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b512d5b25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come statement" sheetId="1" r:id="R2edcc49f96324330"/>
    <x:sheet xmlns:r="http://schemas.openxmlformats.org/officeDocument/2006/relationships" name="Assumptions" sheetId="2" r:id="R6ff3e96b621d460b"/>
    <x:sheet xmlns:r="http://schemas.openxmlformats.org/officeDocument/2006/relationships" name="Cash and capital" sheetId="3" r:id="R9425a5fdf09d437f"/>
    <x:sheet xmlns:r="http://schemas.openxmlformats.org/officeDocument/2006/relationships" name="Product comparison" sheetId="4" r:id="Rde3c69d6ca03493b"/>
    <x:sheet xmlns:r="http://schemas.openxmlformats.org/officeDocument/2006/relationships" name="Revenue and costs" sheetId="5" r:id="R26ce9084b66241b2"/>
    <x:sheet xmlns:r="http://schemas.openxmlformats.org/officeDocument/2006/relationships" name="Shared costs" sheetId="6" r:id="R016e27088e654007"/>
    <x:sheet xmlns:r="http://schemas.openxmlformats.org/officeDocument/2006/relationships" name="Segment tax" sheetId="7" r:id="R3ff2f00dead941a4"/>
    <x:sheet xmlns:r="http://schemas.openxmlformats.org/officeDocument/2006/relationships" name="Monthly cash" sheetId="8" r:id="R12070cfe753744d5"/>
    <x:sheet xmlns:r="http://schemas.openxmlformats.org/officeDocument/2006/relationships" name="Catalog coverage" sheetId="9" r:id="Rc7c8138b4f02482c"/>
    <x:sheet xmlns:r="http://schemas.openxmlformats.org/officeDocument/2006/relationships" name="Source register" sheetId="10" r:id="R69cac765cfb64a2b"/>
    <x:sheet xmlns:r="http://schemas.openxmlformats.org/officeDocument/2006/relationships" name="Forecast review" sheetId="11" r:id="R87c8de70986f4483"/>
    <x:sheet xmlns:r="http://schemas.openxmlformats.org/officeDocument/2006/relationships" name="Balance sheet" sheetId="12" r:id="Rd403f90fdd8b4b38"/>
    <x:sheet xmlns:r="http://schemas.openxmlformats.org/officeDocument/2006/relationships" name="Cash flow" sheetId="13" r:id="R3b8e2e11a7cf41a0"/>
    <x:sheet xmlns:r="http://schemas.openxmlformats.org/officeDocument/2006/relationships" name="Funding gate" sheetId="14" r:id="R255e385c98d94407"/>
    <x:sheet xmlns:r="http://schemas.openxmlformats.org/officeDocument/2006/relationships" name="Accounting assumptions" sheetId="15" r:id="R3b3090b16e144a05"/>
    <x:sheet xmlns:r="http://schemas.openxmlformats.org/officeDocument/2006/relationships" name="Version log" sheetId="16" r:id="Rdfc3b82148de4019"/>
    <x:sheet xmlns:r="http://schemas.openxmlformats.org/officeDocument/2006/relationships" name="Coverage exceptions" sheetId="17" r:id="R6c66dd14ba314681"/>
    <x:sheet xmlns:r="http://schemas.openxmlformats.org/officeDocument/2006/relationships" name="Integrated review" sheetId="18" r:id="Rd050ce22c1ff4e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.0%"/>
    <x:numFmt numFmtId="201" formatCode="#,##0;(#,##0);&quot;—&quot;"/>
    <x:numFmt numFmtId="202" formatCode="0.00"/>
    <x:numFmt numFmtId="203" formatCode="0%"/>
    <x:numFmt numFmtId="204" formatCode="0.0&quot;x&quot;"/>
    <x:numFmt numFmtId="205" formatCode="0.0"/>
    <x:numFmt numFmtId="206" formatCode="0.00;(0.00);&quot;—&quot;"/>
  </x:numFmts>
  <x:fonts count="8">
    <x:font>
      <x:sz val="11"/>
      <x:name val="Carlito"/>
    </x:font>
    <x:font>
      <x:sz val="10"/>
      <x:color rgb="FF202D3A"/>
      <x:name val="Arial"/>
    </x:font>
    <x:font>
      <x:b/>
      <x:sz val="15"/>
      <x:color rgb="FF17324D"/>
      <x:name val="Arial"/>
    </x:font>
    <x:font>
      <x:sz val="10"/>
      <x:color rgb="FF1763A0"/>
      <x:name val="Arial"/>
    </x:font>
    <x:font>
      <x:b/>
      <x:sz val="10"/>
      <x:color rgb="FF17324D"/>
      <x:name val="Arial"/>
    </x:font>
    <x:font>
      <x:b/>
      <x:sz val="10"/>
      <x:color rgb="FF526C82"/>
      <x:name val="Arial"/>
    </x:font>
    <x:font>
      <x:b/>
      <x:sz val="10"/>
      <x:color rgb="FF1763A0"/>
      <x:name val="Arial"/>
    </x:font>
    <x:font>
      <x:sz val="10"/>
      <x:color rgb="FF00804A"/>
      <x:name val="Arial"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8BA2B6"/>
      </x:bottom>
      <x:diagonal/>
    </x:border>
    <x:border>
      <x:left/>
      <x:right/>
      <x:top style="thin">
        <x:color rgb="FFA7B8C7"/>
      </x:top>
      <x:bottom/>
      <x:diagonal/>
    </x:border>
    <x:border>
      <x:left/>
      <x:right/>
      <x:top style="thin">
        <x:color rgb="FF9CB1C2"/>
      </x:top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5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4" fillId="0" borderId="2" xfId="0" applyNumberFormat="1" applyFont="1" applyFill="1" applyBorder="1"/>
    <x:xf numFmtId="201" fontId="5" fillId="0" borderId="0" xfId="0" applyNumberFormat="1" applyFont="1" applyFill="1" applyBorder="1"/>
    <x:xf numFmtId="0" fontId="4" fillId="0" borderId="1" xfId="0" applyNumberFormat="1" applyFont="1" applyFill="1" applyBorder="1"/>
    <x:xf numFmtId="201" fontId="3" fillId="0" borderId="0" xfId="0" applyNumberFormat="1" applyFont="1" applyFill="1" applyBorder="1"/>
    <x:xf numFmtId="0" fontId="6" fillId="0" borderId="1" xfId="0" applyNumberFormat="1" applyFont="1" applyFill="1" applyBorder="1"/>
    <x:xf numFmtId="200" fontId="3" fillId="0" borderId="0" xfId="0" applyNumberFormat="1" applyFont="1" applyFill="1" applyBorder="1"/>
    <x:xf numFmtId="202" fontId="3" fillId="0" borderId="0" xfId="0" applyNumberFormat="1" applyFont="1" applyFill="1" applyBorder="1"/>
    <x:xf numFmtId="203" fontId="1" fillId="0" borderId="0" xfId="0" applyNumberFormat="1" applyFont="1" applyFill="1" applyBorder="1"/>
    <x:xf numFmtId="204" fontId="3" fillId="0" borderId="0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205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201" fontId="4" fillId="0" borderId="2" xfId="0" applyNumberFormat="1" applyFont="1" applyFill="1" applyBorder="1" applyAlignment="1">
      <x:alignment wrapText="1"/>
    </x:xf>
    <x:xf numFmtId="203" fontId="3" fillId="0" borderId="0" xfId="0" applyNumberFormat="1" applyFont="1" applyFill="1" applyBorder="1"/>
    <x:xf numFmtId="201" fontId="4" fillId="0" borderId="0" xfId="0" applyNumberFormat="1" applyFont="1" applyFill="1" applyBorder="1"/>
    <x:xf numFmtId="0" fontId="7" fillId="0" borderId="0" xfId="0" applyNumberFormat="1" applyFont="1" applyFill="1" applyBorder="1"/>
    <x:xf numFmtId="0" fontId="4" fillId="0" borderId="3" xfId="0" applyNumberFormat="1" applyFont="1" applyFill="1" applyBorder="1"/>
    <x:xf numFmtId="201" fontId="4" fillId="0" borderId="3" xfId="0" applyNumberFormat="1" applyFont="1" applyFill="1" applyBorder="1"/>
    <x:xf numFmtId="206" fontId="4" fillId="0" borderId="3" xfId="0" applyNumberFormat="1" applyFont="1" applyFill="1" applyBorder="1"/>
    <x:xf numFmtId="206" fontId="1" fillId="0" borderId="0" xfId="0" applyNumberFormat="1" applyFont="1" applyFill="1" applyBorder="1"/>
    <x:xf numFmtId="206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2064bd1e24544" /><Relationship Type="http://schemas.openxmlformats.org/officeDocument/2006/relationships/theme" Target="/xl/theme/theme1.xml" Id="R1113139e15ce41b0" /><Relationship Type="http://schemas.openxmlformats.org/officeDocument/2006/relationships/sharedStrings" Target="/xl/sharedStrings.xml" Id="R22168f1481544754" /><Relationship Type="http://schemas.openxmlformats.org/officeDocument/2006/relationships/worksheet" Target="/xl/worksheets/sheet1.xml" Id="R2edcc49f96324330" /><Relationship Type="http://schemas.openxmlformats.org/officeDocument/2006/relationships/worksheet" Target="/xl/worksheets/sheet2.xml" Id="R6ff3e96b621d460b" /><Relationship Type="http://schemas.openxmlformats.org/officeDocument/2006/relationships/worksheet" Target="/xl/worksheets/sheet3.xml" Id="R9425a5fdf09d437f" /><Relationship Type="http://schemas.openxmlformats.org/officeDocument/2006/relationships/worksheet" Target="/xl/worksheets/sheet4.xml" Id="Rde3c69d6ca03493b" /><Relationship Type="http://schemas.openxmlformats.org/officeDocument/2006/relationships/worksheet" Target="/xl/worksheets/sheet5.xml" Id="R26ce9084b66241b2" /><Relationship Type="http://schemas.openxmlformats.org/officeDocument/2006/relationships/worksheet" Target="/xl/worksheets/sheet6.xml" Id="R016e27088e654007" /><Relationship Type="http://schemas.openxmlformats.org/officeDocument/2006/relationships/worksheet" Target="/xl/worksheets/sheet7.xml" Id="R3ff2f00dead941a4" /><Relationship Type="http://schemas.openxmlformats.org/officeDocument/2006/relationships/worksheet" Target="/xl/worksheets/sheet8.xml" Id="R12070cfe753744d5" /><Relationship Type="http://schemas.openxmlformats.org/officeDocument/2006/relationships/worksheet" Target="/xl/worksheets/sheet9.xml" Id="Rc7c8138b4f02482c" /><Relationship Type="http://schemas.openxmlformats.org/officeDocument/2006/relationships/worksheet" Target="/xl/worksheets/sheet10.xml" Id="R69cac765cfb64a2b" /><Relationship Type="http://schemas.openxmlformats.org/officeDocument/2006/relationships/worksheet" Target="/xl/worksheets/sheet11.xml" Id="R87c8de70986f4483" /><Relationship Type="http://schemas.openxmlformats.org/officeDocument/2006/relationships/worksheet" Target="/xl/worksheets/sheet12.xml" Id="Rd403f90fdd8b4b38" /><Relationship Type="http://schemas.openxmlformats.org/officeDocument/2006/relationships/worksheet" Target="/xl/worksheets/sheet13.xml" Id="R3b8e2e11a7cf41a0" /><Relationship Type="http://schemas.openxmlformats.org/officeDocument/2006/relationships/worksheet" Target="/xl/worksheets/sheet14.xml" Id="R255e385c98d94407" /><Relationship Type="http://schemas.openxmlformats.org/officeDocument/2006/relationships/worksheet" Target="/xl/worksheets/sheet15.xml" Id="R3b3090b16e144a05" /><Relationship Type="http://schemas.openxmlformats.org/officeDocument/2006/relationships/worksheet" Target="/xl/worksheets/sheet16.xml" Id="Rdfc3b82148de4019" /><Relationship Type="http://schemas.openxmlformats.org/officeDocument/2006/relationships/worksheet" Target="/xl/worksheets/sheet17.xml" Id="R6c66dd14ba314681" /><Relationship Type="http://schemas.openxmlformats.org/officeDocument/2006/relationships/worksheet" Target="/xl/worksheets/sheet18.xml" Id="Rd050ce22c1ff4e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5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</x:cols>
  <x:sheetData>
    <x:row r="1" ht="1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16" customHeight="1">
      <x:c r="A2" s="1"/>
      <x:c r="B2" s="1"/>
      <x:c r="C2" s="2" t="str">
        <x:v>Income statement</x:v>
      </x:c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16" customHeight="1">
      <x:c r="A3" s="1"/>
      <x:c r="B3" s="1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16" customHeight="1">
      <x:c r="A4" s="1"/>
      <x:c r="B4" s="1"/>
      <x:c r="C4" s="1" t="str">
        <x:v>Dot comparison assumptions. USD. Not an owner or AF&amp;I budget.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16" customHeight="1">
      <x:c r="A5" s="1"/>
      <x:c r="B5" s="1"/>
      <x:c r="C5" s="1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16" customHeight="1">
      <x:c r="A6" s="1"/>
      <x:c r="B6" s="1"/>
      <x:c r="C6" s="1" t="str">
        <x:v>Financial companion v1. Dedicated Balance sheet, Cash flow and Funding gate tabs.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29" customHeight="1">
      <x:c r="A7" s="1"/>
      <x:c r="B7" s="1"/>
      <x:c r="C7" s="13" t="str">
        <x:v>Income statement</x:v>
      </x:c>
      <x:c r="D7" s="13" t="str">
        <x:v>Year 1</x:v>
      </x:c>
      <x:c r="E7" s="13" t="str">
        <x:v>Year 2</x:v>
      </x:c>
      <x:c r="F7" s="13" t="str">
        <x:v>Year 3</x:v>
      </x:c>
      <x:c r="G7" s="13" t="str">
        <x:v>Year 4</x:v>
      </x:c>
      <x:c r="H7" s="13" t="str">
        <x:v>Year 5</x:v>
      </x:c>
      <x:c r="I7" s="13" t="str">
        <x:v>Year 6</x:v>
      </x:c>
      <x:c r="J7" s="13" t="str">
        <x:v>Year 7</x:v>
      </x:c>
      <x:c r="K7" s="13" t="str">
        <x:v>Year 8</x:v>
      </x:c>
      <x:c r="L7" s="13" t="str">
        <x:v>Year 9</x:v>
      </x:c>
      <x:c r="M7" s="13" t="str">
        <x:v>Year 10</x:v>
      </x:c>
      <x:c r="N7" s="13" t="str">
        <x:v>Year 11</x:v>
      </x:c>
      <x:c r="O7" s="13" t="str">
        <x:v>Year 12</x:v>
      </x:c>
      <x:c r="P7" s="13" t="str">
        <x:v>Year 13</x:v>
      </x:c>
      <x:c r="Q7" s="13" t="str">
        <x:v>Year 14</x:v>
      </x:c>
      <x:c r="R7" s="13" t="str">
        <x:v>Year 15</x:v>
      </x:c>
      <x:c r="S7" s="13" t="str">
        <x:v>Year 16</x:v>
      </x:c>
      <x:c r="T7" s="13" t="str">
        <x:v>Year 17</x:v>
      </x:c>
      <x:c r="U7" s="13" t="str">
        <x:v>Year 18</x:v>
      </x:c>
      <x:c r="V7" s="13" t="str">
        <x:v>Year 19</x:v>
      </x:c>
      <x:c r="W7" s="13" t="str">
        <x:v>Year 20</x:v>
      </x:c>
    </x:row>
    <x:row r="8" ht="16" customHeight="1">
      <x:c r="A8" s="1"/>
      <x:c r="B8" s="1"/>
      <x:c r="C8" s="1" t="str">
        <x:v>ETV courses</x:v>
      </x:c>
      <x:c r="D8" s="10" t="n">
        <x:f>SUMIF('Revenue and costs'!$D$8:$D$135,$C8,'Revenue and costs'!K8:K135)</x:f>
        <x:v>21780</x:v>
      </x:c>
      <x:c r="E8" s="10" t="n">
        <x:f>SUMIF('Revenue and costs'!$D$136:$D$263,$C8,'Revenue and costs'!K136:K263)</x:f>
        <x:v>24559.995</x:v>
      </x:c>
      <x:c r="F8" s="10" t="n">
        <x:f>SUMIF('Revenue and costs'!$D$264:$D$391,$C8,'Revenue and costs'!K264:K391)</x:f>
        <x:v>28420.984559999997</x:v>
      </x:c>
      <x:c r="G8" s="10" t="n">
        <x:f>SUMIF('Revenue and costs'!$D$392:$D$519,$C8,'Revenue and costs'!K392:K519)</x:f>
        <x:v>33081.340392255</x:v>
      </x:c>
      <x:c r="H8" s="10" t="n">
        <x:f>SUMIF('Revenue and costs'!$D$520:$D$647,$C8,'Revenue and costs'!K520:K647)</x:f>
        <x:v>38557.513101475735</x:v>
      </x:c>
      <x:c r="I8" s="10" t="n">
        <x:f>SUMIF('Revenue and costs'!$D$648:$D$775,$C8,'Revenue and costs'!K648:K775)</x:f>
        <x:v>41285.00108328292</x:v>
      </x:c>
      <x:c r="J8" s="10" t="n">
        <x:f>SUMIF('Revenue and costs'!$D$776:$D$903,$C8,'Revenue and costs'!K776:K903)</x:f>
        <x:v>43377.99210162704</x:v>
      </x:c>
      <x:c r="K8" s="10" t="n">
        <x:f>SUMIF('Revenue and costs'!$D$904:$D$1031,$C8,'Revenue and costs'!K904:K1031)</x:f>
        <x:v>45375.29269028402</x:v>
      </x:c>
      <x:c r="L8" s="10" t="n">
        <x:f>SUMIF('Revenue and costs'!$D$1032:$D$1159,$C8,'Revenue and costs'!K1032:K1159)</x:f>
        <x:v>47416.59429255194</x:v>
      </x:c>
      <x:c r="M8" s="10" t="n">
        <x:f>SUMIF('Revenue and costs'!$D$1160:$D$1287,$C8,'Revenue and costs'!K1160:K1287)</x:f>
        <x:v>49540.581953862646</x:v>
      </x:c>
      <x:c r="N8" s="10" t="n">
        <x:f>SUMIF('Revenue and costs'!$D$1288:$D$1415,$C8,'Revenue and costs'!K1288:K1415)</x:f>
        <x:v>51760.49800525315</x:v>
      </x:c>
      <x:c r="O8" s="10" t="n">
        <x:f>SUMIF('Revenue and costs'!$D$1416:$D$1543,$C8,'Revenue and costs'!K1416:K1543)</x:f>
        <x:v>54083.30334239245</x:v>
      </x:c>
      <x:c r="P8" s="10" t="n">
        <x:f>SUMIF('Revenue and costs'!$D$1544:$D$1671,$C8,'Revenue and costs'!K1544:K1671)</x:f>
        <x:v>56514.5430370786</x:v>
      </x:c>
      <x:c r="Q8" s="10" t="n">
        <x:f>SUMIF('Revenue and costs'!$D$1672:$D$1799,$C8,'Revenue and costs'!K1672:K1799)</x:f>
        <x:v>59059.58860748956</x:v>
      </x:c>
      <x:c r="R8" s="10" t="n">
        <x:f>SUMIF('Revenue and costs'!$D$1800:$D$1927,$C8,'Revenue and costs'!K1800:K1927)</x:f>
        <x:v>61723.962183439544</x:v>
      </x:c>
      <x:c r="S8" s="10" t="n">
        <x:f>SUMIF('Revenue and costs'!$D$1928:$D$2055,$C8,'Revenue and costs'!K1928:K2055)</x:f>
        <x:v>64513.42836690757</x:v>
      </x:c>
      <x:c r="T8" s="10" t="n">
        <x:f>SUMIF('Revenue and costs'!$D$2056:$D$2183,$C8,'Revenue and costs'!K2056:K2183)</x:f>
        <x:v>67434.02767576698</x:v>
      </x:c>
      <x:c r="U8" s="10" t="n">
        <x:f>SUMIF('Revenue and costs'!$D$2184:$D$2311,$C8,'Revenue and costs'!K2184:K2311)</x:f>
        <x:v>70492.09568284548</x:v>
      </x:c>
      <x:c r="V8" s="10" t="n">
        <x:f>SUMIF('Revenue and costs'!$D$2312:$D$2439,$C8,'Revenue and costs'!K2312:K2439)</x:f>
        <x:v>73694.27906100971</x:v>
      </x:c>
      <x:c r="W8" s="10" t="n">
        <x:f>SUMIF('Revenue and costs'!$D$2440:$D$2567,$C8,'Revenue and costs'!K2440:K2567)</x:f>
        <x:v>77047.55140393022</x:v>
      </x:c>
    </x:row>
    <x:row r="9" ht="16" customHeight="1">
      <x:c r="A9" s="1"/>
      <x:c r="B9" s="1"/>
      <x:c r="C9" s="1" t="str">
        <x:v>ETV services</x:v>
      </x:c>
      <x:c r="D9" s="10" t="n">
        <x:f>SUMIF('Revenue and costs'!$D$8:$D$135,$C9,'Revenue and costs'!K8:K135)</x:f>
        <x:v>62000</x:v>
      </x:c>
      <x:c r="E9" s="10" t="n">
        <x:f>SUMIF('Revenue and costs'!$D$136:$D$263,$C9,'Revenue and costs'!K136:K263)</x:f>
        <x:v>66402</x:v>
      </x:c>
      <x:c r="F9" s="10" t="n">
        <x:f>SUMIF('Revenue and costs'!$D$264:$D$391,$C9,'Revenue and costs'!K264:K391)</x:f>
        <x:v>72890.424</x:v>
      </x:c>
      <x:c r="G9" s="10" t="n">
        <x:f>SUMIF('Revenue and costs'!$D$392:$D$519,$C9,'Revenue and costs'!K392:K519)</x:f>
        <x:v>80960.61952800004</x:v>
      </x:c>
      <x:c r="H9" s="10" t="n">
        <x:f>SUMIF('Revenue and costs'!$D$520:$D$647,$C9,'Revenue and costs'!K520:K647)</x:f>
        <x:v>90418.37264841601</x:v>
      </x:c>
      <x:c r="I9" s="10" t="n">
        <x:f>SUMIF('Revenue and costs'!$D$648:$D$775,$C9,'Revenue and costs'!K648:K775)</x:f>
        <x:v>97727.72664829849</x:v>
      </x:c>
      <x:c r="J9" s="10" t="n">
        <x:f>SUMIF('Revenue and costs'!$D$776:$D$903,$C9,'Revenue and costs'!K776:K903)</x:f>
        <x:v>104067.1836320774</x:v>
      </x:c>
      <x:c r="K9" s="10" t="n">
        <x:f>SUMIF('Revenue and costs'!$D$904:$D$1031,$C9,'Revenue and costs'!K904:K1031)</x:f>
        <x:v>110044.14447170177</x:v>
      </x:c>
      <x:c r="L9" s="10" t="n">
        <x:f>SUMIF('Revenue and costs'!$D$1032:$D$1159,$C9,'Revenue and costs'!K1032:K1159)</x:f>
        <x:v>115975.07046936896</x:v>
      </x:c>
      <x:c r="M9" s="10" t="n">
        <x:f>SUMIF('Revenue and costs'!$D$1160:$D$1287,$C9,'Revenue and costs'!K1160:K1287)</x:f>
        <x:v>122028.38210169254</x:v>
      </x:c>
      <x:c r="N9" s="10" t="n">
        <x:f>SUMIF('Revenue and costs'!$D$1288:$D$1415,$C9,'Revenue and costs'!K1288:K1415)</x:f>
        <x:v>128297.35449999067</x:v>
      </x:c>
      <x:c r="O9" s="10" t="n">
        <x:f>SUMIF('Revenue and costs'!$D$1416:$D$1543,$C9,'Revenue and costs'!K1416:K1543)</x:f>
        <x:v>134837.312132306</x:v>
      </x:c>
      <x:c r="P9" s="10" t="n">
        <x:f>SUMIF('Revenue and costs'!$D$1544:$D$1671,$C9,'Revenue and costs'!K1544:K1671)</x:f>
        <x:v>141684.6169884547</x:v>
      </x:c>
      <x:c r="Q9" s="10" t="n">
        <x:f>SUMIF('Revenue and costs'!$D$1672:$D$1799,$C9,'Revenue and costs'!K1672:K1799)</x:f>
        <x:v>148866.3724078201</x:v>
      </x:c>
      <x:c r="R9" s="10" t="n">
        <x:f>SUMIF('Revenue and costs'!$D$1800:$D$1927,$C9,'Revenue and costs'!K1800:K1927)</x:f>
        <x:v>156405.39288952807</x:v>
      </x:c>
      <x:c r="S9" s="10" t="n">
        <x:f>SUMIF('Revenue and costs'!$D$1928:$D$2055,$C9,'Revenue and costs'!K1928:K2055)</x:f>
        <x:v>164322.76060905308</x:v>
      </x:c>
      <x:c r="T9" s="10" t="n">
        <x:f>SUMIF('Revenue and costs'!$D$2056:$D$2183,$C9,'Revenue and costs'!K2056:K2183)</x:f>
        <x:v>172639.15226392177</x:v>
      </x:c>
      <x:c r="U9" s="10" t="n">
        <x:f>SUMIF('Revenue and costs'!$D$2184:$D$2311,$C9,'Revenue and costs'!K2184:K2311)</x:f>
        <x:v>181375.539952182</x:v>
      </x:c>
      <x:c r="V9" s="10" t="n">
        <x:f>SUMIF('Revenue and costs'!$D$2312:$D$2439,$C9,'Revenue and costs'!K2312:K2439)</x:f>
        <x:v>190553.57403145236</x:v>
      </x:c>
      <x:c r="W9" s="10" t="n">
        <x:f>SUMIF('Revenue and costs'!$D$2440:$D$2567,$C9,'Revenue and costs'!K2440:K2567)</x:f>
        <x:v>200195.80507386575</x:v>
      </x:c>
    </x:row>
    <x:row r="10" ht="16" customHeight="1">
      <x:c r="A10" s="1"/>
      <x:c r="B10" s="1"/>
      <x:c r="C10" s="1" t="str">
        <x:v>BPA professional services</x:v>
      </x:c>
      <x:c r="D10" s="10" t="n">
        <x:f>SUMIF('Revenue and costs'!$D$8:$D$135,$C10,'Revenue and costs'!K8:K135)</x:f>
        <x:v>291800</x:v>
      </x:c>
      <x:c r="E10" s="10" t="n">
        <x:f>SUMIF('Revenue and costs'!$D$136:$D$263,$C10,'Revenue and costs'!K136:K263)</x:f>
        <x:v>377941.5</x:v>
      </x:c>
      <x:c r="F10" s="10" t="n">
        <x:f>SUMIF('Revenue and costs'!$D$264:$D$391,$C10,'Revenue and costs'!K264:K391)</x:f>
        <x:v>444749.853</x:v>
      </x:c>
      <x:c r="G10" s="10" t="n">
        <x:f>SUMIF('Revenue and costs'!$D$392:$D$519,$C10,'Revenue and costs'!K392:K519)</x:f>
        <x:v>504303.39306600014</x:v>
      </x:c>
      <x:c r="H10" s="10" t="n">
        <x:f>SUMIF('Revenue and costs'!$D$520:$D$647,$C10,'Revenue and costs'!K520:K647)</x:f>
        <x:v>562900.3690100522</x:v>
      </x:c>
      <x:c r="I10" s="10" t="n">
        <x:f>SUMIF('Revenue and costs'!$D$648:$D$775,$C10,'Revenue and costs'!K648:K775)</x:f>
        <x:v>602209.5563242662</x:v>
      </x:c>
      <x:c r="J10" s="10" t="n">
        <x:f>SUMIF('Revenue and costs'!$D$776:$D$903,$C10,'Revenue and costs'!K776:K903)</x:f>
        <x:v>632188.4504186398</x:v>
      </x:c>
      <x:c r="K10" s="10" t="n">
        <x:f>SUMIF('Revenue and costs'!$D$904:$D$1031,$C10,'Revenue and costs'!K904:K1031)</x:f>
        <x:v>657836.4359505037</x:v>
      </x:c>
      <x:c r="L10" s="10" t="n">
        <x:f>SUMIF('Revenue and costs'!$D$1032:$D$1159,$C10,'Revenue and costs'!K1032:K1159)</x:f>
        <x:v>681669.8565893725</x:v>
      </x:c>
      <x:c r="M10" s="10" t="n">
        <x:f>SUMIF('Revenue and costs'!$D$1160:$D$1287,$C10,'Revenue and costs'!K1160:K1287)</x:f>
        <x:v>704961.7320548458</x:v>
      </x:c>
      <x:c r="N10" s="10" t="n">
        <x:f>SUMIF('Revenue and costs'!$D$1288:$D$1415,$C10,'Revenue and costs'!K1288:K1415)</x:f>
        <x:v>728362.7387088255</x:v>
      </x:c>
      <x:c r="O10" s="10" t="n">
        <x:f>SUMIF('Revenue and costs'!$D$1416:$D$1543,$C10,'Revenue and costs'!K1416:K1543)</x:f>
        <x:v>752212.2816744451</x:v>
      </x:c>
      <x:c r="P10" s="10" t="n">
        <x:f>SUMIF('Revenue and costs'!$D$1544:$D$1671,$C10,'Revenue and costs'!K1544:K1671)</x:f>
        <x:v>776694.3375997539</x:v>
      </x:c>
      <x:c r="Q10" s="10" t="n">
        <x:f>SUMIF('Revenue and costs'!$D$1672:$D$1799,$C10,'Revenue and costs'!K1672:K1799)</x:f>
        <x:v>801915.542860851</x:v>
      </x:c>
      <x:c r="R10" s="10" t="n">
        <x:f>SUMIF('Revenue and costs'!$D$1800:$D$1927,$C10,'Revenue and costs'!K1800:K1927)</x:f>
        <x:v>827944.3335913493</x:v>
      </x:c>
      <x:c r="S10" s="10" t="n">
        <x:f>SUMIF('Revenue and costs'!$D$1928:$D$2055,$C10,'Revenue and costs'!K1928:K2055)</x:f>
        <x:v>854830.5759364875</x:v>
      </x:c>
      <x:c r="T10" s="10" t="n">
        <x:f>SUMIF('Revenue and costs'!$D$2056:$D$2183,$C10,'Revenue and costs'!K2056:K2183)</x:f>
        <x:v>882615.4237067283</x:v>
      </x:c>
      <x:c r="U10" s="10" t="n">
        <x:f>SUMIF('Revenue and costs'!$D$2184:$D$2311,$C10,'Revenue and costs'!K2184:K2311)</x:f>
        <x:v>911336.2812080238</x:v>
      </x:c>
      <x:c r="V10" s="10" t="n">
        <x:f>SUMIF('Revenue and costs'!$D$2312:$D$2439,$C10,'Revenue and costs'!K2312:K2439)</x:f>
        <x:v>941029.3148473612</x:v>
      </x:c>
      <x:c r="W10" s="10" t="n">
        <x:f>SUMIF('Revenue and costs'!$D$2440:$D$2567,$C10,'Revenue and costs'!K2440:K2567)</x:f>
        <x:v>971730.7377393092</x:v>
      </x:c>
    </x:row>
    <x:row r="11" ht="16" customHeight="1">
      <x:c r="A11" s="1"/>
      <x:c r="B11" s="1"/>
      <x:c r="C11" s="1" t="str">
        <x:v>CornerFlow</x:v>
      </x:c>
      <x:c r="D11" s="10" t="n">
        <x:f>SUMIF('Revenue and costs'!$D$8:$D$135,$C11,'Revenue and costs'!K8:K135)</x:f>
        <x:v>4930</x:v>
      </x:c>
      <x:c r="E11" s="10" t="n">
        <x:f>SUMIF('Revenue and costs'!$D$136:$D$263,$C11,'Revenue and costs'!K136:K263)</x:f>
        <x:v>7505.976000000001</x:v>
      </x:c>
      <x:c r="F11" s="10" t="n">
        <x:f>SUMIF('Revenue and costs'!$D$264:$D$391,$C11,'Revenue and costs'!K264:K391)</x:f>
        <x:v>9844.701768</x:v>
      </x:c>
      <x:c r="G11" s="10" t="n">
        <x:f>SUMIF('Revenue and costs'!$D$392:$D$519,$C11,'Revenue and costs'!K392:K519)</x:f>
        <x:v>12225.748639968004</x:v>
      </x:c>
      <x:c r="H11" s="10" t="n">
        <x:f>SUMIF('Revenue and costs'!$D$520:$D$647,$C11,'Revenue and costs'!K520:K647)</x:f>
        <x:v>14835.900264127777</x:v>
      </x:c>
      <x:c r="I11" s="10" t="n">
        <x:f>SUMIF('Revenue and costs'!$D$648:$D$775,$C11,'Revenue and costs'!K648:K775)</x:f>
        <x:v>16909.229691409077</x:v>
      </x:c>
      <x:c r="J11" s="10" t="n">
        <x:f>SUMIF('Revenue and costs'!$D$776:$D$903,$C11,'Revenue and costs'!K776:K903)</x:f>
        <x:v>18658.544075000304</x:v>
      </x:c>
      <x:c r="K11" s="10" t="n">
        <x:f>SUMIF('Revenue and costs'!$D$904:$D$1031,$C11,'Revenue and costs'!K904:K1031)</x:f>
        <x:v>20214.94068060344</x:v>
      </x:c>
      <x:c r="L11" s="10" t="n">
        <x:f>SUMIF('Revenue and costs'!$D$1032:$D$1159,$C11,'Revenue and costs'!K1032:K1159)</x:f>
        <x:v>21661.805793631993</x:v>
      </x:c>
      <x:c r="M11" s="10" t="n">
        <x:f>SUMIF('Revenue and costs'!$D$1160:$D$1287,$C11,'Revenue and costs'!K1160:K1287)</x:f>
        <x:v>23053.90228840084</x:v>
      </x:c>
      <x:c r="N11" s="10" t="n">
        <x:f>SUMIF('Revenue and costs'!$D$1288:$D$1415,$C11,'Revenue and costs'!K1288:K1415)</x:f>
        <x:v>24428.35351285906</x:v>
      </x:c>
      <x:c r="O11" s="10" t="n">
        <x:f>SUMIF('Revenue and costs'!$D$1416:$D$1543,$C11,'Revenue and costs'!K1416:K1543)</x:f>
        <x:v>25811.138131912405</x:v>
      </x:c>
      <x:c r="P11" s="10" t="n">
        <x:f>SUMIF('Revenue and costs'!$D$1544:$D$1671,$C11,'Revenue and costs'!K1544:K1671)</x:f>
        <x:v>27221.041316179922</x:v>
      </x:c>
      <x:c r="Q11" s="10" t="n">
        <x:f>SUMIF('Revenue and costs'!$D$1672:$D$1799,$C11,'Revenue and costs'!K1672:K1799)</x:f>
        <x:v>28672.1271964204</x:v>
      </x:c>
      <x:c r="R11" s="10" t="n">
        <x:f>SUMIF('Revenue and costs'!$D$1800:$D$1927,$C11,'Revenue and costs'!K1800:K1927)</x:f>
        <x:v>30175.32765583296</x:v>
      </x:c>
      <x:c r="S11" s="10" t="n">
        <x:f>SUMIF('Revenue and costs'!$D$1928:$D$2055,$C11,'Revenue and costs'!K1928:K2055)</x:f>
        <x:v>31739.488051708962</x:v>
      </x:c>
      <x:c r="T11" s="10" t="n">
        <x:f>SUMIF('Revenue and costs'!$D$2056:$D$2183,$C11,'Revenue and costs'!K2056:K2183)</x:f>
        <x:v>33372.07006412335</x:v>
      </x:c>
      <x:c r="U11" s="10" t="n">
        <x:f>SUMIF('Revenue and costs'!$D$2184:$D$2311,$C11,'Revenue and costs'!K2184:K2311)</x:f>
        <x:v>35079.63269413646</x:v>
      </x:c>
      <x:c r="V11" s="10" t="n">
        <x:f>SUMIF('Revenue and costs'!$D$2312:$D$2439,$C11,'Revenue and costs'!K2312:K2439)</x:f>
        <x:v>36868.16664668076</x:v>
      </x:c>
      <x:c r="W11" s="10" t="n">
        <x:f>SUMIF('Revenue and costs'!$D$2440:$D$2567,$C11,'Revenue and costs'!K2440:K2567)</x:f>
        <x:v>38743.330120705694</x:v>
      </x:c>
    </x:row>
    <x:row r="12" ht="16" customHeight="1">
      <x:c r="A12" s="1"/>
      <x:c r="B12" s="1"/>
      <x:c r="C12" s="1" t="str">
        <x:v>Spindle</x:v>
      </x:c>
      <x:c r="D12" s="10" t="n">
        <x:f>SUMIF('Revenue and costs'!$D$8:$D$135,$C12,'Revenue and costs'!K8:K135)</x:f>
        <x:v>4930</x:v>
      </x:c>
      <x:c r="E12" s="10" t="n">
        <x:f>SUMIF('Revenue and costs'!$D$136:$D$263,$C12,'Revenue and costs'!K136:K263)</x:f>
        <x:v>7505.976000000001</x:v>
      </x:c>
      <x:c r="F12" s="10" t="n">
        <x:f>SUMIF('Revenue and costs'!$D$264:$D$391,$C12,'Revenue and costs'!K264:K391)</x:f>
        <x:v>9844.701768</x:v>
      </x:c>
      <x:c r="G12" s="10" t="n">
        <x:f>SUMIF('Revenue and costs'!$D$392:$D$519,$C12,'Revenue and costs'!K392:K519)</x:f>
        <x:v>12225.748639968004</x:v>
      </x:c>
      <x:c r="H12" s="10" t="n">
        <x:f>SUMIF('Revenue and costs'!$D$520:$D$647,$C12,'Revenue and costs'!K520:K647)</x:f>
        <x:v>14835.900264127777</x:v>
      </x:c>
      <x:c r="I12" s="10" t="n">
        <x:f>SUMIF('Revenue and costs'!$D$648:$D$775,$C12,'Revenue and costs'!K648:K775)</x:f>
        <x:v>16909.229691409077</x:v>
      </x:c>
      <x:c r="J12" s="10" t="n">
        <x:f>SUMIF('Revenue and costs'!$D$776:$D$903,$C12,'Revenue and costs'!K776:K903)</x:f>
        <x:v>18658.544075000304</x:v>
      </x:c>
      <x:c r="K12" s="10" t="n">
        <x:f>SUMIF('Revenue and costs'!$D$904:$D$1031,$C12,'Revenue and costs'!K904:K1031)</x:f>
        <x:v>20214.94068060344</x:v>
      </x:c>
      <x:c r="L12" s="10" t="n">
        <x:f>SUMIF('Revenue and costs'!$D$1032:$D$1159,$C12,'Revenue and costs'!K1032:K1159)</x:f>
        <x:v>21661.805793631993</x:v>
      </x:c>
      <x:c r="M12" s="10" t="n">
        <x:f>SUMIF('Revenue and costs'!$D$1160:$D$1287,$C12,'Revenue and costs'!K1160:K1287)</x:f>
        <x:v>23053.90228840084</x:v>
      </x:c>
      <x:c r="N12" s="10" t="n">
        <x:f>SUMIF('Revenue and costs'!$D$1288:$D$1415,$C12,'Revenue and costs'!K1288:K1415)</x:f>
        <x:v>24428.35351285906</x:v>
      </x:c>
      <x:c r="O12" s="10" t="n">
        <x:f>SUMIF('Revenue and costs'!$D$1416:$D$1543,$C12,'Revenue and costs'!K1416:K1543)</x:f>
        <x:v>25811.138131912405</x:v>
      </x:c>
      <x:c r="P12" s="10" t="n">
        <x:f>SUMIF('Revenue and costs'!$D$1544:$D$1671,$C12,'Revenue and costs'!K1544:K1671)</x:f>
        <x:v>27221.041316179922</x:v>
      </x:c>
      <x:c r="Q12" s="10" t="n">
        <x:f>SUMIF('Revenue and costs'!$D$1672:$D$1799,$C12,'Revenue and costs'!K1672:K1799)</x:f>
        <x:v>28672.1271964204</x:v>
      </x:c>
      <x:c r="R12" s="10" t="n">
        <x:f>SUMIF('Revenue and costs'!$D$1800:$D$1927,$C12,'Revenue and costs'!K1800:K1927)</x:f>
        <x:v>30175.32765583296</x:v>
      </x:c>
      <x:c r="S12" s="10" t="n">
        <x:f>SUMIF('Revenue and costs'!$D$1928:$D$2055,$C12,'Revenue and costs'!K1928:K2055)</x:f>
        <x:v>31739.488051708962</x:v>
      </x:c>
      <x:c r="T12" s="10" t="n">
        <x:f>SUMIF('Revenue and costs'!$D$2056:$D$2183,$C12,'Revenue and costs'!K2056:K2183)</x:f>
        <x:v>33372.07006412335</x:v>
      </x:c>
      <x:c r="U12" s="10" t="n">
        <x:f>SUMIF('Revenue and costs'!$D$2184:$D$2311,$C12,'Revenue and costs'!K2184:K2311)</x:f>
        <x:v>35079.63269413646</x:v>
      </x:c>
      <x:c r="V12" s="10" t="n">
        <x:f>SUMIF('Revenue and costs'!$D$2312:$D$2439,$C12,'Revenue and costs'!K2312:K2439)</x:f>
        <x:v>36868.16664668076</x:v>
      </x:c>
      <x:c r="W12" s="10" t="n">
        <x:f>SUMIF('Revenue and costs'!$D$2440:$D$2567,$C12,'Revenue and costs'!K2440:K2567)</x:f>
        <x:v>38743.330120705694</x:v>
      </x:c>
    </x:row>
    <x:row r="13" ht="16" customHeight="1">
      <x:c r="A13" s="1"/>
      <x:c r="B13" s="1"/>
      <x:c r="C13" s="1" t="str">
        <x:v>Maison Contour</x:v>
      </x:c>
      <x:c r="D13" s="10" t="n">
        <x:f>SUMIF('Revenue and costs'!$D$8:$D$135,$C13,'Revenue and costs'!K8:K135)</x:f>
        <x:v>6730</x:v>
      </x:c>
      <x:c r="E13" s="10" t="n">
        <x:f>SUMIF('Revenue and costs'!$D$136:$D$263,$C13,'Revenue and costs'!K136:K263)</x:f>
        <x:v>10113.096000000001</x:v>
      </x:c>
      <x:c r="F13" s="10" t="n">
        <x:f>SUMIF('Revenue and costs'!$D$264:$D$391,$C13,'Revenue and costs'!K264:K391)</x:f>
        <x:v>13324.215528</x:v>
      </x:c>
      <x:c r="G13" s="10" t="n">
        <x:f>SUMIF('Revenue and costs'!$D$392:$D$519,$C13,'Revenue and costs'!K392:K519)</x:f>
        <x:v>16690.590282528006</x:v>
      </x:c>
      <x:c r="H13" s="10" t="n">
        <x:f>SUMIF('Revenue and costs'!$D$520:$D$647,$C13,'Revenue and costs'!K520:K647)</x:f>
        <x:v>20447.891030049697</x:v>
      </x:c>
      <x:c r="I13" s="10" t="n">
        <x:f>SUMIF('Revenue and costs'!$D$648:$D$775,$C13,'Revenue and costs'!K648:K775)</x:f>
        <x:v>23462.944079367993</x:v>
      </x:c>
      <x:c r="J13" s="10" t="n">
        <x:f>SUMIF('Revenue and costs'!$D$776:$D$903,$C13,'Revenue and costs'!K776:K903)</x:f>
        <x:v>26013.51482993682</x:v>
      </x:c>
      <x:c r="K13" s="10" t="n">
        <x:f>SUMIF('Revenue and costs'!$D$904:$D$1031,$C13,'Revenue and costs'!K904:K1031)</x:f>
        <x:v>28277.394786867815</x:v>
      </x:c>
      <x:c r="L13" s="10" t="n">
        <x:f>SUMIF('Revenue and costs'!$D$1032:$D$1159,$C13,'Revenue and costs'!K1032:K1159)</x:f>
        <x:v>30371.639865098794</x:v>
      </x:c>
      <x:c r="M13" s="10" t="n">
        <x:f>SUMIF('Revenue and costs'!$D$1160:$D$1287,$C13,'Revenue and costs'!K1160:K1287)</x:f>
        <x:v>32375.399692105628</x:v>
      </x:c>
      <x:c r="N13" s="10" t="n">
        <x:f>SUMIF('Revenue and costs'!$D$1288:$D$1415,$C13,'Revenue and costs'!K1288:K1415)</x:f>
        <x:v>34343.573935141656</x:v>
      </x:c>
      <x:c r="O13" s="10" t="n">
        <x:f>SUMIF('Revenue and costs'!$D$1416:$D$1543,$C13,'Revenue and costs'!K1416:K1543)</x:f>
        <x:v>36315.21615602705</x:v>
      </x:c>
      <x:c r="P13" s="10" t="n">
        <x:f>SUMIF('Revenue and costs'!$D$1544:$D$1671,$C13,'Revenue and costs'!K1544:K1671)</x:f>
        <x:v>38318.848966518446</x:v>
      </x:c>
      <x:c r="Q13" s="10" t="n">
        <x:f>SUMIF('Revenue and costs'!$D$1672:$D$1799,$C13,'Revenue and costs'!K1672:K1799)</x:f>
        <x:v>40375.911334503486</x:v>
      </x:c>
      <x:c r="R13" s="10" t="n">
        <x:f>SUMIF('Revenue and costs'!$D$1800:$D$1927,$C13,'Revenue and costs'!K1800:K1927)</x:f>
        <x:v>42503.044449638175</x:v>
      </x:c>
      <x:c r="S13" s="10" t="n">
        <x:f>SUMIF('Revenue and costs'!$D$1928:$D$2055,$C13,'Revenue and costs'!K1928:K2055)</x:f>
        <x:v>44713.636236612</x:v>
      </x:c>
      <x:c r="T13" s="10" t="n">
        <x:f>SUMIF('Revenue and costs'!$D$2056:$D$2183,$C13,'Revenue and costs'!K2056:K2183)</x:f>
        <x:v>47018.881477013005</x:v>
      </x:c>
      <x:c r="U13" s="10" t="n">
        <x:f>SUMIF('Revenue and costs'!$D$2184:$D$2311,$C13,'Revenue and costs'!K2184:K2311)</x:f>
        <x:v>49428.51909401735</x:v>
      </x:c>
      <x:c r="V13" s="10" t="n">
        <x:f>SUMIF('Revenue and costs'!$D$2312:$D$2439,$C13,'Revenue and costs'!K2312:K2439)</x:f>
        <x:v>51951.35077765789</x:v>
      </x:c>
      <x:c r="W13" s="10" t="n">
        <x:f>SUMIF('Revenue and costs'!$D$2440:$D$2567,$C13,'Revenue and costs'!K2440:K2567)</x:f>
        <x:v>54595.609641303556</x:v>
      </x:c>
    </x:row>
    <x:row r="14" ht="16" customHeight="1">
      <x:c r="A14" s="1"/>
      <x:c r="B14" s="1"/>
      <x:c r="C14" s="1" t="str">
        <x:v>DishLoom US</x:v>
      </x:c>
      <x:c r="D14" s="10" t="n">
        <x:f>SUMIF('Revenue and costs'!$D$8:$D$135,$C14,'Revenue and costs'!K8:K135)</x:f>
        <x:v>5670</x:v>
      </x:c>
      <x:c r="E14" s="10" t="n">
        <x:f>SUMIF('Revenue and costs'!$D$136:$D$263,$C14,'Revenue and costs'!K136:K263)</x:f>
        <x:v>8212.428000000002</x:v>
      </x:c>
      <x:c r="F14" s="10" t="n">
        <x:f>SUMIF('Revenue and costs'!$D$264:$D$391,$C14,'Revenue and costs'!K264:K391)</x:f>
        <x:v>10960.468344</x:v>
      </x:c>
      <x:c r="G14" s="10" t="n">
        <x:f>SUMIF('Revenue and costs'!$D$392:$D$519,$C14,'Revenue and costs'!K392:K519)</x:f>
        <x:v>14064.251174064004</x:v>
      </x:c>
      <x:c r="H14" s="10" t="n">
        <x:f>SUMIF('Revenue and costs'!$D$520:$D$647,$C14,'Revenue and costs'!K520:K647)</x:f>
        <x:v>17677.77091265405</x:v>
      </x:c>
      <x:c r="I14" s="10" t="n">
        <x:f>SUMIF('Revenue and costs'!$D$648:$D$775,$C14,'Revenue and costs'!K648:K775)</x:f>
        <x:v>20644.20032207058</x:v>
      </x:c>
      <x:c r="J14" s="10" t="n">
        <x:f>SUMIF('Revenue and costs'!$D$776:$D$903,$C14,'Revenue and costs'!K776:K903)</x:f>
        <x:v>23168.157878050035</x:v>
      </x:c>
      <x:c r="K14" s="10" t="n">
        <x:f>SUMIF('Revenue and costs'!$D$904:$D$1031,$C14,'Revenue and costs'!K904:K1031)</x:f>
        <x:v>25396.73043473279</x:v>
      </x:c>
      <x:c r="L14" s="10" t="n">
        <x:f>SUMIF('Revenue and costs'!$D$1032:$D$1159,$C14,'Revenue and costs'!K1032:K1159)</x:f>
        <x:v>27435.977325120424</x:v>
      </x:c>
      <x:c r="M14" s="10" t="n">
        <x:f>SUMIF('Revenue and costs'!$D$1160:$D$1287,$C14,'Revenue and costs'!K1160:K1287)</x:f>
        <x:v>29362.716821670092</x:v>
      </x:c>
      <x:c r="N14" s="10" t="n">
        <x:f>SUMIF('Revenue and costs'!$D$1288:$D$1415,$C14,'Revenue and costs'!K1288:K1415)</x:f>
        <x:v>31232.94433019017</x:v>
      </x:c>
      <x:c r="O14" s="10" t="n">
        <x:f>SUMIF('Revenue and costs'!$D$1416:$D$1543,$C14,'Revenue and costs'!K1416:K1543)</x:f>
        <x:v>33087.845775961105</x:v>
      </x:c>
      <x:c r="P14" s="10" t="n">
        <x:f>SUMIF('Revenue and costs'!$D$1544:$D$1671,$C14,'Revenue and costs'!K1544:K1671)</x:f>
        <x:v>34958.09409856635</x:v>
      </x:c>
      <x:c r="Q14" s="10" t="n">
        <x:f>SUMIF('Revenue and costs'!$D$1672:$D$1799,$C14,'Revenue and costs'!K1672:K1799)</x:f>
        <x:v>36866.92003496172</x:v>
      </x:c>
      <x:c r="R14" s="10" t="n">
        <x:f>SUMIF('Revenue and costs'!$D$1800:$D$1927,$C14,'Revenue and costs'!K1800:K1927)</x:f>
        <x:v>38832.30790048642</x:v>
      </x:c>
      <x:c r="S14" s="10" t="n">
        <x:f>SUMIF('Revenue and costs'!$D$1928:$D$2055,$C14,'Revenue and costs'!K1928:K2055)</x:f>
        <x:v>40868.56678244457</x:v>
      </x:c>
      <x:c r="T14" s="10" t="n">
        <x:f>SUMIF('Revenue and costs'!$D$2056:$D$2183,$C14,'Revenue and costs'!K2056:K2183)</x:f>
        <x:v>42987.45595060244</x:v>
      </x:c>
      <x:c r="U14" s="10" t="n">
        <x:f>SUMIF('Revenue and costs'!$D$2184:$D$2311,$C14,'Revenue and costs'!K2184:K2311)</x:f>
        <x:v>45198.99215962478</x:v>
      </x:c>
      <x:c r="V14" s="10" t="n">
        <x:f>SUMIF('Revenue and costs'!$D$2312:$D$2439,$C14,'Revenue and costs'!K2312:K2439)</x:f>
        <x:v>47512.030012578005</x:v>
      </x:c>
      <x:c r="W14" s="10" t="n">
        <x:f>SUMIF('Revenue and costs'!$D$2440:$D$2567,$C14,'Revenue and costs'!K2440:K2567)</x:f>
        <x:v>49934.68048988326</x:v>
      </x:c>
    </x:row>
    <x:row r="15" ht="16" customHeight="1">
      <x:c r="A15" s="1"/>
      <x:c r="B15" s="1"/>
      <x:c r="C15" s="1" t="str">
        <x:v>Is Makes Travel Easy</x:v>
      </x:c>
      <x:c r="D15" s="10" t="n">
        <x:f>SUMIF('Revenue and costs'!$D$8:$D$135,$C15,'Revenue and costs'!K8:K135)</x:f>
        <x:v>14859</x:v>
      </x:c>
      <x:c r="E15" s="10" t="n">
        <x:f>SUMIF('Revenue and costs'!$D$136:$D$263,$C15,'Revenue and costs'!K136:K263)</x:f>
        <x:v>18106.203600000004</x:v>
      </x:c>
      <x:c r="F15" s="10" t="n">
        <x:f>SUMIF('Revenue and costs'!$D$264:$D$391,$C15,'Revenue and costs'!K264:K391)</x:f>
        <x:v>21862.670126400004</x:v>
      </x:c>
      <x:c r="G15" s="10" t="n">
        <x:f>SUMIF('Revenue and costs'!$D$392:$D$519,$C15,'Revenue and costs'!K392:K519)</x:f>
        <x:v>26388.649603591202</x:v>
      </x:c>
      <x:c r="H15" s="10" t="n">
        <x:f>SUMIF('Revenue and costs'!$D$520:$D$647,$C15,'Revenue and costs'!K520:K647)</x:f>
        <x:v>31898.29257665691</x:v>
      </x:c>
      <x:c r="I15" s="10" t="n">
        <x:f>SUMIF('Revenue and costs'!$D$648:$D$775,$C15,'Revenue and costs'!K648:K775)</x:f>
        <x:v>36406.7350329423</x:v>
      </x:c>
      <x:c r="J15" s="10" t="n">
        <x:f>SUMIF('Revenue and costs'!$D$776:$D$903,$C15,'Revenue and costs'!K776:K903)</x:f>
        <x:v>40284.76586018939</x:v>
      </x:c>
      <x:c r="K15" s="10" t="n">
        <x:f>SUMIF('Revenue and costs'!$D$904:$D$1031,$C15,'Revenue and costs'!K904:K1031)</x:f>
        <x:v>43765.79647017712</x:v>
      </x:c>
      <x:c r="L15" s="10" t="n">
        <x:f>SUMIF('Revenue and costs'!$D$1032:$D$1159,$C15,'Revenue and costs'!K1032:K1159)</x:f>
        <x:v>47006.4592503956</x:v>
      </x:c>
      <x:c r="M15" s="10" t="n">
        <x:f>SUMIF('Revenue and costs'!$D$1160:$D$1287,$C15,'Revenue and costs'!K1160:K1287)</x:f>
        <x:v>50116.232300025695</x:v>
      </x:c>
      <x:c r="N15" s="10" t="n">
        <x:f>SUMIF('Revenue and costs'!$D$1288:$D$1415,$C15,'Revenue and costs'!K1288:K1415)</x:f>
        <x:v>53173.72407346168</x:v>
      </x:c>
      <x:c r="O15" s="10" t="n">
        <x:f>SUMIF('Revenue and costs'!$D$1416:$D$1543,$C15,'Revenue and costs'!K1416:K1543)</x:f>
        <x:v>56236.56607355217</x:v>
      </x:c>
      <x:c r="P15" s="10" t="n">
        <x:f>SUMIF('Revenue and costs'!$D$1544:$D$1671,$C15,'Revenue and costs'!K1544:K1671)</x:f>
        <x:v>59347.860287151125</x:v>
      </x:c>
      <x:c r="Q15" s="10" t="n">
        <x:f>SUMIF('Revenue and costs'!$D$1672:$D$1799,$C15,'Revenue and costs'!K1672:K1799)</x:f>
        <x:v>62540.566211204</x:v>
      </x:c>
      <x:c r="R15" s="10" t="n">
        <x:f>SUMIF('Revenue and costs'!$D$1800:$D$1927,$C15,'Revenue and costs'!K1800:K1927)</x:f>
        <x:v>65840.55954417837</x:v>
      </x:c>
      <x:c r="S15" s="10" t="n">
        <x:f>SUMIF('Revenue and costs'!$D$1928:$D$2055,$C15,'Revenue and costs'!K1928:K2055)</x:f>
        <x:v>69268.79360875142</x:v>
      </x:c>
      <x:c r="T15" s="10" t="n">
        <x:f>SUMIF('Revenue and costs'!$D$2056:$D$2183,$C15,'Revenue and costs'!K2056:K2183)</x:f>
        <x:v>72842.83858222247</x:v>
      </x:c>
      <x:c r="U15" s="10" t="n">
        <x:f>SUMIF('Revenue and costs'!$D$2184:$D$2311,$C15,'Revenue and costs'!K2184:K2311)</x:f>
        <x:v>76577.98327345986</x:v>
      </x:c>
      <x:c r="V15" s="10" t="n">
        <x:f>SUMIF('Revenue and costs'!$D$2312:$D$2439,$C15,'Revenue and costs'!K2312:K2439)</x:f>
        <x:v>80488.0271954496</x:v>
      </x:c>
      <x:c r="W15" s="10" t="n">
        <x:f>SUMIF('Revenue and costs'!$D$2440:$D$2567,$C15,'Revenue and costs'!K2440:K2567)</x:f>
        <x:v>84585.8526739059</x:v>
      </x:c>
    </x:row>
    <x:row r="16" ht="16" customHeight="1">
      <x:c r="A16" s="1"/>
      <x:c r="B16" s="1"/>
      <x:c r="C16" s="1" t="str">
        <x:v>Turbo Tax - Made Easy!</x:v>
      </x:c>
      <x:c r="D16" s="10" t="n">
        <x:f>SUMIF('Revenue and costs'!$D$8:$D$135,$C16,'Revenue and costs'!K8:K135)</x:f>
        <x:v>48650</x:v>
      </x:c>
      <x:c r="E16" s="10" t="n">
        <x:f>SUMIF('Revenue and costs'!$D$136:$D$263,$C16,'Revenue and costs'!K136:K263)</x:f>
        <x:v>64145.450000000004</x:v>
      </x:c>
      <x:c r="F16" s="10" t="n">
        <x:f>SUMIF('Revenue and costs'!$D$264:$D$391,$C16,'Revenue and costs'!K264:K391)</x:f>
        <x:v>76140.1616</x:v>
      </x:c>
      <x:c r="G16" s="10" t="n">
        <x:f>SUMIF('Revenue and costs'!$D$392:$D$519,$C16,'Revenue and costs'!K392:K519)</x:f>
        <x:v>88520.7564818</x:v>
      </x:c>
      <x:c r="H16" s="10" t="n">
        <x:f>SUMIF('Revenue and costs'!$D$520:$D$647,$C16,'Revenue and costs'!K520:K647)</x:f>
        <x:v>102465.17053215139</x:v>
      </x:c>
      <x:c r="I16" s="10" t="n">
        <x:f>SUMIF('Revenue and costs'!$D$648:$D$775,$C16,'Revenue and costs'!K648:K775)</x:f>
        <x:v>108822.93120106755</x:v>
      </x:c>
      <x:c r="J16" s="10" t="n">
        <x:f>SUMIF('Revenue and costs'!$D$776:$D$903,$C16,'Revenue and costs'!K776:K903)</x:f>
        <x:v>113382.222877256</x:v>
      </x:c>
      <x:c r="K16" s="10" t="n">
        <x:f>SUMIF('Revenue and costs'!$D$904:$D$1031,$C16,'Revenue and costs'!K904:K1031)</x:f>
        <x:v>117602.07491788002</x:v>
      </x:c>
      <x:c r="L16" s="10" t="n">
        <x:f>SUMIF('Revenue and costs'!$D$1032:$D$1159,$C16,'Revenue and costs'!K1032:K1159)</x:f>
        <x:v>121853.76587575224</x:v>
      </x:c>
      <x:c r="M16" s="10" t="n">
        <x:f>SUMIF('Revenue and costs'!$D$1160:$D$1287,$C16,'Revenue and costs'!K1160:K1287)</x:f>
        <x:v>126235.39385905265</x:v>
      </x:c>
      <x:c r="N16" s="10" t="n">
        <x:f>SUMIF('Revenue and costs'!$D$1288:$D$1415,$C16,'Revenue and costs'!K1288:K1415)</x:f>
        <x:v>130776.60187921177</x:v>
      </x:c>
      <x:c r="O16" s="10" t="n">
        <x:f>SUMIF('Revenue and costs'!$D$1416:$D$1543,$C16,'Revenue and costs'!K1416:K1543)</x:f>
        <x:v>135490.0424500079</x:v>
      </x:c>
      <x:c r="P16" s="10" t="n">
        <x:f>SUMIF('Revenue and costs'!$D$1544:$D$1671,$C16,'Revenue and costs'!K1544:K1671)</x:f>
        <x:v>140384.32346684043</x:v>
      </x:c>
      <x:c r="Q16" s="10" t="n">
        <x:f>SUMIF('Revenue and costs'!$D$1672:$D$1799,$C16,'Revenue and costs'!K1672:K1799)</x:f>
        <x:v>145467.27286047465</x:v>
      </x:c>
      <x:c r="R16" s="10" t="n">
        <x:f>SUMIF('Revenue and costs'!$D$1800:$D$1927,$C16,'Revenue and costs'!K1800:K1927)</x:f>
        <x:v>150746.77017278425</x:v>
      </x:c>
      <x:c r="S16" s="10" t="n">
        <x:f>SUMIF('Revenue and costs'!$D$1928:$D$2055,$C16,'Revenue and costs'!K1928:K2055)</x:f>
        <x:v>156230.96699683293</x:v>
      </x:c>
      <x:c r="T16" s="10" t="n">
        <x:f>SUMIF('Revenue and costs'!$D$2056:$D$2183,$C16,'Revenue and costs'!K2056:K2183)</x:f>
        <x:v>161928.3543117686</x:v>
      </x:c>
      <x:c r="U16" s="10" t="n">
        <x:f>SUMIF('Revenue and costs'!$D$2184:$D$2311,$C16,'Revenue and costs'!K2184:K2311)</x:f>
        <x:v>167847.79188903104</x:v>
      </x:c>
      <x:c r="V16" s="10" t="n">
        <x:f>SUMIF('Revenue and costs'!$D$2312:$D$2439,$C16,'Revenue and costs'!K2312:K2439)</x:f>
        <x:v>173998.52875548147</x:v>
      </x:c>
      <x:c r="W16" s="10" t="n">
        <x:f>SUMIF('Revenue and costs'!$D$2440:$D$2567,$C16,'Revenue and costs'!K2440:K2567)</x:f>
        <x:v>180390.22203063863</x:v>
      </x:c>
    </x:row>
    <x:row r="17" ht="16" customHeight="1">
      <x:c r="A17" s="1"/>
      <x:c r="B17" s="1"/>
      <x:c r="C17" s="1" t="str">
        <x:v>LavaLearning adult</x:v>
      </x:c>
      <x:c r="D17" s="10" t="n">
        <x:f>SUMIF('Revenue and costs'!$D$8:$D$135,$C17,'Revenue and costs'!K8:K135)</x:f>
        <x:v>22140</x:v>
      </x:c>
      <x:c r="E17" s="10" t="n">
        <x:f>SUMIF('Revenue and costs'!$D$136:$D$263,$C17,'Revenue and costs'!K136:K263)</x:f>
        <x:v>32304.63</x:v>
      </x:c>
      <x:c r="F17" s="10" t="n">
        <x:f>SUMIF('Revenue and costs'!$D$264:$D$391,$C17,'Revenue and costs'!K264:K391)</x:f>
        <x:v>39181.723289999994</x:v>
      </x:c>
      <x:c r="G17" s="10" t="n">
        <x:f>SUMIF('Revenue and costs'!$D$392:$D$519,$C17,'Revenue and costs'!K392:K519)</x:f>
        <x:v>45926.458805669994</x:v>
      </x:c>
      <x:c r="H17" s="10" t="n">
        <x:f>SUMIF('Revenue and costs'!$D$520:$D$647,$C17,'Revenue and costs'!K520:K647)</x:f>
        <x:v>53449.98094948339</x:v>
      </x:c>
      <x:c r="I17" s="10" t="n">
        <x:f>SUMIF('Revenue and costs'!$D$648:$D$775,$C17,'Revenue and costs'!K648:K775)</x:f>
        <x:v>57041.85802968011</x:v>
      </x:c>
      <x:c r="J17" s="10" t="n">
        <x:f>SUMIF('Revenue and costs'!$D$776:$D$903,$C17,'Revenue and costs'!K776:K903)</x:f>
        <x:v>59713.9031614456</x:v>
      </x:c>
      <x:c r="K17" s="10" t="n">
        <x:f>SUMIF('Revenue and costs'!$D$904:$D$1031,$C17,'Revenue and costs'!K904:K1031)</x:f>
        <x:v>62229.8401967116</x:v>
      </x:c>
      <x:c r="L17" s="10" t="n">
        <x:f>SUMIF('Revenue and costs'!$D$1032:$D$1159,$C17,'Revenue and costs'!K1032:K1159)</x:f>
        <x:v>64785.97168907586</x:v>
      </x:c>
      <x:c r="M17" s="10" t="n">
        <x:f>SUMIF('Revenue and costs'!$D$1160:$D$1287,$C17,'Revenue and costs'!K1160:K1287)</x:f>
        <x:v>67435.49202286272</x:v>
      </x:c>
      <x:c r="N17" s="10" t="n">
        <x:f>SUMIF('Revenue and costs'!$D$1288:$D$1415,$C17,'Revenue and costs'!K1288:K1415)</x:f>
        <x:v>70195.62896164764</x:v>
      </x:c>
      <x:c r="O17" s="10" t="n">
        <x:f>SUMIF('Revenue and costs'!$D$1416:$D$1543,$C17,'Revenue and costs'!K1416:K1543)</x:f>
        <x:v>73074.70646501247</x:v>
      </x:c>
      <x:c r="P17" s="10" t="n">
        <x:f>SUMIF('Revenue and costs'!$D$1544:$D$1671,$C17,'Revenue and costs'!K1544:K1671)</x:f>
        <x:v>76078.9877443492</x:v>
      </x:c>
      <x:c r="Q17" s="10" t="n">
        <x:f>SUMIF('Revenue and costs'!$D$1672:$D$1799,$C17,'Revenue and costs'!K1672:K1799)</x:f>
        <x:v>79214.41268432059</x:v>
      </x:c>
      <x:c r="R17" s="10" t="n">
        <x:f>SUMIF('Revenue and costs'!$D$1800:$D$1927,$C17,'Revenue and costs'!K1800:K1927)</x:f>
        <x:v>82487.04627075416</x:v>
      </x:c>
      <x:c r="S17" s="10" t="n">
        <x:f>SUMIF('Revenue and costs'!$D$1928:$D$2055,$C17,'Revenue and costs'!K1928:K2055)</x:f>
        <x:v>85903.20192003294</x:v>
      </x:c>
      <x:c r="T17" s="10" t="n">
        <x:f>SUMIF('Revenue and costs'!$D$2056:$D$2183,$C17,'Revenue and costs'!K2056:K2183)</x:f>
        <x:v>89469.4831840368</x:v>
      </x:c>
      <x:c r="U17" s="10" t="n">
        <x:f>SUMIF('Revenue and costs'!$D$2184:$D$2311,$C17,'Revenue and costs'!K2184:K2311)</x:f>
        <x:v>93192.80535551663</x:v>
      </x:c>
      <x:c r="V17" s="10" t="n">
        <x:f>SUMIF('Revenue and costs'!$D$2312:$D$2439,$C17,'Revenue and costs'!K2312:K2439)</x:f>
        <x:v>97080.41254223183</x:v>
      </x:c>
      <x:c r="W17" s="10" t="n">
        <x:f>SUMIF('Revenue and costs'!$D$2440:$D$2567,$C17,'Revenue and costs'!K2440:K2567)</x:f>
        <x:v>101139.89417037414</x:v>
      </x:c>
    </x:row>
    <x:row r="18" ht="16" customHeight="1">
      <x:c r="A18" s="1"/>
      <x:c r="B18" s="1"/>
      <x:c r="C18" s="1" t="str">
        <x:v>LavaLearning Model Life</x:v>
      </x:c>
      <x:c r="D18" s="10" t="n">
        <x:f>SUMIF('Revenue and costs'!$D$8:$D$135,$C18,'Revenue and costs'!K8:K135)</x:f>
        <x:v>0</x:v>
      </x:c>
      <x:c r="E18" s="10" t="n">
        <x:f>SUMIF('Revenue and costs'!$D$136:$D$263,$C18,'Revenue and costs'!K136:K263)</x:f>
        <x:v>0</x:v>
      </x:c>
      <x:c r="F18" s="10" t="n">
        <x:f>SUMIF('Revenue and costs'!$D$264:$D$391,$C18,'Revenue and costs'!K264:K391)</x:f>
        <x:v>0</x:v>
      </x:c>
      <x:c r="G18" s="10" t="n">
        <x:f>SUMIF('Revenue and costs'!$D$392:$D$519,$C18,'Revenue and costs'!K392:K519)</x:f>
        <x:v>0</x:v>
      </x:c>
      <x:c r="H18" s="10" t="n">
        <x:f>SUMIF('Revenue and costs'!$D$520:$D$647,$C18,'Revenue and costs'!K520:K647)</x:f>
        <x:v>0</x:v>
      </x:c>
      <x:c r="I18" s="10" t="n">
        <x:f>SUMIF('Revenue and costs'!$D$648:$D$775,$C18,'Revenue and costs'!K648:K775)</x:f>
        <x:v>0</x:v>
      </x:c>
      <x:c r="J18" s="10" t="n">
        <x:f>SUMIF('Revenue and costs'!$D$776:$D$903,$C18,'Revenue and costs'!K776:K903)</x:f>
        <x:v>0</x:v>
      </x:c>
      <x:c r="K18" s="10" t="n">
        <x:f>SUMIF('Revenue and costs'!$D$904:$D$1031,$C18,'Revenue and costs'!K904:K1031)</x:f>
        <x:v>0</x:v>
      </x:c>
      <x:c r="L18" s="10" t="n">
        <x:f>SUMIF('Revenue and costs'!$D$1032:$D$1159,$C18,'Revenue and costs'!K1032:K1159)</x:f>
        <x:v>0</x:v>
      </x:c>
      <x:c r="M18" s="10" t="n">
        <x:f>SUMIF('Revenue and costs'!$D$1160:$D$1287,$C18,'Revenue and costs'!K1160:K1287)</x:f>
        <x:v>0</x:v>
      </x:c>
      <x:c r="N18" s="10" t="n">
        <x:f>SUMIF('Revenue and costs'!$D$1288:$D$1415,$C18,'Revenue and costs'!K1288:K1415)</x:f>
        <x:v>0</x:v>
      </x:c>
      <x:c r="O18" s="10" t="n">
        <x:f>SUMIF('Revenue and costs'!$D$1416:$D$1543,$C18,'Revenue and costs'!K1416:K1543)</x:f>
        <x:v>0</x:v>
      </x:c>
      <x:c r="P18" s="10" t="n">
        <x:f>SUMIF('Revenue and costs'!$D$1544:$D$1671,$C18,'Revenue and costs'!K1544:K1671)</x:f>
        <x:v>0</x:v>
      </x:c>
      <x:c r="Q18" s="10" t="n">
        <x:f>SUMIF('Revenue and costs'!$D$1672:$D$1799,$C18,'Revenue and costs'!K1672:K1799)</x:f>
        <x:v>0</x:v>
      </x:c>
      <x:c r="R18" s="10" t="n">
        <x:f>SUMIF('Revenue and costs'!$D$1800:$D$1927,$C18,'Revenue and costs'!K1800:K1927)</x:f>
        <x:v>0</x:v>
      </x:c>
      <x:c r="S18" s="10" t="n">
        <x:f>SUMIF('Revenue and costs'!$D$1928:$D$2055,$C18,'Revenue and costs'!K1928:K2055)</x:f>
        <x:v>0</x:v>
      </x:c>
      <x:c r="T18" s="10" t="n">
        <x:f>SUMIF('Revenue and costs'!$D$2056:$D$2183,$C18,'Revenue and costs'!K2056:K2183)</x:f>
        <x:v>0</x:v>
      </x:c>
      <x:c r="U18" s="10" t="n">
        <x:f>SUMIF('Revenue and costs'!$D$2184:$D$2311,$C18,'Revenue and costs'!K2184:K2311)</x:f>
        <x:v>0</x:v>
      </x:c>
      <x:c r="V18" s="10" t="n">
        <x:f>SUMIF('Revenue and costs'!$D$2312:$D$2439,$C18,'Revenue and costs'!K2312:K2439)</x:f>
        <x:v>0</x:v>
      </x:c>
      <x:c r="W18" s="10" t="n">
        <x:f>SUMIF('Revenue and costs'!$D$2440:$D$2567,$C18,'Revenue and costs'!K2440:K2567)</x:f>
        <x:v>0</x:v>
      </x:c>
    </x:row>
    <x:row r="19" ht="16" customHeight="1">
      <x:c r="A19" s="1"/>
      <x:c r="B19" s="1"/>
      <x:c r="C19" s="1" t="str">
        <x:v>LavaLearning Kids</x:v>
      </x:c>
      <x:c r="D19" s="10" t="n">
        <x:f>SUMIF('Revenue and costs'!$D$8:$D$135,$C19,'Revenue and costs'!K8:K135)</x:f>
        <x:v>5700</x:v>
      </x:c>
      <x:c r="E19" s="10" t="n">
        <x:f>SUMIF('Revenue and costs'!$D$136:$D$263,$C19,'Revenue and costs'!K136:K263)</x:f>
        <x:v>11482.65</x:v>
      </x:c>
      <x:c r="F19" s="10" t="n">
        <x:f>SUMIF('Revenue and costs'!$D$264:$D$391,$C19,'Revenue and costs'!K264:K391)</x:f>
        <x:v>14692.2687</x:v>
      </x:c>
      <x:c r="G19" s="10" t="n">
        <x:f>SUMIF('Revenue and costs'!$D$392:$D$519,$C19,'Revenue and costs'!K392:K519)</x:f>
        <x:v>17545.926848850002</x:v>
      </x:c>
      <x:c r="H19" s="10" t="n">
        <x:f>SUMIF('Revenue and costs'!$D$520:$D$647,$C19,'Revenue and costs'!K520:K647)</x:f>
        <x:v>20660.905587957295</x:v>
      </x:c>
      <x:c r="I19" s="10" t="n">
        <x:f>SUMIF('Revenue and costs'!$D$648:$D$775,$C19,'Revenue and costs'!K648:K775)</x:f>
        <x:v>22274.271895049584</x:v>
      </x:c>
      <x:c r="J19" s="10" t="n">
        <x:f>SUMIF('Revenue and costs'!$D$776:$D$903,$C19,'Revenue and costs'!K776:K903)</x:f>
        <x:v>23546.17079644621</x:v>
      </x:c>
      <x:c r="K19" s="10" t="n">
        <x:f>SUMIF('Revenue and costs'!$D$904:$D$1031,$C19,'Revenue and costs'!K904:K1031)</x:f>
        <x:v>24774.53632834071</x:v>
      </x:c>
      <x:c r="L19" s="10" t="n">
        <x:f>SUMIF('Revenue and costs'!$D$1032:$D$1159,$C19,'Revenue and costs'!K1032:K1159)</x:f>
        <x:v>26037.544835401306</x:v>
      </x:c>
      <x:c r="M19" s="10" t="n">
        <x:f>SUMIF('Revenue and costs'!$D$1160:$D$1287,$C19,'Revenue and costs'!K1160:K1287)</x:f>
        <x:v>27357.44593112848</x:v>
      </x:c>
      <x:c r="N19" s="10" t="n">
        <x:f>SUMIF('Revenue and costs'!$D$1288:$D$1415,$C19,'Revenue and costs'!K1288:K1415)</x:f>
        <x:v>28742.345033642832</x:v>
      </x:c>
      <x:c r="O19" s="10" t="n">
        <x:f>SUMIF('Revenue and costs'!$D$1416:$D$1543,$C19,'Revenue and costs'!K1416:K1543)</x:f>
        <x:v>30196.863838636968</x:v>
      </x:c>
      <x:c r="P19" s="10" t="n">
        <x:f>SUMIF('Revenue and costs'!$D$1544:$D$1671,$C19,'Revenue and costs'!K1544:K1671)</x:f>
        <x:v>31724.86496617641</x:v>
      </x:c>
      <x:c r="Q19" s="10" t="n">
        <x:f>SUMIF('Revenue and costs'!$D$1672:$D$1799,$C19,'Revenue and costs'!K1672:K1799)</x:f>
        <x:v>33330.15328687757</x:v>
      </x:c>
      <x:c r="R19" s="10" t="n">
        <x:f>SUMIF('Revenue and costs'!$D$1800:$D$1927,$C19,'Revenue and costs'!K1800:K1927)</x:f>
        <x:v>35016.66163231379</x:v>
      </x:c>
      <x:c r="S19" s="10" t="n">
        <x:f>SUMIF('Revenue and costs'!$D$1928:$D$2055,$C19,'Revenue and costs'!K1928:K2055)</x:f>
        <x:v>36788.50537113453</x:v>
      </x:c>
      <x:c r="T19" s="10" t="n">
        <x:f>SUMIF('Revenue and costs'!$D$2056:$D$2183,$C19,'Revenue and costs'!K2056:K2183)</x:f>
        <x:v>38650.00391127148</x:v>
      </x:c>
      <x:c r="U19" s="10" t="n">
        <x:f>SUMIF('Revenue and costs'!$D$2184:$D$2311,$C19,'Revenue and costs'!K2184:K2311)</x:f>
        <x:v>40605.69415211299</x:v>
      </x:c>
      <x:c r="V19" s="10" t="n">
        <x:f>SUMIF('Revenue and costs'!$D$2312:$D$2439,$C19,'Revenue and costs'!K2312:K2439)</x:f>
        <x:v>42660.34228715736</x:v>
      </x:c>
      <x:c r="W19" s="10" t="n">
        <x:f>SUMIF('Revenue and costs'!$D$2440:$D$2567,$C19,'Revenue and costs'!K2440:K2567)</x:f>
        <x:v>44818.95560967912</x:v>
      </x:c>
    </x:row>
    <x:row r="20" ht="16" customHeight="1">
      <x:c r="A20" s="1"/>
      <x:c r="B20" s="1"/>
      <x:c r="C20" s="1" t="str">
        <x:v>VraiSkill adult</x:v>
      </x:c>
      <x:c r="D20" s="10" t="n">
        <x:f>SUMIF('Revenue and costs'!$D$8:$D$135,$C20,'Revenue and costs'!K8:K135)</x:f>
        <x:v>16191</x:v>
      </x:c>
      <x:c r="E20" s="10" t="n">
        <x:f>SUMIF('Revenue and costs'!$D$136:$D$263,$C20,'Revenue and costs'!K136:K263)</x:f>
        <x:v>23120.748</x:v>
      </x:c>
      <x:c r="F20" s="10" t="n">
        <x:f>SUMIF('Revenue and costs'!$D$264:$D$391,$C20,'Revenue and costs'!K264:K391)</x:f>
        <x:v>28173.457178999997</x:v>
      </x:c>
      <x:c r="G20" s="10" t="n">
        <x:f>SUMIF('Revenue and costs'!$D$392:$D$519,$C20,'Revenue and costs'!K392:K519)</x:f>
        <x:v>33315.934313592</x:v>
      </x:c>
      <x:c r="H20" s="10" t="n">
        <x:f>SUMIF('Revenue and costs'!$D$520:$D$647,$C20,'Revenue and costs'!K520:K647)</x:f>
        <x:v>39148.05055571278</x:v>
      </x:c>
      <x:c r="I20" s="10" t="n">
        <x:f>SUMIF('Revenue and costs'!$D$648:$D$775,$C20,'Revenue and costs'!K648:K775)</x:f>
        <x:v>42186.25605512438</x:v>
      </x:c>
      <x:c r="J20" s="10" t="n">
        <x:f>SUMIF('Revenue and costs'!$D$776:$D$903,$C20,'Revenue and costs'!K776:K903)</x:f>
        <x:v>44590.495717543265</x:v>
      </x:c>
      <x:c r="K20" s="10" t="n">
        <x:f>SUMIF('Revenue and costs'!$D$904:$D$1031,$C20,'Revenue and costs'!K904:K1031)</x:f>
        <x:v>46915.5266528885</x:v>
      </x:c>
      <x:c r="L20" s="10" t="n">
        <x:f>SUMIF('Revenue and costs'!$D$1032:$D$1159,$C20,'Revenue and costs'!K1032:K1159)</x:f>
        <x:v>49306.98402379424</x:v>
      </x:c>
      <x:c r="M20" s="10" t="n">
        <x:f>SUMIF('Revenue and costs'!$D$1160:$D$1287,$C20,'Revenue and costs'!K1160:K1287)</x:f>
        <x:v>51806.38800457698</x:v>
      </x:c>
      <x:c r="N20" s="10" t="n">
        <x:f>SUMIF('Revenue and costs'!$D$1288:$D$1415,$C20,'Revenue and costs'!K1288:K1415)</x:f>
        <x:v>54428.931237849145</x:v>
      </x:c>
      <x:c r="O20" s="10" t="n">
        <x:f>SUMIF('Revenue and costs'!$D$1416:$D$1543,$C20,'Revenue and costs'!K1416:K1543)</x:f>
        <x:v>57183.325858545664</x:v>
      </x:c>
      <x:c r="P20" s="10" t="n">
        <x:f>SUMIF('Revenue and costs'!$D$1544:$D$1671,$C20,'Revenue and costs'!K1544:K1671)</x:f>
        <x:v>60076.87627550372</x:v>
      </x:c>
      <x:c r="Q20" s="10" t="n">
        <x:f>SUMIF('Revenue and costs'!$D$1672:$D$1799,$C20,'Revenue and costs'!K1672:K1799)</x:f>
        <x:v>63116.78511781571</x:v>
      </x:c>
      <x:c r="R20" s="10" t="n">
        <x:f>SUMIF('Revenue and costs'!$D$1800:$D$1927,$C20,'Revenue and costs'!K1800:K1927)</x:f>
        <x:v>66310.4992649839</x:v>
      </x:c>
      <x:c r="S20" s="10" t="n">
        <x:f>SUMIF('Revenue and costs'!$D$1928:$D$2055,$C20,'Revenue and costs'!K1928:K2055)</x:f>
        <x:v>69665.81175694481</x:v>
      </x:c>
      <x:c r="T20" s="10" t="n">
        <x:f>SUMIF('Revenue and costs'!$D$2056:$D$2183,$C20,'Revenue and costs'!K2056:K2183)</x:f>
        <x:v>73190.90214528017</x:v>
      </x:c>
      <x:c r="U20" s="10" t="n">
        <x:f>SUMIF('Revenue and costs'!$D$2184:$D$2311,$C20,'Revenue and costs'!K2184:K2311)</x:f>
        <x:v>76894.361873757</x:v>
      </x:c>
      <x:c r="V20" s="10" t="n">
        <x:f>SUMIF('Revenue and costs'!$D$2312:$D$2439,$C20,'Revenue and costs'!K2312:K2439)</x:f>
        <x:v>80785.21660495014</x:v>
      </x:c>
      <x:c r="W20" s="10" t="n">
        <x:f>SUMIF('Revenue and costs'!$D$2440:$D$2567,$C20,'Revenue and costs'!K2440:K2567)</x:f>
        <x:v>84872.9485703578</x:v>
      </x:c>
    </x:row>
    <x:row r="21" ht="16" customHeight="1">
      <x:c r="A21" s="1"/>
      <x:c r="B21" s="1"/>
      <x:c r="C21" s="1" t="str">
        <x:v>VraiSkill teen</x:v>
      </x:c>
      <x:c r="D21" s="10" t="n">
        <x:f>SUMIF('Revenue and costs'!$D$8:$D$135,$C21,'Revenue and costs'!K8:K135)</x:f>
        <x:v>4800</x:v>
      </x:c>
      <x:c r="E21" s="10" t="n">
        <x:f>SUMIF('Revenue and costs'!$D$136:$D$263,$C21,'Revenue and costs'!K136:K263)</x:f>
        <x:v>9669.6</x:v>
      </x:c>
      <x:c r="F21" s="10" t="n">
        <x:f>SUMIF('Revenue and costs'!$D$264:$D$391,$C21,'Revenue and costs'!K264:K391)</x:f>
        <x:v>12372.436799999998</x:v>
      </x:c>
      <x:c r="G21" s="10" t="n">
        <x:f>SUMIF('Revenue and costs'!$D$392:$D$519,$C21,'Revenue and costs'!K392:K519)</x:f>
        <x:v>14775.517346399998</x:v>
      </x:c>
      <x:c r="H21" s="10" t="n">
        <x:f>SUMIF('Revenue and costs'!$D$520:$D$647,$C21,'Revenue and costs'!K520:K647)</x:f>
        <x:v>17398.657337227196</x:v>
      </x:c>
      <x:c r="I21" s="10" t="n">
        <x:f>SUMIF('Revenue and costs'!$D$648:$D$775,$C21,'Revenue and costs'!K648:K775)</x:f>
        <x:v>18757.28159583123</x:v>
      </x:c>
      <x:c r="J21" s="10" t="n">
        <x:f>SUMIF('Revenue and costs'!$D$776:$D$903,$C21,'Revenue and costs'!K776:K903)</x:f>
        <x:v>19828.354354902076</x:v>
      </x:c>
      <x:c r="K21" s="10" t="n">
        <x:f>SUMIF('Revenue and costs'!$D$904:$D$1031,$C21,'Revenue and costs'!K904:K1031)</x:f>
        <x:v>20862.767434392175</x:v>
      </x:c>
      <x:c r="L21" s="10" t="n">
        <x:f>SUMIF('Revenue and costs'!$D$1032:$D$1159,$C21,'Revenue and costs'!K1032:K1159)</x:f>
        <x:v>21926.353545601098</x:v>
      </x:c>
      <x:c r="M21" s="10" t="n">
        <x:f>SUMIF('Revenue and costs'!$D$1160:$D$1287,$C21,'Revenue and costs'!K1160:K1287)</x:f>
        <x:v>23037.84920516083</x:v>
      </x:c>
      <x:c r="N21" s="10" t="n">
        <x:f>SUMIF('Revenue and costs'!$D$1288:$D$1415,$C21,'Revenue and costs'!K1288:K1415)</x:f>
        <x:v>24204.080028330805</x:v>
      </x:c>
      <x:c r="O21" s="10" t="n">
        <x:f>SUMIF('Revenue and costs'!$D$1416:$D$1543,$C21,'Revenue and costs'!K1416:K1543)</x:f>
        <x:v>25428.9379693785</x:v>
      </x:c>
      <x:c r="P21" s="10" t="n">
        <x:f>SUMIF('Revenue and costs'!$D$1544:$D$1671,$C21,'Revenue and costs'!K1544:K1671)</x:f>
        <x:v>26715.67576099066</x:v>
      </x:c>
      <x:c r="Q21" s="10" t="n">
        <x:f>SUMIF('Revenue and costs'!$D$1672:$D$1799,$C21,'Revenue and costs'!K1672:K1799)</x:f>
        <x:v>28067.497504739</x:v>
      </x:c>
      <x:c r="R21" s="10" t="n">
        <x:f>SUMIF('Revenue and costs'!$D$1800:$D$1927,$C21,'Revenue and costs'!K1800:K1927)</x:f>
        <x:v>29487.71505879055</x:v>
      </x:c>
      <x:c r="S21" s="10" t="n">
        <x:f>SUMIF('Revenue and costs'!$D$1928:$D$2055,$C21,'Revenue and costs'!K1928:K2055)</x:f>
        <x:v>30979.79399674486</x:v>
      </x:c>
      <x:c r="T21" s="10" t="n">
        <x:f>SUMIF('Revenue and costs'!$D$2056:$D$2183,$C21,'Revenue and costs'!K2056:K2183)</x:f>
        <x:v>32547.371714754925</x:v>
      </x:c>
      <x:c r="U21" s="10" t="n">
        <x:f>SUMIF('Revenue and costs'!$D$2184:$D$2311,$C21,'Revenue and costs'!K2184:K2311)</x:f>
        <x:v>34194.268759674094</x:v>
      </x:c>
      <x:c r="V21" s="10" t="n">
        <x:f>SUMIF('Revenue and costs'!$D$2312:$D$2439,$C21,'Revenue and costs'!K2312:K2439)</x:f>
        <x:v>35924.49876813251</x:v>
      </x:c>
      <x:c r="W21" s="10" t="n">
        <x:f>SUMIF('Revenue and costs'!$D$2440:$D$2567,$C21,'Revenue and costs'!K2440:K2567)</x:f>
        <x:v>37742.278408150836</x:v>
      </x:c>
    </x:row>
    <x:row r="22" ht="16" customHeight="1">
      <x:c r="A22" s="1"/>
      <x:c r="B22" s="1"/>
      <x:c r="C22" s="1" t="str">
        <x:v>VraiSkill Model Life</x:v>
      </x:c>
      <x:c r="D22" s="10" t="n">
        <x:f>SUMIF('Revenue and costs'!$D$8:$D$135,$C22,'Revenue and costs'!K8:K135)</x:f>
        <x:v>0</x:v>
      </x:c>
      <x:c r="E22" s="10" t="n">
        <x:f>SUMIF('Revenue and costs'!$D$136:$D$263,$C22,'Revenue and costs'!K136:K263)</x:f>
        <x:v>0</x:v>
      </x:c>
      <x:c r="F22" s="10" t="n">
        <x:f>SUMIF('Revenue and costs'!$D$264:$D$391,$C22,'Revenue and costs'!K264:K391)</x:f>
        <x:v>0</x:v>
      </x:c>
      <x:c r="G22" s="10" t="n">
        <x:f>SUMIF('Revenue and costs'!$D$392:$D$519,$C22,'Revenue and costs'!K392:K519)</x:f>
        <x:v>0</x:v>
      </x:c>
      <x:c r="H22" s="10" t="n">
        <x:f>SUMIF('Revenue and costs'!$D$520:$D$647,$C22,'Revenue and costs'!K520:K647)</x:f>
        <x:v>0</x:v>
      </x:c>
      <x:c r="I22" s="10" t="n">
        <x:f>SUMIF('Revenue and costs'!$D$648:$D$775,$C22,'Revenue and costs'!K648:K775)</x:f>
        <x:v>0</x:v>
      </x:c>
      <x:c r="J22" s="10" t="n">
        <x:f>SUMIF('Revenue and costs'!$D$776:$D$903,$C22,'Revenue and costs'!K776:K903)</x:f>
        <x:v>0</x:v>
      </x:c>
      <x:c r="K22" s="10" t="n">
        <x:f>SUMIF('Revenue and costs'!$D$904:$D$1031,$C22,'Revenue and costs'!K904:K1031)</x:f>
        <x:v>0</x:v>
      </x:c>
      <x:c r="L22" s="10" t="n">
        <x:f>SUMIF('Revenue and costs'!$D$1032:$D$1159,$C22,'Revenue and costs'!K1032:K1159)</x:f>
        <x:v>0</x:v>
      </x:c>
      <x:c r="M22" s="10" t="n">
        <x:f>SUMIF('Revenue and costs'!$D$1160:$D$1287,$C22,'Revenue and costs'!K1160:K1287)</x:f>
        <x:v>0</x:v>
      </x:c>
      <x:c r="N22" s="10" t="n">
        <x:f>SUMIF('Revenue and costs'!$D$1288:$D$1415,$C22,'Revenue and costs'!K1288:K1415)</x:f>
        <x:v>0</x:v>
      </x:c>
      <x:c r="O22" s="10" t="n">
        <x:f>SUMIF('Revenue and costs'!$D$1416:$D$1543,$C22,'Revenue and costs'!K1416:K1543)</x:f>
        <x:v>0</x:v>
      </x:c>
      <x:c r="P22" s="10" t="n">
        <x:f>SUMIF('Revenue and costs'!$D$1544:$D$1671,$C22,'Revenue and costs'!K1544:K1671)</x:f>
        <x:v>0</x:v>
      </x:c>
      <x:c r="Q22" s="10" t="n">
        <x:f>SUMIF('Revenue and costs'!$D$1672:$D$1799,$C22,'Revenue and costs'!K1672:K1799)</x:f>
        <x:v>0</x:v>
      </x:c>
      <x:c r="R22" s="10" t="n">
        <x:f>SUMIF('Revenue and costs'!$D$1800:$D$1927,$C22,'Revenue and costs'!K1800:K1927)</x:f>
        <x:v>0</x:v>
      </x:c>
      <x:c r="S22" s="10" t="n">
        <x:f>SUMIF('Revenue and costs'!$D$1928:$D$2055,$C22,'Revenue and costs'!K1928:K2055)</x:f>
        <x:v>0</x:v>
      </x:c>
      <x:c r="T22" s="10" t="n">
        <x:f>SUMIF('Revenue and costs'!$D$2056:$D$2183,$C22,'Revenue and costs'!K2056:K2183)</x:f>
        <x:v>0</x:v>
      </x:c>
      <x:c r="U22" s="10" t="n">
        <x:f>SUMIF('Revenue and costs'!$D$2184:$D$2311,$C22,'Revenue and costs'!K2184:K2311)</x:f>
        <x:v>0</x:v>
      </x:c>
      <x:c r="V22" s="10" t="n">
        <x:f>SUMIF('Revenue and costs'!$D$2312:$D$2439,$C22,'Revenue and costs'!K2312:K2439)</x:f>
        <x:v>0</x:v>
      </x:c>
      <x:c r="W22" s="10" t="n">
        <x:f>SUMIF('Revenue and costs'!$D$2440:$D$2567,$C22,'Revenue and costs'!K2440:K2567)</x:f>
        <x:v>0</x:v>
      </x:c>
    </x:row>
    <x:row r="23" ht="16" customHeight="1">
      <x:c r="A23" s="1"/>
      <x:c r="B23" s="1"/>
      <x:c r="C23" s="1" t="str">
        <x:v>Model Life</x:v>
      </x:c>
      <x:c r="D23" s="10" t="n">
        <x:f>SUMIF('Revenue and costs'!$D$8:$D$135,$C23,'Revenue and costs'!K8:K135)</x:f>
        <x:v>16320</x:v>
      </x:c>
      <x:c r="E23" s="10" t="n">
        <x:f>SUMIF('Revenue and costs'!$D$136:$D$263,$C23,'Revenue and costs'!K136:K263)</x:f>
        <x:v>23637.888000000006</x:v>
      </x:c>
      <x:c r="F23" s="10" t="n">
        <x:f>SUMIF('Revenue and costs'!$D$264:$D$391,$C23,'Revenue and costs'!K264:K391)</x:f>
        <x:v>31547.591424000006</x:v>
      </x:c>
      <x:c r="G23" s="10" t="n">
        <x:f>SUMIF('Revenue and costs'!$D$392:$D$519,$C23,'Revenue and costs'!K392:K519)</x:f>
        <x:v>40481.230892544016</x:v>
      </x:c>
      <x:c r="H23" s="10" t="n">
        <x:f>SUMIF('Revenue and costs'!$D$520:$D$647,$C23,'Revenue and costs'!K520:K647)</x:f>
        <x:v>50882.0496110254</x:v>
      </x:c>
      <x:c r="I23" s="10" t="n">
        <x:f>SUMIF('Revenue and costs'!$D$648:$D$775,$C23,'Revenue and costs'!K648:K775)</x:f>
        <x:v>59420.34378416084</x:v>
      </x:c>
      <x:c r="J23" s="10" t="n">
        <x:f>SUMIF('Revenue and costs'!$D$776:$D$903,$C23,'Revenue and costs'!K776:K903)</x:f>
        <x:v>66685.0681780911</x:v>
      </x:c>
      <x:c r="K23" s="10" t="n">
        <x:f>SUMIF('Revenue and costs'!$D$904:$D$1031,$C23,'Revenue and costs'!K904:K1031)</x:f>
        <x:v>73099.58389679702</x:v>
      </x:c>
      <x:c r="L23" s="10" t="n">
        <x:f>SUMIF('Revenue and costs'!$D$1032:$D$1159,$C23,'Revenue and costs'!K1032:K1159)</x:f>
        <x:v>78969.16224796567</x:v>
      </x:c>
      <x:c r="M23" s="10" t="n">
        <x:f>SUMIF('Revenue and costs'!$D$1160:$D$1287,$C23,'Revenue and costs'!K1160:K1287)</x:f>
        <x:v>84514.90979359011</x:v>
      </x:c>
      <x:c r="N23" s="10" t="n">
        <x:f>SUMIF('Revenue and costs'!$D$1288:$D$1415,$C23,'Revenue and costs'!K1288:K1415)</x:f>
        <x:v>89897.99849536219</x:v>
      </x:c>
      <x:c r="O23" s="10" t="n">
        <x:f>SUMIF('Revenue and costs'!$D$1416:$D$1543,$C23,'Revenue and costs'!K1416:K1543)</x:f>
        <x:v>95236.97408530606</x:v>
      </x:c>
      <x:c r="P23" s="10" t="n">
        <x:f>SUMIF('Revenue and costs'!$D$1544:$D$1671,$C23,'Revenue and costs'!K1544:K1671)</x:f>
        <x:v>100620.12269640261</x:v>
      </x:c>
      <x:c r="Q23" s="10" t="n">
        <x:f>SUMIF('Revenue and costs'!$D$1672:$D$1799,$C23,'Revenue and costs'!K1672:K1799)</x:f>
        <x:v>106114.30951861996</x:v>
      </x:c>
      <x:c r="R23" s="10" t="n">
        <x:f>SUMIF('Revenue and costs'!$D$1800:$D$1927,$C23,'Revenue and costs'!K1800:K1927)</x:f>
        <x:v>111771.29893050059</x:v>
      </x:c>
      <x:c r="S23" s="10" t="n">
        <x:f>SUMIF('Revenue and costs'!$D$1928:$D$2055,$C23,'Revenue and costs'!K1928:K2055)</x:f>
        <x:v>117632.2768764542</x:v>
      </x:c>
      <x:c r="T23" s="10" t="n">
        <x:f>SUMIF('Revenue and costs'!$D$2056:$D$2183,$C23,'Revenue and costs'!K2056:K2183)</x:f>
        <x:v>123731.09014353294</x:v>
      </x:c>
      <x:c r="U23" s="10" t="n">
        <x:f>SUMIF('Revenue and costs'!$D$2184:$D$2311,$C23,'Revenue and costs'!K2184:K2311)</x:f>
        <x:v>130096.57002558667</x:v>
      </x:c>
      <x:c r="V23" s="10" t="n">
        <x:f>SUMIF('Revenue and costs'!$D$2312:$D$2439,$C23,'Revenue and costs'!K2312:K2439)</x:f>
        <x:v>136754.20278752607</x:v>
      </x:c>
      <x:c r="W23" s="10" t="n">
        <x:f>SUMIF('Revenue and costs'!$D$2440:$D$2567,$C23,'Revenue and costs'!K2440:K2567)</x:f>
        <x:v>143727.33432008725</x:v>
      </x:c>
    </x:row>
    <x:row r="24" ht="16" customHeight="1">
      <x:c r="A24" s="1"/>
      <x:c r="B24" s="1"/>
      <x:c r="C24" s="1" t="str">
        <x:v>S’otality cleaning</x:v>
      </x:c>
      <x:c r="D24" s="10" t="n">
        <x:f>SUMIF('Revenue and costs'!$D$8:$D$135,$C24,'Revenue and costs'!K8:K135)</x:f>
        <x:v>104520</x:v>
      </x:c>
      <x:c r="E24" s="10" t="n">
        <x:f>SUMIF('Revenue and costs'!$D$136:$D$263,$C24,'Revenue and costs'!K136:K263)</x:f>
        <x:v>126511.008</x:v>
      </x:c>
      <x:c r="F24" s="10" t="n">
        <x:f>SUMIF('Revenue and costs'!$D$264:$D$391,$C24,'Revenue and costs'!K264:K391)</x:f>
        <x:v>147599.966592</x:v>
      </x:c>
      <x:c r="G24" s="10" t="n">
        <x:f>SUMIF('Revenue and costs'!$D$392:$D$519,$C24,'Revenue and costs'!K392:K519)</x:f>
        <x:v>169067.78727321606</x:v>
      </x:c>
      <x:c r="H24" s="10" t="n">
        <x:f>SUMIF('Revenue and costs'!$D$520:$D$647,$C24,'Revenue and costs'!K520:K647)</x:f>
        <x:v>191811.9596718275</x:v>
      </x:c>
      <x:c r="I24" s="10" t="n">
        <x:f>SUMIF('Revenue and costs'!$D$648:$D$775,$C24,'Revenue and costs'!K648:K775)</x:f>
        <x:v>210201.52235712507</x:v>
      </x:c>
      <x:c r="J24" s="10" t="n">
        <x:f>SUMIF('Revenue and costs'!$D$776:$D$903,$C24,'Revenue and costs'!K776:K903)</x:f>
        <x:v>226152.25243424828</x:v>
      </x:c>
      <x:c r="K24" s="10" t="n">
        <x:f>SUMIF('Revenue and costs'!$D$904:$D$1031,$C24,'Revenue and costs'!K904:K1031)</x:f>
        <x:v>240848.0506314831</x:v>
      </x:c>
      <x:c r="L24" s="10" t="n">
        <x:f>SUMIF('Revenue and costs'!$D$1032:$D$1159,$C24,'Revenue and costs'!K1032:K1159)</x:f>
        <x:v>255025.488458562</x:v>
      </x:c>
      <x:c r="M24" s="10" t="n">
        <x:f>SUMIF('Revenue and costs'!$D$1160:$D$1287,$C24,'Revenue and costs'!K1160:K1287)</x:f>
        <x:v>269147.98037122225</x:v>
      </x:c>
      <x:c r="N24" s="10" t="n">
        <x:f>SUMIF('Revenue and costs'!$D$1288:$D$1415,$C24,'Revenue and costs'!K1288:K1415)</x:f>
        <x:v>283512.4079223602</x:v>
      </x:c>
      <x:c r="O24" s="10" t="n">
        <x:f>SUMIF('Revenue and costs'!$D$1416:$D$1543,$C24,'Revenue and costs'!K1416:K1543)</x:f>
        <x:v>298314.40608677635</x:v>
      </x:c>
      <x:c r="P24" s="10" t="n">
        <x:f>SUMIF('Revenue and costs'!$D$1544:$D$1671,$C24,'Revenue and costs'!K1544:K1671)</x:f>
        <x:v>313688.3524727766</x:v>
      </x:c>
      <x:c r="Q24" s="10" t="n">
        <x:f>SUMIF('Revenue and costs'!$D$1672:$D$1799,$C24,'Revenue and costs'!K1672:K1799)</x:f>
        <x:v>329731.8764199608</x:v>
      </x:c>
      <x:c r="R24" s="10" t="n">
        <x:f>SUMIF('Revenue and costs'!$D$1800:$D$1927,$C24,'Revenue and costs'!K1800:K1927)</x:f>
        <x:v>346520.89607379265</x:v>
      </x:c>
      <x:c r="S24" s="10" t="n">
        <x:f>SUMIF('Revenue and costs'!$D$1928:$D$2055,$C24,'Revenue and costs'!K1928:K2055)</x:f>
        <x:v>364118.86047979945</x:v>
      </x:c>
      <x:c r="T24" s="10" t="n">
        <x:f>SUMIF('Revenue and costs'!$D$2056:$D$2183,$C24,'Revenue and costs'!K2056:K2183)</x:f>
        <x:v>382582.4471436571</x:v>
      </x:c>
      <x:c r="U24" s="10" t="n">
        <x:f>SUMIF('Revenue and costs'!$D$2184:$D$2311,$C24,'Revenue and costs'!K2184:K2311)</x:f>
        <x:v>401965.09243115695</x:v>
      </x:c>
      <x:c r="V24" s="10" t="n">
        <x:f>SUMIF('Revenue and costs'!$D$2312:$D$2439,$C24,'Revenue and costs'!K2312:K2439)</x:f>
        <x:v>422319.19786693633</x:v>
      </x:c>
      <x:c r="W24" s="10" t="n">
        <x:f>SUMIF('Revenue and costs'!$D$2440:$D$2567,$C24,'Revenue and costs'!K2440:K2567)</x:f>
        <x:v>443697.5283953662</x:v>
      </x:c>
    </x:row>
    <x:row r="25" ht="16" customHeight="1">
      <x:c r="A25" s="1"/>
      <x:c r="B25" s="1"/>
      <x:c r="C25" s="1" t="str">
        <x:v>S’otality laundry</x:v>
      </x:c>
      <x:c r="D25" s="10" t="n">
        <x:f>SUMIF('Revenue and costs'!$D$8:$D$135,$C25,'Revenue and costs'!K8:K135)</x:f>
        <x:v>16200</x:v>
      </x:c>
      <x:c r="E25" s="10" t="n">
        <x:f>SUMIF('Revenue and costs'!$D$136:$D$263,$C25,'Revenue and costs'!K136:K263)</x:f>
        <x:v>19608.48</x:v>
      </x:c>
      <x:c r="F25" s="10" t="n">
        <x:f>SUMIF('Revenue and costs'!$D$264:$D$391,$C25,'Revenue and costs'!K264:K391)</x:f>
        <x:v>22877.147520000002</x:v>
      </x:c>
      <x:c r="G25" s="10" t="n">
        <x:f>SUMIF('Revenue and costs'!$D$392:$D$519,$C25,'Revenue and costs'!K392:K519)</x:f>
        <x:v>26204.536488960006</x:v>
      </x:c>
      <x:c r="H25" s="10" t="n">
        <x:f>SUMIF('Revenue and costs'!$D$520:$D$647,$C25,'Revenue and costs'!K520:K647)</x:f>
        <x:v>29729.752647183363</x:v>
      </x:c>
      <x:c r="I25" s="10" t="n">
        <x:f>SUMIF('Revenue and costs'!$D$648:$D$775,$C25,'Revenue and costs'!K648:K775)</x:f>
        <x:v>32580.02929760262</x:v>
      </x:c>
      <x:c r="J25" s="10" t="n">
        <x:f>SUMIF('Revenue and costs'!$D$776:$D$903,$C25,'Revenue and costs'!K776:K903)</x:f>
        <x:v>35052.30089394205</x:v>
      </x:c>
      <x:c r="K25" s="10" t="n">
        <x:f>SUMIF('Revenue and costs'!$D$904:$D$1031,$C25,'Revenue and costs'!K904:K1031)</x:f>
        <x:v>37330.06525287051</x:v>
      </x:c>
      <x:c r="L25" s="10" t="n">
        <x:f>SUMIF('Revenue and costs'!$D$1032:$D$1159,$C25,'Revenue and costs'!K1032:K1159)</x:f>
        <x:v>39527.4867300871</x:v>
      </x:c>
      <x:c r="M25" s="10" t="n">
        <x:f>SUMIF('Revenue and costs'!$D$1160:$D$1287,$C25,'Revenue and costs'!K1160:K1287)</x:f>
        <x:v>41716.391905987366</x:v>
      </x:c>
      <x:c r="N25" s="10" t="n">
        <x:f>SUMIF('Revenue and costs'!$D$1288:$D$1415,$C25,'Revenue and costs'!K1288:K1415)</x:f>
        <x:v>43942.795717013345</x:v>
      </x:c>
      <x:c r="O25" s="10" t="n">
        <x:f>SUMIF('Revenue and costs'!$D$1416:$D$1543,$C25,'Revenue and costs'!K1416:K1543)</x:f>
        <x:v>46237.02046121102</x:v>
      </x:c>
      <x:c r="P25" s="10" t="n">
        <x:f>SUMIF('Revenue and costs'!$D$1544:$D$1671,$C25,'Revenue and costs'!K1544:K1671)</x:f>
        <x:v>48619.89389646937</x:v>
      </x:c>
      <x:c r="Q25" s="10" t="n">
        <x:f>SUMIF('Revenue and costs'!$D$1672:$D$1799,$C25,'Revenue and costs'!K1672:K1799)</x:f>
        <x:v>51106.54800998243</x:v>
      </x:c>
      <x:c r="R25" s="10" t="n">
        <x:f>SUMIF('Revenue and costs'!$D$1800:$D$1927,$C25,'Revenue and costs'!K1800:K1927)</x:f>
        <x:v>53708.749678486776</x:v>
      </x:c>
      <x:c r="S25" s="10" t="n">
        <x:f>SUMIF('Revenue and costs'!$D$1928:$D$2055,$C25,'Revenue and costs'!K1928:K2055)</x:f>
        <x:v>56436.33313980814</x:v>
      </x:c>
      <x:c r="T25" s="10" t="n">
        <x:f>SUMIF('Revenue and costs'!$D$2056:$D$2183,$C25,'Revenue and costs'!K2056:K2183)</x:f>
        <x:v>59298.08308196748</x:v>
      </x:c>
      <x:c r="U25" s="10" t="n">
        <x:f>SUMIF('Revenue and costs'!$D$2184:$D$2311,$C25,'Revenue and costs'!K2184:K2311)</x:f>
        <x:v>62302.28183490949</x:v>
      </x:c>
      <x:c r="V25" s="10" t="n">
        <x:f>SUMIF('Revenue and costs'!$D$2312:$D$2439,$C25,'Revenue and costs'!K2312:K2439)</x:f>
        <x:v>65457.05133414053</x:v>
      </x:c>
      <x:c r="W25" s="10" t="n">
        <x:f>SUMIF('Revenue and costs'!$D$2440:$D$2567,$C25,'Revenue and costs'!K2440:K2567)</x:f>
        <x:v>68770.56984313941</x:v>
      </x:c>
    </x:row>
    <x:row r="26" ht="16" customHeight="1">
      <x:c r="A26" s="1"/>
      <x:c r="B26" s="1"/>
      <x:c r="C26" s="1" t="str">
        <x:v>S’otality Personal Chef</x:v>
      </x:c>
      <x:c r="D26" s="10" t="n">
        <x:f>SUMIF('Revenue and costs'!$D$8:$D$135,$C26,'Revenue and costs'!K8:K135)</x:f>
        <x:v>19500</x:v>
      </x:c>
      <x:c r="E26" s="10" t="n">
        <x:f>SUMIF('Revenue and costs'!$D$136:$D$263,$C26,'Revenue and costs'!K136:K263)</x:f>
        <x:v>29437.200000000004</x:v>
      </x:c>
      <x:c r="F26" s="10" t="n">
        <x:f>SUMIF('Revenue and costs'!$D$264:$D$391,$C26,'Revenue and costs'!K264:K391)</x:f>
        <x:v>37654.156800000004</x:v>
      </x:c>
      <x:c r="G26" s="10" t="n">
        <x:f>SUMIF('Revenue and costs'!$D$392:$D$519,$C26,'Revenue and costs'!K392:K519)</x:f>
        <x:v>45078.842390400016</x:v>
      </x:c>
      <x:c r="H26" s="10" t="n">
        <x:f>SUMIF('Revenue and costs'!$D$520:$D$647,$C26,'Revenue and costs'!K520:K647)</x:f>
        <x:v>52310.95878003841</x:v>
      </x:c>
      <x:c r="I26" s="10" t="n">
        <x:f>SUMIF('Revenue and costs'!$D$648:$D$775,$C26,'Revenue and costs'!K648:K775)</x:f>
        <x:v>57987.982996695064</x:v>
      </x:c>
      <x:c r="J26" s="10" t="n">
        <x:f>SUMIF('Revenue and costs'!$D$776:$D$903,$C26,'Revenue and costs'!K776:K903)</x:f>
        <x:v>62776.5898341885</x:v>
      </x:c>
      <x:c r="K26" s="10" t="n">
        <x:f>SUMIF('Revenue and costs'!$D$904:$D$1031,$C26,'Revenue and costs'!K904:K1031)</x:f>
        <x:v>67087.98719728917</x:v>
      </x:c>
      <x:c r="L26" s="10" t="n">
        <x:f>SUMIF('Revenue and costs'!$D$1032:$D$1159,$C26,'Revenue and costs'!K1032:K1159)</x:f>
        <x:v>71177.19932297633</x:v>
      </x:c>
      <x:c r="M26" s="10" t="n">
        <x:f>SUMIF('Revenue and costs'!$D$1160:$D$1287,$C26,'Revenue and costs'!K1160:K1287)</x:f>
        <x:v>75203.8363125036</x:v>
      </x:c>
      <x:c r="N26" s="10" t="n">
        <x:f>SUMIF('Revenue and costs'!$D$1288:$D$1415,$C26,'Revenue and costs'!K1288:K1415)</x:f>
        <x:v>79269.29370063248</x:v>
      </x:c>
      <x:c r="O26" s="10" t="n">
        <x:f>SUMIF('Revenue and costs'!$D$1416:$D$1543,$C26,'Revenue and costs'!K1416:K1543)</x:f>
        <x:v>83439.52764356279</x:v>
      </x:c>
      <x:c r="P26" s="10" t="n">
        <x:f>SUMIF('Revenue and costs'!$D$1544:$D$1671,$C26,'Revenue and costs'!K1544:K1671)</x:f>
        <x:v>87759.00284351422</x:v>
      </x:c>
      <x:c r="Q26" s="10" t="n">
        <x:f>SUMIF('Revenue and costs'!$D$1672:$D$1799,$C26,'Revenue and costs'!K1672:K1799)</x:f>
        <x:v>92259.23866932257</x:v>
      </x:c>
      <x:c r="R26" s="10" t="n">
        <x:f>SUMIF('Revenue and costs'!$D$1800:$D$1927,$C26,'Revenue and costs'!K1800:K1927)</x:f>
        <x:v>96964.0498785293</x:v>
      </x:c>
      <x:c r="S26" s="10" t="n">
        <x:f>SUMIF('Revenue and costs'!$D$1928:$D$2055,$C26,'Revenue and costs'!K1928:K2055)</x:f>
        <x:v>101892.7649666968</x:v>
      </x:c>
      <x:c r="T26" s="10" t="n">
        <x:f>SUMIF('Revenue and costs'!$D$2056:$D$2183,$C26,'Revenue and costs'!K2056:K2183)</x:f>
        <x:v>107062.20738257177</x:v>
      </x:c>
      <x:c r="U26" s="10" t="n">
        <x:f>SUMIF('Revenue and costs'!$D$2184:$D$2311,$C26,'Revenue and costs'!K2184:K2311)</x:f>
        <x:v>112487.92020336869</x:v>
      </x:c>
      <x:c r="V26" s="10" t="n">
        <x:f>SUMIF('Revenue and costs'!$D$2312:$D$2439,$C26,'Revenue and costs'!K2312:K2439)</x:f>
        <x:v>118184.92842352929</x:v>
      </x:c>
      <x:c r="W26" s="10" t="n">
        <x:f>SUMIF('Revenue and costs'!$D$2440:$D$2567,$C26,'Revenue and costs'!K2440:K2567)</x:f>
        <x:v>124168.2189099764</x:v>
      </x:c>
    </x:row>
    <x:row r="27" ht="16" customHeight="1">
      <x:c r="A27" s="1"/>
      <x:c r="B27" s="1"/>
      <x:c r="C27" s="1" t="str">
        <x:v>S’otality interiors</x:v>
      </x:c>
      <x:c r="D27" s="10" t="n">
        <x:f>SUMIF('Revenue and costs'!$D$8:$D$135,$C27,'Revenue and costs'!K8:K135)</x:f>
        <x:v>36450</x:v>
      </x:c>
      <x:c r="E27" s="10" t="n">
        <x:f>SUMIF('Revenue and costs'!$D$136:$D$263,$C27,'Revenue and costs'!K136:K263)</x:f>
        <x:v>45064.619999999995</x:v>
      </x:c>
      <x:c r="F27" s="10" t="n">
        <x:f>SUMIF('Revenue and costs'!$D$264:$D$391,$C27,'Revenue and costs'!K264:K391)</x:f>
        <x:v>52989.54876</x:v>
      </x:c>
      <x:c r="G27" s="10" t="n">
        <x:f>SUMIF('Revenue and costs'!$D$392:$D$519,$C27,'Revenue and costs'!K392:K519)</x:f>
        <x:v>60991.20003096001</x:v>
      </x:c>
      <x:c r="H27" s="10" t="n">
        <x:f>SUMIF('Revenue and costs'!$D$520:$D$647,$C27,'Revenue and costs'!K520:K647)</x:f>
        <x:v>69539.77926406513</x:v>
      </x:c>
      <x:c r="I27" s="10" t="n">
        <x:f>SUMIF('Revenue and costs'!$D$648:$D$775,$C27,'Revenue and costs'!K648:K775)</x:f>
        <x:v>76196.70203441558</x:v>
      </x:c>
      <x:c r="J27" s="10" t="n">
        <x:f>SUMIF('Revenue and costs'!$D$776:$D$903,$C27,'Revenue and costs'!K776:K903)</x:f>
        <x:v>81885.26922025696</x:v>
      </x:c>
      <x:c r="K27" s="10" t="n">
        <x:f>SUMIF('Revenue and costs'!$D$904:$D$1031,$C27,'Revenue and costs'!K904:K1031)</x:f>
        <x:v>87117.85589177634</x:v>
      </x:c>
      <x:c r="L27" s="10" t="n">
        <x:f>SUMIF('Revenue and costs'!$D$1032:$D$1159,$C27,'Revenue and costs'!K1032:K1159)</x:f>
        <x:v>92184.57505625316</x:v>
      </x:c>
      <x:c r="M27" s="10" t="n">
        <x:f>SUMIF('Revenue and costs'!$D$1160:$D$1287,$C27,'Revenue and costs'!K1160:K1287)</x:f>
        <x:v>97254.19758227686</x:v>
      </x:c>
      <x:c r="N27" s="10" t="n">
        <x:f>SUMIF('Revenue and costs'!$D$1288:$D$1415,$C27,'Revenue and costs'!K1288:K1415)</x:f>
        <x:v>102428.60027980385</x:v>
      </x:c>
      <x:c r="O27" s="10" t="n">
        <x:f>SUMIF('Revenue and costs'!$D$1416:$D$1543,$C27,'Revenue and costs'!K1416:K1543)</x:f>
        <x:v>107772.4320267231</x:v>
      </x:c>
      <x:c r="P27" s="10" t="n">
        <x:f>SUMIF('Revenue and costs'!$D$1544:$D$1671,$C27,'Revenue and costs'!K1544:K1671)</x:f>
        <x:v>113329.46005106291</x:v>
      </x:c>
      <x:c r="Q27" s="10" t="n">
        <x:f>SUMIF('Revenue and costs'!$D$1672:$D$1799,$C27,'Revenue and costs'!K1672:K1799)</x:f>
        <x:v>119131.69262443198</x:v>
      </x:c>
      <x:c r="R27" s="10" t="n">
        <x:f>SUMIF('Revenue and costs'!$D$1800:$D$1927,$C27,'Revenue and costs'!K1800:K1927)</x:f>
        <x:v>125204.54462827841</x:v>
      </x:c>
      <x:c r="S27" s="10" t="n">
        <x:f>SUMIF('Revenue and costs'!$D$1928:$D$2055,$C27,'Revenue and costs'!K1928:K2055)</x:f>
        <x:v>131569.81107265968</x:v>
      </x:c>
      <x:c r="T27" s="10" t="n">
        <x:f>SUMIF('Revenue and costs'!$D$2056:$D$2183,$C27,'Revenue and costs'!K2056:K2183)</x:f>
        <x:v>138247.41151605616</x:v>
      </x:c>
      <x:c r="U27" s="10" t="n">
        <x:f>SUMIF('Revenue and costs'!$D$2184:$D$2311,$C27,'Revenue and costs'!K2184:K2311)</x:f>
        <x:v>145256.43637259776</x:v>
      </x:c>
      <x:c r="V27" s="10" t="n">
        <x:f>SUMIF('Revenue and costs'!$D$2312:$D$2439,$C27,'Revenue and costs'!K2312:K2439)</x:f>
        <x:v>152615.79137722464</x:v>
      </x:c>
      <x:c r="W27" s="10" t="n">
        <x:f>SUMIF('Revenue and costs'!$D$2440:$D$2567,$C27,'Revenue and costs'!K2440:K2567)</x:f>
        <x:v>160344.60765582614</x:v>
      </x:c>
    </x:row>
    <x:row r="28" ht="16" customHeight="1">
      <x:c r="A28" s="1"/>
      <x:c r="B28" s="1"/>
      <x:c r="C28" s="1" t="str">
        <x:v>S’otality concierge</x:v>
      </x:c>
      <x:c r="D28" s="10" t="n">
        <x:f>SUMIF('Revenue and costs'!$D$8:$D$135,$C28,'Revenue and costs'!K8:K135)</x:f>
        <x:v>13500</x:v>
      </x:c>
      <x:c r="E28" s="10" t="n">
        <x:f>SUMIF('Revenue and costs'!$D$136:$D$263,$C28,'Revenue and costs'!K136:K263)</x:f>
        <x:v>16983</x:v>
      </x:c>
      <x:c r="F28" s="10" t="n">
        <x:f>SUMIF('Revenue and costs'!$D$264:$D$391,$C28,'Revenue and costs'!K264:K391)</x:f>
        <x:v>19991.286000000004</x:v>
      </x:c>
      <x:c r="G28" s="10" t="n">
        <x:f>SUMIF('Revenue and costs'!$D$392:$D$519,$C28,'Revenue and costs'!K392:K519)</x:f>
        <x:v>22907.766492000006</x:v>
      </x:c>
      <x:c r="H28" s="10" t="n">
        <x:f>SUMIF('Revenue and costs'!$D$520:$D$647,$C28,'Revenue and costs'!K520:K647)</x:f>
        <x:v>25946.061240024006</x:v>
      </x:c>
      <x:c r="I28" s="10" t="n">
        <x:f>SUMIF('Revenue and costs'!$D$648:$D$775,$C28,'Revenue and costs'!K648:K775)</x:f>
        <x:v>28217.30443816891</x:v>
      </x:c>
      <x:c r="J28" s="10" t="n">
        <x:f>SUMIF('Revenue and costs'!$D$776:$D$903,$C28,'Revenue and costs'!K776:K903)</x:f>
        <x:v>30133.870017434096</x:v>
      </x:c>
      <x:c r="K28" s="10" t="n">
        <x:f>SUMIF('Revenue and costs'!$D$904:$D$1031,$C28,'Revenue and costs'!K904:K1031)</x:f>
        <x:v>31907.91652741012</x:v>
      </x:c>
      <x:c r="L28" s="10" t="n">
        <x:f>SUMIF('Revenue and costs'!$D$1032:$D$1159,$C28,'Revenue and costs'!K1032:K1159)</x:f>
        <x:v>33649.58617411495</x:v>
      </x:c>
      <x:c r="M28" s="10" t="n">
        <x:f>SUMIF('Revenue and costs'!$D$1160:$D$1287,$C28,'Revenue and costs'!K1160:K1287)</x:f>
        <x:v>35417.09106043827</x:v>
      </x:c>
      <x:c r="N28" s="10" t="n">
        <x:f>SUMIF('Revenue and costs'!$D$1288:$D$1415,$C28,'Revenue and costs'!K1288:K1415)</x:f>
        <x:v>37242.262139312144</x:v>
      </x:c>
      <x:c r="O28" s="10" t="n">
        <x:f>SUMIF('Revenue and costs'!$D$1416:$D$1543,$C28,'Revenue and costs'!K1416:K1543)</x:f>
        <x:v>39143.58440188134</x:v>
      </x:c>
      <x:c r="P28" s="10" t="n">
        <x:f>SUMIF('Revenue and costs'!$D$1544:$D$1671,$C28,'Revenue and costs'!K1544:K1671)</x:f>
        <x:v>41132.850309759735</x:v>
      </x:c>
      <x:c r="Q28" s="10" t="n">
        <x:f>SUMIF('Revenue and costs'!$D$1672:$D$1799,$C28,'Revenue and costs'!K1672:K1799)</x:f>
        <x:v>43218.55880937662</x:v>
      </x:c>
      <x:c r="R28" s="10" t="n">
        <x:f>SUMIF('Revenue and costs'!$D$1800:$D$1927,$C28,'Revenue and costs'!K1800:K1927)</x:f>
        <x:v>45407.65488484202</x:v>
      </x:c>
      <x:c r="S28" s="10" t="n">
        <x:f>SUMIF('Revenue and costs'!$D$1928:$D$2055,$C28,'Revenue and costs'!K1928:K2055)</x:f>
        <x:v>47706.42309186762</x:v>
      </x:c>
      <x:c r="T28" s="10" t="n">
        <x:f>SUMIF('Revenue and costs'!$D$2056:$D$2183,$C28,'Revenue and costs'!K2056:K2183)</x:f>
        <x:v>50120.94994394093</x:v>
      </x:c>
      <x:c r="U28" s="10" t="n">
        <x:f>SUMIF('Revenue and costs'!$D$2184:$D$2311,$C28,'Revenue and costs'!K2184:K2311)</x:f>
        <x:v>52657.366751353</x:v>
      </x:c>
      <x:c r="V28" s="10" t="n">
        <x:f>SUMIF('Revenue and costs'!$D$2312:$D$2439,$C28,'Revenue and costs'!K2312:K2439)</x:f>
        <x:v>55321.98084649829</x:v>
      </x:c>
      <x:c r="W28" s="10" t="n">
        <x:f>SUMIF('Revenue and costs'!$D$2440:$D$2567,$C28,'Revenue and costs'!K2440:K2567)</x:f>
        <x:v>58121.350259469764</x:v>
      </x:c>
    </x:row>
    <x:row r="29" ht="16" customHeight="1">
      <x:c r="A29" s="1"/>
      <x:c r="B29" s="1"/>
      <x:c r="C29" s="1" t="str">
        <x:v>S’otality administration</x:v>
      </x:c>
      <x:c r="D29" s="10" t="n">
        <x:f>SUMIF('Revenue and costs'!$D$8:$D$135,$C29,'Revenue and costs'!K8:K135)</x:f>
        <x:v>21600</x:v>
      </x:c>
      <x:c r="E29" s="10" t="n">
        <x:f>SUMIF('Revenue and costs'!$D$136:$D$263,$C29,'Revenue and costs'!K136:K263)</x:f>
        <x:v>27172.800000000003</x:v>
      </x:c>
      <x:c r="F29" s="10" t="n">
        <x:f>SUMIF('Revenue and costs'!$D$264:$D$391,$C29,'Revenue and costs'!K264:K391)</x:f>
        <x:v>31986.057600000004</x:v>
      </x:c>
      <x:c r="G29" s="10" t="n">
        <x:f>SUMIF('Revenue and costs'!$D$392:$D$519,$C29,'Revenue and costs'!K392:K519)</x:f>
        <x:v>36652.42638720001</x:v>
      </x:c>
      <x:c r="H29" s="10" t="n">
        <x:f>SUMIF('Revenue and costs'!$D$520:$D$647,$C29,'Revenue and costs'!K520:K647)</x:f>
        <x:v>41513.69798403841</x:v>
      </x:c>
      <x:c r="I29" s="10" t="n">
        <x:f>SUMIF('Revenue and costs'!$D$648:$D$775,$C29,'Revenue and costs'!K648:K775)</x:f>
        <x:v>45147.68710107025</x:v>
      </x:c>
      <x:c r="J29" s="10" t="n">
        <x:f>SUMIF('Revenue and costs'!$D$776:$D$903,$C29,'Revenue and costs'!K776:K903)</x:f>
        <x:v>48214.192027894554</x:v>
      </x:c>
      <x:c r="K29" s="10" t="n">
        <x:f>SUMIF('Revenue and costs'!$D$904:$D$1031,$C29,'Revenue and costs'!K904:K1031)</x:f>
        <x:v>51052.6664438562</x:v>
      </x:c>
      <x:c r="L29" s="10" t="n">
        <x:f>SUMIF('Revenue and costs'!$D$1032:$D$1159,$C29,'Revenue and costs'!K1032:K1159)</x:f>
        <x:v>53839.33787858392</x:v>
      </x:c>
      <x:c r="M29" s="10" t="n">
        <x:f>SUMIF('Revenue and costs'!$D$1160:$D$1287,$C29,'Revenue and costs'!K1160:K1287)</x:f>
        <x:v>56667.34569670124</x:v>
      </x:c>
      <x:c r="N29" s="10" t="n">
        <x:f>SUMIF('Revenue and costs'!$D$1288:$D$1415,$C29,'Revenue and costs'!K1288:K1415)</x:f>
        <x:v>59587.61942289943</x:v>
      </x:c>
      <x:c r="O29" s="10" t="n">
        <x:f>SUMIF('Revenue and costs'!$D$1416:$D$1543,$C29,'Revenue and costs'!K1416:K1543)</x:f>
        <x:v>62629.735043010136</x:v>
      </x:c>
      <x:c r="P29" s="10" t="n">
        <x:f>SUMIF('Revenue and costs'!$D$1544:$D$1671,$C29,'Revenue and costs'!K1544:K1671)</x:f>
        <x:v>65812.56049561557</x:v>
      </x:c>
      <x:c r="Q29" s="10" t="n">
        <x:f>SUMIF('Revenue and costs'!$D$1672:$D$1799,$C29,'Revenue and costs'!K1672:K1799)</x:f>
        <x:v>69149.69409500259</x:v>
      </x:c>
      <x:c r="R29" s="10" t="n">
        <x:f>SUMIF('Revenue and costs'!$D$1800:$D$1927,$C29,'Revenue and costs'!K1800:K1927)</x:f>
        <x:v>72652.24781574724</x:v>
      </x:c>
      <x:c r="S29" s="10" t="n">
        <x:f>SUMIF('Revenue and costs'!$D$1928:$D$2055,$C29,'Revenue and costs'!K1928:K2055)</x:f>
        <x:v>76330.27694698818</x:v>
      </x:c>
      <x:c r="T29" s="10" t="n">
        <x:f>SUMIF('Revenue and costs'!$D$2056:$D$2183,$C29,'Revenue and costs'!K2056:K2183)</x:f>
        <x:v>80193.51991030548</x:v>
      </x:c>
      <x:c r="U29" s="10" t="n">
        <x:f>SUMIF('Revenue and costs'!$D$2184:$D$2311,$C29,'Revenue and costs'!K2184:K2311)</x:f>
        <x:v>84251.7868021648</x:v>
      </x:c>
      <x:c r="V29" s="10" t="n">
        <x:f>SUMIF('Revenue and costs'!$D$2312:$D$2439,$C29,'Revenue and costs'!K2312:K2439)</x:f>
        <x:v>88515.16935439727</x:v>
      </x:c>
      <x:c r="W29" s="10" t="n">
        <x:f>SUMIF('Revenue and costs'!$D$2440:$D$2567,$C29,'Revenue and costs'!K2440:K2567)</x:f>
        <x:v>92994.16041515162</x:v>
      </x:c>
    </x:row>
    <x:row r="30" ht="16" customHeight="1">
      <x:c r="A30" s="1"/>
      <x:c r="B30" s="1"/>
      <x:c r="C30" s="1" t="str">
        <x:v>S’otality bike tours</x:v>
      </x:c>
      <x:c r="D30" s="10" t="n">
        <x:f>SUMIF('Revenue and costs'!$D$8:$D$135,$C30,'Revenue and costs'!K8:K135)</x:f>
        <x:v>7800</x:v>
      </x:c>
      <x:c r="E30" s="10" t="n">
        <x:f>SUMIF('Revenue and costs'!$D$136:$D$263,$C30,'Revenue and costs'!K136:K263)</x:f>
        <x:v>11774.880000000001</x:v>
      </x:c>
      <x:c r="F30" s="10" t="n">
        <x:f>SUMIF('Revenue and costs'!$D$264:$D$391,$C30,'Revenue and costs'!K264:K391)</x:f>
        <x:v>15061.662720000002</x:v>
      </x:c>
      <x:c r="G30" s="10" t="n">
        <x:f>SUMIF('Revenue and costs'!$D$392:$D$519,$C30,'Revenue and costs'!K392:K519)</x:f>
        <x:v>18031.536956160002</x:v>
      </x:c>
      <x:c r="H30" s="10" t="n">
        <x:f>SUMIF('Revenue and costs'!$D$520:$D$647,$C30,'Revenue and costs'!K520:K647)</x:f>
        <x:v>20924.38351201536</x:v>
      </x:c>
      <x:c r="I30" s="10" t="n">
        <x:f>SUMIF('Revenue and costs'!$D$648:$D$775,$C30,'Revenue and costs'!K648:K775)</x:f>
        <x:v>23195.193198678026</x:v>
      </x:c>
      <x:c r="J30" s="10" t="n">
        <x:f>SUMIF('Revenue and costs'!$D$776:$D$903,$C30,'Revenue and costs'!K776:K903)</x:f>
        <x:v>25110.635933675403</x:v>
      </x:c>
      <x:c r="K30" s="10" t="n">
        <x:f>SUMIF('Revenue and costs'!$D$904:$D$1031,$C30,'Revenue and costs'!K904:K1031)</x:f>
        <x:v>26835.194878915667</x:v>
      </x:c>
      <x:c r="L30" s="10" t="n">
        <x:f>SUMIF('Revenue and costs'!$D$1032:$D$1159,$C30,'Revenue and costs'!K1032:K1159)</x:f>
        <x:v>28470.87972919054</x:v>
      </x:c>
      <x:c r="M30" s="10" t="n">
        <x:f>SUMIF('Revenue and costs'!$D$1160:$D$1287,$C30,'Revenue and costs'!K1160:K1287)</x:f>
        <x:v>30081.53452500144</x:v>
      </x:c>
      <x:c r="N30" s="10" t="n">
        <x:f>SUMIF('Revenue and costs'!$D$1288:$D$1415,$C30,'Revenue and costs'!K1288:K1415)</x:f>
        <x:v>31707.71748025299</x:v>
      </x:c>
      <x:c r="O30" s="10" t="n">
        <x:f>SUMIF('Revenue and costs'!$D$1416:$D$1543,$C30,'Revenue and costs'!K1416:K1543)</x:f>
        <x:v>33375.81105742512</x:v>
      </x:c>
      <x:c r="P30" s="10" t="n">
        <x:f>SUMIF('Revenue and costs'!$D$1544:$D$1671,$C30,'Revenue and costs'!K1544:K1671)</x:f>
        <x:v>35103.60113740568</x:v>
      </x:c>
      <x:c r="Q30" s="10" t="n">
        <x:f>SUMIF('Revenue and costs'!$D$1672:$D$1799,$C30,'Revenue and costs'!K1672:K1799)</x:f>
        <x:v>36903.69546772903</x:v>
      </x:c>
      <x:c r="R30" s="10" t="n">
        <x:f>SUMIF('Revenue and costs'!$D$1800:$D$1927,$C30,'Revenue and costs'!K1800:K1927)</x:f>
        <x:v>38785.619951411725</x:v>
      </x:c>
      <x:c r="S30" s="10" t="n">
        <x:f>SUMIF('Revenue and costs'!$D$1928:$D$2055,$C30,'Revenue and costs'!K1928:K2055)</x:f>
        <x:v>40757.10598667872</x:v>
      </x:c>
      <x:c r="T30" s="10" t="n">
        <x:f>SUMIF('Revenue and costs'!$D$2056:$D$2183,$C30,'Revenue and costs'!K2056:K2183)</x:f>
        <x:v>42824.882953028704</x:v>
      </x:c>
      <x:c r="U30" s="10" t="n">
        <x:f>SUMIF('Revenue and costs'!$D$2184:$D$2311,$C30,'Revenue and costs'!K2184:K2311)</x:f>
        <x:v>44995.168081347474</x:v>
      </x:c>
      <x:c r="V30" s="10" t="n">
        <x:f>SUMIF('Revenue and costs'!$D$2312:$D$2439,$C30,'Revenue and costs'!K2312:K2439)</x:f>
        <x:v>47273.97136941171</x:v>
      </x:c>
      <x:c r="W30" s="10" t="n">
        <x:f>SUMIF('Revenue and costs'!$D$2440:$D$2567,$C30,'Revenue and costs'!K2440:K2567)</x:f>
        <x:v>49667.287563990554</x:v>
      </x:c>
    </x:row>
    <x:row r="31" ht="16" customHeight="1">
      <x:c r="A31" s="1"/>
      <x:c r="B31" s="1"/>
      <x:c r="C31" s="1" t="str">
        <x:v>S’otality editorial</x:v>
      </x:c>
      <x:c r="D31" s="10" t="n">
        <x:f>SUMIF('Revenue and costs'!$D$8:$D$135,$C31,'Revenue and costs'!K8:K135)</x:f>
        <x:v>3500</x:v>
      </x:c>
      <x:c r="E31" s="10" t="n">
        <x:f>SUMIF('Revenue and costs'!$D$136:$D$263,$C31,'Revenue and costs'!K136:K263)</x:f>
        <x:v>6354.600000000001</x:v>
      </x:c>
      <x:c r="F31" s="10" t="n">
        <x:f>SUMIF('Revenue and costs'!$D$264:$D$391,$C31,'Revenue and costs'!K264:K391)</x:f>
        <x:v>7996.514400000002</x:v>
      </x:c>
      <x:c r="G31" s="10" t="n">
        <x:f>SUMIF('Revenue and costs'!$D$392:$D$519,$C31,'Revenue and costs'!K392:K519)</x:f>
        <x:v>9281.484349200004</x:v>
      </x:c>
      <x:c r="H31" s="10" t="n">
        <x:f>SUMIF('Revenue and costs'!$D$520:$D$647,$C31,'Revenue and costs'!K520:K647)</x:f>
        <x:v>10524.279523489204</x:v>
      </x:c>
      <x:c r="I31" s="10" t="n">
        <x:f>SUMIF('Revenue and costs'!$D$648:$D$775,$C31,'Revenue and costs'!K648:K775)</x:f>
        <x:v>11332.823355018185</x:v>
      </x:c>
      <x:c r="J31" s="10" t="n">
        <x:f>SUMIF('Revenue and costs'!$D$776:$D$903,$C31,'Revenue and costs'!K776:K903)</x:f>
        <x:v>12004.801674469738</x:v>
      </x:c>
      <x:c r="K31" s="10" t="n">
        <x:f>SUMIF('Revenue and costs'!$D$904:$D$1031,$C31,'Revenue and costs'!K904:K1031)</x:f>
        <x:v>12647.422511592391</x:v>
      </x:c>
      <x:c r="L31" s="10" t="n">
        <x:f>SUMIF('Revenue and costs'!$D$1032:$D$1159,$C31,'Revenue and costs'!K1032:K1159)</x:f>
        <x:v>13299.940591123797</x:v>
      </x:c>
      <x:c r="M31" s="10" t="n">
        <x:f>SUMIF('Revenue and costs'!$D$1160:$D$1287,$C31,'Revenue and costs'!K1160:K1287)</x:f>
        <x:v>13977.400969693468</x:v>
      </x:c>
      <x:c r="N31" s="10" t="n">
        <x:f>SUMIF('Revenue and costs'!$D$1288:$D$1415,$C31,'Revenue and costs'!K1288:K1415)</x:f>
        <x:v>14686.258027083153</x:v>
      </x:c>
      <x:c r="O31" s="10" t="n">
        <x:f>SUMIF('Revenue and costs'!$D$1416:$D$1543,$C31,'Revenue and costs'!K1416:K1543)</x:f>
        <x:v>15429.954086144939</x:v>
      </x:c>
      <x:c r="P31" s="10" t="n">
        <x:f>SUMIF('Revenue and costs'!$D$1544:$D$1671,$C31,'Revenue and costs'!K1544:K1671)</x:f>
        <x:v>16210.913753736095</x:v>
      </x:c>
      <x:c r="Q31" s="10" t="n">
        <x:f>SUMIF('Revenue and costs'!$D$1672:$D$1799,$C31,'Revenue and costs'!K1672:K1799)</x:f>
        <x:v>17031.258814402245</x:v>
      </x:c>
      <x:c r="R31" s="10" t="n">
        <x:f>SUMIF('Revenue and costs'!$D$1800:$D$1927,$C31,'Revenue and costs'!K1800:K1927)</x:f>
        <x:v>17893.066508838576</x:v>
      </x:c>
      <x:c r="S31" s="10" t="n">
        <x:f>SUMIF('Revenue and costs'!$D$1928:$D$2055,$C31,'Revenue and costs'!K1928:K2055)</x:f>
        <x:v>18798.464955624455</x:v>
      </x:c>
      <x:c r="T31" s="10" t="n">
        <x:f>SUMIF('Revenue and costs'!$D$2056:$D$2183,$C31,'Revenue and costs'!K2056:K2183)</x:f>
        <x:v>19749.67059585265</x:v>
      </x:c>
      <x:c r="U31" s="10" t="n">
        <x:f>SUMIF('Revenue and costs'!$D$2184:$D$2311,$C31,'Revenue and costs'!K2184:K2311)</x:f>
        <x:v>20749.00511091287</x:v>
      </x:c>
      <x:c r="V31" s="10" t="n">
        <x:f>SUMIF('Revenue and costs'!$D$2312:$D$2439,$C31,'Revenue and costs'!K2312:K2439)</x:f>
        <x:v>21798.905191823957</x:v>
      </x:c>
      <x:c r="W31" s="10" t="n">
        <x:f>SUMIF('Revenue and costs'!$D$2440:$D$2567,$C31,'Revenue and costs'!K2440:K2567)</x:f>
        <x:v>22901.929945290954</x:v>
      </x:c>
    </x:row>
    <x:row r="32" ht="16" customHeight="1">
      <x:c r="A32" s="1"/>
      <x:c r="B32" s="1"/>
      <x:c r="C32" s="1" t="str">
        <x:v>Tomato Odyssey</x:v>
      </x:c>
      <x:c r="D32" s="10" t="n">
        <x:f>SUMIF('Revenue and costs'!$D$8:$D$135,$C32,'Revenue and costs'!K8:K135)</x:f>
        <x:v>3500</x:v>
      </x:c>
      <x:c r="E32" s="10" t="n">
        <x:f>SUMIF('Revenue and costs'!$D$136:$D$263,$C32,'Revenue and costs'!K136:K263)</x:f>
        <x:v>6354.600000000001</x:v>
      </x:c>
      <x:c r="F32" s="10" t="n">
        <x:f>SUMIF('Revenue and costs'!$D$264:$D$391,$C32,'Revenue and costs'!K264:K391)</x:f>
        <x:v>7996.514400000002</x:v>
      </x:c>
      <x:c r="G32" s="10" t="n">
        <x:f>SUMIF('Revenue and costs'!$D$392:$D$519,$C32,'Revenue and costs'!K392:K519)</x:f>
        <x:v>9281.484349200004</x:v>
      </x:c>
      <x:c r="H32" s="10" t="n">
        <x:f>SUMIF('Revenue and costs'!$D$520:$D$647,$C32,'Revenue and costs'!K520:K647)</x:f>
        <x:v>10524.279523489204</x:v>
      </x:c>
      <x:c r="I32" s="10" t="n">
        <x:f>SUMIF('Revenue and costs'!$D$648:$D$775,$C32,'Revenue and costs'!K648:K775)</x:f>
        <x:v>11332.823355018185</x:v>
      </x:c>
      <x:c r="J32" s="10" t="n">
        <x:f>SUMIF('Revenue and costs'!$D$776:$D$903,$C32,'Revenue and costs'!K776:K903)</x:f>
        <x:v>12004.801674469738</x:v>
      </x:c>
      <x:c r="K32" s="10" t="n">
        <x:f>SUMIF('Revenue and costs'!$D$904:$D$1031,$C32,'Revenue and costs'!K904:K1031)</x:f>
        <x:v>12647.422511592391</x:v>
      </x:c>
      <x:c r="L32" s="10" t="n">
        <x:f>SUMIF('Revenue and costs'!$D$1032:$D$1159,$C32,'Revenue and costs'!K1032:K1159)</x:f>
        <x:v>13299.940591123797</x:v>
      </x:c>
      <x:c r="M32" s="10" t="n">
        <x:f>SUMIF('Revenue and costs'!$D$1160:$D$1287,$C32,'Revenue and costs'!K1160:K1287)</x:f>
        <x:v>13977.400969693468</x:v>
      </x:c>
      <x:c r="N32" s="10" t="n">
        <x:f>SUMIF('Revenue and costs'!$D$1288:$D$1415,$C32,'Revenue and costs'!K1288:K1415)</x:f>
        <x:v>14686.258027083153</x:v>
      </x:c>
      <x:c r="O32" s="10" t="n">
        <x:f>SUMIF('Revenue and costs'!$D$1416:$D$1543,$C32,'Revenue and costs'!K1416:K1543)</x:f>
        <x:v>15429.954086144939</x:v>
      </x:c>
      <x:c r="P32" s="10" t="n">
        <x:f>SUMIF('Revenue and costs'!$D$1544:$D$1671,$C32,'Revenue and costs'!K1544:K1671)</x:f>
        <x:v>16210.913753736095</x:v>
      </x:c>
      <x:c r="Q32" s="10" t="n">
        <x:f>SUMIF('Revenue and costs'!$D$1672:$D$1799,$C32,'Revenue and costs'!K1672:K1799)</x:f>
        <x:v>17031.258814402245</x:v>
      </x:c>
      <x:c r="R32" s="10" t="n">
        <x:f>SUMIF('Revenue and costs'!$D$1800:$D$1927,$C32,'Revenue and costs'!K1800:K1927)</x:f>
        <x:v>17893.066508838576</x:v>
      </x:c>
      <x:c r="S32" s="10" t="n">
        <x:f>SUMIF('Revenue and costs'!$D$1928:$D$2055,$C32,'Revenue and costs'!K1928:K2055)</x:f>
        <x:v>18798.464955624455</x:v>
      </x:c>
      <x:c r="T32" s="10" t="n">
        <x:f>SUMIF('Revenue and costs'!$D$2056:$D$2183,$C32,'Revenue and costs'!K2056:K2183)</x:f>
        <x:v>19749.67059585265</x:v>
      </x:c>
      <x:c r="U32" s="10" t="n">
        <x:f>SUMIF('Revenue and costs'!$D$2184:$D$2311,$C32,'Revenue and costs'!K2184:K2311)</x:f>
        <x:v>20749.00511091287</x:v>
      </x:c>
      <x:c r="V32" s="10" t="n">
        <x:f>SUMIF('Revenue and costs'!$D$2312:$D$2439,$C32,'Revenue and costs'!K2312:K2439)</x:f>
        <x:v>21798.905191823957</x:v>
      </x:c>
      <x:c r="W32" s="10" t="n">
        <x:f>SUMIF('Revenue and costs'!$D$2440:$D$2567,$C32,'Revenue and costs'!K2440:K2567)</x:f>
        <x:v>22901.929945290954</x:v>
      </x:c>
    </x:row>
    <x:row r="33" ht="16" customHeight="1">
      <x:c r="A33" s="1"/>
      <x:c r="B33" s="1"/>
      <x:c r="C33" s="1" t="str">
        <x:v>Semajes Studio</x:v>
      </x:c>
      <x:c r="D33" s="10" t="n">
        <x:f>SUMIF('Revenue and costs'!$D$8:$D$135,$C33,'Revenue and costs'!K8:K135)</x:f>
        <x:v>67950</x:v>
      </x:c>
      <x:c r="E33" s="10" t="n">
        <x:f>SUMIF('Revenue and costs'!$D$136:$D$263,$C33,'Revenue and costs'!K136:K263)</x:f>
        <x:v>88102.908</x:v>
      </x:c>
      <x:c r="F33" s="10" t="n">
        <x:f>SUMIF('Revenue and costs'!$D$264:$D$391,$C33,'Revenue and costs'!K264:K391)</x:f>
        <x:v>104229.2154672</x:v>
      </x:c>
      <x:c r="G33" s="10" t="n">
        <x:f>SUMIF('Revenue and costs'!$D$392:$D$519,$C33,'Revenue and costs'!K392:K519)</x:f>
        <x:v>119797.77409633732</x:v>
      </x:c>
      <x:c r="H33" s="10" t="n">
        <x:f>SUMIF('Revenue and costs'!$D$520:$D$647,$C33,'Revenue and costs'!K520:K647)</x:f>
        <x:v>136262.21074734977</x:v>
      </x:c>
      <x:c r="I33" s="10" t="n">
        <x:f>SUMIF('Revenue and costs'!$D$648:$D$775,$C33,'Revenue and costs'!K648:K775)</x:f>
        <x:v>147618.12541057702</x:v>
      </x:c>
      <x:c r="J33" s="10" t="n">
        <x:f>SUMIF('Revenue and costs'!$D$776:$D$903,$C33,'Revenue and costs'!K776:K903)</x:f>
        <x:v>157104.3761765639</x:v>
      </x:c>
      <x:c r="K33" s="10" t="n">
        <x:f>SUMIF('Revenue and costs'!$D$904:$D$1031,$C33,'Revenue and costs'!K904:K1031)</x:f>
        <x:v>166003.35392167463</x:v>
      </x:c>
      <x:c r="L33" s="10" t="n">
        <x:f>SUMIF('Revenue and costs'!$D$1032:$D$1159,$C33,'Revenue and costs'!K1032:K1159)</x:f>
        <x:v>174863.17492837168</x:v>
      </x:c>
      <x:c r="M33" s="10" t="n">
        <x:f>SUMIF('Revenue and costs'!$D$1160:$D$1287,$C33,'Revenue and costs'!K1160:K1287)</x:f>
        <x:v>183938.47504489904</x:v>
      </x:c>
      <x:c r="N33" s="10" t="n">
        <x:f>SUMIF('Revenue and costs'!$D$1288:$D$1415,$C33,'Revenue and costs'!K1288:K1415)</x:f>
        <x:v>193359.3806241283</x:v>
      </x:c>
      <x:c r="O33" s="10" t="n">
        <x:f>SUMIF('Revenue and costs'!$D$1416:$D$1543,$C33,'Revenue and costs'!K1416:K1543)</x:f>
        <x:v>203200.6176831748</x:v>
      </x:c>
      <x:c r="P33" s="10" t="n">
        <x:f>SUMIF('Revenue and costs'!$D$1544:$D$1671,$C33,'Revenue and costs'!K1544:K1671)</x:f>
        <x:v>213511.5555550375</x:v>
      </x:c>
      <x:c r="Q33" s="10" t="n">
        <x:f>SUMIF('Revenue and costs'!$D$1672:$D$1799,$C33,'Revenue and costs'!K1672:K1799)</x:f>
        <x:v>224329.95853621064</x:v>
      </x:c>
      <x:c r="R33" s="10" t="n">
        <x:f>SUMIF('Revenue and costs'!$D$1800:$D$1927,$C33,'Revenue and costs'!K1800:K1927)</x:f>
        <x:v>235688.54089507108</x:v>
      </x:c>
      <x:c r="S33" s="10" t="n">
        <x:f>SUMIF('Revenue and costs'!$D$1928:$D$2055,$C33,'Revenue and costs'!K1928:K2055)</x:f>
        <x:v>247618.1930799852</x:v>
      </x:c>
      <x:c r="T33" s="10" t="n">
        <x:f>SUMIF('Revenue and costs'!$D$2056:$D$2183,$C33,'Revenue and costs'!K2056:K2183)</x:f>
        <x:v>260149.61591811298</x:v>
      </x:c>
      <x:c r="U33" s="10" t="n">
        <x:f>SUMIF('Revenue and costs'!$D$2184:$D$2311,$C33,'Revenue and costs'!K2184:K2311)</x:f>
        <x:v>273314.17647132825</x:v>
      </x:c>
      <x:c r="V33" s="10" t="n">
        <x:f>SUMIF('Revenue and costs'!$D$2312:$D$2439,$C33,'Revenue and costs'!K2312:K2439)</x:f>
        <x:v>287144.3785204007</x:v>
      </x:c>
      <x:c r="W33" s="10" t="n">
        <x:f>SUMIF('Revenue and costs'!$D$2440:$D$2567,$C33,'Revenue and costs'!K2440:K2567)</x:f>
        <x:v>301674.141427256</x:v>
      </x:c>
    </x:row>
    <x:row r="34" ht="16" customHeight="1">
      <x:c r="A34" s="1"/>
      <x:c r="B34" s="1"/>
      <x:c r="C34" s="1" t="str">
        <x:v>Semajes Marketplace</x:v>
      </x:c>
      <x:c r="D34" s="10" t="n">
        <x:f>SUMIF('Revenue and costs'!$D$8:$D$135,$C34,'Revenue and costs'!K8:K135)</x:f>
        <x:v>11100</x:v>
      </x:c>
      <x:c r="E34" s="10" t="n">
        <x:f>SUMIF('Revenue and costs'!$D$136:$D$263,$C34,'Revenue and costs'!K136:K263)</x:f>
        <x:v>16077.240000000002</x:v>
      </x:c>
      <x:c r="F34" s="10" t="n">
        <x:f>SUMIF('Revenue and costs'!$D$264:$D$391,$C34,'Revenue and costs'!K264:K391)</x:f>
        <x:v>21457.001520000005</x:v>
      </x:c>
      <x:c r="G34" s="10" t="n">
        <x:f>SUMIF('Revenue and costs'!$D$392:$D$519,$C34,'Revenue and costs'!K392:K519)</x:f>
        <x:v>27533.190129120012</x:v>
      </x:c>
      <x:c r="H34" s="10" t="n">
        <x:f>SUMIF('Revenue and costs'!$D$520:$D$647,$C34,'Revenue and costs'!K520:K647)</x:f>
        <x:v>34607.27638985184</x:v>
      </x:c>
      <x:c r="I34" s="10" t="n">
        <x:f>SUMIF('Revenue and costs'!$D$648:$D$775,$C34,'Revenue and costs'!K648:K775)</x:f>
        <x:v>40414.57205907998</x:v>
      </x:c>
      <x:c r="J34" s="10" t="n">
        <x:f>SUMIF('Revenue and costs'!$D$776:$D$903,$C34,'Revenue and costs'!K776:K903)</x:f>
        <x:v>45355.6529887752</x:v>
      </x:c>
      <x:c r="K34" s="10" t="n">
        <x:f>SUMIF('Revenue and costs'!$D$904:$D$1031,$C34,'Revenue and costs'!K904:K1031)</x:f>
        <x:v>49718.46698863034</x:v>
      </x:c>
      <x:c r="L34" s="10" t="n">
        <x:f>SUMIF('Revenue and costs'!$D$1032:$D$1159,$C34,'Revenue and costs'!K1032:K1159)</x:f>
        <x:v>53710.64344071194</x:v>
      </x:c>
      <x:c r="M34" s="10" t="n">
        <x:f>SUMIF('Revenue and costs'!$D$1160:$D$1287,$C34,'Revenue and costs'!K1160:K1287)</x:f>
        <x:v>57482.56732284621</x:v>
      </x:c>
      <x:c r="N34" s="10" t="n">
        <x:f>SUMIF('Revenue and costs'!$D$1288:$D$1415,$C34,'Revenue and costs'!K1288:K1415)</x:f>
        <x:v>61143.859270742665</x:v>
      </x:c>
      <x:c r="O34" s="10" t="n">
        <x:f>SUMIF('Revenue and costs'!$D$1416:$D$1543,$C34,'Revenue and costs'!K1416:K1543)</x:f>
        <x:v>64775.1478153736</x:v>
      </x:c>
      <x:c r="P34" s="10" t="n">
        <x:f>SUMIF('Revenue and costs'!$D$1544:$D$1671,$C34,'Revenue and costs'!K1544:K1671)</x:f>
        <x:v>68436.4805104209</x:v>
      </x:c>
      <x:c r="Q34" s="10" t="n">
        <x:f>SUMIF('Revenue and costs'!$D$1672:$D$1799,$C34,'Revenue and costs'!K1672:K1799)</x:f>
        <x:v>72173.33551817902</x:v>
      </x:c>
      <x:c r="R34" s="10" t="n">
        <x:f>SUMIF('Revenue and costs'!$D$1800:$D$1927,$C34,'Revenue and costs'!K1800:K1927)</x:f>
        <x:v>76020.92022846547</x:v>
      </x:c>
      <x:c r="S34" s="10" t="n">
        <x:f>SUMIF('Revenue and costs'!$D$1928:$D$2055,$C34,'Revenue and costs'!K1928:K2055)</x:f>
        <x:v>80007.24714023538</x:v>
      </x:c>
      <x:c r="T34" s="10" t="n">
        <x:f>SUMIF('Revenue and costs'!$D$2056:$D$2183,$C34,'Revenue and costs'!K2056:K2183)</x:f>
        <x:v>84155.33704615291</x:v>
      </x:c>
      <x:c r="U34" s="10" t="n">
        <x:f>SUMIF('Revenue and costs'!$D$2184:$D$2311,$C34,'Revenue and costs'!K2184:K2311)</x:f>
        <x:v>88484.79946593211</x:v>
      </x:c>
      <x:c r="V34" s="10" t="n">
        <x:f>SUMIF('Revenue and costs'!$D$2312:$D$2439,$C34,'Revenue and costs'!K2312:K2439)</x:f>
        <x:v>93012.96880769238</x:v>
      </x:c>
      <x:c r="W34" s="10" t="n">
        <x:f>SUMIF('Revenue and costs'!$D$2440:$D$2567,$C34,'Revenue and costs'!K2440:K2567)</x:f>
        <x:v>97755.72371035344</x:v>
      </x:c>
    </x:row>
    <x:row r="35" ht="16" customHeight="1">
      <x:c r="A35" s="1"/>
      <x:c r="B35" s="1"/>
      <x:c r="C35" s="1" t="str">
        <x:v>Semajes premium and media</x:v>
      </x:c>
      <x:c r="D35" s="10" t="n">
        <x:f>SUMIF('Revenue and costs'!$D$8:$D$135,$C35,'Revenue and costs'!K8:K135)</x:f>
        <x:v>7743</x:v>
      </x:c>
      <x:c r="E35" s="10" t="n">
        <x:f>SUMIF('Revenue and costs'!$D$136:$D$263,$C35,'Revenue and costs'!K136:K263)</x:f>
        <x:v>11214.961200000002</x:v>
      </x:c>
      <x:c r="F35" s="10" t="n">
        <x:f>SUMIF('Revenue and costs'!$D$264:$D$391,$C35,'Revenue and costs'!K264:K391)</x:f>
        <x:v>14967.708357600002</x:v>
      </x:c>
      <x:c r="G35" s="10" t="n">
        <x:f>SUMIF('Revenue and costs'!$D$392:$D$519,$C35,'Revenue and costs'!K392:K519)</x:f>
        <x:v>19206.260465745603</x:v>
      </x:c>
      <x:c r="H35" s="10" t="n">
        <x:f>SUMIF('Revenue and costs'!$D$520:$D$647,$C35,'Revenue and costs'!K520:K647)</x:f>
        <x:v>24140.91361140746</x:v>
      </x:c>
      <x:c r="I35" s="10" t="n">
        <x:f>SUMIF('Revenue and costs'!$D$648:$D$775,$C35,'Revenue and costs'!K648:K775)</x:f>
        <x:v>28191.894725536593</x:v>
      </x:c>
      <x:c r="J35" s="10" t="n">
        <x:f>SUMIF('Revenue and costs'!$D$776:$D$903,$C35,'Revenue and costs'!K776:K903)</x:f>
        <x:v>31638.63253081858</x:v>
      </x:c>
      <x:c r="K35" s="10" t="n">
        <x:f>SUMIF('Revenue and costs'!$D$904:$D$1031,$C35,'Revenue and costs'!K904:K1031)</x:f>
        <x:v>34681.99008044726</x:v>
      </x:c>
      <x:c r="L35" s="10" t="n">
        <x:f>SUMIF('Revenue and costs'!$D$1032:$D$1159,$C35,'Revenue and costs'!K1032:K1159)</x:f>
        <x:v>37466.80289742636</x:v>
      </x:c>
      <x:c r="M35" s="10" t="n">
        <x:f>SUMIF('Revenue and costs'!$D$1160:$D$1287,$C35,'Revenue and costs'!K1160:K1287)</x:f>
        <x:v>40097.974664936766</x:v>
      </x:c>
      <x:c r="N35" s="10" t="n">
        <x:f>SUMIF('Revenue and costs'!$D$1288:$D$1415,$C35,'Revenue and costs'!K1288:K1415)</x:f>
        <x:v>42651.97318318562</x:v>
      </x:c>
      <x:c r="O35" s="10" t="n">
        <x:f>SUMIF('Revenue and costs'!$D$1416:$D$1543,$C35,'Revenue and costs'!K1416:K1543)</x:f>
        <x:v>45185.04230039979</x:v>
      </x:c>
      <x:c r="P35" s="10" t="n">
        <x:f>SUMIF('Revenue and costs'!$D$1544:$D$1671,$C35,'Revenue and costs'!K1544:K1671)</x:f>
        <x:v>47739.06924253954</x:v>
      </x:c>
      <x:c r="Q35" s="10" t="n">
        <x:f>SUMIF('Revenue and costs'!$D$1672:$D$1799,$C35,'Revenue and costs'!K1672:K1799)</x:f>
        <x:v>50345.77810065407</x:v>
      </x:c>
      <x:c r="R35" s="10" t="n">
        <x:f>SUMIF('Revenue and costs'!$D$1800:$D$1927,$C35,'Revenue and costs'!K1800:K1927)</x:f>
        <x:v>53029.728408018746</x:v>
      </x:c>
      <x:c r="S35" s="10" t="n">
        <x:f>SUMIF('Revenue and costs'!$D$1928:$D$2055,$C35,'Revenue and costs'!K1928:K2055)</x:f>
        <x:v>55810.46077539121</x:v>
      </x:c>
      <x:c r="T35" s="10" t="n">
        <x:f>SUMIF('Revenue and costs'!$D$2056:$D$2183,$C35,'Revenue and costs'!K2056:K2183)</x:f>
        <x:v>58704.033761113686</x:v>
      </x:c>
      <x:c r="U35" s="10" t="n">
        <x:f>SUMIF('Revenue and costs'!$D$2184:$D$2311,$C35,'Revenue and costs'!K2184:K2311)</x:f>
        <x:v>61724.12633015425</x:v>
      </x:c>
      <x:c r="V35" s="10" t="n">
        <x:f>SUMIF('Revenue and costs'!$D$2312:$D$2439,$C35,'Revenue and costs'!K2312:K2439)</x:f>
        <x:v>64882.830403420005</x:v>
      </x:c>
      <x:c r="W35" s="10" t="n">
        <x:f>SUMIF('Revenue and costs'!$D$2440:$D$2567,$C35,'Revenue and costs'!K2440:K2567)</x:f>
        <x:v>68191.22240443845</x:v>
      </x:c>
    </x:row>
    <x:row r="36" ht="16" customHeight="1">
      <x:c r="A36" s="1"/>
      <x:c r="B36" s="1"/>
      <x:c r="C36" s="1" t="str">
        <x:v>Semajes courses</x:v>
      </x:c>
      <x:c r="D36" s="10" t="n">
        <x:f>SUMIF('Revenue and costs'!$D$8:$D$135,$C36,'Revenue and costs'!K8:K135)</x:f>
        <x:v>7020</x:v>
      </x:c>
      <x:c r="E36" s="10" t="n">
        <x:f>SUMIF('Revenue and costs'!$D$136:$D$263,$C36,'Revenue and costs'!K136:K263)</x:f>
        <x:v>10024.56</x:v>
      </x:c>
      <x:c r="F36" s="10" t="n">
        <x:f>SUMIF('Revenue and costs'!$D$264:$D$391,$C36,'Revenue and costs'!K264:K391)</x:f>
        <x:v>12215.28438</x:v>
      </x:c>
      <x:c r="G36" s="10" t="n">
        <x:f>SUMIF('Revenue and costs'!$D$392:$D$519,$C36,'Revenue and costs'!K392:K519)</x:f>
        <x:v>14444.92983024</x:v>
      </x:c>
      <x:c r="H36" s="10" t="n">
        <x:f>SUMIF('Revenue and costs'!$D$520:$D$647,$C36,'Revenue and costs'!K520:K647)</x:f>
        <x:v>16973.585010259016</x:v>
      </x:c>
      <x:c r="I36" s="10" t="n">
        <x:f>SUMIF('Revenue and costs'!$D$648:$D$775,$C36,'Revenue and costs'!K648:K775)</x:f>
        <x:v>18290.87255308338</x:v>
      </x:c>
      <x:c r="J36" s="10" t="n">
        <x:f>SUMIF('Revenue and costs'!$D$776:$D$903,$C36,'Revenue and costs'!K776:K903)</x:f>
        <x:v>19333.288860302247</x:v>
      </x:c>
      <x:c r="K36" s="10" t="n">
        <x:f>SUMIF('Revenue and costs'!$D$904:$D$1031,$C36,'Revenue and costs'!K904:K1031)</x:f>
        <x:v>20341.362306421914</x:v>
      </x:c>
      <x:c r="L36" s="10" t="n">
        <x:f>SUMIF('Revenue and costs'!$D$1032:$D$1159,$C36,'Revenue and costs'!K1032:K1159)</x:f>
        <x:v>21378.2365417229</x:v>
      </x:c>
      <x:c r="M36" s="10" t="n">
        <x:f>SUMIF('Revenue and costs'!$D$1160:$D$1287,$C36,'Revenue and costs'!K1160:K1287)</x:f>
        <x:v>22461.91364289607</x:v>
      </x:c>
      <x:c r="N36" s="10" t="n">
        <x:f>SUMIF('Revenue and costs'!$D$1288:$D$1415,$C36,'Revenue and costs'!K1288:K1415)</x:f>
        <x:v>23598.980747927922</x:v>
      </x:c>
      <x:c r="O36" s="10" t="n">
        <x:f>SUMIF('Revenue and costs'!$D$1416:$D$1543,$C36,'Revenue and costs'!K1416:K1543)</x:f>
        <x:v>24793.215213821913</x:v>
      </x:c>
      <x:c r="P36" s="10" t="n">
        <x:f>SUMIF('Revenue and costs'!$D$1544:$D$1671,$C36,'Revenue and costs'!K1544:K1671)</x:f>
        <x:v>26047.78404385375</x:v>
      </x:c>
      <x:c r="Q36" s="10" t="n">
        <x:f>SUMIF('Revenue and costs'!$D$1672:$D$1799,$C36,'Revenue and costs'!K1672:K1799)</x:f>
        <x:v>27365.81011222693</x:v>
      </x:c>
      <x:c r="R36" s="10" t="n">
        <x:f>SUMIF('Revenue and costs'!$D$1800:$D$1927,$C36,'Revenue and costs'!K1800:K1927)</x:f>
        <x:v>28750.522193822926</x:v>
      </x:c>
      <x:c r="S36" s="10" t="n">
        <x:f>SUMIF('Revenue and costs'!$D$1928:$D$2055,$C36,'Revenue and costs'!K1928:K2055)</x:f>
        <x:v>30205.299149759285</x:v>
      </x:c>
      <x:c r="T36" s="10" t="n">
        <x:f>SUMIF('Revenue and costs'!$D$2056:$D$2183,$C36,'Revenue and costs'!K2056:K2183)</x:f>
        <x:v>31733.68742263398</x:v>
      </x:c>
      <x:c r="U36" s="10" t="n">
        <x:f>SUMIF('Revenue and costs'!$D$2184:$D$2311,$C36,'Revenue and costs'!K2184:K2311)</x:f>
        <x:v>33339.412040872965</x:v>
      </x:c>
      <x:c r="V36" s="10" t="n">
        <x:f>SUMIF('Revenue and costs'!$D$2312:$D$2439,$C36,'Revenue and costs'!K2312:K2439)</x:f>
        <x:v>35026.386298977835</x:v>
      </x:c>
      <x:c r="W36" s="10" t="n">
        <x:f>SUMIF('Revenue and costs'!$D$2440:$D$2567,$C36,'Revenue and costs'!K2440:K2567)</x:f>
        <x:v>36798.72144795947</x:v>
      </x:c>
    </x:row>
    <x:row r="37" ht="16" customHeight="1">
      <x:c r="A37" s="1"/>
      <x:c r="B37" s="1"/>
      <x:c r="C37" s="1" t="str">
        <x:v>Sleepy Face</x:v>
      </x:c>
      <x:c r="D37" s="10" t="n">
        <x:f>SUMIF('Revenue and costs'!$D$8:$D$135,$C37,'Revenue and costs'!K8:K135)</x:f>
        <x:v>72000</x:v>
      </x:c>
      <x:c r="E37" s="10" t="n">
        <x:f>SUMIF('Revenue and costs'!$D$136:$D$263,$C37,'Revenue and costs'!K136:K263)</x:f>
        <x:v>137185.92</x:v>
      </x:c>
      <x:c r="F37" s="10" t="n">
        <x:f>SUMIF('Revenue and costs'!$D$264:$D$391,$C37,'Revenue and costs'!K264:K391)</x:f>
        <x:v>173530.729728</x:v>
      </x:c>
      <x:c r="G37" s="10" t="n">
        <x:f>SUMIF('Revenue and costs'!$D$392:$D$519,$C37,'Revenue and costs'!K392:K519)</x:f>
        <x:v>203385.22326558726</x:v>
      </x:c>
      <x:c r="H37" s="10" t="n">
        <x:f>SUMIF('Revenue and costs'!$D$520:$D$647,$C37,'Revenue and costs'!K520:K647)</x:f>
        <x:v>233921.2566516488</x:v>
      </x:c>
      <x:c r="I37" s="10" t="n">
        <x:f>SUMIF('Revenue and costs'!$D$648:$D$775,$C37,'Revenue and costs'!K648:K775)</x:f>
        <x:v>251952.56301140203</x:v>
      </x:c>
      <x:c r="J37" s="10" t="n">
        <x:f>SUMIF('Revenue and costs'!$D$776:$D$903,$C37,'Revenue and costs'!K776:K903)</x:f>
        <x:v>266596.999276372</x:v>
      </x:c>
      <x:c r="K37" s="10" t="n">
        <x:f>SUMIF('Revenue and costs'!$D$904:$D$1031,$C37,'Revenue and costs'!K904:K1031)</x:f>
        <x:v>280666.8722321939</x:v>
      </x:c>
      <x:c r="L37" s="10" t="n">
        <x:f>SUMIF('Revenue and costs'!$D$1032:$D$1159,$C37,'Revenue and costs'!K1032:K1159)</x:f>
        <x:v>295046.1157936288</x:v>
      </x:c>
      <x:c r="M37" s="10" t="n">
        <x:f>SUMIF('Revenue and costs'!$D$1160:$D$1287,$C37,'Revenue and costs'!K1160:K1287)</x:f>
        <x:v>310029.76419969107</x:v>
      </x:c>
      <x:c r="N37" s="10" t="n">
        <x:f>SUMIF('Revenue and costs'!$D$1288:$D$1415,$C37,'Revenue and costs'!K1288:K1415)</x:f>
        <x:v>325733.89064194827</x:v>
      </x:c>
      <x:c r="O37" s="10" t="n">
        <x:f>SUMIF('Revenue and costs'!$D$1416:$D$1543,$C37,'Revenue and costs'!K1416:K1543)</x:f>
        <x:v>342221.11134279927</x:v>
      </x:c>
      <x:c r="P37" s="10" t="n">
        <x:f>SUMIF('Revenue and costs'!$D$1544:$D$1671,$C37,'Revenue and costs'!K1544:K1671)</x:f>
        <x:v>359539.0558420616</x:v>
      </x:c>
      <x:c r="Q37" s="10" t="n">
        <x:f>SUMIF('Revenue and costs'!$D$1672:$D$1799,$C37,'Revenue and costs'!K1672:K1799)</x:f>
        <x:v>377732.20828485687</x:v>
      </x:c>
      <x:c r="R37" s="10" t="n">
        <x:f>SUMIF('Revenue and costs'!$D$1800:$D$1927,$C37,'Revenue and costs'!K1800:K1927)</x:f>
        <x:v>396845.6037465298</x:v>
      </x:c>
      <x:c r="S37" s="10" t="n">
        <x:f>SUMIF('Revenue and costs'!$D$1928:$D$2055,$C37,'Revenue and costs'!K1928:K2055)</x:f>
        <x:v>416926.0358871768</x:v>
      </x:c>
      <x:c r="T37" s="10" t="n">
        <x:f>SUMIF('Revenue and costs'!$D$2056:$D$2183,$C37,'Revenue and costs'!K2056:K2183)</x:f>
        <x:v>438022.50694793614</x:v>
      </x:c>
      <x:c r="U37" s="10" t="n">
        <x:f>SUMIF('Revenue and costs'!$D$2184:$D$2311,$C37,'Revenue and costs'!K2184:K2311)</x:f>
        <x:v>460186.4499748314</x:v>
      </x:c>
      <x:c r="V37" s="10" t="n">
        <x:f>SUMIF('Revenue and costs'!$D$2312:$D$2439,$C37,'Revenue and costs'!K2312:K2439)</x:f>
        <x:v>483471.8856212088</x:v>
      </x:c>
      <x:c r="W37" s="10" t="n">
        <x:f>SUMIF('Revenue and costs'!$D$2440:$D$2567,$C37,'Revenue and costs'!K2440:K2567)</x:f>
        <x:v>507935.56342460314</x:v>
      </x:c>
    </x:row>
    <x:row r="38" ht="16" customHeight="1">
      <x:c r="A38" s="1"/>
      <x:c r="B38" s="1"/>
      <x:c r="C38" s="1" t="str">
        <x:v>QzoticMusic</x:v>
      </x:c>
      <x:c r="D38" s="10" t="n">
        <x:f>SUMIF('Revenue and costs'!$D$8:$D$135,$C38,'Revenue and costs'!K8:K135)</x:f>
        <x:v>6000</x:v>
      </x:c>
      <x:c r="E38" s="10" t="n">
        <x:f>SUMIF('Revenue and costs'!$D$136:$D$263,$C38,'Revenue and costs'!K136:K263)</x:f>
        <x:v>11191.95</x:v>
      </x:c>
      <x:c r="F38" s="10" t="n">
        <x:f>SUMIF('Revenue and costs'!$D$264:$D$391,$C38,'Revenue and costs'!K264:K391)</x:f>
        <x:v>14147.6193</x:v>
      </x:c>
      <x:c r="G38" s="10" t="n">
        <x:f>SUMIF('Revenue and costs'!$D$392:$D$519,$C38,'Revenue and costs'!K392:K519)</x:f>
        <x:v>16550.68619115001</x:v>
      </x:c>
      <x:c r="H38" s="10" t="n">
        <x:f>SUMIF('Revenue and costs'!$D$520:$D$647,$C38,'Revenue and costs'!K520:K647)</x:f>
        <x:v>18968.296948083906</x:v>
      </x:c>
      <x:c r="I38" s="10" t="n">
        <x:f>SUMIF('Revenue and costs'!$D$648:$D$775,$C38,'Revenue and costs'!K648:K775)</x:f>
        <x:v>20432.42338372064</x:v>
      </x:c>
      <x:c r="J38" s="10" t="n">
        <x:f>SUMIF('Revenue and costs'!$D$776:$D$903,$C38,'Revenue and costs'!K776:K903)</x:f>
        <x:v>21631.105745939418</x:v>
      </x:c>
      <x:c r="K38" s="10" t="n">
        <x:f>SUMIF('Revenue and costs'!$D$904:$D$1031,$C38,'Revenue and costs'!K904:K1031)</x:f>
        <x:v>22780.586623866344</x:v>
      </x:c>
      <x:c r="L38" s="10" t="n">
        <x:f>SUMIF('Revenue and costs'!$D$1032:$D$1159,$C38,'Revenue and costs'!K1032:K1159)</x:f>
        <x:v>23951.90910015951</x:v>
      </x:c>
      <x:c r="M38" s="10" t="n">
        <x:f>SUMIF('Revenue and costs'!$D$1160:$D$1287,$C38,'Revenue and costs'!K1160:K1287)</x:f>
        <x:v>25170.271980504356</x:v>
      </x:c>
      <x:c r="N38" s="10" t="n">
        <x:f>SUMIF('Revenue and costs'!$D$1288:$D$1415,$C38,'Revenue and costs'!K1288:K1415)</x:f>
        <x:v>26446.106757960282</x:v>
      </x:c>
      <x:c r="O38" s="10" t="n">
        <x:f>SUMIF('Revenue and costs'!$D$1416:$D$1543,$C38,'Revenue and costs'!K1416:K1543)</x:f>
        <x:v>27785.055511902843</x:v>
      </x:c>
      <x:c r="P38" s="10" t="n">
        <x:f>SUMIF('Revenue and costs'!$D$1544:$D$1671,$C38,'Revenue and costs'!K1544:K1671)</x:f>
        <x:v>29191.252072970274</x:v>
      </x:c>
      <x:c r="Q38" s="10" t="n">
        <x:f>SUMIF('Revenue and costs'!$D$1672:$D$1799,$C38,'Revenue and costs'!K1672:K1799)</x:f>
        <x:v>30668.425731605254</x:v>
      </x:c>
      <x:c r="R38" s="10" t="n">
        <x:f>SUMIF('Revenue and costs'!$D$1800:$D$1927,$C38,'Revenue and costs'!K1800:K1927)</x:f>
        <x:v>32220.282181521645</x:v>
      </x:c>
      <x:c r="S38" s="10" t="n">
        <x:f>SUMIF('Revenue and costs'!$D$1928:$D$2055,$C38,'Revenue and costs'!K1928:K2055)</x:f>
        <x:v>33850.6405669285</x:v>
      </x:c>
      <x:c r="T38" s="10" t="n">
        <x:f>SUMIF('Revenue and costs'!$D$2056:$D$2183,$C38,'Revenue and costs'!K2056:K2183)</x:f>
        <x:v>35563.48728410003</x:v>
      </x:c>
      <x:c r="U38" s="10" t="n">
        <x:f>SUMIF('Revenue and costs'!$D$2184:$D$2311,$C38,'Revenue and costs'!K2184:K2311)</x:f>
        <x:v>37363.00127285755</x:v>
      </x:c>
      <x:c r="V38" s="10" t="n">
        <x:f>SUMIF('Revenue and costs'!$D$2312:$D$2439,$C38,'Revenue and costs'!K2312:K2439)</x:f>
        <x:v>39253.56968310078</x:v>
      </x:c>
      <x:c r="W38" s="10" t="n">
        <x:f>SUMIF('Revenue and costs'!$D$2440:$D$2567,$C38,'Revenue and costs'!K2440:K2567)</x:f>
        <x:v>41239.8005036355</x:v>
      </x:c>
    </x:row>
    <x:row r="39" ht="16" customHeight="1">
      <x:c r="A39" s="1"/>
      <x:c r="B39" s="1"/>
      <x:c r="C39" s="1" t="str">
        <x:v>LesPetitFilms</x:v>
      </x:c>
      <x:c r="D39" s="10" t="n">
        <x:f>SUMIF('Revenue and costs'!$D$8:$D$135,$C39,'Revenue and costs'!K8:K135)</x:f>
        <x:v>23000</x:v>
      </x:c>
      <x:c r="E39" s="10" t="n">
        <x:f>SUMIF('Revenue and costs'!$D$136:$D$263,$C39,'Revenue and costs'!K136:K263)</x:f>
        <x:v>41758.80000000001</x:v>
      </x:c>
      <x:c r="F39" s="10" t="n">
        <x:f>SUMIF('Revenue and costs'!$D$264:$D$391,$C39,'Revenue and costs'!K264:K391)</x:f>
        <x:v>52548.52320000002</x:v>
      </x:c>
      <x:c r="G39" s="10" t="n">
        <x:f>SUMIF('Revenue and costs'!$D$392:$D$519,$C39,'Revenue and costs'!K392:K519)</x:f>
        <x:v>60992.611437600026</x:v>
      </x:c>
      <x:c r="H39" s="10" t="n">
        <x:f>SUMIF('Revenue and costs'!$D$520:$D$647,$C39,'Revenue and costs'!K520:K647)</x:f>
        <x:v>69159.55115435764</x:v>
      </x:c>
      <x:c r="I39" s="10" t="n">
        <x:f>SUMIF('Revenue and costs'!$D$648:$D$775,$C39,'Revenue and costs'!K648:K775)</x:f>
        <x:v>74472.8391901195</x:v>
      </x:c>
      <x:c r="J39" s="10" t="n">
        <x:f>SUMIF('Revenue and costs'!$D$776:$D$903,$C39,'Revenue and costs'!K776:K903)</x:f>
        <x:v>78888.69671794398</x:v>
      </x:c>
      <x:c r="K39" s="10" t="n">
        <x:f>SUMIF('Revenue and costs'!$D$904:$D$1031,$C39,'Revenue and costs'!K904:K1031)</x:f>
        <x:v>83111.63364760714</x:v>
      </x:c>
      <x:c r="L39" s="10" t="n">
        <x:f>SUMIF('Revenue and costs'!$D$1032:$D$1159,$C39,'Revenue and costs'!K1032:K1159)</x:f>
        <x:v>87399.60959881353</x:v>
      </x:c>
      <x:c r="M39" s="10" t="n">
        <x:f>SUMIF('Revenue and costs'!$D$1160:$D$1287,$C39,'Revenue and costs'!K1160:K1287)</x:f>
        <x:v>91851.49208655707</x:v>
      </x:c>
      <x:c r="N39" s="10" t="n">
        <x:f>SUMIF('Revenue and costs'!$D$1288:$D$1415,$C39,'Revenue and costs'!K1288:K1415)</x:f>
        <x:v>96509.69560654643</x:v>
      </x:c>
      <x:c r="O39" s="10" t="n">
        <x:f>SUMIF('Revenue and costs'!$D$1416:$D$1543,$C39,'Revenue and costs'!K1416:K1543)</x:f>
        <x:v>101396.84113752388</x:v>
      </x:c>
      <x:c r="P39" s="10" t="n">
        <x:f>SUMIF('Revenue and costs'!$D$1544:$D$1671,$C39,'Revenue and costs'!K1544:K1671)</x:f>
        <x:v>106528.86181026578</x:v>
      </x:c>
      <x:c r="Q39" s="10" t="n">
        <x:f>SUMIF('Revenue and costs'!$D$1672:$D$1799,$C39,'Revenue and costs'!K1672:K1799)</x:f>
        <x:v>111919.70078035763</x:v>
      </x:c>
      <x:c r="R39" s="10" t="n">
        <x:f>SUMIF('Revenue and costs'!$D$1800:$D$1927,$C39,'Revenue and costs'!K1800:K1927)</x:f>
        <x:v>117583.0084866535</x:v>
      </x:c>
      <x:c r="S39" s="10" t="n">
        <x:f>SUMIF('Revenue and costs'!$D$1928:$D$2055,$C39,'Revenue and costs'!K1928:K2055)</x:f>
        <x:v>123532.76970838927</x:v>
      </x:c>
      <x:c r="T39" s="10" t="n">
        <x:f>SUMIF('Revenue and costs'!$D$2056:$D$2183,$C39,'Revenue and costs'!K2056:K2183)</x:f>
        <x:v>129783.54962988882</x:v>
      </x:c>
      <x:c r="U39" s="10" t="n">
        <x:f>SUMIF('Revenue and costs'!$D$2184:$D$2311,$C39,'Revenue and costs'!K2184:K2311)</x:f>
        <x:v>136350.6050145703</x:v>
      </x:c>
      <x:c r="V39" s="10" t="n">
        <x:f>SUMIF('Revenue and costs'!$D$2312:$D$2439,$C39,'Revenue and costs'!K2312:K2439)</x:f>
        <x:v>143249.94840341457</x:v>
      </x:c>
      <x:c r="W39" s="10" t="n">
        <x:f>SUMIF('Revenue and costs'!$D$2440:$D$2567,$C39,'Revenue and costs'!K2440:K2567)</x:f>
        <x:v>150498.39678334052</x:v>
      </x:c>
    </x:row>
    <x:row r="40" ht="16" customHeight="1">
      <x:c r="A40" s="1"/>
      <x:c r="B40" s="1"/>
      <x:c r="C40" s="1" t="str">
        <x:v>Learn Anglais</x:v>
      </x:c>
      <x:c r="D40" s="10" t="n">
        <x:f>SUMIF('Revenue and costs'!$D$8:$D$135,$C40,'Revenue and costs'!K8:K135)</x:f>
        <x:v>26910</x:v>
      </x:c>
      <x:c r="E40" s="10" t="n">
        <x:f>SUMIF('Revenue and costs'!$D$136:$D$263,$C40,'Revenue and costs'!K136:K263)</x:f>
        <x:v>34000.884</x:v>
      </x:c>
      <x:c r="F40" s="10" t="n">
        <x:f>SUMIF('Revenue and costs'!$D$264:$D$391,$C40,'Revenue and costs'!K264:K391)</x:f>
        <x:v>41575.039452000005</x:v>
      </x:c>
      <x:c r="G40" s="10" t="n">
        <x:f>SUMIF('Revenue and costs'!$D$392:$D$519,$C40,'Revenue and costs'!K392:K519)</x:f>
        <x:v>50510.225912112</x:v>
      </x:c>
      <x:c r="H40" s="10" t="n">
        <x:f>SUMIF('Revenue and costs'!$D$520:$D$647,$C40,'Revenue and costs'!K520:K647)</x:f>
        <x:v>61298.12350597135</x:v>
      </x:c>
      <x:c r="I40" s="10" t="n">
        <x:f>SUMIF('Revenue and costs'!$D$648:$D$775,$C40,'Revenue and costs'!K648:K775)</x:f>
        <x:v>69663.93071010658</x:v>
      </x:c>
      <x:c r="J40" s="10" t="n">
        <x:f>SUMIF('Revenue and costs'!$D$776:$D$903,$C40,'Revenue and costs'!K776:K903)</x:f>
        <x:v>76791.04513675037</x:v>
      </x:c>
      <x:c r="K40" s="10" t="n">
        <x:f>SUMIF('Revenue and costs'!$D$904:$D$1031,$C40,'Revenue and costs'!K904:K1031)</x:f>
        <x:v>83208.687127156</x:v>
      </x:c>
      <x:c r="L40" s="10" t="n">
        <x:f>SUMIF('Revenue and costs'!$D$1032:$D$1159,$C40,'Revenue and costs'!K1032:K1159)</x:f>
        <x:v>89216.73143065412</x:v>
      </x:c>
      <x:c r="M40" s="10" t="n">
        <x:f>SUMIF('Revenue and costs'!$D$1160:$D$1287,$C40,'Revenue and costs'!K1160:K1287)</x:f>
        <x:v>95012.05055869058</x:v>
      </x:c>
      <x:c r="N40" s="10" t="n">
        <x:f>SUMIF('Revenue and costs'!$D$1288:$D$1415,$C40,'Revenue and costs'!K1288:K1415)</x:f>
        <x:v>100733.59884688197</x:v>
      </x:c>
      <x:c r="O40" s="10" t="n">
        <x:f>SUMIF('Revenue and costs'!$D$1416:$D$1543,$C40,'Revenue and costs'!K1416:K1543)</x:f>
        <x:v>106483.10235914058</x:v>
      </x:c>
      <x:c r="P40" s="10" t="n">
        <x:f>SUMIF('Revenue and costs'!$D$1544:$D$1671,$C40,'Revenue and costs'!K1544:K1671)</x:f>
        <x:v>112336.90607524784</x:v>
      </x:c>
      <x:c r="Q40" s="10" t="n">
        <x:f>SUMIF('Revenue and costs'!$D$1672:$D$1799,$C40,'Revenue and costs'!K1672:K1799)</x:f>
        <x:v>118353.69429098225</x:v>
      </x:c>
      <x:c r="R40" s="10" t="n">
        <x:f>SUMIF('Revenue and costs'!$D$1800:$D$1927,$C40,'Revenue and costs'!K1800:K1927)</x:f>
        <x:v>124579.8225334174</x:v>
      </x:c>
      <x:c r="S40" s="10" t="n">
        <x:f>SUMIF('Revenue and costs'!$D$1928:$D$2055,$C40,'Revenue and costs'!K1928:K2055)</x:f>
        <x:v>131053.08679657984</x:v>
      </x:c>
      <x:c r="T40" s="10" t="n">
        <x:f>SUMIF('Revenue and costs'!$D$2056:$D$2183,$C40,'Revenue and costs'!K2056:K2183)</x:f>
        <x:v>137805.41383007573</x:v>
      </x:c>
      <x:c r="U40" s="10" t="n">
        <x:f>SUMIF('Revenue and costs'!$D$2184:$D$2311,$C40,'Revenue and costs'!K2184:K2311)</x:f>
        <x:v>144864.7908843894</x:v>
      </x:c>
      <x:c r="V40" s="10" t="n">
        <x:f>SUMIF('Revenue and costs'!$D$2312:$D$2439,$C40,'Revenue and costs'!K2312:K2439)</x:f>
        <x:v>152256.6553950734</x:v>
      </x:c>
      <x:c r="W40" s="10" t="n">
        <x:f>SUMIF('Revenue and costs'!$D$2440:$D$2567,$C40,'Revenue and costs'!K2440:K2567)</x:f>
        <x:v>160004.9003046889</x:v>
      </x:c>
    </x:row>
    <x:row r="41" ht="16" customHeight="1">
      <x:c r="A41" s="1"/>
      <x:c r="B41" s="1"/>
      <x:c r="C41" s="1" t="str">
        <x:v>Fiefé</x:v>
      </x:c>
      <x:c r="D41" s="10" t="n">
        <x:f>SUMIF('Revenue and costs'!$D$8:$D$135,$C41,'Revenue and costs'!K8:K135)</x:f>
        <x:v>16050</x:v>
      </x:c>
      <x:c r="E41" s="10" t="n">
        <x:f>SUMIF('Revenue and costs'!$D$136:$D$263,$C41,'Revenue and costs'!K136:K263)</x:f>
        <x:v>30581.028</x:v>
      </x:c>
      <x:c r="F41" s="10" t="n">
        <x:f>SUMIF('Revenue and costs'!$D$264:$D$391,$C41,'Revenue and costs'!K264:K391)</x:f>
        <x:v>38682.891835200004</x:v>
      </x:c>
      <x:c r="G41" s="10" t="n">
        <x:f>SUMIF('Revenue and costs'!$D$392:$D$519,$C41,'Revenue and costs'!K392:K519)</x:f>
        <x:v>45337.95601962049</x:v>
      </x:c>
      <x:c r="H41" s="10" t="n">
        <x:f>SUMIF('Revenue and costs'!$D$520:$D$647,$C41,'Revenue and costs'!K520:K647)</x:f>
        <x:v>52144.94679526337</x:v>
      </x:c>
      <x:c r="I41" s="10" t="n">
        <x:f>SUMIF('Revenue and costs'!$D$648:$D$775,$C41,'Revenue and costs'!K648:K775)</x:f>
        <x:v>56164.42550462503</x:v>
      </x:c>
      <x:c r="J41" s="10" t="n">
        <x:f>SUMIF('Revenue and costs'!$D$776:$D$903,$C41,'Revenue and costs'!K776:K903)</x:f>
        <x:v>59428.91442202459</x:v>
      </x:c>
      <x:c r="K41" s="10" t="n">
        <x:f>SUMIF('Revenue and costs'!$D$904:$D$1031,$C41,'Revenue and costs'!K904:K1031)</x:f>
        <x:v>62565.32360175988</x:v>
      </x:c>
      <x:c r="L41" s="10" t="n">
        <x:f>SUMIF('Revenue and costs'!$D$1032:$D$1159,$C41,'Revenue and costs'!K1032:K1159)</x:f>
        <x:v>65770.69664566308</x:v>
      </x:c>
      <x:c r="M41" s="10" t="n">
        <x:f>SUMIF('Revenue and costs'!$D$1160:$D$1287,$C41,'Revenue and costs'!K1160:K1287)</x:f>
        <x:v>69110.8016028478</x:v>
      </x:c>
      <x:c r="N41" s="10" t="n">
        <x:f>SUMIF('Revenue and costs'!$D$1288:$D$1415,$C41,'Revenue and costs'!K1288:K1415)</x:f>
        <x:v>72611.51312226764</x:v>
      </x:c>
      <x:c r="O41" s="10" t="n">
        <x:f>SUMIF('Revenue and costs'!$D$1416:$D$1543,$C41,'Revenue and costs'!K1416:K1543)</x:f>
        <x:v>76286.78940349899</x:v>
      </x:c>
      <x:c r="P41" s="10" t="n">
        <x:f>SUMIF('Revenue and costs'!$D$1544:$D$1671,$C41,'Revenue and costs'!K1544:K1671)</x:f>
        <x:v>80147.2478647929</x:v>
      </x:c>
      <x:c r="Q41" s="10" t="n">
        <x:f>SUMIF('Revenue and costs'!$D$1672:$D$1799,$C41,'Revenue and costs'!K1672:K1799)</x:f>
        <x:v>84202.80476349934</x:v>
      </x:c>
      <x:c r="R41" s="10" t="n">
        <x:f>SUMIF('Revenue and costs'!$D$1800:$D$1927,$C41,'Revenue and costs'!K1800:K1927)</x:f>
        <x:v>88463.49916849728</x:v>
      </x:c>
      <x:c r="S41" s="10" t="n">
        <x:f>SUMIF('Revenue and costs'!$D$1928:$D$2055,$C41,'Revenue and costs'!K1928:K2055)</x:f>
        <x:v>92939.76216651649</x:v>
      </x:c>
      <x:c r="T41" s="10" t="n">
        <x:f>SUMIF('Revenue and costs'!$D$2056:$D$2183,$C41,'Revenue and costs'!K2056:K2183)</x:f>
        <x:v>97642.51717381077</x:v>
      </x:c>
      <x:c r="U41" s="10" t="n">
        <x:f>SUMIF('Revenue and costs'!$D$2184:$D$2311,$C41,'Revenue and costs'!K2184:K2311)</x:f>
        <x:v>102583.22947355619</x:v>
      </x:c>
      <x:c r="V41" s="10" t="n">
        <x:f>SUMIF('Revenue and costs'!$D$2312:$D$2439,$C41,'Revenue and costs'!K2312:K2439)</x:f>
        <x:v>107773.94116972781</x:v>
      </x:c>
      <x:c r="W41" s="10" t="n">
        <x:f>SUMIF('Revenue and costs'!$D$2440:$D$2567,$C41,'Revenue and costs'!K2440:K2567)</x:f>
        <x:v>113227.3026800678</x:v>
      </x:c>
    </x:row>
    <x:row r="42" ht="16" customHeight="1">
      <x:c r="A42" s="1"/>
      <x:c r="B42" s="1"/>
      <x:c r="C42" s="1" t="str">
        <x:v>Fiefé Design</x:v>
      </x:c>
      <x:c r="D42" s="10" t="n">
        <x:f>SUMIF('Revenue and costs'!$D$8:$D$135,$C42,'Revenue and costs'!K8:K135)</x:f>
        <x:v>10000</x:v>
      </x:c>
      <x:c r="E42" s="10" t="n">
        <x:f>SUMIF('Revenue and costs'!$D$136:$D$263,$C42,'Revenue and costs'!K136:K263)</x:f>
        <x:v>19053.600000000002</x:v>
      </x:c>
      <x:c r="F42" s="10" t="n">
        <x:f>SUMIF('Revenue and costs'!$D$264:$D$391,$C42,'Revenue and costs'!K264:K391)</x:f>
        <x:v>24101.49024</x:v>
      </x:c>
      <x:c r="G42" s="10" t="n">
        <x:f>SUMIF('Revenue and costs'!$D$392:$D$519,$C42,'Revenue and costs'!K392:K519)</x:f>
        <x:v>28247.947675776006</x:v>
      </x:c>
      <x:c r="H42" s="10" t="n">
        <x:f>SUMIF('Revenue and costs'!$D$520:$D$647,$C42,'Revenue and costs'!K520:K647)</x:f>
        <x:v>32489.063423840107</x:v>
      </x:c>
      <x:c r="I42" s="10" t="n">
        <x:f>SUMIF('Revenue and costs'!$D$648:$D$775,$C42,'Revenue and costs'!K648:K775)</x:f>
        <x:v>34993.411529361394</x:v>
      </x:c>
      <x:c r="J42" s="10" t="n">
        <x:f>SUMIF('Revenue and costs'!$D$776:$D$903,$C42,'Revenue and costs'!K776:K903)</x:f>
        <x:v>37027.361010607216</x:v>
      </x:c>
      <x:c r="K42" s="10" t="n">
        <x:f>SUMIF('Revenue and costs'!$D$904:$D$1031,$C42,'Revenue and costs'!K904:K1031)</x:f>
        <x:v>38981.51003224915</x:v>
      </x:c>
      <x:c r="L42" s="10" t="n">
        <x:f>SUMIF('Revenue and costs'!$D$1032:$D$1159,$C42,'Revenue and costs'!K1032:K1159)</x:f>
        <x:v>40978.62719355955</x:v>
      </x:c>
      <x:c r="M42" s="10" t="n">
        <x:f>SUMIF('Revenue and costs'!$D$1160:$D$1287,$C42,'Revenue and costs'!K1160:K1287)</x:f>
        <x:v>43059.68947217932</x:v>
      </x:c>
      <x:c r="N42" s="10" t="n">
        <x:f>SUMIF('Revenue and costs'!$D$1288:$D$1415,$C42,'Revenue and costs'!K1288:K1415)</x:f>
        <x:v>45240.81814471505</x:v>
      </x:c>
      <x:c r="O42" s="10" t="n">
        <x:f>SUMIF('Revenue and costs'!$D$1416:$D$1543,$C42,'Revenue and costs'!K1416:K1543)</x:f>
        <x:v>47530.70990872213</x:v>
      </x:c>
      <x:c r="P42" s="10" t="n">
        <x:f>SUMIF('Revenue and costs'!$D$1544:$D$1671,$C42,'Revenue and costs'!K1544:K1671)</x:f>
        <x:v>49935.97997806412</x:v>
      </x:c>
      <x:c r="Q42" s="10" t="n">
        <x:f>SUMIF('Revenue and costs'!$D$1672:$D$1799,$C42,'Revenue and costs'!K1672:K1799)</x:f>
        <x:v>52462.806706230134</x:v>
      </x:c>
      <x:c r="R42" s="10" t="n">
        <x:f>SUMIF('Revenue and costs'!$D$1800:$D$1927,$C42,'Revenue and costs'!K1800:K1927)</x:f>
        <x:v>55117.44496479581</x:v>
      </x:c>
      <x:c r="S42" s="10" t="n">
        <x:f>SUMIF('Revenue and costs'!$D$1928:$D$2055,$C42,'Revenue and costs'!K1928:K2055)</x:f>
        <x:v>57906.393873219014</x:v>
      </x:c>
      <x:c r="T42" s="10" t="n">
        <x:f>SUMIF('Revenue and costs'!$D$2056:$D$2183,$C42,'Revenue and costs'!K2056:K2183)</x:f>
        <x:v>60836.45929832447</x:v>
      </x:c>
      <x:c r="U42" s="10" t="n">
        <x:f>SUMIF('Revenue and costs'!$D$2184:$D$2311,$C42,'Revenue and costs'!K2184:K2311)</x:f>
        <x:v>63914.784718726594</x:v>
      </x:c>
      <x:c r="V42" s="10" t="n">
        <x:f>SUMIF('Revenue and costs'!$D$2312:$D$2439,$C42,'Revenue and costs'!K2312:K2439)</x:f>
        <x:v>67148.87300294568</x:v>
      </x:c>
      <x:c r="W42" s="10" t="n">
        <x:f>SUMIF('Revenue and costs'!$D$2440:$D$2567,$C42,'Revenue and costs'!K2440:K2567)</x:f>
        <x:v>70546.60603119488</x:v>
      </x:c>
    </x:row>
    <x:row r="43" ht="16" customHeight="1">
      <x:c r="A43" s="1"/>
      <x:c r="B43" s="1"/>
      <x:c r="C43" s="1" t="str">
        <x:v>OsezArt</x:v>
      </x:c>
      <x:c r="D43" s="10" t="n">
        <x:f>SUMIF('Revenue and costs'!$D$8:$D$135,$C43,'Revenue and costs'!K8:K135)</x:f>
        <x:v>47500</x:v>
      </x:c>
      <x:c r="E43" s="10" t="n">
        <x:f>SUMIF('Revenue and costs'!$D$136:$D$263,$C43,'Revenue and costs'!K136:K263)</x:f>
        <x:v>68003.4</x:v>
      </x:c>
      <x:c r="F43" s="10" t="n">
        <x:f>SUMIF('Revenue and costs'!$D$264:$D$391,$C43,'Revenue and costs'!K264:K391)</x:f>
        <x:v>84650.06520000001</x:v>
      </x:c>
      <x:c r="G43" s="10" t="n">
        <x:f>SUMIF('Revenue and costs'!$D$392:$D$519,$C43,'Revenue and costs'!K392:K519)</x:f>
        <x:v>100163.07216720004</x:v>
      </x:c>
      <x:c r="H43" s="10" t="n">
        <x:f>SUMIF('Revenue and costs'!$D$520:$D$647,$C43,'Revenue and costs'!K520:K647)</x:f>
        <x:v>116082.39536483042</x:v>
      </x:c>
      <x:c r="I43" s="10" t="n">
        <x:f>SUMIF('Revenue and costs'!$D$648:$D$775,$C43,'Revenue and costs'!K648:K775)</x:f>
        <x:v>128116.6462933845</x:v>
      </x:c>
      <x:c r="J43" s="10" t="n">
        <x:f>SUMIF('Revenue and costs'!$D$776:$D$903,$C43,'Revenue and costs'!K776:K903)</x:f>
        <x:v>138188.46895931882</x:v>
      </x:c>
      <x:c r="K43" s="10" t="n">
        <x:f>SUMIF('Revenue and costs'!$D$904:$D$1031,$C43,'Revenue and costs'!K904:K1031)</x:f>
        <x:v>147330.6109989237</x:v>
      </x:c>
      <x:c r="L43" s="10" t="n">
        <x:f>SUMIF('Revenue and costs'!$D$1032:$D$1159,$C43,'Revenue and costs'!K1032:K1159)</x:f>
        <x:v>156109.95957087062</x:v>
      </x:c>
      <x:c r="M43" s="10" t="n">
        <x:f>SUMIF('Revenue and costs'!$D$1160:$D$1287,$C43,'Revenue and costs'!K1160:K1287)</x:f>
        <x:v>164847.38300486066</x:v>
      </x:c>
      <x:c r="N43" s="10" t="n">
        <x:f>SUMIF('Revenue and costs'!$D$1288:$D$1415,$C43,'Revenue and costs'!K1288:K1415)</x:f>
        <x:v>173732.41601474644</x:v>
      </x:c>
      <x:c r="O43" s="10" t="n">
        <x:f>SUMIF('Revenue and costs'!$D$1416:$D$1543,$C43,'Revenue and costs'!K1416:K1543)</x:f>
        <x:v>182883.5891042772</x:v>
      </x:c>
      <x:c r="P43" s="10" t="n">
        <x:f>SUMIF('Revenue and costs'!$D$1544:$D$1671,$C43,'Revenue and costs'!K1544:K1671)</x:f>
        <x:v>192380.51852589363</x:v>
      </x:c>
      <x:c r="Q43" s="10" t="n">
        <x:f>SUMIF('Revenue and costs'!$D$1672:$D$1799,$C43,'Revenue and costs'!K1672:K1799)</x:f>
        <x:v>202281.2246970818</x:v>
      </x:c>
      <x:c r="R43" s="10" t="n">
        <x:f>SUMIF('Revenue and costs'!$D$1800:$D$1927,$C43,'Revenue and costs'!K1800:K1927)</x:f>
        <x:v>212631.6537990143</x:v>
      </x:c>
      <x:c r="S43" s="10" t="n">
        <x:f>SUMIF('Revenue and costs'!$D$1928:$D$2055,$C43,'Revenue and costs'!K1928:K2055)</x:f>
        <x:v>223471.03543996508</x:v>
      </x:c>
      <x:c r="T43" s="10" t="n">
        <x:f>SUMIF('Revenue and costs'!$D$2056:$D$2183,$C43,'Revenue and costs'!K2056:K2183)</x:f>
        <x:v>234834.9832786801</x:v>
      </x:c>
      <x:c r="U43" s="10" t="n">
        <x:f>SUMIF('Revenue and costs'!$D$2184:$D$2311,$C43,'Revenue and costs'!K2184:K2311)</x:f>
        <x:v>246757.34979404698</x:v>
      </x:c>
      <x:c r="V43" s="10" t="n">
        <x:f>SUMIF('Revenue and costs'!$D$2312:$D$2439,$C43,'Revenue and costs'!K2312:K2439)</x:f>
        <x:v>259271.37854203256</x:v>
      </x:c>
      <x:c r="W43" s="10" t="n">
        <x:f>SUMIF('Revenue and costs'!$D$2440:$D$2567,$C43,'Revenue and costs'!K2440:K2567)</x:f>
        <x:v>272410.4507628452</x:v>
      </x:c>
    </x:row>
    <x:row r="44" ht="16" customHeight="1">
      <x:c r="A44" s="1"/>
      <x:c r="B44" s="1"/>
      <x:c r="C44" s="1" t="str">
        <x:v>FinBot research</x:v>
      </x:c>
      <x:c r="D44" s="10" t="n">
        <x:f>SUMIF('Revenue and costs'!$D$8:$D$135,$C44,'Revenue and costs'!K8:K135)</x:f>
        <x:v>1740</x:v>
      </x:c>
      <x:c r="E44" s="10" t="n">
        <x:f>SUMIF('Revenue and costs'!$D$136:$D$263,$C44,'Revenue and costs'!K136:K263)</x:f>
        <x:v>3505.23</x:v>
      </x:c>
      <x:c r="F44" s="10" t="n">
        <x:f>SUMIF('Revenue and costs'!$D$264:$D$391,$C44,'Revenue and costs'!K264:K391)</x:f>
        <x:v>4485.008339999999</x:v>
      </x:c>
      <x:c r="G44" s="10" t="n">
        <x:f>SUMIF('Revenue and costs'!$D$392:$D$519,$C44,'Revenue and costs'!K392:K519)</x:f>
        <x:v>5356.125038069999</x:v>
      </x:c>
      <x:c r="H44" s="10" t="n">
        <x:f>SUMIF('Revenue and costs'!$D$520:$D$647,$C44,'Revenue and costs'!K520:K647)</x:f>
        <x:v>6307.013284744858</x:v>
      </x:c>
      <x:c r="I44" s="10" t="n">
        <x:f>SUMIF('Revenue and costs'!$D$648:$D$775,$C44,'Revenue and costs'!K648:K775)</x:f>
        <x:v>6799.514578488818</x:v>
      </x:c>
      <x:c r="J44" s="10" t="n">
        <x:f>SUMIF('Revenue and costs'!$D$776:$D$903,$C44,'Revenue and costs'!K776:K903)</x:f>
        <x:v>7187.778453652001</x:v>
      </x:c>
      <x:c r="K44" s="10" t="n">
        <x:f>SUMIF('Revenue and costs'!$D$904:$D$1031,$C44,'Revenue and costs'!K904:K1031)</x:f>
        <x:v>7562.753194967163</x:v>
      </x:c>
      <x:c r="L44" s="10" t="n">
        <x:f>SUMIF('Revenue and costs'!$D$1032:$D$1159,$C44,'Revenue and costs'!K1032:K1159)</x:f>
        <x:v>7948.303160280396</x:v>
      </x:c>
      <x:c r="M44" s="10" t="n">
        <x:f>SUMIF('Revenue and costs'!$D$1160:$D$1287,$C44,'Revenue and costs'!K1160:K1287)</x:f>
        <x:v>8351.220336870798</x:v>
      </x:c>
      <x:c r="N44" s="10" t="n">
        <x:f>SUMIF('Revenue and costs'!$D$1288:$D$1415,$C44,'Revenue and costs'!K1288:K1415)</x:f>
        <x:v>8773.979010269917</x:v>
      </x:c>
      <x:c r="O44" s="10" t="n">
        <x:f>SUMIF('Revenue and costs'!$D$1416:$D$1543,$C44,'Revenue and costs'!K1416:K1543)</x:f>
        <x:v>9217.990013899707</x:v>
      </x:c>
      <x:c r="P44" s="10" t="n">
        <x:f>SUMIF('Revenue and costs'!$D$1544:$D$1671,$C44,'Revenue and costs'!K1544:K1671)</x:f>
        <x:v>9684.432463359113</x:v>
      </x:c>
      <x:c r="Q44" s="10" t="n">
        <x:f>SUMIF('Revenue and costs'!$D$1672:$D$1799,$C44,'Revenue and costs'!K1672:K1799)</x:f>
        <x:v>10174.467845467887</x:v>
      </x:c>
      <x:c r="R44" s="10" t="n">
        <x:f>SUMIF('Revenue and costs'!$D$1800:$D$1927,$C44,'Revenue and costs'!K1800:K1927)</x:f>
        <x:v>10689.296708811577</x:v>
      </x:c>
      <x:c r="S44" s="10" t="n">
        <x:f>SUMIF('Revenue and costs'!$D$1928:$D$2055,$C44,'Revenue and costs'!K1928:K2055)</x:f>
        <x:v>11230.17532382001</x:v>
      </x:c>
      <x:c r="T44" s="10" t="n">
        <x:f>SUMIF('Revenue and costs'!$D$2056:$D$2183,$C44,'Revenue and costs'!K2056:K2183)</x:f>
        <x:v>11798.422246598662</x:v>
      </x:c>
      <x:c r="U44" s="10" t="n">
        <x:f>SUMIF('Revenue and costs'!$D$2184:$D$2311,$C44,'Revenue and costs'!K2184:K2311)</x:f>
        <x:v>12395.42242538186</x:v>
      </x:c>
      <x:c r="V44" s="10" t="n">
        <x:f>SUMIF('Revenue and costs'!$D$2312:$D$2439,$C44,'Revenue and costs'!K2312:K2439)</x:f>
        <x:v>13022.630803448037</x:v>
      </x:c>
      <x:c r="W44" s="10" t="n">
        <x:f>SUMIF('Revenue and costs'!$D$2440:$D$2567,$C44,'Revenue and costs'!K2440:K2567)</x:f>
        <x:v>13681.57592295468</x:v>
      </x:c>
    </x:row>
    <x:row r="45" ht="16" customHeight="1">
      <x:c r="A45" s="1"/>
      <x:c r="B45" s="1"/>
      <x:c r="C45" s="1" t="str">
        <x:v>Functional Analysis</x:v>
      </x:c>
      <x:c r="D45" s="10" t="n">
        <x:f>SUMIF('Revenue and costs'!$D$8:$D$135,$C45,'Revenue and costs'!K8:K135)</x:f>
        <x:v>4062</x:v>
      </x:c>
      <x:c r="E45" s="10" t="n">
        <x:f>SUMIF('Revenue and costs'!$D$136:$D$263,$C45,'Revenue and costs'!K136:K263)</x:f>
        <x:v>7501.284</x:v>
      </x:c>
      <x:c r="F45" s="10" t="n">
        <x:f>SUMIF('Revenue and costs'!$D$264:$D$391,$C45,'Revenue and costs'!K264:K391)</x:f>
        <x:v>9603.433008</x:v>
      </x:c>
      <x:c r="G45" s="10" t="n">
        <x:f>SUMIF('Revenue and costs'!$D$392:$D$519,$C45,'Revenue and costs'!K392:K519)</x:f>
        <x:v>11435.916463956</x:v>
      </x:c>
      <x:c r="H45" s="10" t="n">
        <x:f>SUMIF('Revenue and costs'!$D$520:$D$647,$C45,'Revenue and costs'!K520:K647)</x:f>
        <x:v>13341.40441979767</x:v>
      </x:c>
      <x:c r="I45" s="10" t="n">
        <x:f>SUMIF('Revenue and costs'!$D$648:$D$775,$C45,'Revenue and costs'!K648:K775)</x:f>
        <x:v>14465.993286913175</x:v>
      </x:c>
      <x:c r="J45" s="10" t="n">
        <x:f>SUMIF('Revenue and costs'!$D$776:$D$903,$C45,'Revenue and costs'!K776:K903)</x:f>
        <x:v>15369.296289599744</x:v>
      </x:c>
      <x:c r="K45" s="10" t="n">
        <x:f>SUMIF('Revenue and costs'!$D$904:$D$1031,$C45,'Revenue and costs'!K904:K1031)</x:f>
        <x:v>16219.586074623834</x:v>
      </x:c>
      <x:c r="L45" s="10" t="n">
        <x:f>SUMIF('Revenue and costs'!$D$1032:$D$1159,$C45,'Revenue and costs'!K1032:K1159)</x:f>
        <x:v>17073.558072774056</x:v>
      </x:c>
      <x:c r="M45" s="10" t="n">
        <x:f>SUMIF('Revenue and costs'!$D$1160:$D$1287,$C45,'Revenue and costs'!K1160:K1287)</x:f>
        <x:v>17953.482661248945</x:v>
      </x:c>
      <x:c r="N45" s="10" t="n">
        <x:f>SUMIF('Revenue and costs'!$D$1288:$D$1415,$C45,'Revenue and costs'!K1288:K1415)</x:f>
        <x:v>18869.845249044633</x:v>
      </x:c>
      <x:c r="O45" s="10" t="n">
        <x:f>SUMIF('Revenue and costs'!$D$1416:$D$1543,$C45,'Revenue and costs'!K1416:K1543)</x:f>
        <x:v>19828.634306349177</x:v>
      </x:c>
      <x:c r="P45" s="10" t="n">
        <x:f>SUMIF('Revenue and costs'!$D$1544:$D$1671,$C45,'Revenue and costs'!K1544:K1671)</x:f>
        <x:v>20833.97446805715</x:v>
      </x:c>
      <x:c r="Q45" s="10" t="n">
        <x:f>SUMIF('Revenue and costs'!$D$1672:$D$1799,$C45,'Revenue and costs'!K1672:K1799)</x:f>
        <x:v>21889.195260337212</x:v>
      </x:c>
      <x:c r="R45" s="10" t="n">
        <x:f>SUMIF('Revenue and costs'!$D$1800:$D$1927,$C45,'Revenue and costs'!K1800:K1927)</x:f>
        <x:v>22997.30856380234</x:v>
      </x:c>
      <x:c r="S45" s="10" t="n">
        <x:f>SUMIF('Revenue and costs'!$D$1928:$D$2055,$C45,'Revenue and costs'!K1928:K2055)</x:f>
        <x:v>24161.237324919428</x:v>
      </x:c>
      <x:c r="T45" s="10" t="n">
        <x:f>SUMIF('Revenue and costs'!$D$2056:$D$2183,$C45,'Revenue and costs'!K2056:K2183)</x:f>
        <x:v>25383.930989589568</x:v>
      </x:c>
      <x:c r="U45" s="10" t="n">
        <x:f>SUMIF('Revenue and costs'!$D$2184:$D$2311,$C45,'Revenue and costs'!K2184:K2311)</x:f>
        <x:v>26668.42675906523</x:v>
      </x:c>
      <x:c r="V45" s="10" t="n">
        <x:f>SUMIF('Revenue and costs'!$D$2312:$D$2439,$C45,'Revenue and costs'!K2312:K2439)</x:f>
        <x:v>28017.884268010195</x:v>
      </x:c>
      <x:c r="W45" s="10" t="n">
        <x:f>SUMIF('Revenue and costs'!$D$2440:$D$2567,$C45,'Revenue and costs'!K2440:K2567)</x:f>
        <x:v>29435.607119472363</x:v>
      </x:c>
    </x:row>
    <x:row r="46" ht="16" customHeight="1">
      <x:c r="A46" s="1"/>
      <x:c r="B46" s="1"/>
      <x:c r="C46" s="1" t="str">
        <x:v>Independent candy game</x:v>
      </x:c>
      <x:c r="D46" s="10" t="n">
        <x:f>SUMIF('Revenue and costs'!$D$8:$D$135,$C46,'Revenue and costs'!K8:K135)</x:f>
        <x:v>1497</x:v>
      </x:c>
      <x:c r="E46" s="10" t="n">
        <x:f>SUMIF('Revenue and costs'!$D$136:$D$263,$C46,'Revenue and costs'!K136:K263)</x:f>
        <x:v>3015.7065000000002</x:v>
      </x:c>
      <x:c r="F46" s="10" t="n">
        <x:f>SUMIF('Revenue and costs'!$D$264:$D$391,$C46,'Revenue and costs'!K264:K391)</x:f>
        <x:v>3858.6537270000003</x:v>
      </x:c>
      <x:c r="G46" s="10" t="n">
        <x:f>SUMIF('Revenue and costs'!$D$392:$D$519,$C46,'Revenue and costs'!K392:K519)</x:f>
        <x:v>4608.114472408501</x:v>
      </x:c>
      <x:c r="H46" s="10" t="n">
        <x:f>SUMIF('Revenue and costs'!$D$520:$D$647,$C46,'Revenue and costs'!K520:K647)</x:f>
        <x:v>5426.206257047733</x:v>
      </x:c>
      <x:c r="I46" s="10" t="n">
        <x:f>SUMIF('Revenue and costs'!$D$648:$D$775,$C46,'Revenue and costs'!K648:K775)</x:f>
        <x:v>5849.927197699865</x:v>
      </x:c>
      <x:c r="J46" s="10" t="n">
        <x:f>SUMIF('Revenue and costs'!$D$776:$D$903,$C46,'Revenue and costs'!K776:K903)</x:f>
        <x:v>6183.968014435085</x:v>
      </x:c>
      <x:c r="K46" s="10" t="n">
        <x:f>SUMIF('Revenue and costs'!$D$904:$D$1031,$C46,'Revenue and costs'!K904:K1031)</x:f>
        <x:v>6506.57559360106</x:v>
      </x:c>
      <x:c r="L46" s="10" t="n">
        <x:f>SUMIF('Revenue and costs'!$D$1032:$D$1159,$C46,'Revenue and costs'!K1032:K1159)</x:f>
        <x:v>6838.281512034343</x:v>
      </x:c>
      <x:c r="M46" s="10" t="n">
        <x:f>SUMIF('Revenue and costs'!$D$1160:$D$1287,$C46,'Revenue and costs'!K1160:K1287)</x:f>
        <x:v>7184.929220859533</x:v>
      </x:c>
      <x:c r="N46" s="10" t="n">
        <x:f>SUMIF('Revenue and costs'!$D$1288:$D$1415,$C46,'Revenue and costs'!K1288:K1415)</x:f>
        <x:v>7548.6474588356705</x:v>
      </x:c>
      <x:c r="O46" s="10" t="n">
        <x:f>SUMIF('Revenue and costs'!$D$1416:$D$1543,$C46,'Revenue and costs'!K1416:K1543)</x:f>
        <x:v>7930.65002919992</x:v>
      </x:c>
      <x:c r="P46" s="10" t="n">
        <x:f>SUMIF('Revenue and costs'!$D$1544:$D$1671,$C46,'Revenue and costs'!K1544:K1671)</x:f>
        <x:v>8331.951377958963</x:v>
      </x:c>
      <x:c r="Q46" s="10" t="n">
        <x:f>SUMIF('Revenue and costs'!$D$1672:$D$1799,$C46,'Revenue and costs'!K1672:K1799)</x:f>
        <x:v>8753.550784290477</x:v>
      </x:c>
      <x:c r="R46" s="10" t="n">
        <x:f>SUMIF('Revenue and costs'!$D$1800:$D$1927,$C46,'Revenue and costs'!K1800:K1927)</x:f>
        <x:v>9196.481133960307</x:v>
      </x:c>
      <x:c r="S46" s="10" t="n">
        <x:f>SUMIF('Revenue and costs'!$D$1928:$D$2055,$C46,'Revenue and costs'!K1928:K2055)</x:f>
        <x:v>9661.823252734806</x:v>
      </x:c>
      <x:c r="T46" s="10" t="n">
        <x:f>SUMIF('Revenue and costs'!$D$2056:$D$2183,$C46,'Revenue and costs'!K2056:K2183)</x:f>
        <x:v>10150.711553539195</x:v>
      </x:c>
      <x:c r="U46" s="10" t="n">
        <x:f>SUMIF('Revenue and costs'!$D$2184:$D$2311,$C46,'Revenue and costs'!K2184:K2311)</x:f>
        <x:v>10664.33756942336</x:v>
      </x:c>
      <x:c r="V46" s="10" t="n">
        <x:f>SUMIF('Revenue and costs'!$D$2312:$D$2439,$C46,'Revenue and costs'!K2312:K2439)</x:f>
        <x:v>11203.953053311327</x:v>
      </x:c>
      <x:c r="W46" s="10" t="n">
        <x:f>SUMIF('Revenue and costs'!$D$2440:$D$2567,$C46,'Revenue and costs'!K2440:K2567)</x:f>
        <x:v>11770.873078542041</x:v>
      </x:c>
    </x:row>
    <x:row r="47" ht="16" customHeight="1">
      <x:c r="A47" s="1"/>
      <x:c r="B47" s="1"/>
      <x:c r="C47" s="7" t="str">
        <x:v>Gross recognized revenue</x:v>
      </x:c>
      <x:c r="D47" s="11" t="n">
        <x:f>SUM(D8:D46)</x:f>
        <x:v>1055642</x:v>
      </x:c>
      <x:c r="E47" s="11" t="n">
        <x:f>SUM(E8:E46)</x:f>
        <x:v>1455186.8003000002</x:v>
      </x:c>
      <x:c r="F47" s="11" t="n">
        <x:f>SUM(F8:F46)</x:f>
        <x:v>1758211.1766344</x:v>
      </x:c>
      <x:c r="G47" s="11" t="n">
        <x:f>SUM(G8:G46)</x:f>
        <x:v>2045573.26389745</x:v>
      </x:c>
      <x:c r="H47" s="11" t="n">
        <x:f>SUM(H8:H46)</x:f>
        <x:v>2349524.2200917415</x:v>
      </x:c>
      <x:c r="I47" s="11" t="n">
        <x:f>SUM(I8:I46)</x:f>
        <x:v>2557676.7730018506</x:v>
      </x:c>
      <x:c r="J47" s="11" t="n">
        <x:f>SUM(J8:J46)</x:f>
        <x:v>2728223.666249888</x:v>
      </x:c>
      <x:c r="K47" s="11" t="n">
        <x:f>SUM(K8:K46)</x:f>
        <x:v>2883763.8998633926</x:v>
      </x:c>
      <x:c r="L47" s="11" t="n">
        <x:f>SUM(L8:L46)</x:f>
        <x:v>3034306.0760154487</x:v>
      </x:c>
      <x:c r="M47" s="11" t="n">
        <x:f>SUM(M8:M46)</x:f>
        <x:v>3184875.523510781</x:v>
      </x:c>
      <x:c r="N47" s="11" t="n">
        <x:f>SUM(N8:N46)</x:f>
        <x:v>3338291.0436102673</x:v>
      </x:c>
      <x:c r="O47" s="11" t="n">
        <x:f>SUM(O8:O46)</x:f>
        <x:v>3496296.573108361</x:v>
      </x:c>
      <x:c r="P47" s="11" t="n">
        <x:f>SUM(P8:P46)</x:f>
        <x:v>3660073.853064746</x:v>
      </x:c>
      <x:c r="Q47" s="11" t="n">
        <x:f>SUM(Q8:Q46)</x:f>
        <x:v>3830496.3699591076</x:v>
      </x:c>
      <x:c r="R47" s="11" t="n">
        <x:f>SUM(R8:R46)</x:f>
        <x:v>4008264.25614156</x:v>
      </x:c>
      <x:c r="S47" s="11" t="n">
        <x:f>SUM(S8:S46)</x:f>
        <x:v>4193979.960643186</x:v>
      </x:c>
      <x:c r="T47" s="11" t="n">
        <x:f>SUM(T8:T46)</x:f>
        <x:v>4388192.624698937</x:v>
      </x:c>
      <x:c r="U47" s="11" t="n">
        <x:f>SUM(U8:U46)</x:f>
        <x:v>4591425.1437079655</x:v>
      </x:c>
      <x:c r="V47" s="11" t="n">
        <x:f>SUM(V8:V46)</x:f>
        <x:v>4804191.2958929</x:v>
      </x:c>
      <x:c r="W47" s="11" t="n">
        <x:f>SUM(W8:W46)</x:f>
        <x:v>5027006.998907754</x:v>
      </x:c>
    </x:row>
    <x:row r="48" ht="16" customHeight="1">
      <x:c r="A48" s="1"/>
      <x:c r="B48" s="1"/>
      <x:c r="C48" s="1" t="str">
        <x:v>Less: refunds and credits</x:v>
      </x:c>
      <x:c r="D48" s="10" t="n">
        <x:f>SUM('Revenue and costs'!L8:L135)</x:f>
        <x:v>35269.26</x:v>
      </x:c>
      <x:c r="E48" s="10" t="n">
        <x:f>SUM('Revenue and costs'!L136:L263)</x:f>
        <x:v>50514.90000900002</x:v>
      </x:c>
      <x:c r="F48" s="10" t="n">
        <x:f>SUM('Revenue and costs'!L264:L391)</x:f>
        <x:v>61422.871785431984</x:v>
      </x:c>
      <x:c r="G48" s="10" t="n">
        <x:f>SUM('Revenue and costs'!L392:L519)</x:f>
        <x:v>71536.45908020285</x:v>
      </x:c>
      <x:c r="H48" s="10" t="n">
        <x:f>SUM('Revenue and costs'!L520:L647)</x:f>
        <x:v>82181.78943533474</x:v>
      </x:c>
      <x:c r="I48" s="10" t="n">
        <x:f>SUM('Revenue and costs'!L648:L775)</x:f>
        <x:v>89327.93134062564</x:v>
      </x:c>
      <x:c r="J48" s="10" t="n">
        <x:f>SUM('Revenue and costs'!L776:L903)</x:f>
        <x:v>95176.55995131524</x:v>
      </x:c>
      <x:c r="K48" s="10" t="n">
        <x:f>SUM('Revenue and costs'!L904:L1031)</x:f>
        <x:v>100546.26060751146</x:v>
      </x:c>
      <x:c r="L48" s="10" t="n">
        <x:f>SUM('Revenue and costs'!L1032:L1159)</x:f>
        <x:v>105781.48807014486</x:v>
      </x:c>
      <x:c r="M48" s="10" t="n">
        <x:f>SUM('Revenue and costs'!L1160:L1287)</x:f>
        <x:v>111047.75391530801</x:v>
      </x:c>
      <x:c r="N48" s="10" t="n">
        <x:f>SUM('Revenue and costs'!L1288:L1415)</x:f>
        <x:v>116435.42584040541</x:v>
      </x:c>
      <x:c r="O48" s="10" t="n">
        <x:f>SUM('Revenue and costs'!L1416:L1543)</x:f>
        <x:v>121999.95276039068</x:v>
      </x:c>
      <x:c r="P48" s="10" t="n">
        <x:f>SUM('Revenue and costs'!L1544:L1671)</x:f>
        <x:v>127779.16838404539</x:v>
      </x:c>
      <x:c r="Q48" s="10" t="n">
        <x:f>SUM('Revenue and costs'!L1672:L1799)</x:f>
        <x:v>133801.50151301597</x:v>
      </x:c>
      <x:c r="R48" s="10" t="n">
        <x:f>SUM('Revenue and costs'!L1800:L1927)</x:f>
        <x:v>140090.20787157325</x:v>
      </x:c>
      <x:c r="S48" s="10" t="n">
        <x:f>SUM('Revenue and costs'!L1928:L2055)</x:f>
        <x:v>146665.70061365436</x:v>
      </x:c>
      <x:c r="T48" s="10" t="n">
        <x:f>SUM('Revenue and costs'!L2056:L2183)</x:f>
        <x:v>153546.90408836494</x:v>
      </x:c>
      <x:c r="U48" s="10" t="n">
        <x:f>SUM('Revenue and costs'!L2184:L2311)</x:f>
        <x:v>160752.07680998056</x:v>
      </x:c>
      <x:c r="V48" s="10" t="n">
        <x:f>SUM('Revenue and costs'!L2312:L2439)</x:f>
        <x:v>168299.33315784743</x:v>
      </x:c>
      <x:c r="W48" s="10" t="n">
        <x:f>SUM('Revenue and costs'!L2440:L2567)</x:f>
        <x:v>176206.98813846268</x:v>
      </x:c>
    </x:row>
    <x:row r="49" ht="16" customHeight="1">
      <x:c r="A49" s="1"/>
      <x:c r="B49" s="1"/>
      <x:c r="C49" s="1" t="str">
        <x:v>Less: promotional discounts credited after charge</x:v>
      </x:c>
      <x:c r="D49" s="10" t="n">
        <x:f>SUM('Revenue and costs'!M8:M135)</x:f>
        <x:v>2420</x:v>
      </x:c>
      <x:c r="E49" s="10" t="n">
        <x:f>SUM('Revenue and costs'!M136:M263)</x:f>
        <x:v>4366.26912</x:v>
      </x:c>
      <x:c r="F49" s="10" t="n">
        <x:f>SUM('Revenue and costs'!M264:M391)</x:f>
        <x:v>5478.134145408001</x:v>
      </x:c>
      <x:c r="G49" s="10" t="n">
        <x:f>SUM('Revenue and costs'!M392:M519)</x:f>
        <x:v>6408.193588346421</x:v>
      </x:c>
      <x:c r="H49" s="10" t="n">
        <x:f>SUM('Revenue and costs'!M520:M647)</x:f>
        <x:v>7366.612136360441</x:v>
      </x:c>
      <x:c r="I49" s="10" t="n">
        <x:f>SUM('Revenue and costs'!M648:M775)</x:f>
        <x:v>7933.416879908049</x:v>
      </x:c>
      <x:c r="J49" s="10" t="n">
        <x:f>SUM('Revenue and costs'!M776:M903)</x:f>
        <x:v>8394.228349882416</x:v>
      </x:c>
      <x:c r="K49" s="10" t="n">
        <x:f>SUM('Revenue and costs'!M904:M1031)</x:f>
        <x:v>8837.146760596876</x:v>
      </x:c>
      <x:c r="L49" s="10" t="n">
        <x:f>SUM('Revenue and costs'!M1032:M1159)</x:f>
        <x:v>9289.866546283463</x:v>
      </x:c>
      <x:c r="M49" s="10" t="n">
        <x:f>SUM('Revenue and costs'!M1160:M1287)</x:f>
        <x:v>9761.635202363128</x:v>
      </x:c>
      <x:c r="N49" s="10" t="n">
        <x:f>SUM('Revenue and costs'!M1288:M1415)</x:f>
        <x:v>10256.094574707044</x:v>
      </x:c>
      <x:c r="O49" s="10" t="n">
        <x:f>SUM('Revenue and costs'!M1416:M1543)</x:f>
        <x:v>10775.212273305147</x:v>
      </x:c>
      <x:c r="P49" s="10" t="n">
        <x:f>SUM('Revenue and costs'!M1544:M1671)</x:f>
        <x:v>11320.486764148476</x:v>
      </x:c>
      <x:c r="Q49" s="10" t="n">
        <x:f>SUM('Revenue and costs'!M1672:M1799)</x:f>
        <x:v>11893.3183118575</x:v>
      </x:c>
      <x:c r="R49" s="10" t="n">
        <x:f>SUM('Revenue and costs'!M1800:M1927)</x:f>
        <x:v>12495.12478317508</x:v>
      </x:c>
      <x:c r="S49" s="10" t="n">
        <x:f>SUM('Revenue and costs'!M1928:M2055)</x:f>
        <x:v>13127.379494013443</x:v>
      </x:c>
      <x:c r="T49" s="10" t="n">
        <x:f>SUM('Revenue and costs'!M2056:M2183)</x:f>
        <x:v>13791.625323834294</x:v>
      </x:c>
      <x:c r="U49" s="10" t="n">
        <x:f>SUM('Revenue and costs'!M2184:M2311)</x:f>
        <x:v>14489.481696011986</x:v>
      </x:c>
      <x:c r="V49" s="10" t="n">
        <x:f>SUM('Revenue and costs'!M2312:M2439)</x:f>
        <x:v>15222.649509852443</x:v>
      </x:c>
      <x:c r="W49" s="10" t="n">
        <x:f>SUM('Revenue and costs'!M2440:M2567)</x:f>
        <x:v>15992.915587297786</x:v>
      </x:c>
    </x:row>
    <x:row r="50" ht="16" customHeight="1">
      <x:c r="A50" s="1"/>
      <x:c r="B50" s="1"/>
      <x:c r="C50" s="7" t="str">
        <x:v>Net revenue</x:v>
      </x:c>
      <x:c r="D50" s="11" t="n">
        <x:f>D47-D48-D49</x:f>
        <x:v>1017952.74</x:v>
      </x:c>
      <x:c r="E50" s="11" t="n">
        <x:f>E47-E48-E49</x:f>
        <x:v>1400305.6311710002</x:v>
      </x:c>
      <x:c r="F50" s="11" t="n">
        <x:f>F47-F48-F49</x:f>
        <x:v>1691310.17070356</x:v>
      </x:c>
      <x:c r="G50" s="11" t="n">
        <x:f>G47-G48-G49</x:f>
        <x:v>1967628.6112289007</x:v>
      </x:c>
      <x:c r="H50" s="11" t="n">
        <x:f>H47-H48-H49</x:f>
        <x:v>2259975.818520047</x:v>
      </x:c>
      <x:c r="I50" s="11" t="n">
        <x:f>I47-I48-I49</x:f>
        <x:v>2460415.424781317</x:v>
      </x:c>
      <x:c r="J50" s="11" t="n">
        <x:f>J47-J48-J49</x:f>
        <x:v>2624652.87794869</x:v>
      </x:c>
      <x:c r="K50" s="11" t="n">
        <x:f>K47-K48-K49</x:f>
        <x:v>2774380.4924952844</x:v>
      </x:c>
      <x:c r="L50" s="11" t="n">
        <x:f>L47-L48-L49</x:f>
        <x:v>2919234.7213990204</x:v>
      </x:c>
      <x:c r="M50" s="11" t="n">
        <x:f>M47-M48-M49</x:f>
        <x:v>3064066.13439311</x:v>
      </x:c>
      <x:c r="N50" s="11" t="n">
        <x:f>N47-N48-N49</x:f>
        <x:v>3211599.523195155</x:v>
      </x:c>
      <x:c r="O50" s="11" t="n">
        <x:f>O47-O48-O49</x:f>
        <x:v>3363521.4080746653</x:v>
      </x:c>
      <x:c r="P50" s="11" t="n">
        <x:f>P47-P48-P49</x:f>
        <x:v>3520974.1979165524</x:v>
      </x:c>
      <x:c r="Q50" s="11" t="n">
        <x:f>Q47-Q48-Q49</x:f>
        <x:v>3684801.550134234</x:v>
      </x:c>
      <x:c r="R50" s="11" t="n">
        <x:f>R47-R48-R49</x:f>
        <x:v>3855678.923486812</x:v>
      </x:c>
      <x:c r="S50" s="11" t="n">
        <x:f>S47-S48-S49</x:f>
        <x:v>4034186.8805355183</x:v>
      </x:c>
      <x:c r="T50" s="11" t="n">
        <x:f>T47-T48-T49</x:f>
        <x:v>4220854.095286738</x:v>
      </x:c>
      <x:c r="U50" s="11" t="n">
        <x:f>U47-U48-U49</x:f>
        <x:v>4416183.585201972</x:v>
      </x:c>
      <x:c r="V50" s="11" t="n">
        <x:f>V47-V48-V49</x:f>
        <x:v>4620669.3132251995</x:v>
      </x:c>
      <x:c r="W50" s="11" t="n">
        <x:f>W47-W48-W49</x:f>
        <x:v>4834807.095181994</x:v>
      </x:c>
    </x:row>
    <x:row r="51" ht="16" customHeight="1">
      <x:c r="A51" s="1"/>
      <x:c r="B51" s="1"/>
      <x:c r="C51" s="8" t="str">
        <x:v>COST OF REVENUE</x:v>
      </x:c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  <x:c r="O51" s="12"/>
      <x:c r="P51" s="12"/>
      <x:c r="Q51" s="12"/>
      <x:c r="R51" s="12"/>
      <x:c r="S51" s="12"/>
      <x:c r="T51" s="12"/>
      <x:c r="U51" s="12"/>
      <x:c r="V51" s="12"/>
      <x:c r="W51" s="12"/>
    </x:row>
    <x:row r="52" ht="16" customHeight="1">
      <x:c r="A52" s="1"/>
      <x:c r="B52" s="1"/>
      <x:c r="C52" s="1" t="str">
        <x:v>Human delivery and professional fulfillment</x:v>
      </x:c>
      <x:c r="D52" s="10" t="n">
        <x:f>SUM('Revenue and costs'!O8:O135)</x:f>
        <x:v>252735.53</x:v>
      </x:c>
      <x:c r="E52" s="10" t="n">
        <x:f>SUM('Revenue and costs'!O136:O263)</x:f>
        <x:v>340977.85586000024</x:v>
      </x:c>
      <x:c r="F52" s="10" t="n">
        <x:f>SUM('Revenue and costs'!O264:O391)</x:f>
        <x:v>413661.025548405</x:v>
      </x:c>
      <x:c r="G52" s="10" t="n">
        <x:f>SUM('Revenue and costs'!O392:O519)</x:f>
        <x:v>485120.86764118646</x:v>
      </x:c>
      <x:c r="H52" s="10" t="n">
        <x:f>SUM('Revenue and costs'!O520:O647)</x:f>
        <x:v>561887.2417030422</x:v>
      </x:c>
      <x:c r="I52" s="10" t="n">
        <x:f>SUM('Revenue and costs'!O648:O775)</x:f>
        <x:v>619458.5785820547</x:v>
      </x:c>
      <x:c r="J52" s="10" t="n">
        <x:f>SUM('Revenue and costs'!O776:O903)</x:f>
        <x:v>669588.2203522448</x:v>
      </x:c>
      <x:c r="K52" s="10" t="n">
        <x:f>SUM('Revenue and costs'!O904:O1031)</x:f>
        <x:v>717323.3719292346</x:v>
      </x:c>
      <x:c r="L52" s="10" t="n">
        <x:f>SUM('Revenue and costs'!O1032:O1159)</x:f>
        <x:v>765083.4610140012</x:v>
      </x:c>
      <x:c r="M52" s="10" t="n">
        <x:f>SUM('Revenue and costs'!O1160:O1287)</x:f>
        <x:v>814153.0665754785</x:v>
      </x:c>
      <x:c r="N52" s="10" t="n">
        <x:f>SUM('Revenue and costs'!O1288:O1415)</x:f>
        <x:v>865288.1682655321</x:v>
      </x:c>
      <x:c r="O52" s="10" t="n">
        <x:f>SUM('Revenue and costs'!O1416:O1543)</x:f>
        <x:v>918985.9510083859</x:v>
      </x:c>
      <x:c r="P52" s="10" t="n">
        <x:f>SUM('Revenue and costs'!O1544:O1671)</x:f>
        <x:v>975613.800355261</x:v>
      </x:c>
      <x:c r="Q52" s="10" t="n">
        <x:f>SUM('Revenue and costs'!O1672:O1799)</x:f>
        <x:v>1035474.3748566457</x:v>
      </x:c>
      <x:c r="R52" s="10" t="n">
        <x:f>SUM('Revenue and costs'!O1800:O1927)</x:f>
        <x:v>1098839.8595491105</x:v>
      </x:c>
      <x:c r="S52" s="10" t="n">
        <x:f>SUM('Revenue and costs'!O1928:O2055)</x:f>
        <x:v>1165970.7188198792</x:v>
      </x:c>
      <x:c r="T52" s="10" t="n">
        <x:f>SUM('Revenue and costs'!O2056:O2183)</x:f>
        <x:v>1237126.4139707675</x:v>
      </x:c>
      <x:c r="U52" s="10" t="n">
        <x:f>SUM('Revenue and costs'!O2184:O2311)</x:f>
        <x:v>1312571.858458091</x:v>
      </x:c>
      <x:c r="V52" s="10" t="n">
        <x:f>SUM('Revenue and costs'!O2312:O2439)</x:f>
        <x:v>1392581.5697003799</x:v>
      </x:c>
      <x:c r="W52" s="10" t="n">
        <x:f>SUM('Revenue and costs'!O2440:O2567)</x:f>
        <x:v>1477442.5576155111</x:v>
      </x:c>
    </x:row>
    <x:row r="53" ht="16" customHeight="1">
      <x:c r="A53" s="1"/>
      <x:c r="B53" s="1"/>
      <x:c r="C53" s="1" t="str">
        <x:v>Materials, production and fulfillment</x:v>
      </x:c>
      <x:c r="D53" s="10" t="n">
        <x:f>SUM('Revenue and costs'!P8:P135)</x:f>
        <x:v>71255</x:v>
      </x:c>
      <x:c r="E53" s="10" t="n">
        <x:f>SUM('Revenue and costs'!P136:P263)</x:f>
        <x:v>120013.27220000002</x:v>
      </x:c>
      <x:c r="F53" s="10" t="n">
        <x:f>SUM('Revenue and costs'!P264:P391)</x:f>
        <x:v>150721.37850732</x:v>
      </x:c>
      <x:c r="G53" s="10" t="n">
        <x:f>SUM('Revenue and costs'!P392:P519)</x:f>
        <x:v>177650.73539643222</x:v>
      </x:c>
      <x:c r="H53" s="10" t="n">
        <x:f>SUM('Revenue and costs'!P520:P647)</x:f>
        <x:v>205724.51771572127</x:v>
      </x:c>
      <x:c r="I53" s="10" t="n">
        <x:f>SUM('Revenue and costs'!P648:P775)</x:f>
        <x:v>224494.92731655613</x:v>
      </x:c>
      <x:c r="J53" s="10" t="n">
        <x:f>SUM('Revenue and costs'!P776:P903)</x:f>
        <x:v>240609.44884344906</x:v>
      </x:c>
      <x:c r="K53" s="10" t="n">
        <x:f>SUM('Revenue and costs'!P904:P1031)</x:f>
        <x:v>256312.11497195944</x:v>
      </x:c>
      <x:c r="L53" s="10" t="n">
        <x:f>SUM('Revenue and costs'!P1032:P1159)</x:f>
        <x:v>272416.84778584936</x:v>
      </x:c>
      <x:c r="M53" s="10" t="n">
        <x:f>SUM('Revenue and costs'!P1160:P1287)</x:f>
        <x:v>289260.29448550224</x:v>
      </x:c>
      <x:c r="N53" s="10" t="n">
        <x:f>SUM('Revenue and costs'!P1288:P1415)</x:f>
        <x:v>307013.69832478894</x:v>
      </x:c>
      <x:c r="O53" s="10" t="n">
        <x:f>SUM('Revenue and costs'!P1416:P1543)</x:f>
        <x:v>325788.512665762</x:v>
      </x:c>
      <x:c r="P53" s="10" t="n">
        <x:f>SUM('Revenue and costs'!P1544:P1671)</x:f>
        <x:v>345674.0982701343</x:v>
      </x:c>
      <x:c r="Q53" s="10" t="n">
        <x:f>SUM('Revenue and costs'!P1672:P1799)</x:f>
        <x:v>366752.23802653904</x:v>
      </x:c>
      <x:c r="R53" s="10" t="n">
        <x:f>SUM('Revenue and costs'!P1800:P1927)</x:f>
        <x:v>389103.3089537423</x:v>
      </x:c>
      <x:c r="S53" s="10" t="n">
        <x:f>SUM('Revenue and costs'!P1928:P2055)</x:f>
        <x:v>412809.232574472</x:v>
      </x:c>
      <x:c r="T53" s="10" t="n">
        <x:f>SUM('Revenue and costs'!P2056:P2183)</x:f>
        <x:v>437955.0750053207</x:v>
      </x:c>
      <x:c r="U53" s="10" t="n">
        <x:f>SUM('Revenue and costs'!P2184:P2311)</x:f>
        <x:v>464630.0340831283</x:v>
      </x:c>
      <x:c r="V53" s="10" t="n">
        <x:f>SUM('Revenue and costs'!P2312:P2439)</x:f>
        <x:v>492928.1305224036</x:v>
      </x:c>
      <x:c r="W53" s="10" t="n">
        <x:f>SUM('Revenue and costs'!P2440:P2567)</x:f>
        <x:v>522948.7518756124</x:v>
      </x:c>
    </x:row>
    <x:row r="54" ht="16" customHeight="1">
      <x:c r="A54" s="1"/>
      <x:c r="B54" s="1"/>
      <x:c r="C54" s="1" t="str">
        <x:v>External provider share — principal services</x:v>
      </x:c>
      <x:c r="D54" s="10" t="n">
        <x:f>SUM('Revenue and costs'!Q8:Q135)</x:f>
        <x:v>99828</x:v>
      </x:c>
      <x:c r="E54" s="10" t="n">
        <x:f>SUM('Revenue and costs'!Q136:Q263)</x:f>
        <x:v>124799.20320000002</x:v>
      </x:c>
      <x:c r="F54" s="10" t="n">
        <x:f>SUM('Revenue and costs'!Q264:Q391)</x:f>
        <x:v>147853.52455680002</x:v>
      </x:c>
      <x:c r="G54" s="10" t="n">
        <x:f>SUM('Revenue and costs'!Q392:Q519)</x:f>
        <x:v>170682.89151536647</x:v>
      </x:c>
      <x:c r="H54" s="10" t="n">
        <x:f>SUM('Revenue and costs'!Q520:Q647)</x:f>
        <x:v>194438.44130137484</x:v>
      </x:c>
      <x:c r="I54" s="10" t="n">
        <x:f>SUM('Revenue and costs'!Q648:Q775)</x:f>
        <x:v>213529.85166212695</x:v>
      </x:c>
      <x:c r="J54" s="10" t="n">
        <x:f>SUM('Revenue and costs'!Q776:Q903)</x:f>
        <x:v>229997.19119754294</x:v>
      </x:c>
      <x:c r="K54" s="10" t="n">
        <x:f>SUM('Revenue and costs'!Q904:Q1031)</x:f>
        <x:v>245100.63924542174</x:v>
      </x:c>
      <x:c r="L54" s="10" t="n">
        <x:f>SUM('Revenue and costs'!Q1032:Q1159)</x:f>
        <x:v>259623.67277728938</x:v>
      </x:c>
      <x:c r="M54" s="10" t="n">
        <x:f>SUM('Revenue and costs'!Q1160:Q1287)</x:f>
        <x:v>274058.64662568236</x:v>
      </x:c>
      <x:c r="N54" s="10" t="n">
        <x:f>SUM('Revenue and costs'!Q1288:Q1415)</x:f>
        <x:v>288720.3999405295</x:v>
      </x:c>
      <x:c r="O54" s="10" t="n">
        <x:f>SUM('Revenue and costs'!Q1416:Q1543)</x:f>
        <x:v>303815.81628442</x:v>
      </x:c>
      <x:c r="P54" s="10" t="n">
        <x:f>SUM('Revenue and costs'!Q1544:Q1671)</x:f>
        <x:v>319486.4290218342</x:v>
      </x:c>
      <x:c r="Q54" s="10" t="n">
        <x:f>SUM('Revenue and costs'!Q1672:Q1799)</x:f>
        <x:v>335834.5321795937</x:v>
      </x:c>
      <x:c r="R54" s="10" t="n">
        <x:f>SUM('Revenue and costs'!Q1800:Q1927)</x:f>
        <x:v>352939.1984956249</x:v>
      </x:c>
      <x:c r="S54" s="10" t="n">
        <x:f>SUM('Revenue and costs'!Q1928:Q2055)</x:f>
        <x:v>370866.1226000029</x:v>
      </x:c>
      <x:c r="T54" s="10" t="n">
        <x:f>SUM('Revenue and costs'!Q2056:Q2183)</x:f>
        <x:v>389673.6872077885</x:v>
      </x:c>
      <x:c r="U54" s="10" t="n">
        <x:f>SUM('Revenue and costs'!Q2184:Q2311)</x:f>
        <x:v>409416.71992868866</x:v>
      </x:c>
      <x:c r="V54" s="10" t="n">
        <x:f>SUM('Revenue and costs'!Q2312:Q2439)</x:f>
        <x:v>430148.8389757703</x:v>
      </x:c>
      <x:c r="W54" s="10" t="n">
        <x:f>SUM('Revenue and costs'!Q2440:Q2567)</x:f>
        <x:v>451923.9376353823</x:v>
      </x:c>
    </x:row>
    <x:row r="55" ht="16" customHeight="1">
      <x:c r="A55" s="1"/>
      <x:c r="B55" s="1"/>
      <x:c r="C55" s="1" t="str">
        <x:v>Customer and learner support</x:v>
      </x:c>
      <x:c r="D55" s="10" t="n">
        <x:f>SUM('Revenue and costs'!R8:R135)</x:f>
        <x:v>49953</x:v>
      </x:c>
      <x:c r="E55" s="10" t="n">
        <x:f>SUM('Revenue and costs'!R136:R263)</x:f>
        <x:v>72042.0213</x:v>
      </x:c>
      <x:c r="F55" s="10" t="n">
        <x:f>SUM('Revenue and costs'!R264:R391)</x:f>
        <x:v>89886.38692254001</x:v>
      </x:c>
      <x:c r="G55" s="10" t="n">
        <x:f>SUM('Revenue and costs'!R392:R519)</x:f>
        <x:v>108229.56366340841</x:v>
      </x:c>
      <x:c r="H55" s="10" t="n">
        <x:f>SUM('Revenue and costs'!R520:R647)</x:f>
        <x:v>128931.99914289624</x:v>
      </x:c>
      <x:c r="I55" s="10" t="n">
        <x:f>SUM('Revenue and costs'!R648:R775)</x:f>
        <x:v>143973.28135022204</x:v>
      </x:c>
      <x:c r="J55" s="10" t="n">
        <x:f>SUM('Revenue and costs'!R776:R903)</x:f>
        <x:v>157009.2127278782</x:v>
      </x:c>
      <x:c r="K55" s="10" t="n">
        <x:f>SUM('Revenue and costs'!R904:R1031)</x:f>
        <x:v>169340.29055434975</x:v>
      </x:c>
      <x:c r="L55" s="10" t="n">
        <x:f>SUM('Revenue and costs'!R1032:R1159)</x:f>
        <x:v>181533.23495022635</x:v>
      </x:c>
      <x:c r="M55" s="10" t="n">
        <x:f>SUM('Revenue and costs'!R1160:R1287)</x:f>
        <x:v>193894.34685648384</x:v>
      </x:c>
      <x:c r="N55" s="10" t="n">
        <x:f>SUM('Revenue and costs'!R1288:R1415)</x:f>
        <x:v>206620.2467360315</x:v>
      </x:c>
      <x:c r="O55" s="10" t="n">
        <x:f>SUM('Revenue and costs'!R1416:R1543)</x:f>
        <x:v>219852.91949165353</x:v>
      </x:c>
      <x:c r="P55" s="10" t="n">
        <x:f>SUM('Revenue and costs'!R1544:R1671)</x:f>
        <x:v>233703.65529354024</x:v>
      </x:c>
      <x:c r="Q55" s="10" t="n">
        <x:f>SUM('Revenue and costs'!R1672:R1799)</x:f>
        <x:v>248265.39897292573</x:v>
      </x:c>
      <x:c r="R55" s="10" t="n">
        <x:f>SUM('Revenue and costs'!R1800:R1927)</x:f>
        <x:v>263620.0002402137</x:v>
      </x:c>
      <x:c r="S55" s="10" t="n">
        <x:f>SUM('Revenue and costs'!R1928:R2055)</x:f>
        <x:v>279842.8426833542</x:v>
      </x:c>
      <x:c r="T55" s="10" t="n">
        <x:f>SUM('Revenue and costs'!R2056:R2183)</x:f>
        <x:v>297005.96043684834</x:v>
      </x:c>
      <x:c r="U55" s="10" t="n">
        <x:f>SUM('Revenue and costs'!R2184:R2311)</x:f>
        <x:v>315180.2164284037</x:v>
      </x:c>
      <x:c r="V55" s="10" t="n">
        <x:f>SUM('Revenue and costs'!R2312:R2439)</x:f>
        <x:v>334436.873147963</x:v>
      </x:c>
      <x:c r="W55" s="10" t="n">
        <x:f>SUM('Revenue and costs'!R2440:R2567)</x:f>
        <x:v>354848.7607923267</x:v>
      </x:c>
    </x:row>
    <x:row r="56" ht="16" customHeight="1">
      <x:c r="A56" s="1"/>
      <x:c r="B56" s="1"/>
      <x:c r="C56" s="1" t="str">
        <x:v>Payment processing</x:v>
      </x:c>
      <x:c r="D56" s="10" t="n">
        <x:f>SUM('Revenue and costs'!S8:S135)</x:f>
        <x:v>39415.407999999996</x:v>
      </x:c>
      <x:c r="E56" s="10" t="n">
        <x:f>SUM('Revenue and costs'!S136:S263)</x:f>
        <x:v>54197.253612700006</x:v>
      </x:c>
      <x:c r="F56" s="10" t="n">
        <x:f>SUM('Revenue and costs'!S264:S391)</x:f>
        <x:v>66031.01523430963</x:v>
      </x:c>
      <x:c r="G56" s="10" t="n">
        <x:f>SUM('Revenue and costs'!S392:S519)</x:f>
        <x:v>77725.27154256938</x:v>
      </x:c>
      <x:c r="H56" s="10" t="n">
        <x:f>SUM('Revenue and costs'!S520:S647)</x:f>
        <x:v>90442.25219956257</x:v>
      </x:c>
      <x:c r="I56" s="10" t="n">
        <x:f>SUM('Revenue and costs'!S648:S775)</x:f>
        <x:v>99439.85888589922</x:v>
      </x:c>
      <x:c r="J56" s="10" t="n">
        <x:f>SUM('Revenue and costs'!S776:S903)</x:f>
        <x:v>106848.19065231828</x:v>
      </x:c>
      <x:c r="K56" s="10" t="n">
        <x:f>SUM('Revenue and costs'!S904:S1031)</x:f>
        <x:v>113526.43795599294</x:v>
      </x:c>
      <x:c r="L56" s="10" t="n">
        <x:f>SUM('Revenue and costs'!S1032:S1159)</x:f>
        <x:v>119881.34479111298</x:v>
      </x:c>
      <x:c r="M56" s="10" t="n">
        <x:f>SUM('Revenue and costs'!S1160:S1287)</x:f>
        <x:v>126134.50786896415</x:v>
      </x:c>
      <x:c r="N56" s="10" t="n">
        <x:f>SUM('Revenue and costs'!S1288:S1415)</x:f>
        <x:v>132420.37688653462</x:v>
      </x:c>
      <x:c r="O56" s="10" t="n">
        <x:f>SUM('Revenue and costs'!S1416:S1543)</x:f>
        <x:v>138827.37819485072</x:v>
      </x:c>
      <x:c r="P56" s="10" t="n">
        <x:f>SUM('Revenue and costs'!S1544:S1671)</x:f>
        <x:v>145417.5813515409</x:v>
      </x:c>
      <x:c r="Q56" s="10" t="n">
        <x:f>SUM('Revenue and costs'!S1672:S1799)</x:f>
        <x:v>152237.16686099005</x:v>
      </x:c>
      <x:c r="R56" s="10" t="n">
        <x:f>SUM('Revenue and costs'!S1800:S1927)</x:f>
        <x:v>159322.4539444191</x:v>
      </x:c>
      <x:c r="S56" s="10" t="n">
        <x:f>SUM('Revenue and costs'!S1928:S2055)</x:f>
        <x:v>166703.57114382807</x:v>
      </x:c>
      <x:c r="T56" s="10" t="n">
        <x:f>SUM('Revenue and costs'!S2056:S2183)</x:f>
        <x:v>174406.78435167568</x:v>
      </x:c>
      <x:c r="U56" s="10" t="n">
        <x:f>SUM('Revenue and costs'!S2184:S2311)</x:f>
        <x:v>182456.0203644899</x:v>
      </x:c>
      <x:c r="V56" s="10" t="n">
        <x:f>SUM('Revenue and costs'!S2312:S2439)</x:f>
        <x:v>190873.89015202568</x:v>
      </x:c>
      <x:c r="W56" s="10" t="n">
        <x:f>SUM('Revenue and costs'!S2440:S2567)</x:f>
        <x:v>199682.3922304183</x:v>
      </x:c>
    </x:row>
    <x:row r="57" ht="16" customHeight="1">
      <x:c r="A57" s="1"/>
      <x:c r="B57" s="1"/>
      <x:c r="C57" s="7" t="str">
        <x:v>Total cost of revenue</x:v>
      </x:c>
      <x:c r="D57" s="11" t="n">
        <x:f>SUM(D52:D56)</x:f>
        <x:v>513186.938</x:v>
      </x:c>
      <x:c r="E57" s="11" t="n">
        <x:f>SUM(E52:E56)</x:f>
        <x:v>712029.6061727003</x:v>
      </x:c>
      <x:c r="F57" s="11" t="n">
        <x:f>SUM(F52:F56)</x:f>
        <x:v>868153.3307693747</x:v>
      </x:c>
      <x:c r="G57" s="11" t="n">
        <x:f>SUM(G52:G56)</x:f>
        <x:v>1019409.329758963</x:v>
      </x:c>
      <x:c r="H57" s="11" t="n">
        <x:f>SUM(H52:H56)</x:f>
        <x:v>1181424.452062597</x:v>
      </x:c>
      <x:c r="I57" s="11" t="n">
        <x:f>SUM(I52:I56)</x:f>
        <x:v>1300896.497796859</x:v>
      </x:c>
      <x:c r="J57" s="11" t="n">
        <x:f>SUM(J52:J56)</x:f>
        <x:v>1404052.2637734334</x:v>
      </x:c>
      <x:c r="K57" s="11" t="n">
        <x:f>SUM(K52:K56)</x:f>
        <x:v>1501602.8546569587</x:v>
      </x:c>
      <x:c r="L57" s="11" t="n">
        <x:f>SUM(L52:L56)</x:f>
        <x:v>1598538.561318479</x:v>
      </x:c>
      <x:c r="M57" s="11" t="n">
        <x:f>SUM(M52:M56)</x:f>
        <x:v>1697500.862412111</x:v>
      </x:c>
      <x:c r="N57" s="11" t="n">
        <x:f>SUM(N52:N56)</x:f>
        <x:v>1800062.8901534164</x:v>
      </x:c>
      <x:c r="O57" s="11" t="n">
        <x:f>SUM(O52:O56)</x:f>
        <x:v>1907270.577645072</x:v>
      </x:c>
      <x:c r="P57" s="11" t="n">
        <x:f>SUM(P52:P56)</x:f>
        <x:v>2019895.5642923107</x:v>
      </x:c>
      <x:c r="Q57" s="11" t="n">
        <x:f>SUM(Q52:Q56)</x:f>
        <x:v>2138563.7108966946</x:v>
      </x:c>
      <x:c r="R57" s="11" t="n">
        <x:f>SUM(R52:R56)</x:f>
        <x:v>2263824.82118311</x:v>
      </x:c>
      <x:c r="S57" s="11" t="n">
        <x:f>SUM(S52:S56)</x:f>
        <x:v>2396192.487821536</x:v>
      </x:c>
      <x:c r="T57" s="11" t="n">
        <x:f>SUM(T52:T56)</x:f>
        <x:v>2536167.920972401</x:v>
      </x:c>
      <x:c r="U57" s="11" t="n">
        <x:f>SUM(U52:U56)</x:f>
        <x:v>2684254.849262802</x:v>
      </x:c>
      <x:c r="V57" s="11" t="n">
        <x:f>SUM(V52:V56)</x:f>
        <x:v>2840969.3024985422</x:v>
      </x:c>
      <x:c r="W57" s="11" t="n">
        <x:f>SUM(W52:W56)</x:f>
        <x:v>3006846.400149251</x:v>
      </x:c>
    </x:row>
    <x:row r="58" ht="16" customHeight="1">
      <x:c r="A58" s="1"/>
      <x:c r="B58" s="1"/>
      <x:c r="C58" s="7" t="str">
        <x:v>Gross profit</x:v>
      </x:c>
      <x:c r="D58" s="11" t="n">
        <x:f>D50-D57</x:f>
        <x:v>504765.80199999997</x:v>
      </x:c>
      <x:c r="E58" s="11" t="n">
        <x:f>E50-E57</x:f>
        <x:v>688276.0249982999</x:v>
      </x:c>
      <x:c r="F58" s="11" t="n">
        <x:f>F50-F57</x:f>
        <x:v>823156.8399341854</x:v>
      </x:c>
      <x:c r="G58" s="11" t="n">
        <x:f>G50-G57</x:f>
        <x:v>948219.2814699378</x:v>
      </x:c>
      <x:c r="H58" s="11" t="n">
        <x:f>H50-H57</x:f>
        <x:v>1078551.3664574497</x:v>
      </x:c>
      <x:c r="I58" s="11" t="n">
        <x:f>I50-I57</x:f>
        <x:v>1159518.926984458</x:v>
      </x:c>
      <x:c r="J58" s="11" t="n">
        <x:f>J50-J57</x:f>
        <x:v>1220600.6141752568</x:v>
      </x:c>
      <x:c r="K58" s="11" t="n">
        <x:f>K50-K57</x:f>
        <x:v>1272777.6378383257</x:v>
      </x:c>
      <x:c r="L58" s="11" t="n">
        <x:f>L50-L57</x:f>
        <x:v>1320696.1600805414</x:v>
      </x:c>
      <x:c r="M58" s="11" t="n">
        <x:f>M50-M57</x:f>
        <x:v>1366565.271980999</x:v>
      </x:c>
      <x:c r="N58" s="11" t="n">
        <x:f>N50-N57</x:f>
        <x:v>1411536.6330417385</x:v>
      </x:c>
      <x:c r="O58" s="11" t="n">
        <x:f>O50-O57</x:f>
        <x:v>1456250.8304295933</x:v>
      </x:c>
      <x:c r="P58" s="11" t="n">
        <x:f>P50-P57</x:f>
        <x:v>1501078.6336242417</x:v>
      </x:c>
      <x:c r="Q58" s="11" t="n">
        <x:f>Q50-Q57</x:f>
        <x:v>1546237.8392375396</x:v>
      </x:c>
      <x:c r="R58" s="11" t="n">
        <x:f>R50-R57</x:f>
        <x:v>1591854.102303702</x:v>
      </x:c>
      <x:c r="S58" s="11" t="n">
        <x:f>S50-S57</x:f>
        <x:v>1637994.3927139821</x:v>
      </x:c>
      <x:c r="T58" s="11" t="n">
        <x:f>T50-T57</x:f>
        <x:v>1684686.1743143373</x:v>
      </x:c>
      <x:c r="U58" s="11" t="n">
        <x:f>U50-U57</x:f>
        <x:v>1731928.7359391702</x:v>
      </x:c>
      <x:c r="V58" s="11" t="n">
        <x:f>V50-V57</x:f>
        <x:v>1779700.0107266572</x:v>
      </x:c>
      <x:c r="W58" s="11" t="n">
        <x:f>W50-W57</x:f>
        <x:v>1827960.6950327433</x:v>
      </x:c>
    </x:row>
    <x:row r="59" ht="16" customHeight="1">
      <x:c r="A59" s="1"/>
      <x:c r="B59" s="1"/>
      <x:c r="C59" s="1" t="str">
        <x:v>Gross margin</x:v>
      </x:c>
      <x:c r="D59" s="9" t="n">
        <x:f>IF(D50=0,0,D58/D50)</x:f>
        <x:v>0.49586369009626124</x:v>
      </x:c>
      <x:c r="E59" s="9" t="n">
        <x:f>IF(E50=0,0,E58/E50)</x:f>
        <x:v>0.4915184297464631</x:v>
      </x:c>
      <x:c r="F59" s="9" t="n">
        <x:f>IF(F50=0,0,F58/F50)</x:f>
        <x:v>0.4866977413088956</x:v>
      </x:c>
      <x:c r="G59" s="9" t="n">
        <x:f>IF(G50=0,0,G58/G50)</x:f>
        <x:v>0.4819096835950757</x:v>
      </x:c>
      <x:c r="H59" s="9" t="n">
        <x:f>IF(H50=0,0,H58/H50)</x:f>
        <x:v>0.47724022426210866</x:v>
      </x:c>
      <x:c r="I59" s="9" t="n">
        <x:f>IF(I50=0,0,I58/I50)</x:f>
        <x:v>0.47126957314028245</x:v>
      </x:c>
      <x:c r="J59" s="9" t="n">
        <x:f>IF(J50=0,0,J58/J50)</x:f>
        <x:v>0.46505220725767854</x:v>
      </x:c>
      <x:c r="K59" s="9" t="n">
        <x:f>IF(K50=0,0,K58/K50)</x:f>
        <x:v>0.45876102476974473</x:v>
      </x:c>
      <x:c r="L59" s="9" t="n">
        <x:f>IF(L50=0,0,L58/L50)</x:f>
        <x:v>0.4524117743596884</x:v>
      </x:c>
      <x:c r="M59" s="9" t="n">
        <x:f>IF(M50=0,0,M58/M50)</x:f>
        <x:v>0.44599731599842585</x:v>
      </x:c>
      <x:c r="N59" s="9" t="n">
        <x:f>IF(N50=0,0,N58/N50)</x:f>
        <x:v>0.4395120321967882</x:v>
      </x:c>
      <x:c r="O59" s="9" t="n">
        <x:f>IF(O50=0,0,O58/O50)</x:f>
        <x:v>0.4329542327079093</x:v>
      </x:c>
      <x:c r="P59" s="9" t="n">
        <x:f>IF(P50=0,0,P58/P50)</x:f>
        <x:v>0.4263248036615738</x:v>
      </x:c>
      <x:c r="Q59" s="9" t="n">
        <x:f>IF(Q50=0,0,Q58/Q50)</x:f>
        <x:v>0.41962581110540714</x:v>
      </x:c>
      <x:c r="R59" s="9" t="n">
        <x:f>IF(R50=0,0,R58/R50)</x:f>
        <x:v>0.41285961146996597</x:v>
      </x:c>
      <x:c r="S59" s="9" t="n">
        <x:f>IF(S50=0,0,S58/S50)</x:f>
        <x:v>0.40602838718679946</x:v>
      </x:c>
      <x:c r="T59" s="9" t="n">
        <x:f>IF(T50=0,0,T58/T50)</x:f>
        <x:v>0.3991339516321022</x:v>
      </x:c>
      <x:c r="U59" s="9" t="n">
        <x:f>IF(U50=0,0,U58/U50)</x:f>
        <x:v>0.39217770333249435</x:v>
      </x:c>
      <x:c r="V59" s="9" t="n">
        <x:f>IF(V50=0,0,V58/V50)</x:f>
        <x:v>0.38516065316183323</x:v>
      </x:c>
      <x:c r="W59" s="9" t="n">
        <x:f>IF(W50=0,0,W58/W50)</x:f>
        <x:v>0.3780834806944732</x:v>
      </x:c>
    </x:row>
    <x:row r="60" ht="16" customHeight="1">
      <x:c r="A60" s="1"/>
      <x:c r="B60" s="1"/>
      <x:c r="C60" s="8" t="str">
        <x:v>OPERATING EXPENSES</x:v>
      </x:c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2"/>
      <x:c r="P60" s="12"/>
      <x:c r="Q60" s="12"/>
      <x:c r="R60" s="12"/>
      <x:c r="S60" s="12"/>
      <x:c r="T60" s="12"/>
      <x:c r="U60" s="12"/>
      <x:c r="V60" s="12"/>
      <x:c r="W60" s="12"/>
    </x:row>
    <x:row r="61" ht="16" customHeight="1">
      <x:c r="A61" s="1"/>
      <x:c r="B61" s="1"/>
      <x:c r="C61" s="1" t="str">
        <x:v>Variable sales and marketing</x:v>
      </x:c>
      <x:c r="D61" s="10" t="n">
        <x:f>SUM('Revenue and costs'!T8:T135)</x:f>
        <x:v>48843.67600000004</x:v>
      </x:c>
      <x:c r="E61" s="10" t="n">
        <x:f>SUM('Revenue and costs'!T136:T263)</x:f>
        <x:v>69714.11477671002</x:v>
      </x:c>
      <x:c r="F61" s="10" t="n">
        <x:f>SUM('Revenue and costs'!T264:T391)</x:f>
        <x:v>84807.37181429101</x:v>
      </x:c>
      <x:c r="G61" s="10" t="n">
        <x:f>SUM('Revenue and costs'!T392:T519)</x:f>
        <x:v>98901.34163837835</x:v>
      </x:c>
      <x:c r="H61" s="10" t="n">
        <x:f>SUM('Revenue and costs'!T520:T647)</x:f>
        <x:v>113800.90469428708</x:v>
      </x:c>
      <x:c r="I61" s="10" t="n">
        <x:f>SUM('Revenue and costs'!T648:T775)</x:f>
        <x:v>123814.55692974897</x:v>
      </x:c>
      <x:c r="J61" s="10" t="n">
        <x:f>SUM('Revenue and costs'!T776:T903)</x:f>
        <x:v>132017.7448342373</x:v>
      </x:c>
      <x:c r="K61" s="10" t="n">
        <x:f>SUM('Revenue and costs'!T904:T1031)</x:f>
        <x:v>139547.5405960315</x:v>
      </x:c>
      <x:c r="L61" s="10" t="n">
        <x:f>SUM('Revenue and costs'!T1032:T1159)</x:f>
        <x:v>146881.98188522903</x:v>
      </x:c>
      <x:c r="M61" s="10" t="n">
        <x:f>SUM('Revenue and costs'!T1160:T1287)</x:f>
        <x:v>154251.77826550105</x:v>
      </x:c>
      <x:c r="N61" s="10" t="n">
        <x:f>SUM('Revenue and costs'!T1288:T1415)</x:f>
        <x:v>161783.9401743669</x:v>
      </x:c>
      <x:c r="O61" s="10" t="n">
        <x:f>SUM('Revenue and costs'!T1416:T1543)</x:f>
        <x:v>169557.12745032634</x:v>
      </x:c>
      <x:c r="P61" s="10" t="n">
        <x:f>SUM('Revenue and costs'!T1544:T1671)</x:f>
        <x:v>177625.41164228524</x:v>
      </x:c>
      <x:c r="Q61" s="10" t="n">
        <x:f>SUM('Revenue and costs'!T1672:T1799)</x:f>
        <x:v>186029.57865243286</x:v>
      </x:c>
      <x:c r="R61" s="10" t="n">
        <x:f>SUM('Revenue and costs'!T1800:T1927)</x:f>
        <x:v>194802.99368397586</x:v>
      </x:c>
      <x:c r="S61" s="10" t="n">
        <x:f>SUM('Revenue and costs'!T1928:T2055)</x:f>
        <x:v>203974.8636878312</x:v>
      </x:c>
      <x:c r="T61" s="10" t="n">
        <x:f>SUM('Revenue and costs'!T2056:T2183)</x:f>
        <x:v>213572.1555301152</x:v>
      </x:c>
      <x:c r="U61" s="10" t="n">
        <x:f>SUM('Revenue and costs'!T2184:T2311)</x:f>
        <x:v>223620.7770996747</x:v>
      </x:c>
      <x:c r="V61" s="10" t="n">
        <x:f>SUM('Revenue and costs'!T2312:T2439)</x:f>
        <x:v>234146.33524115809</x:v>
      </x:c>
      <x:c r="W61" s="10" t="n">
        <x:f>SUM('Revenue and costs'!T2440:T2567)</x:f>
        <x:v>245174.64185687713</x:v>
      </x:c>
    </x:row>
    <x:row r="62" ht="16" customHeight="1">
      <x:c r="A62" s="1"/>
      <x:c r="B62" s="1"/>
      <x:c r="C62" s="1" t="str">
        <x:v>Product-specific technology and operating costs</x:v>
      </x:c>
      <x:c r="D62" s="10" t="n">
        <x:f>SUM('Revenue and costs'!U8:U135)</x:f>
        <x:v>2220</x:v>
      </x:c>
      <x:c r="E62" s="10" t="n">
        <x:f>SUM('Revenue and costs'!U136:U263)</x:f>
        <x:v>2286.6</x:v>
      </x:c>
      <x:c r="F62" s="10" t="n">
        <x:f>SUM('Revenue and costs'!U264:U391)</x:f>
        <x:v>2355.198</x:v>
      </x:c>
      <x:c r="G62" s="10" t="n">
        <x:f>SUM('Revenue and costs'!U392:U519)</x:f>
        <x:v>2425.8539399999995</x:v>
      </x:c>
      <x:c r="H62" s="10" t="n">
        <x:f>SUM('Revenue and costs'!U520:U647)</x:f>
        <x:v>2498.6295582000007</x:v>
      </x:c>
      <x:c r="I62" s="10" t="n">
        <x:f>SUM('Revenue and costs'!U648:U775)</x:f>
        <x:v>2573.588444946</x:v>
      </x:c>
      <x:c r="J62" s="10" t="n">
        <x:f>SUM('Revenue and costs'!U776:U903)</x:f>
        <x:v>2650.7960982943796</x:v>
      </x:c>
      <x:c r="K62" s="10" t="n">
        <x:f>SUM('Revenue and costs'!U904:U1031)</x:f>
        <x:v>2730.3199812432117</x:v>
      </x:c>
      <x:c r="L62" s="10" t="n">
        <x:f>SUM('Revenue and costs'!U1032:U1159)</x:f>
        <x:v>2812.229580680508</x:v>
      </x:c>
      <x:c r="M62" s="10" t="n">
        <x:f>SUM('Revenue and costs'!U1160:U1287)</x:f>
        <x:v>2896.596468100923</x:v>
      </x:c>
      <x:c r="N62" s="10" t="n">
        <x:f>SUM('Revenue and costs'!U1288:U1415)</x:f>
        <x:v>2983.494362143951</x:v>
      </x:c>
      <x:c r="O62" s="10" t="n">
        <x:f>SUM('Revenue and costs'!U1416:U1543)</x:f>
        <x:v>3072.9991930082697</x:v>
      </x:c>
      <x:c r="P62" s="10" t="n">
        <x:f>SUM('Revenue and costs'!U1544:U1671)</x:f>
        <x:v>3165.189168798519</x:v>
      </x:c>
      <x:c r="Q62" s="10" t="n">
        <x:f>SUM('Revenue and costs'!U1672:U1799)</x:f>
        <x:v>3260.144843862475</x:v>
      </x:c>
      <x:c r="R62" s="10" t="n">
        <x:f>SUM('Revenue and costs'!U1800:U1927)</x:f>
        <x:v>3357.9491891783496</x:v>
      </x:c>
      <x:c r="S62" s="10" t="n">
        <x:f>SUM('Revenue and costs'!U1928:U2055)</x:f>
        <x:v>3458.687664853698</x:v>
      </x:c>
      <x:c r="T62" s="10" t="n">
        <x:f>SUM('Revenue and costs'!U2056:U2183)</x:f>
        <x:v>3562.4482947993088</x:v>
      </x:c>
      <x:c r="U62" s="10" t="n">
        <x:f>SUM('Revenue and costs'!U2184:U2311)</x:f>
        <x:v>3669.3217436432897</x:v>
      </x:c>
      <x:c r="V62" s="10" t="n">
        <x:f>SUM('Revenue and costs'!U2312:U2439)</x:f>
        <x:v>3779.4013959525887</x:v>
      </x:c>
      <x:c r="W62" s="10" t="n">
        <x:f>SUM('Revenue and costs'!U2440:U2567)</x:f>
        <x:v>3892.783437831166</x:v>
      </x:c>
    </x:row>
    <x:row r="63" ht="16" customHeight="1">
      <x:c r="A63" s="1"/>
      <x:c r="B63" s="1"/>
      <x:c r="C63" s="1" t="str">
        <x:v>Launch samples and setup expenses</x:v>
      </x:c>
      <x:c r="D63" s="10" t="n">
        <x:f>SUM('Revenue and costs'!V8:V135)</x:f>
        <x:v>2550</x:v>
      </x:c>
      <x:c r="E63" s="10" t="n">
        <x:f>SUM('Revenue and costs'!V136:V263)</x:f>
        <x:v>0</x:v>
      </x:c>
      <x:c r="F63" s="10" t="n">
        <x:f>SUM('Revenue and costs'!V264:V391)</x:f>
        <x:v>0</x:v>
      </x:c>
      <x:c r="G63" s="10" t="n">
        <x:f>SUM('Revenue and costs'!V392:V519)</x:f>
        <x:v>0</x:v>
      </x:c>
      <x:c r="H63" s="10" t="n">
        <x:f>SUM('Revenue and costs'!V520:V647)</x:f>
        <x:v>0</x:v>
      </x:c>
      <x:c r="I63" s="10" t="n">
        <x:f>SUM('Revenue and costs'!V648:V775)</x:f>
        <x:v>0</x:v>
      </x:c>
      <x:c r="J63" s="10" t="n">
        <x:f>SUM('Revenue and costs'!V776:V903)</x:f>
        <x:v>0</x:v>
      </x:c>
      <x:c r="K63" s="10" t="n">
        <x:f>SUM('Revenue and costs'!V904:V1031)</x:f>
        <x:v>0</x:v>
      </x:c>
      <x:c r="L63" s="10" t="n">
        <x:f>SUM('Revenue and costs'!V1032:V1159)</x:f>
        <x:v>0</x:v>
      </x:c>
      <x:c r="M63" s="10" t="n">
        <x:f>SUM('Revenue and costs'!V1160:V1287)</x:f>
        <x:v>0</x:v>
      </x:c>
      <x:c r="N63" s="10" t="n">
        <x:f>SUM('Revenue and costs'!V1288:V1415)</x:f>
        <x:v>0</x:v>
      </x:c>
      <x:c r="O63" s="10" t="n">
        <x:f>SUM('Revenue and costs'!V1416:V1543)</x:f>
        <x:v>0</x:v>
      </x:c>
      <x:c r="P63" s="10" t="n">
        <x:f>SUM('Revenue and costs'!V1544:V1671)</x:f>
        <x:v>0</x:v>
      </x:c>
      <x:c r="Q63" s="10" t="n">
        <x:f>SUM('Revenue and costs'!V1672:V1799)</x:f>
        <x:v>0</x:v>
      </x:c>
      <x:c r="R63" s="10" t="n">
        <x:f>SUM('Revenue and costs'!V1800:V1927)</x:f>
        <x:v>0</x:v>
      </x:c>
      <x:c r="S63" s="10" t="n">
        <x:f>SUM('Revenue and costs'!V1928:V2055)</x:f>
        <x:v>0</x:v>
      </x:c>
      <x:c r="T63" s="10" t="n">
        <x:f>SUM('Revenue and costs'!V2056:V2183)</x:f>
        <x:v>0</x:v>
      </x:c>
      <x:c r="U63" s="10" t="n">
        <x:f>SUM('Revenue and costs'!V2184:V2311)</x:f>
        <x:v>0</x:v>
      </x:c>
      <x:c r="V63" s="10" t="n">
        <x:f>SUM('Revenue and costs'!V2312:V2439)</x:f>
        <x:v>0</x:v>
      </x:c>
      <x:c r="W63" s="10" t="n">
        <x:f>SUM('Revenue and costs'!V2440:V2567)</x:f>
        <x:v>0</x:v>
      </x:c>
    </x:row>
    <x:row r="64" ht="16" customHeight="1">
      <x:c r="A64" s="1"/>
      <x:c r="B64" s="1"/>
      <x:c r="C64" s="1" t="str">
        <x:v>Human operations and financial administration</x:v>
      </x:c>
      <x:c r="D64" s="10" t="n">
        <x:f>'Shared costs'!H8</x:f>
        <x:v>11520</x:v>
      </x:c>
      <x:c r="E64" s="10" t="n">
        <x:f>'Shared costs'!I8</x:f>
        <x:v>12458.880000000001</x:v>
      </x:c>
      <x:c r="F64" s="10" t="n">
        <x:f>'Shared costs'!J8</x:f>
        <x:v>13474.27872</x:v>
      </x:c>
      <x:c r="G64" s="10" t="n">
        <x:f>'Shared costs'!K8</x:f>
        <x:v>14572.43243568</x:v>
      </x:c>
      <x:c r="H64" s="10" t="n">
        <x:f>'Shared costs'!L8</x:f>
        <x:v>15760.085679187925</x:v>
      </x:c>
      <x:c r="I64" s="10" t="n">
        <x:f>'Shared costs'!M8</x:f>
        <x:v>17044.53266204174</x:v>
      </x:c>
      <x:c r="J64" s="10" t="n">
        <x:f>'Shared costs'!N8</x:f>
        <x:v>18433.662073998144</x:v>
      </x:c>
      <x:c r="K64" s="10" t="n">
        <x:f>'Shared costs'!O8</x:f>
        <x:v>19936.005533028994</x:v>
      </x:c>
      <x:c r="L64" s="10" t="n">
        <x:f>'Shared costs'!P8</x:f>
        <x:v>21560.78998397086</x:v>
      </x:c>
      <x:c r="M64" s="10" t="n">
        <x:f>'Shared costs'!Q8</x:f>
        <x:v>23317.994367664487</x:v>
      </x:c>
      <x:c r="N64" s="10" t="n">
        <x:f>'Shared costs'!R8</x:f>
        <x:v>25218.410908629143</x:v>
      </x:c>
      <x:c r="O64" s="10" t="n">
        <x:f>'Shared costs'!S8</x:f>
        <x:v>27273.71139768242</x:v>
      </x:c>
      <x:c r="P64" s="10" t="n">
        <x:f>'Shared costs'!T8</x:f>
        <x:v>29496.518876593535</x:v>
      </x:c>
      <x:c r="Q64" s="10" t="n">
        <x:f>'Shared costs'!U8</x:f>
        <x:v>31900.485165035912</x:v>
      </x:c>
      <x:c r="R64" s="10" t="n">
        <x:f>'Shared costs'!V8</x:f>
        <x:v>34500.37470598635</x:v>
      </x:c>
      <x:c r="S64" s="10" t="n">
        <x:f>'Shared costs'!W8</x:f>
        <x:v>37312.155244524234</x:v>
      </x:c>
      <x:c r="T64" s="10" t="n">
        <x:f>'Shared costs'!X8</x:f>
        <x:v>40353.09589695296</x:v>
      </x:c>
      <x:c r="U64" s="10" t="n">
        <x:f>'Shared costs'!Y8</x:f>
        <x:v>43641.87321255462</x:v>
      </x:c>
      <x:c r="V64" s="10" t="n">
        <x:f>'Shared costs'!Z8</x:f>
        <x:v>47198.68587937784</x:v>
      </x:c>
      <x:c r="W64" s="10" t="n">
        <x:f>'Shared costs'!AA8</x:f>
        <x:v>51045.37877854713</x:v>
      </x:c>
    </x:row>
    <x:row r="65" ht="16" customHeight="1">
      <x:c r="A65" s="1"/>
      <x:c r="B65" s="1"/>
      <x:c r="C65" s="1" t="str">
        <x:v>Independent accounting and tax review</x:v>
      </x:c>
      <x:c r="D65" s="10" t="n">
        <x:f>'Shared costs'!H9</x:f>
        <x:v>11520</x:v>
      </x:c>
      <x:c r="E65" s="10" t="n">
        <x:f>'Shared costs'!I9</x:f>
        <x:v>12458.880000000001</x:v>
      </x:c>
      <x:c r="F65" s="10" t="n">
        <x:f>'Shared costs'!J9</x:f>
        <x:v>13474.27872</x:v>
      </x:c>
      <x:c r="G65" s="10" t="n">
        <x:f>'Shared costs'!K9</x:f>
        <x:v>14572.43243568</x:v>
      </x:c>
      <x:c r="H65" s="10" t="n">
        <x:f>'Shared costs'!L9</x:f>
        <x:v>15760.085679187925</x:v>
      </x:c>
      <x:c r="I65" s="10" t="n">
        <x:f>'Shared costs'!M9</x:f>
        <x:v>17044.53266204174</x:v>
      </x:c>
      <x:c r="J65" s="10" t="n">
        <x:f>'Shared costs'!N9</x:f>
        <x:v>18433.662073998144</x:v>
      </x:c>
      <x:c r="K65" s="10" t="n">
        <x:f>'Shared costs'!O9</x:f>
        <x:v>19936.005533028994</x:v>
      </x:c>
      <x:c r="L65" s="10" t="n">
        <x:f>'Shared costs'!P9</x:f>
        <x:v>21560.78998397086</x:v>
      </x:c>
      <x:c r="M65" s="10" t="n">
        <x:f>'Shared costs'!Q9</x:f>
        <x:v>23317.994367664487</x:v>
      </x:c>
      <x:c r="N65" s="10" t="n">
        <x:f>'Shared costs'!R9</x:f>
        <x:v>25218.410908629143</x:v>
      </x:c>
      <x:c r="O65" s="10" t="n">
        <x:f>'Shared costs'!S9</x:f>
        <x:v>27273.71139768242</x:v>
      </x:c>
      <x:c r="P65" s="10" t="n">
        <x:f>'Shared costs'!T9</x:f>
        <x:v>29496.518876593535</x:v>
      </x:c>
      <x:c r="Q65" s="10" t="n">
        <x:f>'Shared costs'!U9</x:f>
        <x:v>31900.485165035912</x:v>
      </x:c>
      <x:c r="R65" s="10" t="n">
        <x:f>'Shared costs'!V9</x:f>
        <x:v>34500.37470598635</x:v>
      </x:c>
      <x:c r="S65" s="10" t="n">
        <x:f>'Shared costs'!W9</x:f>
        <x:v>37312.155244524234</x:v>
      </x:c>
      <x:c r="T65" s="10" t="n">
        <x:f>'Shared costs'!X9</x:f>
        <x:v>40353.09589695296</x:v>
      </x:c>
      <x:c r="U65" s="10" t="n">
        <x:f>'Shared costs'!Y9</x:f>
        <x:v>43641.87321255462</x:v>
      </x:c>
      <x:c r="V65" s="10" t="n">
        <x:f>'Shared costs'!Z9</x:f>
        <x:v>47198.68587937784</x:v>
      </x:c>
      <x:c r="W65" s="10" t="n">
        <x:f>'Shared costs'!AA9</x:f>
        <x:v>51045.37877854713</x:v>
      </x:c>
    </x:row>
    <x:row r="66" ht="16" customHeight="1">
      <x:c r="A66" s="1"/>
      <x:c r="B66" s="1"/>
      <x:c r="C66" s="1" t="str">
        <x:v>Human campaign production support</x:v>
      </x:c>
      <x:c r="D66" s="10" t="n">
        <x:f>'Shared costs'!H10</x:f>
        <x:v>7680</x:v>
      </x:c>
      <x:c r="E66" s="10" t="n">
        <x:f>'Shared costs'!I10</x:f>
        <x:v>8305.92</x:v>
      </x:c>
      <x:c r="F66" s="10" t="n">
        <x:f>'Shared costs'!J10</x:f>
        <x:v>8982.85248</x:v>
      </x:c>
      <x:c r="G66" s="10" t="n">
        <x:f>'Shared costs'!K10</x:f>
        <x:v>9714.95495712</x:v>
      </x:c>
      <x:c r="H66" s="10" t="n">
        <x:f>'Shared costs'!L10</x:f>
        <x:v>10506.723786125283</x:v>
      </x:c>
      <x:c r="I66" s="10" t="n">
        <x:f>'Shared costs'!M10</x:f>
        <x:v>11363.021774694495</x:v>
      </x:c>
      <x:c r="J66" s="10" t="n">
        <x:f>'Shared costs'!N10</x:f>
        <x:v>12289.108049332095</x:v>
      </x:c>
      <x:c r="K66" s="10" t="n">
        <x:f>'Shared costs'!O10</x:f>
        <x:v>13290.670355352662</x:v>
      </x:c>
      <x:c r="L66" s="10" t="n">
        <x:f>'Shared costs'!P10</x:f>
        <x:v>14373.859989313907</x:v>
      </x:c>
      <x:c r="M66" s="10" t="n">
        <x:f>'Shared costs'!Q10</x:f>
        <x:v>15545.329578442992</x:v>
      </x:c>
      <x:c r="N66" s="10" t="n">
        <x:f>'Shared costs'!R10</x:f>
        <x:v>16812.273939086095</x:v>
      </x:c>
      <x:c r="O66" s="10" t="n">
        <x:f>'Shared costs'!S10</x:f>
        <x:v>18182.47426512161</x:v>
      </x:c>
      <x:c r="P66" s="10" t="n">
        <x:f>'Shared costs'!T10</x:f>
        <x:v>19664.345917729024</x:v>
      </x:c>
      <x:c r="Q66" s="10" t="n">
        <x:f>'Shared costs'!U10</x:f>
        <x:v>21266.990110023944</x:v>
      </x:c>
      <x:c r="R66" s="10" t="n">
        <x:f>'Shared costs'!V10</x:f>
        <x:v>23000.2498039909</x:v>
      </x:c>
      <x:c r="S66" s="10" t="n">
        <x:f>'Shared costs'!W10</x:f>
        <x:v>24874.770163016157</x:v>
      </x:c>
      <x:c r="T66" s="10" t="n">
        <x:f>'Shared costs'!X10</x:f>
        <x:v>26902.063931301975</x:v>
      </x:c>
      <x:c r="U66" s="10" t="n">
        <x:f>'Shared costs'!Y10</x:f>
        <x:v>29094.582141703086</x:v>
      </x:c>
      <x:c r="V66" s="10" t="n">
        <x:f>'Shared costs'!Z10</x:f>
        <x:v>31465.79058625189</x:v>
      </x:c>
      <x:c r="W66" s="10" t="n">
        <x:f>'Shared costs'!AA10</x:f>
        <x:v>34030.25251903142</x:v>
      </x:c>
    </x:row>
    <x:row r="67" ht="16" customHeight="1">
      <x:c r="A67" s="1"/>
      <x:c r="B67" s="1"/>
      <x:c r="C67" s="1" t="str">
        <x:v>Independent quality and compliance review</x:v>
      </x:c>
      <x:c r="D67" s="10" t="n">
        <x:f>'Shared costs'!H11</x:f>
        <x:v>13200</x:v>
      </x:c>
      <x:c r="E67" s="10" t="n">
        <x:f>'Shared costs'!I11</x:f>
        <x:v>14275.800000000001</x:v>
      </x:c>
      <x:c r="F67" s="10" t="n">
        <x:f>'Shared costs'!J11</x:f>
        <x:v>15439.277699999999</x:v>
      </x:c>
      <x:c r="G67" s="10" t="n">
        <x:f>'Shared costs'!K11</x:f>
        <x:v>16697.578832550003</x:v>
      </x:c>
      <x:c r="H67" s="10" t="n">
        <x:f>'Shared costs'!L11</x:f>
        <x:v>18058.43150740283</x:v>
      </x:c>
      <x:c r="I67" s="10" t="n">
        <x:f>'Shared costs'!M11</x:f>
        <x:v>19530.193675256163</x:v>
      </x:c>
      <x:c r="J67" s="10" t="n">
        <x:f>'Shared costs'!N11</x:f>
        <x:v>21121.90445978954</x:v>
      </x:c>
      <x:c r="K67" s="10" t="n">
        <x:f>'Shared costs'!O11</x:f>
        <x:v>22843.339673262388</x:v>
      </x:c>
      <x:c r="L67" s="10" t="n">
        <x:f>'Shared costs'!P11</x:f>
        <x:v>24705.071856633273</x:v>
      </x:c>
      <x:c r="M67" s="10" t="n">
        <x:f>'Shared costs'!Q11</x:f>
        <x:v>26718.535212948893</x:v>
      </x:c>
      <x:c r="N67" s="10" t="n">
        <x:f>'Shared costs'!R11</x:f>
        <x:v>28896.095832804225</x:v>
      </x:c>
      <x:c r="O67" s="10" t="n">
        <x:f>'Shared costs'!S11</x:f>
        <x:v>31251.127643177773</x:v>
      </x:c>
      <x:c r="P67" s="10" t="n">
        <x:f>'Shared costs'!T11</x:f>
        <x:v>33798.09454609676</x:v>
      </x:c>
      <x:c r="Q67" s="10" t="n">
        <x:f>'Shared costs'!U11</x:f>
        <x:v>36552.63925160365</x:v>
      </x:c>
      <x:c r="R67" s="10" t="n">
        <x:f>'Shared costs'!V11</x:f>
        <x:v>39531.67935060936</x:v>
      </x:c>
      <x:c r="S67" s="10" t="n">
        <x:f>'Shared costs'!W11</x:f>
        <x:v>42753.51121768402</x:v>
      </x:c>
      <x:c r="T67" s="10" t="n">
        <x:f>'Shared costs'!X11</x:f>
        <x:v>46237.922381925266</x:v>
      </x:c>
      <x:c r="U67" s="10" t="n">
        <x:f>'Shared costs'!Y11</x:f>
        <x:v>50006.313056052175</x:v>
      </x:c>
      <x:c r="V67" s="10" t="n">
        <x:f>'Shared costs'!Z11</x:f>
        <x:v>54081.82757012043</x:v>
      </x:c>
      <x:c r="W67" s="10" t="n">
        <x:f>'Shared costs'!AA11</x:f>
        <x:v>58489.49651708526</x:v>
      </x:c>
    </x:row>
    <x:row r="68" ht="16" customHeight="1">
      <x:c r="A68" s="1"/>
      <x:c r="B68" s="1"/>
      <x:c r="C68" s="1" t="str">
        <x:v>Human technical maintenance</x:v>
      </x:c>
      <x:c r="D68" s="10" t="n">
        <x:f>'Shared costs'!H12</x:f>
        <x:v>10560</x:v>
      </x:c>
      <x:c r="E68" s="10" t="n">
        <x:f>'Shared costs'!I12</x:f>
        <x:v>11420.640000000001</x:v>
      </x:c>
      <x:c r="F68" s="10" t="n">
        <x:f>'Shared costs'!J12</x:f>
        <x:v>12351.42216</x:v>
      </x:c>
      <x:c r="G68" s="10" t="n">
        <x:f>'Shared costs'!K12</x:f>
        <x:v>13358.063066040002</x:v>
      </x:c>
      <x:c r="H68" s="10" t="n">
        <x:f>'Shared costs'!L12</x:f>
        <x:v>14446.745205922263</x:v>
      </x:c>
      <x:c r="I68" s="10" t="n">
        <x:f>'Shared costs'!M12</x:f>
        <x:v>15624.15494020493</x:v>
      </x:c>
      <x:c r="J68" s="10" t="n">
        <x:f>'Shared costs'!N12</x:f>
        <x:v>16897.52356783163</x:v>
      </x:c>
      <x:c r="K68" s="10" t="n">
        <x:f>'Shared costs'!O12</x:f>
        <x:v>18274.67173860991</x:v>
      </x:c>
      <x:c r="L68" s="10" t="n">
        <x:f>'Shared costs'!P12</x:f>
        <x:v>19764.05748530662</x:v>
      </x:c>
      <x:c r="M68" s="10" t="n">
        <x:f>'Shared costs'!Q12</x:f>
        <x:v>21374.82817035911</x:v>
      </x:c>
      <x:c r="N68" s="10" t="n">
        <x:f>'Shared costs'!R12</x:f>
        <x:v>23116.876666243377</x:v>
      </x:c>
      <x:c r="O68" s="10" t="n">
        <x:f>'Shared costs'!S12</x:f>
        <x:v>25000.902114542216</x:v>
      </x:c>
      <x:c r="P68" s="10" t="n">
        <x:f>'Shared costs'!T12</x:f>
        <x:v>27038.47563687741</x:v>
      </x:c>
      <x:c r="Q68" s="10" t="n">
        <x:f>'Shared costs'!U12</x:f>
        <x:v>29242.111401282924</x:v>
      </x:c>
      <x:c r="R68" s="10" t="n">
        <x:f>'Shared costs'!V12</x:f>
        <x:v>31625.343480487485</x:v>
      </x:c>
      <x:c r="S68" s="10" t="n">
        <x:f>'Shared costs'!W12</x:f>
        <x:v>34202.80897414722</x:v>
      </x:c>
      <x:c r="T68" s="10" t="n">
        <x:f>'Shared costs'!X12</x:f>
        <x:v>36990.33790554021</x:v>
      </x:c>
      <x:c r="U68" s="10" t="n">
        <x:f>'Shared costs'!Y12</x:f>
        <x:v>40005.05044484174</x:v>
      </x:c>
      <x:c r="V68" s="10" t="n">
        <x:f>'Shared costs'!Z12</x:f>
        <x:v>43265.46205609635</x:v>
      </x:c>
      <x:c r="W68" s="10" t="n">
        <x:f>'Shared costs'!AA12</x:f>
        <x:v>46791.59721366821</x:v>
      </x:c>
    </x:row>
    <x:row r="69" ht="16" customHeight="1">
      <x:c r="A69" s="1"/>
      <x:c r="B69" s="1"/>
      <x:c r="C69" s="1" t="str">
        <x:v>Hosting and usage infrastructure</x:v>
      </x:c>
      <x:c r="D69" s="10" t="n">
        <x:f>'Shared costs'!H13</x:f>
        <x:v>1800</x:v>
      </x:c>
      <x:c r="E69" s="10" t="n">
        <x:f>'Shared costs'!I13</x:f>
        <x:v>1854</x:v>
      </x:c>
      <x:c r="F69" s="10" t="n">
        <x:f>'Shared costs'!J13</x:f>
        <x:v>1909.62</x:v>
      </x:c>
      <x:c r="G69" s="10" t="n">
        <x:f>'Shared costs'!K13</x:f>
        <x:v>1966.9086</x:v>
      </x:c>
      <x:c r="H69" s="10" t="n">
        <x:f>'Shared costs'!L13</x:f>
        <x:v>2025.9158580000003</x:v>
      </x:c>
      <x:c r="I69" s="10" t="n">
        <x:f>'Shared costs'!M13</x:f>
        <x:v>2086.69333374</x:v>
      </x:c>
      <x:c r="J69" s="10" t="n">
        <x:f>'Shared costs'!N13</x:f>
        <x:v>2149.2941337522</x:v>
      </x:c>
      <x:c r="K69" s="10" t="n">
        <x:f>'Shared costs'!O13</x:f>
        <x:v>2213.7729577647665</x:v>
      </x:c>
      <x:c r="L69" s="10" t="n">
        <x:f>'Shared costs'!P13</x:f>
        <x:v>2280.1861464977096</x:v>
      </x:c>
      <x:c r="M69" s="10" t="n">
        <x:f>'Shared costs'!Q13</x:f>
        <x:v>2348.591730892641</x:v>
      </x:c>
      <x:c r="N69" s="10" t="n">
        <x:f>'Shared costs'!R13</x:f>
        <x:v>2419.04948281942</x:v>
      </x:c>
      <x:c r="O69" s="10" t="n">
        <x:f>'Shared costs'!S13</x:f>
        <x:v>2491.6209673040025</x:v>
      </x:c>
      <x:c r="P69" s="10" t="n">
        <x:f>'Shared costs'!T13</x:f>
        <x:v>2566.3695963231226</x:v>
      </x:c>
      <x:c r="Q69" s="10" t="n">
        <x:f>'Shared costs'!U13</x:f>
        <x:v>2643.3606842128165</x:v>
      </x:c>
      <x:c r="R69" s="10" t="n">
        <x:f>'Shared costs'!V13</x:f>
        <x:v>2722.6615047392015</x:v>
      </x:c>
      <x:c r="S69" s="10" t="n">
        <x:f>'Shared costs'!W13</x:f>
        <x:v>2804.341349881377</x:v>
      </x:c>
      <x:c r="T69" s="10" t="n">
        <x:f>'Shared costs'!X13</x:f>
        <x:v>2888.4715903778188</x:v>
      </x:c>
      <x:c r="U69" s="10" t="n">
        <x:f>'Shared costs'!Y13</x:f>
        <x:v>2975.1257380891534</x:v>
      </x:c>
      <x:c r="V69" s="10" t="n">
        <x:f>'Shared costs'!Z13</x:f>
        <x:v>3064.379510231828</x:v>
      </x:c>
      <x:c r="W69" s="10" t="n">
        <x:f>'Shared costs'!AA13</x:f>
        <x:v>3156.310895538783</x:v>
      </x:c>
    </x:row>
    <x:row r="70" ht="16" customHeight="1">
      <x:c r="A70" s="1"/>
      <x:c r="B70" s="1"/>
      <x:c r="C70" s="1" t="str">
        <x:v>Business software and communications</x:v>
      </x:c>
      <x:c r="D70" s="10" t="n">
        <x:f>'Shared costs'!H14</x:f>
        <x:v>1200</x:v>
      </x:c>
      <x:c r="E70" s="10" t="n">
        <x:f>'Shared costs'!I14</x:f>
        <x:v>1236</x:v>
      </x:c>
      <x:c r="F70" s="10" t="n">
        <x:f>'Shared costs'!J14</x:f>
        <x:v>1273.08</x:v>
      </x:c>
      <x:c r="G70" s="10" t="n">
        <x:f>'Shared costs'!K14</x:f>
        <x:v>1311.2724</x:v>
      </x:c>
      <x:c r="H70" s="10" t="n">
        <x:f>'Shared costs'!L14</x:f>
        <x:v>1350.6105720000003</x:v>
      </x:c>
      <x:c r="I70" s="10" t="n">
        <x:f>'Shared costs'!M14</x:f>
        <x:v>1391.12888916</x:v>
      </x:c>
      <x:c r="J70" s="10" t="n">
        <x:f>'Shared costs'!N14</x:f>
        <x:v>1432.8627558348</x:v>
      </x:c>
      <x:c r="K70" s="10" t="n">
        <x:f>'Shared costs'!O14</x:f>
        <x:v>1475.8486385098442</x:v>
      </x:c>
      <x:c r="L70" s="10" t="n">
        <x:f>'Shared costs'!P14</x:f>
        <x:v>1520.1240976651397</x:v>
      </x:c>
      <x:c r="M70" s="10" t="n">
        <x:f>'Shared costs'!Q14</x:f>
        <x:v>1565.7278205950938</x:v>
      </x:c>
      <x:c r="N70" s="10" t="n">
        <x:f>'Shared costs'!R14</x:f>
        <x:v>1612.6996552129467</x:v>
      </x:c>
      <x:c r="O70" s="10" t="n">
        <x:f>'Shared costs'!S14</x:f>
        <x:v>1661.0806448693352</x:v>
      </x:c>
      <x:c r="P70" s="10" t="n">
        <x:f>'Shared costs'!T14</x:f>
        <x:v>1710.9130642154153</x:v>
      </x:c>
      <x:c r="Q70" s="10" t="n">
        <x:f>'Shared costs'!U14</x:f>
        <x:v>1762.2404561418778</x:v>
      </x:c>
      <x:c r="R70" s="10" t="n">
        <x:f>'Shared costs'!V14</x:f>
        <x:v>1815.1076698261343</x:v>
      </x:c>
      <x:c r="S70" s="10" t="n">
        <x:f>'Shared costs'!W14</x:f>
        <x:v>1869.560899920918</x:v>
      </x:c>
      <x:c r="T70" s="10" t="n">
        <x:f>'Shared costs'!X14</x:f>
        <x:v>1925.647726918546</x:v>
      </x:c>
      <x:c r="U70" s="10" t="n">
        <x:f>'Shared costs'!Y14</x:f>
        <x:v>1983.4171587261021</x:v>
      </x:c>
      <x:c r="V70" s="10" t="n">
        <x:f>'Shared costs'!Z14</x:f>
        <x:v>2042.9196734878856</x:v>
      </x:c>
      <x:c r="W70" s="10" t="n">
        <x:f>'Shared costs'!AA14</x:f>
        <x:v>2104.207263692522</x:v>
      </x:c>
    </x:row>
    <x:row r="71" ht="16" customHeight="1">
      <x:c r="A71" s="1"/>
      <x:c r="B71" s="1"/>
      <x:c r="C71" s="1" t="str">
        <x:v>Insurance</x:v>
      </x:c>
      <x:c r="D71" s="10" t="n">
        <x:f>'Shared costs'!H15</x:f>
        <x:v>3000</x:v>
      </x:c>
      <x:c r="E71" s="10" t="n">
        <x:f>'Shared costs'!I15</x:f>
        <x:v>3090</x:v>
      </x:c>
      <x:c r="F71" s="10" t="n">
        <x:f>'Shared costs'!J15</x:f>
        <x:v>3182.7</x:v>
      </x:c>
      <x:c r="G71" s="10" t="n">
        <x:f>'Shared costs'!K15</x:f>
        <x:v>3278.181</x:v>
      </x:c>
      <x:c r="H71" s="10" t="n">
        <x:f>'Shared costs'!L15</x:f>
        <x:v>3376.5264300000003</x:v>
      </x:c>
      <x:c r="I71" s="10" t="n">
        <x:f>'Shared costs'!M15</x:f>
        <x:v>3477.8222229000003</x:v>
      </x:c>
      <x:c r="J71" s="10" t="n">
        <x:f>'Shared costs'!N15</x:f>
        <x:v>3582.1568895870005</x:v>
      </x:c>
      <x:c r="K71" s="10" t="n">
        <x:f>'Shared costs'!O15</x:f>
        <x:v>3689.6215962746105</x:v>
      </x:c>
      <x:c r="L71" s="10" t="n">
        <x:f>'Shared costs'!P15</x:f>
        <x:v>3800.310244162849</x:v>
      </x:c>
      <x:c r="M71" s="10" t="n">
        <x:f>'Shared costs'!Q15</x:f>
        <x:v>3914.3195514877348</x:v>
      </x:c>
      <x:c r="N71" s="10" t="n">
        <x:f>'Shared costs'!R15</x:f>
        <x:v>4031.749138032367</x:v>
      </x:c>
      <x:c r="O71" s="10" t="n">
        <x:f>'Shared costs'!S15</x:f>
        <x:v>4152.701612173338</x:v>
      </x:c>
      <x:c r="P71" s="10" t="n">
        <x:f>'Shared costs'!T15</x:f>
        <x:v>4277.282660538538</x:v>
      </x:c>
      <x:c r="Q71" s="10" t="n">
        <x:f>'Shared costs'!U15</x:f>
        <x:v>4405.6011403546945</x:v>
      </x:c>
      <x:c r="R71" s="10" t="n">
        <x:f>'Shared costs'!V15</x:f>
        <x:v>4537.769174565336</x:v>
      </x:c>
      <x:c r="S71" s="10" t="n">
        <x:f>'Shared costs'!W15</x:f>
        <x:v>4673.902249802295</x:v>
      </x:c>
      <x:c r="T71" s="10" t="n">
        <x:f>'Shared costs'!X15</x:f>
        <x:v>4814.119317296365</x:v>
      </x:c>
      <x:c r="U71" s="10" t="n">
        <x:f>'Shared costs'!Y15</x:f>
        <x:v>4958.5428968152555</x:v>
      </x:c>
      <x:c r="V71" s="10" t="n">
        <x:f>'Shared costs'!Z15</x:f>
        <x:v>5107.299183719713</x:v>
      </x:c>
      <x:c r="W71" s="10" t="n">
        <x:f>'Shared costs'!AA15</x:f>
        <x:v>5260.518159231305</x:v>
      </x:c>
    </x:row>
    <x:row r="72" ht="16" customHeight="1">
      <x:c r="A72" s="1"/>
      <x:c r="B72" s="1"/>
      <x:c r="C72" s="1" t="str">
        <x:v>Legal and professional fees</x:v>
      </x:c>
      <x:c r="D72" s="10" t="n">
        <x:f>'Shared costs'!H16</x:f>
        <x:v>4800</x:v>
      </x:c>
      <x:c r="E72" s="10" t="n">
        <x:f>'Shared costs'!I16</x:f>
        <x:v>4944</x:v>
      </x:c>
      <x:c r="F72" s="10" t="n">
        <x:f>'Shared costs'!J16</x:f>
        <x:v>5092.32</x:v>
      </x:c>
      <x:c r="G72" s="10" t="n">
        <x:f>'Shared costs'!K16</x:f>
        <x:v>5245.0896</x:v>
      </x:c>
      <x:c r="H72" s="10" t="n">
        <x:f>'Shared costs'!L16</x:f>
        <x:v>5402.442288000001</x:v>
      </x:c>
      <x:c r="I72" s="10" t="n">
        <x:f>'Shared costs'!M16</x:f>
        <x:v>5564.51555664</x:v>
      </x:c>
      <x:c r="J72" s="10" t="n">
        <x:f>'Shared costs'!N16</x:f>
        <x:v>5731.4510233392</x:v>
      </x:c>
      <x:c r="K72" s="10" t="n">
        <x:f>'Shared costs'!O16</x:f>
        <x:v>5903.394554039377</x:v>
      </x:c>
      <x:c r="L72" s="10" t="n">
        <x:f>'Shared costs'!P16</x:f>
        <x:v>6080.496390660559</x:v>
      </x:c>
      <x:c r="M72" s="10" t="n">
        <x:f>'Shared costs'!Q16</x:f>
        <x:v>6262.911282380375</x:v>
      </x:c>
      <x:c r="N72" s="10" t="n">
        <x:f>'Shared costs'!R16</x:f>
        <x:v>6450.798620851787</x:v>
      </x:c>
      <x:c r="O72" s="10" t="n">
        <x:f>'Shared costs'!S16</x:f>
        <x:v>6644.322579477341</x:v>
      </x:c>
      <x:c r="P72" s="10" t="n">
        <x:f>'Shared costs'!T16</x:f>
        <x:v>6843.652256861661</x:v>
      </x:c>
      <x:c r="Q72" s="10" t="n">
        <x:f>'Shared costs'!U16</x:f>
        <x:v>7048.961824567511</x:v>
      </x:c>
      <x:c r="R72" s="10" t="n">
        <x:f>'Shared costs'!V16</x:f>
        <x:v>7260.430679304537</x:v>
      </x:c>
      <x:c r="S72" s="10" t="n">
        <x:f>'Shared costs'!W16</x:f>
        <x:v>7478.243599683672</x:v>
      </x:c>
      <x:c r="T72" s="10" t="n">
        <x:f>'Shared costs'!X16</x:f>
        <x:v>7702.590907674184</x:v>
      </x:c>
      <x:c r="U72" s="10" t="n">
        <x:f>'Shared costs'!Y16</x:f>
        <x:v>7933.6686349044085</x:v>
      </x:c>
      <x:c r="V72" s="10" t="n">
        <x:f>'Shared costs'!Z16</x:f>
        <x:v>8171.678693951542</x:v>
      </x:c>
      <x:c r="W72" s="10" t="n">
        <x:f>'Shared costs'!AA16</x:f>
        <x:v>8416.829054770087</x:v>
      </x:c>
    </x:row>
    <x:row r="73" ht="16" customHeight="1">
      <x:c r="A73" s="1"/>
      <x:c r="B73" s="1"/>
      <x:c r="C73" s="1" t="str">
        <x:v>Office and administrative costs</x:v>
      </x:c>
      <x:c r="D73" s="10" t="n">
        <x:f>'Shared costs'!H17</x:f>
        <x:v>900</x:v>
      </x:c>
      <x:c r="E73" s="10" t="n">
        <x:f>'Shared costs'!I17</x:f>
        <x:v>927</x:v>
      </x:c>
      <x:c r="F73" s="10" t="n">
        <x:f>'Shared costs'!J17</x:f>
        <x:v>954.81</x:v>
      </x:c>
      <x:c r="G73" s="10" t="n">
        <x:f>'Shared costs'!K17</x:f>
        <x:v>983.4543</x:v>
      </x:c>
      <x:c r="H73" s="10" t="n">
        <x:f>'Shared costs'!L17</x:f>
        <x:v>1012.9579290000001</x:v>
      </x:c>
      <x:c r="I73" s="10" t="n">
        <x:f>'Shared costs'!M17</x:f>
        <x:v>1043.34666687</x:v>
      </x:c>
      <x:c r="J73" s="10" t="n">
        <x:f>'Shared costs'!N17</x:f>
        <x:v>1074.6470668761</x:v>
      </x:c>
      <x:c r="K73" s="10" t="n">
        <x:f>'Shared costs'!O17</x:f>
        <x:v>1106.8864788823832</x:v>
      </x:c>
      <x:c r="L73" s="10" t="n">
        <x:f>'Shared costs'!P17</x:f>
        <x:v>1140.0930732488548</x:v>
      </x:c>
      <x:c r="M73" s="10" t="n">
        <x:f>'Shared costs'!Q17</x:f>
        <x:v>1174.2958654463205</x:v>
      </x:c>
      <x:c r="N73" s="10" t="n">
        <x:f>'Shared costs'!R17</x:f>
        <x:v>1209.52474140971</x:v>
      </x:c>
      <x:c r="O73" s="10" t="n">
        <x:f>'Shared costs'!S17</x:f>
        <x:v>1245.8104836520013</x:v>
      </x:c>
      <x:c r="P73" s="10" t="n">
        <x:f>'Shared costs'!T17</x:f>
        <x:v>1283.1847981615613</x:v>
      </x:c>
      <x:c r="Q73" s="10" t="n">
        <x:f>'Shared costs'!U17</x:f>
        <x:v>1321.6803421064083</x:v>
      </x:c>
      <x:c r="R73" s="10" t="n">
        <x:f>'Shared costs'!V17</x:f>
        <x:v>1361.3307523696008</x:v>
      </x:c>
      <x:c r="S73" s="10" t="n">
        <x:f>'Shared costs'!W17</x:f>
        <x:v>1402.1706749406885</x:v>
      </x:c>
      <x:c r="T73" s="10" t="n">
        <x:f>'Shared costs'!X17</x:f>
        <x:v>1444.2357951889094</x:v>
      </x:c>
      <x:c r="U73" s="10" t="n">
        <x:f>'Shared costs'!Y17</x:f>
        <x:v>1487.5628690445767</x:v>
      </x:c>
      <x:c r="V73" s="10" t="n">
        <x:f>'Shared costs'!Z17</x:f>
        <x:v>1532.189755115914</x:v>
      </x:c>
      <x:c r="W73" s="10" t="n">
        <x:f>'Shared costs'!AA17</x:f>
        <x:v>1578.1554477693915</x:v>
      </x:c>
    </x:row>
    <x:row r="74" ht="16" customHeight="1">
      <x:c r="A74" s="1"/>
      <x:c r="B74" s="1"/>
      <x:c r="C74" s="1" t="str">
        <x:v>Licenses and registration</x:v>
      </x:c>
      <x:c r="D74" s="10" t="n">
        <x:f>'Shared costs'!H18</x:f>
        <x:v>600</x:v>
      </x:c>
      <x:c r="E74" s="10" t="n">
        <x:f>'Shared costs'!I18</x:f>
        <x:v>618</x:v>
      </x:c>
      <x:c r="F74" s="10" t="n">
        <x:f>'Shared costs'!J18</x:f>
        <x:v>636.54</x:v>
      </x:c>
      <x:c r="G74" s="10" t="n">
        <x:f>'Shared costs'!K18</x:f>
        <x:v>655.6362</x:v>
      </x:c>
      <x:c r="H74" s="10" t="n">
        <x:f>'Shared costs'!L18</x:f>
        <x:v>675.3052860000001</x:v>
      </x:c>
      <x:c r="I74" s="10" t="n">
        <x:f>'Shared costs'!M18</x:f>
        <x:v>695.56444458</x:v>
      </x:c>
      <x:c r="J74" s="10" t="n">
        <x:f>'Shared costs'!N18</x:f>
        <x:v>716.4313779174</x:v>
      </x:c>
      <x:c r="K74" s="10" t="n">
        <x:f>'Shared costs'!O18</x:f>
        <x:v>737.9243192549221</x:v>
      </x:c>
      <x:c r="L74" s="10" t="n">
        <x:f>'Shared costs'!P18</x:f>
        <x:v>760.0620488325699</x:v>
      </x:c>
      <x:c r="M74" s="10" t="n">
        <x:f>'Shared costs'!Q18</x:f>
        <x:v>782.8639102975469</x:v>
      </x:c>
      <x:c r="N74" s="10" t="n">
        <x:f>'Shared costs'!R18</x:f>
        <x:v>806.3498276064734</x:v>
      </x:c>
      <x:c r="O74" s="10" t="n">
        <x:f>'Shared costs'!S18</x:f>
        <x:v>830.5403224346676</x:v>
      </x:c>
      <x:c r="P74" s="10" t="n">
        <x:f>'Shared costs'!T18</x:f>
        <x:v>855.4565321077076</x:v>
      </x:c>
      <x:c r="Q74" s="10" t="n">
        <x:f>'Shared costs'!U18</x:f>
        <x:v>881.1202280709389</x:v>
      </x:c>
      <x:c r="R74" s="10" t="n">
        <x:f>'Shared costs'!V18</x:f>
        <x:v>907.5538349130671</x:v>
      </x:c>
      <x:c r="S74" s="10" t="n">
        <x:f>'Shared costs'!W18</x:f>
        <x:v>934.780449960459</x:v>
      </x:c>
      <x:c r="T74" s="10" t="n">
        <x:f>'Shared costs'!X18</x:f>
        <x:v>962.823863459273</x:v>
      </x:c>
      <x:c r="U74" s="10" t="n">
        <x:f>'Shared costs'!Y18</x:f>
        <x:v>991.7085793630511</x:v>
      </x:c>
      <x:c r="V74" s="10" t="n">
        <x:f>'Shared costs'!Z18</x:f>
        <x:v>1021.4598367439428</x:v>
      </x:c>
      <x:c r="W74" s="10" t="n">
        <x:f>'Shared costs'!AA18</x:f>
        <x:v>1052.103631846261</x:v>
      </x:c>
    </x:row>
    <x:row r="75" ht="16" customHeight="1">
      <x:c r="A75" s="1"/>
      <x:c r="B75" s="1"/>
      <x:c r="C75" s="1" t="str">
        <x:v>Travel and business development</x:v>
      </x:c>
      <x:c r="D75" s="10" t="n">
        <x:f>'Shared costs'!H19</x:f>
        <x:v>1200</x:v>
      </x:c>
      <x:c r="E75" s="10" t="n">
        <x:f>'Shared costs'!I19</x:f>
        <x:v>1236</x:v>
      </x:c>
      <x:c r="F75" s="10" t="n">
        <x:f>'Shared costs'!J19</x:f>
        <x:v>1273.08</x:v>
      </x:c>
      <x:c r="G75" s="10" t="n">
        <x:f>'Shared costs'!K19</x:f>
        <x:v>1311.2724</x:v>
      </x:c>
      <x:c r="H75" s="10" t="n">
        <x:f>'Shared costs'!L19</x:f>
        <x:v>1350.6105720000003</x:v>
      </x:c>
      <x:c r="I75" s="10" t="n">
        <x:f>'Shared costs'!M19</x:f>
        <x:v>1391.12888916</x:v>
      </x:c>
      <x:c r="J75" s="10" t="n">
        <x:f>'Shared costs'!N19</x:f>
        <x:v>1432.8627558348</x:v>
      </x:c>
      <x:c r="K75" s="10" t="n">
        <x:f>'Shared costs'!O19</x:f>
        <x:v>1475.8486385098442</x:v>
      </x:c>
      <x:c r="L75" s="10" t="n">
        <x:f>'Shared costs'!P19</x:f>
        <x:v>1520.1240976651397</x:v>
      </x:c>
      <x:c r="M75" s="10" t="n">
        <x:f>'Shared costs'!Q19</x:f>
        <x:v>1565.7278205950938</x:v>
      </x:c>
      <x:c r="N75" s="10" t="n">
        <x:f>'Shared costs'!R19</x:f>
        <x:v>1612.6996552129467</x:v>
      </x:c>
      <x:c r="O75" s="10" t="n">
        <x:f>'Shared costs'!S19</x:f>
        <x:v>1661.0806448693352</x:v>
      </x:c>
      <x:c r="P75" s="10" t="n">
        <x:f>'Shared costs'!T19</x:f>
        <x:v>1710.9130642154153</x:v>
      </x:c>
      <x:c r="Q75" s="10" t="n">
        <x:f>'Shared costs'!U19</x:f>
        <x:v>1762.2404561418778</x:v>
      </x:c>
      <x:c r="R75" s="10" t="n">
        <x:f>'Shared costs'!V19</x:f>
        <x:v>1815.1076698261343</x:v>
      </x:c>
      <x:c r="S75" s="10" t="n">
        <x:f>'Shared costs'!W19</x:f>
        <x:v>1869.560899920918</x:v>
      </x:c>
      <x:c r="T75" s="10" t="n">
        <x:f>'Shared costs'!X19</x:f>
        <x:v>1925.647726918546</x:v>
      </x:c>
      <x:c r="U75" s="10" t="n">
        <x:f>'Shared costs'!Y19</x:f>
        <x:v>1983.4171587261021</x:v>
      </x:c>
      <x:c r="V75" s="10" t="n">
        <x:f>'Shared costs'!Z19</x:f>
        <x:v>2042.9196734878856</x:v>
      </x:c>
      <x:c r="W75" s="10" t="n">
        <x:f>'Shared costs'!AA19</x:f>
        <x:v>2104.207263692522</x:v>
      </x:c>
    </x:row>
    <x:row r="76" ht="16" customHeight="1">
      <x:c r="A76" s="1"/>
      <x:c r="B76" s="1"/>
      <x:c r="C76" s="1" t="str">
        <x:v>Research and development</x:v>
      </x:c>
      <x:c r="D76" s="10" t="n">
        <x:f>'Shared costs'!H20</x:f>
        <x:v>1800</x:v>
      </x:c>
      <x:c r="E76" s="10" t="n">
        <x:f>'Shared costs'!I20</x:f>
        <x:v>1854</x:v>
      </x:c>
      <x:c r="F76" s="10" t="n">
        <x:f>'Shared costs'!J20</x:f>
        <x:v>1909.62</x:v>
      </x:c>
      <x:c r="G76" s="10" t="n">
        <x:f>'Shared costs'!K20</x:f>
        <x:v>1966.9086</x:v>
      </x:c>
      <x:c r="H76" s="10" t="n">
        <x:f>'Shared costs'!L20</x:f>
        <x:v>2025.9158580000003</x:v>
      </x:c>
      <x:c r="I76" s="10" t="n">
        <x:f>'Shared costs'!M20</x:f>
        <x:v>2086.69333374</x:v>
      </x:c>
      <x:c r="J76" s="10" t="n">
        <x:f>'Shared costs'!N20</x:f>
        <x:v>2149.2941337522</x:v>
      </x:c>
      <x:c r="K76" s="10" t="n">
        <x:f>'Shared costs'!O20</x:f>
        <x:v>2213.7729577647665</x:v>
      </x:c>
      <x:c r="L76" s="10" t="n">
        <x:f>'Shared costs'!P20</x:f>
        <x:v>2280.1861464977096</x:v>
      </x:c>
      <x:c r="M76" s="10" t="n">
        <x:f>'Shared costs'!Q20</x:f>
        <x:v>2348.591730892641</x:v>
      </x:c>
      <x:c r="N76" s="10" t="n">
        <x:f>'Shared costs'!R20</x:f>
        <x:v>2419.04948281942</x:v>
      </x:c>
      <x:c r="O76" s="10" t="n">
        <x:f>'Shared costs'!S20</x:f>
        <x:v>2491.6209673040025</x:v>
      </x:c>
      <x:c r="P76" s="10" t="n">
        <x:f>'Shared costs'!T20</x:f>
        <x:v>2566.3695963231226</x:v>
      </x:c>
      <x:c r="Q76" s="10" t="n">
        <x:f>'Shared costs'!U20</x:f>
        <x:v>2643.3606842128165</x:v>
      </x:c>
      <x:c r="R76" s="10" t="n">
        <x:f>'Shared costs'!V20</x:f>
        <x:v>2722.6615047392015</x:v>
      </x:c>
      <x:c r="S76" s="10" t="n">
        <x:f>'Shared costs'!W20</x:f>
        <x:v>2804.341349881377</x:v>
      </x:c>
      <x:c r="T76" s="10" t="n">
        <x:f>'Shared costs'!X20</x:f>
        <x:v>2888.4715903778188</x:v>
      </x:c>
      <x:c r="U76" s="10" t="n">
        <x:f>'Shared costs'!Y20</x:f>
        <x:v>2975.1257380891534</x:v>
      </x:c>
      <x:c r="V76" s="10" t="n">
        <x:f>'Shared costs'!Z20</x:f>
        <x:v>3064.379510231828</x:v>
      </x:c>
      <x:c r="W76" s="10" t="n">
        <x:f>'Shared costs'!AA20</x:f>
        <x:v>3156.310895538783</x:v>
      </x:c>
    </x:row>
    <x:row r="77" ht="16" customHeight="1">
      <x:c r="A77" s="1"/>
      <x:c r="B77" s="1"/>
      <x:c r="C77" s="1" t="str">
        <x:v>Founder preparation and coordination, if paid</x:v>
      </x:c>
      <x:c r="D77" s="10" t="n">
        <x:f>SUM('Revenue and costs'!AE8:AE135)+'Assumptions'!$D$18*'Assumptions'!$D$19*12*(1+'Assumptions'!$D$13)^(1-1)*'Assumptions'!$D$21</x:f>
        <x:v>0</x:v>
      </x:c>
      <x:c r="E77" s="10" t="n">
        <x:f>SUM('Revenue and costs'!AE136:AE263)+'Assumptions'!$D$18*'Assumptions'!$D$19*12*(1+'Assumptions'!$D$13)^(2-1)*'Assumptions'!$D$21</x:f>
        <x:v>0</x:v>
      </x:c>
      <x:c r="F77" s="10" t="n">
        <x:f>SUM('Revenue and costs'!AE264:AE391)+'Assumptions'!$D$18*'Assumptions'!$D$19*12*(1+'Assumptions'!$D$13)^(3-1)*'Assumptions'!$D$21</x:f>
        <x:v>0</x:v>
      </x:c>
      <x:c r="G77" s="10" t="n">
        <x:f>SUM('Revenue and costs'!AE392:AE519)+'Assumptions'!$D$18*'Assumptions'!$D$19*12*(1+'Assumptions'!$D$13)^(4-1)*'Assumptions'!$D$21</x:f>
        <x:v>0</x:v>
      </x:c>
      <x:c r="H77" s="10" t="n">
        <x:f>SUM('Revenue and costs'!AE520:AE647)+'Assumptions'!$D$18*'Assumptions'!$D$19*12*(1+'Assumptions'!$D$13)^(5-1)*'Assumptions'!$D$21</x:f>
        <x:v>0</x:v>
      </x:c>
      <x:c r="I77" s="10" t="n">
        <x:f>SUM('Revenue and costs'!AE648:AE775)+'Assumptions'!$D$18*'Assumptions'!$D$19*12*(1+'Assumptions'!$D$13)^(6-1)*'Assumptions'!$D$21</x:f>
        <x:v>0</x:v>
      </x:c>
      <x:c r="J77" s="10" t="n">
        <x:f>SUM('Revenue and costs'!AE776:AE903)+'Assumptions'!$D$18*'Assumptions'!$D$19*12*(1+'Assumptions'!$D$13)^(7-1)*'Assumptions'!$D$21</x:f>
        <x:v>0</x:v>
      </x:c>
      <x:c r="K77" s="10" t="n">
        <x:f>SUM('Revenue and costs'!AE904:AE1031)+'Assumptions'!$D$18*'Assumptions'!$D$19*12*(1+'Assumptions'!$D$13)^(8-1)*'Assumptions'!$D$21</x:f>
        <x:v>0</x:v>
      </x:c>
      <x:c r="L77" s="10" t="n">
        <x:f>SUM('Revenue and costs'!AE1032:AE1159)+'Assumptions'!$D$18*'Assumptions'!$D$19*12*(1+'Assumptions'!$D$13)^(9-1)*'Assumptions'!$D$21</x:f>
        <x:v>0</x:v>
      </x:c>
      <x:c r="M77" s="10" t="n">
        <x:f>SUM('Revenue and costs'!AE1160:AE1287)+'Assumptions'!$D$18*'Assumptions'!$D$19*12*(1+'Assumptions'!$D$13)^(10-1)*'Assumptions'!$D$21</x:f>
        <x:v>0</x:v>
      </x:c>
      <x:c r="N77" s="10" t="n">
        <x:f>SUM('Revenue and costs'!AE1288:AE1415)+'Assumptions'!$D$18*'Assumptions'!$D$19*12*(1+'Assumptions'!$D$13)^(11-1)*'Assumptions'!$D$21</x:f>
        <x:v>0</x:v>
      </x:c>
      <x:c r="O77" s="10" t="n">
        <x:f>SUM('Revenue and costs'!AE1416:AE1543)+'Assumptions'!$D$18*'Assumptions'!$D$19*12*(1+'Assumptions'!$D$13)^(12-1)*'Assumptions'!$D$21</x:f>
        <x:v>0</x:v>
      </x:c>
      <x:c r="P77" s="10" t="n">
        <x:f>SUM('Revenue and costs'!AE1544:AE1671)+'Assumptions'!$D$18*'Assumptions'!$D$19*12*(1+'Assumptions'!$D$13)^(13-1)*'Assumptions'!$D$21</x:f>
        <x:v>0</x:v>
      </x:c>
      <x:c r="Q77" s="10" t="n">
        <x:f>SUM('Revenue and costs'!AE1672:AE1799)+'Assumptions'!$D$18*'Assumptions'!$D$19*12*(1+'Assumptions'!$D$13)^(14-1)*'Assumptions'!$D$21</x:f>
        <x:v>0</x:v>
      </x:c>
      <x:c r="R77" s="10" t="n">
        <x:f>SUM('Revenue and costs'!AE1800:AE1927)+'Assumptions'!$D$18*'Assumptions'!$D$19*12*(1+'Assumptions'!$D$13)^(15-1)*'Assumptions'!$D$21</x:f>
        <x:v>0</x:v>
      </x:c>
      <x:c r="S77" s="10" t="n">
        <x:f>SUM('Revenue and costs'!AE1928:AE2055)+'Assumptions'!$D$18*'Assumptions'!$D$19*12*(1+'Assumptions'!$D$13)^(16-1)*'Assumptions'!$D$21</x:f>
        <x:v>0</x:v>
      </x:c>
      <x:c r="T77" s="10" t="n">
        <x:f>SUM('Revenue and costs'!AE2056:AE2183)+'Assumptions'!$D$18*'Assumptions'!$D$19*12*(1+'Assumptions'!$D$13)^(17-1)*'Assumptions'!$D$21</x:f>
        <x:v>0</x:v>
      </x:c>
      <x:c r="U77" s="10" t="n">
        <x:f>SUM('Revenue and costs'!AE2184:AE2311)+'Assumptions'!$D$18*'Assumptions'!$D$19*12*(1+'Assumptions'!$D$13)^(18-1)*'Assumptions'!$D$21</x:f>
        <x:v>0</x:v>
      </x:c>
      <x:c r="V77" s="10" t="n">
        <x:f>SUM('Revenue and costs'!AE2312:AE2439)+'Assumptions'!$D$18*'Assumptions'!$D$19*12*(1+'Assumptions'!$D$13)^(19-1)*'Assumptions'!$D$21</x:f>
        <x:v>0</x:v>
      </x:c>
      <x:c r="W77" s="10" t="n">
        <x:f>SUM('Revenue and costs'!AE2440:AE2567)+'Assumptions'!$D$18*'Assumptions'!$D$19*12*(1+'Assumptions'!$D$13)^(20-1)*'Assumptions'!$D$21</x:f>
        <x:v>0</x:v>
      </x:c>
    </x:row>
    <x:row r="78" ht="16" customHeight="1">
      <x:c r="A78" s="1"/>
      <x:c r="B78" s="1"/>
      <x:c r="C78" s="7" t="str">
        <x:v>Total operating expenses</x:v>
      </x:c>
      <x:c r="D78" s="11" t="n">
        <x:f>SUM(D61:D77)</x:f>
        <x:v>123393.67600000004</x:v>
      </x:c>
      <x:c r="E78" s="11" t="n">
        <x:f>SUM(E61:E77)</x:f>
        <x:v>146679.83477671002</x:v>
      </x:c>
      <x:c r="F78" s="11" t="n">
        <x:f>SUM(F61:F77)</x:f>
        <x:v>167116.44959429099</x:v>
      </x:c>
      <x:c r="G78" s="11" t="n">
        <x:f>SUM(G61:G77)</x:f>
        <x:v>186961.38040544835</x:v>
      </x:c>
      <x:c r="H78" s="11" t="n">
        <x:f>SUM(H61:H77)</x:f>
        <x:v>208051.89090331327</x:v>
      </x:c>
      <x:c r="I78" s="11" t="n">
        <x:f>SUM(I61:I77)</x:f>
        <x:v>224731.474425724</x:v>
      </x:c>
      <x:c r="J78" s="11" t="n">
        <x:f>SUM(J61:J77)</x:f>
        <x:v>240113.40129437495</x:v>
      </x:c>
      <x:c r="K78" s="11" t="n">
        <x:f>SUM(K61:K77)</x:f>
        <x:v>255375.62355155815</x:v>
      </x:c>
      <x:c r="L78" s="11" t="n">
        <x:f>SUM(L61:L77)</x:f>
        <x:v>271040.36301033566</x:v>
      </x:c>
      <x:c r="M78" s="11" t="n">
        <x:f>SUM(M61:M77)</x:f>
        <x:v>287386.0861432695</x:v>
      </x:c>
      <x:c r="N78" s="11" t="n">
        <x:f>SUM(N61:N77)</x:f>
        <x:v>304591.42339586775</x:v>
      </x:c>
      <x:c r="O78" s="11" t="n">
        <x:f>SUM(O61:O77)</x:f>
        <x:v>322790.83168362506</x:v>
      </x:c>
      <x:c r="P78" s="11" t="n">
        <x:f>SUM(P61:P77)</x:f>
        <x:v>342098.6962337205</x:v>
      </x:c>
      <x:c r="Q78" s="11" t="n">
        <x:f>SUM(Q61:Q77)</x:f>
        <x:v>362621.0004050866</x:v>
      </x:c>
      <x:c r="R78" s="11" t="n">
        <x:f>SUM(R61:R77)</x:f>
        <x:v>384461.5877104978</x:v>
      </x:c>
      <x:c r="S78" s="11" t="n">
        <x:f>SUM(S61:S77)</x:f>
        <x:v>407725.8536705726</x:v>
      </x:c>
      <x:c r="T78" s="11" t="n">
        <x:f>SUM(T61:T77)</x:f>
        <x:v>432523.1283557994</x:v>
      </x:c>
      <x:c r="U78" s="11" t="n">
        <x:f>SUM(U61:U77)</x:f>
        <x:v>458968.3596847821</x:v>
      </x:c>
      <x:c r="V78" s="11" t="n">
        <x:f>SUM(V61:V77)</x:f>
        <x:v>487183.4144453056</x:v>
      </x:c>
      <x:c r="W78" s="11" t="n">
        <x:f>SUM(W61:W77)</x:f>
        <x:v>517298.17171366693</x:v>
      </x:c>
    </x:row>
    <x:row r="79" ht="16" customHeight="1">
      <x:c r="A79" s="1"/>
      <x:c r="B79" s="1"/>
      <x:c r="C79" s="7" t="str">
        <x:v>Operating income before depreciation</x:v>
      </x:c>
      <x:c r="D79" s="11" t="n">
        <x:f>D58-D78</x:f>
        <x:v>381372.12599999993</x:v>
      </x:c>
      <x:c r="E79" s="11" t="n">
        <x:f>E58-E78</x:f>
        <x:v>541596.1902215899</x:v>
      </x:c>
      <x:c r="F79" s="11" t="n">
        <x:f>F58-F78</x:f>
        <x:v>656040.3903398945</x:v>
      </x:c>
      <x:c r="G79" s="11" t="n">
        <x:f>G58-G78</x:f>
        <x:v>761257.9010644894</x:v>
      </x:c>
      <x:c r="H79" s="11" t="n">
        <x:f>H58-H78</x:f>
        <x:v>870499.4755541364</x:v>
      </x:c>
      <x:c r="I79" s="11" t="n">
        <x:f>I58-I78</x:f>
        <x:v>934787.452558734</x:v>
      </x:c>
      <x:c r="J79" s="11" t="n">
        <x:f>J58-J78</x:f>
        <x:v>980487.2128808819</x:v>
      </x:c>
      <x:c r="K79" s="11" t="n">
        <x:f>K58-K78</x:f>
        <x:v>1017402.0142867676</x:v>
      </x:c>
      <x:c r="L79" s="11" t="n">
        <x:f>L58-L78</x:f>
        <x:v>1049655.7970702057</x:v>
      </x:c>
      <x:c r="M79" s="11" t="n">
        <x:f>M58-M78</x:f>
        <x:v>1079179.1858377296</x:v>
      </x:c>
      <x:c r="N79" s="11" t="n">
        <x:f>N58-N78</x:f>
        <x:v>1106945.2096458708</x:v>
      </x:c>
      <x:c r="O79" s="11" t="n">
        <x:f>O58-O78</x:f>
        <x:v>1133459.9987459683</x:v>
      </x:c>
      <x:c r="P79" s="11" t="n">
        <x:f>P58-P78</x:f>
        <x:v>1158979.9373905212</x:v>
      </x:c>
      <x:c r="Q79" s="11" t="n">
        <x:f>Q58-Q78</x:f>
        <x:v>1183616.838832453</x:v>
      </x:c>
      <x:c r="R79" s="11" t="n">
        <x:f>R58-R78</x:f>
        <x:v>1207392.514593204</x:v>
      </x:c>
      <x:c r="S79" s="11" t="n">
        <x:f>S58-S78</x:f>
        <x:v>1230268.5390434095</x:v>
      </x:c>
      <x:c r="T79" s="11" t="n">
        <x:f>T58-T78</x:f>
        <x:v>1252163.0459585378</x:v>
      </x:c>
      <x:c r="U79" s="11" t="n">
        <x:f>U58-U78</x:f>
        <x:v>1272960.3762543881</x:v>
      </x:c>
      <x:c r="V79" s="11" t="n">
        <x:f>V58-V78</x:f>
        <x:v>1292516.5962813515</x:v>
      </x:c>
      <x:c r="W79" s="11" t="n">
        <x:f>W58-W78</x:f>
        <x:v>1310662.5233190763</x:v>
      </x:c>
    </x:row>
    <x:row r="80" ht="16" customHeight="1">
      <x:c r="A80" s="1"/>
      <x:c r="B80" s="1"/>
      <x:c r="C80" s="1" t="str">
        <x:v>Depreciation and amortization</x:v>
      </x:c>
      <x:c r="D80" s="10" t="n">
        <x:f>'Cash and capital'!D18</x:f>
        <x:v>500</x:v>
      </x:c>
      <x:c r="E80" s="10" t="n">
        <x:f>'Cash and capital'!E18</x:f>
        <x:v>500</x:v>
      </x:c>
      <x:c r="F80" s="10" t="n">
        <x:f>'Cash and capital'!F18</x:f>
        <x:v>500</x:v>
      </x:c>
      <x:c r="G80" s="10" t="n">
        <x:f>'Cash and capital'!G18</x:f>
        <x:v>546.3635</x:v>
      </x:c>
      <x:c r="H80" s="10" t="n">
        <x:f>'Cash and capital'!H18</x:f>
        <x:v>546.3635</x:v>
      </x:c>
      <x:c r="I80" s="10" t="n">
        <x:f>'Cash and capital'!I18</x:f>
        <x:v>546.3635</x:v>
      </x:c>
      <x:c r="J80" s="10" t="n">
        <x:f>'Cash and capital'!J18</x:f>
        <x:v>597.0261482645001</x:v>
      </x:c>
      <x:c r="K80" s="10" t="n">
        <x:f>'Cash and capital'!K18</x:f>
        <x:v>597.0261482645001</x:v>
      </x:c>
      <x:c r="L80" s="10" t="n">
        <x:f>'Cash and capital'!L18</x:f>
        <x:v>597.0261482645001</x:v>
      </x:c>
      <x:c r="M80" s="10" t="n">
        <x:f>'Cash and capital'!M18</x:f>
        <x:v>652.3865919146225</x:v>
      </x:c>
      <x:c r="N80" s="10" t="n">
        <x:f>'Cash and capital'!N18</x:f>
        <x:v>652.3865919146225</x:v>
      </x:c>
      <x:c r="O80" s="10" t="n">
        <x:f>'Cash and capital'!O18</x:f>
        <x:v>652.3865919146225</x:v>
      </x:c>
      <x:c r="P80" s="10" t="n">
        <x:f>'Cash and capital'!P18</x:f>
        <x:v>712.8804434230897</x:v>
      </x:c>
      <x:c r="Q80" s="10" t="n">
        <x:f>'Cash and capital'!Q18</x:f>
        <x:v>712.8804434230897</x:v>
      </x:c>
      <x:c r="R80" s="10" t="n">
        <x:f>'Cash and capital'!R18</x:f>
        <x:v>712.8804434230897</x:v>
      </x:c>
      <x:c r="S80" s="10" t="n">
        <x:f>'Cash and capital'!S18</x:f>
        <x:v>778.9837083003825</x:v>
      </x:c>
      <x:c r="T80" s="10" t="n">
        <x:f>'Cash and capital'!T18</x:f>
        <x:v>778.9837083003825</x:v>
      </x:c>
      <x:c r="U80" s="10" t="n">
        <x:f>'Cash and capital'!U18</x:f>
        <x:v>778.9837083003825</x:v>
      </x:c>
      <x:c r="V80" s="10" t="n">
        <x:f>'Cash and capital'!V18</x:f>
        <x:v>851.2165306199522</x:v>
      </x:c>
      <x:c r="W80" s="10" t="n">
        <x:f>'Cash and capital'!W18</x:f>
        <x:v>851.2165306199522</x:v>
      </x:c>
    </x:row>
    <x:row r="81" ht="16" customHeight="1">
      <x:c r="A81" s="1"/>
      <x:c r="B81" s="1"/>
      <x:c r="C81" s="7" t="str">
        <x:v>Operating income</x:v>
      </x:c>
      <x:c r="D81" s="11" t="n">
        <x:f>D79-D80</x:f>
        <x:v>380872.12599999993</x:v>
      </x:c>
      <x:c r="E81" s="11" t="n">
        <x:f>E79-E80</x:f>
        <x:v>541096.1902215899</x:v>
      </x:c>
      <x:c r="F81" s="11" t="n">
        <x:f>F79-F80</x:f>
        <x:v>655540.3903398945</x:v>
      </x:c>
      <x:c r="G81" s="11" t="n">
        <x:f>G79-G80</x:f>
        <x:v>760711.5375644894</x:v>
      </x:c>
      <x:c r="H81" s="11" t="n">
        <x:f>H79-H80</x:f>
        <x:v>869953.1120541365</x:v>
      </x:c>
      <x:c r="I81" s="11" t="n">
        <x:f>I79-I80</x:f>
        <x:v>934241.089058734</x:v>
      </x:c>
      <x:c r="J81" s="11" t="n">
        <x:f>J79-J80</x:f>
        <x:v>979890.1867326173</x:v>
      </x:c>
      <x:c r="K81" s="11" t="n">
        <x:f>K79-K80</x:f>
        <x:v>1016804.988138503</x:v>
      </x:c>
      <x:c r="L81" s="11" t="n">
        <x:f>L79-L80</x:f>
        <x:v>1049058.7709219411</x:v>
      </x:c>
      <x:c r="M81" s="11" t="n">
        <x:f>M79-M80</x:f>
        <x:v>1078526.799245815</x:v>
      </x:c>
      <x:c r="N81" s="11" t="n">
        <x:f>N79-N80</x:f>
        <x:v>1106292.8230539563</x:v>
      </x:c>
      <x:c r="O81" s="11" t="n">
        <x:f>O79-O80</x:f>
        <x:v>1132807.6121540538</x:v>
      </x:c>
      <x:c r="P81" s="11" t="n">
        <x:f>P79-P80</x:f>
        <x:v>1158267.056947098</x:v>
      </x:c>
      <x:c r="Q81" s="11" t="n">
        <x:f>Q79-Q80</x:f>
        <x:v>1182903.9583890298</x:v>
      </x:c>
      <x:c r="R81" s="11" t="n">
        <x:f>R79-R80</x:f>
        <x:v>1206679.634149781</x:v>
      </x:c>
      <x:c r="S81" s="11" t="n">
        <x:f>S79-S80</x:f>
        <x:v>1229489.5553351091</x:v>
      </x:c>
      <x:c r="T81" s="11" t="n">
        <x:f>T79-T80</x:f>
        <x:v>1251384.0622502374</x:v>
      </x:c>
      <x:c r="U81" s="11" t="n">
        <x:f>U79-U80</x:f>
        <x:v>1272181.3925460877</x:v>
      </x:c>
      <x:c r="V81" s="11" t="n">
        <x:f>V79-V80</x:f>
        <x:v>1291665.3797507316</x:v>
      </x:c>
      <x:c r="W81" s="11" t="n">
        <x:f>W79-W80</x:f>
        <x:v>1309811.3067884564</x:v>
      </x:c>
    </x:row>
    <x:row r="82" ht="16" customHeight="1">
      <x:c r="A82" s="1"/>
      <x:c r="B82" s="1"/>
      <x:c r="C82" s="1" t="str">
        <x:v>Interest expense</x:v>
      </x:c>
      <x:c r="D82" s="10" t="n">
        <x:f>0</x:f>
        <x:v>0</x:v>
      </x:c>
      <x:c r="E82" s="10" t="n">
        <x:f>0</x:f>
        <x:v>0</x:v>
      </x:c>
      <x:c r="F82" s="10" t="n">
        <x:f>0</x:f>
        <x:v>0</x:v>
      </x:c>
      <x:c r="G82" s="10" t="n">
        <x:f>0</x:f>
        <x:v>0</x:v>
      </x:c>
      <x:c r="H82" s="10" t="n">
        <x:f>0</x:f>
        <x:v>0</x:v>
      </x:c>
      <x:c r="I82" s="10" t="n">
        <x:f>0</x:f>
        <x:v>0</x:v>
      </x:c>
      <x:c r="J82" s="10" t="n">
        <x:f>0</x:f>
        <x:v>0</x:v>
      </x:c>
      <x:c r="K82" s="10" t="n">
        <x:f>0</x:f>
        <x:v>0</x:v>
      </x:c>
      <x:c r="L82" s="10" t="n">
        <x:f>0</x:f>
        <x:v>0</x:v>
      </x:c>
      <x:c r="M82" s="10" t="n">
        <x:f>0</x:f>
        <x:v>0</x:v>
      </x:c>
      <x:c r="N82" s="10" t="n">
        <x:f>0</x:f>
        <x:v>0</x:v>
      </x:c>
      <x:c r="O82" s="10" t="n">
        <x:f>0</x:f>
        <x:v>0</x:v>
      </x:c>
      <x:c r="P82" s="10" t="n">
        <x:f>0</x:f>
        <x:v>0</x:v>
      </x:c>
      <x:c r="Q82" s="10" t="n">
        <x:f>0</x:f>
        <x:v>0</x:v>
      </x:c>
      <x:c r="R82" s="10" t="n">
        <x:f>0</x:f>
        <x:v>0</x:v>
      </x:c>
      <x:c r="S82" s="10" t="n">
        <x:f>0</x:f>
        <x:v>0</x:v>
      </x:c>
      <x:c r="T82" s="10" t="n">
        <x:f>0</x:f>
        <x:v>0</x:v>
      </x:c>
      <x:c r="U82" s="10" t="n">
        <x:f>0</x:f>
        <x:v>0</x:v>
      </x:c>
      <x:c r="V82" s="10" t="n">
        <x:f>0</x:f>
        <x:v>0</x:v>
      </x:c>
      <x:c r="W82" s="10" t="n">
        <x:f>0</x:f>
        <x:v>0</x:v>
      </x:c>
    </x:row>
    <x:row r="83" ht="16" customHeight="1">
      <x:c r="A83" s="1"/>
      <x:c r="B83" s="1"/>
      <x:c r="C83" s="1" t="str">
        <x:v>Other income / (expense)</x:v>
      </x:c>
      <x:c r="D83" s="10" t="n">
        <x:f>0</x:f>
        <x:v>0</x:v>
      </x:c>
      <x:c r="E83" s="10" t="n">
        <x:f>0</x:f>
        <x:v>0</x:v>
      </x:c>
      <x:c r="F83" s="10" t="n">
        <x:f>0</x:f>
        <x:v>0</x:v>
      </x:c>
      <x:c r="G83" s="10" t="n">
        <x:f>0</x:f>
        <x:v>0</x:v>
      </x:c>
      <x:c r="H83" s="10" t="n">
        <x:f>0</x:f>
        <x:v>0</x:v>
      </x:c>
      <x:c r="I83" s="10" t="n">
        <x:f>0</x:f>
        <x:v>0</x:v>
      </x:c>
      <x:c r="J83" s="10" t="n">
        <x:f>0</x:f>
        <x:v>0</x:v>
      </x:c>
      <x:c r="K83" s="10" t="n">
        <x:f>0</x:f>
        <x:v>0</x:v>
      </x:c>
      <x:c r="L83" s="10" t="n">
        <x:f>0</x:f>
        <x:v>0</x:v>
      </x:c>
      <x:c r="M83" s="10" t="n">
        <x:f>0</x:f>
        <x:v>0</x:v>
      </x:c>
      <x:c r="N83" s="10" t="n">
        <x:f>0</x:f>
        <x:v>0</x:v>
      </x:c>
      <x:c r="O83" s="10" t="n">
        <x:f>0</x:f>
        <x:v>0</x:v>
      </x:c>
      <x:c r="P83" s="10" t="n">
        <x:f>0</x:f>
        <x:v>0</x:v>
      </x:c>
      <x:c r="Q83" s="10" t="n">
        <x:f>0</x:f>
        <x:v>0</x:v>
      </x:c>
      <x:c r="R83" s="10" t="n">
        <x:f>0</x:f>
        <x:v>0</x:v>
      </x:c>
      <x:c r="S83" s="10" t="n">
        <x:f>0</x:f>
        <x:v>0</x:v>
      </x:c>
      <x:c r="T83" s="10" t="n">
        <x:f>0</x:f>
        <x:v>0</x:v>
      </x:c>
      <x:c r="U83" s="10" t="n">
        <x:f>0</x:f>
        <x:v>0</x:v>
      </x:c>
      <x:c r="V83" s="10" t="n">
        <x:f>0</x:f>
        <x:v>0</x:v>
      </x:c>
      <x:c r="W83" s="10" t="n">
        <x:f>0</x:f>
        <x:v>0</x:v>
      </x:c>
    </x:row>
    <x:row r="84" ht="16" customHeight="1">
      <x:c r="A84" s="1"/>
      <x:c r="B84" s="1"/>
      <x:c r="C84" s="7" t="str">
        <x:v>Income / (loss) before tax</x:v>
      </x:c>
      <x:c r="D84" s="11" t="n">
        <x:f>D81-D82+D83</x:f>
        <x:v>380872.12599999993</x:v>
      </x:c>
      <x:c r="E84" s="11" t="n">
        <x:f>E81-E82+E83</x:f>
        <x:v>541096.1902215899</x:v>
      </x:c>
      <x:c r="F84" s="11" t="n">
        <x:f>F81-F82+F83</x:f>
        <x:v>655540.3903398945</x:v>
      </x:c>
      <x:c r="G84" s="11" t="n">
        <x:f>G81-G82+G83</x:f>
        <x:v>760711.5375644894</x:v>
      </x:c>
      <x:c r="H84" s="11" t="n">
        <x:f>H81-H82+H83</x:f>
        <x:v>869953.1120541365</x:v>
      </x:c>
      <x:c r="I84" s="11" t="n">
        <x:f>I81-I82+I83</x:f>
        <x:v>934241.089058734</x:v>
      </x:c>
      <x:c r="J84" s="11" t="n">
        <x:f>J81-J82+J83</x:f>
        <x:v>979890.1867326173</x:v>
      </x:c>
      <x:c r="K84" s="11" t="n">
        <x:f>K81-K82+K83</x:f>
        <x:v>1016804.988138503</x:v>
      </x:c>
      <x:c r="L84" s="11" t="n">
        <x:f>L81-L82+L83</x:f>
        <x:v>1049058.7709219411</x:v>
      </x:c>
      <x:c r="M84" s="11" t="n">
        <x:f>M81-M82+M83</x:f>
        <x:v>1078526.799245815</x:v>
      </x:c>
      <x:c r="N84" s="11" t="n">
        <x:f>N81-N82+N83</x:f>
        <x:v>1106292.8230539563</x:v>
      </x:c>
      <x:c r="O84" s="11" t="n">
        <x:f>O81-O82+O83</x:f>
        <x:v>1132807.6121540538</x:v>
      </x:c>
      <x:c r="P84" s="11" t="n">
        <x:f>P81-P82+P83</x:f>
        <x:v>1158267.056947098</x:v>
      </x:c>
      <x:c r="Q84" s="11" t="n">
        <x:f>Q81-Q82+Q83</x:f>
        <x:v>1182903.9583890298</x:v>
      </x:c>
      <x:c r="R84" s="11" t="n">
        <x:f>R81-R82+R83</x:f>
        <x:v>1206679.634149781</x:v>
      </x:c>
      <x:c r="S84" s="11" t="n">
        <x:f>S81-S82+S83</x:f>
        <x:v>1229489.5553351091</x:v>
      </x:c>
      <x:c r="T84" s="11" t="n">
        <x:f>T81-T82+T83</x:f>
        <x:v>1251384.0622502374</x:v>
      </x:c>
      <x:c r="U84" s="11" t="n">
        <x:f>U81-U82+U83</x:f>
        <x:v>1272181.3925460877</x:v>
      </x:c>
      <x:c r="V84" s="11" t="n">
        <x:f>V81-V82+V83</x:f>
        <x:v>1291665.3797507316</x:v>
      </x:c>
      <x:c r="W84" s="11" t="n">
        <x:f>W81-W82+W83</x:f>
        <x:v>1309811.3067884564</x:v>
      </x:c>
    </x:row>
    <x:row r="85" ht="16" customHeight="1">
      <x:c r="A85" s="1"/>
      <x:c r="B85" s="1"/>
      <x:c r="C85" s="1" t="str">
        <x:v>Illustrative income tax provision</x:v>
      </x:c>
      <x:c r="D85" s="10" t="n">
        <x:f>SUM('Segment tax'!L8:L46)</x:f>
        <x:v>95446.9229758889</x:v>
      </x:c>
      <x:c r="E85" s="10" t="n">
        <x:f>SUM('Segment tax'!L47:L85)</x:f>
        <x:v>135532.82564671975</x:v>
      </x:c>
      <x:c r="F85" s="10" t="n">
        <x:f>SUM('Segment tax'!L86:L124)</x:f>
        <x:v>164218.500053767</x:v>
      </x:c>
      <x:c r="G85" s="10" t="n">
        <x:f>SUM('Segment tax'!L125:L163)</x:f>
        <x:v>190583.2243163183</x:v>
      </x:c>
      <x:c r="H85" s="10" t="n">
        <x:f>SUM('Segment tax'!L164:L202)</x:f>
        <x:v>217972.69314355083</x:v>
      </x:c>
      <x:c r="I85" s="10" t="n">
        <x:f>SUM('Segment tax'!L203:L241)</x:f>
        <x:v>234122.20887615834</x:v>
      </x:c>
      <x:c r="J85" s="10" t="n">
        <x:f>SUM('Segment tax'!L242:L280)</x:f>
        <x:v>245615.62330036538</x:v>
      </x:c>
      <x:c r="K85" s="10" t="n">
        <x:f>SUM('Segment tax'!L281:L319)</x:f>
        <x:v>254931.6544196825</x:v>
      </x:c>
      <x:c r="L85" s="10" t="n">
        <x:f>SUM('Segment tax'!L320:L358)</x:f>
        <x:v>263091.93146457186</x:v>
      </x:c>
      <x:c r="M85" s="10" t="n">
        <x:f>SUM('Segment tax'!L359:L397)</x:f>
        <x:v>270576.93011223915</x:v>
      </x:c>
      <x:c r="N85" s="10" t="n">
        <x:f>SUM('Segment tax'!L398:L436)</x:f>
        <x:v>277647.54072795535</x:v>
      </x:c>
      <x:c r="O85" s="10" t="n">
        <x:f>SUM('Segment tax'!L437:L475)</x:f>
        <x:v>284417.45293227024</x:v>
      </x:c>
      <x:c r="P85" s="10" t="n">
        <x:f>SUM('Segment tax'!L476:L514)</x:f>
        <x:v>290936.71167343186</x:v>
      </x:c>
      <x:c r="Q85" s="10" t="n">
        <x:f>SUM('Segment tax'!L515:L553)</x:f>
        <x:v>297264.1993286782</x:v>
      </x:c>
      <x:c r="R85" s="10" t="n">
        <x:f>SUM('Segment tax'!L554:L592)</x:f>
        <x:v>303391.48056322156</x:v>
      </x:c>
      <x:c r="S85" s="10" t="n">
        <x:f>SUM('Segment tax'!L593:L631)</x:f>
        <x:v>309293.7650416359</x:v>
      </x:c>
      <x:c r="T85" s="10" t="n">
        <x:f>SUM('Segment tax'!L632:L670)</x:f>
        <x:v>314984.5553444293</x:v>
      </x:c>
      <x:c r="U85" s="10" t="n">
        <x:f>SUM('Segment tax'!L671:L709)</x:f>
        <x:v>320419.9440335318</x:v>
      </x:c>
      <x:c r="V85" s="10" t="n">
        <x:f>SUM('Segment tax'!L710:L748)</x:f>
        <x:v>325547.5457391462</x:v>
      </x:c>
      <x:c r="W85" s="10" t="n">
        <x:f>SUM('Segment tax'!L749:L787)</x:f>
        <x:v>330362.3748472037</x:v>
      </x:c>
    </x:row>
    <x:row r="86" ht="16" customHeight="1">
      <x:c r="A86" s="1"/>
      <x:c r="B86" s="1"/>
      <x:c r="C86" s="7" t="str">
        <x:v>Net income / (loss)</x:v>
      </x:c>
      <x:c r="D86" s="11" t="n">
        <x:f>D84-D85</x:f>
        <x:v>285425.20302411105</x:v>
      </x:c>
      <x:c r="E86" s="11" t="n">
        <x:f>E84-E85</x:f>
        <x:v>405563.3645748701</x:v>
      </x:c>
      <x:c r="F86" s="11" t="n">
        <x:f>F84-F85</x:f>
        <x:v>491321.89028612745</x:v>
      </x:c>
      <x:c r="G86" s="11" t="n">
        <x:f>G84-G85</x:f>
        <x:v>570128.3132481711</x:v>
      </x:c>
      <x:c r="H86" s="11" t="n">
        <x:f>H84-H85</x:f>
        <x:v>651980.4189105856</x:v>
      </x:c>
      <x:c r="I86" s="11" t="n">
        <x:f>I84-I85</x:f>
        <x:v>700118.8801825757</x:v>
      </x:c>
      <x:c r="J86" s="11" t="n">
        <x:f>J84-J85</x:f>
        <x:v>734274.5634322519</x:v>
      </x:c>
      <x:c r="K86" s="11" t="n">
        <x:f>K84-K85</x:f>
        <x:v>761873.3337188205</x:v>
      </x:c>
      <x:c r="L86" s="11" t="n">
        <x:f>L84-L85</x:f>
        <x:v>785966.8394573693</x:v>
      </x:c>
      <x:c r="M86" s="11" t="n">
        <x:f>M84-M85</x:f>
        <x:v>807949.8691335758</x:v>
      </x:c>
      <x:c r="N86" s="11" t="n">
        <x:f>N84-N85</x:f>
        <x:v>828645.282326001</x:v>
      </x:c>
      <x:c r="O86" s="11" t="n">
        <x:f>O84-O85</x:f>
        <x:v>848390.1592217835</x:v>
      </x:c>
      <x:c r="P86" s="11" t="n">
        <x:f>P84-P85</x:f>
        <x:v>867330.3452736663</x:v>
      </x:c>
      <x:c r="Q86" s="11" t="n">
        <x:f>Q84-Q85</x:f>
        <x:v>885639.7590603516</x:v>
      </x:c>
      <x:c r="R86" s="11" t="n">
        <x:f>R84-R85</x:f>
        <x:v>903288.1535865595</x:v>
      </x:c>
      <x:c r="S86" s="11" t="n">
        <x:f>S84-S85</x:f>
        <x:v>920195.7902934733</x:v>
      </x:c>
      <x:c r="T86" s="11" t="n">
        <x:f>T84-T85</x:f>
        <x:v>936399.5069058081</x:v>
      </x:c>
      <x:c r="U86" s="11" t="n">
        <x:f>U84-U85</x:f>
        <x:v>951761.4485125559</x:v>
      </x:c>
      <x:c r="V86" s="11" t="n">
        <x:f>V84-V85</x:f>
        <x:v>966117.8340115855</x:v>
      </x:c>
      <x:c r="W86" s="11" t="n">
        <x:f>W84-W85</x:f>
        <x:v>979448.9319412527</x:v>
      </x:c>
    </x:row>
    <x:row r="87" ht="16" customHeight="1">
      <x:c r="A87" s="1"/>
      <x:c r="B87" s="1"/>
      <x:c r="C87" s="1" t="str">
        <x:v>Net margin</x:v>
      </x:c>
      <x:c r="D87" s="9" t="n">
        <x:f>IF(D50=0,0,D86/D50)</x:f>
        <x:v>0.28039140896080406</x:v>
      </x:c>
      <x:c r="E87" s="9" t="n">
        <x:f>IF(E50=0,0,E86/E50)</x:f>
        <x:v>0.2896248901289637</x:v>
      </x:c>
      <x:c r="F87" s="9" t="n">
        <x:f>IF(F50=0,0,F86/F50)</x:f>
        <x:v>0.290497803889954</x:v>
      </x:c>
      <x:c r="G87" s="9" t="n">
        <x:f>IF(G50=0,0,G86/G50)</x:f>
        <x:v>0.28975402674801126</x:v>
      </x:c>
      <x:c r="H87" s="9" t="n">
        <x:f>IF(H50=0,0,H86/H50)</x:f>
        <x:v>0.2884899977989753</x:v>
      </x:c>
      <x:c r="I87" s="9" t="n">
        <x:f>IF(I50=0,0,I86/I50)</x:f>
        <x:v>0.2845531177909936</x:v>
      </x:c>
      <x:c r="J87" s="9" t="n">
        <x:f>IF(J50=0,0,J86/J50)</x:f>
        <x:v>0.2797606379119084</x:v>
      </x:c>
      <x:c r="K87" s="9" t="n">
        <x:f>IF(K50=0,0,K86/K50)</x:f>
        <x:v>0.2746102547144101</x:v>
      </x:c>
      <x:c r="L87" s="9" t="n">
        <x:f>IF(L50=0,0,L86/L50)</x:f>
        <x:v>0.26923728801111985</x:v>
      </x:c>
      <x:c r="M87" s="9" t="n">
        <x:f>IF(M50=0,0,M86/M50)</x:f>
        <x:v>0.26368551907695814</x:v>
      </x:c>
      <x:c r="N87" s="9" t="n">
        <x:f>IF(N50=0,0,N86/N50)</x:f>
        <x:v>0.25801637979494985</x:v>
      </x:c>
      <x:c r="O87" s="9" t="n">
        <x:f>IF(O50=0,0,O86/O50)</x:f>
        <x:v>0.2522327216901574</x:v>
      </x:c>
      <x:c r="P87" s="9" t="n">
        <x:f>IF(P50=0,0,P86/P50)</x:f>
        <x:v>0.24633249110058436</x:v>
      </x:c>
      <x:c r="Q87" s="9" t="n">
        <x:f>IF(Q50=0,0,Q86/Q50)</x:f>
        <x:v>0.2403493775745097</x:v>
      </x:c>
      <x:c r="R87" s="9" t="n">
        <x:f>IF(R50=0,0,R86/R50)</x:f>
        <x:v>0.23427473384368</x:v>
      </x:c>
      <x:c r="S87" s="9" t="n">
        <x:f>IF(S50=0,0,S86/S50)</x:f>
        <x:v>0.22809944545041053</x:v>
      </x:c>
      <x:c r="T87" s="9" t="n">
        <x:f>IF(T50=0,0,T86/T50)</x:f>
        <x:v>0.2218507168848714</x:v>
      </x:c>
      <x:c r="U87" s="9" t="n">
        <x:f>IF(U50=0,0,U86/U50)</x:f>
        <x:v>0.21551673071331964</x:v>
      </x:c>
      <x:c r="V87" s="9" t="n">
        <x:f>IF(V50=0,0,V86/V50)</x:f>
        <x:v>0.20908612335584797</x:v>
      </x:c>
      <x:c r="W87" s="9" t="n">
        <x:f>IF(W50=0,0,W86/W50)</x:f>
        <x:v>0.20258283581102915</x:v>
      </x:c>
    </x:row>
    <x:row r="88" ht="16" customHeight="1">
      <x:c r="A88" s="1"/>
      <x:c r="B88" s="1"/>
      <x:c r="C88" s="8" t="str">
        <x:v>SUPPLEMENTARY MEASURES</x:v>
      </x:c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2"/>
      <x:c r="P88" s="12"/>
      <x:c r="Q88" s="12"/>
      <x:c r="R88" s="12"/>
      <x:c r="S88" s="12"/>
      <x:c r="T88" s="12"/>
      <x:c r="U88" s="12"/>
      <x:c r="V88" s="12"/>
      <x:c r="W88" s="12"/>
    </x:row>
    <x:row r="89" ht="16" customHeight="1">
      <x:c r="A89" s="1"/>
      <x:c r="B89" s="1"/>
      <x:c r="C89" s="1" t="str">
        <x:v>Gross customer transaction value</x:v>
      </x:c>
      <x:c r="D89" s="10" t="n">
        <x:f>SUM('Revenue and costs'!J8:J135)</x:f>
        <x:v>1243052</x:v>
      </x:c>
      <x:c r="E89" s="10" t="n">
        <x:f>SUM('Revenue and costs'!J136:J263)</x:f>
        <x:v>1704070.6763000002</x:v>
      </x:c>
      <x:c r="F89" s="10" t="n">
        <x:f>SUM('Revenue and costs'!J264:J391)</x:f>
        <x:v>2076763.7825623997</x:v>
      </x:c>
      <x:c r="G89" s="10" t="n">
        <x:f>SUM('Revenue and costs'!J392:J519)</x:f>
        <x:v>2445419.635129978</x:v>
      </x:c>
      <x:c r="H89" s="10" t="n">
        <x:f>SUM('Revenue and costs'!J520:J647)</x:f>
        <x:v>2846031.897326087</x:v>
      </x:c>
      <x:c r="I89" s="10" t="n">
        <x:f>SUM('Revenue and costs'!J648:J775)</x:f>
        <x:v>3133878.1015511155</x:v>
      </x:c>
      <x:c r="J89" s="10" t="n">
        <x:f>SUM('Revenue and costs'!J776:J903)</x:f>
        <x:v>3372544.021096406</x:v>
      </x:c>
      <x:c r="K89" s="10" t="n">
        <x:f>SUM('Revenue and costs'!J904:J1031)</x:f>
        <x:v>3588506.617363023</x:v>
      </x:c>
      <x:c r="L89" s="10" t="n">
        <x:f>SUM('Revenue and costs'!J1032:J1159)</x:f>
        <x:v>3794572.0784468437</x:v>
      </x:c>
      <x:c r="M89" s="10" t="n">
        <x:f>SUM('Revenue and costs'!J1160:J1287)</x:f>
        <x:v>3997793.384311574</x:v>
      </x:c>
      <x:c r="N89" s="10" t="n">
        <x:f>SUM('Revenue and costs'!J1288:J1415)</x:f>
        <x:v>4202468.780801089</x:v>
      </x:c>
      <x:c r="O89" s="10" t="n">
        <x:f>SUM('Revenue and costs'!J1416:J1543)</x:f>
        <x:v>4411431.833901357</x:v>
      </x:c>
      <x:c r="P89" s="10" t="n">
        <x:f>SUM('Revenue and costs'!J1544:J1671)</x:f>
        <x:v>4626677.2709455</x:v>
      </x:c>
      <x:c r="Q89" s="10" t="n">
        <x:f>SUM('Revenue and costs'!J1672:J1799)</x:f>
        <x:v>4849695.812189256</x:v>
      </x:c>
      <x:c r="R89" s="10" t="n">
        <x:f>SUM('Revenue and costs'!J1800:J1927)</x:f>
        <x:v>5081666.916611456</x:v>
      </x:c>
      <x:c r="S89" s="10" t="n">
        <x:f>SUM('Revenue and costs'!J1928:J2055)</x:f>
        <x:v>5323575.848427366</x:v>
      </x:c>
      <x:c r="T89" s="10" t="n">
        <x:f>SUM('Revenue and costs'!J2056:J2183)</x:f>
        <x:v>5576287.70802888</x:v>
      </x:c>
      <x:c r="U89" s="10" t="n">
        <x:f>SUM('Revenue and costs'!J2184:J2311)</x:f>
        <x:v>5840595.7718018545</x:v>
      </x:c>
      <x:c r="V89" s="10" t="n">
        <x:f>SUM('Revenue and costs'!J2312:J2439)</x:f>
        <x:v>6117253.92232122</x:v>
      </x:c>
      <x:c r="W89" s="10" t="n">
        <x:f>SUM('Revenue and costs'!J2440:J2567)</x:f>
        <x:v>6406998.944924104</x:v>
      </x:c>
    </x:row>
    <x:row r="90" ht="16" customHeight="1">
      <x:c r="A90" s="1"/>
      <x:c r="B90" s="1"/>
      <x:c r="C90" s="1" t="str">
        <x:v>Required paid delivery and support hours</x:v>
      </x:c>
      <x:c r="D90" s="10" t="n">
        <x:f>SUM('Revenue and costs'!W8:W135)</x:f>
        <x:v>6976.338000000001</x:v>
      </x:c>
      <x:c r="E90" s="10" t="n">
        <x:f>SUM('Revenue and costs'!W136:W263)</x:f>
        <x:v>9315.0582</x:v>
      </x:c>
      <x:c r="F90" s="10" t="n">
        <x:f>SUM('Revenue and costs'!W264:W391)</x:f>
        <x:v>11062.540810000008</x:v>
      </x:c>
      <x:c r="G90" s="10" t="n">
        <x:f>SUM('Revenue and costs'!W392:W519)</x:f>
        <x:v>12703.21737579999</x:v>
      </x:c>
      <x:c r="H90" s="10" t="n">
        <x:f>SUM('Revenue and costs'!W520:W647)</x:f>
        <x:v>14422.639870880996</x:v>
      </x:c>
      <x:c r="I90" s="10" t="n">
        <x:f>SUM('Revenue and costs'!W648:W775)</x:f>
        <x:v>15500.546582083778</x:v>
      </x:c>
      <x:c r="J90" s="10" t="n">
        <x:f>SUM('Revenue and costs'!W776:W903)</x:f>
        <x:v>16312.997089181763</x:v>
      </x:c>
      <x:c r="K90" s="10" t="n">
        <x:f>SUM('Revenue and costs'!W904:W1031)</x:f>
        <x:v>17004.31829865815</x:v>
      </x:c>
      <x:c r="L90" s="10" t="n">
        <x:f>SUM('Revenue and costs'!W1032:W1159)</x:f>
        <x:v>17637.971729764886</x:v>
      </x:c>
      <x:c r="M90" s="10" t="n">
        <x:f>SUM('Revenue and costs'!W1160:W1287)</x:f>
        <x:v>18245.369239118558</x:v>
      </x:c>
      <x:c r="N90" s="10" t="n">
        <x:f>SUM('Revenue and costs'!W1288:W1415)</x:f>
        <x:v>18843.56735221121</x:v>
      </x:c>
      <x:c r="O90" s="10" t="n">
        <x:f>SUM('Revenue and costs'!W1416:W1543)</x:f>
        <x:v>19442.512838177812</x:v>
      </x:c>
      <x:c r="P90" s="10" t="n">
        <x:f>SUM('Revenue and costs'!W1544:W1671)</x:f>
        <x:v>20048.356145517813</x:v>
      </x:c>
      <x:c r="Q90" s="10" t="n">
        <x:f>SUM('Revenue and costs'!W1672:W1799)</x:f>
        <x:v>20665.106056040207</x:v>
      </x:c>
      <x:c r="R90" s="10" t="n">
        <x:f>SUM('Revenue and costs'!W1800:W1927)</x:f>
        <x:v>21295.512608279045</x:v>
      </x:c>
      <x:c r="S90" s="10" t="n">
        <x:f>SUM('Revenue and costs'!W1928:W2055)</x:f>
        <x:v>21941.562660236454</x:v>
      </x:c>
      <x:c r="T90" s="10" t="n">
        <x:f>SUM('Revenue and costs'!W2056:W2183)</x:f>
        <x:v>22604.769536878488</x:v>
      </x:c>
      <x:c r="U90" s="10" t="n">
        <x:f>SUM('Revenue and costs'!W2184:W2311)</x:f>
        <x:v>23286.34817882657</x:v>
      </x:c>
      <x:c r="V90" s="10" t="n">
        <x:f>SUM('Revenue and costs'!W2312:W2439)</x:f>
        <x:v>23987.32419525202</x:v>
      </x:c>
      <x:c r="W90" s="10" t="n">
        <x:f>SUM('Revenue and costs'!W2440:W2567)</x:f>
        <x:v>24708.60349900802</x:v>
      </x:c>
    </x:row>
    <x:row r="91" ht="16" customHeight="1">
      <x:c r="A91" s="1"/>
      <x:c r="B91" s="1"/>
      <x:c r="C91" s="1" t="str">
        <x:v>Unpaid founder preparation and coordination</x:v>
      </x:c>
      <x:c r="D91" s="10" t="n">
        <x:f>(SUM('Revenue and costs'!AA8:AA135)+'Assumptions'!$D$18*'Assumptions'!$D$19*12*(1+'Assumptions'!$D$13)^(1-1))*(1-'Assumptions'!$D$21)</x:f>
        <x:v>119600</x:v>
      </x:c>
      <x:c r="E91" s="10" t="n">
        <x:f>(SUM('Revenue and costs'!AA136:AA263)+'Assumptions'!$D$18*'Assumptions'!$D$19*12*(1+'Assumptions'!$D$13)^(2-1))*(1-'Assumptions'!$D$21)</x:f>
        <x:v>39552</x:v>
      </x:c>
      <x:c r="F91" s="10" t="n">
        <x:f>(SUM('Revenue and costs'!AA264:AA391)+'Assumptions'!$D$18*'Assumptions'!$D$19*12*(1+'Assumptions'!$D$13)^(3-1))*(1-'Assumptions'!$D$21)</x:f>
        <x:v>40738.56</x:v>
      </x:c>
      <x:c r="G91" s="10" t="n">
        <x:f>(SUM('Revenue and costs'!AA392:AA519)+'Assumptions'!$D$18*'Assumptions'!$D$19*12*(1+'Assumptions'!$D$13)^(4-1))*(1-'Assumptions'!$D$21)</x:f>
        <x:v>41960.7168</x:v>
      </x:c>
      <x:c r="H91" s="10" t="n">
        <x:f>(SUM('Revenue and costs'!AA520:AA647)+'Assumptions'!$D$18*'Assumptions'!$D$19*12*(1+'Assumptions'!$D$13)^(5-1))*(1-'Assumptions'!$D$21)</x:f>
        <x:v>43219.53830400001</x:v>
      </x:c>
      <x:c r="I91" s="10" t="n">
        <x:f>(SUM('Revenue and costs'!AA648:AA775)+'Assumptions'!$D$18*'Assumptions'!$D$19*12*(1+'Assumptions'!$D$13)^(6-1))*(1-'Assumptions'!$D$21)</x:f>
        <x:v>44516.12445312</x:v>
      </x:c>
      <x:c r="J91" s="10" t="n">
        <x:f>(SUM('Revenue and costs'!AA776:AA903)+'Assumptions'!$D$18*'Assumptions'!$D$19*12*(1+'Assumptions'!$D$13)^(7-1))*(1-'Assumptions'!$D$21)</x:f>
        <x:v>45851.6081867136</x:v>
      </x:c>
      <x:c r="K91" s="10" t="n">
        <x:f>(SUM('Revenue and costs'!AA904:AA1031)+'Assumptions'!$D$18*'Assumptions'!$D$19*12*(1+'Assumptions'!$D$13)^(8-1))*(1-'Assumptions'!$D$21)</x:f>
        <x:v>47227.156432315016</x:v>
      </x:c>
      <x:c r="L91" s="10" t="n">
        <x:f>(SUM('Revenue and costs'!AA1032:AA1159)+'Assumptions'!$D$18*'Assumptions'!$D$19*12*(1+'Assumptions'!$D$13)^(9-1))*(1-'Assumptions'!$D$21)</x:f>
        <x:v>48643.97112528447</x:v>
      </x:c>
      <x:c r="M91" s="10" t="n">
        <x:f>(SUM('Revenue and costs'!AA1160:AA1287)+'Assumptions'!$D$18*'Assumptions'!$D$19*12*(1+'Assumptions'!$D$13)^(10-1))*(1-'Assumptions'!$D$21)</x:f>
        <x:v>50103.290259043</x:v>
      </x:c>
      <x:c r="N91" s="10" t="n">
        <x:f>(SUM('Revenue and costs'!AA1288:AA1415)+'Assumptions'!$D$18*'Assumptions'!$D$19*12*(1+'Assumptions'!$D$13)^(11-1))*(1-'Assumptions'!$D$21)</x:f>
        <x:v>51606.388966814295</x:v>
      </x:c>
      <x:c r="O91" s="10" t="n">
        <x:f>(SUM('Revenue and costs'!AA1416:AA1543)+'Assumptions'!$D$18*'Assumptions'!$D$19*12*(1+'Assumptions'!$D$13)^(12-1))*(1-'Assumptions'!$D$21)</x:f>
        <x:v>53154.580635818726</x:v>
      </x:c>
      <x:c r="P91" s="10" t="n">
        <x:f>(SUM('Revenue and costs'!AA1544:AA1671)+'Assumptions'!$D$18*'Assumptions'!$D$19*12*(1+'Assumptions'!$D$13)^(13-1))*(1-'Assumptions'!$D$21)</x:f>
        <x:v>54749.21805489329</x:v>
      </x:c>
      <x:c r="Q91" s="10" t="n">
        <x:f>(SUM('Revenue and costs'!AA1672:AA1799)+'Assumptions'!$D$18*'Assumptions'!$D$19*12*(1+'Assumptions'!$D$13)^(14-1))*(1-'Assumptions'!$D$21)</x:f>
        <x:v>56391.69459654009</x:v>
      </x:c>
      <x:c r="R91" s="10" t="n">
        <x:f>(SUM('Revenue and costs'!AA1800:AA1927)+'Assumptions'!$D$18*'Assumptions'!$D$19*12*(1+'Assumptions'!$D$13)^(15-1))*(1-'Assumptions'!$D$21)</x:f>
        <x:v>58083.4454344363</x:v>
      </x:c>
      <x:c r="S91" s="10" t="n">
        <x:f>(SUM('Revenue and costs'!AA1928:AA2055)+'Assumptions'!$D$18*'Assumptions'!$D$19*12*(1+'Assumptions'!$D$13)^(16-1))*(1-'Assumptions'!$D$21)</x:f>
        <x:v>59825.94879746938</x:v>
      </x:c>
      <x:c r="T91" s="10" t="n">
        <x:f>(SUM('Revenue and costs'!AA2056:AA2183)+'Assumptions'!$D$18*'Assumptions'!$D$19*12*(1+'Assumptions'!$D$13)^(17-1))*(1-'Assumptions'!$D$21)</x:f>
        <x:v>61620.72726139347</x:v>
      </x:c>
      <x:c r="U91" s="10" t="n">
        <x:f>(SUM('Revenue and costs'!AA2184:AA2311)+'Assumptions'!$D$18*'Assumptions'!$D$19*12*(1+'Assumptions'!$D$13)^(18-1))*(1-'Assumptions'!$D$21)</x:f>
        <x:v>63469.34907923527</x:v>
      </x:c>
      <x:c r="V91" s="10" t="n">
        <x:f>(SUM('Revenue and costs'!AA2312:AA2439)+'Assumptions'!$D$18*'Assumptions'!$D$19*12*(1+'Assumptions'!$D$13)^(19-1))*(1-'Assumptions'!$D$21)</x:f>
        <x:v>65373.42955161234</x:v>
      </x:c>
      <x:c r="W91" s="10" t="n">
        <x:f>(SUM('Revenue and costs'!AA2440:AA2567)+'Assumptions'!$D$18*'Assumptions'!$D$19*12*(1+'Assumptions'!$D$13)^(20-1))*(1-'Assumptions'!$D$21)</x:f>
        <x:v>67334.6324381607</x:v>
      </x:c>
    </x:row>
    <x:row r="92" ht="16" customHeight="1">
      <x:c r="A92" s="1"/>
      <x:c r="B92" s="1"/>
      <x:c r="C92" s="7" t="str">
        <x:v>Pretax earnings less unpaid labor allowance</x:v>
      </x:c>
      <x:c r="D92" s="11" t="n">
        <x:f>D84-D91</x:f>
        <x:v>261272.12599999993</x:v>
      </x:c>
      <x:c r="E92" s="11" t="n">
        <x:f>E84-E91</x:f>
        <x:v>501544.1902215899</x:v>
      </x:c>
      <x:c r="F92" s="11" t="n">
        <x:f>F84-F91</x:f>
        <x:v>614801.8303398944</x:v>
      </x:c>
      <x:c r="G92" s="11" t="n">
        <x:f>G84-G91</x:f>
        <x:v>718750.8207644894</x:v>
      </x:c>
      <x:c r="H92" s="11" t="n">
        <x:f>H84-H91</x:f>
        <x:v>826733.5737501364</x:v>
      </x:c>
      <x:c r="I92" s="11" t="n">
        <x:f>I84-I91</x:f>
        <x:v>889724.964605614</x:v>
      </x:c>
      <x:c r="J92" s="11" t="n">
        <x:f>J84-J91</x:f>
        <x:v>934038.5785459037</x:v>
      </x:c>
      <x:c r="K92" s="11" t="n">
        <x:f>K84-K91</x:f>
        <x:v>969577.831706188</x:v>
      </x:c>
      <x:c r="L92" s="11" t="n">
        <x:f>L84-L91</x:f>
        <x:v>1000414.7997966567</x:v>
      </x:c>
      <x:c r="M92" s="11" t="n">
        <x:f>M84-M91</x:f>
        <x:v>1028423.508986772</x:v>
      </x:c>
      <x:c r="N92" s="11" t="n">
        <x:f>N84-N91</x:f>
        <x:v>1054686.4340871419</x:v>
      </x:c>
      <x:c r="O92" s="11" t="n">
        <x:f>O84-O91</x:f>
        <x:v>1079653.031518235</x:v>
      </x:c>
      <x:c r="P92" s="11" t="n">
        <x:f>P84-P91</x:f>
        <x:v>1103517.838892205</x:v>
      </x:c>
      <x:c r="Q92" s="11" t="n">
        <x:f>Q84-Q91</x:f>
        <x:v>1126512.2637924897</x:v>
      </x:c>
      <x:c r="R92" s="11" t="n">
        <x:f>R84-R91</x:f>
        <x:v>1148596.1887153448</x:v>
      </x:c>
      <x:c r="S92" s="11" t="n">
        <x:f>S84-S91</x:f>
        <x:v>1169663.6065376396</x:v>
      </x:c>
      <x:c r="T92" s="11" t="n">
        <x:f>T84-T91</x:f>
        <x:v>1189763.3349888439</x:v>
      </x:c>
      <x:c r="U92" s="11" t="n">
        <x:f>U84-U91</x:f>
        <x:v>1208712.0434668525</x:v>
      </x:c>
      <x:c r="V92" s="11" t="n">
        <x:f>V84-V91</x:f>
        <x:v>1226291.9501991193</x:v>
      </x:c>
      <x:c r="W92" s="11" t="n">
        <x:f>W84-W91</x:f>
        <x:v>1242476.6743502957</x:v>
      </x:c>
    </x:row>
    <x:row r="93" ht="16" customHeight="1">
      <x:c r="A93" s="1"/>
      <x:c r="B93" s="1"/>
      <x:c r="C93" s="7" t="str">
        <x:v>Net income less unpaid allowance, no tax benefit</x:v>
      </x:c>
      <x:c r="D93" s="11" t="n">
        <x:f>D86-D91*(1-'Assumptions'!$D$21)</x:f>
        <x:v>165825.20302411105</x:v>
      </x:c>
      <x:c r="E93" s="11" t="n">
        <x:f>E86-E91*(1-'Assumptions'!$D$21)</x:f>
        <x:v>366011.3645748701</x:v>
      </x:c>
      <x:c r="F93" s="11" t="n">
        <x:f>F86-F91*(1-'Assumptions'!$D$21)</x:f>
        <x:v>450583.33028612746</x:v>
      </x:c>
      <x:c r="G93" s="11" t="n">
        <x:f>G86-G91*(1-'Assumptions'!$D$21)</x:f>
        <x:v>528167.5964481711</x:v>
      </x:c>
      <x:c r="H93" s="11" t="n">
        <x:f>H86-H91*(1-'Assumptions'!$D$21)</x:f>
        <x:v>608760.8806065855</x:v>
      </x:c>
      <x:c r="I93" s="11" t="n">
        <x:f>I86-I91*(1-'Assumptions'!$D$21)</x:f>
        <x:v>655602.7557294556</x:v>
      </x:c>
      <x:c r="J93" s="11" t="n">
        <x:f>J86-J91*(1-'Assumptions'!$D$21)</x:f>
        <x:v>688422.9552455383</x:v>
      </x:c>
      <x:c r="K93" s="11" t="n">
        <x:f>K86-K91*(1-'Assumptions'!$D$21)</x:f>
        <x:v>714646.1772865055</x:v>
      </x:c>
      <x:c r="L93" s="11" t="n">
        <x:f>L86-L91*(1-'Assumptions'!$D$21)</x:f>
        <x:v>737322.8683320849</x:v>
      </x:c>
      <x:c r="M93" s="11" t="n">
        <x:f>M86-M91*(1-'Assumptions'!$D$21)</x:f>
        <x:v>757846.5788745328</x:v>
      </x:c>
      <x:c r="N93" s="11" t="n">
        <x:f>N86-N91*(1-'Assumptions'!$D$21)</x:f>
        <x:v>777038.8933591867</x:v>
      </x:c>
      <x:c r="O93" s="11" t="n">
        <x:f>O86-O91*(1-'Assumptions'!$D$21)</x:f>
        <x:v>795235.5785859647</x:v>
      </x:c>
      <x:c r="P93" s="11" t="n">
        <x:f>P86-P91*(1-'Assumptions'!$D$21)</x:f>
        <x:v>812581.127218773</x:v>
      </x:c>
      <x:c r="Q93" s="11" t="n">
        <x:f>Q86-Q91*(1-'Assumptions'!$D$21)</x:f>
        <x:v>829248.0644638116</x:v>
      </x:c>
      <x:c r="R93" s="11" t="n">
        <x:f>R86-R91*(1-'Assumptions'!$D$21)</x:f>
        <x:v>845204.7081521231</x:v>
      </x:c>
      <x:c r="S93" s="11" t="n">
        <x:f>S86-S91*(1-'Assumptions'!$D$21)</x:f>
        <x:v>860369.8414960039</x:v>
      </x:c>
      <x:c r="T93" s="11" t="n">
        <x:f>T86-T91*(1-'Assumptions'!$D$21)</x:f>
        <x:v>874778.7796444147</x:v>
      </x:c>
      <x:c r="U93" s="11" t="n">
        <x:f>U86-U91*(1-'Assumptions'!$D$21)</x:f>
        <x:v>888292.0994333207</x:v>
      </x:c>
      <x:c r="V93" s="11" t="n">
        <x:f>V86-V91*(1-'Assumptions'!$D$21)</x:f>
        <x:v>900744.4044599731</x:v>
      </x:c>
      <x:c r="W93" s="11" t="n">
        <x:f>W86-W91*(1-'Assumptions'!$D$21)</x:f>
        <x:v>912114.299503092</x:v>
      </x:c>
    </x:row>
    <x:row r="94" ht="16" customHeight="1">
      <x:c r="A94" s="1"/>
      <x:c r="B94" s="1"/>
      <x:c r="C94" s="1"/>
      <x:c r="D94" s="10"/>
      <x:c r="E94" s="10"/>
      <x:c r="F94" s="10"/>
      <x:c r="G94" s="10"/>
      <x:c r="H94" s="10"/>
      <x:c r="I94" s="10"/>
      <x:c r="J94" s="10"/>
      <x:c r="K94" s="10"/>
      <x:c r="L94" s="10"/>
      <x:c r="M94" s="10"/>
      <x:c r="N94" s="10"/>
      <x:c r="O94" s="10"/>
      <x:c r="P94" s="10"/>
      <x:c r="Q94" s="10"/>
      <x:c r="R94" s="10"/>
      <x:c r="S94" s="10"/>
      <x:c r="T94" s="10"/>
      <x:c r="U94" s="10"/>
      <x:c r="V94" s="10"/>
      <x:c r="W94" s="10"/>
    </x:row>
    <x:row r="95" ht="16" customHeight="1">
      <x:c r="A95" s="1"/>
      <x:c r="B95" s="1"/>
      <x:c r="C95" s="1"/>
      <x:c r="D95" s="10"/>
      <x:c r="E95" s="10"/>
      <x:c r="F95" s="10"/>
      <x:c r="G95" s="10"/>
      <x:c r="H95" s="10"/>
      <x:c r="I95" s="10"/>
      <x:c r="J95" s="10"/>
      <x:c r="K95" s="10"/>
      <x:c r="L95" s="10"/>
      <x:c r="M95" s="10"/>
      <x:c r="N95" s="10"/>
      <x:c r="O95" s="10"/>
      <x:c r="P95" s="10"/>
      <x:c r="Q95" s="10"/>
      <x:c r="R95" s="10"/>
      <x:c r="S95" s="10"/>
      <x:c r="T95" s="10"/>
      <x:c r="U95" s="10"/>
      <x:c r="V95" s="10"/>
      <x:c r="W95" s="10"/>
    </x:row>
    <x:row r="96" ht="16" customHeight="1">
      <x:c r="A96" s="1"/>
      <x:c r="B96" s="1"/>
      <x:c r="C96" s="1"/>
      <x:c r="D96" s="10"/>
      <x:c r="E96" s="10"/>
      <x:c r="F96" s="10"/>
      <x:c r="G96" s="10"/>
      <x:c r="H96" s="10"/>
      <x:c r="I96" s="10"/>
      <x:c r="J96" s="10"/>
      <x:c r="K96" s="10"/>
      <x:c r="L96" s="10"/>
      <x:c r="M96" s="10"/>
      <x:c r="N96" s="10"/>
      <x:c r="O96" s="10"/>
      <x:c r="P96" s="10"/>
      <x:c r="Q96" s="10"/>
      <x:c r="R96" s="10"/>
      <x:c r="S96" s="10"/>
      <x:c r="T96" s="10"/>
      <x:c r="U96" s="10"/>
      <x:c r="V96" s="10"/>
      <x:c r="W96" s="10"/>
    </x:row>
    <x:row r="97" ht="16" customHeight="1">
      <x:c r="A97" s="1"/>
      <x:c r="B97" s="1"/>
      <x:c r="C97" s="1"/>
      <x:c r="D97" s="10"/>
      <x:c r="E97" s="10"/>
      <x:c r="F97" s="10"/>
      <x:c r="G97" s="10"/>
      <x:c r="H97" s="10"/>
      <x:c r="I97" s="10"/>
      <x:c r="J97" s="10"/>
      <x:c r="K97" s="10"/>
      <x:c r="L97" s="10"/>
      <x:c r="M97" s="10"/>
      <x:c r="N97" s="10"/>
      <x:c r="O97" s="10"/>
      <x:c r="P97" s="10"/>
      <x:c r="Q97" s="10"/>
      <x:c r="R97" s="10"/>
      <x:c r="S97" s="10"/>
      <x:c r="T97" s="10"/>
      <x:c r="U97" s="10"/>
      <x:c r="V97" s="10"/>
      <x:c r="W97" s="10"/>
    </x:row>
    <x:row r="98" ht="16" customHeight="1">
      <x:c r="A98" s="1"/>
      <x:c r="B98" s="1"/>
      <x:c r="C98" s="1"/>
      <x:c r="D98" s="10"/>
      <x:c r="E98" s="10"/>
      <x:c r="F98" s="10"/>
      <x:c r="G98" s="10"/>
      <x:c r="H98" s="10"/>
      <x:c r="I98" s="10"/>
      <x:c r="J98" s="10"/>
      <x:c r="K98" s="10"/>
      <x:c r="L98" s="10"/>
      <x:c r="M98" s="10"/>
      <x:c r="N98" s="10"/>
      <x:c r="O98" s="10"/>
      <x:c r="P98" s="10"/>
      <x:c r="Q98" s="10"/>
      <x:c r="R98" s="10"/>
      <x:c r="S98" s="10"/>
      <x:c r="T98" s="10"/>
      <x:c r="U98" s="10"/>
      <x:c r="V98" s="10"/>
      <x:c r="W98" s="10"/>
    </x:row>
    <x:row r="99" ht="16" customHeight="1">
      <x:c r="A99" s="1"/>
      <x:c r="B99" s="1"/>
      <x:c r="C99" s="1"/>
      <x:c r="D99" s="10"/>
      <x:c r="E99" s="10"/>
      <x:c r="F99" s="10"/>
      <x:c r="G99" s="10"/>
      <x:c r="H99" s="10"/>
      <x:c r="I99" s="10"/>
      <x:c r="J99" s="10"/>
      <x:c r="K99" s="10"/>
      <x:c r="L99" s="10"/>
      <x:c r="M99" s="10"/>
      <x:c r="N99" s="10"/>
      <x:c r="O99" s="10"/>
      <x:c r="P99" s="10"/>
      <x:c r="Q99" s="10"/>
      <x:c r="R99" s="10"/>
      <x:c r="S99" s="10"/>
      <x:c r="T99" s="10"/>
      <x:c r="U99" s="10"/>
      <x:c r="V99" s="10"/>
      <x:c r="W99" s="10"/>
    </x:row>
    <x:row r="100" ht="16" customHeight="1">
      <x:c r="A100" s="1"/>
      <x:c r="B100" s="1"/>
      <x:c r="C100" s="1"/>
      <x:c r="D100" s="10"/>
      <x:c r="E100" s="10"/>
      <x:c r="F100" s="10"/>
      <x:c r="G100" s="10"/>
      <x:c r="H100" s="10"/>
      <x:c r="I100" s="10"/>
      <x:c r="J100" s="10"/>
      <x:c r="K100" s="10"/>
      <x:c r="L100" s="10"/>
      <x:c r="M100" s="10"/>
      <x:c r="N100" s="10"/>
      <x:c r="O100" s="10"/>
      <x:c r="P100" s="10"/>
      <x:c r="Q100" s="10"/>
      <x:c r="R100" s="10"/>
      <x:c r="S100" s="10"/>
      <x:c r="T100" s="10"/>
      <x:c r="U100" s="10"/>
      <x:c r="V100" s="10"/>
      <x:c r="W100" s="10"/>
    </x:row>
    <x:row r="101" ht="16" customHeight="1">
      <x:c r="A101" s="1"/>
      <x:c r="B101" s="1"/>
      <x:c r="C101" s="1"/>
      <x:c r="D101" s="10"/>
      <x:c r="E101" s="10"/>
      <x:c r="F101" s="10"/>
      <x:c r="G101" s="10"/>
      <x:c r="H101" s="10"/>
      <x:c r="I101" s="10"/>
      <x:c r="J101" s="10"/>
      <x:c r="K101" s="10"/>
      <x:c r="L101" s="10"/>
      <x:c r="M101" s="10"/>
      <x:c r="N101" s="10"/>
      <x:c r="O101" s="10"/>
      <x:c r="P101" s="10"/>
      <x:c r="Q101" s="10"/>
      <x:c r="R101" s="10"/>
      <x:c r="S101" s="10"/>
      <x:c r="T101" s="10"/>
      <x:c r="U101" s="10"/>
      <x:c r="V101" s="10"/>
      <x:c r="W101" s="10"/>
    </x:row>
    <x:row r="102" ht="16" customHeight="1">
      <x:c r="A102" s="1"/>
      <x:c r="B102" s="1"/>
      <x:c r="C102" s="1"/>
      <x:c r="D102" s="10"/>
      <x:c r="E102" s="10"/>
      <x:c r="F102" s="10"/>
      <x:c r="G102" s="10"/>
      <x:c r="H102" s="10"/>
      <x:c r="I102" s="10"/>
      <x:c r="J102" s="10"/>
      <x:c r="K102" s="10"/>
      <x:c r="L102" s="10"/>
      <x:c r="M102" s="10"/>
      <x:c r="N102" s="10"/>
      <x:c r="O102" s="10"/>
      <x:c r="P102" s="10"/>
      <x:c r="Q102" s="10"/>
      <x:c r="R102" s="10"/>
      <x:c r="S102" s="10"/>
      <x:c r="T102" s="10"/>
      <x:c r="U102" s="10"/>
      <x:c r="V102" s="10"/>
      <x:c r="W102" s="10"/>
    </x:row>
    <x:row r="103" ht="16" customHeight="1">
      <x:c r="A103" s="1"/>
      <x:c r="B103" s="1"/>
      <x:c r="C103" s="1"/>
      <x:c r="D103" s="10"/>
      <x:c r="E103" s="10"/>
      <x:c r="F103" s="10"/>
      <x:c r="G103" s="10"/>
      <x:c r="H103" s="10"/>
      <x:c r="I103" s="10"/>
      <x:c r="J103" s="10"/>
      <x:c r="K103" s="10"/>
      <x:c r="L103" s="10"/>
      <x:c r="M103" s="10"/>
      <x:c r="N103" s="10"/>
      <x:c r="O103" s="10"/>
      <x:c r="P103" s="10"/>
      <x:c r="Q103" s="10"/>
      <x:c r="R103" s="10"/>
      <x:c r="S103" s="10"/>
      <x:c r="T103" s="10"/>
      <x:c r="U103" s="10"/>
      <x:c r="V103" s="10"/>
      <x:c r="W103" s="10"/>
    </x:row>
    <x:row r="104" ht="16" customHeight="1">
      <x:c r="A104" s="1"/>
      <x:c r="B104" s="1"/>
      <x:c r="C104" s="1"/>
      <x:c r="D104" s="10"/>
      <x:c r="E104" s="10"/>
      <x:c r="F104" s="10"/>
      <x:c r="G104" s="10"/>
      <x:c r="H104" s="10"/>
      <x:c r="I104" s="10"/>
      <x:c r="J104" s="10"/>
      <x:c r="K104" s="10"/>
      <x:c r="L104" s="10"/>
      <x:c r="M104" s="10"/>
      <x:c r="N104" s="10"/>
      <x:c r="O104" s="10"/>
      <x:c r="P104" s="10"/>
      <x:c r="Q104" s="10"/>
      <x:c r="R104" s="10"/>
      <x:c r="S104" s="10"/>
      <x:c r="T104" s="10"/>
      <x:c r="U104" s="10"/>
      <x:c r="V104" s="10"/>
      <x:c r="W104" s="10"/>
    </x:row>
    <x:row r="105" ht="16" customHeight="1">
      <x:c r="A105" s="1"/>
      <x:c r="B105" s="1"/>
      <x:c r="C105" s="1"/>
      <x:c r="D105" s="10"/>
      <x:c r="E105" s="10"/>
      <x:c r="F105" s="10"/>
      <x:c r="G105" s="10"/>
      <x:c r="H105" s="10"/>
      <x:c r="I105" s="10"/>
      <x:c r="J105" s="10"/>
      <x:c r="K105" s="10"/>
      <x:c r="L105" s="10"/>
      <x:c r="M105" s="10"/>
      <x:c r="N105" s="10"/>
      <x:c r="O105" s="10"/>
      <x:c r="P105" s="10"/>
      <x:c r="Q105" s="10"/>
      <x:c r="R105" s="10"/>
      <x:c r="S105" s="10"/>
      <x:c r="T105" s="10"/>
      <x:c r="U105" s="10"/>
      <x:c r="V105" s="10"/>
      <x:c r="W105" s="10"/>
    </x:row>
    <x:row r="106" ht="16" customHeight="1">
      <x:c r="A106" s="1"/>
      <x:c r="B106" s="1"/>
      <x:c r="C106" s="1"/>
      <x:c r="D106" s="10"/>
      <x:c r="E106" s="10"/>
      <x:c r="F106" s="10"/>
      <x:c r="G106" s="10"/>
      <x:c r="H106" s="10"/>
      <x:c r="I106" s="10"/>
      <x:c r="J106" s="10"/>
      <x:c r="K106" s="10"/>
      <x:c r="L106" s="10"/>
      <x:c r="M106" s="10"/>
      <x:c r="N106" s="10"/>
      <x:c r="O106" s="10"/>
      <x:c r="P106" s="10"/>
      <x:c r="Q106" s="10"/>
      <x:c r="R106" s="10"/>
      <x:c r="S106" s="10"/>
      <x:c r="T106" s="10"/>
      <x:c r="U106" s="10"/>
      <x:c r="V106" s="10"/>
      <x:c r="W106" s="10"/>
    </x:row>
    <x:row r="107" ht="16" customHeight="1">
      <x:c r="A107" s="1"/>
      <x:c r="B107" s="1"/>
      <x:c r="C107" s="1"/>
      <x:c r="D107" s="10"/>
      <x:c r="E107" s="10"/>
      <x:c r="F107" s="10"/>
      <x:c r="G107" s="10"/>
      <x:c r="H107" s="10"/>
      <x:c r="I107" s="10"/>
      <x:c r="J107" s="10"/>
      <x:c r="K107" s="10"/>
      <x:c r="L107" s="10"/>
      <x:c r="M107" s="10"/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</x:row>
    <x:row r="108" ht="16" customHeight="1">
      <x:c r="A108" s="1"/>
      <x:c r="B108" s="1"/>
      <x:c r="C108" s="1"/>
      <x:c r="D108" s="10"/>
      <x:c r="E108" s="10"/>
      <x:c r="F108" s="10"/>
      <x:c r="G108" s="10"/>
      <x:c r="H108" s="10"/>
      <x:c r="I108" s="10"/>
      <x:c r="J108" s="10"/>
      <x:c r="K108" s="10"/>
      <x:c r="L108" s="10"/>
      <x:c r="M108" s="10"/>
      <x:c r="N108" s="10"/>
      <x:c r="O108" s="10"/>
      <x:c r="P108" s="10"/>
      <x:c r="Q108" s="10"/>
      <x:c r="R108" s="10"/>
      <x:c r="S108" s="10"/>
      <x:c r="T108" s="10"/>
      <x:c r="U108" s="10"/>
      <x:c r="V108" s="10"/>
      <x:c r="W108" s="10"/>
    </x:row>
    <x:row r="109" ht="16" customHeight="1">
      <x:c r="A109" s="1"/>
      <x:c r="B109" s="1"/>
      <x:c r="C109" s="1"/>
      <x:c r="D109" s="10"/>
      <x:c r="E109" s="10"/>
      <x:c r="F109" s="10"/>
      <x:c r="G109" s="10"/>
      <x:c r="H109" s="10"/>
      <x:c r="I109" s="10"/>
      <x:c r="J109" s="10"/>
      <x:c r="K109" s="10"/>
      <x:c r="L109" s="10"/>
      <x:c r="M109" s="10"/>
      <x:c r="N109" s="10"/>
      <x:c r="O109" s="10"/>
      <x:c r="P109" s="10"/>
      <x:c r="Q109" s="10"/>
      <x:c r="R109" s="10"/>
      <x:c r="S109" s="10"/>
      <x:c r="T109" s="10"/>
      <x:c r="U109" s="10"/>
      <x:c r="V109" s="10"/>
      <x:c r="W109" s="10"/>
    </x:row>
    <x:row r="110" ht="16" customHeight="1">
      <x:c r="A110" s="1"/>
      <x:c r="B110" s="1"/>
      <x:c r="C110" s="1"/>
      <x:c r="D110" s="10"/>
      <x:c r="E110" s="10"/>
      <x:c r="F110" s="10"/>
      <x:c r="G110" s="10"/>
      <x:c r="H110" s="10"/>
      <x:c r="I110" s="10"/>
      <x:c r="J110" s="10"/>
      <x:c r="K110" s="10"/>
      <x:c r="L110" s="10"/>
      <x:c r="M110" s="10"/>
      <x:c r="N110" s="10"/>
      <x:c r="O110" s="10"/>
      <x:c r="P110" s="10"/>
      <x:c r="Q110" s="10"/>
      <x:c r="R110" s="10"/>
      <x:c r="S110" s="10"/>
      <x:c r="T110" s="10"/>
      <x:c r="U110" s="10"/>
      <x:c r="V110" s="10"/>
      <x:c r="W110" s="10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56" hidden="0" customWidth="1"/>
    <x:col min="4" max="4" width="20" hidden="0" customWidth="1"/>
    <x:col min="5" max="5" width="60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60" hidden="0" customWidth="1"/>
    <x:col min="33" max="33" width="60" hidden="0" customWidth="1"/>
    <x:col min="34" max="34" width="60" hidden="0" customWidth="1"/>
    <x:col min="35" max="35" width="60" hidden="0" customWidth="1"/>
    <x:col min="36" max="36" width="60" hidden="0" customWidth="1"/>
    <x:col min="37" max="37" width="60" hidden="0" customWidth="1"/>
    <x:col min="38" max="38" width="60" hidden="0" customWidth="1"/>
    <x:col min="39" max="39" width="60" hidden="0" customWidth="1"/>
  </x:cols>
  <x:sheetData>
    <x:row r="1" ht="1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</x:row>
    <x:row r="2" ht="16" customHeight="1">
      <x:c r="A2" s="1"/>
      <x:c r="B2" s="1"/>
      <x:c r="C2" s="2" t="str">
        <x:v>Assumptions</x:v>
      </x:c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</x:row>
    <x:row r="3" ht="16" customHeight="1">
      <x:c r="A3" s="1"/>
      <x:c r="B3" s="1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</x:row>
    <x:row r="4" ht="16" customHeight="1">
      <x:c r="A4" s="1"/>
      <x:c r="B4" s="1"/>
      <x:c r="C4" s="1" t="str">
        <x:v>Dot comparison assumptions. USD. Not an owner or AF&amp;I budget.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</x:row>
    <x:row r="5" ht="16" customHeight="1">
      <x:c r="A5" s="1"/>
      <x:c r="B5" s="1"/>
      <x:c r="C5" s="1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</x:row>
    <x:row r="6" ht="16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  <x:c r="AM6" s="1"/>
    </x:row>
    <x:row r="7" ht="29" customHeight="1">
      <x:c r="A7" s="1"/>
      <x:c r="B7" s="1"/>
      <x:c r="C7" s="13" t="str">
        <x:v>Active scenario</x:v>
      </x:c>
      <x:c r="D7" s="15" t="str">
        <x:v>Base</x:v>
      </x:c>
      <x:c r="E7" s="13"/>
      <x:c r="F7" s="13" t="str">
        <x:v>Case</x:v>
      </x:c>
      <x:c r="G7" s="13" t="str">
        <x:v>Volume</x:v>
      </x:c>
      <x:c r="H7" s="13" t="str">
        <x:v>New-price</x:v>
      </x:c>
      <x:c r="I7" s="13" t="str">
        <x:v>Unit-cost</x:v>
      </x:c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3"/>
      <x:c r="Z7" s="13"/>
      <x:c r="AA7" s="13"/>
      <x:c r="AB7" s="13"/>
      <x:c r="AC7" s="13"/>
      <x:c r="AD7" s="13"/>
      <x:c r="AE7" s="13"/>
      <x:c r="AF7" s="13"/>
      <x:c r="AG7" s="13"/>
      <x:c r="AH7" s="13"/>
      <x:c r="AI7" s="13"/>
      <x:c r="AJ7" s="13"/>
      <x:c r="AK7" s="13"/>
      <x:c r="AL7" s="13"/>
      <x:c r="AM7" s="13"/>
    </x:row>
    <x:row r="8" ht="16" customHeight="1">
      <x:c r="A8" s="1"/>
      <x:c r="B8" s="1"/>
      <x:c r="C8" s="1" t="str">
        <x:v>Volume uplift</x:v>
      </x:c>
      <x:c r="D8" s="19" t="n">
        <x:v>1</x:v>
      </x:c>
      <x:c r="E8" s="10"/>
      <x:c r="F8" s="10" t="str">
        <x:v>Low</x:v>
      </x:c>
      <x:c r="G8" s="18" t="n">
        <x:v>0.5</x:v>
      </x:c>
      <x:c r="H8" s="18" t="n">
        <x:v>0.9</x:v>
      </x:c>
      <x:c r="I8" s="18" t="n">
        <x:v>1.15</x:v>
      </x:c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  <x:c r="X8" s="10"/>
      <x:c r="Y8" s="10"/>
      <x:c r="Z8" s="10"/>
      <x:c r="AA8" s="10"/>
      <x:c r="AB8" s="10"/>
      <x:c r="AC8" s="10"/>
      <x:c r="AD8" s="10"/>
      <x:c r="AE8" s="10"/>
      <x:c r="AF8" s="10"/>
      <x:c r="AG8" s="10"/>
      <x:c r="AH8" s="10"/>
      <x:c r="AI8" s="10"/>
      <x:c r="AJ8" s="10"/>
      <x:c r="AK8" s="10"/>
      <x:c r="AL8" s="10"/>
      <x:c r="AM8" s="10"/>
    </x:row>
    <x:row r="9" ht="16" customHeight="1">
      <x:c r="A9" s="1"/>
      <x:c r="B9" s="1"/>
      <x:c r="C9" s="1" t="str">
        <x:v>Active volume multiplier</x:v>
      </x:c>
      <x:c r="D9" s="16" t="n">
        <x:f>IF(D7="Base",1,IF(D7="Low",0.5,IF(D7="High",1.5,NA())))</x:f>
        <x:v>1</x:v>
      </x:c>
      <x:c r="E9" s="10"/>
      <x:c r="F9" s="10" t="str">
        <x:v>Base</x:v>
      </x:c>
      <x:c r="G9" s="18" t="n">
        <x:v>1</x:v>
      </x:c>
      <x:c r="H9" s="18" t="n">
        <x:v>1</x:v>
      </x:c>
      <x:c r="I9" s="18" t="n">
        <x:v>1</x:v>
      </x:c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  <x:c r="X9" s="10"/>
      <x:c r="Y9" s="10"/>
      <x:c r="Z9" s="10"/>
      <x:c r="AA9" s="10"/>
      <x:c r="AB9" s="10"/>
      <x:c r="AC9" s="10"/>
      <x:c r="AD9" s="10"/>
      <x:c r="AE9" s="10"/>
      <x:c r="AF9" s="10"/>
      <x:c r="AG9" s="10"/>
      <x:c r="AH9" s="10"/>
      <x:c r="AI9" s="10"/>
      <x:c r="AJ9" s="10"/>
      <x:c r="AK9" s="10"/>
      <x:c r="AL9" s="10"/>
      <x:c r="AM9" s="10"/>
    </x:row>
    <x:row r="10" ht="16" customHeight="1">
      <x:c r="A10" s="1"/>
      <x:c r="B10" s="1"/>
      <x:c r="C10" s="1" t="str">
        <x:v>Active assumed-price multiplier</x:v>
      </x:c>
      <x:c r="D10" s="16" t="n">
        <x:f>IF(D7="Base",1,IF(D7="Low",0.9,IF(D7="High",1.1,NA())))</x:f>
        <x:v>1</x:v>
      </x:c>
      <x:c r="E10" s="10"/>
      <x:c r="F10" s="10" t="str">
        <x:v>High</x:v>
      </x:c>
      <x:c r="G10" s="18" t="n">
        <x:v>1.5</x:v>
      </x:c>
      <x:c r="H10" s="18" t="n">
        <x:v>1.1</x:v>
      </x:c>
      <x:c r="I10" s="18" t="n">
        <x:v>0.95</x:v>
      </x:c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  <x:c r="X10" s="10"/>
      <x:c r="Y10" s="10"/>
      <x:c r="Z10" s="10"/>
      <x:c r="AA10" s="10"/>
      <x:c r="AB10" s="10"/>
      <x:c r="AC10" s="10"/>
      <x:c r="AD10" s="10"/>
      <x:c r="AE10" s="10"/>
      <x:c r="AF10" s="10"/>
      <x:c r="AG10" s="10"/>
      <x:c r="AH10" s="10"/>
      <x:c r="AI10" s="10"/>
      <x:c r="AJ10" s="10"/>
      <x:c r="AK10" s="10"/>
      <x:c r="AL10" s="10"/>
      <x:c r="AM10" s="10"/>
    </x:row>
    <x:row r="11" ht="16" customHeight="1">
      <x:c r="A11" s="1"/>
      <x:c r="B11" s="1"/>
      <x:c r="C11" s="1" t="str">
        <x:v>Active unit-cost multiplier</x:v>
      </x:c>
      <x:c r="D11" s="16" t="n">
        <x:f>IF(D7="Base",1,IF(D7="Low",1.15,IF(D7="High",0.95,NA())))</x:f>
        <x:v>1</x:v>
      </x:c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  <x:c r="X11" s="10"/>
      <x:c r="Y11" s="10"/>
      <x:c r="Z11" s="10"/>
      <x:c r="AA11" s="10"/>
      <x:c r="AB11" s="10"/>
      <x:c r="AC11" s="10"/>
      <x:c r="AD11" s="10"/>
      <x:c r="AE11" s="10"/>
      <x:c r="AF11" s="10"/>
      <x:c r="AG11" s="10"/>
      <x:c r="AH11" s="10"/>
      <x:c r="AI11" s="10"/>
      <x:c r="AJ11" s="10"/>
      <x:c r="AK11" s="10"/>
      <x:c r="AL11" s="10"/>
      <x:c r="AM11" s="10"/>
    </x:row>
    <x:row r="12" ht="16" customHeight="1">
      <x:c r="A12" s="1"/>
      <x:c r="B12" s="1"/>
      <x:c r="C12" s="1" t="str">
        <x:v>Tax provision assumption</x:v>
      </x:c>
      <x:c r="D12" s="16" t="n">
        <x:v>0.25</x:v>
      </x:c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  <x:c r="X12" s="10"/>
      <x:c r="Y12" s="10"/>
      <x:c r="Z12" s="10"/>
      <x:c r="AA12" s="10"/>
      <x:c r="AB12" s="10"/>
      <x:c r="AC12" s="10"/>
      <x:c r="AD12" s="10"/>
      <x:c r="AE12" s="10"/>
      <x:c r="AF12" s="10"/>
      <x:c r="AG12" s="10"/>
      <x:c r="AH12" s="10"/>
      <x:c r="AI12" s="10"/>
      <x:c r="AJ12" s="10"/>
      <x:c r="AK12" s="10"/>
      <x:c r="AL12" s="10"/>
      <x:c r="AM12" s="10"/>
    </x:row>
    <x:row r="13" ht="16" customHeight="1">
      <x:c r="A13" s="1"/>
      <x:c r="B13" s="1"/>
      <x:c r="C13" s="1" t="str">
        <x:v>Unit cost annual escalation</x:v>
      </x:c>
      <x:c r="D13" s="16" t="n">
        <x:v>0.03</x:v>
      </x:c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0"/>
      <x:c r="T13" s="10"/>
      <x:c r="U13" s="10"/>
      <x:c r="V13" s="10"/>
      <x:c r="W13" s="10"/>
      <x:c r="X13" s="10"/>
      <x:c r="Y13" s="10"/>
      <x:c r="Z13" s="10"/>
      <x:c r="AA13" s="10"/>
      <x:c r="AB13" s="10"/>
      <x:c r="AC13" s="10"/>
      <x:c r="AD13" s="10"/>
      <x:c r="AE13" s="10"/>
      <x:c r="AF13" s="10"/>
      <x:c r="AG13" s="10"/>
      <x:c r="AH13" s="10"/>
      <x:c r="AI13" s="10"/>
      <x:c r="AJ13" s="10"/>
      <x:c r="AK13" s="10"/>
      <x:c r="AL13" s="10"/>
      <x:c r="AM13" s="10"/>
    </x:row>
    <x:row r="14" ht="16" customHeight="1">
      <x:c r="A14" s="1"/>
      <x:c r="B14" s="1"/>
      <x:c r="C14" s="1" t="str">
        <x:v>Annual capex replacement amount</x:v>
      </x:c>
      <x:c r="D14" s="14" t="n">
        <x:v>1500</x:v>
      </x:c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  <x:c r="X14" s="10"/>
      <x:c r="Y14" s="10"/>
      <x:c r="Z14" s="10"/>
      <x:c r="AA14" s="10"/>
      <x:c r="AB14" s="10"/>
      <x:c r="AC14" s="10"/>
      <x:c r="AD14" s="10"/>
      <x:c r="AE14" s="10"/>
      <x:c r="AF14" s="10"/>
      <x:c r="AG14" s="10"/>
      <x:c r="AH14" s="10"/>
      <x:c r="AI14" s="10"/>
      <x:c r="AJ14" s="10"/>
      <x:c r="AK14" s="10"/>
      <x:c r="AL14" s="10"/>
      <x:c r="AM14" s="10"/>
    </x:row>
    <x:row r="15" ht="16" customHeight="1">
      <x:c r="A15" s="1"/>
      <x:c r="B15" s="1"/>
      <x:c r="C15" s="1" t="str">
        <x:v>Asset useful life in years</x:v>
      </x:c>
      <x:c r="D15" s="14" t="n">
        <x:v>3</x:v>
      </x:c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  <x:c r="X15" s="10"/>
      <x:c r="Y15" s="10"/>
      <x:c r="Z15" s="10"/>
      <x:c r="AA15" s="10"/>
      <x:c r="AB15" s="10"/>
      <x:c r="AC15" s="10"/>
      <x:c r="AD15" s="10"/>
      <x:c r="AE15" s="10"/>
      <x:c r="AF15" s="10"/>
      <x:c r="AG15" s="10"/>
      <x:c r="AH15" s="10"/>
      <x:c r="AI15" s="10"/>
      <x:c r="AJ15" s="10"/>
      <x:c r="AK15" s="10"/>
      <x:c r="AL15" s="10"/>
      <x:c r="AM15" s="10"/>
    </x:row>
    <x:row r="16" ht="16" customHeight="1">
      <x:c r="A16" s="1"/>
      <x:c r="B16" s="1"/>
      <x:c r="C16" s="1" t="str">
        <x:v>External funding authorized</x:v>
      </x:c>
      <x:c r="D16" s="14" t="n">
        <x:v>0</x:v>
      </x:c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  <x:c r="X16" s="10"/>
      <x:c r="Y16" s="10"/>
      <x:c r="Z16" s="10"/>
      <x:c r="AA16" s="10"/>
      <x:c r="AB16" s="10"/>
      <x:c r="AC16" s="10"/>
      <x:c r="AD16" s="10"/>
      <x:c r="AE16" s="10"/>
      <x:c r="AF16" s="10"/>
      <x:c r="AG16" s="10"/>
      <x:c r="AH16" s="10"/>
      <x:c r="AI16" s="10"/>
      <x:c r="AJ16" s="10"/>
      <x:c r="AK16" s="10"/>
      <x:c r="AL16" s="10"/>
      <x:c r="AM16" s="10"/>
    </x:row>
    <x:row r="17" ht="16" customHeight="1">
      <x:c r="A17" s="1"/>
      <x:c r="B17" s="1"/>
      <x:c r="C17" s="1" t="str">
        <x:v>Assumed opening cash (ledger not supplied)</x:v>
      </x:c>
      <x:c r="D17" s="14" t="n">
        <x:v>0</x:v>
      </x:c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  <x:c r="X17" s="10"/>
      <x:c r="Y17" s="10"/>
      <x:c r="Z17" s="10"/>
      <x:c r="AA17" s="10"/>
      <x:c r="AB17" s="10"/>
      <x:c r="AC17" s="10"/>
      <x:c r="AD17" s="10"/>
      <x:c r="AE17" s="10"/>
      <x:c r="AF17" s="10"/>
      <x:c r="AG17" s="10"/>
      <x:c r="AH17" s="10"/>
      <x:c r="AI17" s="10"/>
      <x:c r="AJ17" s="10"/>
      <x:c r="AK17" s="10"/>
      <x:c r="AL17" s="10"/>
      <x:c r="AM17" s="10"/>
    </x:row>
    <x:row r="18" ht="16" customHeight="1">
      <x:c r="A18" s="1"/>
      <x:c r="B18" s="1"/>
      <x:c r="C18" s="1" t="str">
        <x:v>Unpaid coordination hours / month</x:v>
      </x:c>
      <x:c r="D18" s="14" t="n">
        <x:v>80</x:v>
      </x:c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0"/>
      <x:c r="T18" s="10"/>
      <x:c r="U18" s="10"/>
      <x:c r="V18" s="10"/>
      <x:c r="W18" s="10"/>
      <x:c r="X18" s="10"/>
      <x:c r="Y18" s="10"/>
      <x:c r="Z18" s="10"/>
      <x:c r="AA18" s="10"/>
      <x:c r="AB18" s="10"/>
      <x:c r="AC18" s="10"/>
      <x:c r="AD18" s="10"/>
      <x:c r="AE18" s="10"/>
      <x:c r="AF18" s="10"/>
      <x:c r="AG18" s="10"/>
      <x:c r="AH18" s="10"/>
      <x:c r="AI18" s="10"/>
      <x:c r="AJ18" s="10"/>
      <x:c r="AK18" s="10"/>
      <x:c r="AL18" s="10"/>
      <x:c r="AM18" s="10"/>
    </x:row>
    <x:row r="19" ht="16" customHeight="1">
      <x:c r="A19" s="1"/>
      <x:c r="B19" s="1"/>
      <x:c r="C19" s="1" t="str">
        <x:v>Coordination opportunity cost / hour</x:v>
      </x:c>
      <x:c r="D19" s="14" t="n">
        <x:v>40</x:v>
      </x:c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10"/>
      <x:c r="U19" s="10"/>
      <x:c r="V19" s="10"/>
      <x:c r="W19" s="10"/>
      <x:c r="X19" s="10"/>
      <x:c r="Y19" s="10"/>
      <x:c r="Z19" s="10"/>
      <x:c r="AA19" s="10"/>
      <x:c r="AB19" s="10"/>
      <x:c r="AC19" s="10"/>
      <x:c r="AD19" s="10"/>
      <x:c r="AE19" s="10"/>
      <x:c r="AF19" s="10"/>
      <x:c r="AG19" s="10"/>
      <x:c r="AH19" s="10"/>
      <x:c r="AI19" s="10"/>
      <x:c r="AJ19" s="10"/>
      <x:c r="AK19" s="10"/>
      <x:c r="AL19" s="10"/>
      <x:c r="AM19" s="10"/>
    </x:row>
    <x:row r="20" ht="16" customHeight="1">
      <x:c r="A20" s="1"/>
      <x:c r="B20" s="1"/>
      <x:c r="C20" s="1" t="str">
        <x:v>Shared capacity annual scaling</x:v>
      </x:c>
      <x:c r="D20" s="16" t="n">
        <x:v>0.05</x:v>
      </x:c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0"/>
      <x:c r="T20" s="10"/>
      <x:c r="U20" s="10"/>
      <x:c r="V20" s="10"/>
      <x:c r="W20" s="10"/>
      <x:c r="X20" s="10"/>
      <x:c r="Y20" s="10"/>
      <x:c r="Z20" s="10"/>
      <x:c r="AA20" s="10"/>
      <x:c r="AB20" s="10"/>
      <x:c r="AC20" s="10"/>
      <x:c r="AD20" s="10"/>
      <x:c r="AE20" s="10"/>
      <x:c r="AF20" s="10"/>
      <x:c r="AG20" s="10"/>
      <x:c r="AH20" s="10"/>
      <x:c r="AI20" s="10"/>
      <x:c r="AJ20" s="10"/>
      <x:c r="AK20" s="10"/>
      <x:c r="AL20" s="10"/>
      <x:c r="AM20" s="10"/>
    </x:row>
    <x:row r="21" ht="16" customHeight="1">
      <x:c r="A21" s="1"/>
      <x:c r="B21" s="1"/>
      <x:c r="C21" s="1" t="str">
        <x:v>Pay stated founder preparation and coordination</x:v>
      </x:c>
      <x:c r="D21" s="14" t="n">
        <x:v>0</x:v>
      </x:c>
      <x:c r="E21" s="10"/>
      <x:c r="F21" s="10"/>
      <x:c r="G21" s="10"/>
      <x:c r="H21" s="10"/>
      <x:c r="I21" s="10"/>
      <x:c r="J21" s="10"/>
      <x:c r="K21" s="10"/>
      <x:c r="L21" s="10"/>
      <x:c r="M21" s="10"/>
      <x:c r="N21" s="10"/>
      <x:c r="O21" s="10"/>
      <x:c r="P21" s="10"/>
      <x:c r="Q21" s="10"/>
      <x:c r="R21" s="10"/>
      <x:c r="S21" s="10"/>
      <x:c r="T21" s="10"/>
      <x:c r="U21" s="10"/>
      <x:c r="V21" s="10"/>
      <x:c r="W21" s="10"/>
      <x:c r="X21" s="10"/>
      <x:c r="Y21" s="10"/>
      <x:c r="Z21" s="10"/>
      <x:c r="AA21" s="10"/>
      <x:c r="AB21" s="10"/>
      <x:c r="AC21" s="10"/>
      <x:c r="AD21" s="10"/>
      <x:c r="AE21" s="10"/>
      <x:c r="AF21" s="10"/>
      <x:c r="AG21" s="10"/>
      <x:c r="AH21" s="10"/>
      <x:c r="AI21" s="10"/>
      <x:c r="AJ21" s="10"/>
      <x:c r="AK21" s="10"/>
      <x:c r="AL21" s="10"/>
      <x:c r="AM21" s="10"/>
    </x:row>
    <x:row r="22" ht="16" customHeight="1">
      <x:c r="A22" s="1"/>
      <x:c r="B22" s="1"/>
      <x:c r="C22" s="1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  <x:c r="O22" s="10"/>
      <x:c r="P22" s="10"/>
      <x:c r="Q22" s="10"/>
      <x:c r="R22" s="10"/>
      <x:c r="S22" s="10"/>
      <x:c r="T22" s="10"/>
      <x:c r="U22" s="10"/>
      <x:c r="V22" s="10"/>
      <x:c r="W22" s="10"/>
      <x:c r="X22" s="10"/>
      <x:c r="Y22" s="10"/>
      <x:c r="Z22" s="10"/>
      <x:c r="AA22" s="10"/>
      <x:c r="AB22" s="10"/>
      <x:c r="AC22" s="10"/>
      <x:c r="AD22" s="10"/>
      <x:c r="AE22" s="10"/>
      <x:c r="AF22" s="10"/>
      <x:c r="AG22" s="10"/>
      <x:c r="AH22" s="10"/>
      <x:c r="AI22" s="10"/>
      <x:c r="AJ22" s="10"/>
      <x:c r="AK22" s="10"/>
      <x:c r="AL22" s="10"/>
      <x:c r="AM22" s="10"/>
    </x:row>
    <x:row r="23" ht="16" customHeight="1">
      <x:c r="A23" s="1"/>
      <x:c r="B23" s="1"/>
      <x:c r="C23" s="1" t="str">
        <x:v>Year 1 starts at an unassigned common date. Months are hypothetical readiness targets, not approvals.</x:v>
      </x:c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  <x:c r="O23" s="10"/>
      <x:c r="P23" s="10"/>
      <x:c r="Q23" s="10"/>
      <x:c r="R23" s="10"/>
      <x:c r="S23" s="10"/>
      <x:c r="T23" s="10"/>
      <x:c r="U23" s="10"/>
      <x:c r="V23" s="10"/>
      <x:c r="W23" s="10"/>
      <x:c r="X23" s="10"/>
      <x:c r="Y23" s="10"/>
      <x:c r="Z23" s="10"/>
      <x:c r="AA23" s="10"/>
      <x:c r="AB23" s="10"/>
      <x:c r="AC23" s="10"/>
      <x:c r="AD23" s="10"/>
      <x:c r="AE23" s="10"/>
      <x:c r="AF23" s="10"/>
      <x:c r="AG23" s="10"/>
      <x:c r="AH23" s="10"/>
      <x:c r="AI23" s="10"/>
      <x:c r="AJ23" s="10"/>
      <x:c r="AK23" s="10"/>
      <x:c r="AL23" s="10"/>
      <x:c r="AM23" s="10"/>
    </x:row>
    <x:row r="24" ht="16" customHeight="1">
      <x:c r="A24" s="1"/>
      <x:c r="B24" s="1"/>
      <x:c r="C24" s="1" t="str">
        <x:v>Years 11–20 are long-range pro forma. Acquisition grows 3% after Year 5; no demand evidence is implied.</x:v>
      </x:c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0"/>
      <x:c r="X24" s="10"/>
      <x:c r="Y24" s="10"/>
      <x:c r="Z24" s="10"/>
      <x:c r="AA24" s="10"/>
      <x:c r="AB24" s="10"/>
      <x:c r="AC24" s="10"/>
      <x:c r="AD24" s="10"/>
      <x:c r="AE24" s="10"/>
      <x:c r="AF24" s="10"/>
      <x:c r="AG24" s="10"/>
      <x:c r="AH24" s="10"/>
      <x:c r="AI24" s="10"/>
      <x:c r="AJ24" s="10"/>
      <x:c r="AK24" s="10"/>
      <x:c r="AL24" s="10"/>
      <x:c r="AM24" s="10"/>
    </x:row>
    <x:row r="25" ht="16" customHeight="1">
      <x:c r="A25" s="1"/>
      <x:c r="B25" s="1"/>
      <x:c r="C25" s="1" t="str">
        <x:v>Volume uplift 1.2 changes order targets only. Related labor, materials, fees, tax and cash recompute.</x:v>
      </x:c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  <x:c r="T25" s="10"/>
      <x:c r="U25" s="10"/>
      <x:c r="V25" s="10"/>
      <x:c r="W25" s="10"/>
      <x:c r="X25" s="10"/>
      <x:c r="Y25" s="10"/>
      <x:c r="Z25" s="10"/>
      <x:c r="AA25" s="10"/>
      <x:c r="AB25" s="10"/>
      <x:c r="AC25" s="10"/>
      <x:c r="AD25" s="10"/>
      <x:c r="AE25" s="10"/>
      <x:c r="AF25" s="10"/>
      <x:c r="AG25" s="10"/>
      <x:c r="AH25" s="10"/>
      <x:c r="AI25" s="10"/>
      <x:c r="AJ25" s="10"/>
      <x:c r="AK25" s="10"/>
      <x:c r="AL25" s="10"/>
      <x:c r="AM25" s="10"/>
    </x:row>
    <x:row r="26" ht="16" customHeight="1">
      <x:c r="A26" s="1"/>
      <x:c r="B26" s="1"/>
      <x:c r="C26" s="1" t="str">
        <x:v>New customer/order cohorts and retained order equivalents are disjoint. Bundles do not create extra standalone buyers.</x:v>
      </x:c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0"/>
      <x:c r="T26" s="10"/>
      <x:c r="U26" s="10"/>
      <x:c r="V26" s="10"/>
      <x:c r="W26" s="10"/>
      <x:c r="X26" s="10"/>
      <x:c r="Y26" s="10"/>
      <x:c r="Z26" s="10"/>
      <x:c r="AA26" s="10"/>
      <x:c r="AB26" s="10"/>
      <x:c r="AC26" s="10"/>
      <x:c r="AD26" s="10"/>
      <x:c r="AE26" s="10"/>
      <x:c r="AF26" s="10"/>
      <x:c r="AG26" s="10"/>
      <x:c r="AH26" s="10"/>
      <x:c r="AI26" s="10"/>
      <x:c r="AJ26" s="10"/>
      <x:c r="AK26" s="10"/>
      <x:c r="AL26" s="10"/>
      <x:c r="AM26" s="10"/>
    </x:row>
    <x:row r="27" ht="16" customHeight="1">
      <x:c r="A27" s="1"/>
      <x:c r="B27" s="1"/>
      <x:c r="C27" s="1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0"/>
      <x:c r="T27" s="10"/>
      <x:c r="U27" s="10"/>
      <x:c r="V27" s="10"/>
      <x:c r="W27" s="10"/>
      <x:c r="X27" s="10"/>
      <x:c r="Y27" s="10"/>
      <x:c r="Z27" s="10"/>
      <x:c r="AA27" s="10"/>
      <x:c r="AB27" s="10"/>
      <x:c r="AC27" s="10"/>
      <x:c r="AD27" s="10"/>
      <x:c r="AE27" s="10"/>
      <x:c r="AF27" s="10"/>
      <x:c r="AG27" s="10"/>
      <x:c r="AH27" s="10"/>
      <x:c r="AI27" s="10"/>
      <x:c r="AJ27" s="10"/>
      <x:c r="AK27" s="10"/>
      <x:c r="AL27" s="10"/>
      <x:c r="AM27" s="10"/>
    </x:row>
    <x:row r="28" ht="16" customHeight="1">
      <x:c r="A28" s="1"/>
      <x:c r="B28" s="1"/>
      <x:c r="C28" s="1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10"/>
      <x:c r="O28" s="10"/>
      <x:c r="P28" s="10"/>
      <x:c r="Q28" s="10"/>
      <x:c r="R28" s="10"/>
      <x:c r="S28" s="10"/>
      <x:c r="T28" s="10"/>
      <x:c r="U28" s="10"/>
      <x:c r="V28" s="10"/>
      <x:c r="W28" s="10"/>
      <x:c r="X28" s="10"/>
      <x:c r="Y28" s="10"/>
      <x:c r="Z28" s="10"/>
      <x:c r="AA28" s="10"/>
      <x:c r="AB28" s="10"/>
      <x:c r="AC28" s="10"/>
      <x:c r="AD28" s="10"/>
      <x:c r="AE28" s="10"/>
      <x:c r="AF28" s="10"/>
      <x:c r="AG28" s="10"/>
      <x:c r="AH28" s="10"/>
      <x:c r="AI28" s="10"/>
      <x:c r="AJ28" s="10"/>
      <x:c r="AK28" s="10"/>
      <x:c r="AL28" s="10"/>
      <x:c r="AM28" s="10"/>
    </x:row>
    <x:row r="29" ht="44" customHeight="1">
      <x:c r="A29" s="1"/>
      <x:c r="B29" s="1"/>
      <x:c r="C29" s="23" t="str">
        <x:v>id</x:v>
      </x:c>
      <x:c r="D29" s="24" t="str">
        <x:v>family</x:v>
      </x:c>
      <x:c r="E29" s="24" t="str">
        <x:v>product</x:v>
      </x:c>
      <x:c r="F29" s="24" t="str">
        <x:v>kind</x:v>
      </x:c>
      <x:c r="G29" s="24" t="str">
        <x:v>unit</x:v>
      </x:c>
      <x:c r="H29" s="24" t="str">
        <x:v>price</x:v>
      </x:c>
      <x:c r="I29" s="24" t="str">
        <x:v>annual units</x:v>
      </x:c>
      <x:c r="J29" s="24" t="str">
        <x:v>operating months</x:v>
      </x:c>
      <x:c r="K29" s="24" t="str">
        <x:v>retention</x:v>
      </x:c>
      <x:c r="L29" s="24" t="str">
        <x:v>acquisition growth</x:v>
      </x:c>
      <x:c r="M29" s="24" t="str">
        <x:v>late acquisition growth</x:v>
      </x:c>
      <x:c r="N29" s="24" t="str">
        <x:v>price growth</x:v>
      </x:c>
      <x:c r="O29" s="24" t="str">
        <x:v>price locked</x:v>
      </x:c>
      <x:c r="P29" s="24" t="str">
        <x:v>delivery hours</x:v>
      </x:c>
      <x:c r="Q29" s="24" t="str">
        <x:v>labor rate</x:v>
      </x:c>
      <x:c r="R29" s="24" t="str">
        <x:v>material per unit</x:v>
      </x:c>
      <x:c r="S29" s="24" t="str">
        <x:v>provider share</x:v>
      </x:c>
      <x:c r="T29" s="24" t="str">
        <x:v>platform take</x:v>
      </x:c>
      <x:c r="U29" s="24" t="str">
        <x:v>refund rate</x:v>
      </x:c>
      <x:c r="V29" s="24" t="str">
        <x:v>discount rate</x:v>
      </x:c>
      <x:c r="W29" s="24" t="str">
        <x:v>processor rate</x:v>
      </x:c>
      <x:c r="X29" s="24" t="str">
        <x:v>processor per unit</x:v>
      </x:c>
      <x:c r="Y29" s="24" t="str">
        <x:v>support hours</x:v>
      </x:c>
      <x:c r="Z29" s="24" t="str">
        <x:v>support rate</x:v>
      </x:c>
      <x:c r="AA29" s="24" t="str">
        <x:v>marketing rate</x:v>
      </x:c>
      <x:c r="AB29" s="24" t="str">
        <x:v>prep owner hours</x:v>
      </x:c>
      <x:c r="AC29" s="24" t="str">
        <x:v>owner rate</x:v>
      </x:c>
      <x:c r="AD29" s="24" t="str">
        <x:v>startup cash</x:v>
      </x:c>
      <x:c r="AE29" s="24" t="str">
        <x:v>fixed annual cash</x:v>
      </x:c>
      <x:c r="AF29" s="24" t="str">
        <x:v>collection lag months</x:v>
      </x:c>
      <x:c r="AG29" s="24" t="str">
        <x:v>confidence</x:v>
      </x:c>
      <x:c r="AH29" s="24" t="str">
        <x:v>price status</x:v>
      </x:c>
      <x:c r="AI29" s="24" t="str">
        <x:v>volume basis</x:v>
      </x:c>
      <x:c r="AJ29" s="24" t="str">
        <x:v>cost basis</x:v>
      </x:c>
      <x:c r="AK29" s="24" t="str">
        <x:v>launch basis</x:v>
      </x:c>
      <x:c r="AL29" s="24" t="str">
        <x:v>source urls</x:v>
      </x:c>
      <x:c r="AM29" s="24" t="str">
        <x:v>Prospect conversion assumption</x:v>
      </x:c>
    </x:row>
    <x:row r="30" ht="48" hidden="0" customHeight="1">
      <x:c r="A30" s="1"/>
      <x:c r="B30" s="1"/>
      <x:c r="C30" s="1" t="str">
        <x:v>DOT-001</x:v>
      </x:c>
      <x:c r="D30" s="10" t="str">
        <x:v>ETV courses</x:v>
      </x:c>
      <x:c r="E30" s="10" t="str">
        <x:v>Course 11: Grounded FAQ Assistant</x:v>
      </x:c>
      <x:c r="F30" s="10" t="str">
        <x:v>digital</x:v>
      </x:c>
      <x:c r="G30" s="10" t="str">
        <x:v>order / engagement</x:v>
      </x:c>
      <x:c r="H30" s="14" t="n">
        <x:v>29</x:v>
      </x:c>
      <x:c r="I30" s="14" t="n">
        <x:v>240</x:v>
      </x:c>
      <x:c r="J30" s="14" t="n">
        <x:v>12</x:v>
      </x:c>
      <x:c r="K30" s="16" t="n">
        <x:v>0.25</x:v>
      </x:c>
      <x:c r="L30" s="16" t="n">
        <x:v>0.15</x:v>
      </x:c>
      <x:c r="M30" s="16" t="n">
        <x:v>0.03</x:v>
      </x:c>
      <x:c r="N30" s="16" t="n">
        <x:v>0</x:v>
      </x:c>
      <x:c r="O30" s="14" t="n">
        <x:v>1</x:v>
      </x:c>
      <x:c r="P30" s="17" t="n">
        <x:v>0.15</x:v>
      </x:c>
      <x:c r="Q30" s="14" t="n">
        <x:v>35</x:v>
      </x:c>
      <x:c r="R30" s="14" t="n">
        <x:v>0</x:v>
      </x:c>
      <x:c r="S30" s="16" t="n">
        <x:v>0</x:v>
      </x:c>
      <x:c r="T30" s="16" t="n">
        <x:v>1</x:v>
      </x:c>
      <x:c r="U30" s="16" t="n">
        <x:v>0.03</x:v>
      </x:c>
      <x:c r="V30" s="16" t="n">
        <x:v>0</x:v>
      </x:c>
      <x:c r="W30" s="16" t="n">
        <x:v>0.029</x:v>
      </x:c>
      <x:c r="X30" s="17" t="n">
        <x:v>0.3</x:v>
      </x:c>
      <x:c r="Y30" s="17" t="n">
        <x:v>0.1</x:v>
      </x:c>
      <x:c r="Z30" s="14" t="n">
        <x:v>30</x:v>
      </x:c>
      <x:c r="AA30" s="16" t="n">
        <x:v>0.05</x:v>
      </x:c>
      <x:c r="AB30" s="14" t="n">
        <x:v>0</x:v>
      </x:c>
      <x:c r="AC30" s="14" t="n">
        <x:v>50</x:v>
      </x:c>
      <x:c r="AD30" s="14" t="n">
        <x:v>0</x:v>
      </x:c>
      <x:c r="AE30" s="14" t="n">
        <x:v>0</x:v>
      </x:c>
      <x:c r="AF30" s="14" t="n">
        <x:v>0</x:v>
      </x:c>
      <x:c r="AG30" s="24" t="str">
        <x:v>Low</x:v>
      </x:c>
      <x:c r="AH30" s="24" t="str">
        <x:v>Founder-authorized current interim price</x:v>
      </x:c>
      <x:c r="AI30" s="24" t="str">
        <x:v>Year 1 full-year target 240 order / engagement (20.0/month),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3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30" s="24" t="str">
        <x:v>Current ETV catalog available; no new release gate imposed</x:v>
      </x:c>
      <x:c r="AL30" s="24" t="str">
        <x:v>https://chatgpt.com/c/6ab524cd-2884-83e9-847f-8b44ab1a1a02</x:v>
      </x:c>
      <x:c r="AM30" s="27" t="n">
        <x:v>0.05</x:v>
      </x:c>
    </x:row>
    <x:row r="31" ht="48" hidden="0" customHeight="1">
      <x:c r="A31" s="1"/>
      <x:c r="B31" s="1"/>
      <x:c r="C31" s="1" t="str">
        <x:v>DOT-002</x:v>
      </x:c>
      <x:c r="D31" s="10" t="str">
        <x:v>ETV courses</x:v>
      </x:c>
      <x:c r="E31" s="10" t="str">
        <x:v>Other 19 quoted course editions</x:v>
      </x:c>
      <x:c r="F31" s="10" t="str">
        <x:v>digital</x:v>
      </x:c>
      <x:c r="G31" s="10" t="str">
        <x:v>order / engagement</x:v>
      </x:c>
      <x:c r="H31" s="14" t="n">
        <x:v>39</x:v>
      </x:c>
      <x:c r="I31" s="14" t="n">
        <x:v>380</x:v>
      </x:c>
      <x:c r="J31" s="14" t="n">
        <x:v>12</x:v>
      </x:c>
      <x:c r="K31" s="16" t="n">
        <x:v>0.25</x:v>
      </x:c>
      <x:c r="L31" s="16" t="n">
        <x:v>0.15</x:v>
      </x:c>
      <x:c r="M31" s="16" t="n">
        <x:v>0.03</x:v>
      </x:c>
      <x:c r="N31" s="16" t="n">
        <x:v>0.02</x:v>
      </x:c>
      <x:c r="O31" s="14" t="n">
        <x:v>0</x:v>
      </x:c>
      <x:c r="P31" s="17" t="n">
        <x:v>0.15</x:v>
      </x:c>
      <x:c r="Q31" s="14" t="n">
        <x:v>35</x:v>
      </x:c>
      <x:c r="R31" s="14" t="n">
        <x:v>0</x:v>
      </x:c>
      <x:c r="S31" s="16" t="n">
        <x:v>0</x:v>
      </x:c>
      <x:c r="T31" s="16" t="n">
        <x:v>1</x:v>
      </x:c>
      <x:c r="U31" s="16" t="n">
        <x:v>0.03</x:v>
      </x:c>
      <x:c r="V31" s="16" t="n">
        <x:v>0</x:v>
      </x:c>
      <x:c r="W31" s="16" t="n">
        <x:v>0.029</x:v>
      </x:c>
      <x:c r="X31" s="17" t="n">
        <x:v>0.3</x:v>
      </x:c>
      <x:c r="Y31" s="17" t="n">
        <x:v>0.1</x:v>
      </x:c>
      <x:c r="Z31" s="14" t="n">
        <x:v>30</x:v>
      </x:c>
      <x:c r="AA31" s="16" t="n">
        <x:v>0.05</x:v>
      </x:c>
      <x:c r="AB31" s="14" t="n">
        <x:v>0</x:v>
      </x:c>
      <x:c r="AC31" s="14" t="n">
        <x:v>50</x:v>
      </x:c>
      <x:c r="AD31" s="14" t="n">
        <x:v>0</x:v>
      </x:c>
      <x:c r="AE31" s="14" t="n">
        <x:v>0</x:v>
      </x:c>
      <x:c r="AF31" s="14" t="n">
        <x:v>0</x:v>
      </x:c>
      <x:c r="AG31" s="24" t="str">
        <x:v>Low</x:v>
      </x:c>
      <x:c r="AH31" s="24" t="str">
        <x:v>Dot assumed average accepted quote; actual quote required</x:v>
      </x:c>
      <x:c r="AI31" s="24" t="str">
        <x:v>Year 1 full-year target 380 order / engagement (31.7/month),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3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31" s="24" t="str">
        <x:v>Current ETV catalog available; no new release gate imposed</x:v>
      </x:c>
      <x:c r="AL31" s="24" t="str">
        <x:v>https://chatgpt.com/c/6ab524cd-2884-83e9-847f-8b44ab1a1a02</x:v>
      </x:c>
      <x:c r="AM31" s="27" t="n">
        <x:v>0.05</x:v>
      </x:c>
    </x:row>
    <x:row r="32" ht="48" hidden="0" customHeight="1">
      <x:c r="A32" s="1"/>
      <x:c r="B32" s="1"/>
      <x:c r="C32" s="1" t="str">
        <x:v>DOT-003</x:v>
      </x:c>
      <x:c r="D32" s="10" t="str">
        <x:v>ETV services</x:v>
      </x:c>
      <x:c r="E32" s="10" t="str">
        <x:v>Site and inquiry journey</x:v>
      </x:c>
      <x:c r="F32" s="10" t="str">
        <x:v>professional</x:v>
      </x:c>
      <x:c r="G32" s="10" t="str">
        <x:v>order / engagement</x:v>
      </x:c>
      <x:c r="H32" s="14" t="n">
        <x:v>1750</x:v>
      </x:c>
      <x:c r="I32" s="14" t="n">
        <x:v>12</x:v>
      </x:c>
      <x:c r="J32" s="14" t="n">
        <x:v>12</x:v>
      </x:c>
      <x:c r="K32" s="16" t="n">
        <x:v>0.5</x:v>
      </x:c>
      <x:c r="L32" s="16" t="n">
        <x:v>0.1</x:v>
      </x:c>
      <x:c r="M32" s="16" t="n">
        <x:v>0.03</x:v>
      </x:c>
      <x:c r="N32" s="16" t="n">
        <x:v>0.02</x:v>
      </x:c>
      <x:c r="O32" s="14" t="n">
        <x:v>0</x:v>
      </x:c>
      <x:c r="P32" s="17" t="n">
        <x:v>20</x:v>
      </x:c>
      <x:c r="Q32" s="14" t="n">
        <x:v>45</x:v>
      </x:c>
      <x:c r="R32" s="14" t="n">
        <x:v>25</x:v>
      </x:c>
      <x:c r="S32" s="16" t="n">
        <x:v>0</x:v>
      </x:c>
      <x:c r="T32" s="16" t="n">
        <x:v>1</x:v>
      </x:c>
      <x:c r="U32" s="16" t="n">
        <x:v>0.03</x:v>
      </x:c>
      <x:c r="V32" s="16" t="n">
        <x:v>0</x:v>
      </x:c>
      <x:c r="W32" s="16" t="n">
        <x:v>0.029</x:v>
      </x:c>
      <x:c r="X32" s="17" t="n">
        <x:v>0.3</x:v>
      </x:c>
      <x:c r="Y32" s="17" t="n">
        <x:v>0.25</x:v>
      </x:c>
      <x:c r="Z32" s="14" t="n">
        <x:v>30</x:v>
      </x:c>
      <x:c r="AA32" s="16" t="n">
        <x:v>0.04</x:v>
      </x:c>
      <x:c r="AB32" s="14" t="n">
        <x:v>0</x:v>
      </x:c>
      <x:c r="AC32" s="14" t="n">
        <x:v>50</x:v>
      </x:c>
      <x:c r="AD32" s="14" t="n">
        <x:v>0</x:v>
      </x:c>
      <x:c r="AE32" s="14" t="n">
        <x:v>0</x:v>
      </x:c>
      <x:c r="AF32" s="14" t="n">
        <x:v>1</x:v>
      </x:c>
      <x:c r="AG32" s="24" t="str">
        <x:v>Low</x:v>
      </x:c>
      <x:c r="AH32" s="24" t="str">
        <x:v>Dot average project quote; current catalog is quote-led</x:v>
      </x:c>
      <x:c r="AI32" s="24" t="str">
        <x:v>Year 1 full-year target 12 order / engagement (1.0/month),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3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32" s="24" t="str">
        <x:v>Current ETV catalog available; no new release gate imposed</x:v>
      </x:c>
      <x:c r="AL32" s="24" t="str">
        <x:v>https://chatgpt.com/c/6ab524cd-2884-83e9-847f-8b44ab1a1a02</x:v>
      </x:c>
      <x:c r="AM32" s="27" t="n">
        <x:v>0.2</x:v>
      </x:c>
    </x:row>
    <x:row r="33" ht="48" hidden="0" customHeight="1">
      <x:c r="A33" s="1"/>
      <x:c r="B33" s="1"/>
      <x:c r="C33" s="1" t="str">
        <x:v>DOT-004</x:v>
      </x:c>
      <x:c r="D33" s="10" t="str">
        <x:v>ETV services</x:v>
      </x:c>
      <x:c r="E33" s="10" t="str">
        <x:v>FAQ and workflow bots</x:v>
      </x:c>
      <x:c r="F33" s="10" t="str">
        <x:v>professional</x:v>
      </x:c>
      <x:c r="G33" s="10" t="str">
        <x:v>order / engagement</x:v>
      </x:c>
      <x:c r="H33" s="14" t="n">
        <x:v>2500</x:v>
      </x:c>
      <x:c r="I33" s="14" t="n">
        <x:v>8</x:v>
      </x:c>
      <x:c r="J33" s="14" t="n">
        <x:v>12</x:v>
      </x:c>
      <x:c r="K33" s="16" t="n">
        <x:v>0.5</x:v>
      </x:c>
      <x:c r="L33" s="16" t="n">
        <x:v>0.1</x:v>
      </x:c>
      <x:c r="M33" s="16" t="n">
        <x:v>0.03</x:v>
      </x:c>
      <x:c r="N33" s="16" t="n">
        <x:v>0.02</x:v>
      </x:c>
      <x:c r="O33" s="14" t="n">
        <x:v>0</x:v>
      </x:c>
      <x:c r="P33" s="17" t="n">
        <x:v>30</x:v>
      </x:c>
      <x:c r="Q33" s="14" t="n">
        <x:v>45</x:v>
      </x:c>
      <x:c r="R33" s="14" t="n">
        <x:v>25</x:v>
      </x:c>
      <x:c r="S33" s="16" t="n">
        <x:v>0</x:v>
      </x:c>
      <x:c r="T33" s="16" t="n">
        <x:v>1</x:v>
      </x:c>
      <x:c r="U33" s="16" t="n">
        <x:v>0.03</x:v>
      </x:c>
      <x:c r="V33" s="16" t="n">
        <x:v>0</x:v>
      </x:c>
      <x:c r="W33" s="16" t="n">
        <x:v>0.029</x:v>
      </x:c>
      <x:c r="X33" s="17" t="n">
        <x:v>0.3</x:v>
      </x:c>
      <x:c r="Y33" s="17" t="n">
        <x:v>0.25</x:v>
      </x:c>
      <x:c r="Z33" s="14" t="n">
        <x:v>30</x:v>
      </x:c>
      <x:c r="AA33" s="16" t="n">
        <x:v>0.04</x:v>
      </x:c>
      <x:c r="AB33" s="14" t="n">
        <x:v>0</x:v>
      </x:c>
      <x:c r="AC33" s="14" t="n">
        <x:v>50</x:v>
      </x:c>
      <x:c r="AD33" s="14" t="n">
        <x:v>0</x:v>
      </x:c>
      <x:c r="AE33" s="14" t="n">
        <x:v>0</x:v>
      </x:c>
      <x:c r="AF33" s="14" t="n">
        <x:v>1</x:v>
      </x:c>
      <x:c r="AG33" s="24" t="str">
        <x:v>Low</x:v>
      </x:c>
      <x:c r="AH33" s="24" t="str">
        <x:v>Dot average project quote; current catalog is quote-led</x:v>
      </x:c>
      <x:c r="AI33" s="24" t="str">
        <x:v>Year 1 full-year target 8 order / engagement (0.7/month),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3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33" s="24" t="str">
        <x:v>Current ETV catalog available; no new release gate imposed</x:v>
      </x:c>
      <x:c r="AL33" s="24" t="str">
        <x:v>https://chatgpt.com/c/6ab524cd-2884-83e9-847f-8b44ab1a1a02</x:v>
      </x:c>
      <x:c r="AM33" s="27" t="n">
        <x:v>0.2</x:v>
      </x:c>
    </x:row>
    <x:row r="34" ht="48" hidden="0" customHeight="1">
      <x:c r="A34" s="1"/>
      <x:c r="B34" s="1"/>
      <x:c r="C34" s="1" t="str">
        <x:v>DOT-005</x:v>
      </x:c>
      <x:c r="D34" s="10" t="str">
        <x:v>ETV services</x:v>
      </x:c>
      <x:c r="E34" s="10" t="str">
        <x:v>Operations and controls</x:v>
      </x:c>
      <x:c r="F34" s="10" t="str">
        <x:v>professional</x:v>
      </x:c>
      <x:c r="G34" s="10" t="str">
        <x:v>order / engagement</x:v>
      </x:c>
      <x:c r="H34" s="14" t="n">
        <x:v>1500</x:v>
      </x:c>
      <x:c r="I34" s="14" t="n">
        <x:v>8</x:v>
      </x:c>
      <x:c r="J34" s="14" t="n">
        <x:v>12</x:v>
      </x:c>
      <x:c r="K34" s="16" t="n">
        <x:v>0.5</x:v>
      </x:c>
      <x:c r="L34" s="16" t="n">
        <x:v>0.1</x:v>
      </x:c>
      <x:c r="M34" s="16" t="n">
        <x:v>0.03</x:v>
      </x:c>
      <x:c r="N34" s="16" t="n">
        <x:v>0.02</x:v>
      </x:c>
      <x:c r="O34" s="14" t="n">
        <x:v>0</x:v>
      </x:c>
      <x:c r="P34" s="17" t="n">
        <x:v>18</x:v>
      </x:c>
      <x:c r="Q34" s="14" t="n">
        <x:v>45</x:v>
      </x:c>
      <x:c r="R34" s="14" t="n">
        <x:v>25</x:v>
      </x:c>
      <x:c r="S34" s="16" t="n">
        <x:v>0</x:v>
      </x:c>
      <x:c r="T34" s="16" t="n">
        <x:v>1</x:v>
      </x:c>
      <x:c r="U34" s="16" t="n">
        <x:v>0.03</x:v>
      </x:c>
      <x:c r="V34" s="16" t="n">
        <x:v>0</x:v>
      </x:c>
      <x:c r="W34" s="16" t="n">
        <x:v>0.029</x:v>
      </x:c>
      <x:c r="X34" s="17" t="n">
        <x:v>0.3</x:v>
      </x:c>
      <x:c r="Y34" s="17" t="n">
        <x:v>0.25</x:v>
      </x:c>
      <x:c r="Z34" s="14" t="n">
        <x:v>30</x:v>
      </x:c>
      <x:c r="AA34" s="16" t="n">
        <x:v>0.04</x:v>
      </x:c>
      <x:c r="AB34" s="14" t="n">
        <x:v>0</x:v>
      </x:c>
      <x:c r="AC34" s="14" t="n">
        <x:v>50</x:v>
      </x:c>
      <x:c r="AD34" s="14" t="n">
        <x:v>0</x:v>
      </x:c>
      <x:c r="AE34" s="14" t="n">
        <x:v>0</x:v>
      </x:c>
      <x:c r="AF34" s="14" t="n">
        <x:v>1</x:v>
      </x:c>
      <x:c r="AG34" s="24" t="str">
        <x:v>Low</x:v>
      </x:c>
      <x:c r="AH34" s="24" t="str">
        <x:v>Dot average project quote; current catalog is quote-led</x:v>
      </x:c>
      <x:c r="AI34" s="24" t="str">
        <x:v>Year 1 full-year target 8 order / engagement (0.7/month),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3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34" s="24" t="str">
        <x:v>Current ETV catalog available; no new release gate imposed</x:v>
      </x:c>
      <x:c r="AL34" s="24" t="str">
        <x:v>https://chatgpt.com/c/6ab524cd-2884-83e9-847f-8b44ab1a1a02</x:v>
      </x:c>
      <x:c r="AM34" s="27" t="n">
        <x:v>0.2</x:v>
      </x:c>
    </x:row>
    <x:row r="35" ht="48" hidden="0" customHeight="1">
      <x:c r="A35" s="1"/>
      <x:c r="B35" s="1"/>
      <x:c r="C35" s="1" t="str">
        <x:v>DOT-006</x:v>
      </x:c>
      <x:c r="D35" s="10" t="str">
        <x:v>ETV services</x:v>
      </x:c>
      <x:c r="E35" s="10" t="str">
        <x:v>Team practice</x:v>
      </x:c>
      <x:c r="F35" s="10" t="str">
        <x:v>professional</x:v>
      </x:c>
      <x:c r="G35" s="10" t="str">
        <x:v>order / engagement</x:v>
      </x:c>
      <x:c r="H35" s="14" t="n">
        <x:v>750</x:v>
      </x:c>
      <x:c r="I35" s="14" t="n">
        <x:v>12</x:v>
      </x:c>
      <x:c r="J35" s="14" t="n">
        <x:v>12</x:v>
      </x:c>
      <x:c r="K35" s="16" t="n">
        <x:v>0.5</x:v>
      </x:c>
      <x:c r="L35" s="16" t="n">
        <x:v>0.1</x:v>
      </x:c>
      <x:c r="M35" s="16" t="n">
        <x:v>0.03</x:v>
      </x:c>
      <x:c r="N35" s="16" t="n">
        <x:v>0.02</x:v>
      </x:c>
      <x:c r="O35" s="14" t="n">
        <x:v>0</x:v>
      </x:c>
      <x:c r="P35" s="17" t="n">
        <x:v>8</x:v>
      </x:c>
      <x:c r="Q35" s="14" t="n">
        <x:v>45</x:v>
      </x:c>
      <x:c r="R35" s="14" t="n">
        <x:v>25</x:v>
      </x:c>
      <x:c r="S35" s="16" t="n">
        <x:v>0</x:v>
      </x:c>
      <x:c r="T35" s="16" t="n">
        <x:v>1</x:v>
      </x:c>
      <x:c r="U35" s="16" t="n">
        <x:v>0.03</x:v>
      </x:c>
      <x:c r="V35" s="16" t="n">
        <x:v>0</x:v>
      </x:c>
      <x:c r="W35" s="16" t="n">
        <x:v>0.029</x:v>
      </x:c>
      <x:c r="X35" s="17" t="n">
        <x:v>0.3</x:v>
      </x:c>
      <x:c r="Y35" s="17" t="n">
        <x:v>0.25</x:v>
      </x:c>
      <x:c r="Z35" s="14" t="n">
        <x:v>30</x:v>
      </x:c>
      <x:c r="AA35" s="16" t="n">
        <x:v>0.04</x:v>
      </x:c>
      <x:c r="AB35" s="14" t="n">
        <x:v>0</x:v>
      </x:c>
      <x:c r="AC35" s="14" t="n">
        <x:v>50</x:v>
      </x:c>
      <x:c r="AD35" s="14" t="n">
        <x:v>0</x:v>
      </x:c>
      <x:c r="AE35" s="14" t="n">
        <x:v>0</x:v>
      </x:c>
      <x:c r="AF35" s="14" t="n">
        <x:v>1</x:v>
      </x:c>
      <x:c r="AG35" s="24" t="str">
        <x:v>Low</x:v>
      </x:c>
      <x:c r="AH35" s="24" t="str">
        <x:v>Dot average project quote; current catalog is quote-led</x:v>
      </x:c>
      <x:c r="AI35" s="24" t="str">
        <x:v>Year 1 full-year target 12 order / engagement (1.0/month),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3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35" s="24" t="str">
        <x:v>Current ETV catalog available; no new release gate imposed</x:v>
      </x:c>
      <x:c r="AL35" s="24" t="str">
        <x:v>https://chatgpt.com/c/6ab524cd-2884-83e9-847f-8b44ab1a1a02</x:v>
      </x:c>
      <x:c r="AM35" s="27" t="n">
        <x:v>0.2</x:v>
      </x:c>
    </x:row>
    <x:row r="36" ht="48" hidden="0" customHeight="1">
      <x:c r="A36" s="1"/>
      <x:c r="B36" s="1"/>
      <x:c r="C36" s="1" t="str">
        <x:v>DOT-007</x:v>
      </x:c>
      <x:c r="D36" s="10" t="str">
        <x:v>BPA professional services</x:v>
      </x:c>
      <x:c r="E36" s="10" t="str">
        <x:v>CPA consultation</x:v>
      </x:c>
      <x:c r="F36" s="10" t="str">
        <x:v>professional</x:v>
      </x:c>
      <x:c r="G36" s="10" t="str">
        <x:v>order / engagement</x:v>
      </x:c>
      <x:c r="H36" s="14" t="n">
        <x:v>250</x:v>
      </x:c>
      <x:c r="I36" s="14" t="n">
        <x:v>48</x:v>
      </x:c>
      <x:c r="J36" s="14" t="n">
        <x:v>9</x:v>
      </x:c>
      <x:c r="K36" s="16" t="n">
        <x:v>0.5</x:v>
      </x:c>
      <x:c r="L36" s="16" t="n">
        <x:v>0.1</x:v>
      </x:c>
      <x:c r="M36" s="16" t="n">
        <x:v>0.03</x:v>
      </x:c>
      <x:c r="N36" s="16" t="n">
        <x:v>0</x:v>
      </x:c>
      <x:c r="O36" s="14" t="n">
        <x:v>1</x:v>
      </x:c>
      <x:c r="P36" s="17" t="n">
        <x:v>0.833</x:v>
      </x:c>
      <x:c r="Q36" s="14" t="n">
        <x:v>60</x:v>
      </x:c>
      <x:c r="R36" s="14" t="n">
        <x:v>10</x:v>
      </x:c>
      <x:c r="S36" s="16" t="n">
        <x:v>0</x:v>
      </x:c>
      <x:c r="T36" s="16" t="n">
        <x:v>1</x:v>
      </x:c>
      <x:c r="U36" s="16" t="n">
        <x:v>0.03</x:v>
      </x:c>
      <x:c r="V36" s="16" t="n">
        <x:v>0</x:v>
      </x:c>
      <x:c r="W36" s="16" t="n">
        <x:v>0.029</x:v>
      </x:c>
      <x:c r="X36" s="17" t="n">
        <x:v>0.3</x:v>
      </x:c>
      <x:c r="Y36" s="17" t="n">
        <x:v>0.25</x:v>
      </x:c>
      <x:c r="Z36" s="14" t="n">
        <x:v>30</x:v>
      </x:c>
      <x:c r="AA36" s="16" t="n">
        <x:v>0.04</x:v>
      </x:c>
      <x:c r="AB36" s="14" t="n">
        <x:v>6</x:v>
      </x:c>
      <x:c r="AC36" s="14" t="n">
        <x:v>50</x:v>
      </x:c>
      <x:c r="AD36" s="14" t="n">
        <x:v>0</x:v>
      </x:c>
      <x:c r="AE36" s="14" t="n">
        <x:v>0</x:v>
      </x:c>
      <x:c r="AF36" s="14" t="n">
        <x:v>1</x:v>
      </x:c>
      <x:c r="AG36" s="24" t="str">
        <x:v>Low</x:v>
      </x:c>
      <x:c r="AH36" s="24" t="str">
        <x:v>Owner-directed October 6 menu, including prior 20% increase; mandatory LGC pending. Starting fee where qualified; not guaranteed realized fee.</x:v>
      </x:c>
      <x:c r="AI36" s="24" t="str">
        <x:v>Year 1 full-year target 48 order / engagement (4.0/month),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3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36" s="24" t="str">
        <x:v>Hypothetical in-year start after outstanding release, rights, provider or professional gates; no launch approval</x:v>
      </x:c>
      <x:c r="AL36" s="24" t="str">
        <x:v>https://chatgpt.com/c/6ab2166e-1dc4-83ea-8162-96d5755ac0a2
https://chatgpt.com/c/6ab2b83c-303c-83ea-8d5e-4be203cff113</x:v>
      </x:c>
      <x:c r="AM36" s="27" t="n">
        <x:v>0.2</x:v>
      </x:c>
    </x:row>
    <x:row r="37" ht="48" hidden="0" customHeight="1">
      <x:c r="A37" s="1"/>
      <x:c r="B37" s="1"/>
      <x:c r="C37" s="1" t="str">
        <x:v>DOT-008</x:v>
      </x:c>
      <x:c r="D37" s="10" t="str">
        <x:v>BPA professional services</x:v>
      </x:c>
      <x:c r="E37" s="10" t="str">
        <x:v>Accounting diagnostic</x:v>
      </x:c>
      <x:c r="F37" s="10" t="str">
        <x:v>professional</x:v>
      </x:c>
      <x:c r="G37" s="10" t="str">
        <x:v>order / engagement</x:v>
      </x:c>
      <x:c r="H37" s="14" t="n">
        <x:v>600</x:v>
      </x:c>
      <x:c r="I37" s="14" t="n">
        <x:v>18</x:v>
      </x:c>
      <x:c r="J37" s="14" t="n">
        <x:v>9</x:v>
      </x:c>
      <x:c r="K37" s="16" t="n">
        <x:v>0.5</x:v>
      </x:c>
      <x:c r="L37" s="16" t="n">
        <x:v>0.1</x:v>
      </x:c>
      <x:c r="M37" s="16" t="n">
        <x:v>0.03</x:v>
      </x:c>
      <x:c r="N37" s="16" t="n">
        <x:v>0</x:v>
      </x:c>
      <x:c r="O37" s="14" t="n">
        <x:v>1</x:v>
      </x:c>
      <x:c r="P37" s="17" t="n">
        <x:v>4</x:v>
      </x:c>
      <x:c r="Q37" s="14" t="n">
        <x:v>60</x:v>
      </x:c>
      <x:c r="R37" s="14" t="n">
        <x:v>10</x:v>
      </x:c>
      <x:c r="S37" s="16" t="n">
        <x:v>0</x:v>
      </x:c>
      <x:c r="T37" s="16" t="n">
        <x:v>1</x:v>
      </x:c>
      <x:c r="U37" s="16" t="n">
        <x:v>0.03</x:v>
      </x:c>
      <x:c r="V37" s="16" t="n">
        <x:v>0</x:v>
      </x:c>
      <x:c r="W37" s="16" t="n">
        <x:v>0.029</x:v>
      </x:c>
      <x:c r="X37" s="17" t="n">
        <x:v>0.3</x:v>
      </x:c>
      <x:c r="Y37" s="17" t="n">
        <x:v>0.25</x:v>
      </x:c>
      <x:c r="Z37" s="14" t="n">
        <x:v>30</x:v>
      </x:c>
      <x:c r="AA37" s="16" t="n">
        <x:v>0.04</x:v>
      </x:c>
      <x:c r="AB37" s="14" t="n">
        <x:v>6</x:v>
      </x:c>
      <x:c r="AC37" s="14" t="n">
        <x:v>50</x:v>
      </x:c>
      <x:c r="AD37" s="14" t="n">
        <x:v>0</x:v>
      </x:c>
      <x:c r="AE37" s="14" t="n">
        <x:v>0</x:v>
      </x:c>
      <x:c r="AF37" s="14" t="n">
        <x:v>1</x:v>
      </x:c>
      <x:c r="AG37" s="24" t="str">
        <x:v>Low</x:v>
      </x:c>
      <x:c r="AH37" s="24" t="str">
        <x:v>Owner-directed October 6 menu, including prior 20% increase; mandatory LGC pending. Starting fee where qualified; not guaranteed realized fee.</x:v>
      </x:c>
      <x:c r="AI37" s="24" t="str">
        <x:v>Year 1 full-year target 18 order / engagement (1.5/month),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3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37" s="24" t="str">
        <x:v>Hypothetical in-year start after outstanding release, rights, provider or professional gates; no launch approval</x:v>
      </x:c>
      <x:c r="AL37" s="24" t="str">
        <x:v>https://chatgpt.com/c/6ab2166e-1dc4-83ea-8162-96d5755ac0a2
https://chatgpt.com/c/6ab2b83c-303c-83ea-8d5e-4be203cff113</x:v>
      </x:c>
      <x:c r="AM37" s="27" t="n">
        <x:v>0.2</x:v>
      </x:c>
    </x:row>
    <x:row r="38" ht="48" hidden="0" customHeight="1">
      <x:c r="A38" s="1"/>
      <x:c r="B38" s="1"/>
      <x:c r="C38" s="1" t="str">
        <x:v>DOT-009</x:v>
      </x:c>
      <x:c r="D38" s="10" t="str">
        <x:v>BPA professional services</x:v>
      </x:c>
      <x:c r="E38" s="10" t="str">
        <x:v>Business formation readiness</x:v>
      </x:c>
      <x:c r="F38" s="10" t="str">
        <x:v>professional</x:v>
      </x:c>
      <x:c r="G38" s="10" t="str">
        <x:v>order / engagement</x:v>
      </x:c>
      <x:c r="H38" s="14" t="n">
        <x:v>900</x:v>
      </x:c>
      <x:c r="I38" s="14" t="n">
        <x:v>12</x:v>
      </x:c>
      <x:c r="J38" s="14" t="n">
        <x:v>9</x:v>
      </x:c>
      <x:c r="K38" s="16" t="n">
        <x:v>0.5</x:v>
      </x:c>
      <x:c r="L38" s="16" t="n">
        <x:v>0.1</x:v>
      </x:c>
      <x:c r="M38" s="16" t="n">
        <x:v>0.03</x:v>
      </x:c>
      <x:c r="N38" s="16" t="n">
        <x:v>0</x:v>
      </x:c>
      <x:c r="O38" s="14" t="n">
        <x:v>1</x:v>
      </x:c>
      <x:c r="P38" s="17" t="n">
        <x:v>6</x:v>
      </x:c>
      <x:c r="Q38" s="14" t="n">
        <x:v>60</x:v>
      </x:c>
      <x:c r="R38" s="14" t="n">
        <x:v>10</x:v>
      </x:c>
      <x:c r="S38" s="16" t="n">
        <x:v>0</x:v>
      </x:c>
      <x:c r="T38" s="16" t="n">
        <x:v>1</x:v>
      </x:c>
      <x:c r="U38" s="16" t="n">
        <x:v>0.03</x:v>
      </x:c>
      <x:c r="V38" s="16" t="n">
        <x:v>0</x:v>
      </x:c>
      <x:c r="W38" s="16" t="n">
        <x:v>0.029</x:v>
      </x:c>
      <x:c r="X38" s="17" t="n">
        <x:v>0.3</x:v>
      </x:c>
      <x:c r="Y38" s="17" t="n">
        <x:v>0.25</x:v>
      </x:c>
      <x:c r="Z38" s="14" t="n">
        <x:v>30</x:v>
      </x:c>
      <x:c r="AA38" s="16" t="n">
        <x:v>0.04</x:v>
      </x:c>
      <x:c r="AB38" s="14" t="n">
        <x:v>6</x:v>
      </x:c>
      <x:c r="AC38" s="14" t="n">
        <x:v>50</x:v>
      </x:c>
      <x:c r="AD38" s="14" t="n">
        <x:v>0</x:v>
      </x:c>
      <x:c r="AE38" s="14" t="n">
        <x:v>0</x:v>
      </x:c>
      <x:c r="AF38" s="14" t="n">
        <x:v>1</x:v>
      </x:c>
      <x:c r="AG38" s="24" t="str">
        <x:v>Low</x:v>
      </x:c>
      <x:c r="AH38" s="24" t="str">
        <x:v>Owner-directed October 6 menu, including prior 20% increase; mandatory LGC pending. Starting fee where qualified; not guaranteed realized fee.</x:v>
      </x:c>
      <x:c r="AI38" s="24" t="str">
        <x:v>Year 1 full-year target 12 order / engagement (1.0/month),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3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38" s="24" t="str">
        <x:v>Hypothetical in-year start after outstanding release, rights, provider or professional gates; no launch approval</x:v>
      </x:c>
      <x:c r="AL38" s="24" t="str">
        <x:v>https://chatgpt.com/c/6ab2166e-1dc4-83ea-8162-96d5755ac0a2
https://chatgpt.com/c/6ab2b83c-303c-83ea-8d5e-4be203cff113</x:v>
      </x:c>
      <x:c r="AM38" s="27" t="n">
        <x:v>0.2</x:v>
      </x:c>
    </x:row>
    <x:row r="39" ht="48" hidden="0" customHeight="1">
      <x:c r="A39" s="1"/>
      <x:c r="B39" s="1"/>
      <x:c r="C39" s="1" t="str">
        <x:v>DOT-010</x:v>
      </x:c>
      <x:c r="D39" s="10" t="str">
        <x:v>BPA professional services</x:v>
      </x:c>
      <x:c r="E39" s="10" t="str">
        <x:v>Budget and cash-flow forecast</x:v>
      </x:c>
      <x:c r="F39" s="10" t="str">
        <x:v>professional</x:v>
      </x:c>
      <x:c r="G39" s="10" t="str">
        <x:v>order / engagement</x:v>
      </x:c>
      <x:c r="H39" s="14" t="n">
        <x:v>1800</x:v>
      </x:c>
      <x:c r="I39" s="14" t="n">
        <x:v>12</x:v>
      </x:c>
      <x:c r="J39" s="14" t="n">
        <x:v>9</x:v>
      </x:c>
      <x:c r="K39" s="16" t="n">
        <x:v>0.5</x:v>
      </x:c>
      <x:c r="L39" s="16" t="n">
        <x:v>0.1</x:v>
      </x:c>
      <x:c r="M39" s="16" t="n">
        <x:v>0.03</x:v>
      </x:c>
      <x:c r="N39" s="16" t="n">
        <x:v>0</x:v>
      </x:c>
      <x:c r="O39" s="14" t="n">
        <x:v>1</x:v>
      </x:c>
      <x:c r="P39" s="17" t="n">
        <x:v>12</x:v>
      </x:c>
      <x:c r="Q39" s="14" t="n">
        <x:v>60</x:v>
      </x:c>
      <x:c r="R39" s="14" t="n">
        <x:v>10</x:v>
      </x:c>
      <x:c r="S39" s="16" t="n">
        <x:v>0</x:v>
      </x:c>
      <x:c r="T39" s="16" t="n">
        <x:v>1</x:v>
      </x:c>
      <x:c r="U39" s="16" t="n">
        <x:v>0.03</x:v>
      </x:c>
      <x:c r="V39" s="16" t="n">
        <x:v>0</x:v>
      </x:c>
      <x:c r="W39" s="16" t="n">
        <x:v>0.029</x:v>
      </x:c>
      <x:c r="X39" s="17" t="n">
        <x:v>0.3</x:v>
      </x:c>
      <x:c r="Y39" s="17" t="n">
        <x:v>0.25</x:v>
      </x:c>
      <x:c r="Z39" s="14" t="n">
        <x:v>30</x:v>
      </x:c>
      <x:c r="AA39" s="16" t="n">
        <x:v>0.04</x:v>
      </x:c>
      <x:c r="AB39" s="14" t="n">
        <x:v>6</x:v>
      </x:c>
      <x:c r="AC39" s="14" t="n">
        <x:v>50</x:v>
      </x:c>
      <x:c r="AD39" s="14" t="n">
        <x:v>0</x:v>
      </x:c>
      <x:c r="AE39" s="14" t="n">
        <x:v>0</x:v>
      </x:c>
      <x:c r="AF39" s="14" t="n">
        <x:v>1</x:v>
      </x:c>
      <x:c r="AG39" s="24" t="str">
        <x:v>Low</x:v>
      </x:c>
      <x:c r="AH39" s="24" t="str">
        <x:v>Owner-directed October 6 menu, including prior 20% increase; mandatory LGC pending. Starting fee where qualified; not guaranteed realized fee.</x:v>
      </x:c>
      <x:c r="AI39" s="24" t="str">
        <x:v>Year 1 full-year target 12 order / engagement (1.0/month),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3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39" s="24" t="str">
        <x:v>Hypothetical in-year start after outstanding release, rights, provider or professional gates; no launch approval</x:v>
      </x:c>
      <x:c r="AL39" s="24" t="str">
        <x:v>https://chatgpt.com/c/6ab2166e-1dc4-83ea-8162-96d5755ac0a2
https://chatgpt.com/c/6ab2b83c-303c-83ea-8d5e-4be203cff113</x:v>
      </x:c>
      <x:c r="AM39" s="27" t="n">
        <x:v>0.2</x:v>
      </x:c>
    </x:row>
    <x:row r="40" ht="48" hidden="0" customHeight="1">
      <x:c r="A40" s="1"/>
      <x:c r="B40" s="1"/>
      <x:c r="C40" s="1" t="str">
        <x:v>DOT-011</x:v>
      </x:c>
      <x:c r="D40" s="10" t="str">
        <x:v>BPA professional services</x:v>
      </x:c>
      <x:c r="E40" s="10" t="str">
        <x:v>Bookkeeping Essentials monthly</x:v>
      </x:c>
      <x:c r="F40" s="10" t="str">
        <x:v>professional</x:v>
      </x:c>
      <x:c r="G40" s="10" t="str">
        <x:v>customer-month</x:v>
      </x:c>
      <x:c r="H40" s="14" t="n">
        <x:v>600</x:v>
      </x:c>
      <x:c r="I40" s="14" t="n">
        <x:v>36</x:v>
      </x:c>
      <x:c r="J40" s="14" t="n">
        <x:v>9</x:v>
      </x:c>
      <x:c r="K40" s="16" t="n">
        <x:v>0.5</x:v>
      </x:c>
      <x:c r="L40" s="16" t="n">
        <x:v>0.1</x:v>
      </x:c>
      <x:c r="M40" s="16" t="n">
        <x:v>0.03</x:v>
      </x:c>
      <x:c r="N40" s="16" t="n">
        <x:v>0</x:v>
      </x:c>
      <x:c r="O40" s="14" t="n">
        <x:v>1</x:v>
      </x:c>
      <x:c r="P40" s="17" t="n">
        <x:v>4</x:v>
      </x:c>
      <x:c r="Q40" s="14" t="n">
        <x:v>60</x:v>
      </x:c>
      <x:c r="R40" s="14" t="n">
        <x:v>10</x:v>
      </x:c>
      <x:c r="S40" s="16" t="n">
        <x:v>0</x:v>
      </x:c>
      <x:c r="T40" s="16" t="n">
        <x:v>1</x:v>
      </x:c>
      <x:c r="U40" s="16" t="n">
        <x:v>0.03</x:v>
      </x:c>
      <x:c r="V40" s="16" t="n">
        <x:v>0</x:v>
      </x:c>
      <x:c r="W40" s="16" t="n">
        <x:v>0.029</x:v>
      </x:c>
      <x:c r="X40" s="17" t="n">
        <x:v>0.3</x:v>
      </x:c>
      <x:c r="Y40" s="17" t="n">
        <x:v>0.25</x:v>
      </x:c>
      <x:c r="Z40" s="14" t="n">
        <x:v>30</x:v>
      </x:c>
      <x:c r="AA40" s="16" t="n">
        <x:v>0.04</x:v>
      </x:c>
      <x:c r="AB40" s="14" t="n">
        <x:v>6</x:v>
      </x:c>
      <x:c r="AC40" s="14" t="n">
        <x:v>50</x:v>
      </x:c>
      <x:c r="AD40" s="14" t="n">
        <x:v>0</x:v>
      </x:c>
      <x:c r="AE40" s="14" t="n">
        <x:v>0</x:v>
      </x:c>
      <x:c r="AF40" s="14" t="n">
        <x:v>1</x:v>
      </x:c>
      <x:c r="AG40" s="24" t="str">
        <x:v>Low</x:v>
      </x:c>
      <x:c r="AH40" s="24" t="str">
        <x:v>Owner-directed October 6 menu, including prior 20% increase; mandatory LGC pending. Starting fee where qualified; not guaranteed realized fee.</x:v>
      </x:c>
      <x:c r="AI40" s="24" t="str">
        <x:v>Year 1 full-year target 36 customer-month (3.0/month),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4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40" s="24" t="str">
        <x:v>Hypothetical in-year start after outstanding release, rights, provider or professional gates; no launch approval</x:v>
      </x:c>
      <x:c r="AL40" s="24" t="str">
        <x:v>https://chatgpt.com/c/6ab2166e-1dc4-83ea-8162-96d5755ac0a2
https://chatgpt.com/c/6ab2b83c-303c-83ea-8d5e-4be203cff113</x:v>
      </x:c>
      <x:c r="AM40" s="27" t="n">
        <x:v>0.2</x:v>
      </x:c>
    </x:row>
    <x:row r="41" ht="48" hidden="0" customHeight="1">
      <x:c r="A41" s="1"/>
      <x:c r="B41" s="1"/>
      <x:c r="C41" s="1" t="str">
        <x:v>DOT-012</x:v>
      </x:c>
      <x:c r="D41" s="10" t="str">
        <x:v>BPA professional services</x:v>
      </x:c>
      <x:c r="E41" s="10" t="str">
        <x:v>Bookkeeping Growth monthly</x:v>
      </x:c>
      <x:c r="F41" s="10" t="str">
        <x:v>professional</x:v>
      </x:c>
      <x:c r="G41" s="10" t="str">
        <x:v>customer-month</x:v>
      </x:c>
      <x:c r="H41" s="14" t="n">
        <x:v>1080</x:v>
      </x:c>
      <x:c r="I41" s="14" t="n">
        <x:v>24</x:v>
      </x:c>
      <x:c r="J41" s="14" t="n">
        <x:v>9</x:v>
      </x:c>
      <x:c r="K41" s="16" t="n">
        <x:v>0.5</x:v>
      </x:c>
      <x:c r="L41" s="16" t="n">
        <x:v>0.1</x:v>
      </x:c>
      <x:c r="M41" s="16" t="n">
        <x:v>0.03</x:v>
      </x:c>
      <x:c r="N41" s="16" t="n">
        <x:v>0</x:v>
      </x:c>
      <x:c r="O41" s="14" t="n">
        <x:v>1</x:v>
      </x:c>
      <x:c r="P41" s="17" t="n">
        <x:v>8</x:v>
      </x:c>
      <x:c r="Q41" s="14" t="n">
        <x:v>60</x:v>
      </x:c>
      <x:c r="R41" s="14" t="n">
        <x:v>10</x:v>
      </x:c>
      <x:c r="S41" s="16" t="n">
        <x:v>0</x:v>
      </x:c>
      <x:c r="T41" s="16" t="n">
        <x:v>1</x:v>
      </x:c>
      <x:c r="U41" s="16" t="n">
        <x:v>0.03</x:v>
      </x:c>
      <x:c r="V41" s="16" t="n">
        <x:v>0</x:v>
      </x:c>
      <x:c r="W41" s="16" t="n">
        <x:v>0.029</x:v>
      </x:c>
      <x:c r="X41" s="17" t="n">
        <x:v>0.3</x:v>
      </x:c>
      <x:c r="Y41" s="17" t="n">
        <x:v>0.25</x:v>
      </x:c>
      <x:c r="Z41" s="14" t="n">
        <x:v>30</x:v>
      </x:c>
      <x:c r="AA41" s="16" t="n">
        <x:v>0.04</x:v>
      </x:c>
      <x:c r="AB41" s="14" t="n">
        <x:v>6</x:v>
      </x:c>
      <x:c r="AC41" s="14" t="n">
        <x:v>50</x:v>
      </x:c>
      <x:c r="AD41" s="14" t="n">
        <x:v>0</x:v>
      </x:c>
      <x:c r="AE41" s="14" t="n">
        <x:v>0</x:v>
      </x:c>
      <x:c r="AF41" s="14" t="n">
        <x:v>1</x:v>
      </x:c>
      <x:c r="AG41" s="24" t="str">
        <x:v>Low</x:v>
      </x:c>
      <x:c r="AH41" s="24" t="str">
        <x:v>Owner-directed October 6 menu, including prior 20% increase; mandatory LGC pending. Starting fee where qualified; not guaranteed realized fee.</x:v>
      </x:c>
      <x:c r="AI41" s="24" t="str">
        <x:v>Year 1 full-year target 24 customer-month (2.0/month),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4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41" s="24" t="str">
        <x:v>Hypothetical in-year start after outstanding release, rights, provider or professional gates; no launch approval</x:v>
      </x:c>
      <x:c r="AL41" s="24" t="str">
        <x:v>https://chatgpt.com/c/6ab2166e-1dc4-83ea-8162-96d5755ac0a2
https://chatgpt.com/c/6ab2b83c-303c-83ea-8d5e-4be203cff113</x:v>
      </x:c>
      <x:c r="AM41" s="27" t="n">
        <x:v>0.2</x:v>
      </x:c>
    </x:row>
    <x:row r="42" ht="48" hidden="0" customHeight="1">
      <x:c r="A42" s="1"/>
      <x:c r="B42" s="1"/>
      <x:c r="C42" s="1" t="str">
        <x:v>DOT-013</x:v>
      </x:c>
      <x:c r="D42" s="10" t="str">
        <x:v>BPA professional services</x:v>
      </x:c>
      <x:c r="E42" s="10" t="str">
        <x:v>Controller CAS monthly</x:v>
      </x:c>
      <x:c r="F42" s="10" t="str">
        <x:v>professional</x:v>
      </x:c>
      <x:c r="G42" s="10" t="str">
        <x:v>customer-month</x:v>
      </x:c>
      <x:c r="H42" s="14" t="n">
        <x:v>2160</x:v>
      </x:c>
      <x:c r="I42" s="14" t="n">
        <x:v>18</x:v>
      </x:c>
      <x:c r="J42" s="14" t="n">
        <x:v>9</x:v>
      </x:c>
      <x:c r="K42" s="16" t="n">
        <x:v>0.5</x:v>
      </x:c>
      <x:c r="L42" s="16" t="n">
        <x:v>0.1</x:v>
      </x:c>
      <x:c r="M42" s="16" t="n">
        <x:v>0.03</x:v>
      </x:c>
      <x:c r="N42" s="16" t="n">
        <x:v>0</x:v>
      </x:c>
      <x:c r="O42" s="14" t="n">
        <x:v>1</x:v>
      </x:c>
      <x:c r="P42" s="17" t="n">
        <x:v>16</x:v>
      </x:c>
      <x:c r="Q42" s="14" t="n">
        <x:v>60</x:v>
      </x:c>
      <x:c r="R42" s="14" t="n">
        <x:v>10</x:v>
      </x:c>
      <x:c r="S42" s="16" t="n">
        <x:v>0</x:v>
      </x:c>
      <x:c r="T42" s="16" t="n">
        <x:v>1</x:v>
      </x:c>
      <x:c r="U42" s="16" t="n">
        <x:v>0.03</x:v>
      </x:c>
      <x:c r="V42" s="16" t="n">
        <x:v>0</x:v>
      </x:c>
      <x:c r="W42" s="16" t="n">
        <x:v>0.029</x:v>
      </x:c>
      <x:c r="X42" s="17" t="n">
        <x:v>0.3</x:v>
      </x:c>
      <x:c r="Y42" s="17" t="n">
        <x:v>0.25</x:v>
      </x:c>
      <x:c r="Z42" s="14" t="n">
        <x:v>30</x:v>
      </x:c>
      <x:c r="AA42" s="16" t="n">
        <x:v>0.04</x:v>
      </x:c>
      <x:c r="AB42" s="14" t="n">
        <x:v>6</x:v>
      </x:c>
      <x:c r="AC42" s="14" t="n">
        <x:v>50</x:v>
      </x:c>
      <x:c r="AD42" s="14" t="n">
        <x:v>0</x:v>
      </x:c>
      <x:c r="AE42" s="14" t="n">
        <x:v>0</x:v>
      </x:c>
      <x:c r="AF42" s="14" t="n">
        <x:v>1</x:v>
      </x:c>
      <x:c r="AG42" s="24" t="str">
        <x:v>Low</x:v>
      </x:c>
      <x:c r="AH42" s="24" t="str">
        <x:v>Owner-directed October 6 menu, including prior 20% increase; mandatory LGC pending. Starting fee where qualified; not guaranteed realized fee.</x:v>
      </x:c>
      <x:c r="AI42" s="24" t="str">
        <x:v>Year 1 full-year target 18 customer-month (1.5/month),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4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42" s="24" t="str">
        <x:v>Hypothetical in-year start after outstanding release, rights, provider or professional gates; no launch approval</x:v>
      </x:c>
      <x:c r="AL42" s="24" t="str">
        <x:v>https://chatgpt.com/c/6ab2166e-1dc4-83ea-8162-96d5755ac0a2
https://chatgpt.com/c/6ab2b83c-303c-83ea-8d5e-4be203cff113</x:v>
      </x:c>
      <x:c r="AM42" s="27" t="n">
        <x:v>0.2</x:v>
      </x:c>
    </x:row>
    <x:row r="43" ht="48" hidden="0" customHeight="1">
      <x:c r="A43" s="1"/>
      <x:c r="B43" s="1"/>
      <x:c r="C43" s="1" t="str">
        <x:v>DOT-014</x:v>
      </x:c>
      <x:c r="D43" s="10" t="str">
        <x:v>BPA professional services</x:v>
      </x:c>
      <x:c r="E43" s="10" t="str">
        <x:v>Virtual CFO monthly</x:v>
      </x:c>
      <x:c r="F43" s="10" t="str">
        <x:v>professional</x:v>
      </x:c>
      <x:c r="G43" s="10" t="str">
        <x:v>customer-month</x:v>
      </x:c>
      <x:c r="H43" s="14" t="n">
        <x:v>3000</x:v>
      </x:c>
      <x:c r="I43" s="14" t="n">
        <x:v>12</x:v>
      </x:c>
      <x:c r="J43" s="14" t="n">
        <x:v>9</x:v>
      </x:c>
      <x:c r="K43" s="16" t="n">
        <x:v>0.5</x:v>
      </x:c>
      <x:c r="L43" s="16" t="n">
        <x:v>0.1</x:v>
      </x:c>
      <x:c r="M43" s="16" t="n">
        <x:v>0.03</x:v>
      </x:c>
      <x:c r="N43" s="16" t="n">
        <x:v>0</x:v>
      </x:c>
      <x:c r="O43" s="14" t="n">
        <x:v>1</x:v>
      </x:c>
      <x:c r="P43" s="17" t="n">
        <x:v>20</x:v>
      </x:c>
      <x:c r="Q43" s="14" t="n">
        <x:v>60</x:v>
      </x:c>
      <x:c r="R43" s="14" t="n">
        <x:v>10</x:v>
      </x:c>
      <x:c r="S43" s="16" t="n">
        <x:v>0</x:v>
      </x:c>
      <x:c r="T43" s="16" t="n">
        <x:v>1</x:v>
      </x:c>
      <x:c r="U43" s="16" t="n">
        <x:v>0.03</x:v>
      </x:c>
      <x:c r="V43" s="16" t="n">
        <x:v>0</x:v>
      </x:c>
      <x:c r="W43" s="16" t="n">
        <x:v>0.029</x:v>
      </x:c>
      <x:c r="X43" s="17" t="n">
        <x:v>0.3</x:v>
      </x:c>
      <x:c r="Y43" s="17" t="n">
        <x:v>0.25</x:v>
      </x:c>
      <x:c r="Z43" s="14" t="n">
        <x:v>30</x:v>
      </x:c>
      <x:c r="AA43" s="16" t="n">
        <x:v>0.04</x:v>
      </x:c>
      <x:c r="AB43" s="14" t="n">
        <x:v>6</x:v>
      </x:c>
      <x:c r="AC43" s="14" t="n">
        <x:v>50</x:v>
      </x:c>
      <x:c r="AD43" s="14" t="n">
        <x:v>0</x:v>
      </x:c>
      <x:c r="AE43" s="14" t="n">
        <x:v>0</x:v>
      </x:c>
      <x:c r="AF43" s="14" t="n">
        <x:v>1</x:v>
      </x:c>
      <x:c r="AG43" s="24" t="str">
        <x:v>Low</x:v>
      </x:c>
      <x:c r="AH43" s="24" t="str">
        <x:v>Owner-directed October 6 menu, including prior 20% increase; mandatory LGC pending. Starting fee where qualified; not guaranteed realized fee.</x:v>
      </x:c>
      <x:c r="AI43" s="24" t="str">
        <x:v>Year 1 full-year target 12 customer-month (1.0/month),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4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43" s="24" t="str">
        <x:v>Hypothetical in-year start after outstanding release, rights, provider or professional gates; no launch approval</x:v>
      </x:c>
      <x:c r="AL43" s="24" t="str">
        <x:v>https://chatgpt.com/c/6ab2166e-1dc4-83ea-8162-96d5755ac0a2
https://chatgpt.com/c/6ab2b83c-303c-83ea-8d5e-4be203cff113</x:v>
      </x:c>
      <x:c r="AM43" s="27" t="n">
        <x:v>0.2</x:v>
      </x:c>
    </x:row>
    <x:row r="44" ht="48" hidden="0" customHeight="1">
      <x:c r="A44" s="1"/>
      <x:c r="B44" s="1"/>
      <x:c r="C44" s="1" t="str">
        <x:v>DOT-015</x:v>
      </x:c>
      <x:c r="D44" s="10" t="str">
        <x:v>BPA professional services</x:v>
      </x:c>
      <x:c r="E44" s="10" t="str">
        <x:v>Catch-up and cleanup</x:v>
      </x:c>
      <x:c r="F44" s="10" t="str">
        <x:v>professional</x:v>
      </x:c>
      <x:c r="G44" s="10" t="str">
        <x:v>order / engagement</x:v>
      </x:c>
      <x:c r="H44" s="14" t="n">
        <x:v>1200</x:v>
      </x:c>
      <x:c r="I44" s="14" t="n">
        <x:v>10</x:v>
      </x:c>
      <x:c r="J44" s="14" t="n">
        <x:v>9</x:v>
      </x:c>
      <x:c r="K44" s="16" t="n">
        <x:v>0.5</x:v>
      </x:c>
      <x:c r="L44" s="16" t="n">
        <x:v>0.1</x:v>
      </x:c>
      <x:c r="M44" s="16" t="n">
        <x:v>0.03</x:v>
      </x:c>
      <x:c r="N44" s="16" t="n">
        <x:v>0</x:v>
      </x:c>
      <x:c r="O44" s="14" t="n">
        <x:v>1</x:v>
      </x:c>
      <x:c r="P44" s="17" t="n">
        <x:v>10</x:v>
      </x:c>
      <x:c r="Q44" s="14" t="n">
        <x:v>60</x:v>
      </x:c>
      <x:c r="R44" s="14" t="n">
        <x:v>10</x:v>
      </x:c>
      <x:c r="S44" s="16" t="n">
        <x:v>0</x:v>
      </x:c>
      <x:c r="T44" s="16" t="n">
        <x:v>1</x:v>
      </x:c>
      <x:c r="U44" s="16" t="n">
        <x:v>0.03</x:v>
      </x:c>
      <x:c r="V44" s="16" t="n">
        <x:v>0</x:v>
      </x:c>
      <x:c r="W44" s="16" t="n">
        <x:v>0.029</x:v>
      </x:c>
      <x:c r="X44" s="17" t="n">
        <x:v>0.3</x:v>
      </x:c>
      <x:c r="Y44" s="17" t="n">
        <x:v>0.25</x:v>
      </x:c>
      <x:c r="Z44" s="14" t="n">
        <x:v>30</x:v>
      </x:c>
      <x:c r="AA44" s="16" t="n">
        <x:v>0.04</x:v>
      </x:c>
      <x:c r="AB44" s="14" t="n">
        <x:v>6</x:v>
      </x:c>
      <x:c r="AC44" s="14" t="n">
        <x:v>50</x:v>
      </x:c>
      <x:c r="AD44" s="14" t="n">
        <x:v>0</x:v>
      </x:c>
      <x:c r="AE44" s="14" t="n">
        <x:v>0</x:v>
      </x:c>
      <x:c r="AF44" s="14" t="n">
        <x:v>1</x:v>
      </x:c>
      <x:c r="AG44" s="24" t="str">
        <x:v>Low</x:v>
      </x:c>
      <x:c r="AH44" s="24" t="str">
        <x:v>Owner-directed October 6 menu, including prior 20% increase; mandatory LGC pending. Starting fee where qualified; not guaranteed realized fee.</x:v>
      </x:c>
      <x:c r="AI44" s="24" t="str">
        <x:v>Year 1 full-year target 10 order / engagement (0.8/month),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4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44" s="24" t="str">
        <x:v>Hypothetical in-year start after outstanding release, rights, provider or professional gates; no launch approval</x:v>
      </x:c>
      <x:c r="AL44" s="24" t="str">
        <x:v>https://chatgpt.com/c/6ab2166e-1dc4-83ea-8162-96d5755ac0a2
https://chatgpt.com/c/6ab2b83c-303c-83ea-8d5e-4be203cff113</x:v>
      </x:c>
      <x:c r="AM44" s="27" t="n">
        <x:v>0.2</x:v>
      </x:c>
    </x:row>
    <x:row r="45" ht="48" hidden="0" customHeight="1">
      <x:c r="A45" s="1"/>
      <x:c r="B45" s="1"/>
      <x:c r="C45" s="1" t="str">
        <x:v>DOT-016</x:v>
      </x:c>
      <x:c r="D45" s="10" t="str">
        <x:v>BPA professional services</x:v>
      </x:c>
      <x:c r="E45" s="10" t="str">
        <x:v>Foreign-statement conversion</x:v>
      </x:c>
      <x:c r="F45" s="10" t="str">
        <x:v>professional</x:v>
      </x:c>
      <x:c r="G45" s="10" t="str">
        <x:v>order / engagement</x:v>
      </x:c>
      <x:c r="H45" s="14" t="n">
        <x:v>1800</x:v>
      </x:c>
      <x:c r="I45" s="14" t="n">
        <x:v>6</x:v>
      </x:c>
      <x:c r="J45" s="14" t="n">
        <x:v>9</x:v>
      </x:c>
      <x:c r="K45" s="16" t="n">
        <x:v>0.5</x:v>
      </x:c>
      <x:c r="L45" s="16" t="n">
        <x:v>0.1</x:v>
      </x:c>
      <x:c r="M45" s="16" t="n">
        <x:v>0.03</x:v>
      </x:c>
      <x:c r="N45" s="16" t="n">
        <x:v>0</x:v>
      </x:c>
      <x:c r="O45" s="14" t="n">
        <x:v>1</x:v>
      </x:c>
      <x:c r="P45" s="17" t="n">
        <x:v>5</x:v>
      </x:c>
      <x:c r="Q45" s="14" t="n">
        <x:v>60</x:v>
      </x:c>
      <x:c r="R45" s="14" t="n">
        <x:v>10</x:v>
      </x:c>
      <x:c r="S45" s="16" t="n">
        <x:v>0</x:v>
      </x:c>
      <x:c r="T45" s="16" t="n">
        <x:v>1</x:v>
      </x:c>
      <x:c r="U45" s="16" t="n">
        <x:v>0.03</x:v>
      </x:c>
      <x:c r="V45" s="16" t="n">
        <x:v>0</x:v>
      </x:c>
      <x:c r="W45" s="16" t="n">
        <x:v>0.029</x:v>
      </x:c>
      <x:c r="X45" s="17" t="n">
        <x:v>0.3</x:v>
      </x:c>
      <x:c r="Y45" s="17" t="n">
        <x:v>0.25</x:v>
      </x:c>
      <x:c r="Z45" s="14" t="n">
        <x:v>30</x:v>
      </x:c>
      <x:c r="AA45" s="16" t="n">
        <x:v>0.04</x:v>
      </x:c>
      <x:c r="AB45" s="14" t="n">
        <x:v>6</x:v>
      </x:c>
      <x:c r="AC45" s="14" t="n">
        <x:v>50</x:v>
      </x:c>
      <x:c r="AD45" s="14" t="n">
        <x:v>0</x:v>
      </x:c>
      <x:c r="AE45" s="14" t="n">
        <x:v>0</x:v>
      </x:c>
      <x:c r="AF45" s="14" t="n">
        <x:v>1</x:v>
      </x:c>
      <x:c r="AG45" s="24" t="str">
        <x:v>Low</x:v>
      </x:c>
      <x:c r="AH45" s="24" t="str">
        <x:v>Owner-directed October 6 menu, including prior 20% increase; mandatory LGC pending. Starting fee where qualified; not guaranteed realized fee.</x:v>
      </x:c>
      <x:c r="AI45" s="24" t="str">
        <x:v>Year 1 full-year target 6 order / engagement (0.5/month),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4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45" s="24" t="str">
        <x:v>Hypothetical in-year start after outstanding release, rights, provider or professional gates; no launch approval</x:v>
      </x:c>
      <x:c r="AL45" s="24" t="str">
        <x:v>https://chatgpt.com/c/6ab2166e-1dc4-83ea-8162-96d5755ac0a2
https://chatgpt.com/c/6ab2b83c-303c-83ea-8d5e-4be203cff113</x:v>
      </x:c>
      <x:c r="AM45" s="27" t="n">
        <x:v>0.2</x:v>
      </x:c>
    </x:row>
    <x:row r="46" ht="48" hidden="0" customHeight="1">
      <x:c r="A46" s="1"/>
      <x:c r="B46" s="1"/>
      <x:c r="C46" s="1" t="str">
        <x:v>DOT-017</x:v>
      </x:c>
      <x:c r="D46" s="10" t="str">
        <x:v>BPA professional services</x:v>
      </x:c>
      <x:c r="E46" s="10" t="str">
        <x:v>Multi-currency accounts mapping</x:v>
      </x:c>
      <x:c r="F46" s="10" t="str">
        <x:v>professional</x:v>
      </x:c>
      <x:c r="G46" s="10" t="str">
        <x:v>order / engagement</x:v>
      </x:c>
      <x:c r="H46" s="14" t="n">
        <x:v>1500</x:v>
      </x:c>
      <x:c r="I46" s="14" t="n">
        <x:v>6</x:v>
      </x:c>
      <x:c r="J46" s="14" t="n">
        <x:v>9</x:v>
      </x:c>
      <x:c r="K46" s="16" t="n">
        <x:v>0.5</x:v>
      </x:c>
      <x:c r="L46" s="16" t="n">
        <x:v>0.1</x:v>
      </x:c>
      <x:c r="M46" s="16" t="n">
        <x:v>0.03</x:v>
      </x:c>
      <x:c r="N46" s="16" t="n">
        <x:v>0</x:v>
      </x:c>
      <x:c r="O46" s="14" t="n">
        <x:v>1</x:v>
      </x:c>
      <x:c r="P46" s="17" t="n">
        <x:v>6</x:v>
      </x:c>
      <x:c r="Q46" s="14" t="n">
        <x:v>60</x:v>
      </x:c>
      <x:c r="R46" s="14" t="n">
        <x:v>10</x:v>
      </x:c>
      <x:c r="S46" s="16" t="n">
        <x:v>0</x:v>
      </x:c>
      <x:c r="T46" s="16" t="n">
        <x:v>1</x:v>
      </x:c>
      <x:c r="U46" s="16" t="n">
        <x:v>0.03</x:v>
      </x:c>
      <x:c r="V46" s="16" t="n">
        <x:v>0</x:v>
      </x:c>
      <x:c r="W46" s="16" t="n">
        <x:v>0.029</x:v>
      </x:c>
      <x:c r="X46" s="17" t="n">
        <x:v>0.3</x:v>
      </x:c>
      <x:c r="Y46" s="17" t="n">
        <x:v>0.25</x:v>
      </x:c>
      <x:c r="Z46" s="14" t="n">
        <x:v>30</x:v>
      </x:c>
      <x:c r="AA46" s="16" t="n">
        <x:v>0.04</x:v>
      </x:c>
      <x:c r="AB46" s="14" t="n">
        <x:v>6</x:v>
      </x:c>
      <x:c r="AC46" s="14" t="n">
        <x:v>50</x:v>
      </x:c>
      <x:c r="AD46" s="14" t="n">
        <x:v>0</x:v>
      </x:c>
      <x:c r="AE46" s="14" t="n">
        <x:v>0</x:v>
      </x:c>
      <x:c r="AF46" s="14" t="n">
        <x:v>1</x:v>
      </x:c>
      <x:c r="AG46" s="24" t="str">
        <x:v>Low</x:v>
      </x:c>
      <x:c r="AH46" s="24" t="str">
        <x:v>Owner-directed October 6 menu, including prior 20% increase; mandatory LGC pending. Starting fee where qualified; not guaranteed realized fee.</x:v>
      </x:c>
      <x:c r="AI46" s="24" t="str">
        <x:v>Year 1 full-year target 6 order / engagement (0.5/month),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4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46" s="24" t="str">
        <x:v>Hypothetical in-year start after outstanding release, rights, provider or professional gates; no launch approval</x:v>
      </x:c>
      <x:c r="AL46" s="24" t="str">
        <x:v>https://chatgpt.com/c/6ab2166e-1dc4-83ea-8162-96d5755ac0a2
https://chatgpt.com/c/6ab2b83c-303c-83ea-8d5e-4be203cff113</x:v>
      </x:c>
      <x:c r="AM46" s="27" t="n">
        <x:v>0.2</x:v>
      </x:c>
    </x:row>
    <x:row r="47" ht="48" hidden="0" customHeight="1">
      <x:c r="A47" s="1"/>
      <x:c r="B47" s="1"/>
      <x:c r="C47" s="1" t="str">
        <x:v>DOT-018</x:v>
      </x:c>
      <x:c r="D47" s="10" t="str">
        <x:v>BPA professional services</x:v>
      </x:c>
      <x:c r="E47" s="10" t="str">
        <x:v>Cross-border FX reconciliation</x:v>
      </x:c>
      <x:c r="F47" s="10" t="str">
        <x:v>professional</x:v>
      </x:c>
      <x:c r="G47" s="10" t="str">
        <x:v>order / engagement</x:v>
      </x:c>
      <x:c r="H47" s="14" t="n">
        <x:v>1200</x:v>
      </x:c>
      <x:c r="I47" s="14" t="n">
        <x:v>8</x:v>
      </x:c>
      <x:c r="J47" s="14" t="n">
        <x:v>9</x:v>
      </x:c>
      <x:c r="K47" s="16" t="n">
        <x:v>0.5</x:v>
      </x:c>
      <x:c r="L47" s="16" t="n">
        <x:v>0.1</x:v>
      </x:c>
      <x:c r="M47" s="16" t="n">
        <x:v>0.03</x:v>
      </x:c>
      <x:c r="N47" s="16" t="n">
        <x:v>0</x:v>
      </x:c>
      <x:c r="O47" s="14" t="n">
        <x:v>1</x:v>
      </x:c>
      <x:c r="P47" s="17" t="n">
        <x:v>4</x:v>
      </x:c>
      <x:c r="Q47" s="14" t="n">
        <x:v>60</x:v>
      </x:c>
      <x:c r="R47" s="14" t="n">
        <x:v>10</x:v>
      </x:c>
      <x:c r="S47" s="16" t="n">
        <x:v>0</x:v>
      </x:c>
      <x:c r="T47" s="16" t="n">
        <x:v>1</x:v>
      </x:c>
      <x:c r="U47" s="16" t="n">
        <x:v>0.03</x:v>
      </x:c>
      <x:c r="V47" s="16" t="n">
        <x:v>0</x:v>
      </x:c>
      <x:c r="W47" s="16" t="n">
        <x:v>0.029</x:v>
      </x:c>
      <x:c r="X47" s="17" t="n">
        <x:v>0.3</x:v>
      </x:c>
      <x:c r="Y47" s="17" t="n">
        <x:v>0.25</x:v>
      </x:c>
      <x:c r="Z47" s="14" t="n">
        <x:v>30</x:v>
      </x:c>
      <x:c r="AA47" s="16" t="n">
        <x:v>0.04</x:v>
      </x:c>
      <x:c r="AB47" s="14" t="n">
        <x:v>6</x:v>
      </x:c>
      <x:c r="AC47" s="14" t="n">
        <x:v>50</x:v>
      </x:c>
      <x:c r="AD47" s="14" t="n">
        <x:v>0</x:v>
      </x:c>
      <x:c r="AE47" s="14" t="n">
        <x:v>0</x:v>
      </x:c>
      <x:c r="AF47" s="14" t="n">
        <x:v>1</x:v>
      </x:c>
      <x:c r="AG47" s="24" t="str">
        <x:v>Low</x:v>
      </x:c>
      <x:c r="AH47" s="24" t="str">
        <x:v>Owner-directed October 6 menu, including prior 20% increase; mandatory LGC pending. Starting fee where qualified; not guaranteed realized fee.</x:v>
      </x:c>
      <x:c r="AI47" s="24" t="str">
        <x:v>Year 1 full-year target 8 order / engagement (0.7/month),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4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47" s="24" t="str">
        <x:v>Hypothetical in-year start after outstanding release, rights, provider or professional gates; no launch approval</x:v>
      </x:c>
      <x:c r="AL47" s="24" t="str">
        <x:v>https://chatgpt.com/c/6ab2166e-1dc4-83ea-8162-96d5755ac0a2
https://chatgpt.com/c/6ab2b83c-303c-83ea-8d5e-4be203cff113</x:v>
      </x:c>
      <x:c r="AM47" s="27" t="n">
        <x:v>0.2</x:v>
      </x:c>
    </x:row>
    <x:row r="48" ht="48" hidden="0" customHeight="1">
      <x:c r="A48" s="1"/>
      <x:c r="B48" s="1"/>
      <x:c r="C48" s="1" t="str">
        <x:v>DOT-019</x:v>
      </x:c>
      <x:c r="D48" s="10" t="str">
        <x:v>BPA professional services</x:v>
      </x:c>
      <x:c r="E48" s="10" t="str">
        <x:v>Data-room readiness</x:v>
      </x:c>
      <x:c r="F48" s="10" t="str">
        <x:v>professional</x:v>
      </x:c>
      <x:c r="G48" s="10" t="str">
        <x:v>order / engagement</x:v>
      </x:c>
      <x:c r="H48" s="14" t="n">
        <x:v>3000</x:v>
      </x:c>
      <x:c r="I48" s="14" t="n">
        <x:v>4</x:v>
      </x:c>
      <x:c r="J48" s="14" t="n">
        <x:v>9</x:v>
      </x:c>
      <x:c r="K48" s="16" t="n">
        <x:v>0.5</x:v>
      </x:c>
      <x:c r="L48" s="16" t="n">
        <x:v>0.1</x:v>
      </x:c>
      <x:c r="M48" s="16" t="n">
        <x:v>0.03</x:v>
      </x:c>
      <x:c r="N48" s="16" t="n">
        <x:v>0</x:v>
      </x:c>
      <x:c r="O48" s="14" t="n">
        <x:v>1</x:v>
      </x:c>
      <x:c r="P48" s="17" t="n">
        <x:v>12</x:v>
      </x:c>
      <x:c r="Q48" s="14" t="n">
        <x:v>60</x:v>
      </x:c>
      <x:c r="R48" s="14" t="n">
        <x:v>10</x:v>
      </x:c>
      <x:c r="S48" s="16" t="n">
        <x:v>0</x:v>
      </x:c>
      <x:c r="T48" s="16" t="n">
        <x:v>1</x:v>
      </x:c>
      <x:c r="U48" s="16" t="n">
        <x:v>0.03</x:v>
      </x:c>
      <x:c r="V48" s="16" t="n">
        <x:v>0</x:v>
      </x:c>
      <x:c r="W48" s="16" t="n">
        <x:v>0.029</x:v>
      </x:c>
      <x:c r="X48" s="17" t="n">
        <x:v>0.3</x:v>
      </x:c>
      <x:c r="Y48" s="17" t="n">
        <x:v>0.25</x:v>
      </x:c>
      <x:c r="Z48" s="14" t="n">
        <x:v>30</x:v>
      </x:c>
      <x:c r="AA48" s="16" t="n">
        <x:v>0.04</x:v>
      </x:c>
      <x:c r="AB48" s="14" t="n">
        <x:v>6</x:v>
      </x:c>
      <x:c r="AC48" s="14" t="n">
        <x:v>50</x:v>
      </x:c>
      <x:c r="AD48" s="14" t="n">
        <x:v>0</x:v>
      </x:c>
      <x:c r="AE48" s="14" t="n">
        <x:v>0</x:v>
      </x:c>
      <x:c r="AF48" s="14" t="n">
        <x:v>1</x:v>
      </x:c>
      <x:c r="AG48" s="24" t="str">
        <x:v>Low</x:v>
      </x:c>
      <x:c r="AH48" s="24" t="str">
        <x:v>Owner-directed October 6 menu, including prior 20% increase; mandatory LGC pending. Starting fee where qualified; not guaranteed realized fee.</x:v>
      </x:c>
      <x:c r="AI48" s="24" t="str">
        <x:v>Year 1 full-year target 4 order / engagement (0.3/month),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4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48" s="24" t="str">
        <x:v>Hypothetical in-year start after outstanding release, rights, provider or professional gates; no launch approval</x:v>
      </x:c>
      <x:c r="AL48" s="24" t="str">
        <x:v>https://chatgpt.com/c/6ab2166e-1dc4-83ea-8162-96d5755ac0a2
https://chatgpt.com/c/6ab2b83c-303c-83ea-8d5e-4be203cff113</x:v>
      </x:c>
      <x:c r="AM48" s="27" t="n">
        <x:v>0.2</x:v>
      </x:c>
    </x:row>
    <x:row r="49" ht="48" hidden="0" customHeight="1">
      <x:c r="A49" s="1"/>
      <x:c r="B49" s="1"/>
      <x:c r="C49" s="1" t="str">
        <x:v>DOT-020</x:v>
      </x:c>
      <x:c r="D49" s="10" t="str">
        <x:v>BPA professional services</x:v>
      </x:c>
      <x:c r="E49" s="10" t="str">
        <x:v>WISP basic</x:v>
      </x:c>
      <x:c r="F49" s="10" t="str">
        <x:v>professional</x:v>
      </x:c>
      <x:c r="G49" s="10" t="str">
        <x:v>order / engagement</x:v>
      </x:c>
      <x:c r="H49" s="14" t="n">
        <x:v>1800</x:v>
      </x:c>
      <x:c r="I49" s="14" t="n">
        <x:v>6</x:v>
      </x:c>
      <x:c r="J49" s="14" t="n">
        <x:v>9</x:v>
      </x:c>
      <x:c r="K49" s="16" t="n">
        <x:v>0.5</x:v>
      </x:c>
      <x:c r="L49" s="16" t="n">
        <x:v>0.1</x:v>
      </x:c>
      <x:c r="M49" s="16" t="n">
        <x:v>0.03</x:v>
      </x:c>
      <x:c r="N49" s="16" t="n">
        <x:v>0</x:v>
      </x:c>
      <x:c r="O49" s="14" t="n">
        <x:v>1</x:v>
      </x:c>
      <x:c r="P49" s="17" t="n">
        <x:v>6</x:v>
      </x:c>
      <x:c r="Q49" s="14" t="n">
        <x:v>60</x:v>
      </x:c>
      <x:c r="R49" s="14" t="n">
        <x:v>10</x:v>
      </x:c>
      <x:c r="S49" s="16" t="n">
        <x:v>0</x:v>
      </x:c>
      <x:c r="T49" s="16" t="n">
        <x:v>1</x:v>
      </x:c>
      <x:c r="U49" s="16" t="n">
        <x:v>0.03</x:v>
      </x:c>
      <x:c r="V49" s="16" t="n">
        <x:v>0</x:v>
      </x:c>
      <x:c r="W49" s="16" t="n">
        <x:v>0.029</x:v>
      </x:c>
      <x:c r="X49" s="17" t="n">
        <x:v>0.3</x:v>
      </x:c>
      <x:c r="Y49" s="17" t="n">
        <x:v>0.25</x:v>
      </x:c>
      <x:c r="Z49" s="14" t="n">
        <x:v>30</x:v>
      </x:c>
      <x:c r="AA49" s="16" t="n">
        <x:v>0.04</x:v>
      </x:c>
      <x:c r="AB49" s="14" t="n">
        <x:v>6</x:v>
      </x:c>
      <x:c r="AC49" s="14" t="n">
        <x:v>50</x:v>
      </x:c>
      <x:c r="AD49" s="14" t="n">
        <x:v>0</x:v>
      </x:c>
      <x:c r="AE49" s="14" t="n">
        <x:v>0</x:v>
      </x:c>
      <x:c r="AF49" s="14" t="n">
        <x:v>1</x:v>
      </x:c>
      <x:c r="AG49" s="24" t="str">
        <x:v>Low</x:v>
      </x:c>
      <x:c r="AH49" s="24" t="str">
        <x:v>Owner-directed October 6 menu, including prior 20% increase; mandatory LGC pending. Starting fee where qualified; not guaranteed realized fee.</x:v>
      </x:c>
      <x:c r="AI49" s="24" t="str">
        <x:v>Year 1 full-year target 6 order / engagement (0.5/month),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4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49" s="24" t="str">
        <x:v>Hypothetical in-year start after outstanding release, rights, provider or professional gates; no launch approval</x:v>
      </x:c>
      <x:c r="AL49" s="24" t="str">
        <x:v>https://chatgpt.com/c/6ab2166e-1dc4-83ea-8162-96d5755ac0a2
https://chatgpt.com/c/6ab2b83c-303c-83ea-8d5e-4be203cff113</x:v>
      </x:c>
      <x:c r="AM49" s="27" t="n">
        <x:v>0.2</x:v>
      </x:c>
    </x:row>
    <x:row r="50" ht="48" hidden="0" customHeight="1">
      <x:c r="A50" s="1"/>
      <x:c r="B50" s="1"/>
      <x:c r="C50" s="1" t="str">
        <x:v>DOT-021</x:v>
      </x:c>
      <x:c r="D50" s="10" t="str">
        <x:v>BPA professional services</x:v>
      </x:c>
      <x:c r="E50" s="10" t="str">
        <x:v>WISP comprehensive</x:v>
      </x:c>
      <x:c r="F50" s="10" t="str">
        <x:v>professional</x:v>
      </x:c>
      <x:c r="G50" s="10" t="str">
        <x:v>order / engagement</x:v>
      </x:c>
      <x:c r="H50" s="14" t="n">
        <x:v>4200</x:v>
      </x:c>
      <x:c r="I50" s="14" t="n">
        <x:v>4</x:v>
      </x:c>
      <x:c r="J50" s="14" t="n">
        <x:v>9</x:v>
      </x:c>
      <x:c r="K50" s="16" t="n">
        <x:v>0.5</x:v>
      </x:c>
      <x:c r="L50" s="16" t="n">
        <x:v>0.1</x:v>
      </x:c>
      <x:c r="M50" s="16" t="n">
        <x:v>0.03</x:v>
      </x:c>
      <x:c r="N50" s="16" t="n">
        <x:v>0</x:v>
      </x:c>
      <x:c r="O50" s="14" t="n">
        <x:v>1</x:v>
      </x:c>
      <x:c r="P50" s="17" t="n">
        <x:v>12</x:v>
      </x:c>
      <x:c r="Q50" s="14" t="n">
        <x:v>60</x:v>
      </x:c>
      <x:c r="R50" s="14" t="n">
        <x:v>10</x:v>
      </x:c>
      <x:c r="S50" s="16" t="n">
        <x:v>0</x:v>
      </x:c>
      <x:c r="T50" s="16" t="n">
        <x:v>1</x:v>
      </x:c>
      <x:c r="U50" s="16" t="n">
        <x:v>0.03</x:v>
      </x:c>
      <x:c r="V50" s="16" t="n">
        <x:v>0</x:v>
      </x:c>
      <x:c r="W50" s="16" t="n">
        <x:v>0.029</x:v>
      </x:c>
      <x:c r="X50" s="17" t="n">
        <x:v>0.3</x:v>
      </x:c>
      <x:c r="Y50" s="17" t="n">
        <x:v>0.25</x:v>
      </x:c>
      <x:c r="Z50" s="14" t="n">
        <x:v>30</x:v>
      </x:c>
      <x:c r="AA50" s="16" t="n">
        <x:v>0.04</x:v>
      </x:c>
      <x:c r="AB50" s="14" t="n">
        <x:v>6</x:v>
      </x:c>
      <x:c r="AC50" s="14" t="n">
        <x:v>50</x:v>
      </x:c>
      <x:c r="AD50" s="14" t="n">
        <x:v>0</x:v>
      </x:c>
      <x:c r="AE50" s="14" t="n">
        <x:v>0</x:v>
      </x:c>
      <x:c r="AF50" s="14" t="n">
        <x:v>1</x:v>
      </x:c>
      <x:c r="AG50" s="24" t="str">
        <x:v>Low</x:v>
      </x:c>
      <x:c r="AH50" s="24" t="str">
        <x:v>Owner-directed October 6 menu, including prior 20% increase; mandatory LGC pending. Starting fee where qualified; not guaranteed realized fee.</x:v>
      </x:c>
      <x:c r="AI50" s="24" t="str">
        <x:v>Year 1 full-year target 4 order / engagement (0.3/month),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5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50" s="24" t="str">
        <x:v>Hypothetical in-year start after outstanding release, rights, provider or professional gates; no launch approval</x:v>
      </x:c>
      <x:c r="AL50" s="24" t="str">
        <x:v>https://chatgpt.com/c/6ab2166e-1dc4-83ea-8162-96d5755ac0a2
https://chatgpt.com/c/6ab2b83c-303c-83ea-8d5e-4be203cff113</x:v>
      </x:c>
      <x:c r="AM50" s="27" t="n">
        <x:v>0.2</x:v>
      </x:c>
    </x:row>
    <x:row r="51" ht="48" hidden="0" customHeight="1">
      <x:c r="A51" s="1"/>
      <x:c r="B51" s="1"/>
      <x:c r="C51" s="1" t="str">
        <x:v>DOT-022</x:v>
      </x:c>
      <x:c r="D51" s="10" t="str">
        <x:v>BPA professional services</x:v>
      </x:c>
      <x:c r="E51" s="10" t="str">
        <x:v>Individual tax planning</x:v>
      </x:c>
      <x:c r="F51" s="10" t="str">
        <x:v>professional</x:v>
      </x:c>
      <x:c r="G51" s="10" t="str">
        <x:v>order / engagement</x:v>
      </x:c>
      <x:c r="H51" s="14" t="n">
        <x:v>900</x:v>
      </x:c>
      <x:c r="I51" s="14" t="n">
        <x:v>16</x:v>
      </x:c>
      <x:c r="J51" s="14" t="n">
        <x:v>9</x:v>
      </x:c>
      <x:c r="K51" s="16" t="n">
        <x:v>0.5</x:v>
      </x:c>
      <x:c r="L51" s="16" t="n">
        <x:v>0.1</x:v>
      </x:c>
      <x:c r="M51" s="16" t="n">
        <x:v>0.03</x:v>
      </x:c>
      <x:c r="N51" s="16" t="n">
        <x:v>0</x:v>
      </x:c>
      <x:c r="O51" s="14" t="n">
        <x:v>1</x:v>
      </x:c>
      <x:c r="P51" s="17" t="n">
        <x:v>3</x:v>
      </x:c>
      <x:c r="Q51" s="14" t="n">
        <x:v>60</x:v>
      </x:c>
      <x:c r="R51" s="14" t="n">
        <x:v>10</x:v>
      </x:c>
      <x:c r="S51" s="16" t="n">
        <x:v>0</x:v>
      </x:c>
      <x:c r="T51" s="16" t="n">
        <x:v>1</x:v>
      </x:c>
      <x:c r="U51" s="16" t="n">
        <x:v>0.03</x:v>
      </x:c>
      <x:c r="V51" s="16" t="n">
        <x:v>0</x:v>
      </x:c>
      <x:c r="W51" s="16" t="n">
        <x:v>0.029</x:v>
      </x:c>
      <x:c r="X51" s="17" t="n">
        <x:v>0.3</x:v>
      </x:c>
      <x:c r="Y51" s="17" t="n">
        <x:v>0.25</x:v>
      </x:c>
      <x:c r="Z51" s="14" t="n">
        <x:v>30</x:v>
      </x:c>
      <x:c r="AA51" s="16" t="n">
        <x:v>0.04</x:v>
      </x:c>
      <x:c r="AB51" s="14" t="n">
        <x:v>6</x:v>
      </x:c>
      <x:c r="AC51" s="14" t="n">
        <x:v>50</x:v>
      </x:c>
      <x:c r="AD51" s="14" t="n">
        <x:v>0</x:v>
      </x:c>
      <x:c r="AE51" s="14" t="n">
        <x:v>0</x:v>
      </x:c>
      <x:c r="AF51" s="14" t="n">
        <x:v>1</x:v>
      </x:c>
      <x:c r="AG51" s="24" t="str">
        <x:v>Low</x:v>
      </x:c>
      <x:c r="AH51" s="24" t="str">
        <x:v>Owner-directed October 6 menu, including prior 20% increase; mandatory LGC pending. Starting fee where qualified; not guaranteed realized fee.</x:v>
      </x:c>
      <x:c r="AI51" s="24" t="str">
        <x:v>Year 1 full-year target 16 order / engagement (1.3/month),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5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51" s="24" t="str">
        <x:v>Hypothetical in-year start after outstanding release, rights, provider or professional gates; no launch approval</x:v>
      </x:c>
      <x:c r="AL51" s="24" t="str">
        <x:v>https://chatgpt.com/c/6ab2166e-1dc4-83ea-8162-96d5755ac0a2
https://chatgpt.com/c/6ab2b83c-303c-83ea-8d5e-4be203cff113</x:v>
      </x:c>
      <x:c r="AM51" s="27" t="n">
        <x:v>0.2</x:v>
      </x:c>
    </x:row>
    <x:row r="52" ht="48" hidden="0" customHeight="1">
      <x:c r="A52" s="1"/>
      <x:c r="B52" s="1"/>
      <x:c r="C52" s="1" t="str">
        <x:v>DOT-023</x:v>
      </x:c>
      <x:c r="D52" s="10" t="str">
        <x:v>BPA professional services</x:v>
      </x:c>
      <x:c r="E52" s="10" t="str">
        <x:v>Business tax planning</x:v>
      </x:c>
      <x:c r="F52" s="10" t="str">
        <x:v>professional</x:v>
      </x:c>
      <x:c r="G52" s="10" t="str">
        <x:v>order / engagement</x:v>
      </x:c>
      <x:c r="H52" s="14" t="n">
        <x:v>1800</x:v>
      </x:c>
      <x:c r="I52" s="14" t="n">
        <x:v>10</x:v>
      </x:c>
      <x:c r="J52" s="14" t="n">
        <x:v>9</x:v>
      </x:c>
      <x:c r="K52" s="16" t="n">
        <x:v>0.5</x:v>
      </x:c>
      <x:c r="L52" s="16" t="n">
        <x:v>0.1</x:v>
      </x:c>
      <x:c r="M52" s="16" t="n">
        <x:v>0.03</x:v>
      </x:c>
      <x:c r="N52" s="16" t="n">
        <x:v>0</x:v>
      </x:c>
      <x:c r="O52" s="14" t="n">
        <x:v>1</x:v>
      </x:c>
      <x:c r="P52" s="17" t="n">
        <x:v>6</x:v>
      </x:c>
      <x:c r="Q52" s="14" t="n">
        <x:v>60</x:v>
      </x:c>
      <x:c r="R52" s="14" t="n">
        <x:v>10</x:v>
      </x:c>
      <x:c r="S52" s="16" t="n">
        <x:v>0</x:v>
      </x:c>
      <x:c r="T52" s="16" t="n">
        <x:v>1</x:v>
      </x:c>
      <x:c r="U52" s="16" t="n">
        <x:v>0.03</x:v>
      </x:c>
      <x:c r="V52" s="16" t="n">
        <x:v>0</x:v>
      </x:c>
      <x:c r="W52" s="16" t="n">
        <x:v>0.029</x:v>
      </x:c>
      <x:c r="X52" s="17" t="n">
        <x:v>0.3</x:v>
      </x:c>
      <x:c r="Y52" s="17" t="n">
        <x:v>0.25</x:v>
      </x:c>
      <x:c r="Z52" s="14" t="n">
        <x:v>30</x:v>
      </x:c>
      <x:c r="AA52" s="16" t="n">
        <x:v>0.04</x:v>
      </x:c>
      <x:c r="AB52" s="14" t="n">
        <x:v>6</x:v>
      </x:c>
      <x:c r="AC52" s="14" t="n">
        <x:v>50</x:v>
      </x:c>
      <x:c r="AD52" s="14" t="n">
        <x:v>0</x:v>
      </x:c>
      <x:c r="AE52" s="14" t="n">
        <x:v>0</x:v>
      </x:c>
      <x:c r="AF52" s="14" t="n">
        <x:v>1</x:v>
      </x:c>
      <x:c r="AG52" s="24" t="str">
        <x:v>Low</x:v>
      </x:c>
      <x:c r="AH52" s="24" t="str">
        <x:v>Owner-directed October 6 menu, including prior 20% increase; mandatory LGC pending. Starting fee where qualified; not guaranteed realized fee.</x:v>
      </x:c>
      <x:c r="AI52" s="24" t="str">
        <x:v>Year 1 full-year target 10 order / engagement (0.8/month),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5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52" s="24" t="str">
        <x:v>Hypothetical in-year start after outstanding release, rights, provider or professional gates; no launch approval</x:v>
      </x:c>
      <x:c r="AL52" s="24" t="str">
        <x:v>https://chatgpt.com/c/6ab2166e-1dc4-83ea-8162-96d5755ac0a2
https://chatgpt.com/c/6ab2b83c-303c-83ea-8d5e-4be203cff113</x:v>
      </x:c>
      <x:c r="AM52" s="27" t="n">
        <x:v>0.2</x:v>
      </x:c>
    </x:row>
    <x:row r="53" ht="48" hidden="0" customHeight="1">
      <x:c r="A53" s="1"/>
      <x:c r="B53" s="1"/>
      <x:c r="C53" s="1" t="str">
        <x:v>DOT-024</x:v>
      </x:c>
      <x:c r="D53" s="10" t="str">
        <x:v>BPA professional services</x:v>
      </x:c>
      <x:c r="E53" s="10" t="str">
        <x:v>Form 1040 basic</x:v>
      </x:c>
      <x:c r="F53" s="10" t="str">
        <x:v>professional</x:v>
      </x:c>
      <x:c r="G53" s="10" t="str">
        <x:v>order / engagement</x:v>
      </x:c>
      <x:c r="H53" s="14" t="n">
        <x:v>540</x:v>
      </x:c>
      <x:c r="I53" s="14" t="n">
        <x:v>50</x:v>
      </x:c>
      <x:c r="J53" s="14" t="n">
        <x:v>6</x:v>
      </x:c>
      <x:c r="K53" s="16" t="n">
        <x:v>0.5</x:v>
      </x:c>
      <x:c r="L53" s="16" t="n">
        <x:v>0.1</x:v>
      </x:c>
      <x:c r="M53" s="16" t="n">
        <x:v>0.03</x:v>
      </x:c>
      <x:c r="N53" s="16" t="n">
        <x:v>0</x:v>
      </x:c>
      <x:c r="O53" s="14" t="n">
        <x:v>1</x:v>
      </x:c>
      <x:c r="P53" s="17" t="n">
        <x:v>2</x:v>
      </x:c>
      <x:c r="Q53" s="14" t="n">
        <x:v>60</x:v>
      </x:c>
      <x:c r="R53" s="14" t="n">
        <x:v>10</x:v>
      </x:c>
      <x:c r="S53" s="16" t="n">
        <x:v>0</x:v>
      </x:c>
      <x:c r="T53" s="16" t="n">
        <x:v>1</x:v>
      </x:c>
      <x:c r="U53" s="16" t="n">
        <x:v>0.03</x:v>
      </x:c>
      <x:c r="V53" s="16" t="n">
        <x:v>0</x:v>
      </x:c>
      <x:c r="W53" s="16" t="n">
        <x:v>0.029</x:v>
      </x:c>
      <x:c r="X53" s="17" t="n">
        <x:v>0.3</x:v>
      </x:c>
      <x:c r="Y53" s="17" t="n">
        <x:v>0.25</x:v>
      </x:c>
      <x:c r="Z53" s="14" t="n">
        <x:v>30</x:v>
      </x:c>
      <x:c r="AA53" s="16" t="n">
        <x:v>0.04</x:v>
      </x:c>
      <x:c r="AB53" s="14" t="n">
        <x:v>6</x:v>
      </x:c>
      <x:c r="AC53" s="14" t="n">
        <x:v>50</x:v>
      </x:c>
      <x:c r="AD53" s="14" t="n">
        <x:v>0</x:v>
      </x:c>
      <x:c r="AE53" s="14" t="n">
        <x:v>0</x:v>
      </x:c>
      <x:c r="AF53" s="14" t="n">
        <x:v>1</x:v>
      </x:c>
      <x:c r="AG53" s="24" t="str">
        <x:v>Low</x:v>
      </x:c>
      <x:c r="AH53" s="24" t="str">
        <x:v>Owner-directed October 6 menu, including prior 20% increase; mandatory LGC pending. Starting fee where qualified; not guaranteed realized fee.</x:v>
      </x:c>
      <x:c r="AI53" s="24" t="str">
        <x:v>Year 1 full-year target 50 order / engagement (4.2/month),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5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53" s="24" t="str">
        <x:v>Hypothetical in-year start after outstanding release, rights, provider or professional gates; no launch approval</x:v>
      </x:c>
      <x:c r="AL53" s="24" t="str">
        <x:v>https://chatgpt.com/c/6ab2166e-1dc4-83ea-8162-96d5755ac0a2
https://chatgpt.com/c/6ab2b83c-303c-83ea-8d5e-4be203cff113</x:v>
      </x:c>
      <x:c r="AM53" s="27" t="n">
        <x:v>0.2</x:v>
      </x:c>
    </x:row>
    <x:row r="54" ht="48" hidden="0" customHeight="1">
      <x:c r="A54" s="1"/>
      <x:c r="B54" s="1"/>
      <x:c r="C54" s="1" t="str">
        <x:v>DOT-025</x:v>
      </x:c>
      <x:c r="D54" s="10" t="str">
        <x:v>BPA professional services</x:v>
      </x:c>
      <x:c r="E54" s="10" t="str">
        <x:v>Form 1040 complex</x:v>
      </x:c>
      <x:c r="F54" s="10" t="str">
        <x:v>professional</x:v>
      </x:c>
      <x:c r="G54" s="10" t="str">
        <x:v>order / engagement</x:v>
      </x:c>
      <x:c r="H54" s="14" t="n">
        <x:v>1020</x:v>
      </x:c>
      <x:c r="I54" s="14" t="n">
        <x:v>20</x:v>
      </x:c>
      <x:c r="J54" s="14" t="n">
        <x:v>6</x:v>
      </x:c>
      <x:c r="K54" s="16" t="n">
        <x:v>0.5</x:v>
      </x:c>
      <x:c r="L54" s="16" t="n">
        <x:v>0.1</x:v>
      </x:c>
      <x:c r="M54" s="16" t="n">
        <x:v>0.03</x:v>
      </x:c>
      <x:c r="N54" s="16" t="n">
        <x:v>0</x:v>
      </x:c>
      <x:c r="O54" s="14" t="n">
        <x:v>1</x:v>
      </x:c>
      <x:c r="P54" s="17" t="n">
        <x:v>5</x:v>
      </x:c>
      <x:c r="Q54" s="14" t="n">
        <x:v>60</x:v>
      </x:c>
      <x:c r="R54" s="14" t="n">
        <x:v>10</x:v>
      </x:c>
      <x:c r="S54" s="16" t="n">
        <x:v>0</x:v>
      </x:c>
      <x:c r="T54" s="16" t="n">
        <x:v>1</x:v>
      </x:c>
      <x:c r="U54" s="16" t="n">
        <x:v>0.03</x:v>
      </x:c>
      <x:c r="V54" s="16" t="n">
        <x:v>0</x:v>
      </x:c>
      <x:c r="W54" s="16" t="n">
        <x:v>0.029</x:v>
      </x:c>
      <x:c r="X54" s="17" t="n">
        <x:v>0.3</x:v>
      </x:c>
      <x:c r="Y54" s="17" t="n">
        <x:v>0.25</x:v>
      </x:c>
      <x:c r="Z54" s="14" t="n">
        <x:v>30</x:v>
      </x:c>
      <x:c r="AA54" s="16" t="n">
        <x:v>0.04</x:v>
      </x:c>
      <x:c r="AB54" s="14" t="n">
        <x:v>6</x:v>
      </x:c>
      <x:c r="AC54" s="14" t="n">
        <x:v>50</x:v>
      </x:c>
      <x:c r="AD54" s="14" t="n">
        <x:v>0</x:v>
      </x:c>
      <x:c r="AE54" s="14" t="n">
        <x:v>0</x:v>
      </x:c>
      <x:c r="AF54" s="14" t="n">
        <x:v>1</x:v>
      </x:c>
      <x:c r="AG54" s="24" t="str">
        <x:v>Low</x:v>
      </x:c>
      <x:c r="AH54" s="24" t="str">
        <x:v>Owner-directed October 6 menu, including prior 20% increase; mandatory LGC pending. Starting fee where qualified; not guaranteed realized fee.</x:v>
      </x:c>
      <x:c r="AI54" s="24" t="str">
        <x:v>Year 1 full-year target 20 order / engagement (1.7/month),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5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54" s="24" t="str">
        <x:v>Hypothetical in-year start after outstanding release, rights, provider or professional gates; no launch approval</x:v>
      </x:c>
      <x:c r="AL54" s="24" t="str">
        <x:v>https://chatgpt.com/c/6ab2166e-1dc4-83ea-8162-96d5755ac0a2
https://chatgpt.com/c/6ab2b83c-303c-83ea-8d5e-4be203cff113</x:v>
      </x:c>
      <x:c r="AM54" s="27" t="n">
        <x:v>0.2</x:v>
      </x:c>
    </x:row>
    <x:row r="55" ht="48" hidden="0" customHeight="1">
      <x:c r="A55" s="1"/>
      <x:c r="B55" s="1"/>
      <x:c r="C55" s="1" t="str">
        <x:v>DOT-026</x:v>
      </x:c>
      <x:c r="D55" s="10" t="str">
        <x:v>BPA professional services</x:v>
      </x:c>
      <x:c r="E55" s="10" t="str">
        <x:v>Form 1065</x:v>
      </x:c>
      <x:c r="F55" s="10" t="str">
        <x:v>professional</x:v>
      </x:c>
      <x:c r="G55" s="10" t="str">
        <x:v>order / engagement</x:v>
      </x:c>
      <x:c r="H55" s="14" t="n">
        <x:v>1800</x:v>
      </x:c>
      <x:c r="I55" s="14" t="n">
        <x:v>8</x:v>
      </x:c>
      <x:c r="J55" s="14" t="n">
        <x:v>6</x:v>
      </x:c>
      <x:c r="K55" s="16" t="n">
        <x:v>0.5</x:v>
      </x:c>
      <x:c r="L55" s="16" t="n">
        <x:v>0.1</x:v>
      </x:c>
      <x:c r="M55" s="16" t="n">
        <x:v>0.03</x:v>
      </x:c>
      <x:c r="N55" s="16" t="n">
        <x:v>0</x:v>
      </x:c>
      <x:c r="O55" s="14" t="n">
        <x:v>1</x:v>
      </x:c>
      <x:c r="P55" s="17" t="n">
        <x:v>10</x:v>
      </x:c>
      <x:c r="Q55" s="14" t="n">
        <x:v>60</x:v>
      </x:c>
      <x:c r="R55" s="14" t="n">
        <x:v>10</x:v>
      </x:c>
      <x:c r="S55" s="16" t="n">
        <x:v>0</x:v>
      </x:c>
      <x:c r="T55" s="16" t="n">
        <x:v>1</x:v>
      </x:c>
      <x:c r="U55" s="16" t="n">
        <x:v>0.03</x:v>
      </x:c>
      <x:c r="V55" s="16" t="n">
        <x:v>0</x:v>
      </x:c>
      <x:c r="W55" s="16" t="n">
        <x:v>0.029</x:v>
      </x:c>
      <x:c r="X55" s="17" t="n">
        <x:v>0.3</x:v>
      </x:c>
      <x:c r="Y55" s="17" t="n">
        <x:v>0.25</x:v>
      </x:c>
      <x:c r="Z55" s="14" t="n">
        <x:v>30</x:v>
      </x:c>
      <x:c r="AA55" s="16" t="n">
        <x:v>0.04</x:v>
      </x:c>
      <x:c r="AB55" s="14" t="n">
        <x:v>6</x:v>
      </x:c>
      <x:c r="AC55" s="14" t="n">
        <x:v>50</x:v>
      </x:c>
      <x:c r="AD55" s="14" t="n">
        <x:v>0</x:v>
      </x:c>
      <x:c r="AE55" s="14" t="n">
        <x:v>0</x:v>
      </x:c>
      <x:c r="AF55" s="14" t="n">
        <x:v>1</x:v>
      </x:c>
      <x:c r="AG55" s="24" t="str">
        <x:v>Low</x:v>
      </x:c>
      <x:c r="AH55" s="24" t="str">
        <x:v>Owner-directed October 6 menu, including prior 20% increase; mandatory LGC pending. Starting fee where qualified; not guaranteed realized fee.</x:v>
      </x:c>
      <x:c r="AI55" s="24" t="str">
        <x:v>Year 1 full-year target 8 order / engagement (0.7/month),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5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55" s="24" t="str">
        <x:v>Hypothetical in-year start after outstanding release, rights, provider or professional gates; no launch approval</x:v>
      </x:c>
      <x:c r="AL55" s="24" t="str">
        <x:v>https://chatgpt.com/c/6ab2166e-1dc4-83ea-8162-96d5755ac0a2
https://chatgpt.com/c/6ab2b83c-303c-83ea-8d5e-4be203cff113</x:v>
      </x:c>
      <x:c r="AM55" s="27" t="n">
        <x:v>0.2</x:v>
      </x:c>
    </x:row>
    <x:row r="56" ht="48" hidden="0" customHeight="1">
      <x:c r="A56" s="1"/>
      <x:c r="B56" s="1"/>
      <x:c r="C56" s="1" t="str">
        <x:v>DOT-027</x:v>
      </x:c>
      <x:c r="D56" s="10" t="str">
        <x:v>BPA professional services</x:v>
      </x:c>
      <x:c r="E56" s="10" t="str">
        <x:v>Form 1120-S</x:v>
      </x:c>
      <x:c r="F56" s="10" t="str">
        <x:v>professional</x:v>
      </x:c>
      <x:c r="G56" s="10" t="str">
        <x:v>order / engagement</x:v>
      </x:c>
      <x:c r="H56" s="14" t="n">
        <x:v>1800</x:v>
      </x:c>
      <x:c r="I56" s="14" t="n">
        <x:v>8</x:v>
      </x:c>
      <x:c r="J56" s="14" t="n">
        <x:v>6</x:v>
      </x:c>
      <x:c r="K56" s="16" t="n">
        <x:v>0.5</x:v>
      </x:c>
      <x:c r="L56" s="16" t="n">
        <x:v>0.1</x:v>
      </x:c>
      <x:c r="M56" s="16" t="n">
        <x:v>0.03</x:v>
      </x:c>
      <x:c r="N56" s="16" t="n">
        <x:v>0</x:v>
      </x:c>
      <x:c r="O56" s="14" t="n">
        <x:v>1</x:v>
      </x:c>
      <x:c r="P56" s="17" t="n">
        <x:v>10</x:v>
      </x:c>
      <x:c r="Q56" s="14" t="n">
        <x:v>60</x:v>
      </x:c>
      <x:c r="R56" s="14" t="n">
        <x:v>10</x:v>
      </x:c>
      <x:c r="S56" s="16" t="n">
        <x:v>0</x:v>
      </x:c>
      <x:c r="T56" s="16" t="n">
        <x:v>1</x:v>
      </x:c>
      <x:c r="U56" s="16" t="n">
        <x:v>0.03</x:v>
      </x:c>
      <x:c r="V56" s="16" t="n">
        <x:v>0</x:v>
      </x:c>
      <x:c r="W56" s="16" t="n">
        <x:v>0.029</x:v>
      </x:c>
      <x:c r="X56" s="17" t="n">
        <x:v>0.3</x:v>
      </x:c>
      <x:c r="Y56" s="17" t="n">
        <x:v>0.25</x:v>
      </x:c>
      <x:c r="Z56" s="14" t="n">
        <x:v>30</x:v>
      </x:c>
      <x:c r="AA56" s="16" t="n">
        <x:v>0.04</x:v>
      </x:c>
      <x:c r="AB56" s="14" t="n">
        <x:v>6</x:v>
      </x:c>
      <x:c r="AC56" s="14" t="n">
        <x:v>50</x:v>
      </x:c>
      <x:c r="AD56" s="14" t="n">
        <x:v>0</x:v>
      </x:c>
      <x:c r="AE56" s="14" t="n">
        <x:v>0</x:v>
      </x:c>
      <x:c r="AF56" s="14" t="n">
        <x:v>1</x:v>
      </x:c>
      <x:c r="AG56" s="24" t="str">
        <x:v>Low</x:v>
      </x:c>
      <x:c r="AH56" s="24" t="str">
        <x:v>Owner-directed October 6 menu, including prior 20% increase; mandatory LGC pending. Starting fee where qualified; not guaranteed realized fee.</x:v>
      </x:c>
      <x:c r="AI56" s="24" t="str">
        <x:v>Year 1 full-year target 8 order / engagement (0.7/month),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5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56" s="24" t="str">
        <x:v>Hypothetical in-year start after outstanding release, rights, provider or professional gates; no launch approval</x:v>
      </x:c>
      <x:c r="AL56" s="24" t="str">
        <x:v>https://chatgpt.com/c/6ab2166e-1dc4-83ea-8162-96d5755ac0a2
https://chatgpt.com/c/6ab2b83c-303c-83ea-8d5e-4be203cff113</x:v>
      </x:c>
      <x:c r="AM56" s="27" t="n">
        <x:v>0.2</x:v>
      </x:c>
    </x:row>
    <x:row r="57" ht="48" hidden="0" customHeight="1">
      <x:c r="A57" s="1"/>
      <x:c r="B57" s="1"/>
      <x:c r="C57" s="1" t="str">
        <x:v>DOT-028</x:v>
      </x:c>
      <x:c r="D57" s="10" t="str">
        <x:v>BPA professional services</x:v>
      </x:c>
      <x:c r="E57" s="10" t="str">
        <x:v>Form 1120</x:v>
      </x:c>
      <x:c r="F57" s="10" t="str">
        <x:v>professional</x:v>
      </x:c>
      <x:c r="G57" s="10" t="str">
        <x:v>order / engagement</x:v>
      </x:c>
      <x:c r="H57" s="14" t="n">
        <x:v>1800</x:v>
      </x:c>
      <x:c r="I57" s="14" t="n">
        <x:v>4</x:v>
      </x:c>
      <x:c r="J57" s="14" t="n">
        <x:v>6</x:v>
      </x:c>
      <x:c r="K57" s="16" t="n">
        <x:v>0.5</x:v>
      </x:c>
      <x:c r="L57" s="16" t="n">
        <x:v>0.1</x:v>
      </x:c>
      <x:c r="M57" s="16" t="n">
        <x:v>0.03</x:v>
      </x:c>
      <x:c r="N57" s="16" t="n">
        <x:v>0</x:v>
      </x:c>
      <x:c r="O57" s="14" t="n">
        <x:v>1</x:v>
      </x:c>
      <x:c r="P57" s="17" t="n">
        <x:v>12</x:v>
      </x:c>
      <x:c r="Q57" s="14" t="n">
        <x:v>60</x:v>
      </x:c>
      <x:c r="R57" s="14" t="n">
        <x:v>10</x:v>
      </x:c>
      <x:c r="S57" s="16" t="n">
        <x:v>0</x:v>
      </x:c>
      <x:c r="T57" s="16" t="n">
        <x:v>1</x:v>
      </x:c>
      <x:c r="U57" s="16" t="n">
        <x:v>0.03</x:v>
      </x:c>
      <x:c r="V57" s="16" t="n">
        <x:v>0</x:v>
      </x:c>
      <x:c r="W57" s="16" t="n">
        <x:v>0.029</x:v>
      </x:c>
      <x:c r="X57" s="17" t="n">
        <x:v>0.3</x:v>
      </x:c>
      <x:c r="Y57" s="17" t="n">
        <x:v>0.25</x:v>
      </x:c>
      <x:c r="Z57" s="14" t="n">
        <x:v>30</x:v>
      </x:c>
      <x:c r="AA57" s="16" t="n">
        <x:v>0.04</x:v>
      </x:c>
      <x:c r="AB57" s="14" t="n">
        <x:v>6</x:v>
      </x:c>
      <x:c r="AC57" s="14" t="n">
        <x:v>50</x:v>
      </x:c>
      <x:c r="AD57" s="14" t="n">
        <x:v>0</x:v>
      </x:c>
      <x:c r="AE57" s="14" t="n">
        <x:v>0</x:v>
      </x:c>
      <x:c r="AF57" s="14" t="n">
        <x:v>1</x:v>
      </x:c>
      <x:c r="AG57" s="24" t="str">
        <x:v>Low</x:v>
      </x:c>
      <x:c r="AH57" s="24" t="str">
        <x:v>Owner-directed October 6 menu, including prior 20% increase; mandatory LGC pending. Starting fee where qualified; not guaranteed realized fee.</x:v>
      </x:c>
      <x:c r="AI57" s="24" t="str">
        <x:v>Year 1 full-year target 4 order / engagement (0.3/month),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5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57" s="24" t="str">
        <x:v>Hypothetical in-year start after outstanding release, rights, provider or professional gates; no launch approval</x:v>
      </x:c>
      <x:c r="AL57" s="24" t="str">
        <x:v>https://chatgpt.com/c/6ab2166e-1dc4-83ea-8162-96d5755ac0a2
https://chatgpt.com/c/6ab2b83c-303c-83ea-8d5e-4be203cff113</x:v>
      </x:c>
      <x:c r="AM57" s="27" t="n">
        <x:v>0.2</x:v>
      </x:c>
    </x:row>
    <x:row r="58" ht="48" hidden="0" customHeight="1">
      <x:c r="A58" s="1"/>
      <x:c r="B58" s="1"/>
      <x:c r="C58" s="1" t="str">
        <x:v>DOT-029</x:v>
      </x:c>
      <x:c r="D58" s="10" t="str">
        <x:v>BPA professional services</x:v>
      </x:c>
      <x:c r="E58" s="10" t="str">
        <x:v>State return add-on</x:v>
      </x:c>
      <x:c r="F58" s="10" t="str">
        <x:v>professional</x:v>
      </x:c>
      <x:c r="G58" s="10" t="str">
        <x:v>order / engagement</x:v>
      </x:c>
      <x:c r="H58" s="14" t="n">
        <x:v>180</x:v>
      </x:c>
      <x:c r="I58" s="14" t="n">
        <x:v>40</x:v>
      </x:c>
      <x:c r="J58" s="14" t="n">
        <x:v>6</x:v>
      </x:c>
      <x:c r="K58" s="16" t="n">
        <x:v>0.5</x:v>
      </x:c>
      <x:c r="L58" s="16" t="n">
        <x:v>0.1</x:v>
      </x:c>
      <x:c r="M58" s="16" t="n">
        <x:v>0.03</x:v>
      </x:c>
      <x:c r="N58" s="16" t="n">
        <x:v>0</x:v>
      </x:c>
      <x:c r="O58" s="14" t="n">
        <x:v>1</x:v>
      </x:c>
      <x:c r="P58" s="17" t="n">
        <x:v>1</x:v>
      </x:c>
      <x:c r="Q58" s="14" t="n">
        <x:v>60</x:v>
      </x:c>
      <x:c r="R58" s="14" t="n">
        <x:v>10</x:v>
      </x:c>
      <x:c r="S58" s="16" t="n">
        <x:v>0</x:v>
      </x:c>
      <x:c r="T58" s="16" t="n">
        <x:v>1</x:v>
      </x:c>
      <x:c r="U58" s="16" t="n">
        <x:v>0.03</x:v>
      </x:c>
      <x:c r="V58" s="16" t="n">
        <x:v>0</x:v>
      </x:c>
      <x:c r="W58" s="16" t="n">
        <x:v>0.029</x:v>
      </x:c>
      <x:c r="X58" s="17" t="n">
        <x:v>0.3</x:v>
      </x:c>
      <x:c r="Y58" s="17" t="n">
        <x:v>0.25</x:v>
      </x:c>
      <x:c r="Z58" s="14" t="n">
        <x:v>30</x:v>
      </x:c>
      <x:c r="AA58" s="16" t="n">
        <x:v>0.04</x:v>
      </x:c>
      <x:c r="AB58" s="14" t="n">
        <x:v>6</x:v>
      </x:c>
      <x:c r="AC58" s="14" t="n">
        <x:v>50</x:v>
      </x:c>
      <x:c r="AD58" s="14" t="n">
        <x:v>0</x:v>
      </x:c>
      <x:c r="AE58" s="14" t="n">
        <x:v>0</x:v>
      </x:c>
      <x:c r="AF58" s="14" t="n">
        <x:v>1</x:v>
      </x:c>
      <x:c r="AG58" s="24" t="str">
        <x:v>Low</x:v>
      </x:c>
      <x:c r="AH58" s="24" t="str">
        <x:v>Owner-directed October 6 menu, including prior 20% increase; mandatory LGC pending. Starting fee where qualified; not guaranteed realized fee.</x:v>
      </x:c>
      <x:c r="AI58" s="24" t="str">
        <x:v>Year 1 full-year target 40 order / engagement (3.3/month),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5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58" s="24" t="str">
        <x:v>Hypothetical in-year start after outstanding release, rights, provider or professional gates; no launch approval</x:v>
      </x:c>
      <x:c r="AL58" s="24" t="str">
        <x:v>https://chatgpt.com/c/6ab2166e-1dc4-83ea-8162-96d5755ac0a2
https://chatgpt.com/c/6ab2b83c-303c-83ea-8d5e-4be203cff113</x:v>
      </x:c>
      <x:c r="AM58" s="27" t="n">
        <x:v>0.2</x:v>
      </x:c>
    </x:row>
    <x:row r="59" ht="48" hidden="0" customHeight="1">
      <x:c r="A59" s="1"/>
      <x:c r="B59" s="1"/>
      <x:c r="C59" s="1" t="str">
        <x:v>DOT-030</x:v>
      </x:c>
      <x:c r="D59" s="10" t="str">
        <x:v>BPA professional services</x:v>
      </x:c>
      <x:c r="E59" s="10" t="str">
        <x:v>Amended return</x:v>
      </x:c>
      <x:c r="F59" s="10" t="str">
        <x:v>professional</x:v>
      </x:c>
      <x:c r="G59" s="10" t="str">
        <x:v>order / engagement</x:v>
      </x:c>
      <x:c r="H59" s="14" t="n">
        <x:v>500</x:v>
      </x:c>
      <x:c r="I59" s="14" t="n">
        <x:v>8</x:v>
      </x:c>
      <x:c r="J59" s="14" t="n">
        <x:v>6</x:v>
      </x:c>
      <x:c r="K59" s="16" t="n">
        <x:v>0.5</x:v>
      </x:c>
      <x:c r="L59" s="16" t="n">
        <x:v>0.1</x:v>
      </x:c>
      <x:c r="M59" s="16" t="n">
        <x:v>0.03</x:v>
      </x:c>
      <x:c r="N59" s="16" t="n">
        <x:v>0.02</x:v>
      </x:c>
      <x:c r="O59" s="14" t="n">
        <x:v>0</x:v>
      </x:c>
      <x:c r="P59" s="17" t="n">
        <x:v>3</x:v>
      </x:c>
      <x:c r="Q59" s="14" t="n">
        <x:v>60</x:v>
      </x:c>
      <x:c r="R59" s="14" t="n">
        <x:v>10</x:v>
      </x:c>
      <x:c r="S59" s="16" t="n">
        <x:v>0</x:v>
      </x:c>
      <x:c r="T59" s="16" t="n">
        <x:v>1</x:v>
      </x:c>
      <x:c r="U59" s="16" t="n">
        <x:v>0.03</x:v>
      </x:c>
      <x:c r="V59" s="16" t="n">
        <x:v>0</x:v>
      </x:c>
      <x:c r="W59" s="16" t="n">
        <x:v>0.029</x:v>
      </x:c>
      <x:c r="X59" s="17" t="n">
        <x:v>0.3</x:v>
      </x:c>
      <x:c r="Y59" s="17" t="n">
        <x:v>0.25</x:v>
      </x:c>
      <x:c r="Z59" s="14" t="n">
        <x:v>30</x:v>
      </x:c>
      <x:c r="AA59" s="16" t="n">
        <x:v>0.04</x:v>
      </x:c>
      <x:c r="AB59" s="14" t="n">
        <x:v>6</x:v>
      </x:c>
      <x:c r="AC59" s="14" t="n">
        <x:v>50</x:v>
      </x:c>
      <x:c r="AD59" s="14" t="n">
        <x:v>0</x:v>
      </x:c>
      <x:c r="AE59" s="14" t="n">
        <x:v>0</x:v>
      </x:c>
      <x:c r="AF59" s="14" t="n">
        <x:v>1</x:v>
      </x:c>
      <x:c r="AG59" s="24" t="str">
        <x:v>Low</x:v>
      </x:c>
      <x:c r="AH59" s="24" t="str">
        <x:v>Dot judgment; exact quote and professional scope required</x:v>
      </x:c>
      <x:c r="AI59" s="24" t="str">
        <x:v>Year 1 full-year target 8 order / engagement (0.7/month),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5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59" s="24" t="str">
        <x:v>Hypothetical in-year start after outstanding release, rights, provider or professional gates; no launch approval</x:v>
      </x:c>
      <x:c r="AL59" s="24" t="str">
        <x:v>https://chatgpt.com/c/6ab2166e-1dc4-83ea-8162-96d5755ac0a2
https://chatgpt.com/c/6ab2b83c-303c-83ea-8d5e-4be203cff113</x:v>
      </x:c>
      <x:c r="AM59" s="27" t="n">
        <x:v>0.2</x:v>
      </x:c>
    </x:row>
    <x:row r="60" ht="48" hidden="0" customHeight="1">
      <x:c r="A60" s="1"/>
      <x:c r="B60" s="1"/>
      <x:c r="C60" s="1" t="str">
        <x:v>DOT-031</x:v>
      </x:c>
      <x:c r="D60" s="10" t="str">
        <x:v>BPA professional services</x:v>
      </x:c>
      <x:c r="E60" s="10" t="str">
        <x:v>Internal audit, SOX, IT and AI governance</x:v>
      </x:c>
      <x:c r="F60" s="10" t="str">
        <x:v>professional</x:v>
      </x:c>
      <x:c r="G60" s="10" t="str">
        <x:v>order / engagement</x:v>
      </x:c>
      <x:c r="H60" s="14" t="n">
        <x:v>5000</x:v>
      </x:c>
      <x:c r="I60" s="14" t="n">
        <x:v>4</x:v>
      </x:c>
      <x:c r="J60" s="14" t="n">
        <x:v>9</x:v>
      </x:c>
      <x:c r="K60" s="16" t="n">
        <x:v>0.5</x:v>
      </x:c>
      <x:c r="L60" s="16" t="n">
        <x:v>0.1</x:v>
      </x:c>
      <x:c r="M60" s="16" t="n">
        <x:v>0.03</x:v>
      </x:c>
      <x:c r="N60" s="16" t="n">
        <x:v>0.02</x:v>
      </x:c>
      <x:c r="O60" s="14" t="n">
        <x:v>0</x:v>
      </x:c>
      <x:c r="P60" s="17" t="n">
        <x:v>40</x:v>
      </x:c>
      <x:c r="Q60" s="14" t="n">
        <x:v>60</x:v>
      </x:c>
      <x:c r="R60" s="14" t="n">
        <x:v>10</x:v>
      </x:c>
      <x:c r="S60" s="16" t="n">
        <x:v>0</x:v>
      </x:c>
      <x:c r="T60" s="16" t="n">
        <x:v>1</x:v>
      </x:c>
      <x:c r="U60" s="16" t="n">
        <x:v>0.03</x:v>
      </x:c>
      <x:c r="V60" s="16" t="n">
        <x:v>0</x:v>
      </x:c>
      <x:c r="W60" s="16" t="n">
        <x:v>0.029</x:v>
      </x:c>
      <x:c r="X60" s="17" t="n">
        <x:v>0.3</x:v>
      </x:c>
      <x:c r="Y60" s="17" t="n">
        <x:v>0.25</x:v>
      </x:c>
      <x:c r="Z60" s="14" t="n">
        <x:v>30</x:v>
      </x:c>
      <x:c r="AA60" s="16" t="n">
        <x:v>0.04</x:v>
      </x:c>
      <x:c r="AB60" s="14" t="n">
        <x:v>6</x:v>
      </x:c>
      <x:c r="AC60" s="14" t="n">
        <x:v>50</x:v>
      </x:c>
      <x:c r="AD60" s="14" t="n">
        <x:v>0</x:v>
      </x:c>
      <x:c r="AE60" s="14" t="n">
        <x:v>0</x:v>
      </x:c>
      <x:c r="AF60" s="14" t="n">
        <x:v>1</x:v>
      </x:c>
      <x:c r="AG60" s="24" t="str">
        <x:v>Low</x:v>
      </x:c>
      <x:c r="AH60" s="24" t="str">
        <x:v>Dot judgment; exact quote and professional scope required</x:v>
      </x:c>
      <x:c r="AI60" s="24" t="str">
        <x:v>Year 1 full-year target 4 order / engagement (0.3/month),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6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60" s="24" t="str">
        <x:v>Hypothetical in-year start after outstanding release, rights, provider or professional gates; no launch approval</x:v>
      </x:c>
      <x:c r="AL60" s="24" t="str">
        <x:v>https://chatgpt.com/c/6ab2166e-1dc4-83ea-8162-96d5755ac0a2
https://chatgpt.com/c/6ab2b83c-303c-83ea-8d5e-4be203cff113</x:v>
      </x:c>
      <x:c r="AM60" s="27" t="n">
        <x:v>0.2</x:v>
      </x:c>
    </x:row>
    <x:row r="61" ht="48" hidden="0" customHeight="1">
      <x:c r="A61" s="1"/>
      <x:c r="B61" s="1"/>
      <x:c r="C61" s="1" t="str">
        <x:v>DOT-032</x:v>
      </x:c>
      <x:c r="D61" s="10" t="str">
        <x:v>BPA professional services</x:v>
      </x:c>
      <x:c r="E61" s="10" t="str">
        <x:v>Institutional process advisory</x:v>
      </x:c>
      <x:c r="F61" s="10" t="str">
        <x:v>professional</x:v>
      </x:c>
      <x:c r="G61" s="10" t="str">
        <x:v>order / engagement</x:v>
      </x:c>
      <x:c r="H61" s="14" t="n">
        <x:v>7500</x:v>
      </x:c>
      <x:c r="I61" s="14" t="n">
        <x:v>2</x:v>
      </x:c>
      <x:c r="J61" s="14" t="n">
        <x:v>9</x:v>
      </x:c>
      <x:c r="K61" s="16" t="n">
        <x:v>0.5</x:v>
      </x:c>
      <x:c r="L61" s="16" t="n">
        <x:v>0.1</x:v>
      </x:c>
      <x:c r="M61" s="16" t="n">
        <x:v>0.03</x:v>
      </x:c>
      <x:c r="N61" s="16" t="n">
        <x:v>0.02</x:v>
      </x:c>
      <x:c r="O61" s="14" t="n">
        <x:v>0</x:v>
      </x:c>
      <x:c r="P61" s="17" t="n">
        <x:v>60</x:v>
      </x:c>
      <x:c r="Q61" s="14" t="n">
        <x:v>60</x:v>
      </x:c>
      <x:c r="R61" s="14" t="n">
        <x:v>10</x:v>
      </x:c>
      <x:c r="S61" s="16" t="n">
        <x:v>0</x:v>
      </x:c>
      <x:c r="T61" s="16" t="n">
        <x:v>1</x:v>
      </x:c>
      <x:c r="U61" s="16" t="n">
        <x:v>0.03</x:v>
      </x:c>
      <x:c r="V61" s="16" t="n">
        <x:v>0</x:v>
      </x:c>
      <x:c r="W61" s="16" t="n">
        <x:v>0.029</x:v>
      </x:c>
      <x:c r="X61" s="17" t="n">
        <x:v>0.3</x:v>
      </x:c>
      <x:c r="Y61" s="17" t="n">
        <x:v>0.25</x:v>
      </x:c>
      <x:c r="Z61" s="14" t="n">
        <x:v>30</x:v>
      </x:c>
      <x:c r="AA61" s="16" t="n">
        <x:v>0.04</x:v>
      </x:c>
      <x:c r="AB61" s="14" t="n">
        <x:v>6</x:v>
      </x:c>
      <x:c r="AC61" s="14" t="n">
        <x:v>50</x:v>
      </x:c>
      <x:c r="AD61" s="14" t="n">
        <x:v>0</x:v>
      </x:c>
      <x:c r="AE61" s="14" t="n">
        <x:v>0</x:v>
      </x:c>
      <x:c r="AF61" s="14" t="n">
        <x:v>1</x:v>
      </x:c>
      <x:c r="AG61" s="24" t="str">
        <x:v>Low</x:v>
      </x:c>
      <x:c r="AH61" s="24" t="str">
        <x:v>Dot judgment; exact quote and professional scope required</x:v>
      </x:c>
      <x:c r="AI61" s="24" t="str">
        <x:v>Year 1 full-year target 2 order / engagement (0.2/month),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6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61" s="24" t="str">
        <x:v>Hypothetical in-year start after outstanding release, rights, provider or professional gates; no launch approval</x:v>
      </x:c>
      <x:c r="AL61" s="24" t="str">
        <x:v>https://chatgpt.com/c/6ab2166e-1dc4-83ea-8162-96d5755ac0a2
https://chatgpt.com/c/6ab2b83c-303c-83ea-8d5e-4be203cff113</x:v>
      </x:c>
      <x:c r="AM61" s="27" t="n">
        <x:v>0.2</x:v>
      </x:c>
    </x:row>
    <x:row r="62" ht="48" hidden="0" customHeight="1">
      <x:c r="A62" s="1"/>
      <x:c r="B62" s="1"/>
      <x:c r="C62" s="1" t="str">
        <x:v>DOT-033</x:v>
      </x:c>
      <x:c r="D62" s="10" t="str">
        <x:v>CornerFlow</x:v>
      </x:c>
      <x:c r="E62" s="10" t="str">
        <x:v>Merchant subscription</x:v>
      </x:c>
      <x:c r="F62" s="10" t="str">
        <x:v>platform</x:v>
      </x:c>
      <x:c r="G62" s="10" t="str">
        <x:v>customer-month</x:v>
      </x:c>
      <x:c r="H62" s="14" t="n">
        <x:v>49</x:v>
      </x:c>
      <x:c r="I62" s="14" t="n">
        <x:v>120</x:v>
      </x:c>
      <x:c r="J62" s="14" t="n">
        <x:v>6</x:v>
      </x:c>
      <x:c r="K62" s="16" t="n">
        <x:v>0.7</x:v>
      </x:c>
      <x:c r="L62" s="16" t="n">
        <x:v>0.2</x:v>
      </x:c>
      <x:c r="M62" s="16" t="n">
        <x:v>0.03</x:v>
      </x:c>
      <x:c r="N62" s="16" t="n">
        <x:v>0.02</x:v>
      </x:c>
      <x:c r="O62" s="14" t="n">
        <x:v>0</x:v>
      </x:c>
      <x:c r="P62" s="17" t="n">
        <x:v>0.15</x:v>
      </x:c>
      <x:c r="Q62" s="14" t="n">
        <x:v>35</x:v>
      </x:c>
      <x:c r="R62" s="14" t="n">
        <x:v>0</x:v>
      </x:c>
      <x:c r="S62" s="16" t="n">
        <x:v>0</x:v>
      </x:c>
      <x:c r="T62" s="16" t="n">
        <x:v>1</x:v>
      </x:c>
      <x:c r="U62" s="16" t="n">
        <x:v>0.03</x:v>
      </x:c>
      <x:c r="V62" s="16" t="n">
        <x:v>0</x:v>
      </x:c>
      <x:c r="W62" s="16" t="n">
        <x:v>0.029</x:v>
      </x:c>
      <x:c r="X62" s="17" t="n">
        <x:v>0.3</x:v>
      </x:c>
      <x:c r="Y62" s="17" t="n">
        <x:v>0.15</x:v>
      </x:c>
      <x:c r="Z62" s="14" t="n">
        <x:v>30</x:v>
      </x:c>
      <x:c r="AA62" s="16" t="n">
        <x:v>0.05</x:v>
      </x:c>
      <x:c r="AB62" s="14" t="n">
        <x:v>24</x:v>
      </x:c>
      <x:c r="AC62" s="14" t="n">
        <x:v>50</x:v>
      </x:c>
      <x:c r="AD62" s="14" t="n">
        <x:v>0</x:v>
      </x:c>
      <x:c r="AE62" s="14" t="n">
        <x:v>120</x:v>
      </x:c>
      <x:c r="AF62" s="14" t="n">
        <x:v>0</x:v>
      </x:c>
      <x:c r="AG62" s="24" t="str">
        <x:v>Low</x:v>
      </x:c>
      <x:c r="AH62" s="24" t="str">
        <x:v>Dot judgment; not approved price</x:v>
      </x:c>
      <x:c r="AI62" s="24" t="str">
        <x:v>Year 1 full-year target 120 customer-month (10.0/month),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6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62" s="24" t="str">
        <x:v>Hypothetical in-year start after outstanding release, rights, provider or professional gates; no launch approval</x:v>
      </x:c>
      <x:c r="AL62" s="24" t="str">
        <x:v>https://chatgpt.com/c/6ab00481-2f58-83ea-888f-a391ad93f748
https://chatgpt.com/c/6ab02f97-5b10-83e9-a6da-bd9857d978a0</x:v>
      </x:c>
      <x:c r="AM62" s="27" t="n">
        <x:v>0.05</x:v>
      </x:c>
    </x:row>
    <x:row r="63" ht="48" hidden="0" customHeight="1">
      <x:c r="A63" s="1"/>
      <x:c r="B63" s="1"/>
      <x:c r="C63" s="1" t="str">
        <x:v>DOT-034</x:v>
      </x:c>
      <x:c r="D63" s="10" t="str">
        <x:v>CornerFlow</x:v>
      </x:c>
      <x:c r="E63" s="10" t="str">
        <x:v>Separately scoped onboarding</x:v>
      </x:c>
      <x:c r="F63" s="10" t="str">
        <x:v>professional</x:v>
      </x:c>
      <x:c r="G63" s="10" t="str">
        <x:v>order / engagement</x:v>
      </x:c>
      <x:c r="H63" s="14" t="n">
        <x:v>199</x:v>
      </x:c>
      <x:c r="I63" s="14" t="n">
        <x:v>20</x:v>
      </x:c>
      <x:c r="J63" s="14" t="n">
        <x:v>6</x:v>
      </x:c>
      <x:c r="K63" s="16" t="n">
        <x:v>0.5</x:v>
      </x:c>
      <x:c r="L63" s="16" t="n">
        <x:v>0.1</x:v>
      </x:c>
      <x:c r="M63" s="16" t="n">
        <x:v>0.03</x:v>
      </x:c>
      <x:c r="N63" s="16" t="n">
        <x:v>0.02</x:v>
      </x:c>
      <x:c r="O63" s="14" t="n">
        <x:v>0</x:v>
      </x:c>
      <x:c r="P63" s="17" t="n">
        <x:v>2</x:v>
      </x:c>
      <x:c r="Q63" s="14" t="n">
        <x:v>40</x:v>
      </x:c>
      <x:c r="R63" s="14" t="n">
        <x:v>0</x:v>
      </x:c>
      <x:c r="S63" s="16" t="n">
        <x:v>0</x:v>
      </x:c>
      <x:c r="T63" s="16" t="n">
        <x:v>1</x:v>
      </x:c>
      <x:c r="U63" s="16" t="n">
        <x:v>0.03</x:v>
      </x:c>
      <x:c r="V63" s="16" t="n">
        <x:v>0</x:v>
      </x:c>
      <x:c r="W63" s="16" t="n">
        <x:v>0.029</x:v>
      </x:c>
      <x:c r="X63" s="17" t="n">
        <x:v>0.3</x:v>
      </x:c>
      <x:c r="Y63" s="17" t="n">
        <x:v>0.25</x:v>
      </x:c>
      <x:c r="Z63" s="14" t="n">
        <x:v>30</x:v>
      </x:c>
      <x:c r="AA63" s="16" t="n">
        <x:v>0.04</x:v>
      </x:c>
      <x:c r="AB63" s="14" t="n">
        <x:v>4</x:v>
      </x:c>
      <x:c r="AC63" s="14" t="n">
        <x:v>50</x:v>
      </x:c>
      <x:c r="AD63" s="14" t="n">
        <x:v>0</x:v>
      </x:c>
      <x:c r="AE63" s="14" t="n">
        <x:v>0</x:v>
      </x:c>
      <x:c r="AF63" s="14" t="n">
        <x:v>1</x:v>
      </x:c>
      <x:c r="AG63" s="24" t="str">
        <x:v>Low</x:v>
      </x:c>
      <x:c r="AH63" s="24" t="str">
        <x:v>Dot judgment; not approved price</x:v>
      </x:c>
      <x:c r="AI63" s="24" t="str">
        <x:v>Year 1 full-year target 20 order / engagement (1.7/month),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6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63" s="24" t="str">
        <x:v>Hypothetical in-year start after outstanding release, rights, provider or professional gates; no launch approval</x:v>
      </x:c>
      <x:c r="AL63" s="24" t="str">
        <x:v>https://chatgpt.com/c/6ab00481-2f58-83ea-888f-a391ad93f748
https://chatgpt.com/c/6ab02f97-5b10-83e9-a6da-bd9857d978a0</x:v>
      </x:c>
      <x:c r="AM63" s="27" t="n">
        <x:v>0.2</x:v>
      </x:c>
    </x:row>
    <x:row r="64" ht="48" hidden="0" customHeight="1">
      <x:c r="A64" s="1"/>
      <x:c r="B64" s="1"/>
      <x:c r="C64" s="1" t="str">
        <x:v>DOT-035</x:v>
      </x:c>
      <x:c r="D64" s="10" t="str">
        <x:v>Spindle</x:v>
      </x:c>
      <x:c r="E64" s="10" t="str">
        <x:v>Merchant subscription</x:v>
      </x:c>
      <x:c r="F64" s="10" t="str">
        <x:v>platform</x:v>
      </x:c>
      <x:c r="G64" s="10" t="str">
        <x:v>customer-month</x:v>
      </x:c>
      <x:c r="H64" s="14" t="n">
        <x:v>49</x:v>
      </x:c>
      <x:c r="I64" s="14" t="n">
        <x:v>120</x:v>
      </x:c>
      <x:c r="J64" s="14" t="n">
        <x:v>6</x:v>
      </x:c>
      <x:c r="K64" s="16" t="n">
        <x:v>0.7</x:v>
      </x:c>
      <x:c r="L64" s="16" t="n">
        <x:v>0.2</x:v>
      </x:c>
      <x:c r="M64" s="16" t="n">
        <x:v>0.03</x:v>
      </x:c>
      <x:c r="N64" s="16" t="n">
        <x:v>0.02</x:v>
      </x:c>
      <x:c r="O64" s="14" t="n">
        <x:v>0</x:v>
      </x:c>
      <x:c r="P64" s="17" t="n">
        <x:v>0.15</x:v>
      </x:c>
      <x:c r="Q64" s="14" t="n">
        <x:v>35</x:v>
      </x:c>
      <x:c r="R64" s="14" t="n">
        <x:v>0</x:v>
      </x:c>
      <x:c r="S64" s="16" t="n">
        <x:v>0</x:v>
      </x:c>
      <x:c r="T64" s="16" t="n">
        <x:v>1</x:v>
      </x:c>
      <x:c r="U64" s="16" t="n">
        <x:v>0.03</x:v>
      </x:c>
      <x:c r="V64" s="16" t="n">
        <x:v>0</x:v>
      </x:c>
      <x:c r="W64" s="16" t="n">
        <x:v>0.029</x:v>
      </x:c>
      <x:c r="X64" s="17" t="n">
        <x:v>0.3</x:v>
      </x:c>
      <x:c r="Y64" s="17" t="n">
        <x:v>0.15</x:v>
      </x:c>
      <x:c r="Z64" s="14" t="n">
        <x:v>30</x:v>
      </x:c>
      <x:c r="AA64" s="16" t="n">
        <x:v>0.05</x:v>
      </x:c>
      <x:c r="AB64" s="14" t="n">
        <x:v>24</x:v>
      </x:c>
      <x:c r="AC64" s="14" t="n">
        <x:v>50</x:v>
      </x:c>
      <x:c r="AD64" s="14" t="n">
        <x:v>0</x:v>
      </x:c>
      <x:c r="AE64" s="14" t="n">
        <x:v>120</x:v>
      </x:c>
      <x:c r="AF64" s="14" t="n">
        <x:v>0</x:v>
      </x:c>
      <x:c r="AG64" s="24" t="str">
        <x:v>Low</x:v>
      </x:c>
      <x:c r="AH64" s="24" t="str">
        <x:v>Dot judgment; not approved price</x:v>
      </x:c>
      <x:c r="AI64" s="24" t="str">
        <x:v>Year 1 full-year target 120 customer-month (10.0/month),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6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64" s="24" t="str">
        <x:v>Hypothetical in-year start after outstanding release, rights, provider or professional gates; no launch approval</x:v>
      </x:c>
      <x:c r="AL64" s="24" t="str">
        <x:v>https://chatgpt.com/c/6ab00481-2f58-83ea-888f-a391ad93f748
https://chatgpt.com/c/6ab02f97-5b10-83e9-a6da-bd9857d978a0</x:v>
      </x:c>
      <x:c r="AM64" s="27" t="n">
        <x:v>0.05</x:v>
      </x:c>
    </x:row>
    <x:row r="65" ht="48" hidden="0" customHeight="1">
      <x:c r="A65" s="1"/>
      <x:c r="B65" s="1"/>
      <x:c r="C65" s="1" t="str">
        <x:v>DOT-036</x:v>
      </x:c>
      <x:c r="D65" s="10" t="str">
        <x:v>Spindle</x:v>
      </x:c>
      <x:c r="E65" s="10" t="str">
        <x:v>Separately scoped onboarding</x:v>
      </x:c>
      <x:c r="F65" s="10" t="str">
        <x:v>professional</x:v>
      </x:c>
      <x:c r="G65" s="10" t="str">
        <x:v>order / engagement</x:v>
      </x:c>
      <x:c r="H65" s="14" t="n">
        <x:v>199</x:v>
      </x:c>
      <x:c r="I65" s="14" t="n">
        <x:v>20</x:v>
      </x:c>
      <x:c r="J65" s="14" t="n">
        <x:v>6</x:v>
      </x:c>
      <x:c r="K65" s="16" t="n">
        <x:v>0.5</x:v>
      </x:c>
      <x:c r="L65" s="16" t="n">
        <x:v>0.1</x:v>
      </x:c>
      <x:c r="M65" s="16" t="n">
        <x:v>0.03</x:v>
      </x:c>
      <x:c r="N65" s="16" t="n">
        <x:v>0.02</x:v>
      </x:c>
      <x:c r="O65" s="14" t="n">
        <x:v>0</x:v>
      </x:c>
      <x:c r="P65" s="17" t="n">
        <x:v>2</x:v>
      </x:c>
      <x:c r="Q65" s="14" t="n">
        <x:v>40</x:v>
      </x:c>
      <x:c r="R65" s="14" t="n">
        <x:v>0</x:v>
      </x:c>
      <x:c r="S65" s="16" t="n">
        <x:v>0</x:v>
      </x:c>
      <x:c r="T65" s="16" t="n">
        <x:v>1</x:v>
      </x:c>
      <x:c r="U65" s="16" t="n">
        <x:v>0.03</x:v>
      </x:c>
      <x:c r="V65" s="16" t="n">
        <x:v>0</x:v>
      </x:c>
      <x:c r="W65" s="16" t="n">
        <x:v>0.029</x:v>
      </x:c>
      <x:c r="X65" s="17" t="n">
        <x:v>0.3</x:v>
      </x:c>
      <x:c r="Y65" s="17" t="n">
        <x:v>0.25</x:v>
      </x:c>
      <x:c r="Z65" s="14" t="n">
        <x:v>30</x:v>
      </x:c>
      <x:c r="AA65" s="16" t="n">
        <x:v>0.04</x:v>
      </x:c>
      <x:c r="AB65" s="14" t="n">
        <x:v>4</x:v>
      </x:c>
      <x:c r="AC65" s="14" t="n">
        <x:v>50</x:v>
      </x:c>
      <x:c r="AD65" s="14" t="n">
        <x:v>0</x:v>
      </x:c>
      <x:c r="AE65" s="14" t="n">
        <x:v>0</x:v>
      </x:c>
      <x:c r="AF65" s="14" t="n">
        <x:v>1</x:v>
      </x:c>
      <x:c r="AG65" s="24" t="str">
        <x:v>Low</x:v>
      </x:c>
      <x:c r="AH65" s="24" t="str">
        <x:v>Dot judgment; not approved price</x:v>
      </x:c>
      <x:c r="AI65" s="24" t="str">
        <x:v>Year 1 full-year target 20 order / engagement (1.7/month),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6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65" s="24" t="str">
        <x:v>Hypothetical in-year start after outstanding release, rights, provider or professional gates; no launch approval</x:v>
      </x:c>
      <x:c r="AL65" s="24" t="str">
        <x:v>https://chatgpt.com/c/6ab00481-2f58-83ea-888f-a391ad93f748
https://chatgpt.com/c/6ab02f97-5b10-83e9-a6da-bd9857d978a0</x:v>
      </x:c>
      <x:c r="AM65" s="27" t="n">
        <x:v>0.2</x:v>
      </x:c>
    </x:row>
    <x:row r="66" ht="48" hidden="0" customHeight="1">
      <x:c r="A66" s="1"/>
      <x:c r="B66" s="1"/>
      <x:c r="C66" s="1" t="str">
        <x:v>DOT-037</x:v>
      </x:c>
      <x:c r="D66" s="10" t="str">
        <x:v>Maison Contour</x:v>
      </x:c>
      <x:c r="E66" s="10" t="str">
        <x:v>Merchant subscription</x:v>
      </x:c>
      <x:c r="F66" s="10" t="str">
        <x:v>platform</x:v>
      </x:c>
      <x:c r="G66" s="10" t="str">
        <x:v>customer-month</x:v>
      </x:c>
      <x:c r="H66" s="14" t="n">
        <x:v>79</x:v>
      </x:c>
      <x:c r="I66" s="14" t="n">
        <x:v>120</x:v>
      </x:c>
      <x:c r="J66" s="14" t="n">
        <x:v>6</x:v>
      </x:c>
      <x:c r="K66" s="16" t="n">
        <x:v>0.7</x:v>
      </x:c>
      <x:c r="L66" s="16" t="n">
        <x:v>0.2</x:v>
      </x:c>
      <x:c r="M66" s="16" t="n">
        <x:v>0.03</x:v>
      </x:c>
      <x:c r="N66" s="16" t="n">
        <x:v>0.02</x:v>
      </x:c>
      <x:c r="O66" s="14" t="n">
        <x:v>0</x:v>
      </x:c>
      <x:c r="P66" s="17" t="n">
        <x:v>0.15</x:v>
      </x:c>
      <x:c r="Q66" s="14" t="n">
        <x:v>35</x:v>
      </x:c>
      <x:c r="R66" s="14" t="n">
        <x:v>0</x:v>
      </x:c>
      <x:c r="S66" s="16" t="n">
        <x:v>0</x:v>
      </x:c>
      <x:c r="T66" s="16" t="n">
        <x:v>1</x:v>
      </x:c>
      <x:c r="U66" s="16" t="n">
        <x:v>0.03</x:v>
      </x:c>
      <x:c r="V66" s="16" t="n">
        <x:v>0</x:v>
      </x:c>
      <x:c r="W66" s="16" t="n">
        <x:v>0.029</x:v>
      </x:c>
      <x:c r="X66" s="17" t="n">
        <x:v>0.3</x:v>
      </x:c>
      <x:c r="Y66" s="17" t="n">
        <x:v>0.15</x:v>
      </x:c>
      <x:c r="Z66" s="14" t="n">
        <x:v>30</x:v>
      </x:c>
      <x:c r="AA66" s="16" t="n">
        <x:v>0.05</x:v>
      </x:c>
      <x:c r="AB66" s="14" t="n">
        <x:v>24</x:v>
      </x:c>
      <x:c r="AC66" s="14" t="n">
        <x:v>50</x:v>
      </x:c>
      <x:c r="AD66" s="14" t="n">
        <x:v>0</x:v>
      </x:c>
      <x:c r="AE66" s="14" t="n">
        <x:v>120</x:v>
      </x:c>
      <x:c r="AF66" s="14" t="n">
        <x:v>0</x:v>
      </x:c>
      <x:c r="AG66" s="24" t="str">
        <x:v>Low</x:v>
      </x:c>
      <x:c r="AH66" s="24" t="str">
        <x:v>Dot judgment; not approved price</x:v>
      </x:c>
      <x:c r="AI66" s="24" t="str">
        <x:v>Year 1 full-year target 120 customer-month (10.0/month),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6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66" s="24" t="str">
        <x:v>Hypothetical in-year start after outstanding release, rights, provider or professional gates; no launch approval</x:v>
      </x:c>
      <x:c r="AL66" s="24" t="str">
        <x:v>https://chatgpt.com/c/6ab00481-2f58-83ea-888f-a391ad93f748
https://chatgpt.com/c/6ab02f97-5b10-83e9-a6da-bd9857d978a0</x:v>
      </x:c>
      <x:c r="AM66" s="27" t="n">
        <x:v>0.05</x:v>
      </x:c>
    </x:row>
    <x:row r="67" ht="48" hidden="0" customHeight="1">
      <x:c r="A67" s="1"/>
      <x:c r="B67" s="1"/>
      <x:c r="C67" s="1" t="str">
        <x:v>DOT-038</x:v>
      </x:c>
      <x:c r="D67" s="10" t="str">
        <x:v>Maison Contour</x:v>
      </x:c>
      <x:c r="E67" s="10" t="str">
        <x:v>Separately scoped onboarding</x:v>
      </x:c>
      <x:c r="F67" s="10" t="str">
        <x:v>professional</x:v>
      </x:c>
      <x:c r="G67" s="10" t="str">
        <x:v>order / engagement</x:v>
      </x:c>
      <x:c r="H67" s="14" t="n">
        <x:v>199</x:v>
      </x:c>
      <x:c r="I67" s="14" t="n">
        <x:v>20</x:v>
      </x:c>
      <x:c r="J67" s="14" t="n">
        <x:v>6</x:v>
      </x:c>
      <x:c r="K67" s="16" t="n">
        <x:v>0.5</x:v>
      </x:c>
      <x:c r="L67" s="16" t="n">
        <x:v>0.1</x:v>
      </x:c>
      <x:c r="M67" s="16" t="n">
        <x:v>0.03</x:v>
      </x:c>
      <x:c r="N67" s="16" t="n">
        <x:v>0.02</x:v>
      </x:c>
      <x:c r="O67" s="14" t="n">
        <x:v>0</x:v>
      </x:c>
      <x:c r="P67" s="17" t="n">
        <x:v>2</x:v>
      </x:c>
      <x:c r="Q67" s="14" t="n">
        <x:v>40</x:v>
      </x:c>
      <x:c r="R67" s="14" t="n">
        <x:v>0</x:v>
      </x:c>
      <x:c r="S67" s="16" t="n">
        <x:v>0</x:v>
      </x:c>
      <x:c r="T67" s="16" t="n">
        <x:v>1</x:v>
      </x:c>
      <x:c r="U67" s="16" t="n">
        <x:v>0.03</x:v>
      </x:c>
      <x:c r="V67" s="16" t="n">
        <x:v>0</x:v>
      </x:c>
      <x:c r="W67" s="16" t="n">
        <x:v>0.029</x:v>
      </x:c>
      <x:c r="X67" s="17" t="n">
        <x:v>0.3</x:v>
      </x:c>
      <x:c r="Y67" s="17" t="n">
        <x:v>0.25</x:v>
      </x:c>
      <x:c r="Z67" s="14" t="n">
        <x:v>30</x:v>
      </x:c>
      <x:c r="AA67" s="16" t="n">
        <x:v>0.04</x:v>
      </x:c>
      <x:c r="AB67" s="14" t="n">
        <x:v>4</x:v>
      </x:c>
      <x:c r="AC67" s="14" t="n">
        <x:v>50</x:v>
      </x:c>
      <x:c r="AD67" s="14" t="n">
        <x:v>0</x:v>
      </x:c>
      <x:c r="AE67" s="14" t="n">
        <x:v>0</x:v>
      </x:c>
      <x:c r="AF67" s="14" t="n">
        <x:v>1</x:v>
      </x:c>
      <x:c r="AG67" s="24" t="str">
        <x:v>Low</x:v>
      </x:c>
      <x:c r="AH67" s="24" t="str">
        <x:v>Dot judgment; not approved price</x:v>
      </x:c>
      <x:c r="AI67" s="24" t="str">
        <x:v>Year 1 full-year target 20 order / engagement (1.7/month),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6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67" s="24" t="str">
        <x:v>Hypothetical in-year start after outstanding release, rights, provider or professional gates; no launch approval</x:v>
      </x:c>
      <x:c r="AL67" s="24" t="str">
        <x:v>https://chatgpt.com/c/6ab00481-2f58-83ea-888f-a391ad93f748
https://chatgpt.com/c/6ab02f97-5b10-83e9-a6da-bd9857d978a0</x:v>
      </x:c>
      <x:c r="AM67" s="27" t="n">
        <x:v>0.2</x:v>
      </x:c>
    </x:row>
    <x:row r="68" ht="48" hidden="0" customHeight="1">
      <x:c r="A68" s="1"/>
      <x:c r="B68" s="1"/>
      <x:c r="C68" s="1" t="str">
        <x:v>DOT-039</x:v>
      </x:c>
      <x:c r="D68" s="10" t="str">
        <x:v>DishLoom US</x:v>
      </x:c>
      <x:c r="E68" s="10" t="str">
        <x:v>Vendor subscription</x:v>
      </x:c>
      <x:c r="F68" s="10" t="str">
        <x:v>platform</x:v>
      </x:c>
      <x:c r="G68" s="10" t="str">
        <x:v>customer-month</x:v>
      </x:c>
      <x:c r="H68" s="14" t="n">
        <x:v>39</x:v>
      </x:c>
      <x:c r="I68" s="14" t="n">
        <x:v>120</x:v>
      </x:c>
      <x:c r="J68" s="14" t="n">
        <x:v>6</x:v>
      </x:c>
      <x:c r="K68" s="16" t="n">
        <x:v>0.7</x:v>
      </x:c>
      <x:c r="L68" s="16" t="n">
        <x:v>0.2</x:v>
      </x:c>
      <x:c r="M68" s="16" t="n">
        <x:v>0.03</x:v>
      </x:c>
      <x:c r="N68" s="16" t="n">
        <x:v>0.02</x:v>
      </x:c>
      <x:c r="O68" s="14" t="n">
        <x:v>0</x:v>
      </x:c>
      <x:c r="P68" s="17" t="n">
        <x:v>0.15</x:v>
      </x:c>
      <x:c r="Q68" s="14" t="n">
        <x:v>35</x:v>
      </x:c>
      <x:c r="R68" s="14" t="n">
        <x:v>0</x:v>
      </x:c>
      <x:c r="S68" s="16" t="n">
        <x:v>0</x:v>
      </x:c>
      <x:c r="T68" s="16" t="n">
        <x:v>1</x:v>
      </x:c>
      <x:c r="U68" s="16" t="n">
        <x:v>0.03</x:v>
      </x:c>
      <x:c r="V68" s="16" t="n">
        <x:v>0</x:v>
      </x:c>
      <x:c r="W68" s="16" t="n">
        <x:v>0.029</x:v>
      </x:c>
      <x:c r="X68" s="17" t="n">
        <x:v>0.3</x:v>
      </x:c>
      <x:c r="Y68" s="17" t="n">
        <x:v>0.15</x:v>
      </x:c>
      <x:c r="Z68" s="14" t="n">
        <x:v>30</x:v>
      </x:c>
      <x:c r="AA68" s="16" t="n">
        <x:v>0.05</x:v>
      </x:c>
      <x:c r="AB68" s="14" t="n">
        <x:v>24</x:v>
      </x:c>
      <x:c r="AC68" s="14" t="n">
        <x:v>50</x:v>
      </x:c>
      <x:c r="AD68" s="14" t="n">
        <x:v>0</x:v>
      </x:c>
      <x:c r="AE68" s="14" t="n">
        <x:v>120</x:v>
      </x:c>
      <x:c r="AF68" s="14" t="n">
        <x:v>0</x:v>
      </x:c>
      <x:c r="AG68" s="24" t="str">
        <x:v>Low</x:v>
      </x:c>
      <x:c r="AH68" s="24" t="str">
        <x:v>Dot judgment; not approved price</x:v>
      </x:c>
      <x:c r="AI68" s="24" t="str">
        <x:v>Year 1 full-year target 120 customer-month (10.0/month),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6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68" s="24" t="str">
        <x:v>Hypothetical in-year start after outstanding release, rights, provider or professional gates; no launch approval</x:v>
      </x:c>
      <x:c r="AL68" s="24" t="str">
        <x:v>https://chatgpt.com/c/6ab00481-2f58-83ea-888f-a391ad93f748
https://chatgpt.com/c/6ab02f97-5b10-83e9-a6da-bd9857d978a0</x:v>
      </x:c>
      <x:c r="AM68" s="27" t="n">
        <x:v>0.05</x:v>
      </x:c>
    </x:row>
    <x:row r="69" ht="48" hidden="0" customHeight="1">
      <x:c r="A69" s="1"/>
      <x:c r="B69" s="1"/>
      <x:c r="C69" s="1" t="str">
        <x:v>DOT-040</x:v>
      </x:c>
      <x:c r="D69" s="10" t="str">
        <x:v>DishLoom US</x:v>
      </x:c>
      <x:c r="E69" s="10" t="str">
        <x:v>Customer membership</x:v>
      </x:c>
      <x:c r="F69" s="10" t="str">
        <x:v>platform</x:v>
      </x:c>
      <x:c r="G69" s="10" t="str">
        <x:v>order / engagement</x:v>
      </x:c>
      <x:c r="H69" s="14" t="n">
        <x:v>9</x:v>
      </x:c>
      <x:c r="I69" s="14" t="n">
        <x:v>240</x:v>
      </x:c>
      <x:c r="J69" s="14" t="n">
        <x:v>6</x:v>
      </x:c>
      <x:c r="K69" s="16" t="n">
        <x:v>0.7</x:v>
      </x:c>
      <x:c r="L69" s="16" t="n">
        <x:v>0.2</x:v>
      </x:c>
      <x:c r="M69" s="16" t="n">
        <x:v>0.03</x:v>
      </x:c>
      <x:c r="N69" s="16" t="n">
        <x:v>0.02</x:v>
      </x:c>
      <x:c r="O69" s="14" t="n">
        <x:v>0</x:v>
      </x:c>
      <x:c r="P69" s="17" t="n">
        <x:v>0.05</x:v>
      </x:c>
      <x:c r="Q69" s="14" t="n">
        <x:v>35</x:v>
      </x:c>
      <x:c r="R69" s="14" t="n">
        <x:v>0</x:v>
      </x:c>
      <x:c r="S69" s="16" t="n">
        <x:v>0</x:v>
      </x:c>
      <x:c r="T69" s="16" t="n">
        <x:v>1</x:v>
      </x:c>
      <x:c r="U69" s="16" t="n">
        <x:v>0.03</x:v>
      </x:c>
      <x:c r="V69" s="16" t="n">
        <x:v>0</x:v>
      </x:c>
      <x:c r="W69" s="16" t="n">
        <x:v>0.029</x:v>
      </x:c>
      <x:c r="X69" s="17" t="n">
        <x:v>0.3</x:v>
      </x:c>
      <x:c r="Y69" s="17" t="n">
        <x:v>0.15</x:v>
      </x:c>
      <x:c r="Z69" s="14" t="n">
        <x:v>30</x:v>
      </x:c>
      <x:c r="AA69" s="16" t="n">
        <x:v>0.05</x:v>
      </x:c>
      <x:c r="AB69" s="14" t="n">
        <x:v>4</x:v>
      </x:c>
      <x:c r="AC69" s="14" t="n">
        <x:v>50</x:v>
      </x:c>
      <x:c r="AD69" s="14" t="n">
        <x:v>0</x:v>
      </x:c>
      <x:c r="AE69" s="14" t="n">
        <x:v>0</x:v>
      </x:c>
      <x:c r="AF69" s="14" t="n">
        <x:v>0</x:v>
      </x:c>
      <x:c r="AG69" s="24" t="str">
        <x:v>Low</x:v>
      </x:c>
      <x:c r="AH69" s="24" t="str">
        <x:v>Dot judgment; not approved price</x:v>
      </x:c>
      <x:c r="AI69" s="24" t="str">
        <x:v>Year 1 full-year target 240 order / engagement (20.0/month),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6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69" s="24" t="str">
        <x:v>Hypothetical in-year start after outstanding release, rights, provider or professional gates; no launch approval</x:v>
      </x:c>
      <x:c r="AL69" s="24" t="str">
        <x:v>https://chatgpt.com/c/6ab00481-2f58-83ea-888f-a391ad93f748
https://chatgpt.com/c/6ab02f97-5b10-83e9-a6da-bd9857d978a0</x:v>
      </x:c>
      <x:c r="AM69" s="27" t="n">
        <x:v>0.05</x:v>
      </x:c>
    </x:row>
    <x:row r="70" ht="48" hidden="0" customHeight="1">
      <x:c r="A70" s="1"/>
      <x:c r="B70" s="1"/>
      <x:c r="C70" s="1" t="str">
        <x:v>DOT-041</x:v>
      </x:c>
      <x:c r="D70" s="10" t="str">
        <x:v>DishLoom US</x:v>
      </x:c>
      <x:c r="E70" s="10" t="str">
        <x:v>Culinary marketplace commission</x:v>
      </x:c>
      <x:c r="F70" s="10" t="str">
        <x:v>platform</x:v>
      </x:c>
      <x:c r="G70" s="10" t="str">
        <x:v>order / engagement</x:v>
      </x:c>
      <x:c r="H70" s="14" t="n">
        <x:v>100</x:v>
      </x:c>
      <x:c r="I70" s="14" t="n">
        <x:v>300</x:v>
      </x:c>
      <x:c r="J70" s="14" t="n">
        <x:v>6</x:v>
      </x:c>
      <x:c r="K70" s="16" t="n">
        <x:v>0.7</x:v>
      </x:c>
      <x:c r="L70" s="16" t="n">
        <x:v>0.2</x:v>
      </x:c>
      <x:c r="M70" s="16" t="n">
        <x:v>0.03</x:v>
      </x:c>
      <x:c r="N70" s="16" t="n">
        <x:v>0.02</x:v>
      </x:c>
      <x:c r="O70" s="14" t="n">
        <x:v>0</x:v>
      </x:c>
      <x:c r="P70" s="17" t="n">
        <x:v>0.1</x:v>
      </x:c>
      <x:c r="Q70" s="14" t="n">
        <x:v>35</x:v>
      </x:c>
      <x:c r="R70" s="14" t="n">
        <x:v>0</x:v>
      </x:c>
      <x:c r="S70" s="16" t="n">
        <x:v>0</x:v>
      </x:c>
      <x:c r="T70" s="16" t="n">
        <x:v>0.15</x:v>
      </x:c>
      <x:c r="U70" s="16" t="n">
        <x:v>0.03</x:v>
      </x:c>
      <x:c r="V70" s="16" t="n">
        <x:v>0</x:v>
      </x:c>
      <x:c r="W70" s="16" t="n">
        <x:v>0.029</x:v>
      </x:c>
      <x:c r="X70" s="17" t="n">
        <x:v>0.3</x:v>
      </x:c>
      <x:c r="Y70" s="17" t="n">
        <x:v>0.15</x:v>
      </x:c>
      <x:c r="Z70" s="14" t="n">
        <x:v>30</x:v>
      </x:c>
      <x:c r="AA70" s="16" t="n">
        <x:v>0.05</x:v>
      </x:c>
      <x:c r="AB70" s="14" t="n">
        <x:v>8</x:v>
      </x:c>
      <x:c r="AC70" s="14" t="n">
        <x:v>50</x:v>
      </x:c>
      <x:c r="AD70" s="14" t="n">
        <x:v>0</x:v>
      </x:c>
      <x:c r="AE70" s="14" t="n">
        <x:v>0</x:v>
      </x:c>
      <x:c r="AF70" s="14" t="n">
        <x:v>0</x:v>
      </x:c>
      <x:c r="AG70" s="24" t="str">
        <x:v>Low</x:v>
      </x:c>
      <x:c r="AH70" s="24" t="str">
        <x:v>Dot judgment; not approved price</x:v>
      </x:c>
      <x:c r="AI70" s="24" t="str">
        <x:v>Year 1 full-year target 300 order / engagement (25.0/month),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7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70" s="24" t="str">
        <x:v>Hypothetical in-year start after outstanding release, rights, provider or professional gates; no launch approval</x:v>
      </x:c>
      <x:c r="AL70" s="24" t="str">
        <x:v>https://chatgpt.com/c/6ab00481-2f58-83ea-888f-a391ad93f748
https://chatgpt.com/c/6ab02f97-5b10-83e9-a6da-bd9857d978a0</x:v>
      </x:c>
      <x:c r="AM70" s="27" t="n">
        <x:v>0.05</x:v>
      </x:c>
    </x:row>
    <x:row r="71" ht="48" hidden="0" customHeight="1">
      <x:c r="A71" s="1"/>
      <x:c r="B71" s="1"/>
      <x:c r="C71" s="1" t="str">
        <x:v>DOT-042</x:v>
      </x:c>
      <x:c r="D71" s="10" t="str">
        <x:v>Is Makes Travel Easy</x:v>
      </x:c>
      <x:c r="E71" s="10" t="str">
        <x:v>Trip-bound host and guest access</x:v>
      </x:c>
      <x:c r="F71" s="10" t="str">
        <x:v>platform</x:v>
      </x:c>
      <x:c r="G71" s="10" t="str">
        <x:v>order / engagement</x:v>
      </x:c>
      <x:c r="H71" s="14" t="n">
        <x:v>29</x:v>
      </x:c>
      <x:c r="I71" s="14" t="n">
        <x:v>360</x:v>
      </x:c>
      <x:c r="J71" s="14" t="n">
        <x:v>9</x:v>
      </x:c>
      <x:c r="K71" s="16" t="n">
        <x:v>0.7</x:v>
      </x:c>
      <x:c r="L71" s="16" t="n">
        <x:v>0.2</x:v>
      </x:c>
      <x:c r="M71" s="16" t="n">
        <x:v>0.03</x:v>
      </x:c>
      <x:c r="N71" s="16" t="n">
        <x:v>0.02</x:v>
      </x:c>
      <x:c r="O71" s="14" t="n">
        <x:v>0</x:v>
      </x:c>
      <x:c r="P71" s="17" t="n">
        <x:v>0.1</x:v>
      </x:c>
      <x:c r="Q71" s="14" t="n">
        <x:v>35</x:v>
      </x:c>
      <x:c r="R71" s="14" t="n">
        <x:v>0</x:v>
      </x:c>
      <x:c r="S71" s="16" t="n">
        <x:v>0</x:v>
      </x:c>
      <x:c r="T71" s="16" t="n">
        <x:v>1</x:v>
      </x:c>
      <x:c r="U71" s="16" t="n">
        <x:v>0.03</x:v>
      </x:c>
      <x:c r="V71" s="16" t="n">
        <x:v>0</x:v>
      </x:c>
      <x:c r="W71" s="16" t="n">
        <x:v>0.029</x:v>
      </x:c>
      <x:c r="X71" s="17" t="n">
        <x:v>0.3</x:v>
      </x:c>
      <x:c r="Y71" s="17" t="n">
        <x:v>0.15</x:v>
      </x:c>
      <x:c r="Z71" s="14" t="n">
        <x:v>30</x:v>
      </x:c>
      <x:c r="AA71" s="16" t="n">
        <x:v>0.05</x:v>
      </x:c>
      <x:c r="AB71" s="14" t="n">
        <x:v>16</x:v>
      </x:c>
      <x:c r="AC71" s="14" t="n">
        <x:v>50</x:v>
      </x:c>
      <x:c r="AD71" s="14" t="n">
        <x:v>0</x:v>
      </x:c>
      <x:c r="AE71" s="14" t="n">
        <x:v>240</x:v>
      </x:c>
      <x:c r="AF71" s="14" t="n">
        <x:v>0</x:v>
      </x:c>
      <x:c r="AG71" s="24" t="str">
        <x:v>Low</x:v>
      </x:c>
      <x:c r="AH71" s="24" t="str">
        <x:v>Dot judgment; not approved price</x:v>
      </x:c>
      <x:c r="AI71" s="24" t="str">
        <x:v>Year 1 full-year target 360 order / engagement (30.0/month),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7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71" s="24" t="str">
        <x:v>Hypothetical in-year start after outstanding release, rights, provider or professional gates; no launch approval</x:v>
      </x:c>
      <x:c r="AL71" s="24" t="str">
        <x:v>https://chatgpt.com/c/6aaff5cc-f4ec-83ea-bd7b-e25c7de6adc2
https://chatgpt.com/c/6ab029a2-4a78-83e9-b007-abf7909b0147</x:v>
      </x:c>
      <x:c r="AM71" s="27" t="n">
        <x:v>0.05</x:v>
      </x:c>
    </x:row>
    <x:row r="72" ht="48" hidden="0" customHeight="1">
      <x:c r="A72" s="1"/>
      <x:c r="B72" s="1"/>
      <x:c r="C72" s="1" t="str">
        <x:v>DOT-043</x:v>
      </x:c>
      <x:c r="D72" s="10" t="str">
        <x:v>Is Makes Travel Easy</x:v>
      </x:c>
      <x:c r="E72" s="10" t="str">
        <x:v>Professional access subscription</x:v>
      </x:c>
      <x:c r="F72" s="10" t="str">
        <x:v>platform</x:v>
      </x:c>
      <x:c r="G72" s="10" t="str">
        <x:v>customer-month</x:v>
      </x:c>
      <x:c r="H72" s="14" t="n">
        <x:v>19</x:v>
      </x:c>
      <x:c r="I72" s="14" t="n">
        <x:v>180</x:v>
      </x:c>
      <x:c r="J72" s="14" t="n">
        <x:v>9</x:v>
      </x:c>
      <x:c r="K72" s="16" t="n">
        <x:v>0.7</x:v>
      </x:c>
      <x:c r="L72" s="16" t="n">
        <x:v>0.2</x:v>
      </x:c>
      <x:c r="M72" s="16" t="n">
        <x:v>0.03</x:v>
      </x:c>
      <x:c r="N72" s="16" t="n">
        <x:v>0.02</x:v>
      </x:c>
      <x:c r="O72" s="14" t="n">
        <x:v>0</x:v>
      </x:c>
      <x:c r="P72" s="17" t="n">
        <x:v>0.1</x:v>
      </x:c>
      <x:c r="Q72" s="14" t="n">
        <x:v>35</x:v>
      </x:c>
      <x:c r="R72" s="14" t="n">
        <x:v>0</x:v>
      </x:c>
      <x:c r="S72" s="16" t="n">
        <x:v>0</x:v>
      </x:c>
      <x:c r="T72" s="16" t="n">
        <x:v>1</x:v>
      </x:c>
      <x:c r="U72" s="16" t="n">
        <x:v>0.03</x:v>
      </x:c>
      <x:c r="V72" s="16" t="n">
        <x:v>0</x:v>
      </x:c>
      <x:c r="W72" s="16" t="n">
        <x:v>0.029</x:v>
      </x:c>
      <x:c r="X72" s="17" t="n">
        <x:v>0.3</x:v>
      </x:c>
      <x:c r="Y72" s="17" t="n">
        <x:v>0.15</x:v>
      </x:c>
      <x:c r="Z72" s="14" t="n">
        <x:v>30</x:v>
      </x:c>
      <x:c r="AA72" s="16" t="n">
        <x:v>0.05</x:v>
      </x:c>
      <x:c r="AB72" s="14" t="n">
        <x:v>4</x:v>
      </x:c>
      <x:c r="AC72" s="14" t="n">
        <x:v>50</x:v>
      </x:c>
      <x:c r="AD72" s="14" t="n">
        <x:v>0</x:v>
      </x:c>
      <x:c r="AE72" s="14" t="n">
        <x:v>0</x:v>
      </x:c>
      <x:c r="AF72" s="14" t="n">
        <x:v>0</x:v>
      </x:c>
      <x:c r="AG72" s="24" t="str">
        <x:v>Low</x:v>
      </x:c>
      <x:c r="AH72" s="24" t="str">
        <x:v>Dot judgment; not approved price</x:v>
      </x:c>
      <x:c r="AI72" s="24" t="str">
        <x:v>Year 1 full-year target 180 customer-month (15.0/month),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7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72" s="24" t="str">
        <x:v>Hypothetical in-year start after outstanding release, rights, provider or professional gates; no launch approval</x:v>
      </x:c>
      <x:c r="AL72" s="24" t="str">
        <x:v>https://chatgpt.com/c/6aaff5cc-f4ec-83ea-bd7b-e25c7de6adc2
https://chatgpt.com/c/6ab029a2-4a78-83e9-b007-abf7909b0147</x:v>
      </x:c>
      <x:c r="AM72" s="27" t="n">
        <x:v>0.05</x:v>
      </x:c>
    </x:row>
    <x:row r="73" ht="48" hidden="0" customHeight="1">
      <x:c r="A73" s="1"/>
      <x:c r="B73" s="1"/>
      <x:c r="C73" s="1" t="str">
        <x:v>DOT-044</x:v>
      </x:c>
      <x:c r="D73" s="10" t="str">
        <x:v>Is Makes Travel Easy</x:v>
      </x:c>
      <x:c r="E73" s="10" t="str">
        <x:v>Provider advertising</x:v>
      </x:c>
      <x:c r="F73" s="10" t="str">
        <x:v>media</x:v>
      </x:c>
      <x:c r="G73" s="10" t="str">
        <x:v>order / engagement</x:v>
      </x:c>
      <x:c r="H73" s="14" t="n">
        <x:v>49</x:v>
      </x:c>
      <x:c r="I73" s="14" t="n">
        <x:v>48</x:v>
      </x:c>
      <x:c r="J73" s="14" t="n">
        <x:v>9</x:v>
      </x:c>
      <x:c r="K73" s="16" t="n">
        <x:v>0.35</x:v>
      </x:c>
      <x:c r="L73" s="16" t="n">
        <x:v>0.1</x:v>
      </x:c>
      <x:c r="M73" s="16" t="n">
        <x:v>0.03</x:v>
      </x:c>
      <x:c r="N73" s="16" t="n">
        <x:v>0.02</x:v>
      </x:c>
      <x:c r="O73" s="14" t="n">
        <x:v>0</x:v>
      </x:c>
      <x:c r="P73" s="17" t="n">
        <x:v>0.25</x:v>
      </x:c>
      <x:c r="Q73" s="14" t="n">
        <x:v>35</x:v>
      </x:c>
      <x:c r="R73" s="14" t="n">
        <x:v>0</x:v>
      </x:c>
      <x:c r="S73" s="16" t="n">
        <x:v>0</x:v>
      </x:c>
      <x:c r="T73" s="16" t="n">
        <x:v>1</x:v>
      </x:c>
      <x:c r="U73" s="16" t="n">
        <x:v>0.03</x:v>
      </x:c>
      <x:c r="V73" s="16" t="n">
        <x:v>0</x:v>
      </x:c>
      <x:c r="W73" s="16" t="n">
        <x:v>0.029</x:v>
      </x:c>
      <x:c r="X73" s="17" t="n">
        <x:v>0.3</x:v>
      </x:c>
      <x:c r="Y73" s="17" t="n">
        <x:v>0.5</x:v>
      </x:c>
      <x:c r="Z73" s="14" t="n">
        <x:v>30</x:v>
      </x:c>
      <x:c r="AA73" s="16" t="n">
        <x:v>0.08</x:v>
      </x:c>
      <x:c r="AB73" s="14" t="n">
        <x:v>4</x:v>
      </x:c>
      <x:c r="AC73" s="14" t="n">
        <x:v>50</x:v>
      </x:c>
      <x:c r="AD73" s="14" t="n">
        <x:v>0</x:v>
      </x:c>
      <x:c r="AE73" s="14" t="n">
        <x:v>0</x:v>
      </x:c>
      <x:c r="AF73" s="14" t="n">
        <x:v>1</x:v>
      </x:c>
      <x:c r="AG73" s="24" t="str">
        <x:v>Low</x:v>
      </x:c>
      <x:c r="AH73" s="24" t="str">
        <x:v>Dot judgment; not approved price</x:v>
      </x:c>
      <x:c r="AI73" s="24" t="str">
        <x:v>Year 1 full-year target 48 order / engagement (4.0/month), prorated to operating months. Subsequent years retain 35% of prior units and add new demand equal to 65% of initial full-year units, growing 10% annually through Year 5, then 3%. Unvalidated acquisition hypothesis, not market evidence.</x:v>
      </x:c>
      <x:c r="AJ7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73" s="24" t="str">
        <x:v>Hypothetical in-year start after outstanding release, rights, provider or professional gates; no launch approval</x:v>
      </x:c>
      <x:c r="AL73" s="24" t="str">
        <x:v>https://chatgpt.com/c/6aaff5cc-f4ec-83ea-bd7b-e25c7de6adc2
https://chatgpt.com/c/6ab029a2-4a78-83e9-b007-abf7909b0147</x:v>
      </x:c>
      <x:c r="AM73" s="27" t="n">
        <x:v>0.1</x:v>
      </x:c>
    </x:row>
    <x:row r="74" ht="48" hidden="0" customHeight="1">
      <x:c r="A74" s="1"/>
      <x:c r="B74" s="1"/>
      <x:c r="C74" s="1" t="str">
        <x:v>DOT-045</x:v>
      </x:c>
      <x:c r="D74" s="10" t="str">
        <x:v>Is Makes Travel Easy</x:v>
      </x:c>
      <x:c r="E74" s="10" t="str">
        <x:v>Host transaction commissions</x:v>
      </x:c>
      <x:c r="F74" s="10" t="str">
        <x:v>platform</x:v>
      </x:c>
      <x:c r="G74" s="10" t="str">
        <x:v>order / engagement</x:v>
      </x:c>
      <x:c r="H74" s="14" t="n">
        <x:v>150</x:v>
      </x:c>
      <x:c r="I74" s="14" t="n">
        <x:v>240</x:v>
      </x:c>
      <x:c r="J74" s="14" t="n">
        <x:v>9</x:v>
      </x:c>
      <x:c r="K74" s="16" t="n">
        <x:v>0.7</x:v>
      </x:c>
      <x:c r="L74" s="16" t="n">
        <x:v>0.2</x:v>
      </x:c>
      <x:c r="M74" s="16" t="n">
        <x:v>0.03</x:v>
      </x:c>
      <x:c r="N74" s="16" t="n">
        <x:v>0.02</x:v>
      </x:c>
      <x:c r="O74" s="14" t="n">
        <x:v>0</x:v>
      </x:c>
      <x:c r="P74" s="17" t="n">
        <x:v>0.1</x:v>
      </x:c>
      <x:c r="Q74" s="14" t="n">
        <x:v>35</x:v>
      </x:c>
      <x:c r="R74" s="14" t="n">
        <x:v>0</x:v>
      </x:c>
      <x:c r="S74" s="16" t="n">
        <x:v>0</x:v>
      </x:c>
      <x:c r="T74" s="16" t="n">
        <x:v>0.1</x:v>
      </x:c>
      <x:c r="U74" s="16" t="n">
        <x:v>0.03</x:v>
      </x:c>
      <x:c r="V74" s="16" t="n">
        <x:v>0</x:v>
      </x:c>
      <x:c r="W74" s="16" t="n">
        <x:v>0.029</x:v>
      </x:c>
      <x:c r="X74" s="17" t="n">
        <x:v>0.3</x:v>
      </x:c>
      <x:c r="Y74" s="17" t="n">
        <x:v>0.15</x:v>
      </x:c>
      <x:c r="Z74" s="14" t="n">
        <x:v>30</x:v>
      </x:c>
      <x:c r="AA74" s="16" t="n">
        <x:v>0.05</x:v>
      </x:c>
      <x:c r="AB74" s="14" t="n">
        <x:v>4</x:v>
      </x:c>
      <x:c r="AC74" s="14" t="n">
        <x:v>50</x:v>
      </x:c>
      <x:c r="AD74" s="14" t="n">
        <x:v>0</x:v>
      </x:c>
      <x:c r="AE74" s="14" t="n">
        <x:v>0</x:v>
      </x:c>
      <x:c r="AF74" s="14" t="n">
        <x:v>0</x:v>
      </x:c>
      <x:c r="AG74" s="24" t="str">
        <x:v>Low</x:v>
      </x:c>
      <x:c r="AH74" s="24" t="str">
        <x:v>Dot judgment; not approved price</x:v>
      </x:c>
      <x:c r="AI74" s="24" t="str">
        <x:v>Year 1 full-year target 240 order / engagement (20.0/month),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7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74" s="24" t="str">
        <x:v>Hypothetical in-year start after outstanding release, rights, provider or professional gates; no launch approval</x:v>
      </x:c>
      <x:c r="AL74" s="24" t="str">
        <x:v>https://chatgpt.com/c/6aaff5cc-f4ec-83ea-bd7b-e25c7de6adc2
https://chatgpt.com/c/6ab029a2-4a78-83e9-b007-abf7909b0147</x:v>
      </x:c>
      <x:c r="AM74" s="27" t="n">
        <x:v>0.05</x:v>
      </x:c>
    </x:row>
    <x:row r="75" ht="48" hidden="0" customHeight="1">
      <x:c r="A75" s="1"/>
      <x:c r="B75" s="1"/>
      <x:c r="C75" s="1" t="str">
        <x:v>DOT-046</x:v>
      </x:c>
      <x:c r="D75" s="10" t="str">
        <x:v>Turbo Tax - Made Easy!</x:v>
      </x:c>
      <x:c r="E75" s="10" t="str">
        <x:v>Core bundle</x:v>
      </x:c>
      <x:c r="F75" s="10" t="str">
        <x:v>digital</x:v>
      </x:c>
      <x:c r="G75" s="10" t="str">
        <x:v>order / engagement</x:v>
      </x:c>
      <x:c r="H75" s="14" t="n">
        <x:v>149</x:v>
      </x:c>
      <x:c r="I75" s="14" t="n">
        <x:v>300</x:v>
      </x:c>
      <x:c r="J75" s="14" t="n">
        <x:v>10</x:v>
      </x:c>
      <x:c r="K75" s="16" t="n">
        <x:v>0.25</x:v>
      </x:c>
      <x:c r="L75" s="16" t="n">
        <x:v>0.15</x:v>
      </x:c>
      <x:c r="M75" s="16" t="n">
        <x:v>0.03</x:v>
      </x:c>
      <x:c r="N75" s="16" t="n">
        <x:v>0</x:v>
      </x:c>
      <x:c r="O75" s="14" t="n">
        <x:v>1</x:v>
      </x:c>
      <x:c r="P75" s="17" t="n">
        <x:v>0.15</x:v>
      </x:c>
      <x:c r="Q75" s="14" t="n">
        <x:v>35</x:v>
      </x:c>
      <x:c r="R75" s="14" t="n">
        <x:v>0</x:v>
      </x:c>
      <x:c r="S75" s="16" t="n">
        <x:v>0</x:v>
      </x:c>
      <x:c r="T75" s="16" t="n">
        <x:v>1</x:v>
      </x:c>
      <x:c r="U75" s="16" t="n">
        <x:v>0.03</x:v>
      </x:c>
      <x:c r="V75" s="16" t="n">
        <x:v>0</x:v>
      </x:c>
      <x:c r="W75" s="16" t="n">
        <x:v>0.029</x:v>
      </x:c>
      <x:c r="X75" s="17" t="n">
        <x:v>0.3</x:v>
      </x:c>
      <x:c r="Y75" s="17" t="n">
        <x:v>0.1</x:v>
      </x:c>
      <x:c r="Z75" s="14" t="n">
        <x:v>30</x:v>
      </x:c>
      <x:c r="AA75" s="16" t="n">
        <x:v>0.05</x:v>
      </x:c>
      <x:c r="AB75" s="14" t="n">
        <x:v>20</x:v>
      </x:c>
      <x:c r="AC75" s="14" t="n">
        <x:v>50</x:v>
      </x:c>
      <x:c r="AD75" s="14" t="n">
        <x:v>0</x:v>
      </x:c>
      <x:c r="AE75" s="14" t="n">
        <x:v>0</x:v>
      </x:c>
      <x:c r="AF75" s="14" t="n">
        <x:v>0</x:v>
      </x:c>
      <x:c r="AG75" s="24" t="str">
        <x:v>Low</x:v>
      </x:c>
      <x:c r="AH75" s="24" t="str">
        <x:v>Founder historical authorization; current edition binding pending</x:v>
      </x:c>
      <x:c r="AI75" s="24" t="str">
        <x:v>Year 1 full-year target 300 order / engagement (25.0/month),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7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75" s="24" t="str">
        <x:v>Hypothetical in-year start after outstanding release, rights, provider or professional gates; no launch approval</x:v>
      </x:c>
      <x:c r="AL75" s="24" t="str">
        <x:v>https://chatgpt.com/c/6ab2c328-9204-83ea-969c-31c5395b21fd</x:v>
      </x:c>
      <x:c r="AM75" s="27" t="n">
        <x:v>0.05</x:v>
      </x:c>
    </x:row>
    <x:row r="76" ht="48" hidden="0" customHeight="1">
      <x:c r="A76" s="1"/>
      <x:c r="B76" s="1"/>
      <x:c r="C76" s="1" t="str">
        <x:v>DOT-047</x:v>
      </x:c>
      <x:c r="D76" s="10" t="str">
        <x:v>LavaLearning adult</x:v>
      </x:c>
      <x:c r="E76" s="10" t="str">
        <x:v>Trust Me? Test Me. parent bundle</x:v>
      </x:c>
      <x:c r="F76" s="10" t="str">
        <x:v>digital</x:v>
      </x:c>
      <x:c r="G76" s="10" t="str">
        <x:v>order / engagement</x:v>
      </x:c>
      <x:c r="H76" s="14" t="n">
        <x:v>79</x:v>
      </x:c>
      <x:c r="I76" s="14" t="n">
        <x:v>200</x:v>
      </x:c>
      <x:c r="J76" s="14" t="n">
        <x:v>9</x:v>
      </x:c>
      <x:c r="K76" s="16" t="n">
        <x:v>0.25</x:v>
      </x:c>
      <x:c r="L76" s="16" t="n">
        <x:v>0.15</x:v>
      </x:c>
      <x:c r="M76" s="16" t="n">
        <x:v>0.03</x:v>
      </x:c>
      <x:c r="N76" s="16" t="n">
        <x:v>0</x:v>
      </x:c>
      <x:c r="O76" s="14" t="n">
        <x:v>1</x:v>
      </x:c>
      <x:c r="P76" s="17" t="n">
        <x:v>0.15</x:v>
      </x:c>
      <x:c r="Q76" s="14" t="n">
        <x:v>35</x:v>
      </x:c>
      <x:c r="R76" s="14" t="n">
        <x:v>0</x:v>
      </x:c>
      <x:c r="S76" s="16" t="n">
        <x:v>0</x:v>
      </x:c>
      <x:c r="T76" s="16" t="n">
        <x:v>1</x:v>
      </x:c>
      <x:c r="U76" s="16" t="n">
        <x:v>0.03</x:v>
      </x:c>
      <x:c r="V76" s="16" t="n">
        <x:v>0</x:v>
      </x:c>
      <x:c r="W76" s="16" t="n">
        <x:v>0.029</x:v>
      </x:c>
      <x:c r="X76" s="17" t="n">
        <x:v>0.3</x:v>
      </x:c>
      <x:c r="Y76" s="17" t="n">
        <x:v>0.1</x:v>
      </x:c>
      <x:c r="Z76" s="14" t="n">
        <x:v>30</x:v>
      </x:c>
      <x:c r="AA76" s="16" t="n">
        <x:v>0.05</x:v>
      </x:c>
      <x:c r="AB76" s="14" t="n">
        <x:v>20</x:v>
      </x:c>
      <x:c r="AC76" s="14" t="n">
        <x:v>50</x:v>
      </x:c>
      <x:c r="AD76" s="14" t="n">
        <x:v>0</x:v>
      </x:c>
      <x:c r="AE76" s="14" t="n">
        <x:v>0</x:v>
      </x:c>
      <x:c r="AF76" s="14" t="n">
        <x:v>0</x:v>
      </x:c>
      <x:c r="AG76" s="24" t="str">
        <x:v>Low</x:v>
      </x:c>
      <x:c r="AH76" s="24" t="str">
        <x:v>Founder historical authorization; not micro-course L13 price</x:v>
      </x:c>
      <x:c r="AI76" s="24" t="str">
        <x:v>Year 1 full-year target 200 order / engagement (16.7/month),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7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76" s="24" t="str">
        <x:v>Hypothetical in-year start after outstanding release, rights, provider or professional gates; no launch approval</x:v>
      </x:c>
      <x:c r="AL76" s="24" t="str">
        <x:v>https://chatgpt.com/c/6ab2c328-9204-83ea-969c-31c5395b21fd</x:v>
      </x:c>
      <x:c r="AM76" s="27" t="n">
        <x:v>0.05</x:v>
      </x:c>
    </x:row>
    <x:row r="77" ht="48" hidden="0" customHeight="1">
      <x:c r="A77" s="1"/>
      <x:c r="B77" s="1"/>
      <x:c r="C77" s="1" t="str">
        <x:v>DOT-048</x:v>
      </x:c>
      <x:c r="D77" s="10" t="str">
        <x:v>Turbo Tax - Made Easy!</x:v>
      </x:c>
      <x:c r="E77" s="10" t="str">
        <x:v>Standalone T01–T20 topics, outside bundle purchases</x:v>
      </x:c>
      <x:c r="F77" s="10" t="str">
        <x:v>digital</x:v>
      </x:c>
      <x:c r="G77" s="10" t="str">
        <x:v>order / engagement</x:v>
      </x:c>
      <x:c r="H77" s="14" t="n">
        <x:v>19</x:v>
      </x:c>
      <x:c r="I77" s="14" t="n">
        <x:v>600</x:v>
      </x:c>
      <x:c r="J77" s="14" t="n">
        <x:v>10</x:v>
      </x:c>
      <x:c r="K77" s="16" t="n">
        <x:v>0.25</x:v>
      </x:c>
      <x:c r="L77" s="16" t="n">
        <x:v>0.15</x:v>
      </x:c>
      <x:c r="M77" s="16" t="n">
        <x:v>0.03</x:v>
      </x:c>
      <x:c r="N77" s="16" t="n">
        <x:v>0.02</x:v>
      </x:c>
      <x:c r="O77" s="14" t="n">
        <x:v>0</x:v>
      </x:c>
      <x:c r="P77" s="17" t="n">
        <x:v>0.15</x:v>
      </x:c>
      <x:c r="Q77" s="14" t="n">
        <x:v>35</x:v>
      </x:c>
      <x:c r="R77" s="14" t="n">
        <x:v>0</x:v>
      </x:c>
      <x:c r="S77" s="16" t="n">
        <x:v>0</x:v>
      </x:c>
      <x:c r="T77" s="16" t="n">
        <x:v>1</x:v>
      </x:c>
      <x:c r="U77" s="16" t="n">
        <x:v>0.03</x:v>
      </x:c>
      <x:c r="V77" s="16" t="n">
        <x:v>0</x:v>
      </x:c>
      <x:c r="W77" s="16" t="n">
        <x:v>0.029</x:v>
      </x:c>
      <x:c r="X77" s="17" t="n">
        <x:v>0.3</x:v>
      </x:c>
      <x:c r="Y77" s="17" t="n">
        <x:v>0.1</x:v>
      </x:c>
      <x:c r="Z77" s="14" t="n">
        <x:v>30</x:v>
      </x:c>
      <x:c r="AA77" s="16" t="n">
        <x:v>0.05</x:v>
      </x:c>
      <x:c r="AB77" s="14" t="n">
        <x:v>30</x:v>
      </x:c>
      <x:c r="AC77" s="14" t="n">
        <x:v>50</x:v>
      </x:c>
      <x:c r="AD77" s="14" t="n">
        <x:v>0</x:v>
      </x:c>
      <x:c r="AE77" s="14" t="n">
        <x:v>0</x:v>
      </x:c>
      <x:c r="AF77" s="14" t="n">
        <x:v>0</x:v>
      </x:c>
      <x:c r="AG77" s="24" t="str">
        <x:v>Low</x:v>
      </x:c>
      <x:c r="AH77" s="24" t="str">
        <x:v>Dot judgment; not approved price</x:v>
      </x:c>
      <x:c r="AI77" s="24" t="str">
        <x:v>Year 1 full-year target 600 order / engagement (50.0/month),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7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77" s="24" t="str">
        <x:v>Hypothetical in-year start after outstanding release, rights, provider or professional gates; no launch approval</x:v>
      </x:c>
      <x:c r="AL77" s="24" t="str">
        <x:v>https://chatgpt.com/c/6ab2c328-9204-83ea-969c-31c5395b21fd</x:v>
      </x:c>
      <x:c r="AM77" s="27" t="n">
        <x:v>0.05</x:v>
      </x:c>
    </x:row>
    <x:row r="78" ht="48" hidden="0" customHeight="1">
      <x:c r="A78" s="1"/>
      <x:c r="B78" s="1"/>
      <x:c r="C78" s="1" t="str">
        <x:v>DOT-049</x:v>
      </x:c>
      <x:c r="D78" s="10" t="str">
        <x:v>Turbo Tax - Made Easy!</x:v>
      </x:c>
      <x:c r="E78" s="10" t="str">
        <x:v>Standalone T21–T30 later topics</x:v>
      </x:c>
      <x:c r="F78" s="10" t="str">
        <x:v>digital</x:v>
      </x:c>
      <x:c r="G78" s="10" t="str">
        <x:v>order / engagement</x:v>
      </x:c>
      <x:c r="H78" s="14" t="n">
        <x:v>19</x:v>
      </x:c>
      <x:c r="I78" s="14" t="n">
        <x:v>200</x:v>
      </x:c>
      <x:c r="J78" s="14" t="n">
        <x:v>6</x:v>
      </x:c>
      <x:c r="K78" s="16" t="n">
        <x:v>0.25</x:v>
      </x:c>
      <x:c r="L78" s="16" t="n">
        <x:v>0.15</x:v>
      </x:c>
      <x:c r="M78" s="16" t="n">
        <x:v>0.03</x:v>
      </x:c>
      <x:c r="N78" s="16" t="n">
        <x:v>0.02</x:v>
      </x:c>
      <x:c r="O78" s="14" t="n">
        <x:v>0</x:v>
      </x:c>
      <x:c r="P78" s="17" t="n">
        <x:v>0.15</x:v>
      </x:c>
      <x:c r="Q78" s="14" t="n">
        <x:v>35</x:v>
      </x:c>
      <x:c r="R78" s="14" t="n">
        <x:v>0</x:v>
      </x:c>
      <x:c r="S78" s="16" t="n">
        <x:v>0</x:v>
      </x:c>
      <x:c r="T78" s="16" t="n">
        <x:v>1</x:v>
      </x:c>
      <x:c r="U78" s="16" t="n">
        <x:v>0.03</x:v>
      </x:c>
      <x:c r="V78" s="16" t="n">
        <x:v>0</x:v>
      </x:c>
      <x:c r="W78" s="16" t="n">
        <x:v>0.029</x:v>
      </x:c>
      <x:c r="X78" s="17" t="n">
        <x:v>0.3</x:v>
      </x:c>
      <x:c r="Y78" s="17" t="n">
        <x:v>0.1</x:v>
      </x:c>
      <x:c r="Z78" s="14" t="n">
        <x:v>30</x:v>
      </x:c>
      <x:c r="AA78" s="16" t="n">
        <x:v>0.05</x:v>
      </x:c>
      <x:c r="AB78" s="14" t="n">
        <x:v>30</x:v>
      </x:c>
      <x:c r="AC78" s="14" t="n">
        <x:v>50</x:v>
      </x:c>
      <x:c r="AD78" s="14" t="n">
        <x:v>0</x:v>
      </x:c>
      <x:c r="AE78" s="14" t="n">
        <x:v>0</x:v>
      </x:c>
      <x:c r="AF78" s="14" t="n">
        <x:v>0</x:v>
      </x:c>
      <x:c r="AG78" s="24" t="str">
        <x:v>Low</x:v>
      </x:c>
      <x:c r="AH78" s="24" t="str">
        <x:v>Dot judgment; not approved price</x:v>
      </x:c>
      <x:c r="AI78" s="24" t="str">
        <x:v>Year 1 full-year target 200 order / engagement (16.7/month),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7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78" s="24" t="str">
        <x:v>Hypothetical in-year start after outstanding release, rights, provider or professional gates; no launch approval</x:v>
      </x:c>
      <x:c r="AL78" s="24" t="str">
        <x:v>https://chatgpt.com/c/6ab2c328-9204-83ea-969c-31c5395b21fd</x:v>
      </x:c>
      <x:c r="AM78" s="27" t="n">
        <x:v>0.05</x:v>
      </x:c>
    </x:row>
    <x:row r="79" ht="48" hidden="0" customHeight="1">
      <x:c r="A79" s="1"/>
      <x:c r="B79" s="1"/>
      <x:c r="C79" s="1" t="str">
        <x:v>DOT-050</x:v>
      </x:c>
      <x:c r="D79" s="10" t="str">
        <x:v>LavaLearning adult</x:v>
      </x:c>
      <x:c r="E79" s="10" t="str">
        <x:v>Standalone L01–L30 adult topics</x:v>
      </x:c>
      <x:c r="F79" s="10" t="str">
        <x:v>digital</x:v>
      </x:c>
      <x:c r="G79" s="10" t="str">
        <x:v>order / engagement</x:v>
      </x:c>
      <x:c r="H79" s="14" t="n">
        <x:v>19</x:v>
      </x:c>
      <x:c r="I79" s="14" t="n">
        <x:v>600</x:v>
      </x:c>
      <x:c r="J79" s="14" t="n">
        <x:v>9</x:v>
      </x:c>
      <x:c r="K79" s="16" t="n">
        <x:v>0.25</x:v>
      </x:c>
      <x:c r="L79" s="16" t="n">
        <x:v>0.15</x:v>
      </x:c>
      <x:c r="M79" s="16" t="n">
        <x:v>0.03</x:v>
      </x:c>
      <x:c r="N79" s="16" t="n">
        <x:v>0.02</x:v>
      </x:c>
      <x:c r="O79" s="14" t="n">
        <x:v>0</x:v>
      </x:c>
      <x:c r="P79" s="17" t="n">
        <x:v>0.15</x:v>
      </x:c>
      <x:c r="Q79" s="14" t="n">
        <x:v>35</x:v>
      </x:c>
      <x:c r="R79" s="14" t="n">
        <x:v>0</x:v>
      </x:c>
      <x:c r="S79" s="16" t="n">
        <x:v>0</x:v>
      </x:c>
      <x:c r="T79" s="16" t="n">
        <x:v>1</x:v>
      </x:c>
      <x:c r="U79" s="16" t="n">
        <x:v>0.03</x:v>
      </x:c>
      <x:c r="V79" s="16" t="n">
        <x:v>0</x:v>
      </x:c>
      <x:c r="W79" s="16" t="n">
        <x:v>0.029</x:v>
      </x:c>
      <x:c r="X79" s="17" t="n">
        <x:v>0.3</x:v>
      </x:c>
      <x:c r="Y79" s="17" t="n">
        <x:v>0.1</x:v>
      </x:c>
      <x:c r="Z79" s="14" t="n">
        <x:v>30</x:v>
      </x:c>
      <x:c r="AA79" s="16" t="n">
        <x:v>0.05</x:v>
      </x:c>
      <x:c r="AB79" s="14" t="n">
        <x:v>40</x:v>
      </x:c>
      <x:c r="AC79" s="14" t="n">
        <x:v>50</x:v>
      </x:c>
      <x:c r="AD79" s="14" t="n">
        <x:v>0</x:v>
      </x:c>
      <x:c r="AE79" s="14" t="n">
        <x:v>0</x:v>
      </x:c>
      <x:c r="AF79" s="14" t="n">
        <x:v>0</x:v>
      </x:c>
      <x:c r="AG79" s="24" t="str">
        <x:v>Low</x:v>
      </x:c>
      <x:c r="AH79" s="24" t="str">
        <x:v>Dot judgment; not approved price</x:v>
      </x:c>
      <x:c r="AI79" s="24" t="str">
        <x:v>Year 1 full-year target 600 order / engagement (50.0/month),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7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79" s="24" t="str">
        <x:v>Hypothetical in-year start after outstanding release, rights, provider or professional gates; no launch approval</x:v>
      </x:c>
      <x:c r="AL79" s="24" t="str">
        <x:v>https://chatgpt.com/c/6ab2c328-9204-83ea-969c-31c5395b21fd</x:v>
      </x:c>
      <x:c r="AM79" s="27" t="n">
        <x:v>0.05</x:v>
      </x:c>
    </x:row>
    <x:row r="80" ht="48" hidden="0" customHeight="1">
      <x:c r="A80" s="1"/>
      <x:c r="B80" s="1"/>
      <x:c r="C80" s="1" t="str">
        <x:v>DOT-051</x:v>
      </x:c>
      <x:c r="D80" s="10" t="str">
        <x:v>LavaLearning adult</x:v>
      </x:c>
      <x:c r="E80" s="10" t="str">
        <x:v>AI Workpaper Check educational access</x:v>
      </x:c>
      <x:c r="F80" s="10" t="str">
        <x:v>digital</x:v>
      </x:c>
      <x:c r="G80" s="10" t="str">
        <x:v>order / engagement</x:v>
      </x:c>
      <x:c r="H80" s="14" t="n">
        <x:v>29</x:v>
      </x:c>
      <x:c r="I80" s="14" t="n">
        <x:v>120</x:v>
      </x:c>
      <x:c r="J80" s="14" t="n">
        <x:v>6</x:v>
      </x:c>
      <x:c r="K80" s="16" t="n">
        <x:v>0.25</x:v>
      </x:c>
      <x:c r="L80" s="16" t="n">
        <x:v>0.15</x:v>
      </x:c>
      <x:c r="M80" s="16" t="n">
        <x:v>0.03</x:v>
      </x:c>
      <x:c r="N80" s="16" t="n">
        <x:v>0.02</x:v>
      </x:c>
      <x:c r="O80" s="14" t="n">
        <x:v>0</x:v>
      </x:c>
      <x:c r="P80" s="17" t="n">
        <x:v>0.15</x:v>
      </x:c>
      <x:c r="Q80" s="14" t="n">
        <x:v>35</x:v>
      </x:c>
      <x:c r="R80" s="14" t="n">
        <x:v>0</x:v>
      </x:c>
      <x:c r="S80" s="16" t="n">
        <x:v>0</x:v>
      </x:c>
      <x:c r="T80" s="16" t="n">
        <x:v>1</x:v>
      </x:c>
      <x:c r="U80" s="16" t="n">
        <x:v>0.03</x:v>
      </x:c>
      <x:c r="V80" s="16" t="n">
        <x:v>0</x:v>
      </x:c>
      <x:c r="W80" s="16" t="n">
        <x:v>0.029</x:v>
      </x:c>
      <x:c r="X80" s="17" t="n">
        <x:v>0.3</x:v>
      </x:c>
      <x:c r="Y80" s="17" t="n">
        <x:v>0.1</x:v>
      </x:c>
      <x:c r="Z80" s="14" t="n">
        <x:v>30</x:v>
      </x:c>
      <x:c r="AA80" s="16" t="n">
        <x:v>0.05</x:v>
      </x:c>
      <x:c r="AB80" s="14" t="n">
        <x:v>20</x:v>
      </x:c>
      <x:c r="AC80" s="14" t="n">
        <x:v>50</x:v>
      </x:c>
      <x:c r="AD80" s="14" t="n">
        <x:v>0</x:v>
      </x:c>
      <x:c r="AE80" s="14" t="n">
        <x:v>0</x:v>
      </x:c>
      <x:c r="AF80" s="14" t="n">
        <x:v>0</x:v>
      </x:c>
      <x:c r="AG80" s="24" t="str">
        <x:v>Low</x:v>
      </x:c>
      <x:c r="AH80" s="24" t="str">
        <x:v>Dot judgment; not approved price</x:v>
      </x:c>
      <x:c r="AI80" s="24" t="str">
        <x:v>Year 1 full-year target 120 order / engagement (10.0/month),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8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80" s="24" t="str">
        <x:v>Hypothetical in-year start after outstanding release, rights, provider or professional gates; no launch approval</x:v>
      </x:c>
      <x:c r="AL80" s="24" t="str">
        <x:v>https://chatgpt.com/c/6ab2c328-9204-83ea-969c-31c5395b21fd</x:v>
      </x:c>
      <x:c r="AM80" s="27" t="n">
        <x:v>0.05</x:v>
      </x:c>
    </x:row>
    <x:row r="81" ht="36" hidden="0" customHeight="1">
      <x:c r="A81" s="1"/>
      <x:c r="B81" s="1"/>
      <x:c r="C81" s="1" t="str">
        <x:v>DOT-052</x:v>
      </x:c>
      <x:c r="D81" s="10" t="str">
        <x:v>LavaLearning Model Life</x:v>
      </x:c>
      <x:c r="E81" s="10" t="str">
        <x:v>Separately sold branded learning</x:v>
      </x:c>
      <x:c r="F81" s="10" t="str">
        <x:v>digital</x:v>
      </x:c>
      <x:c r="G81" s="10" t="str">
        <x:v>order / engagement</x:v>
      </x:c>
      <x:c r="H81" s="14" t="n">
        <x:v>0</x:v>
      </x:c>
      <x:c r="I81" s="14" t="n">
        <x:v>0</x:v>
      </x:c>
      <x:c r="J81" s="14" t="n">
        <x:v>6</x:v>
      </x:c>
      <x:c r="K81" s="16" t="n">
        <x:v>0.25</x:v>
      </x:c>
      <x:c r="L81" s="16" t="n">
        <x:v>0.15</x:v>
      </x:c>
      <x:c r="M81" s="16" t="n">
        <x:v>0.03</x:v>
      </x:c>
      <x:c r="N81" s="16" t="n">
        <x:v>0.02</x:v>
      </x:c>
      <x:c r="O81" s="14" t="n">
        <x:v>0</x:v>
      </x:c>
      <x:c r="P81" s="17" t="n">
        <x:v>0.15</x:v>
      </x:c>
      <x:c r="Q81" s="14" t="n">
        <x:v>35</x:v>
      </x:c>
      <x:c r="R81" s="14" t="n">
        <x:v>0</x:v>
      </x:c>
      <x:c r="S81" s="16" t="n">
        <x:v>0</x:v>
      </x:c>
      <x:c r="T81" s="16" t="n">
        <x:v>1</x:v>
      </x:c>
      <x:c r="U81" s="16" t="n">
        <x:v>0.03</x:v>
      </x:c>
      <x:c r="V81" s="16" t="n">
        <x:v>0</x:v>
      </x:c>
      <x:c r="W81" s="16" t="n">
        <x:v>0.029</x:v>
      </x:c>
      <x:c r="X81" s="17" t="n">
        <x:v>0.3</x:v>
      </x:c>
      <x:c r="Y81" s="17" t="n">
        <x:v>0.1</x:v>
      </x:c>
      <x:c r="Z81" s="14" t="n">
        <x:v>30</x:v>
      </x:c>
      <x:c r="AA81" s="16" t="n">
        <x:v>0.05</x:v>
      </x:c>
      <x:c r="AB81" s="14" t="n">
        <x:v>0</x:v>
      </x:c>
      <x:c r="AC81" s="14" t="n">
        <x:v>50</x:v>
      </x:c>
      <x:c r="AD81" s="14" t="n">
        <x:v>0</x:v>
      </x:c>
      <x:c r="AE81" s="14" t="n">
        <x:v>0</x:v>
      </x:c>
      <x:c r="AF81" s="14" t="n">
        <x:v>0</x:v>
      </x:c>
      <x:c r="AG81" s="24" t="str">
        <x:v>Low</x:v>
      </x:c>
      <x:c r="AH81" s="24" t="str">
        <x:v>Included learning module; no separate revenue</x:v>
      </x:c>
      <x:c r="AI81" s="24" t="str">
        <x:v>Included within parent offer; zero separate sales prevents double counting.</x:v>
      </x:c>
      <x:c r="AJ8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81" s="24" t="str">
        <x:v>Hypothetical in-year start after outstanding release, rights, provider or professional gates; no launch approval</x:v>
      </x:c>
      <x:c r="AL81" s="24" t="str">
        <x:v>https://chatgpt.com/c/6ab2c328-9204-83ea-969c-31c5395b21fd</x:v>
      </x:c>
      <x:c r="AM81" s="27" t="n">
        <x:v>0.05</x:v>
      </x:c>
    </x:row>
    <x:row r="82" ht="48" hidden="0" customHeight="1">
      <x:c r="A82" s="1"/>
      <x:c r="B82" s="1"/>
      <x:c r="C82" s="1" t="str">
        <x:v>DOT-053</x:v>
      </x:c>
      <x:c r="D82" s="10" t="str">
        <x:v>LavaLearning Kids</x:v>
      </x:c>
      <x:c r="E82" s="10" t="str">
        <x:v>Guardian-purchased learning packs</x:v>
      </x:c>
      <x:c r="F82" s="10" t="str">
        <x:v>digital</x:v>
      </x:c>
      <x:c r="G82" s="10" t="str">
        <x:v>order / engagement</x:v>
      </x:c>
      <x:c r="H82" s="14" t="n">
        <x:v>19</x:v>
      </x:c>
      <x:c r="I82" s="14" t="n">
        <x:v>600</x:v>
      </x:c>
      <x:c r="J82" s="14" t="n">
        <x:v>6</x:v>
      </x:c>
      <x:c r="K82" s="16" t="n">
        <x:v>0.25</x:v>
      </x:c>
      <x:c r="L82" s="16" t="n">
        <x:v>0.15</x:v>
      </x:c>
      <x:c r="M82" s="16" t="n">
        <x:v>0.03</x:v>
      </x:c>
      <x:c r="N82" s="16" t="n">
        <x:v>0.02</x:v>
      </x:c>
      <x:c r="O82" s="14" t="n">
        <x:v>0</x:v>
      </x:c>
      <x:c r="P82" s="17" t="n">
        <x:v>0.15</x:v>
      </x:c>
      <x:c r="Q82" s="14" t="n">
        <x:v>35</x:v>
      </x:c>
      <x:c r="R82" s="14" t="n">
        <x:v>0</x:v>
      </x:c>
      <x:c r="S82" s="16" t="n">
        <x:v>0</x:v>
      </x:c>
      <x:c r="T82" s="16" t="n">
        <x:v>1</x:v>
      </x:c>
      <x:c r="U82" s="16" t="n">
        <x:v>0.03</x:v>
      </x:c>
      <x:c r="V82" s="16" t="n">
        <x:v>0</x:v>
      </x:c>
      <x:c r="W82" s="16" t="n">
        <x:v>0.029</x:v>
      </x:c>
      <x:c r="X82" s="17" t="n">
        <x:v>0.3</x:v>
      </x:c>
      <x:c r="Y82" s="17" t="n">
        <x:v>0.1</x:v>
      </x:c>
      <x:c r="Z82" s="14" t="n">
        <x:v>30</x:v>
      </x:c>
      <x:c r="AA82" s="16" t="n">
        <x:v>0.05</x:v>
      </x:c>
      <x:c r="AB82" s="14" t="n">
        <x:v>80</x:v>
      </x:c>
      <x:c r="AC82" s="14" t="n">
        <x:v>50</x:v>
      </x:c>
      <x:c r="AD82" s="14" t="n">
        <x:v>0</x:v>
      </x:c>
      <x:c r="AE82" s="14" t="n">
        <x:v>240</x:v>
      </x:c>
      <x:c r="AF82" s="14" t="n">
        <x:v>0</x:v>
      </x:c>
      <x:c r="AG82" s="24" t="str">
        <x:v>Low</x:v>
      </x:c>
      <x:c r="AH82" s="24" t="str">
        <x:v>Dot judgment; not approved price</x:v>
      </x:c>
      <x:c r="AI82" s="24" t="str">
        <x:v>Year 1 full-year target 600 order / engagement (50.0/month),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8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82" s="24" t="str">
        <x:v>Hypothetical in-year start after outstanding release, rights, provider or professional gates; no launch approval</x:v>
      </x:c>
      <x:c r="AL82" s="24" t="str">
        <x:v>https://chatgpt.com/c/6ab2c328-9204-83ea-969c-31c5395b21fd</x:v>
      </x:c>
      <x:c r="AM82" s="27" t="n">
        <x:v>0.05</x:v>
      </x:c>
    </x:row>
    <x:row r="83" ht="48" hidden="0" customHeight="1">
      <x:c r="A83" s="1"/>
      <x:c r="B83" s="1"/>
      <x:c r="C83" s="1" t="str">
        <x:v>DOT-054</x:v>
      </x:c>
      <x:c r="D83" s="10" t="str">
        <x:v>VraiSkill adult</x:v>
      </x:c>
      <x:c r="E83" s="10" t="str">
        <x:v>Standalone adult course purchases</x:v>
      </x:c>
      <x:c r="F83" s="10" t="str">
        <x:v>digital</x:v>
      </x:c>
      <x:c r="G83" s="10" t="str">
        <x:v>order / engagement</x:v>
      </x:c>
      <x:c r="H83" s="14" t="n">
        <x:v>9.99</x:v>
      </x:c>
      <x:c r="I83" s="14" t="n">
        <x:v>1200</x:v>
      </x:c>
      <x:c r="J83" s="14" t="n">
        <x:v>9</x:v>
      </x:c>
      <x:c r="K83" s="16" t="n">
        <x:v>0.25</x:v>
      </x:c>
      <x:c r="L83" s="16" t="n">
        <x:v>0.15</x:v>
      </x:c>
      <x:c r="M83" s="16" t="n">
        <x:v>0.03</x:v>
      </x:c>
      <x:c r="N83" s="16" t="n">
        <x:v>0.02</x:v>
      </x:c>
      <x:c r="O83" s="14" t="n">
        <x:v>0</x:v>
      </x:c>
      <x:c r="P83" s="17" t="n">
        <x:v>0.15</x:v>
      </x:c>
      <x:c r="Q83" s="14" t="n">
        <x:v>35</x:v>
      </x:c>
      <x:c r="R83" s="14" t="n">
        <x:v>0</x:v>
      </x:c>
      <x:c r="S83" s="16" t="n">
        <x:v>0</x:v>
      </x:c>
      <x:c r="T83" s="16" t="n">
        <x:v>1</x:v>
      </x:c>
      <x:c r="U83" s="16" t="n">
        <x:v>0.03</x:v>
      </x:c>
      <x:c r="V83" s="16" t="n">
        <x:v>0</x:v>
      </x:c>
      <x:c r="W83" s="16" t="n">
        <x:v>0.029</x:v>
      </x:c>
      <x:c r="X83" s="17" t="n">
        <x:v>0.3</x:v>
      </x:c>
      <x:c r="Y83" s="17" t="n">
        <x:v>0.1</x:v>
      </x:c>
      <x:c r="Z83" s="14" t="n">
        <x:v>30</x:v>
      </x:c>
      <x:c r="AA83" s="16" t="n">
        <x:v>0.05</x:v>
      </x:c>
      <x:c r="AB83" s="14" t="n">
        <x:v>60</x:v>
      </x:c>
      <x:c r="AC83" s="14" t="n">
        <x:v>50</x:v>
      </x:c>
      <x:c r="AD83" s="14" t="n">
        <x:v>0</x:v>
      </x:c>
      <x:c r="AE83" s="14" t="n">
        <x:v>240</x:v>
      </x:c>
      <x:c r="AF83" s="14" t="n">
        <x:v>0</x:v>
      </x:c>
      <x:c r="AG83" s="24" t="str">
        <x:v>Low</x:v>
      </x:c>
      <x:c r="AH83" s="24" t="str">
        <x:v>Historical proposal used as Dot assumption</x:v>
      </x:c>
      <x:c r="AI83" s="24" t="str">
        <x:v>Year 1 full-year target 1200 order / engagement (100.0/month),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8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83" s="24" t="str">
        <x:v>Hypothetical in-year start after outstanding release, rights, provider or professional gates; no launch approval</x:v>
      </x:c>
      <x:c r="AL83" s="24" t="str">
        <x:v>https://chatgpt.com/c/6ab4244d-1adc-83ea-a540-8e832bce784b</x:v>
      </x:c>
      <x:c r="AM83" s="27" t="n">
        <x:v>0.05</x:v>
      </x:c>
    </x:row>
    <x:row r="84" ht="48" hidden="0" customHeight="1">
      <x:c r="A84" s="1"/>
      <x:c r="B84" s="1"/>
      <x:c r="C84" s="1" t="str">
        <x:v>DOT-055</x:v>
      </x:c>
      <x:c r="D84" s="10" t="str">
        <x:v>VraiSkill adult</x:v>
      </x:c>
      <x:c r="E84" s="10" t="str">
        <x:v>Three-course bundles, separate purchase cohorts</x:v>
      </x:c>
      <x:c r="F84" s="10" t="str">
        <x:v>digital</x:v>
      </x:c>
      <x:c r="G84" s="10" t="str">
        <x:v>order / engagement</x:v>
      </x:c>
      <x:c r="H84" s="14" t="n">
        <x:v>24</x:v>
      </x:c>
      <x:c r="I84" s="14" t="n">
        <x:v>400</x:v>
      </x:c>
      <x:c r="J84" s="14" t="n">
        <x:v>9</x:v>
      </x:c>
      <x:c r="K84" s="16" t="n">
        <x:v>0.25</x:v>
      </x:c>
      <x:c r="L84" s="16" t="n">
        <x:v>0.15</x:v>
      </x:c>
      <x:c r="M84" s="16" t="n">
        <x:v>0.03</x:v>
      </x:c>
      <x:c r="N84" s="16" t="n">
        <x:v>0.02</x:v>
      </x:c>
      <x:c r="O84" s="14" t="n">
        <x:v>0</x:v>
      </x:c>
      <x:c r="P84" s="17" t="n">
        <x:v>0.15</x:v>
      </x:c>
      <x:c r="Q84" s="14" t="n">
        <x:v>35</x:v>
      </x:c>
      <x:c r="R84" s="14" t="n">
        <x:v>0</x:v>
      </x:c>
      <x:c r="S84" s="16" t="n">
        <x:v>0</x:v>
      </x:c>
      <x:c r="T84" s="16" t="n">
        <x:v>1</x:v>
      </x:c>
      <x:c r="U84" s="16" t="n">
        <x:v>0.03</x:v>
      </x:c>
      <x:c r="V84" s="16" t="n">
        <x:v>0</x:v>
      </x:c>
      <x:c r="W84" s="16" t="n">
        <x:v>0.029</x:v>
      </x:c>
      <x:c r="X84" s="17" t="n">
        <x:v>0.3</x:v>
      </x:c>
      <x:c r="Y84" s="17" t="n">
        <x:v>0.1</x:v>
      </x:c>
      <x:c r="Z84" s="14" t="n">
        <x:v>30</x:v>
      </x:c>
      <x:c r="AA84" s="16" t="n">
        <x:v>0.05</x:v>
      </x:c>
      <x:c r="AB84" s="14" t="n">
        <x:v>0</x:v>
      </x:c>
      <x:c r="AC84" s="14" t="n">
        <x:v>50</x:v>
      </x:c>
      <x:c r="AD84" s="14" t="n">
        <x:v>0</x:v>
      </x:c>
      <x:c r="AE84" s="14" t="n">
        <x:v>0</x:v>
      </x:c>
      <x:c r="AF84" s="14" t="n">
        <x:v>0</x:v>
      </x:c>
      <x:c r="AG84" s="24" t="str">
        <x:v>Low</x:v>
      </x:c>
      <x:c r="AH84" s="24" t="str">
        <x:v>Historical proposal used as Dot assumption</x:v>
      </x:c>
      <x:c r="AI84" s="24" t="str">
        <x:v>Year 1 full-year target 400 order / engagement (33.3/month),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8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84" s="24" t="str">
        <x:v>Hypothetical in-year start after outstanding release, rights, provider or professional gates; no launch approval</x:v>
      </x:c>
      <x:c r="AL84" s="24" t="str">
        <x:v>https://chatgpt.com/c/6ab4244d-1adc-83ea-a540-8e832bce784b</x:v>
      </x:c>
      <x:c r="AM84" s="27" t="n">
        <x:v>0.05</x:v>
      </x:c>
    </x:row>
    <x:row r="85" ht="48" hidden="0" customHeight="1">
      <x:c r="A85" s="1"/>
      <x:c r="B85" s="1"/>
      <x:c r="C85" s="1" t="str">
        <x:v>DOT-056</x:v>
      </x:c>
      <x:c r="D85" s="10" t="str">
        <x:v>VraiSkill teen</x:v>
      </x:c>
      <x:c r="E85" s="10" t="str">
        <x:v>Guardian-purchased teen learning packs</x:v>
      </x:c>
      <x:c r="F85" s="10" t="str">
        <x:v>digital</x:v>
      </x:c>
      <x:c r="G85" s="10" t="str">
        <x:v>order / engagement</x:v>
      </x:c>
      <x:c r="H85" s="14" t="n">
        <x:v>24</x:v>
      </x:c>
      <x:c r="I85" s="14" t="n">
        <x:v>400</x:v>
      </x:c>
      <x:c r="J85" s="14" t="n">
        <x:v>6</x:v>
      </x:c>
      <x:c r="K85" s="16" t="n">
        <x:v>0.25</x:v>
      </x:c>
      <x:c r="L85" s="16" t="n">
        <x:v>0.15</x:v>
      </x:c>
      <x:c r="M85" s="16" t="n">
        <x:v>0.03</x:v>
      </x:c>
      <x:c r="N85" s="16" t="n">
        <x:v>0.02</x:v>
      </x:c>
      <x:c r="O85" s="14" t="n">
        <x:v>0</x:v>
      </x:c>
      <x:c r="P85" s="17" t="n">
        <x:v>0.15</x:v>
      </x:c>
      <x:c r="Q85" s="14" t="n">
        <x:v>35</x:v>
      </x:c>
      <x:c r="R85" s="14" t="n">
        <x:v>0</x:v>
      </x:c>
      <x:c r="S85" s="16" t="n">
        <x:v>0</x:v>
      </x:c>
      <x:c r="T85" s="16" t="n">
        <x:v>1</x:v>
      </x:c>
      <x:c r="U85" s="16" t="n">
        <x:v>0.03</x:v>
      </x:c>
      <x:c r="V85" s="16" t="n">
        <x:v>0</x:v>
      </x:c>
      <x:c r="W85" s="16" t="n">
        <x:v>0.029</x:v>
      </x:c>
      <x:c r="X85" s="17" t="n">
        <x:v>0.3</x:v>
      </x:c>
      <x:c r="Y85" s="17" t="n">
        <x:v>0.1</x:v>
      </x:c>
      <x:c r="Z85" s="14" t="n">
        <x:v>30</x:v>
      </x:c>
      <x:c r="AA85" s="16" t="n">
        <x:v>0.05</x:v>
      </x:c>
      <x:c r="AB85" s="14" t="n">
        <x:v>80</x:v>
      </x:c>
      <x:c r="AC85" s="14" t="n">
        <x:v>50</x:v>
      </x:c>
      <x:c r="AD85" s="14" t="n">
        <x:v>0</x:v>
      </x:c>
      <x:c r="AE85" s="14" t="n">
        <x:v>240</x:v>
      </x:c>
      <x:c r="AF85" s="14" t="n">
        <x:v>0</x:v>
      </x:c>
      <x:c r="AG85" s="24" t="str">
        <x:v>Low</x:v>
      </x:c>
      <x:c r="AH85" s="24" t="str">
        <x:v>Dot judgment; not approved price</x:v>
      </x:c>
      <x:c r="AI85" s="24" t="str">
        <x:v>Year 1 full-year target 400 order / engagement (33.3/month),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8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85" s="24" t="str">
        <x:v>Hypothetical in-year start after outstanding release, rights, provider or professional gates; no launch approval</x:v>
      </x:c>
      <x:c r="AL85" s="24" t="str">
        <x:v>https://chatgpt.com/c/6ab4244d-1adc-83ea-a540-8e832bce784b</x:v>
      </x:c>
      <x:c r="AM85" s="27" t="n">
        <x:v>0.05</x:v>
      </x:c>
    </x:row>
    <x:row r="86" ht="36" hidden="0" customHeight="1">
      <x:c r="A86" s="1"/>
      <x:c r="B86" s="1"/>
      <x:c r="C86" s="1" t="str">
        <x:v>DOT-057</x:v>
      </x:c>
      <x:c r="D86" s="10" t="str">
        <x:v>VraiSkill Model Life</x:v>
      </x:c>
      <x:c r="E86" s="10" t="str">
        <x:v>Separately sold branded learning</x:v>
      </x:c>
      <x:c r="F86" s="10" t="str">
        <x:v>digital</x:v>
      </x:c>
      <x:c r="G86" s="10" t="str">
        <x:v>order / engagement</x:v>
      </x:c>
      <x:c r="H86" s="14" t="n">
        <x:v>0</x:v>
      </x:c>
      <x:c r="I86" s="14" t="n">
        <x:v>0</x:v>
      </x:c>
      <x:c r="J86" s="14" t="n">
        <x:v>6</x:v>
      </x:c>
      <x:c r="K86" s="16" t="n">
        <x:v>0.25</x:v>
      </x:c>
      <x:c r="L86" s="16" t="n">
        <x:v>0.15</x:v>
      </x:c>
      <x:c r="M86" s="16" t="n">
        <x:v>0.03</x:v>
      </x:c>
      <x:c r="N86" s="16" t="n">
        <x:v>0.02</x:v>
      </x:c>
      <x:c r="O86" s="14" t="n">
        <x:v>0</x:v>
      </x:c>
      <x:c r="P86" s="17" t="n">
        <x:v>0.15</x:v>
      </x:c>
      <x:c r="Q86" s="14" t="n">
        <x:v>35</x:v>
      </x:c>
      <x:c r="R86" s="14" t="n">
        <x:v>0</x:v>
      </x:c>
      <x:c r="S86" s="16" t="n">
        <x:v>0</x:v>
      </x:c>
      <x:c r="T86" s="16" t="n">
        <x:v>1</x:v>
      </x:c>
      <x:c r="U86" s="16" t="n">
        <x:v>0.03</x:v>
      </x:c>
      <x:c r="V86" s="16" t="n">
        <x:v>0</x:v>
      </x:c>
      <x:c r="W86" s="16" t="n">
        <x:v>0.029</x:v>
      </x:c>
      <x:c r="X86" s="17" t="n">
        <x:v>0.3</x:v>
      </x:c>
      <x:c r="Y86" s="17" t="n">
        <x:v>0.1</x:v>
      </x:c>
      <x:c r="Z86" s="14" t="n">
        <x:v>30</x:v>
      </x:c>
      <x:c r="AA86" s="16" t="n">
        <x:v>0.05</x:v>
      </x:c>
      <x:c r="AB86" s="14" t="n">
        <x:v>0</x:v>
      </x:c>
      <x:c r="AC86" s="14" t="n">
        <x:v>50</x:v>
      </x:c>
      <x:c r="AD86" s="14" t="n">
        <x:v>0</x:v>
      </x:c>
      <x:c r="AE86" s="14" t="n">
        <x:v>0</x:v>
      </x:c>
      <x:c r="AF86" s="14" t="n">
        <x:v>0</x:v>
      </x:c>
      <x:c r="AG86" s="24" t="str">
        <x:v>Low</x:v>
      </x:c>
      <x:c r="AH86" s="24" t="str">
        <x:v>Included learning module; no separate revenue</x:v>
      </x:c>
      <x:c r="AI86" s="24" t="str">
        <x:v>Included within parent offer; zero separate sales prevents double counting.</x:v>
      </x:c>
      <x:c r="AJ8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86" s="24" t="str">
        <x:v>Hypothetical in-year start after outstanding release, rights, provider or professional gates; no launch approval</x:v>
      </x:c>
      <x:c r="AL86" s="24" t="str">
        <x:v>https://chatgpt.com/c/6abc2804-ef50-83ea-b63e-5f40e7d082ac
https://chatgpt.com/c/6ab5c689-2400-83ea-8316-f62380720684</x:v>
      </x:c>
      <x:c r="AM86" s="27" t="n">
        <x:v>0.05</x:v>
      </x:c>
    </x:row>
    <x:row r="87" ht="48" hidden="0" customHeight="1">
      <x:c r="A87" s="1"/>
      <x:c r="B87" s="1"/>
      <x:c r="C87" s="1" t="str">
        <x:v>DOT-058</x:v>
      </x:c>
      <x:c r="D87" s="10" t="str">
        <x:v>Model Life</x:v>
      </x:c>
      <x:c r="E87" s="10" t="str">
        <x:v>Model subscription</x:v>
      </x:c>
      <x:c r="F87" s="10" t="str">
        <x:v>platform</x:v>
      </x:c>
      <x:c r="G87" s="10" t="str">
        <x:v>customer-month</x:v>
      </x:c>
      <x:c r="H87" s="14" t="n">
        <x:v>15</x:v>
      </x:c>
      <x:c r="I87" s="14" t="n">
        <x:v>480</x:v>
      </x:c>
      <x:c r="J87" s="14" t="n">
        <x:v>6</x:v>
      </x:c>
      <x:c r="K87" s="16" t="n">
        <x:v>0.7</x:v>
      </x:c>
      <x:c r="L87" s="16" t="n">
        <x:v>0.2</x:v>
      </x:c>
      <x:c r="M87" s="16" t="n">
        <x:v>0.03</x:v>
      </x:c>
      <x:c r="N87" s="16" t="n">
        <x:v>0.02</x:v>
      </x:c>
      <x:c r="O87" s="14" t="n">
        <x:v>0</x:v>
      </x:c>
      <x:c r="P87" s="17" t="n">
        <x:v>0.1</x:v>
      </x:c>
      <x:c r="Q87" s="14" t="n">
        <x:v>35</x:v>
      </x:c>
      <x:c r="R87" s="14" t="n">
        <x:v>0</x:v>
      </x:c>
      <x:c r="S87" s="16" t="n">
        <x:v>0</x:v>
      </x:c>
      <x:c r="T87" s="16" t="n">
        <x:v>1</x:v>
      </x:c>
      <x:c r="U87" s="16" t="n">
        <x:v>0.03</x:v>
      </x:c>
      <x:c r="V87" s="16" t="n">
        <x:v>0</x:v>
      </x:c>
      <x:c r="W87" s="16" t="n">
        <x:v>0.029</x:v>
      </x:c>
      <x:c r="X87" s="17" t="n">
        <x:v>0.3</x:v>
      </x:c>
      <x:c r="Y87" s="17" t="n">
        <x:v>0.15</x:v>
      </x:c>
      <x:c r="Z87" s="14" t="n">
        <x:v>30</x:v>
      </x:c>
      <x:c r="AA87" s="16" t="n">
        <x:v>0.05</x:v>
      </x:c>
      <x:c r="AB87" s="14" t="n">
        <x:v>8</x:v>
      </x:c>
      <x:c r="AC87" s="14" t="n">
        <x:v>50</x:v>
      </x:c>
      <x:c r="AD87" s="14" t="n">
        <x:v>0</x:v>
      </x:c>
      <x:c r="AE87" s="14" t="n">
        <x:v>60</x:v>
      </x:c>
      <x:c r="AF87" s="14" t="n">
        <x:v>0</x:v>
      </x:c>
      <x:c r="AG87" s="24" t="str">
        <x:v>Low</x:v>
      </x:c>
      <x:c r="AH87" s="24" t="str">
        <x:v>Dot judgment; not approved price</x:v>
      </x:c>
      <x:c r="AI87" s="24" t="str">
        <x:v>Year 1 full-year target 480 customer-month (40.0/month),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8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87" s="24" t="str">
        <x:v>Hypothetical in-year start after outstanding release, rights, provider or professional gates; no launch approval</x:v>
      </x:c>
      <x:c r="AL87" s="24" t="str">
        <x:v>https://chatgpt.com/c/6abc2804-ef50-83ea-b63e-5f40e7d082ac
https://chatgpt.com/c/6ab5c689-2400-83ea-8316-f62380720684</x:v>
      </x:c>
      <x:c r="AM87" s="27" t="n">
        <x:v>0.05</x:v>
      </x:c>
    </x:row>
    <x:row r="88" ht="48" hidden="0" customHeight="1">
      <x:c r="A88" s="1"/>
      <x:c r="B88" s="1"/>
      <x:c r="C88" s="1" t="str">
        <x:v>DOT-059</x:v>
      </x:c>
      <x:c r="D88" s="10" t="str">
        <x:v>Model Life</x:v>
      </x:c>
      <x:c r="E88" s="10" t="str">
        <x:v>Agency and booker subscription</x:v>
      </x:c>
      <x:c r="F88" s="10" t="str">
        <x:v>platform</x:v>
      </x:c>
      <x:c r="G88" s="10" t="str">
        <x:v>customer-month</x:v>
      </x:c>
      <x:c r="H88" s="14" t="n">
        <x:v>79</x:v>
      </x:c>
      <x:c r="I88" s="14" t="n">
        <x:v>120</x:v>
      </x:c>
      <x:c r="J88" s="14" t="n">
        <x:v>6</x:v>
      </x:c>
      <x:c r="K88" s="16" t="n">
        <x:v>0.7</x:v>
      </x:c>
      <x:c r="L88" s="16" t="n">
        <x:v>0.2</x:v>
      </x:c>
      <x:c r="M88" s="16" t="n">
        <x:v>0.03</x:v>
      </x:c>
      <x:c r="N88" s="16" t="n">
        <x:v>0.02</x:v>
      </x:c>
      <x:c r="O88" s="14" t="n">
        <x:v>0</x:v>
      </x:c>
      <x:c r="P88" s="17" t="n">
        <x:v>0.1</x:v>
      </x:c>
      <x:c r="Q88" s="14" t="n">
        <x:v>35</x:v>
      </x:c>
      <x:c r="R88" s="14" t="n">
        <x:v>0</x:v>
      </x:c>
      <x:c r="S88" s="16" t="n">
        <x:v>0</x:v>
      </x:c>
      <x:c r="T88" s="16" t="n">
        <x:v>1</x:v>
      </x:c>
      <x:c r="U88" s="16" t="n">
        <x:v>0.03</x:v>
      </x:c>
      <x:c r="V88" s="16" t="n">
        <x:v>0</x:v>
      </x:c>
      <x:c r="W88" s="16" t="n">
        <x:v>0.029</x:v>
      </x:c>
      <x:c r="X88" s="17" t="n">
        <x:v>0.3</x:v>
      </x:c>
      <x:c r="Y88" s="17" t="n">
        <x:v>0.15</x:v>
      </x:c>
      <x:c r="Z88" s="14" t="n">
        <x:v>30</x:v>
      </x:c>
      <x:c r="AA88" s="16" t="n">
        <x:v>0.05</x:v>
      </x:c>
      <x:c r="AB88" s="14" t="n">
        <x:v>8</x:v>
      </x:c>
      <x:c r="AC88" s="14" t="n">
        <x:v>50</x:v>
      </x:c>
      <x:c r="AD88" s="14" t="n">
        <x:v>0</x:v>
      </x:c>
      <x:c r="AE88" s="14" t="n">
        <x:v>60</x:v>
      </x:c>
      <x:c r="AF88" s="14" t="n">
        <x:v>0</x:v>
      </x:c>
      <x:c r="AG88" s="24" t="str">
        <x:v>Low</x:v>
      </x:c>
      <x:c r="AH88" s="24" t="str">
        <x:v>Dot judgment; not approved price</x:v>
      </x:c>
      <x:c r="AI88" s="24" t="str">
        <x:v>Year 1 full-year target 120 customer-month (10.0/month),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8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88" s="24" t="str">
        <x:v>Hypothetical in-year start after outstanding release, rights, provider or professional gates; no launch approval</x:v>
      </x:c>
      <x:c r="AL88" s="24" t="str">
        <x:v>https://chatgpt.com/c/6abc2804-ef50-83ea-b63e-5f40e7d082ac
https://chatgpt.com/c/6ab5c689-2400-83ea-8316-f62380720684</x:v>
      </x:c>
      <x:c r="AM88" s="27" t="n">
        <x:v>0.05</x:v>
      </x:c>
    </x:row>
    <x:row r="89" ht="48" hidden="0" customHeight="1">
      <x:c r="A89" s="1"/>
      <x:c r="B89" s="1"/>
      <x:c r="C89" s="1" t="str">
        <x:v>DOT-060</x:v>
      </x:c>
      <x:c r="D89" s="10" t="str">
        <x:v>Model Life</x:v>
      </x:c>
      <x:c r="E89" s="10" t="str">
        <x:v>Casting subscription</x:v>
      </x:c>
      <x:c r="F89" s="10" t="str">
        <x:v>platform</x:v>
      </x:c>
      <x:c r="G89" s="10" t="str">
        <x:v>customer-month</x:v>
      </x:c>
      <x:c r="H89" s="14" t="n">
        <x:v>59</x:v>
      </x:c>
      <x:c r="I89" s="14" t="n">
        <x:v>120</x:v>
      </x:c>
      <x:c r="J89" s="14" t="n">
        <x:v>6</x:v>
      </x:c>
      <x:c r="K89" s="16" t="n">
        <x:v>0.7</x:v>
      </x:c>
      <x:c r="L89" s="16" t="n">
        <x:v>0.2</x:v>
      </x:c>
      <x:c r="M89" s="16" t="n">
        <x:v>0.03</x:v>
      </x:c>
      <x:c r="N89" s="16" t="n">
        <x:v>0.02</x:v>
      </x:c>
      <x:c r="O89" s="14" t="n">
        <x:v>0</x:v>
      </x:c>
      <x:c r="P89" s="17" t="n">
        <x:v>0.1</x:v>
      </x:c>
      <x:c r="Q89" s="14" t="n">
        <x:v>35</x:v>
      </x:c>
      <x:c r="R89" s="14" t="n">
        <x:v>0</x:v>
      </x:c>
      <x:c r="S89" s="16" t="n">
        <x:v>0</x:v>
      </x:c>
      <x:c r="T89" s="16" t="n">
        <x:v>1</x:v>
      </x:c>
      <x:c r="U89" s="16" t="n">
        <x:v>0.03</x:v>
      </x:c>
      <x:c r="V89" s="16" t="n">
        <x:v>0</x:v>
      </x:c>
      <x:c r="W89" s="16" t="n">
        <x:v>0.029</x:v>
      </x:c>
      <x:c r="X89" s="17" t="n">
        <x:v>0.3</x:v>
      </x:c>
      <x:c r="Y89" s="17" t="n">
        <x:v>0.15</x:v>
      </x:c>
      <x:c r="Z89" s="14" t="n">
        <x:v>30</x:v>
      </x:c>
      <x:c r="AA89" s="16" t="n">
        <x:v>0.05</x:v>
      </x:c>
      <x:c r="AB89" s="14" t="n">
        <x:v>8</x:v>
      </x:c>
      <x:c r="AC89" s="14" t="n">
        <x:v>50</x:v>
      </x:c>
      <x:c r="AD89" s="14" t="n">
        <x:v>0</x:v>
      </x:c>
      <x:c r="AE89" s="14" t="n">
        <x:v>60</x:v>
      </x:c>
      <x:c r="AF89" s="14" t="n">
        <x:v>0</x:v>
      </x:c>
      <x:c r="AG89" s="24" t="str">
        <x:v>Low</x:v>
      </x:c>
      <x:c r="AH89" s="24" t="str">
        <x:v>Dot judgment; not approved price</x:v>
      </x:c>
      <x:c r="AI89" s="24" t="str">
        <x:v>Year 1 full-year target 120 customer-month (10.0/month),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8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89" s="24" t="str">
        <x:v>Hypothetical in-year start after outstanding release, rights, provider or professional gates; no launch approval</x:v>
      </x:c>
      <x:c r="AL89" s="24" t="str">
        <x:v>https://chatgpt.com/c/6abc2804-ef50-83ea-b63e-5f40e7d082ac
https://chatgpt.com/c/6ab5c689-2400-83ea-8316-f62380720684</x:v>
      </x:c>
      <x:c r="AM89" s="27" t="n">
        <x:v>0.05</x:v>
      </x:c>
    </x:row>
    <x:row r="90" ht="48" hidden="0" customHeight="1">
      <x:c r="A90" s="1"/>
      <x:c r="B90" s="1"/>
      <x:c r="C90" s="1" t="str">
        <x:v>DOT-061</x:v>
      </x:c>
      <x:c r="D90" s="10" t="str">
        <x:v>Model Life</x:v>
      </x:c>
      <x:c r="E90" s="10" t="str">
        <x:v>Brand subscription</x:v>
      </x:c>
      <x:c r="F90" s="10" t="str">
        <x:v>platform</x:v>
      </x:c>
      <x:c r="G90" s="10" t="str">
        <x:v>customer-month</x:v>
      </x:c>
      <x:c r="H90" s="14" t="n">
        <x:v>99</x:v>
      </x:c>
      <x:c r="I90" s="14" t="n">
        <x:v>60</x:v>
      </x:c>
      <x:c r="J90" s="14" t="n">
        <x:v>6</x:v>
      </x:c>
      <x:c r="K90" s="16" t="n">
        <x:v>0.7</x:v>
      </x:c>
      <x:c r="L90" s="16" t="n">
        <x:v>0.2</x:v>
      </x:c>
      <x:c r="M90" s="16" t="n">
        <x:v>0.03</x:v>
      </x:c>
      <x:c r="N90" s="16" t="n">
        <x:v>0.02</x:v>
      </x:c>
      <x:c r="O90" s="14" t="n">
        <x:v>0</x:v>
      </x:c>
      <x:c r="P90" s="17" t="n">
        <x:v>0.1</x:v>
      </x:c>
      <x:c r="Q90" s="14" t="n">
        <x:v>35</x:v>
      </x:c>
      <x:c r="R90" s="14" t="n">
        <x:v>0</x:v>
      </x:c>
      <x:c r="S90" s="16" t="n">
        <x:v>0</x:v>
      </x:c>
      <x:c r="T90" s="16" t="n">
        <x:v>1</x:v>
      </x:c>
      <x:c r="U90" s="16" t="n">
        <x:v>0.03</x:v>
      </x:c>
      <x:c r="V90" s="16" t="n">
        <x:v>0</x:v>
      </x:c>
      <x:c r="W90" s="16" t="n">
        <x:v>0.029</x:v>
      </x:c>
      <x:c r="X90" s="17" t="n">
        <x:v>0.3</x:v>
      </x:c>
      <x:c r="Y90" s="17" t="n">
        <x:v>0.15</x:v>
      </x:c>
      <x:c r="Z90" s="14" t="n">
        <x:v>30</x:v>
      </x:c>
      <x:c r="AA90" s="16" t="n">
        <x:v>0.05</x:v>
      </x:c>
      <x:c r="AB90" s="14" t="n">
        <x:v>8</x:v>
      </x:c>
      <x:c r="AC90" s="14" t="n">
        <x:v>50</x:v>
      </x:c>
      <x:c r="AD90" s="14" t="n">
        <x:v>0</x:v>
      </x:c>
      <x:c r="AE90" s="14" t="n">
        <x:v>60</x:v>
      </x:c>
      <x:c r="AF90" s="14" t="n">
        <x:v>0</x:v>
      </x:c>
      <x:c r="AG90" s="24" t="str">
        <x:v>Low</x:v>
      </x:c>
      <x:c r="AH90" s="24" t="str">
        <x:v>Dot judgment; not approved price</x:v>
      </x:c>
      <x:c r="AI90" s="24" t="str">
        <x:v>Year 1 full-year target 60 customer-month (5.0/month),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9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90" s="24" t="str">
        <x:v>Hypothetical in-year start after outstanding release, rights, provider or professional gates; no launch approval</x:v>
      </x:c>
      <x:c r="AL90" s="24" t="str">
        <x:v>https://chatgpt.com/c/6abc2804-ef50-83ea-b63e-5f40e7d082ac
https://chatgpt.com/c/6ab5c689-2400-83ea-8316-f62380720684</x:v>
      </x:c>
      <x:c r="AM90" s="27" t="n">
        <x:v>0.05</x:v>
      </x:c>
    </x:row>
    <x:row r="91" ht="48" hidden="0" customHeight="1">
      <x:c r="A91" s="1"/>
      <x:c r="B91" s="1"/>
      <x:c r="C91" s="1" t="str">
        <x:v>DOT-062</x:v>
      </x:c>
      <x:c r="D91" s="10" t="str">
        <x:v>Model Life</x:v>
      </x:c>
      <x:c r="E91" s="10" t="str">
        <x:v>Marketing subscription</x:v>
      </x:c>
      <x:c r="F91" s="10" t="str">
        <x:v>platform</x:v>
      </x:c>
      <x:c r="G91" s="10" t="str">
        <x:v>customer-month</x:v>
      </x:c>
      <x:c r="H91" s="14" t="n">
        <x:v>49</x:v>
      </x:c>
      <x:c r="I91" s="14" t="n">
        <x:v>60</x:v>
      </x:c>
      <x:c r="J91" s="14" t="n">
        <x:v>6</x:v>
      </x:c>
      <x:c r="K91" s="16" t="n">
        <x:v>0.7</x:v>
      </x:c>
      <x:c r="L91" s="16" t="n">
        <x:v>0.2</x:v>
      </x:c>
      <x:c r="M91" s="16" t="n">
        <x:v>0.03</x:v>
      </x:c>
      <x:c r="N91" s="16" t="n">
        <x:v>0.02</x:v>
      </x:c>
      <x:c r="O91" s="14" t="n">
        <x:v>0</x:v>
      </x:c>
      <x:c r="P91" s="17" t="n">
        <x:v>0.1</x:v>
      </x:c>
      <x:c r="Q91" s="14" t="n">
        <x:v>35</x:v>
      </x:c>
      <x:c r="R91" s="14" t="n">
        <x:v>0</x:v>
      </x:c>
      <x:c r="S91" s="16" t="n">
        <x:v>0</x:v>
      </x:c>
      <x:c r="T91" s="16" t="n">
        <x:v>1</x:v>
      </x:c>
      <x:c r="U91" s="16" t="n">
        <x:v>0.03</x:v>
      </x:c>
      <x:c r="V91" s="16" t="n">
        <x:v>0</x:v>
      </x:c>
      <x:c r="W91" s="16" t="n">
        <x:v>0.029</x:v>
      </x:c>
      <x:c r="X91" s="17" t="n">
        <x:v>0.3</x:v>
      </x:c>
      <x:c r="Y91" s="17" t="n">
        <x:v>0.15</x:v>
      </x:c>
      <x:c r="Z91" s="14" t="n">
        <x:v>30</x:v>
      </x:c>
      <x:c r="AA91" s="16" t="n">
        <x:v>0.05</x:v>
      </x:c>
      <x:c r="AB91" s="14" t="n">
        <x:v>8</x:v>
      </x:c>
      <x:c r="AC91" s="14" t="n">
        <x:v>50</x:v>
      </x:c>
      <x:c r="AD91" s="14" t="n">
        <x:v>0</x:v>
      </x:c>
      <x:c r="AE91" s="14" t="n">
        <x:v>60</x:v>
      </x:c>
      <x:c r="AF91" s="14" t="n">
        <x:v>0</x:v>
      </x:c>
      <x:c r="AG91" s="24" t="str">
        <x:v>Low</x:v>
      </x:c>
      <x:c r="AH91" s="24" t="str">
        <x:v>Dot judgment; not approved price</x:v>
      </x:c>
      <x:c r="AI91" s="24" t="str">
        <x:v>Year 1 full-year target 60 customer-month (5.0/month),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9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91" s="24" t="str">
        <x:v>Hypothetical in-year start after outstanding release, rights, provider or professional gates; no launch approval</x:v>
      </x:c>
      <x:c r="AL91" s="24" t="str">
        <x:v>https://chatgpt.com/c/6abc2804-ef50-83ea-b63e-5f40e7d082ac
https://chatgpt.com/c/6ab5c689-2400-83ea-8316-f62380720684</x:v>
      </x:c>
      <x:c r="AM91" s="27" t="n">
        <x:v>0.05</x:v>
      </x:c>
    </x:row>
    <x:row r="92" ht="48" hidden="0" customHeight="1">
      <x:c r="A92" s="1"/>
      <x:c r="B92" s="1"/>
      <x:c r="C92" s="1" t="str">
        <x:v>DOT-063</x:v>
      </x:c>
      <x:c r="D92" s="10" t="str">
        <x:v>S’otality cleaning</x:v>
      </x:c>
      <x:c r="E92" s="10" t="str">
        <x:v>Studio one-time</x:v>
      </x:c>
      <x:c r="F92" s="10" t="str">
        <x:v>hospitality</x:v>
      </x:c>
      <x:c r="G92" s="10" t="str">
        <x:v>order / engagement</x:v>
      </x:c>
      <x:c r="H92" s="14" t="n">
        <x:v>149</x:v>
      </x:c>
      <x:c r="I92" s="14" t="n">
        <x:v>120</x:v>
      </x:c>
      <x:c r="J92" s="14" t="n">
        <x:v>9</x:v>
      </x:c>
      <x:c r="K92" s="16" t="n">
        <x:v>0.6</x:v>
      </x:c>
      <x:c r="L92" s="16" t="n">
        <x:v>0.1</x:v>
      </x:c>
      <x:c r="M92" s="16" t="n">
        <x:v>0.03</x:v>
      </x:c>
      <x:c r="N92" s="16" t="n">
        <x:v>0.02</x:v>
      </x:c>
      <x:c r="O92" s="14" t="n">
        <x:v>0</x:v>
      </x:c>
      <x:c r="P92" s="17" t="n">
        <x:v>0.1</x:v>
      </x:c>
      <x:c r="Q92" s="14" t="n">
        <x:v>35</x:v>
      </x:c>
      <x:c r="R92" s="14" t="n">
        <x:v>8</x:v>
      </x:c>
      <x:c r="S92" s="16" t="n">
        <x:v>0.65</x:v>
      </x:c>
      <x:c r="T92" s="16" t="n">
        <x:v>1</x:v>
      </x:c>
      <x:c r="U92" s="16" t="n">
        <x:v>0.03</x:v>
      </x:c>
      <x:c r="V92" s="16" t="n">
        <x:v>0</x:v>
      </x:c>
      <x:c r="W92" s="16" t="n">
        <x:v>0.029</x:v>
      </x:c>
      <x:c r="X92" s="17" t="n">
        <x:v>0.3</x:v>
      </x:c>
      <x:c r="Y92" s="17" t="n">
        <x:v>0.2</x:v>
      </x:c>
      <x:c r="Z92" s="14" t="n">
        <x:v>30</x:v>
      </x:c>
      <x:c r="AA92" s="16" t="n">
        <x:v>0.04</x:v>
      </x:c>
      <x:c r="AB92" s="14" t="n">
        <x:v>4</x:v>
      </x:c>
      <x:c r="AC92" s="14" t="n">
        <x:v>50</x:v>
      </x:c>
      <x:c r="AD92" s="14" t="n">
        <x:v>0</x:v>
      </x:c>
      <x:c r="AE92" s="14" t="n">
        <x:v>0</x:v>
      </x:c>
      <x:c r="AF92" s="14" t="n">
        <x:v>0</x:v>
      </x:c>
      <x:c r="AG92" s="24" t="str">
        <x:v>Low</x:v>
      </x:c>
      <x:c r="AH92" s="24" t="str">
        <x:v>Dot comparison price; historical cleaning anchors not current approval</x:v>
      </x:c>
      <x:c r="AI92" s="24" t="str">
        <x:v>Year 1 full-year target 120 order / engagement (10.0/month), prorated to operating months. Subsequent years retain 60% of prior units and add new demand equal to 40% of initial full-year units, growing 10% annually through Year 5, then 3%. Unvalidated acquisition hypothesis, not market evidence.</x:v>
      </x:c>
      <x:c r="AJ9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92" s="24" t="str">
        <x:v>Hypothetical in-year start after outstanding release, rights, provider or professional gates; no launch approval</x:v>
      </x:c>
      <x:c r="AL92" s="24" t="str">
        <x:v>https://chatgpt.com/c/6ab220d2-d7b4-83ea-ba8b-1bde30b6a727</x:v>
      </x:c>
      <x:c r="AM92" s="27" t="n">
        <x:v>0.15</x:v>
      </x:c>
    </x:row>
    <x:row r="93" ht="48" hidden="0" customHeight="1">
      <x:c r="A93" s="1"/>
      <x:c r="B93" s="1"/>
      <x:c r="C93" s="1" t="str">
        <x:v>DOT-064</x:v>
      </x:c>
      <x:c r="D93" s="10" t="str">
        <x:v>S’otality cleaning</x:v>
      </x:c>
      <x:c r="E93" s="10" t="str">
        <x:v>Studio recurring visits</x:v>
      </x:c>
      <x:c r="F93" s="10" t="str">
        <x:v>hospitality</x:v>
      </x:c>
      <x:c r="G93" s="10" t="str">
        <x:v>order / engagement</x:v>
      </x:c>
      <x:c r="H93" s="14" t="n">
        <x:v>139</x:v>
      </x:c>
      <x:c r="I93" s="14" t="n">
        <x:v>180</x:v>
      </x:c>
      <x:c r="J93" s="14" t="n">
        <x:v>9</x:v>
      </x:c>
      <x:c r="K93" s="16" t="n">
        <x:v>0.6</x:v>
      </x:c>
      <x:c r="L93" s="16" t="n">
        <x:v>0.1</x:v>
      </x:c>
      <x:c r="M93" s="16" t="n">
        <x:v>0.03</x:v>
      </x:c>
      <x:c r="N93" s="16" t="n">
        <x:v>0.02</x:v>
      </x:c>
      <x:c r="O93" s="14" t="n">
        <x:v>0</x:v>
      </x:c>
      <x:c r="P93" s="17" t="n">
        <x:v>0.1</x:v>
      </x:c>
      <x:c r="Q93" s="14" t="n">
        <x:v>35</x:v>
      </x:c>
      <x:c r="R93" s="14" t="n">
        <x:v>8</x:v>
      </x:c>
      <x:c r="S93" s="16" t="n">
        <x:v>0.65</x:v>
      </x:c>
      <x:c r="T93" s="16" t="n">
        <x:v>1</x:v>
      </x:c>
      <x:c r="U93" s="16" t="n">
        <x:v>0.03</x:v>
      </x:c>
      <x:c r="V93" s="16" t="n">
        <x:v>0</x:v>
      </x:c>
      <x:c r="W93" s="16" t="n">
        <x:v>0.029</x:v>
      </x:c>
      <x:c r="X93" s="17" t="n">
        <x:v>0.3</x:v>
      </x:c>
      <x:c r="Y93" s="17" t="n">
        <x:v>0.2</x:v>
      </x:c>
      <x:c r="Z93" s="14" t="n">
        <x:v>30</x:v>
      </x:c>
      <x:c r="AA93" s="16" t="n">
        <x:v>0.04</x:v>
      </x:c>
      <x:c r="AB93" s="14" t="n">
        <x:v>4</x:v>
      </x:c>
      <x:c r="AC93" s="14" t="n">
        <x:v>50</x:v>
      </x:c>
      <x:c r="AD93" s="14" t="n">
        <x:v>0</x:v>
      </x:c>
      <x:c r="AE93" s="14" t="n">
        <x:v>0</x:v>
      </x:c>
      <x:c r="AF93" s="14" t="n">
        <x:v>0</x:v>
      </x:c>
      <x:c r="AG93" s="24" t="str">
        <x:v>Low</x:v>
      </x:c>
      <x:c r="AH93" s="24" t="str">
        <x:v>Dot comparison price; historical cleaning anchors not current approval</x:v>
      </x:c>
      <x:c r="AI93" s="24" t="str">
        <x:v>Year 1 full-year target 180 order / engagement (15.0/month), prorated to operating months. Subsequent years retain 60% of prior units and add new demand equal to 40% of initial full-year units, growing 10% annually through Year 5, then 3%. Unvalidated acquisition hypothesis, not market evidence.</x:v>
      </x:c>
      <x:c r="AJ9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93" s="24" t="str">
        <x:v>Hypothetical in-year start after outstanding release, rights, provider or professional gates; no launch approval</x:v>
      </x:c>
      <x:c r="AL93" s="24" t="str">
        <x:v>https://chatgpt.com/c/6ab220d2-d7b4-83ea-ba8b-1bde30b6a727</x:v>
      </x:c>
      <x:c r="AM93" s="27" t="n">
        <x:v>0.15</x:v>
      </x:c>
    </x:row>
    <x:row r="94" ht="48" hidden="0" customHeight="1">
      <x:c r="A94" s="1"/>
      <x:c r="B94" s="1"/>
      <x:c r="C94" s="1" t="str">
        <x:v>DOT-065</x:v>
      </x:c>
      <x:c r="D94" s="10" t="str">
        <x:v>S’otality cleaning</x:v>
      </x:c>
      <x:c r="E94" s="10" t="str">
        <x:v>One-bedroom one-time</x:v>
      </x:c>
      <x:c r="F94" s="10" t="str">
        <x:v>hospitality</x:v>
      </x:c>
      <x:c r="G94" s="10" t="str">
        <x:v>order / engagement</x:v>
      </x:c>
      <x:c r="H94" s="14" t="n">
        <x:v>159</x:v>
      </x:c>
      <x:c r="I94" s="14" t="n">
        <x:v>120</x:v>
      </x:c>
      <x:c r="J94" s="14" t="n">
        <x:v>9</x:v>
      </x:c>
      <x:c r="K94" s="16" t="n">
        <x:v>0.6</x:v>
      </x:c>
      <x:c r="L94" s="16" t="n">
        <x:v>0.1</x:v>
      </x:c>
      <x:c r="M94" s="16" t="n">
        <x:v>0.03</x:v>
      </x:c>
      <x:c r="N94" s="16" t="n">
        <x:v>0.02</x:v>
      </x:c>
      <x:c r="O94" s="14" t="n">
        <x:v>0</x:v>
      </x:c>
      <x:c r="P94" s="17" t="n">
        <x:v>0.1</x:v>
      </x:c>
      <x:c r="Q94" s="14" t="n">
        <x:v>35</x:v>
      </x:c>
      <x:c r="R94" s="14" t="n">
        <x:v>8</x:v>
      </x:c>
      <x:c r="S94" s="16" t="n">
        <x:v>0.65</x:v>
      </x:c>
      <x:c r="T94" s="16" t="n">
        <x:v>1</x:v>
      </x:c>
      <x:c r="U94" s="16" t="n">
        <x:v>0.03</x:v>
      </x:c>
      <x:c r="V94" s="16" t="n">
        <x:v>0</x:v>
      </x:c>
      <x:c r="W94" s="16" t="n">
        <x:v>0.029</x:v>
      </x:c>
      <x:c r="X94" s="17" t="n">
        <x:v>0.3</x:v>
      </x:c>
      <x:c r="Y94" s="17" t="n">
        <x:v>0.2</x:v>
      </x:c>
      <x:c r="Z94" s="14" t="n">
        <x:v>30</x:v>
      </x:c>
      <x:c r="AA94" s="16" t="n">
        <x:v>0.04</x:v>
      </x:c>
      <x:c r="AB94" s="14" t="n">
        <x:v>4</x:v>
      </x:c>
      <x:c r="AC94" s="14" t="n">
        <x:v>50</x:v>
      </x:c>
      <x:c r="AD94" s="14" t="n">
        <x:v>0</x:v>
      </x:c>
      <x:c r="AE94" s="14" t="n">
        <x:v>0</x:v>
      </x:c>
      <x:c r="AF94" s="14" t="n">
        <x:v>0</x:v>
      </x:c>
      <x:c r="AG94" s="24" t="str">
        <x:v>Low</x:v>
      </x:c>
      <x:c r="AH94" s="24" t="str">
        <x:v>Dot comparison price; historical cleaning anchors not current approval</x:v>
      </x:c>
      <x:c r="AI94" s="24" t="str">
        <x:v>Year 1 full-year target 120 order / engagement (10.0/month), prorated to operating months. Subsequent years retain 60% of prior units and add new demand equal to 40% of initial full-year units, growing 10% annually through Year 5, then 3%. Unvalidated acquisition hypothesis, not market evidence.</x:v>
      </x:c>
      <x:c r="AJ9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94" s="24" t="str">
        <x:v>Hypothetical in-year start after outstanding release, rights, provider or professional gates; no launch approval</x:v>
      </x:c>
      <x:c r="AL94" s="24" t="str">
        <x:v>https://chatgpt.com/c/6ab220d2-d7b4-83ea-ba8b-1bde30b6a727</x:v>
      </x:c>
      <x:c r="AM94" s="27" t="n">
        <x:v>0.15</x:v>
      </x:c>
    </x:row>
    <x:row r="95" ht="48" hidden="0" customHeight="1">
      <x:c r="A95" s="1"/>
      <x:c r="B95" s="1"/>
      <x:c r="C95" s="1" t="str">
        <x:v>DOT-066</x:v>
      </x:c>
      <x:c r="D95" s="10" t="str">
        <x:v>S’otality cleaning</x:v>
      </x:c>
      <x:c r="E95" s="10" t="str">
        <x:v>One-bedroom recurring visits</x:v>
      </x:c>
      <x:c r="F95" s="10" t="str">
        <x:v>hospitality</x:v>
      </x:c>
      <x:c r="G95" s="10" t="str">
        <x:v>order / engagement</x:v>
      </x:c>
      <x:c r="H95" s="14" t="n">
        <x:v>149</x:v>
      </x:c>
      <x:c r="I95" s="14" t="n">
        <x:v>180</x:v>
      </x:c>
      <x:c r="J95" s="14" t="n">
        <x:v>9</x:v>
      </x:c>
      <x:c r="K95" s="16" t="n">
        <x:v>0.6</x:v>
      </x:c>
      <x:c r="L95" s="16" t="n">
        <x:v>0.1</x:v>
      </x:c>
      <x:c r="M95" s="16" t="n">
        <x:v>0.03</x:v>
      </x:c>
      <x:c r="N95" s="16" t="n">
        <x:v>0.02</x:v>
      </x:c>
      <x:c r="O95" s="14" t="n">
        <x:v>0</x:v>
      </x:c>
      <x:c r="P95" s="17" t="n">
        <x:v>0.1</x:v>
      </x:c>
      <x:c r="Q95" s="14" t="n">
        <x:v>35</x:v>
      </x:c>
      <x:c r="R95" s="14" t="n">
        <x:v>8</x:v>
      </x:c>
      <x:c r="S95" s="16" t="n">
        <x:v>0.65</x:v>
      </x:c>
      <x:c r="T95" s="16" t="n">
        <x:v>1</x:v>
      </x:c>
      <x:c r="U95" s="16" t="n">
        <x:v>0.03</x:v>
      </x:c>
      <x:c r="V95" s="16" t="n">
        <x:v>0</x:v>
      </x:c>
      <x:c r="W95" s="16" t="n">
        <x:v>0.029</x:v>
      </x:c>
      <x:c r="X95" s="17" t="n">
        <x:v>0.3</x:v>
      </x:c>
      <x:c r="Y95" s="17" t="n">
        <x:v>0.2</x:v>
      </x:c>
      <x:c r="Z95" s="14" t="n">
        <x:v>30</x:v>
      </x:c>
      <x:c r="AA95" s="16" t="n">
        <x:v>0.04</x:v>
      </x:c>
      <x:c r="AB95" s="14" t="n">
        <x:v>4</x:v>
      </x:c>
      <x:c r="AC95" s="14" t="n">
        <x:v>50</x:v>
      </x:c>
      <x:c r="AD95" s="14" t="n">
        <x:v>0</x:v>
      </x:c>
      <x:c r="AE95" s="14" t="n">
        <x:v>0</x:v>
      </x:c>
      <x:c r="AF95" s="14" t="n">
        <x:v>0</x:v>
      </x:c>
      <x:c r="AG95" s="24" t="str">
        <x:v>Low</x:v>
      </x:c>
      <x:c r="AH95" s="24" t="str">
        <x:v>Dot comparison price; historical cleaning anchors not current approval</x:v>
      </x:c>
      <x:c r="AI95" s="24" t="str">
        <x:v>Year 1 full-year target 180 order / engagement (15.0/month), prorated to operating months. Subsequent years retain 60% of prior units and add new demand equal to 40% of initial full-year units, growing 10% annually through Year 5, then 3%. Unvalidated acquisition hypothesis, not market evidence.</x:v>
      </x:c>
      <x:c r="AJ9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95" s="24" t="str">
        <x:v>Hypothetical in-year start after outstanding release, rights, provider or professional gates; no launch approval</x:v>
      </x:c>
      <x:c r="AL95" s="24" t="str">
        <x:v>https://chatgpt.com/c/6ab220d2-d7b4-83ea-ba8b-1bde30b6a727</x:v>
      </x:c>
      <x:c r="AM95" s="27" t="n">
        <x:v>0.15</x:v>
      </x:c>
    </x:row>
    <x:row r="96" ht="48" hidden="0" customHeight="1">
      <x:c r="A96" s="1"/>
      <x:c r="B96" s="1"/>
      <x:c r="C96" s="1" t="str">
        <x:v>DOT-067</x:v>
      </x:c>
      <x:c r="D96" s="10" t="str">
        <x:v>S’otality cleaning</x:v>
      </x:c>
      <x:c r="E96" s="10" t="str">
        <x:v>Two-bedroom one-time</x:v>
      </x:c>
      <x:c r="F96" s="10" t="str">
        <x:v>hospitality</x:v>
      </x:c>
      <x:c r="G96" s="10" t="str">
        <x:v>order / engagement</x:v>
      </x:c>
      <x:c r="H96" s="14" t="n">
        <x:v>199</x:v>
      </x:c>
      <x:c r="I96" s="14" t="n">
        <x:v>80</x:v>
      </x:c>
      <x:c r="J96" s="14" t="n">
        <x:v>9</x:v>
      </x:c>
      <x:c r="K96" s="16" t="n">
        <x:v>0.6</x:v>
      </x:c>
      <x:c r="L96" s="16" t="n">
        <x:v>0.1</x:v>
      </x:c>
      <x:c r="M96" s="16" t="n">
        <x:v>0.03</x:v>
      </x:c>
      <x:c r="N96" s="16" t="n">
        <x:v>0.02</x:v>
      </x:c>
      <x:c r="O96" s="14" t="n">
        <x:v>0</x:v>
      </x:c>
      <x:c r="P96" s="17" t="n">
        <x:v>0.1</x:v>
      </x:c>
      <x:c r="Q96" s="14" t="n">
        <x:v>35</x:v>
      </x:c>
      <x:c r="R96" s="14" t="n">
        <x:v>8</x:v>
      </x:c>
      <x:c r="S96" s="16" t="n">
        <x:v>0.65</x:v>
      </x:c>
      <x:c r="T96" s="16" t="n">
        <x:v>1</x:v>
      </x:c>
      <x:c r="U96" s="16" t="n">
        <x:v>0.03</x:v>
      </x:c>
      <x:c r="V96" s="16" t="n">
        <x:v>0</x:v>
      </x:c>
      <x:c r="W96" s="16" t="n">
        <x:v>0.029</x:v>
      </x:c>
      <x:c r="X96" s="17" t="n">
        <x:v>0.3</x:v>
      </x:c>
      <x:c r="Y96" s="17" t="n">
        <x:v>0.2</x:v>
      </x:c>
      <x:c r="Z96" s="14" t="n">
        <x:v>30</x:v>
      </x:c>
      <x:c r="AA96" s="16" t="n">
        <x:v>0.04</x:v>
      </x:c>
      <x:c r="AB96" s="14" t="n">
        <x:v>4</x:v>
      </x:c>
      <x:c r="AC96" s="14" t="n">
        <x:v>50</x:v>
      </x:c>
      <x:c r="AD96" s="14" t="n">
        <x:v>0</x:v>
      </x:c>
      <x:c r="AE96" s="14" t="n">
        <x:v>0</x:v>
      </x:c>
      <x:c r="AF96" s="14" t="n">
        <x:v>0</x:v>
      </x:c>
      <x:c r="AG96" s="24" t="str">
        <x:v>Low</x:v>
      </x:c>
      <x:c r="AH96" s="24" t="str">
        <x:v>Dot comparison price; historical cleaning anchors not current approval</x:v>
      </x:c>
      <x:c r="AI96" s="24" t="str">
        <x:v>Year 1 full-year target 80 order / engagement (6.7/month), prorated to operating months. Subsequent years retain 60% of prior units and add new demand equal to 40% of initial full-year units, growing 10% annually through Year 5, then 3%. Unvalidated acquisition hypothesis, not market evidence.</x:v>
      </x:c>
      <x:c r="AJ9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96" s="24" t="str">
        <x:v>Hypothetical in-year start after outstanding release, rights, provider or professional gates; no launch approval</x:v>
      </x:c>
      <x:c r="AL96" s="24" t="str">
        <x:v>https://chatgpt.com/c/6ab220d2-d7b4-83ea-ba8b-1bde30b6a727</x:v>
      </x:c>
      <x:c r="AM96" s="27" t="n">
        <x:v>0.15</x:v>
      </x:c>
    </x:row>
    <x:row r="97" ht="48" hidden="0" customHeight="1">
      <x:c r="A97" s="1"/>
      <x:c r="B97" s="1"/>
      <x:c r="C97" s="1" t="str">
        <x:v>DOT-068</x:v>
      </x:c>
      <x:c r="D97" s="10" t="str">
        <x:v>S’otality cleaning</x:v>
      </x:c>
      <x:c r="E97" s="10" t="str">
        <x:v>Two-bedroom recurring visits</x:v>
      </x:c>
      <x:c r="F97" s="10" t="str">
        <x:v>hospitality</x:v>
      </x:c>
      <x:c r="G97" s="10" t="str">
        <x:v>order / engagement</x:v>
      </x:c>
      <x:c r="H97" s="14" t="n">
        <x:v>189</x:v>
      </x:c>
      <x:c r="I97" s="14" t="n">
        <x:v>120</x:v>
      </x:c>
      <x:c r="J97" s="14" t="n">
        <x:v>9</x:v>
      </x:c>
      <x:c r="K97" s="16" t="n">
        <x:v>0.6</x:v>
      </x:c>
      <x:c r="L97" s="16" t="n">
        <x:v>0.1</x:v>
      </x:c>
      <x:c r="M97" s="16" t="n">
        <x:v>0.03</x:v>
      </x:c>
      <x:c r="N97" s="16" t="n">
        <x:v>0.02</x:v>
      </x:c>
      <x:c r="O97" s="14" t="n">
        <x:v>0</x:v>
      </x:c>
      <x:c r="P97" s="17" t="n">
        <x:v>0.1</x:v>
      </x:c>
      <x:c r="Q97" s="14" t="n">
        <x:v>35</x:v>
      </x:c>
      <x:c r="R97" s="14" t="n">
        <x:v>8</x:v>
      </x:c>
      <x:c r="S97" s="16" t="n">
        <x:v>0.65</x:v>
      </x:c>
      <x:c r="T97" s="16" t="n">
        <x:v>1</x:v>
      </x:c>
      <x:c r="U97" s="16" t="n">
        <x:v>0.03</x:v>
      </x:c>
      <x:c r="V97" s="16" t="n">
        <x:v>0</x:v>
      </x:c>
      <x:c r="W97" s="16" t="n">
        <x:v>0.029</x:v>
      </x:c>
      <x:c r="X97" s="17" t="n">
        <x:v>0.3</x:v>
      </x:c>
      <x:c r="Y97" s="17" t="n">
        <x:v>0.2</x:v>
      </x:c>
      <x:c r="Z97" s="14" t="n">
        <x:v>30</x:v>
      </x:c>
      <x:c r="AA97" s="16" t="n">
        <x:v>0.04</x:v>
      </x:c>
      <x:c r="AB97" s="14" t="n">
        <x:v>4</x:v>
      </x:c>
      <x:c r="AC97" s="14" t="n">
        <x:v>50</x:v>
      </x:c>
      <x:c r="AD97" s="14" t="n">
        <x:v>0</x:v>
      </x:c>
      <x:c r="AE97" s="14" t="n">
        <x:v>0</x:v>
      </x:c>
      <x:c r="AF97" s="14" t="n">
        <x:v>0</x:v>
      </x:c>
      <x:c r="AG97" s="24" t="str">
        <x:v>Low</x:v>
      </x:c>
      <x:c r="AH97" s="24" t="str">
        <x:v>Dot comparison price; historical cleaning anchors not current approval</x:v>
      </x:c>
      <x:c r="AI97" s="24" t="str">
        <x:v>Year 1 full-year target 120 order / engagement (10.0/month), prorated to operating months. Subsequent years retain 60% of prior units and add new demand equal to 40% of initial full-year units, growing 10% annually through Year 5, then 3%. Unvalidated acquisition hypothesis, not market evidence.</x:v>
      </x:c>
      <x:c r="AJ9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97" s="24" t="str">
        <x:v>Hypothetical in-year start after outstanding release, rights, provider or professional gates; no launch approval</x:v>
      </x:c>
      <x:c r="AL97" s="24" t="str">
        <x:v>https://chatgpt.com/c/6ab220d2-d7b4-83ea-ba8b-1bde30b6a727</x:v>
      </x:c>
      <x:c r="AM97" s="27" t="n">
        <x:v>0.15</x:v>
      </x:c>
    </x:row>
    <x:row r="98" ht="48" hidden="0" customHeight="1">
      <x:c r="A98" s="1"/>
      <x:c r="B98" s="1"/>
      <x:c r="C98" s="1" t="str">
        <x:v>DOT-069</x:v>
      </x:c>
      <x:c r="D98" s="10" t="str">
        <x:v>S’otality cleaning</x:v>
      </x:c>
      <x:c r="E98" s="10" t="str">
        <x:v>Specialty cleaning</x:v>
      </x:c>
      <x:c r="F98" s="10" t="str">
        <x:v>hospitality</x:v>
      </x:c>
      <x:c r="G98" s="10" t="str">
        <x:v>order / engagement</x:v>
      </x:c>
      <x:c r="H98" s="14" t="n">
        <x:v>299</x:v>
      </x:c>
      <x:c r="I98" s="14" t="n">
        <x:v>40</x:v>
      </x:c>
      <x:c r="J98" s="14" t="n">
        <x:v>9</x:v>
      </x:c>
      <x:c r="K98" s="16" t="n">
        <x:v>0.6</x:v>
      </x:c>
      <x:c r="L98" s="16" t="n">
        <x:v>0.1</x:v>
      </x:c>
      <x:c r="M98" s="16" t="n">
        <x:v>0.03</x:v>
      </x:c>
      <x:c r="N98" s="16" t="n">
        <x:v>0.02</x:v>
      </x:c>
      <x:c r="O98" s="14" t="n">
        <x:v>0</x:v>
      </x:c>
      <x:c r="P98" s="17" t="n">
        <x:v>0.1</x:v>
      </x:c>
      <x:c r="Q98" s="14" t="n">
        <x:v>35</x:v>
      </x:c>
      <x:c r="R98" s="14" t="n">
        <x:v>8</x:v>
      </x:c>
      <x:c r="S98" s="16" t="n">
        <x:v>0.65</x:v>
      </x:c>
      <x:c r="T98" s="16" t="n">
        <x:v>1</x:v>
      </x:c>
      <x:c r="U98" s="16" t="n">
        <x:v>0.03</x:v>
      </x:c>
      <x:c r="V98" s="16" t="n">
        <x:v>0</x:v>
      </x:c>
      <x:c r="W98" s="16" t="n">
        <x:v>0.029</x:v>
      </x:c>
      <x:c r="X98" s="17" t="n">
        <x:v>0.3</x:v>
      </x:c>
      <x:c r="Y98" s="17" t="n">
        <x:v>0.2</x:v>
      </x:c>
      <x:c r="Z98" s="14" t="n">
        <x:v>30</x:v>
      </x:c>
      <x:c r="AA98" s="16" t="n">
        <x:v>0.04</x:v>
      </x:c>
      <x:c r="AB98" s="14" t="n">
        <x:v>4</x:v>
      </x:c>
      <x:c r="AC98" s="14" t="n">
        <x:v>50</x:v>
      </x:c>
      <x:c r="AD98" s="14" t="n">
        <x:v>0</x:v>
      </x:c>
      <x:c r="AE98" s="14" t="n">
        <x:v>0</x:v>
      </x:c>
      <x:c r="AF98" s="14" t="n">
        <x:v>0</x:v>
      </x:c>
      <x:c r="AG98" s="24" t="str">
        <x:v>Low</x:v>
      </x:c>
      <x:c r="AH98" s="24" t="str">
        <x:v>Dot comparison price; historical cleaning anchors not current approval</x:v>
      </x:c>
      <x:c r="AI98" s="24" t="str">
        <x:v>Year 1 full-year target 40 order / engagement (3.3/month), prorated to operating months. Subsequent years retain 60% of prior units and add new demand equal to 40% of initial full-year units, growing 10% annually through Year 5, then 3%. Unvalidated acquisition hypothesis, not market evidence.</x:v>
      </x:c>
      <x:c r="AJ9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98" s="24" t="str">
        <x:v>Hypothetical in-year start after outstanding release, rights, provider or professional gates; no launch approval</x:v>
      </x:c>
      <x:c r="AL98" s="24" t="str">
        <x:v>https://chatgpt.com/c/6ab220d2-d7b4-83ea-ba8b-1bde30b6a727</x:v>
      </x:c>
      <x:c r="AM98" s="27" t="n">
        <x:v>0.15</x:v>
      </x:c>
    </x:row>
    <x:row r="99" ht="48" hidden="0" customHeight="1">
      <x:c r="A99" s="1"/>
      <x:c r="B99" s="1"/>
      <x:c r="C99" s="1" t="str">
        <x:v>DOT-070</x:v>
      </x:c>
      <x:c r="D99" s="10" t="str">
        <x:v>S’otality laundry</x:v>
      </x:c>
      <x:c r="E99" s="10" t="str">
        <x:v>Laundry order coordination</x:v>
      </x:c>
      <x:c r="F99" s="10" t="str">
        <x:v>hospitality</x:v>
      </x:c>
      <x:c r="G99" s="10" t="str">
        <x:v>order / engagement</x:v>
      </x:c>
      <x:c r="H99" s="14" t="n">
        <x:v>60</x:v>
      </x:c>
      <x:c r="I99" s="14" t="n">
        <x:v>360</x:v>
      </x:c>
      <x:c r="J99" s="14" t="n">
        <x:v>9</x:v>
      </x:c>
      <x:c r="K99" s="16" t="n">
        <x:v>0.6</x:v>
      </x:c>
      <x:c r="L99" s="16" t="n">
        <x:v>0.1</x:v>
      </x:c>
      <x:c r="M99" s="16" t="n">
        <x:v>0.03</x:v>
      </x:c>
      <x:c r="N99" s="16" t="n">
        <x:v>0.02</x:v>
      </x:c>
      <x:c r="O99" s="14" t="n">
        <x:v>0</x:v>
      </x:c>
      <x:c r="P99" s="17" t="n">
        <x:v>0.1</x:v>
      </x:c>
      <x:c r="Q99" s="14" t="n">
        <x:v>35</x:v>
      </x:c>
      <x:c r="R99" s="14" t="n">
        <x:v>0</x:v>
      </x:c>
      <x:c r="S99" s="16" t="n">
        <x:v>0.65</x:v>
      </x:c>
      <x:c r="T99" s="16" t="n">
        <x:v>1</x:v>
      </x:c>
      <x:c r="U99" s="16" t="n">
        <x:v>0.03</x:v>
      </x:c>
      <x:c r="V99" s="16" t="n">
        <x:v>0</x:v>
      </x:c>
      <x:c r="W99" s="16" t="n">
        <x:v>0.029</x:v>
      </x:c>
      <x:c r="X99" s="17" t="n">
        <x:v>0.3</x:v>
      </x:c>
      <x:c r="Y99" s="17" t="n">
        <x:v>0.2</x:v>
      </x:c>
      <x:c r="Z99" s="14" t="n">
        <x:v>30</x:v>
      </x:c>
      <x:c r="AA99" s="16" t="n">
        <x:v>0.04</x:v>
      </x:c>
      <x:c r="AB99" s="14" t="n">
        <x:v>6</x:v>
      </x:c>
      <x:c r="AC99" s="14" t="n">
        <x:v>50</x:v>
      </x:c>
      <x:c r="AD99" s="14" t="n">
        <x:v>0</x:v>
      </x:c>
      <x:c r="AE99" s="14" t="n">
        <x:v>0</x:v>
      </x:c>
      <x:c r="AF99" s="14" t="n">
        <x:v>0</x:v>
      </x:c>
      <x:c r="AG99" s="24" t="str">
        <x:v>Low</x:v>
      </x:c>
      <x:c r="AH99" s="24" t="str">
        <x:v>Dot judgment; not approved price</x:v>
      </x:c>
      <x:c r="AI99" s="24" t="str">
        <x:v>Year 1 full-year target 360 order / engagement (30.0/month), prorated to operating months. Subsequent years retain 60% of prior units and add new demand equal to 40% of initial full-year units, growing 10% annually through Year 5, then 3%. Unvalidated acquisition hypothesis, not market evidence.</x:v>
      </x:c>
      <x:c r="AJ9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99" s="24" t="str">
        <x:v>Hypothetical in-year start after outstanding release, rights, provider or professional gates; no launch approval</x:v>
      </x:c>
      <x:c r="AL99" s="24" t="str">
        <x:v>https://chatgpt.com/c/6ab220d2-d7b4-83ea-ba8b-1bde30b6a727</x:v>
      </x:c>
      <x:c r="AM99" s="27" t="n">
        <x:v>0.15</x:v>
      </x:c>
    </x:row>
    <x:row r="100" ht="48" hidden="0" customHeight="1">
      <x:c r="A100" s="1"/>
      <x:c r="B100" s="1"/>
      <x:c r="C100" s="1" t="str">
        <x:v>DOT-071</x:v>
      </x:c>
      <x:c r="D100" s="10" t="str">
        <x:v>S’otality Personal Chef</x:v>
      </x:c>
      <x:c r="E100" s="10" t="str">
        <x:v>Chef session or small event</x:v>
      </x:c>
      <x:c r="F100" s="10" t="str">
        <x:v>hospitality</x:v>
      </x:c>
      <x:c r="G100" s="10" t="str">
        <x:v>order / engagement</x:v>
      </x:c>
      <x:c r="H100" s="14" t="n">
        <x:v>650</x:v>
      </x:c>
      <x:c r="I100" s="14" t="n">
        <x:v>60</x:v>
      </x:c>
      <x:c r="J100" s="14" t="n">
        <x:v>6</x:v>
      </x:c>
      <x:c r="K100" s="16" t="n">
        <x:v>0.6</x:v>
      </x:c>
      <x:c r="L100" s="16" t="n">
        <x:v>0.1</x:v>
      </x:c>
      <x:c r="M100" s="16" t="n">
        <x:v>0.03</x:v>
      </x:c>
      <x:c r="N100" s="16" t="n">
        <x:v>0.02</x:v>
      </x:c>
      <x:c r="O100" s="14" t="n">
        <x:v>0</x:v>
      </x:c>
      <x:c r="P100" s="17" t="n">
        <x:v>0.5</x:v>
      </x:c>
      <x:c r="Q100" s="14" t="n">
        <x:v>40</x:v>
      </x:c>
      <x:c r="R100" s="14" t="n">
        <x:v>100</x:v>
      </x:c>
      <x:c r="S100" s="16" t="n">
        <x:v>0.5</x:v>
      </x:c>
      <x:c r="T100" s="16" t="n">
        <x:v>1</x:v>
      </x:c>
      <x:c r="U100" s="16" t="n">
        <x:v>0.03</x:v>
      </x:c>
      <x:c r="V100" s="16" t="n">
        <x:v>0</x:v>
      </x:c>
      <x:c r="W100" s="16" t="n">
        <x:v>0.029</x:v>
      </x:c>
      <x:c r="X100" s="17" t="n">
        <x:v>0.3</x:v>
      </x:c>
      <x:c r="Y100" s="17" t="n">
        <x:v>0.2</x:v>
      </x:c>
      <x:c r="Z100" s="14" t="n">
        <x:v>30</x:v>
      </x:c>
      <x:c r="AA100" s="16" t="n">
        <x:v>0.04</x:v>
      </x:c>
      <x:c r="AB100" s="14" t="n">
        <x:v>12</x:v>
      </x:c>
      <x:c r="AC100" s="14" t="n">
        <x:v>50</x:v>
      </x:c>
      <x:c r="AD100" s="14" t="n">
        <x:v>0</x:v>
      </x:c>
      <x:c r="AE100" s="14" t="n">
        <x:v>0</x:v>
      </x:c>
      <x:c r="AF100" s="14" t="n">
        <x:v>0</x:v>
      </x:c>
      <x:c r="AG100" s="24" t="str">
        <x:v>Low</x:v>
      </x:c>
      <x:c r="AH100" s="24" t="str">
        <x:v>Dot judgment; not approved price</x:v>
      </x:c>
      <x:c r="AI100" s="24" t="str">
        <x:v>Year 1 full-year target 60 order / engagement (5.0/month), prorated to operating months. Subsequent years retain 60% of prior units and add new demand equal to 40% of initial full-year units, growing 10% annually through Year 5, then 3%. Unvalidated acquisition hypothesis, not market evidence.</x:v>
      </x:c>
      <x:c r="AJ10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00" s="24" t="str">
        <x:v>Hypothetical in-year start after outstanding release, rights, provider or professional gates; no launch approval</x:v>
      </x:c>
      <x:c r="AL100" s="24" t="str">
        <x:v>https://chatgpt.com/c/6ab220d2-d7b4-83ea-ba8b-1bde30b6a727</x:v>
      </x:c>
      <x:c r="AM100" s="27" t="n">
        <x:v>0.15</x:v>
      </x:c>
    </x:row>
    <x:row r="101" ht="48" hidden="0" customHeight="1">
      <x:c r="A101" s="1"/>
      <x:c r="B101" s="1"/>
      <x:c r="C101" s="1" t="str">
        <x:v>DOT-072</x:v>
      </x:c>
      <x:c r="D101" s="10" t="str">
        <x:v>S’otality interiors</x:v>
      </x:c>
      <x:c r="E101" s="10" t="str">
        <x:v>Interior design project</x:v>
      </x:c>
      <x:c r="F101" s="10" t="str">
        <x:v>professional</x:v>
      </x:c>
      <x:c r="G101" s="10" t="str">
        <x:v>order / engagement</x:v>
      </x:c>
      <x:c r="H101" s="14" t="n">
        <x:v>1500</x:v>
      </x:c>
      <x:c r="I101" s="14" t="n">
        <x:v>18</x:v>
      </x:c>
      <x:c r="J101" s="14" t="n">
        <x:v>9</x:v>
      </x:c>
      <x:c r="K101" s="16" t="n">
        <x:v>0.5</x:v>
      </x:c>
      <x:c r="L101" s="16" t="n">
        <x:v>0.1</x:v>
      </x:c>
      <x:c r="M101" s="16" t="n">
        <x:v>0.03</x:v>
      </x:c>
      <x:c r="N101" s="16" t="n">
        <x:v>0.02</x:v>
      </x:c>
      <x:c r="O101" s="14" t="n">
        <x:v>0</x:v>
      </x:c>
      <x:c r="P101" s="17" t="n">
        <x:v>10</x:v>
      </x:c>
      <x:c r="Q101" s="14" t="n">
        <x:v>55</x:v>
      </x:c>
      <x:c r="R101" s="14" t="n">
        <x:v>50</x:v>
      </x:c>
      <x:c r="S101" s="16" t="n">
        <x:v>0</x:v>
      </x:c>
      <x:c r="T101" s="16" t="n">
        <x:v>1</x:v>
      </x:c>
      <x:c r="U101" s="16" t="n">
        <x:v>0.03</x:v>
      </x:c>
      <x:c r="V101" s="16" t="n">
        <x:v>0</x:v>
      </x:c>
      <x:c r="W101" s="16" t="n">
        <x:v>0.029</x:v>
      </x:c>
      <x:c r="X101" s="17" t="n">
        <x:v>0.3</x:v>
      </x:c>
      <x:c r="Y101" s="17" t="n">
        <x:v>0.25</x:v>
      </x:c>
      <x:c r="Z101" s="14" t="n">
        <x:v>30</x:v>
      </x:c>
      <x:c r="AA101" s="16" t="n">
        <x:v>0.04</x:v>
      </x:c>
      <x:c r="AB101" s="14" t="n">
        <x:v>12</x:v>
      </x:c>
      <x:c r="AC101" s="14" t="n">
        <x:v>50</x:v>
      </x:c>
      <x:c r="AD101" s="14" t="n">
        <x:v>0</x:v>
      </x:c>
      <x:c r="AE101" s="14" t="n">
        <x:v>0</x:v>
      </x:c>
      <x:c r="AF101" s="14" t="n">
        <x:v>1</x:v>
      </x:c>
      <x:c r="AG101" s="24" t="str">
        <x:v>Low</x:v>
      </x:c>
      <x:c r="AH101" s="24" t="str">
        <x:v>Dot judgment; not approved price</x:v>
      </x:c>
      <x:c r="AI101" s="24" t="str">
        <x:v>Year 1 full-year target 18 order / engagement (1.5/month),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10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01" s="24" t="str">
        <x:v>Hypothetical in-year start after outstanding release, rights, provider or professional gates; no launch approval</x:v>
      </x:c>
      <x:c r="AL101" s="24" t="str">
        <x:v>https://chatgpt.com/c/6ab220d2-d7b4-83ea-ba8b-1bde30b6a727</x:v>
      </x:c>
      <x:c r="AM101" s="27" t="n">
        <x:v>0.2</x:v>
      </x:c>
    </x:row>
    <x:row r="102" ht="48" hidden="0" customHeight="1">
      <x:c r="A102" s="1"/>
      <x:c r="B102" s="1"/>
      <x:c r="C102" s="1" t="str">
        <x:v>DOT-073</x:v>
      </x:c>
      <x:c r="D102" s="10" t="str">
        <x:v>S’otality interiors</x:v>
      </x:c>
      <x:c r="E102" s="10" t="str">
        <x:v>Organizing service</x:v>
      </x:c>
      <x:c r="F102" s="10" t="str">
        <x:v>hospitality</x:v>
      </x:c>
      <x:c r="G102" s="10" t="str">
        <x:v>order / engagement</x:v>
      </x:c>
      <x:c r="H102" s="14" t="n">
        <x:v>300</x:v>
      </x:c>
      <x:c r="I102" s="14" t="n">
        <x:v>60</x:v>
      </x:c>
      <x:c r="J102" s="14" t="n">
        <x:v>9</x:v>
      </x:c>
      <x:c r="K102" s="16" t="n">
        <x:v>0.6</x:v>
      </x:c>
      <x:c r="L102" s="16" t="n">
        <x:v>0.1</x:v>
      </x:c>
      <x:c r="M102" s="16" t="n">
        <x:v>0.03</x:v>
      </x:c>
      <x:c r="N102" s="16" t="n">
        <x:v>0.02</x:v>
      </x:c>
      <x:c r="O102" s="14" t="n">
        <x:v>0</x:v>
      </x:c>
      <x:c r="P102" s="17" t="n">
        <x:v>0.25</x:v>
      </x:c>
      <x:c r="Q102" s="14" t="n">
        <x:v>35</x:v>
      </x:c>
      <x:c r="R102" s="14" t="n">
        <x:v>0</x:v>
      </x:c>
      <x:c r="S102" s="16" t="n">
        <x:v>0.6</x:v>
      </x:c>
      <x:c r="T102" s="16" t="n">
        <x:v>1</x:v>
      </x:c>
      <x:c r="U102" s="16" t="n">
        <x:v>0.03</x:v>
      </x:c>
      <x:c r="V102" s="16" t="n">
        <x:v>0</x:v>
      </x:c>
      <x:c r="W102" s="16" t="n">
        <x:v>0.029</x:v>
      </x:c>
      <x:c r="X102" s="17" t="n">
        <x:v>0.3</x:v>
      </x:c>
      <x:c r="Y102" s="17" t="n">
        <x:v>0.2</x:v>
      </x:c>
      <x:c r="Z102" s="14" t="n">
        <x:v>30</x:v>
      </x:c>
      <x:c r="AA102" s="16" t="n">
        <x:v>0.04</x:v>
      </x:c>
      <x:c r="AB102" s="14" t="n">
        <x:v>4</x:v>
      </x:c>
      <x:c r="AC102" s="14" t="n">
        <x:v>50</x:v>
      </x:c>
      <x:c r="AD102" s="14" t="n">
        <x:v>0</x:v>
      </x:c>
      <x:c r="AE102" s="14" t="n">
        <x:v>0</x:v>
      </x:c>
      <x:c r="AF102" s="14" t="n">
        <x:v>0</x:v>
      </x:c>
      <x:c r="AG102" s="24" t="str">
        <x:v>Low</x:v>
      </x:c>
      <x:c r="AH102" s="24" t="str">
        <x:v>Dot judgment; not approved price</x:v>
      </x:c>
      <x:c r="AI102" s="24" t="str">
        <x:v>Year 1 full-year target 60 order / engagement (5.0/month), prorated to operating months. Subsequent years retain 60% of prior units and add new demand equal to 40% of initial full-year units, growing 10% annually through Year 5, then 3%. Unvalidated acquisition hypothesis, not market evidence.</x:v>
      </x:c>
      <x:c r="AJ10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02" s="24" t="str">
        <x:v>Hypothetical in-year start after outstanding release, rights, provider or professional gates; no launch approval</x:v>
      </x:c>
      <x:c r="AL102" s="24" t="str">
        <x:v>https://chatgpt.com/c/6ab220d2-d7b4-83ea-ba8b-1bde30b6a727</x:v>
      </x:c>
      <x:c r="AM102" s="27" t="n">
        <x:v>0.15</x:v>
      </x:c>
    </x:row>
    <x:row r="103" ht="48" hidden="0" customHeight="1">
      <x:c r="A103" s="1"/>
      <x:c r="B103" s="1"/>
      <x:c r="C103" s="1" t="str">
        <x:v>DOT-074</x:v>
      </x:c>
      <x:c r="D103" s="10" t="str">
        <x:v>S’otality interiors</x:v>
      </x:c>
      <x:c r="E103" s="10" t="str">
        <x:v>Procurement commission</x:v>
      </x:c>
      <x:c r="F103" s="10" t="str">
        <x:v>platform</x:v>
      </x:c>
      <x:c r="G103" s="10" t="str">
        <x:v>order / engagement</x:v>
      </x:c>
      <x:c r="H103" s="14" t="n">
        <x:v>1500</x:v>
      </x:c>
      <x:c r="I103" s="14" t="n">
        <x:v>24</x:v>
      </x:c>
      <x:c r="J103" s="14" t="n">
        <x:v>9</x:v>
      </x:c>
      <x:c r="K103" s="16" t="n">
        <x:v>0.7</x:v>
      </x:c>
      <x:c r="L103" s="16" t="n">
        <x:v>0.2</x:v>
      </x:c>
      <x:c r="M103" s="16" t="n">
        <x:v>0.03</x:v>
      </x:c>
      <x:c r="N103" s="16" t="n">
        <x:v>0.02</x:v>
      </x:c>
      <x:c r="O103" s="14" t="n">
        <x:v>0</x:v>
      </x:c>
      <x:c r="P103" s="17" t="n">
        <x:v>1</x:v>
      </x:c>
      <x:c r="Q103" s="14" t="n">
        <x:v>40</x:v>
      </x:c>
      <x:c r="R103" s="14" t="n">
        <x:v>0</x:v>
      </x:c>
      <x:c r="S103" s="16" t="n">
        <x:v>0</x:v>
      </x:c>
      <x:c r="T103" s="16" t="n">
        <x:v>0.1</x:v>
      </x:c>
      <x:c r="U103" s="16" t="n">
        <x:v>0.03</x:v>
      </x:c>
      <x:c r="V103" s="16" t="n">
        <x:v>0</x:v>
      </x:c>
      <x:c r="W103" s="16" t="n">
        <x:v>0.029</x:v>
      </x:c>
      <x:c r="X103" s="17" t="n">
        <x:v>0.3</x:v>
      </x:c>
      <x:c r="Y103" s="17" t="n">
        <x:v>0.15</x:v>
      </x:c>
      <x:c r="Z103" s="14" t="n">
        <x:v>30</x:v>
      </x:c>
      <x:c r="AA103" s="16" t="n">
        <x:v>0.05</x:v>
      </x:c>
      <x:c r="AB103" s="14" t="n">
        <x:v>4</x:v>
      </x:c>
      <x:c r="AC103" s="14" t="n">
        <x:v>50</x:v>
      </x:c>
      <x:c r="AD103" s="14" t="n">
        <x:v>0</x:v>
      </x:c>
      <x:c r="AE103" s="14" t="n">
        <x:v>0</x:v>
      </x:c>
      <x:c r="AF103" s="14" t="n">
        <x:v>0</x:v>
      </x:c>
      <x:c r="AG103" s="24" t="str">
        <x:v>Low</x:v>
      </x:c>
      <x:c r="AH103" s="24" t="str">
        <x:v>Dot judgment; not approved price</x:v>
      </x:c>
      <x:c r="AI103" s="24" t="str">
        <x:v>Year 1 full-year target 24 order / engagement (2.0/month),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10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03" s="24" t="str">
        <x:v>Hypothetical in-year start after outstanding release, rights, provider or professional gates; no launch approval</x:v>
      </x:c>
      <x:c r="AL103" s="24" t="str">
        <x:v>https://chatgpt.com/c/6ab220d2-d7b4-83ea-ba8b-1bde30b6a727</x:v>
      </x:c>
      <x:c r="AM103" s="27" t="n">
        <x:v>0.05</x:v>
      </x:c>
    </x:row>
    <x:row r="104" ht="48" hidden="0" customHeight="1">
      <x:c r="A104" s="1"/>
      <x:c r="B104" s="1"/>
      <x:c r="C104" s="1" t="str">
        <x:v>DOT-075</x:v>
      </x:c>
      <x:c r="D104" s="10" t="str">
        <x:v>S’otality concierge</x:v>
      </x:c>
      <x:c r="E104" s="10" t="str">
        <x:v>Concierge request</x:v>
      </x:c>
      <x:c r="F104" s="10" t="str">
        <x:v>professional</x:v>
      </x:c>
      <x:c r="G104" s="10" t="str">
        <x:v>order / engagement</x:v>
      </x:c>
      <x:c r="H104" s="14" t="n">
        <x:v>75</x:v>
      </x:c>
      <x:c r="I104" s="14" t="n">
        <x:v>240</x:v>
      </x:c>
      <x:c r="J104" s="14" t="n">
        <x:v>9</x:v>
      </x:c>
      <x:c r="K104" s="16" t="n">
        <x:v>0.5</x:v>
      </x:c>
      <x:c r="L104" s="16" t="n">
        <x:v>0.1</x:v>
      </x:c>
      <x:c r="M104" s="16" t="n">
        <x:v>0.03</x:v>
      </x:c>
      <x:c r="N104" s="16" t="n">
        <x:v>0.02</x:v>
      </x:c>
      <x:c r="O104" s="14" t="n">
        <x:v>0</x:v>
      </x:c>
      <x:c r="P104" s="17" t="n">
        <x:v>0.75</x:v>
      </x:c>
      <x:c r="Q104" s="14" t="n">
        <x:v>35</x:v>
      </x:c>
      <x:c r="R104" s="14" t="n">
        <x:v>0</x:v>
      </x:c>
      <x:c r="S104" s="16" t="n">
        <x:v>0</x:v>
      </x:c>
      <x:c r="T104" s="16" t="n">
        <x:v>1</x:v>
      </x:c>
      <x:c r="U104" s="16" t="n">
        <x:v>0.03</x:v>
      </x:c>
      <x:c r="V104" s="16" t="n">
        <x:v>0</x:v>
      </x:c>
      <x:c r="W104" s="16" t="n">
        <x:v>0.029</x:v>
      </x:c>
      <x:c r="X104" s="17" t="n">
        <x:v>0.3</x:v>
      </x:c>
      <x:c r="Y104" s="17" t="n">
        <x:v>0.25</x:v>
      </x:c>
      <x:c r="Z104" s="14" t="n">
        <x:v>30</x:v>
      </x:c>
      <x:c r="AA104" s="16" t="n">
        <x:v>0.04</x:v>
      </x:c>
      <x:c r="AB104" s="14" t="n">
        <x:v>6</x:v>
      </x:c>
      <x:c r="AC104" s="14" t="n">
        <x:v>50</x:v>
      </x:c>
      <x:c r="AD104" s="14" t="n">
        <x:v>0</x:v>
      </x:c>
      <x:c r="AE104" s="14" t="n">
        <x:v>0</x:v>
      </x:c>
      <x:c r="AF104" s="14" t="n">
        <x:v>1</x:v>
      </x:c>
      <x:c r="AG104" s="24" t="str">
        <x:v>Low</x:v>
      </x:c>
      <x:c r="AH104" s="24" t="str">
        <x:v>Dot judgment; not approved price</x:v>
      </x:c>
      <x:c r="AI104" s="24" t="str">
        <x:v>Year 1 full-year target 240 order / engagement (20.0/month),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10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04" s="24" t="str">
        <x:v>Hypothetical in-year start after outstanding release, rights, provider or professional gates; no launch approval</x:v>
      </x:c>
      <x:c r="AL104" s="24" t="str">
        <x:v>https://chatgpt.com/c/6ab220d2-d7b4-83ea-ba8b-1bde30b6a727</x:v>
      </x:c>
      <x:c r="AM104" s="27" t="n">
        <x:v>0.2</x:v>
      </x:c>
    </x:row>
    <x:row r="105" ht="48" hidden="0" customHeight="1">
      <x:c r="A105" s="1"/>
      <x:c r="B105" s="1"/>
      <x:c r="C105" s="1" t="str">
        <x:v>DOT-076</x:v>
      </x:c>
      <x:c r="D105" s="10" t="str">
        <x:v>S’otality administration</x:v>
      </x:c>
      <x:c r="E105" s="10" t="str">
        <x:v>Administrative support hour</x:v>
      </x:c>
      <x:c r="F105" s="10" t="str">
        <x:v>professional</x:v>
      </x:c>
      <x:c r="G105" s="10" t="str">
        <x:v>order / engagement</x:v>
      </x:c>
      <x:c r="H105" s="14" t="n">
        <x:v>60</x:v>
      </x:c>
      <x:c r="I105" s="14" t="n">
        <x:v>480</x:v>
      </x:c>
      <x:c r="J105" s="14" t="n">
        <x:v>9</x:v>
      </x:c>
      <x:c r="K105" s="16" t="n">
        <x:v>0.5</x:v>
      </x:c>
      <x:c r="L105" s="16" t="n">
        <x:v>0.1</x:v>
      </x:c>
      <x:c r="M105" s="16" t="n">
        <x:v>0.03</x:v>
      </x:c>
      <x:c r="N105" s="16" t="n">
        <x:v>0.02</x:v>
      </x:c>
      <x:c r="O105" s="14" t="n">
        <x:v>0</x:v>
      </x:c>
      <x:c r="P105" s="17" t="n">
        <x:v>1</x:v>
      </x:c>
      <x:c r="Q105" s="14" t="n">
        <x:v>30</x:v>
      </x:c>
      <x:c r="R105" s="14" t="n">
        <x:v>0</x:v>
      </x:c>
      <x:c r="S105" s="16" t="n">
        <x:v>0</x:v>
      </x:c>
      <x:c r="T105" s="16" t="n">
        <x:v>1</x:v>
      </x:c>
      <x:c r="U105" s="16" t="n">
        <x:v>0.03</x:v>
      </x:c>
      <x:c r="V105" s="16" t="n">
        <x:v>0</x:v>
      </x:c>
      <x:c r="W105" s="16" t="n">
        <x:v>0.029</x:v>
      </x:c>
      <x:c r="X105" s="17" t="n">
        <x:v>0.3</x:v>
      </x:c>
      <x:c r="Y105" s="17" t="n">
        <x:v>0.25</x:v>
      </x:c>
      <x:c r="Z105" s="14" t="n">
        <x:v>30</x:v>
      </x:c>
      <x:c r="AA105" s="16" t="n">
        <x:v>0.04</x:v>
      </x:c>
      <x:c r="AB105" s="14" t="n">
        <x:v>4</x:v>
      </x:c>
      <x:c r="AC105" s="14" t="n">
        <x:v>50</x:v>
      </x:c>
      <x:c r="AD105" s="14" t="n">
        <x:v>0</x:v>
      </x:c>
      <x:c r="AE105" s="14" t="n">
        <x:v>0</x:v>
      </x:c>
      <x:c r="AF105" s="14" t="n">
        <x:v>1</x:v>
      </x:c>
      <x:c r="AG105" s="24" t="str">
        <x:v>Low</x:v>
      </x:c>
      <x:c r="AH105" s="24" t="str">
        <x:v>Dot judgment; not approved price</x:v>
      </x:c>
      <x:c r="AI105" s="24" t="str">
        <x:v>Year 1 full-year target 480 order / engagement (40.0/month),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10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05" s="24" t="str">
        <x:v>Hypothetical in-year start after outstanding release, rights, provider or professional gates; no launch approval</x:v>
      </x:c>
      <x:c r="AL105" s="24" t="str">
        <x:v>https://chatgpt.com/c/6ab220d2-d7b4-83ea-ba8b-1bde30b6a727</x:v>
      </x:c>
      <x:c r="AM105" s="27" t="n">
        <x:v>0.2</x:v>
      </x:c>
    </x:row>
    <x:row r="106" ht="48" hidden="0" customHeight="1">
      <x:c r="A106" s="1"/>
      <x:c r="B106" s="1"/>
      <x:c r="C106" s="1" t="str">
        <x:v>DOT-077</x:v>
      </x:c>
      <x:c r="D106" s="10" t="str">
        <x:v>S’otality bike tours</x:v>
      </x:c>
      <x:c r="E106" s="10" t="str">
        <x:v>Downtown tour ticket</x:v>
      </x:c>
      <x:c r="F106" s="10" t="str">
        <x:v>hospitality</x:v>
      </x:c>
      <x:c r="G106" s="10" t="str">
        <x:v>order / engagement</x:v>
      </x:c>
      <x:c r="H106" s="14" t="n">
        <x:v>65</x:v>
      </x:c>
      <x:c r="I106" s="14" t="n">
        <x:v>240</x:v>
      </x:c>
      <x:c r="J106" s="14" t="n">
        <x:v>6</x:v>
      </x:c>
      <x:c r="K106" s="16" t="n">
        <x:v>0.6</x:v>
      </x:c>
      <x:c r="L106" s="16" t="n">
        <x:v>0.1</x:v>
      </x:c>
      <x:c r="M106" s="16" t="n">
        <x:v>0.03</x:v>
      </x:c>
      <x:c r="N106" s="16" t="n">
        <x:v>0.02</x:v>
      </x:c>
      <x:c r="O106" s="14" t="n">
        <x:v>0</x:v>
      </x:c>
      <x:c r="P106" s="17" t="n">
        <x:v>0.15</x:v>
      </x:c>
      <x:c r="Q106" s="14" t="n">
        <x:v>35</x:v>
      </x:c>
      <x:c r="R106" s="14" t="n">
        <x:v>5</x:v>
      </x:c>
      <x:c r="S106" s="16" t="n">
        <x:v>0.45</x:v>
      </x:c>
      <x:c r="T106" s="16" t="n">
        <x:v>1</x:v>
      </x:c>
      <x:c r="U106" s="16" t="n">
        <x:v>0.03</x:v>
      </x:c>
      <x:c r="V106" s="16" t="n">
        <x:v>0</x:v>
      </x:c>
      <x:c r="W106" s="16" t="n">
        <x:v>0.029</x:v>
      </x:c>
      <x:c r="X106" s="17" t="n">
        <x:v>0.3</x:v>
      </x:c>
      <x:c r="Y106" s="17" t="n">
        <x:v>0.2</x:v>
      </x:c>
      <x:c r="Z106" s="14" t="n">
        <x:v>30</x:v>
      </x:c>
      <x:c r="AA106" s="16" t="n">
        <x:v>0.04</x:v>
      </x:c>
      <x:c r="AB106" s="14" t="n">
        <x:v>12</x:v>
      </x:c>
      <x:c r="AC106" s="14" t="n">
        <x:v>50</x:v>
      </x:c>
      <x:c r="AD106" s="14" t="n">
        <x:v>0</x:v>
      </x:c>
      <x:c r="AE106" s="14" t="n">
        <x:v>0</x:v>
      </x:c>
      <x:c r="AF106" s="14" t="n">
        <x:v>0</x:v>
      </x:c>
      <x:c r="AG106" s="24" t="str">
        <x:v>Low</x:v>
      </x:c>
      <x:c r="AH106" s="24" t="str">
        <x:v>Dot judgment; not approved price</x:v>
      </x:c>
      <x:c r="AI106" s="24" t="str">
        <x:v>Year 1 full-year target 240 order / engagement (20.0/month), prorated to operating months. Subsequent years retain 60% of prior units and add new demand equal to 40% of initial full-year units, growing 10% annually through Year 5, then 3%. Unvalidated acquisition hypothesis, not market evidence.</x:v>
      </x:c>
      <x:c r="AJ10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06" s="24" t="str">
        <x:v>Hypothetical in-year start after outstanding release, rights, provider or professional gates; no launch approval</x:v>
      </x:c>
      <x:c r="AL106" s="24" t="str">
        <x:v>https://chatgpt.com/c/6ab220d2-d7b4-83ea-ba8b-1bde30b6a727</x:v>
      </x:c>
      <x:c r="AM106" s="27" t="n">
        <x:v>0.15</x:v>
      </x:c>
    </x:row>
    <x:row r="107" ht="48" hidden="0" customHeight="1">
      <x:c r="A107" s="1"/>
      <x:c r="B107" s="1"/>
      <x:c r="C107" s="1" t="str">
        <x:v>DOT-078</x:v>
      </x:c>
      <x:c r="D107" s="10" t="str">
        <x:v>S’otality editorial</x:v>
      </x:c>
      <x:c r="E107" s="10" t="str">
        <x:v>Content license</x:v>
      </x:c>
      <x:c r="F107" s="10" t="str">
        <x:v>media</x:v>
      </x:c>
      <x:c r="G107" s="10" t="str">
        <x:v>order / engagement</x:v>
      </x:c>
      <x:c r="H107" s="14" t="n">
        <x:v>250</x:v>
      </x:c>
      <x:c r="I107" s="14" t="n">
        <x:v>12</x:v>
      </x:c>
      <x:c r="J107" s="14" t="n">
        <x:v>6</x:v>
      </x:c>
      <x:c r="K107" s="16" t="n">
        <x:v>0.35</x:v>
      </x:c>
      <x:c r="L107" s="16" t="n">
        <x:v>0.1</x:v>
      </x:c>
      <x:c r="M107" s="16" t="n">
        <x:v>0.03</x:v>
      </x:c>
      <x:c r="N107" s="16" t="n">
        <x:v>0.02</x:v>
      </x:c>
      <x:c r="O107" s="14" t="n">
        <x:v>0</x:v>
      </x:c>
      <x:c r="P107" s="17" t="n">
        <x:v>2</x:v>
      </x:c>
      <x:c r="Q107" s="14" t="n">
        <x:v>40</x:v>
      </x:c>
      <x:c r="R107" s="14" t="n">
        <x:v>0</x:v>
      </x:c>
      <x:c r="S107" s="16" t="n">
        <x:v>0</x:v>
      </x:c>
      <x:c r="T107" s="16" t="n">
        <x:v>1</x:v>
      </x:c>
      <x:c r="U107" s="16" t="n">
        <x:v>0.03</x:v>
      </x:c>
      <x:c r="V107" s="16" t="n">
        <x:v>0</x:v>
      </x:c>
      <x:c r="W107" s="16" t="n">
        <x:v>0.029</x:v>
      </x:c>
      <x:c r="X107" s="17" t="n">
        <x:v>0.3</x:v>
      </x:c>
      <x:c r="Y107" s="17" t="n">
        <x:v>0.5</x:v>
      </x:c>
      <x:c r="Z107" s="14" t="n">
        <x:v>30</x:v>
      </x:c>
      <x:c r="AA107" s="16" t="n">
        <x:v>0.08</x:v>
      </x:c>
      <x:c r="AB107" s="14" t="n">
        <x:v>20</x:v>
      </x:c>
      <x:c r="AC107" s="14" t="n">
        <x:v>50</x:v>
      </x:c>
      <x:c r="AD107" s="14" t="n">
        <x:v>0</x:v>
      </x:c>
      <x:c r="AE107" s="14" t="n">
        <x:v>0</x:v>
      </x:c>
      <x:c r="AF107" s="14" t="n">
        <x:v>1</x:v>
      </x:c>
      <x:c r="AG107" s="24" t="str">
        <x:v>Low</x:v>
      </x:c>
      <x:c r="AH107" s="24" t="str">
        <x:v>Dot judgment; not approved price</x:v>
      </x:c>
      <x:c r="AI107" s="24" t="str">
        <x:v>Year 1 full-year target 12 order / engagement (1.0/month), prorated to operating months. Subsequent years retain 35% of prior units and add new demand equal to 65% of initial full-year units, growing 10% annually through Year 5, then 3%. Unvalidated acquisition hypothesis, not market evidence.</x:v>
      </x:c>
      <x:c r="AJ10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07" s="24" t="str">
        <x:v>Hypothetical in-year start after outstanding release, rights, provider or professional gates; no launch approval</x:v>
      </x:c>
      <x:c r="AL107" s="24" t="str">
        <x:v>https://chatgpt.com/c/197b0209-96e7-43a8-b2fe-4e2f4f288ef7</x:v>
      </x:c>
      <x:c r="AM107" s="27" t="n">
        <x:v>0.1</x:v>
      </x:c>
    </x:row>
    <x:row r="108" ht="48" hidden="0" customHeight="1">
      <x:c r="A108" s="1"/>
      <x:c r="B108" s="1"/>
      <x:c r="C108" s="1" t="str">
        <x:v>DOT-079</x:v>
      </x:c>
      <x:c r="D108" s="10" t="str">
        <x:v>S’otality editorial</x:v>
      </x:c>
      <x:c r="E108" s="10" t="str">
        <x:v>Sponsorship campaign</x:v>
      </x:c>
      <x:c r="F108" s="10" t="str">
        <x:v>media</x:v>
      </x:c>
      <x:c r="G108" s="10" t="str">
        <x:v>order / engagement</x:v>
      </x:c>
      <x:c r="H108" s="14" t="n">
        <x:v>1000</x:v>
      </x:c>
      <x:c r="I108" s="14" t="n">
        <x:v>4</x:v>
      </x:c>
      <x:c r="J108" s="14" t="n">
        <x:v>6</x:v>
      </x:c>
      <x:c r="K108" s="16" t="n">
        <x:v>0.35</x:v>
      </x:c>
      <x:c r="L108" s="16" t="n">
        <x:v>0.1</x:v>
      </x:c>
      <x:c r="M108" s="16" t="n">
        <x:v>0.03</x:v>
      </x:c>
      <x:c r="N108" s="16" t="n">
        <x:v>0.02</x:v>
      </x:c>
      <x:c r="O108" s="14" t="n">
        <x:v>0</x:v>
      </x:c>
      <x:c r="P108" s="17" t="n">
        <x:v>8</x:v>
      </x:c>
      <x:c r="Q108" s="14" t="n">
        <x:v>40</x:v>
      </x:c>
      <x:c r="R108" s="14" t="n">
        <x:v>100</x:v>
      </x:c>
      <x:c r="S108" s="16" t="n">
        <x:v>0</x:v>
      </x:c>
      <x:c r="T108" s="16" t="n">
        <x:v>1</x:v>
      </x:c>
      <x:c r="U108" s="16" t="n">
        <x:v>0.03</x:v>
      </x:c>
      <x:c r="V108" s="16" t="n">
        <x:v>0</x:v>
      </x:c>
      <x:c r="W108" s="16" t="n">
        <x:v>0.029</x:v>
      </x:c>
      <x:c r="X108" s="17" t="n">
        <x:v>0.3</x:v>
      </x:c>
      <x:c r="Y108" s="17" t="n">
        <x:v>0.5</x:v>
      </x:c>
      <x:c r="Z108" s="14" t="n">
        <x:v>30</x:v>
      </x:c>
      <x:c r="AA108" s="16" t="n">
        <x:v>0.08</x:v>
      </x:c>
      <x:c r="AB108" s="14" t="n">
        <x:v>10</x:v>
      </x:c>
      <x:c r="AC108" s="14" t="n">
        <x:v>50</x:v>
      </x:c>
      <x:c r="AD108" s="14" t="n">
        <x:v>0</x:v>
      </x:c>
      <x:c r="AE108" s="14" t="n">
        <x:v>0</x:v>
      </x:c>
      <x:c r="AF108" s="14" t="n">
        <x:v>1</x:v>
      </x:c>
      <x:c r="AG108" s="24" t="str">
        <x:v>Low</x:v>
      </x:c>
      <x:c r="AH108" s="24" t="str">
        <x:v>Dot judgment; not approved price</x:v>
      </x:c>
      <x:c r="AI108" s="24" t="str">
        <x:v>Year 1 full-year target 4 order / engagement (0.3/month), prorated to operating months. Subsequent years retain 35% of prior units and add new demand equal to 65% of initial full-year units, growing 10% annually through Year 5, then 3%. Unvalidated acquisition hypothesis, not market evidence.</x:v>
      </x:c>
      <x:c r="AJ10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08" s="24" t="str">
        <x:v>Hypothetical in-year start after outstanding release, rights, provider or professional gates; no launch approval</x:v>
      </x:c>
      <x:c r="AL108" s="24" t="str">
        <x:v>https://chatgpt.com/c/197b0209-96e7-43a8-b2fe-4e2f4f288ef7</x:v>
      </x:c>
      <x:c r="AM108" s="27" t="n">
        <x:v>0.1</x:v>
      </x:c>
    </x:row>
    <x:row r="109" ht="48" hidden="0" customHeight="1">
      <x:c r="A109" s="1"/>
      <x:c r="B109" s="1"/>
      <x:c r="C109" s="1" t="str">
        <x:v>DOT-080</x:v>
      </x:c>
      <x:c r="D109" s="10" t="str">
        <x:v>Tomato Odyssey</x:v>
      </x:c>
      <x:c r="E109" s="10" t="str">
        <x:v>Content license</x:v>
      </x:c>
      <x:c r="F109" s="10" t="str">
        <x:v>media</x:v>
      </x:c>
      <x:c r="G109" s="10" t="str">
        <x:v>order / engagement</x:v>
      </x:c>
      <x:c r="H109" s="14" t="n">
        <x:v>250</x:v>
      </x:c>
      <x:c r="I109" s="14" t="n">
        <x:v>12</x:v>
      </x:c>
      <x:c r="J109" s="14" t="n">
        <x:v>6</x:v>
      </x:c>
      <x:c r="K109" s="16" t="n">
        <x:v>0.35</x:v>
      </x:c>
      <x:c r="L109" s="16" t="n">
        <x:v>0.1</x:v>
      </x:c>
      <x:c r="M109" s="16" t="n">
        <x:v>0.03</x:v>
      </x:c>
      <x:c r="N109" s="16" t="n">
        <x:v>0.02</x:v>
      </x:c>
      <x:c r="O109" s="14" t="n">
        <x:v>0</x:v>
      </x:c>
      <x:c r="P109" s="17" t="n">
        <x:v>2</x:v>
      </x:c>
      <x:c r="Q109" s="14" t="n">
        <x:v>40</x:v>
      </x:c>
      <x:c r="R109" s="14" t="n">
        <x:v>0</x:v>
      </x:c>
      <x:c r="S109" s="16" t="n">
        <x:v>0</x:v>
      </x:c>
      <x:c r="T109" s="16" t="n">
        <x:v>1</x:v>
      </x:c>
      <x:c r="U109" s="16" t="n">
        <x:v>0.03</x:v>
      </x:c>
      <x:c r="V109" s="16" t="n">
        <x:v>0</x:v>
      </x:c>
      <x:c r="W109" s="16" t="n">
        <x:v>0.029</x:v>
      </x:c>
      <x:c r="X109" s="17" t="n">
        <x:v>0.3</x:v>
      </x:c>
      <x:c r="Y109" s="17" t="n">
        <x:v>0.5</x:v>
      </x:c>
      <x:c r="Z109" s="14" t="n">
        <x:v>30</x:v>
      </x:c>
      <x:c r="AA109" s="16" t="n">
        <x:v>0.08</x:v>
      </x:c>
      <x:c r="AB109" s="14" t="n">
        <x:v>20</x:v>
      </x:c>
      <x:c r="AC109" s="14" t="n">
        <x:v>50</x:v>
      </x:c>
      <x:c r="AD109" s="14" t="n">
        <x:v>0</x:v>
      </x:c>
      <x:c r="AE109" s="14" t="n">
        <x:v>0</x:v>
      </x:c>
      <x:c r="AF109" s="14" t="n">
        <x:v>1</x:v>
      </x:c>
      <x:c r="AG109" s="24" t="str">
        <x:v>Low</x:v>
      </x:c>
      <x:c r="AH109" s="24" t="str">
        <x:v>Dot judgment; not approved price</x:v>
      </x:c>
      <x:c r="AI109" s="24" t="str">
        <x:v>Year 1 full-year target 12 order / engagement (1.0/month), prorated to operating months. Subsequent years retain 35% of prior units and add new demand equal to 65% of initial full-year units, growing 10% annually through Year 5, then 3%. Unvalidated acquisition hypothesis, not market evidence.</x:v>
      </x:c>
      <x:c r="AJ10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09" s="24" t="str">
        <x:v>Hypothetical in-year start after outstanding release, rights, provider or professional gates; no launch approval</x:v>
      </x:c>
      <x:c r="AL109" s="24" t="str">
        <x:v>https://chatgpt.com/c/197b0209-96e7-43a8-b2fe-4e2f4f288ef7</x:v>
      </x:c>
      <x:c r="AM109" s="27" t="n">
        <x:v>0.1</x:v>
      </x:c>
    </x:row>
    <x:row r="110" ht="48" hidden="0" customHeight="1">
      <x:c r="A110" s="1"/>
      <x:c r="B110" s="1"/>
      <x:c r="C110" s="1" t="str">
        <x:v>DOT-081</x:v>
      </x:c>
      <x:c r="D110" s="10" t="str">
        <x:v>Tomato Odyssey</x:v>
      </x:c>
      <x:c r="E110" s="10" t="str">
        <x:v>Sponsorship campaign</x:v>
      </x:c>
      <x:c r="F110" s="10" t="str">
        <x:v>media</x:v>
      </x:c>
      <x:c r="G110" s="10" t="str">
        <x:v>order / engagement</x:v>
      </x:c>
      <x:c r="H110" s="14" t="n">
        <x:v>1000</x:v>
      </x:c>
      <x:c r="I110" s="14" t="n">
        <x:v>4</x:v>
      </x:c>
      <x:c r="J110" s="14" t="n">
        <x:v>6</x:v>
      </x:c>
      <x:c r="K110" s="16" t="n">
        <x:v>0.35</x:v>
      </x:c>
      <x:c r="L110" s="16" t="n">
        <x:v>0.1</x:v>
      </x:c>
      <x:c r="M110" s="16" t="n">
        <x:v>0.03</x:v>
      </x:c>
      <x:c r="N110" s="16" t="n">
        <x:v>0.02</x:v>
      </x:c>
      <x:c r="O110" s="14" t="n">
        <x:v>0</x:v>
      </x:c>
      <x:c r="P110" s="17" t="n">
        <x:v>8</x:v>
      </x:c>
      <x:c r="Q110" s="14" t="n">
        <x:v>40</x:v>
      </x:c>
      <x:c r="R110" s="14" t="n">
        <x:v>100</x:v>
      </x:c>
      <x:c r="S110" s="16" t="n">
        <x:v>0</x:v>
      </x:c>
      <x:c r="T110" s="16" t="n">
        <x:v>1</x:v>
      </x:c>
      <x:c r="U110" s="16" t="n">
        <x:v>0.03</x:v>
      </x:c>
      <x:c r="V110" s="16" t="n">
        <x:v>0</x:v>
      </x:c>
      <x:c r="W110" s="16" t="n">
        <x:v>0.029</x:v>
      </x:c>
      <x:c r="X110" s="17" t="n">
        <x:v>0.3</x:v>
      </x:c>
      <x:c r="Y110" s="17" t="n">
        <x:v>0.5</x:v>
      </x:c>
      <x:c r="Z110" s="14" t="n">
        <x:v>30</x:v>
      </x:c>
      <x:c r="AA110" s="16" t="n">
        <x:v>0.08</x:v>
      </x:c>
      <x:c r="AB110" s="14" t="n">
        <x:v>10</x:v>
      </x:c>
      <x:c r="AC110" s="14" t="n">
        <x:v>50</x:v>
      </x:c>
      <x:c r="AD110" s="14" t="n">
        <x:v>0</x:v>
      </x:c>
      <x:c r="AE110" s="14" t="n">
        <x:v>0</x:v>
      </x:c>
      <x:c r="AF110" s="14" t="n">
        <x:v>1</x:v>
      </x:c>
      <x:c r="AG110" s="24" t="str">
        <x:v>Low</x:v>
      </x:c>
      <x:c r="AH110" s="24" t="str">
        <x:v>Dot judgment; not approved price</x:v>
      </x:c>
      <x:c r="AI110" s="24" t="str">
        <x:v>Year 1 full-year target 4 order / engagement (0.3/month), prorated to operating months. Subsequent years retain 35% of prior units and add new demand equal to 65% of initial full-year units, growing 10% annually through Year 5, then 3%. Unvalidated acquisition hypothesis, not market evidence.</x:v>
      </x:c>
      <x:c r="AJ11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10" s="24" t="str">
        <x:v>Hypothetical in-year start after outstanding release, rights, provider or professional gates; no launch approval</x:v>
      </x:c>
      <x:c r="AL110" s="24" t="str">
        <x:v>https://chatgpt.com/c/197b0209-96e7-43a8-b2fe-4e2f4f288ef7</x:v>
      </x:c>
      <x:c r="AM110" s="27" t="n">
        <x:v>0.1</x:v>
      </x:c>
    </x:row>
    <x:row r="111" ht="48" hidden="0" customHeight="1">
      <x:c r="A111" s="1"/>
      <x:c r="B111" s="1"/>
      <x:c r="C111" s="1" t="str">
        <x:v>DOT-082</x:v>
      </x:c>
      <x:c r="D111" s="10" t="str">
        <x:v>Semajes Studio</x:v>
      </x:c>
      <x:c r="E111" s="10" t="str">
        <x:v>Focused photography commission</x:v>
      </x:c>
      <x:c r="F111" s="10" t="str">
        <x:v>professional</x:v>
      </x:c>
      <x:c r="G111" s="10" t="str">
        <x:v>order / engagement</x:v>
      </x:c>
      <x:c r="H111" s="14" t="n">
        <x:v>550</x:v>
      </x:c>
      <x:c r="I111" s="14" t="n">
        <x:v>36</x:v>
      </x:c>
      <x:c r="J111" s="14" t="n">
        <x:v>9</x:v>
      </x:c>
      <x:c r="K111" s="16" t="n">
        <x:v>0.5</x:v>
      </x:c>
      <x:c r="L111" s="16" t="n">
        <x:v>0.1</x:v>
      </x:c>
      <x:c r="M111" s="16" t="n">
        <x:v>0.03</x:v>
      </x:c>
      <x:c r="N111" s="16" t="n">
        <x:v>0.02</x:v>
      </x:c>
      <x:c r="O111" s="14" t="n">
        <x:v>0</x:v>
      </x:c>
      <x:c r="P111" s="17" t="n">
        <x:v>6</x:v>
      </x:c>
      <x:c r="Q111" s="14" t="n">
        <x:v>50</x:v>
      </x:c>
      <x:c r="R111" s="14" t="n">
        <x:v>80</x:v>
      </x:c>
      <x:c r="S111" s="16" t="n">
        <x:v>0</x:v>
      </x:c>
      <x:c r="T111" s="16" t="n">
        <x:v>1</x:v>
      </x:c>
      <x:c r="U111" s="16" t="n">
        <x:v>0.03</x:v>
      </x:c>
      <x:c r="V111" s="16" t="n">
        <x:v>0</x:v>
      </x:c>
      <x:c r="W111" s="16" t="n">
        <x:v>0.029</x:v>
      </x:c>
      <x:c r="X111" s="17" t="n">
        <x:v>0.3</x:v>
      </x:c>
      <x:c r="Y111" s="17" t="n">
        <x:v>0.25</x:v>
      </x:c>
      <x:c r="Z111" s="14" t="n">
        <x:v>30</x:v>
      </x:c>
      <x:c r="AA111" s="16" t="n">
        <x:v>0.04</x:v>
      </x:c>
      <x:c r="AB111" s="14" t="n">
        <x:v>6</x:v>
      </x:c>
      <x:c r="AC111" s="14" t="n">
        <x:v>50</x:v>
      </x:c>
      <x:c r="AD111" s="14" t="n">
        <x:v>0</x:v>
      </x:c>
      <x:c r="AE111" s="14" t="n">
        <x:v>0</x:v>
      </x:c>
      <x:c r="AF111" s="14" t="n">
        <x:v>1</x:v>
      </x:c>
      <x:c r="AG111" s="24" t="str">
        <x:v>Low</x:v>
      </x:c>
      <x:c r="AH111" s="24" t="str">
        <x:v>Historical scenario anchor used as Dot assumption</x:v>
      </x:c>
      <x:c r="AI111" s="24" t="str">
        <x:v>Year 1 full-year target 36 order / engagement (3.0/month),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11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11" s="24" t="str">
        <x:v>Hypothetical in-year start after outstanding release, rights, provider or professional gates; no launch approval</x:v>
      </x:c>
      <x:c r="AL111" s="24" t="str">
        <x:v>https://chatgpt.com/c/6ab2b83c-303c-83ea-8d5e-4be203cff113</x:v>
      </x:c>
      <x:c r="AM111" s="27" t="n">
        <x:v>0.2</x:v>
      </x:c>
    </x:row>
    <x:row r="112" ht="48" hidden="0" customHeight="1">
      <x:c r="A112" s="1"/>
      <x:c r="B112" s="1"/>
      <x:c r="C112" s="1" t="str">
        <x:v>DOT-083</x:v>
      </x:c>
      <x:c r="D112" s="10" t="str">
        <x:v>Semajes Studio</x:v>
      </x:c>
      <x:c r="E112" s="10" t="str">
        <x:v>Signature photography commission</x:v>
      </x:c>
      <x:c r="F112" s="10" t="str">
        <x:v>professional</x:v>
      </x:c>
      <x:c r="G112" s="10" t="str">
        <x:v>order / engagement</x:v>
      </x:c>
      <x:c r="H112" s="14" t="n">
        <x:v>1200</x:v>
      </x:c>
      <x:c r="I112" s="14" t="n">
        <x:v>18</x:v>
      </x:c>
      <x:c r="J112" s="14" t="n">
        <x:v>9</x:v>
      </x:c>
      <x:c r="K112" s="16" t="n">
        <x:v>0.5</x:v>
      </x:c>
      <x:c r="L112" s="16" t="n">
        <x:v>0.1</x:v>
      </x:c>
      <x:c r="M112" s="16" t="n">
        <x:v>0.03</x:v>
      </x:c>
      <x:c r="N112" s="16" t="n">
        <x:v>0.02</x:v>
      </x:c>
      <x:c r="O112" s="14" t="n">
        <x:v>0</x:v>
      </x:c>
      <x:c r="P112" s="17" t="n">
        <x:v>10</x:v>
      </x:c>
      <x:c r="Q112" s="14" t="n">
        <x:v>50</x:v>
      </x:c>
      <x:c r="R112" s="14" t="n">
        <x:v>150</x:v>
      </x:c>
      <x:c r="S112" s="16" t="n">
        <x:v>0</x:v>
      </x:c>
      <x:c r="T112" s="16" t="n">
        <x:v>1</x:v>
      </x:c>
      <x:c r="U112" s="16" t="n">
        <x:v>0.03</x:v>
      </x:c>
      <x:c r="V112" s="16" t="n">
        <x:v>0</x:v>
      </x:c>
      <x:c r="W112" s="16" t="n">
        <x:v>0.029</x:v>
      </x:c>
      <x:c r="X112" s="17" t="n">
        <x:v>0.3</x:v>
      </x:c>
      <x:c r="Y112" s="17" t="n">
        <x:v>0.25</x:v>
      </x:c>
      <x:c r="Z112" s="14" t="n">
        <x:v>30</x:v>
      </x:c>
      <x:c r="AA112" s="16" t="n">
        <x:v>0.04</x:v>
      </x:c>
      <x:c r="AB112" s="14" t="n">
        <x:v>6</x:v>
      </x:c>
      <x:c r="AC112" s="14" t="n">
        <x:v>50</x:v>
      </x:c>
      <x:c r="AD112" s="14" t="n">
        <x:v>0</x:v>
      </x:c>
      <x:c r="AE112" s="14" t="n">
        <x:v>0</x:v>
      </x:c>
      <x:c r="AF112" s="14" t="n">
        <x:v>1</x:v>
      </x:c>
      <x:c r="AG112" s="24" t="str">
        <x:v>Low</x:v>
      </x:c>
      <x:c r="AH112" s="24" t="str">
        <x:v>Dot judgment; not approved price</x:v>
      </x:c>
      <x:c r="AI112" s="24" t="str">
        <x:v>Year 1 full-year target 18 order / engagement (1.5/month),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11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12" s="24" t="str">
        <x:v>Hypothetical in-year start after outstanding release, rights, provider or professional gates; no launch approval</x:v>
      </x:c>
      <x:c r="AL112" s="24" t="str">
        <x:v>https://chatgpt.com/c/6ab2b83c-303c-83ea-8d5e-4be203cff113</x:v>
      </x:c>
      <x:c r="AM112" s="27" t="n">
        <x:v>0.2</x:v>
      </x:c>
    </x:row>
    <x:row r="113" ht="48" hidden="0" customHeight="1">
      <x:c r="A113" s="1"/>
      <x:c r="B113" s="1"/>
      <x:c r="C113" s="1" t="str">
        <x:v>DOT-084</x:v>
      </x:c>
      <x:c r="D113" s="10" t="str">
        <x:v>Semajes Studio</x:v>
      </x:c>
      <x:c r="E113" s="10" t="str">
        <x:v>Personal image license</x:v>
      </x:c>
      <x:c r="F113" s="10" t="str">
        <x:v>professional</x:v>
      </x:c>
      <x:c r="G113" s="10" t="str">
        <x:v>order / engagement</x:v>
      </x:c>
      <x:c r="H113" s="14" t="n">
        <x:v>35</x:v>
      </x:c>
      <x:c r="I113" s="14" t="n">
        <x:v>120</x:v>
      </x:c>
      <x:c r="J113" s="14" t="n">
        <x:v>9</x:v>
      </x:c>
      <x:c r="K113" s="16" t="n">
        <x:v>0.5</x:v>
      </x:c>
      <x:c r="L113" s="16" t="n">
        <x:v>0.1</x:v>
      </x:c>
      <x:c r="M113" s="16" t="n">
        <x:v>0.03</x:v>
      </x:c>
      <x:c r="N113" s="16" t="n">
        <x:v>0.02</x:v>
      </x:c>
      <x:c r="O113" s="14" t="n">
        <x:v>0</x:v>
      </x:c>
      <x:c r="P113" s="17" t="n">
        <x:v>0.1</x:v>
      </x:c>
      <x:c r="Q113" s="14" t="n">
        <x:v>50</x:v>
      </x:c>
      <x:c r="R113" s="14" t="n">
        <x:v>0</x:v>
      </x:c>
      <x:c r="S113" s="16" t="n">
        <x:v>0</x:v>
      </x:c>
      <x:c r="T113" s="16" t="n">
        <x:v>1</x:v>
      </x:c>
      <x:c r="U113" s="16" t="n">
        <x:v>0.03</x:v>
      </x:c>
      <x:c r="V113" s="16" t="n">
        <x:v>0</x:v>
      </x:c>
      <x:c r="W113" s="16" t="n">
        <x:v>0.029</x:v>
      </x:c>
      <x:c r="X113" s="17" t="n">
        <x:v>0.3</x:v>
      </x:c>
      <x:c r="Y113" s="17" t="n">
        <x:v>0.25</x:v>
      </x:c>
      <x:c r="Z113" s="14" t="n">
        <x:v>30</x:v>
      </x:c>
      <x:c r="AA113" s="16" t="n">
        <x:v>0.04</x:v>
      </x:c>
      <x:c r="AB113" s="14" t="n">
        <x:v>6</x:v>
      </x:c>
      <x:c r="AC113" s="14" t="n">
        <x:v>50</x:v>
      </x:c>
      <x:c r="AD113" s="14" t="n">
        <x:v>0</x:v>
      </x:c>
      <x:c r="AE113" s="14" t="n">
        <x:v>0</x:v>
      </x:c>
      <x:c r="AF113" s="14" t="n">
        <x:v>1</x:v>
      </x:c>
      <x:c r="AG113" s="24" t="str">
        <x:v>Low</x:v>
      </x:c>
      <x:c r="AH113" s="24" t="str">
        <x:v>Dot judgment; not approved price</x:v>
      </x:c>
      <x:c r="AI113" s="24" t="str">
        <x:v>Year 1 full-year target 120 order / engagement (10.0/month),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11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13" s="24" t="str">
        <x:v>Hypothetical in-year start after outstanding release, rights, provider or professional gates; no launch approval</x:v>
      </x:c>
      <x:c r="AL113" s="24" t="str">
        <x:v>https://chatgpt.com/c/6ab2b83c-303c-83ea-8d5e-4be203cff113</x:v>
      </x:c>
      <x:c r="AM113" s="27" t="n">
        <x:v>0.2</x:v>
      </x:c>
    </x:row>
    <x:row r="114" ht="48" hidden="0" customHeight="1">
      <x:c r="A114" s="1"/>
      <x:c r="B114" s="1"/>
      <x:c r="C114" s="1" t="str">
        <x:v>DOT-085</x:v>
      </x:c>
      <x:c r="D114" s="10" t="str">
        <x:v>Semajes Studio</x:v>
      </x:c>
      <x:c r="E114" s="10" t="str">
        <x:v>Editorial image license</x:v>
      </x:c>
      <x:c r="F114" s="10" t="str">
        <x:v>professional</x:v>
      </x:c>
      <x:c r="G114" s="10" t="str">
        <x:v>order / engagement</x:v>
      </x:c>
      <x:c r="H114" s="14" t="n">
        <x:v>150</x:v>
      </x:c>
      <x:c r="I114" s="14" t="n">
        <x:v>36</x:v>
      </x:c>
      <x:c r="J114" s="14" t="n">
        <x:v>9</x:v>
      </x:c>
      <x:c r="K114" s="16" t="n">
        <x:v>0.5</x:v>
      </x:c>
      <x:c r="L114" s="16" t="n">
        <x:v>0.1</x:v>
      </x:c>
      <x:c r="M114" s="16" t="n">
        <x:v>0.03</x:v>
      </x:c>
      <x:c r="N114" s="16" t="n">
        <x:v>0.02</x:v>
      </x:c>
      <x:c r="O114" s="14" t="n">
        <x:v>0</x:v>
      </x:c>
      <x:c r="P114" s="17" t="n">
        <x:v>0.25</x:v>
      </x:c>
      <x:c r="Q114" s="14" t="n">
        <x:v>50</x:v>
      </x:c>
      <x:c r="R114" s="14" t="n">
        <x:v>0</x:v>
      </x:c>
      <x:c r="S114" s="16" t="n">
        <x:v>0</x:v>
      </x:c>
      <x:c r="T114" s="16" t="n">
        <x:v>1</x:v>
      </x:c>
      <x:c r="U114" s="16" t="n">
        <x:v>0.03</x:v>
      </x:c>
      <x:c r="V114" s="16" t="n">
        <x:v>0</x:v>
      </x:c>
      <x:c r="W114" s="16" t="n">
        <x:v>0.029</x:v>
      </x:c>
      <x:c r="X114" s="17" t="n">
        <x:v>0.3</x:v>
      </x:c>
      <x:c r="Y114" s="17" t="n">
        <x:v>0.25</x:v>
      </x:c>
      <x:c r="Z114" s="14" t="n">
        <x:v>30</x:v>
      </x:c>
      <x:c r="AA114" s="16" t="n">
        <x:v>0.04</x:v>
      </x:c>
      <x:c r="AB114" s="14" t="n">
        <x:v>6</x:v>
      </x:c>
      <x:c r="AC114" s="14" t="n">
        <x:v>50</x:v>
      </x:c>
      <x:c r="AD114" s="14" t="n">
        <x:v>0</x:v>
      </x:c>
      <x:c r="AE114" s="14" t="n">
        <x:v>0</x:v>
      </x:c>
      <x:c r="AF114" s="14" t="n">
        <x:v>1</x:v>
      </x:c>
      <x:c r="AG114" s="24" t="str">
        <x:v>Low</x:v>
      </x:c>
      <x:c r="AH114" s="24" t="str">
        <x:v>Dot judgment; not approved price</x:v>
      </x:c>
      <x:c r="AI114" s="24" t="str">
        <x:v>Year 1 full-year target 36 order / engagement (3.0/month),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11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14" s="24" t="str">
        <x:v>Hypothetical in-year start after outstanding release, rights, provider or professional gates; no launch approval</x:v>
      </x:c>
      <x:c r="AL114" s="24" t="str">
        <x:v>https://chatgpt.com/c/6ab2b83c-303c-83ea-8d5e-4be203cff113</x:v>
      </x:c>
      <x:c r="AM114" s="27" t="n">
        <x:v>0.2</x:v>
      </x:c>
    </x:row>
    <x:row r="115" ht="48" hidden="0" customHeight="1">
      <x:c r="A115" s="1"/>
      <x:c r="B115" s="1"/>
      <x:c r="C115" s="1" t="str">
        <x:v>DOT-086</x:v>
      </x:c>
      <x:c r="D115" s="10" t="str">
        <x:v>Semajes Studio</x:v>
      </x:c>
      <x:c r="E115" s="10" t="str">
        <x:v>Commercial image license</x:v>
      </x:c>
      <x:c r="F115" s="10" t="str">
        <x:v>professional</x:v>
      </x:c>
      <x:c r="G115" s="10" t="str">
        <x:v>order / engagement</x:v>
      </x:c>
      <x:c r="H115" s="14" t="n">
        <x:v>500</x:v>
      </x:c>
      <x:c r="I115" s="14" t="n">
        <x:v>18</x:v>
      </x:c>
      <x:c r="J115" s="14" t="n">
        <x:v>9</x:v>
      </x:c>
      <x:c r="K115" s="16" t="n">
        <x:v>0.5</x:v>
      </x:c>
      <x:c r="L115" s="16" t="n">
        <x:v>0.1</x:v>
      </x:c>
      <x:c r="M115" s="16" t="n">
        <x:v>0.03</x:v>
      </x:c>
      <x:c r="N115" s="16" t="n">
        <x:v>0.02</x:v>
      </x:c>
      <x:c r="O115" s="14" t="n">
        <x:v>0</x:v>
      </x:c>
      <x:c r="P115" s="17" t="n">
        <x:v>1</x:v>
      </x:c>
      <x:c r="Q115" s="14" t="n">
        <x:v>50</x:v>
      </x:c>
      <x:c r="R115" s="14" t="n">
        <x:v>0</x:v>
      </x:c>
      <x:c r="S115" s="16" t="n">
        <x:v>0</x:v>
      </x:c>
      <x:c r="T115" s="16" t="n">
        <x:v>1</x:v>
      </x:c>
      <x:c r="U115" s="16" t="n">
        <x:v>0.03</x:v>
      </x:c>
      <x:c r="V115" s="16" t="n">
        <x:v>0</x:v>
      </x:c>
      <x:c r="W115" s="16" t="n">
        <x:v>0.029</x:v>
      </x:c>
      <x:c r="X115" s="17" t="n">
        <x:v>0.3</x:v>
      </x:c>
      <x:c r="Y115" s="17" t="n">
        <x:v>0.25</x:v>
      </x:c>
      <x:c r="Z115" s="14" t="n">
        <x:v>30</x:v>
      </x:c>
      <x:c r="AA115" s="16" t="n">
        <x:v>0.04</x:v>
      </x:c>
      <x:c r="AB115" s="14" t="n">
        <x:v>6</x:v>
      </x:c>
      <x:c r="AC115" s="14" t="n">
        <x:v>50</x:v>
      </x:c>
      <x:c r="AD115" s="14" t="n">
        <x:v>0</x:v>
      </x:c>
      <x:c r="AE115" s="14" t="n">
        <x:v>0</x:v>
      </x:c>
      <x:c r="AF115" s="14" t="n">
        <x:v>1</x:v>
      </x:c>
      <x:c r="AG115" s="24" t="str">
        <x:v>Low</x:v>
      </x:c>
      <x:c r="AH115" s="24" t="str">
        <x:v>Dot judgment; not approved price</x:v>
      </x:c>
      <x:c r="AI115" s="24" t="str">
        <x:v>Year 1 full-year target 18 order / engagement (1.5/month),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11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15" s="24" t="str">
        <x:v>Hypothetical in-year start after outstanding release, rights, provider or professional gates; no launch approval</x:v>
      </x:c>
      <x:c r="AL115" s="24" t="str">
        <x:v>https://chatgpt.com/c/6ab2b83c-303c-83ea-8d5e-4be203cff113</x:v>
      </x:c>
      <x:c r="AM115" s="27" t="n">
        <x:v>0.2</x:v>
      </x:c>
    </x:row>
    <x:row r="116" ht="48" hidden="0" customHeight="1">
      <x:c r="A116" s="1"/>
      <x:c r="B116" s="1"/>
      <x:c r="C116" s="1" t="str">
        <x:v>DOT-087</x:v>
      </x:c>
      <x:c r="D116" s="10" t="str">
        <x:v>Semajes Studio</x:v>
      </x:c>
      <x:c r="E116" s="10" t="str">
        <x:v>Unframed print</x:v>
      </x:c>
      <x:c r="F116" s="10" t="str">
        <x:v>physical</x:v>
      </x:c>
      <x:c r="G116" s="10" t="str">
        <x:v>order / engagement</x:v>
      </x:c>
      <x:c r="H116" s="14" t="n">
        <x:v>95</x:v>
      </x:c>
      <x:c r="I116" s="14" t="n">
        <x:v>120</x:v>
      </x:c>
      <x:c r="J116" s="14" t="n">
        <x:v>9</x:v>
      </x:c>
      <x:c r="K116" s="16" t="n">
        <x:v>0.3</x:v>
      </x:c>
      <x:c r="L116" s="16" t="n">
        <x:v>0.12</x:v>
      </x:c>
      <x:c r="M116" s="16" t="n">
        <x:v>0.03</x:v>
      </x:c>
      <x:c r="N116" s="16" t="n">
        <x:v>0.02</x:v>
      </x:c>
      <x:c r="O116" s="14" t="n">
        <x:v>0</x:v>
      </x:c>
      <x:c r="P116" s="17" t="n">
        <x:v>0.15</x:v>
      </x:c>
      <x:c r="Q116" s="14" t="n">
        <x:v>50</x:v>
      </x:c>
      <x:c r="R116" s="14" t="n">
        <x:v>35</x:v>
      </x:c>
      <x:c r="S116" s="16" t="n">
        <x:v>0</x:v>
      </x:c>
      <x:c r="T116" s="16" t="n">
        <x:v>1</x:v>
      </x:c>
      <x:c r="U116" s="16" t="n">
        <x:v>0.03</x:v>
      </x:c>
      <x:c r="V116" s="16" t="n">
        <x:v>0.02</x:v>
      </x:c>
      <x:c r="W116" s="16" t="n">
        <x:v>0.029</x:v>
      </x:c>
      <x:c r="X116" s="17" t="n">
        <x:v>0.3</x:v>
      </x:c>
      <x:c r="Y116" s="17" t="n">
        <x:v>0.15</x:v>
      </x:c>
      <x:c r="Z116" s="14" t="n">
        <x:v>30</x:v>
      </x:c>
      <x:c r="AA116" s="16" t="n">
        <x:v>0.08</x:v>
      </x:c>
      <x:c r="AB116" s="14" t="n">
        <x:v>6</x:v>
      </x:c>
      <x:c r="AC116" s="14" t="n">
        <x:v>50</x:v>
      </x:c>
      <x:c r="AD116" s="14" t="n">
        <x:v>0</x:v>
      </x:c>
      <x:c r="AE116" s="14" t="n">
        <x:v>0</x:v>
      </x:c>
      <x:c r="AF116" s="14" t="n">
        <x:v>0</x:v>
      </x:c>
      <x:c r="AG116" s="24" t="str">
        <x:v>Low</x:v>
      </x:c>
      <x:c r="AH116" s="24" t="str">
        <x:v>Dot judgment; not approved price</x:v>
      </x:c>
      <x:c r="AI116" s="24" t="str">
        <x:v>Year 1 full-year target 120 order / engagement (10.0/month), prorated to operating months. Subsequent years retain 30% of prior units and add new demand equal to 70% of initial full-year units, growing 12% annually through Year 5, then 3%. Unvalidated acquisition hypothesis, not market evidence.</x:v>
      </x:c>
      <x:c r="AJ11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16" s="24" t="str">
        <x:v>Hypothetical in-year start after outstanding release, rights, provider or professional gates; no launch approval</x:v>
      </x:c>
      <x:c r="AL116" s="24" t="str">
        <x:v>https://chatgpt.com/c/6ab2b83c-303c-83ea-8d5e-4be203cff113</x:v>
      </x:c>
      <x:c r="AM116" s="27" t="n">
        <x:v>0.03</x:v>
      </x:c>
    </x:row>
    <x:row r="117" ht="48" hidden="0" customHeight="1">
      <x:c r="A117" s="1"/>
      <x:c r="B117" s="1"/>
      <x:c r="C117" s="1" t="str">
        <x:v>DOT-088</x:v>
      </x:c>
      <x:c r="D117" s="10" t="str">
        <x:v>Semajes Studio</x:v>
      </x:c>
      <x:c r="E117" s="10" t="str">
        <x:v>Framed print</x:v>
      </x:c>
      <x:c r="F117" s="10" t="str">
        <x:v>physical</x:v>
      </x:c>
      <x:c r="G117" s="10" t="str">
        <x:v>order / engagement</x:v>
      </x:c>
      <x:c r="H117" s="14" t="n">
        <x:v>250</x:v>
      </x:c>
      <x:c r="I117" s="14" t="n">
        <x:v>60</x:v>
      </x:c>
      <x:c r="J117" s="14" t="n">
        <x:v>9</x:v>
      </x:c>
      <x:c r="K117" s="16" t="n">
        <x:v>0.3</x:v>
      </x:c>
      <x:c r="L117" s="16" t="n">
        <x:v>0.12</x:v>
      </x:c>
      <x:c r="M117" s="16" t="n">
        <x:v>0.03</x:v>
      </x:c>
      <x:c r="N117" s="16" t="n">
        <x:v>0.02</x:v>
      </x:c>
      <x:c r="O117" s="14" t="n">
        <x:v>0</x:v>
      </x:c>
      <x:c r="P117" s="17" t="n">
        <x:v>0.25</x:v>
      </x:c>
      <x:c r="Q117" s="14" t="n">
        <x:v>50</x:v>
      </x:c>
      <x:c r="R117" s="14" t="n">
        <x:v>110</x:v>
      </x:c>
      <x:c r="S117" s="16" t="n">
        <x:v>0</x:v>
      </x:c>
      <x:c r="T117" s="16" t="n">
        <x:v>1</x:v>
      </x:c>
      <x:c r="U117" s="16" t="n">
        <x:v>0.03</x:v>
      </x:c>
      <x:c r="V117" s="16" t="n">
        <x:v>0.02</x:v>
      </x:c>
      <x:c r="W117" s="16" t="n">
        <x:v>0.029</x:v>
      </x:c>
      <x:c r="X117" s="17" t="n">
        <x:v>0.3</x:v>
      </x:c>
      <x:c r="Y117" s="17" t="n">
        <x:v>0.15</x:v>
      </x:c>
      <x:c r="Z117" s="14" t="n">
        <x:v>30</x:v>
      </x:c>
      <x:c r="AA117" s="16" t="n">
        <x:v>0.08</x:v>
      </x:c>
      <x:c r="AB117" s="14" t="n">
        <x:v>6</x:v>
      </x:c>
      <x:c r="AC117" s="14" t="n">
        <x:v>50</x:v>
      </x:c>
      <x:c r="AD117" s="14" t="n">
        <x:v>0</x:v>
      </x:c>
      <x:c r="AE117" s="14" t="n">
        <x:v>0</x:v>
      </x:c>
      <x:c r="AF117" s="14" t="n">
        <x:v>0</x:v>
      </x:c>
      <x:c r="AG117" s="24" t="str">
        <x:v>Low</x:v>
      </x:c>
      <x:c r="AH117" s="24" t="str">
        <x:v>Dot judgment; not approved price</x:v>
      </x:c>
      <x:c r="AI117" s="24" t="str">
        <x:v>Year 1 full-year target 60 order / engagement (5.0/month), prorated to operating months. Subsequent years retain 30% of prior units and add new demand equal to 70% of initial full-year units, growing 12% annually through Year 5, then 3%. Unvalidated acquisition hypothesis, not market evidence.</x:v>
      </x:c>
      <x:c r="AJ11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17" s="24" t="str">
        <x:v>Hypothetical in-year start after outstanding release, rights, provider or professional gates; no launch approval</x:v>
      </x:c>
      <x:c r="AL117" s="24" t="str">
        <x:v>https://chatgpt.com/c/6ab2b83c-303c-83ea-8d5e-4be203cff113</x:v>
      </x:c>
      <x:c r="AM117" s="27" t="n">
        <x:v>0.03</x:v>
      </x:c>
    </x:row>
    <x:row r="118" ht="48" hidden="0" customHeight="1">
      <x:c r="A118" s="1"/>
      <x:c r="B118" s="1"/>
      <x:c r="C118" s="1" t="str">
        <x:v>DOT-089</x:v>
      </x:c>
      <x:c r="D118" s="10" t="str">
        <x:v>Semajes Studio</x:v>
      </x:c>
      <x:c r="E118" s="10" t="str">
        <x:v>Custom framing only</x:v>
      </x:c>
      <x:c r="F118" s="10" t="str">
        <x:v>physical</x:v>
      </x:c>
      <x:c r="G118" s="10" t="str">
        <x:v>order / engagement</x:v>
      </x:c>
      <x:c r="H118" s="14" t="n">
        <x:v>175</x:v>
      </x:c>
      <x:c r="I118" s="14" t="n">
        <x:v>24</x:v>
      </x:c>
      <x:c r="J118" s="14" t="n">
        <x:v>9</x:v>
      </x:c>
      <x:c r="K118" s="16" t="n">
        <x:v>0.3</x:v>
      </x:c>
      <x:c r="L118" s="16" t="n">
        <x:v>0.12</x:v>
      </x:c>
      <x:c r="M118" s="16" t="n">
        <x:v>0.03</x:v>
      </x:c>
      <x:c r="N118" s="16" t="n">
        <x:v>0.02</x:v>
      </x:c>
      <x:c r="O118" s="14" t="n">
        <x:v>0</x:v>
      </x:c>
      <x:c r="P118" s="17" t="n">
        <x:v>0.5</x:v>
      </x:c>
      <x:c r="Q118" s="14" t="n">
        <x:v>50</x:v>
      </x:c>
      <x:c r="R118" s="14" t="n">
        <x:v>90</x:v>
      </x:c>
      <x:c r="S118" s="16" t="n">
        <x:v>0</x:v>
      </x:c>
      <x:c r="T118" s="16" t="n">
        <x:v>1</x:v>
      </x:c>
      <x:c r="U118" s="16" t="n">
        <x:v>0.03</x:v>
      </x:c>
      <x:c r="V118" s="16" t="n">
        <x:v>0.02</x:v>
      </x:c>
      <x:c r="W118" s="16" t="n">
        <x:v>0.029</x:v>
      </x:c>
      <x:c r="X118" s="17" t="n">
        <x:v>0.3</x:v>
      </x:c>
      <x:c r="Y118" s="17" t="n">
        <x:v>0.15</x:v>
      </x:c>
      <x:c r="Z118" s="14" t="n">
        <x:v>30</x:v>
      </x:c>
      <x:c r="AA118" s="16" t="n">
        <x:v>0.08</x:v>
      </x:c>
      <x:c r="AB118" s="14" t="n">
        <x:v>6</x:v>
      </x:c>
      <x:c r="AC118" s="14" t="n">
        <x:v>50</x:v>
      </x:c>
      <x:c r="AD118" s="14" t="n">
        <x:v>0</x:v>
      </x:c>
      <x:c r="AE118" s="14" t="n">
        <x:v>0</x:v>
      </x:c>
      <x:c r="AF118" s="14" t="n">
        <x:v>0</x:v>
      </x:c>
      <x:c r="AG118" s="24" t="str">
        <x:v>Low</x:v>
      </x:c>
      <x:c r="AH118" s="24" t="str">
        <x:v>Dot judgment; not approved price</x:v>
      </x:c>
      <x:c r="AI118" s="24" t="str">
        <x:v>Year 1 full-year target 24 order / engagement (2.0/month), prorated to operating months. Subsequent years retain 30% of prior units and add new demand equal to 70% of initial full-year units, growing 12% annually through Year 5, then 3%. Unvalidated acquisition hypothesis, not market evidence.</x:v>
      </x:c>
      <x:c r="AJ11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18" s="24" t="str">
        <x:v>Hypothetical in-year start after outstanding release, rights, provider or professional gates; no launch approval</x:v>
      </x:c>
      <x:c r="AL118" s="24" t="str">
        <x:v>https://chatgpt.com/c/6ab2b83c-303c-83ea-8d5e-4be203cff113</x:v>
      </x:c>
      <x:c r="AM118" s="27" t="n">
        <x:v>0.03</x:v>
      </x:c>
    </x:row>
    <x:row r="119" ht="48" hidden="0" customHeight="1">
      <x:c r="A119" s="1"/>
      <x:c r="B119" s="1"/>
      <x:c r="C119" s="1" t="str">
        <x:v>DOT-090</x:v>
      </x:c>
      <x:c r="D119" s="10" t="str">
        <x:v>Semajes Marketplace</x:v>
      </x:c>
      <x:c r="E119" s="10" t="str">
        <x:v>Combined client and vendor booking fees</x:v>
      </x:c>
      <x:c r="F119" s="10" t="str">
        <x:v>platform</x:v>
      </x:c>
      <x:c r="G119" s="10" t="str">
        <x:v>order / engagement</x:v>
      </x:c>
      <x:c r="H119" s="14" t="n">
        <x:v>600</x:v>
      </x:c>
      <x:c r="I119" s="14" t="n">
        <x:v>120</x:v>
      </x:c>
      <x:c r="J119" s="14" t="n">
        <x:v>6</x:v>
      </x:c>
      <x:c r="K119" s="16" t="n">
        <x:v>0.7</x:v>
      </x:c>
      <x:c r="L119" s="16" t="n">
        <x:v>0.2</x:v>
      </x:c>
      <x:c r="M119" s="16" t="n">
        <x:v>0.03</x:v>
      </x:c>
      <x:c r="N119" s="16" t="n">
        <x:v>0.02</x:v>
      </x:c>
      <x:c r="O119" s="14" t="n">
        <x:v>0</x:v>
      </x:c>
      <x:c r="P119" s="17" t="n">
        <x:v>0.25</x:v>
      </x:c>
      <x:c r="Q119" s="14" t="n">
        <x:v>35</x:v>
      </x:c>
      <x:c r="R119" s="14" t="n">
        <x:v>0</x:v>
      </x:c>
      <x:c r="S119" s="16" t="n">
        <x:v>0</x:v>
      </x:c>
      <x:c r="T119" s="16" t="n">
        <x:v>0.15</x:v>
      </x:c>
      <x:c r="U119" s="16" t="n">
        <x:v>0.03</x:v>
      </x:c>
      <x:c r="V119" s="16" t="n">
        <x:v>0</x:v>
      </x:c>
      <x:c r="W119" s="16" t="n">
        <x:v>0.029</x:v>
      </x:c>
      <x:c r="X119" s="17" t="n">
        <x:v>0.3</x:v>
      </x:c>
      <x:c r="Y119" s="17" t="n">
        <x:v>0.15</x:v>
      </x:c>
      <x:c r="Z119" s="14" t="n">
        <x:v>30</x:v>
      </x:c>
      <x:c r="AA119" s="16" t="n">
        <x:v>0.05</x:v>
      </x:c>
      <x:c r="AB119" s="14" t="n">
        <x:v>20</x:v>
      </x:c>
      <x:c r="AC119" s="14" t="n">
        <x:v>50</x:v>
      </x:c>
      <x:c r="AD119" s="14" t="n">
        <x:v>0</x:v>
      </x:c>
      <x:c r="AE119" s="14" t="n">
        <x:v>240</x:v>
      </x:c>
      <x:c r="AF119" s="14" t="n">
        <x:v>0</x:v>
      </x:c>
      <x:c r="AG119" s="24" t="str">
        <x:v>Low</x:v>
      </x:c>
      <x:c r="AH119" s="24" t="str">
        <x:v>Dot judgment; not approved price</x:v>
      </x:c>
      <x:c r="AI119" s="24" t="str">
        <x:v>Year 1 full-year target 120 order / engagement (10.0/month),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11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19" s="24" t="str">
        <x:v>Hypothetical in-year start after outstanding release, rights, provider or professional gates; no launch approval</x:v>
      </x:c>
      <x:c r="AL119" s="24" t="str">
        <x:v>https://chatgpt.com/c/6ab2b83c-303c-83ea-8d5e-4be203cff113</x:v>
      </x:c>
      <x:c r="AM119" s="27" t="n">
        <x:v>0.05</x:v>
      </x:c>
    </x:row>
    <x:row r="120" ht="48" hidden="0" customHeight="1">
      <x:c r="A120" s="1"/>
      <x:c r="B120" s="1"/>
      <x:c r="C120" s="1" t="str">
        <x:v>DOT-091</x:v>
      </x:c>
      <x:c r="D120" s="10" t="str">
        <x:v>Semajes Marketplace</x:v>
      </x:c>
      <x:c r="E120" s="10" t="str">
        <x:v>Third-party gallery license commission</x:v>
      </x:c>
      <x:c r="F120" s="10" t="str">
        <x:v>platform</x:v>
      </x:c>
      <x:c r="G120" s="10" t="str">
        <x:v>order / engagement</x:v>
      </x:c>
      <x:c r="H120" s="14" t="n">
        <x:v>75</x:v>
      </x:c>
      <x:c r="I120" s="14" t="n">
        <x:v>240</x:v>
      </x:c>
      <x:c r="J120" s="14" t="n">
        <x:v>6</x:v>
      </x:c>
      <x:c r="K120" s="16" t="n">
        <x:v>0.7</x:v>
      </x:c>
      <x:c r="L120" s="16" t="n">
        <x:v>0.2</x:v>
      </x:c>
      <x:c r="M120" s="16" t="n">
        <x:v>0.03</x:v>
      </x:c>
      <x:c r="N120" s="16" t="n">
        <x:v>0.02</x:v>
      </x:c>
      <x:c r="O120" s="14" t="n">
        <x:v>0</x:v>
      </x:c>
      <x:c r="P120" s="17" t="n">
        <x:v>0.1</x:v>
      </x:c>
      <x:c r="Q120" s="14" t="n">
        <x:v>35</x:v>
      </x:c>
      <x:c r="R120" s="14" t="n">
        <x:v>0</x:v>
      </x:c>
      <x:c r="S120" s="16" t="n">
        <x:v>0</x:v>
      </x:c>
      <x:c r="T120" s="16" t="n">
        <x:v>0.2</x:v>
      </x:c>
      <x:c r="U120" s="16" t="n">
        <x:v>0.03</x:v>
      </x:c>
      <x:c r="V120" s="16" t="n">
        <x:v>0</x:v>
      </x:c>
      <x:c r="W120" s="16" t="n">
        <x:v>0.029</x:v>
      </x:c>
      <x:c r="X120" s="17" t="n">
        <x:v>0.3</x:v>
      </x:c>
      <x:c r="Y120" s="17" t="n">
        <x:v>0.15</x:v>
      </x:c>
      <x:c r="Z120" s="14" t="n">
        <x:v>30</x:v>
      </x:c>
      <x:c r="AA120" s="16" t="n">
        <x:v>0.05</x:v>
      </x:c>
      <x:c r="AB120" s="14" t="n">
        <x:v>6</x:v>
      </x:c>
      <x:c r="AC120" s="14" t="n">
        <x:v>50</x:v>
      </x:c>
      <x:c r="AD120" s="14" t="n">
        <x:v>0</x:v>
      </x:c>
      <x:c r="AE120" s="14" t="n">
        <x:v>0</x:v>
      </x:c>
      <x:c r="AF120" s="14" t="n">
        <x:v>0</x:v>
      </x:c>
      <x:c r="AG120" s="24" t="str">
        <x:v>Low</x:v>
      </x:c>
      <x:c r="AH120" s="24" t="str">
        <x:v>Dot judgment; not approved price</x:v>
      </x:c>
      <x:c r="AI120" s="24" t="str">
        <x:v>Year 1 full-year target 240 order / engagement (20.0/month),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12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20" s="24" t="str">
        <x:v>Hypothetical in-year start after outstanding release, rights, provider or professional gates; no launch approval</x:v>
      </x:c>
      <x:c r="AL120" s="24" t="str">
        <x:v>https://chatgpt.com/c/6ab2b83c-303c-83ea-8d5e-4be203cff113</x:v>
      </x:c>
      <x:c r="AM120" s="27" t="n">
        <x:v>0.05</x:v>
      </x:c>
    </x:row>
    <x:row r="121" ht="48" hidden="0" customHeight="1">
      <x:c r="A121" s="1"/>
      <x:c r="B121" s="1"/>
      <x:c r="C121" s="1" t="str">
        <x:v>DOT-092</x:v>
      </x:c>
      <x:c r="D121" s="10" t="str">
        <x:v>Semajes Marketplace</x:v>
      </x:c>
      <x:c r="E121" s="10" t="str">
        <x:v>Third-party print and frame commission</x:v>
      </x:c>
      <x:c r="F121" s="10" t="str">
        <x:v>platform</x:v>
      </x:c>
      <x:c r="G121" s="10" t="str">
        <x:v>order / engagement</x:v>
      </x:c>
      <x:c r="H121" s="14" t="n">
        <x:v>250</x:v>
      </x:c>
      <x:c r="I121" s="14" t="n">
        <x:v>120</x:v>
      </x:c>
      <x:c r="J121" s="14" t="n">
        <x:v>6</x:v>
      </x:c>
      <x:c r="K121" s="16" t="n">
        <x:v>0.7</x:v>
      </x:c>
      <x:c r="L121" s="16" t="n">
        <x:v>0.2</x:v>
      </x:c>
      <x:c r="M121" s="16" t="n">
        <x:v>0.03</x:v>
      </x:c>
      <x:c r="N121" s="16" t="n">
        <x:v>0.02</x:v>
      </x:c>
      <x:c r="O121" s="14" t="n">
        <x:v>0</x:v>
      </x:c>
      <x:c r="P121" s="17" t="n">
        <x:v>0.15</x:v>
      </x:c>
      <x:c r="Q121" s="14" t="n">
        <x:v>35</x:v>
      </x:c>
      <x:c r="R121" s="14" t="n">
        <x:v>0</x:v>
      </x:c>
      <x:c r="S121" s="16" t="n">
        <x:v>0</x:v>
      </x:c>
      <x:c r="T121" s="16" t="n">
        <x:v>0.2</x:v>
      </x:c>
      <x:c r="U121" s="16" t="n">
        <x:v>0.03</x:v>
      </x:c>
      <x:c r="V121" s="16" t="n">
        <x:v>0</x:v>
      </x:c>
      <x:c r="W121" s="16" t="n">
        <x:v>0.029</x:v>
      </x:c>
      <x:c r="X121" s="17" t="n">
        <x:v>0.3</x:v>
      </x:c>
      <x:c r="Y121" s="17" t="n">
        <x:v>0.15</x:v>
      </x:c>
      <x:c r="Z121" s="14" t="n">
        <x:v>30</x:v>
      </x:c>
      <x:c r="AA121" s="16" t="n">
        <x:v>0.05</x:v>
      </x:c>
      <x:c r="AB121" s="14" t="n">
        <x:v>6</x:v>
      </x:c>
      <x:c r="AC121" s="14" t="n">
        <x:v>50</x:v>
      </x:c>
      <x:c r="AD121" s="14" t="n">
        <x:v>0</x:v>
      </x:c>
      <x:c r="AE121" s="14" t="n">
        <x:v>0</x:v>
      </x:c>
      <x:c r="AF121" s="14" t="n">
        <x:v>0</x:v>
      </x:c>
      <x:c r="AG121" s="24" t="str">
        <x:v>Low</x:v>
      </x:c>
      <x:c r="AH121" s="24" t="str">
        <x:v>Dot judgment; not approved price</x:v>
      </x:c>
      <x:c r="AI121" s="24" t="str">
        <x:v>Year 1 full-year target 120 order / engagement (10.0/month),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12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21" s="24" t="str">
        <x:v>Hypothetical in-year start after outstanding release, rights, provider or professional gates; no launch approval</x:v>
      </x:c>
      <x:c r="AL121" s="24" t="str">
        <x:v>https://chatgpt.com/c/6ab2b83c-303c-83ea-8d5e-4be203cff113</x:v>
      </x:c>
      <x:c r="AM121" s="27" t="n">
        <x:v>0.05</x:v>
      </x:c>
    </x:row>
    <x:row r="122" ht="48" hidden="0" customHeight="1">
      <x:c r="A122" s="1"/>
      <x:c r="B122" s="1"/>
      <x:c r="C122" s="1" t="str">
        <x:v>DOT-093</x:v>
      </x:c>
      <x:c r="D122" s="10" t="str">
        <x:v>Semajes Marketplace</x:v>
      </x:c>
      <x:c r="E122" s="10" t="str">
        <x:v>Talent booking commission</x:v>
      </x:c>
      <x:c r="F122" s="10" t="str">
        <x:v>platform</x:v>
      </x:c>
      <x:c r="G122" s="10" t="str">
        <x:v>order / engagement</x:v>
      </x:c>
      <x:c r="H122" s="14" t="n">
        <x:v>500</x:v>
      </x:c>
      <x:c r="I122" s="14" t="n">
        <x:v>24</x:v>
      </x:c>
      <x:c r="J122" s="14" t="n">
        <x:v>6</x:v>
      </x:c>
      <x:c r="K122" s="16" t="n">
        <x:v>0.7</x:v>
      </x:c>
      <x:c r="L122" s="16" t="n">
        <x:v>0.2</x:v>
      </x:c>
      <x:c r="M122" s="16" t="n">
        <x:v>0.03</x:v>
      </x:c>
      <x:c r="N122" s="16" t="n">
        <x:v>0.02</x:v>
      </x:c>
      <x:c r="O122" s="14" t="n">
        <x:v>0</x:v>
      </x:c>
      <x:c r="P122" s="17" t="n">
        <x:v>0.25</x:v>
      </x:c>
      <x:c r="Q122" s="14" t="n">
        <x:v>35</x:v>
      </x:c>
      <x:c r="R122" s="14" t="n">
        <x:v>0</x:v>
      </x:c>
      <x:c r="S122" s="16" t="n">
        <x:v>0</x:v>
      </x:c>
      <x:c r="T122" s="16" t="n">
        <x:v>0.15</x:v>
      </x:c>
      <x:c r="U122" s="16" t="n">
        <x:v>0.03</x:v>
      </x:c>
      <x:c r="V122" s="16" t="n">
        <x:v>0</x:v>
      </x:c>
      <x:c r="W122" s="16" t="n">
        <x:v>0.029</x:v>
      </x:c>
      <x:c r="X122" s="17" t="n">
        <x:v>0.3</x:v>
      </x:c>
      <x:c r="Y122" s="17" t="n">
        <x:v>0.15</x:v>
      </x:c>
      <x:c r="Z122" s="14" t="n">
        <x:v>30</x:v>
      </x:c>
      <x:c r="AA122" s="16" t="n">
        <x:v>0.05</x:v>
      </x:c>
      <x:c r="AB122" s="14" t="n">
        <x:v>12</x:v>
      </x:c>
      <x:c r="AC122" s="14" t="n">
        <x:v>50</x:v>
      </x:c>
      <x:c r="AD122" s="14" t="n">
        <x:v>0</x:v>
      </x:c>
      <x:c r="AE122" s="14" t="n">
        <x:v>0</x:v>
      </x:c>
      <x:c r="AF122" s="14" t="n">
        <x:v>0</x:v>
      </x:c>
      <x:c r="AG122" s="24" t="str">
        <x:v>Low</x:v>
      </x:c>
      <x:c r="AH122" s="24" t="str">
        <x:v>Dot judgment; not approved price</x:v>
      </x:c>
      <x:c r="AI122" s="24" t="str">
        <x:v>Year 1 full-year target 24 order / engagement (2.0/month),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12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22" s="24" t="str">
        <x:v>Hypothetical in-year start after outstanding release, rights, provider or professional gates; no launch approval</x:v>
      </x:c>
      <x:c r="AL122" s="24" t="str">
        <x:v>https://chatgpt.com/c/6ab2b83c-303c-83ea-8d5e-4be203cff113</x:v>
      </x:c>
      <x:c r="AM122" s="27" t="n">
        <x:v>0.05</x:v>
      </x:c>
    </x:row>
    <x:row r="123" ht="48" hidden="0" customHeight="1">
      <x:c r="A123" s="1"/>
      <x:c r="B123" s="1"/>
      <x:c r="C123" s="1" t="str">
        <x:v>DOT-094</x:v>
      </x:c>
      <x:c r="D123" s="10" t="str">
        <x:v>Semajes premium and media</x:v>
      </x:c>
      <x:c r="E123" s="10" t="str">
        <x:v>Records Export subscription</x:v>
      </x:c>
      <x:c r="F123" s="10" t="str">
        <x:v>platform</x:v>
      </x:c>
      <x:c r="G123" s="10" t="str">
        <x:v>customer-month</x:v>
      </x:c>
      <x:c r="H123" s="14" t="n">
        <x:v>9</x:v>
      </x:c>
      <x:c r="I123" s="14" t="n">
        <x:v>120</x:v>
      </x:c>
      <x:c r="J123" s="14" t="n">
        <x:v>6</x:v>
      </x:c>
      <x:c r="K123" s="16" t="n">
        <x:v>0.7</x:v>
      </x:c>
      <x:c r="L123" s="16" t="n">
        <x:v>0.2</x:v>
      </x:c>
      <x:c r="M123" s="16" t="n">
        <x:v>0.03</x:v>
      </x:c>
      <x:c r="N123" s="16" t="n">
        <x:v>0.02</x:v>
      </x:c>
      <x:c r="O123" s="14" t="n">
        <x:v>0</x:v>
      </x:c>
      <x:c r="P123" s="17" t="n">
        <x:v>0.05</x:v>
      </x:c>
      <x:c r="Q123" s="14" t="n">
        <x:v>35</x:v>
      </x:c>
      <x:c r="R123" s="14" t="n">
        <x:v>0</x:v>
      </x:c>
      <x:c r="S123" s="16" t="n">
        <x:v>0</x:v>
      </x:c>
      <x:c r="T123" s="16" t="n">
        <x:v>1</x:v>
      </x:c>
      <x:c r="U123" s="16" t="n">
        <x:v>0.03</x:v>
      </x:c>
      <x:c r="V123" s="16" t="n">
        <x:v>0</x:v>
      </x:c>
      <x:c r="W123" s="16" t="n">
        <x:v>0.029</x:v>
      </x:c>
      <x:c r="X123" s="17" t="n">
        <x:v>0.3</x:v>
      </x:c>
      <x:c r="Y123" s="17" t="n">
        <x:v>0.15</x:v>
      </x:c>
      <x:c r="Z123" s="14" t="n">
        <x:v>30</x:v>
      </x:c>
      <x:c r="AA123" s="16" t="n">
        <x:v>0.05</x:v>
      </x:c>
      <x:c r="AB123" s="14" t="n">
        <x:v>6</x:v>
      </x:c>
      <x:c r="AC123" s="14" t="n">
        <x:v>50</x:v>
      </x:c>
      <x:c r="AD123" s="14" t="n">
        <x:v>0</x:v>
      </x:c>
      <x:c r="AE123" s="14" t="n">
        <x:v>0</x:v>
      </x:c>
      <x:c r="AF123" s="14" t="n">
        <x:v>0</x:v>
      </x:c>
      <x:c r="AG123" s="24" t="str">
        <x:v>Low</x:v>
      </x:c>
      <x:c r="AH123" s="24" t="str">
        <x:v>Dot judgment; not approved price</x:v>
      </x:c>
      <x:c r="AI123" s="24" t="str">
        <x:v>Year 1 full-year target 120 customer-month (10.0/month),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12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23" s="24" t="str">
        <x:v>Hypothetical in-year start after outstanding release, rights, provider or professional gates; no launch approval</x:v>
      </x:c>
      <x:c r="AL123" s="24" t="str">
        <x:v>https://chatgpt.com/c/6ab2b83c-303c-83ea-8d5e-4be203cff113</x:v>
      </x:c>
      <x:c r="AM123" s="27" t="n">
        <x:v>0.05</x:v>
      </x:c>
    </x:row>
    <x:row r="124" ht="48" hidden="0" customHeight="1">
      <x:c r="A124" s="1"/>
      <x:c r="B124" s="1"/>
      <x:c r="C124" s="1" t="str">
        <x:v>DOT-095</x:v>
      </x:c>
      <x:c r="D124" s="10" t="str">
        <x:v>Semajes premium and media</x:v>
      </x:c>
      <x:c r="E124" s="10" t="str">
        <x:v>Connected Finance subscription</x:v>
      </x:c>
      <x:c r="F124" s="10" t="str">
        <x:v>platform</x:v>
      </x:c>
      <x:c r="G124" s="10" t="str">
        <x:v>customer-month</x:v>
      </x:c>
      <x:c r="H124" s="14" t="n">
        <x:v>19</x:v>
      </x:c>
      <x:c r="I124" s="14" t="n">
        <x:v>120</x:v>
      </x:c>
      <x:c r="J124" s="14" t="n">
        <x:v>6</x:v>
      </x:c>
      <x:c r="K124" s="16" t="n">
        <x:v>0.7</x:v>
      </x:c>
      <x:c r="L124" s="16" t="n">
        <x:v>0.2</x:v>
      </x:c>
      <x:c r="M124" s="16" t="n">
        <x:v>0.03</x:v>
      </x:c>
      <x:c r="N124" s="16" t="n">
        <x:v>0.02</x:v>
      </x:c>
      <x:c r="O124" s="14" t="n">
        <x:v>0</x:v>
      </x:c>
      <x:c r="P124" s="17" t="n">
        <x:v>0.1</x:v>
      </x:c>
      <x:c r="Q124" s="14" t="n">
        <x:v>35</x:v>
      </x:c>
      <x:c r="R124" s="14" t="n">
        <x:v>0</x:v>
      </x:c>
      <x:c r="S124" s="16" t="n">
        <x:v>0</x:v>
      </x:c>
      <x:c r="T124" s="16" t="n">
        <x:v>1</x:v>
      </x:c>
      <x:c r="U124" s="16" t="n">
        <x:v>0.03</x:v>
      </x:c>
      <x:c r="V124" s="16" t="n">
        <x:v>0</x:v>
      </x:c>
      <x:c r="W124" s="16" t="n">
        <x:v>0.029</x:v>
      </x:c>
      <x:c r="X124" s="17" t="n">
        <x:v>0.3</x:v>
      </x:c>
      <x:c r="Y124" s="17" t="n">
        <x:v>0.15</x:v>
      </x:c>
      <x:c r="Z124" s="14" t="n">
        <x:v>30</x:v>
      </x:c>
      <x:c r="AA124" s="16" t="n">
        <x:v>0.05</x:v>
      </x:c>
      <x:c r="AB124" s="14" t="n">
        <x:v>6</x:v>
      </x:c>
      <x:c r="AC124" s="14" t="n">
        <x:v>50</x:v>
      </x:c>
      <x:c r="AD124" s="14" t="n">
        <x:v>0</x:v>
      </x:c>
      <x:c r="AE124" s="14" t="n">
        <x:v>0</x:v>
      </x:c>
      <x:c r="AF124" s="14" t="n">
        <x:v>0</x:v>
      </x:c>
      <x:c r="AG124" s="24" t="str">
        <x:v>Low</x:v>
      </x:c>
      <x:c r="AH124" s="24" t="str">
        <x:v>Dot judgment; not approved price</x:v>
      </x:c>
      <x:c r="AI124" s="24" t="str">
        <x:v>Year 1 full-year target 120 customer-month (10.0/month),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12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24" s="24" t="str">
        <x:v>Hypothetical in-year start after outstanding release, rights, provider or professional gates; no launch approval</x:v>
      </x:c>
      <x:c r="AL124" s="24" t="str">
        <x:v>https://chatgpt.com/c/6ab2b83c-303c-83ea-8d5e-4be203cff113</x:v>
      </x:c>
      <x:c r="AM124" s="27" t="n">
        <x:v>0.05</x:v>
      </x:c>
    </x:row>
    <x:row r="125" ht="48" hidden="0" customHeight="1">
      <x:c r="A125" s="1"/>
      <x:c r="B125" s="1"/>
      <x:c r="C125" s="1" t="str">
        <x:v>DOT-096</x:v>
      </x:c>
      <x:c r="D125" s="10" t="str">
        <x:v>Semajes premium and media</x:v>
      </x:c>
      <x:c r="E125" s="10" t="str">
        <x:v>Smart Books subscription</x:v>
      </x:c>
      <x:c r="F125" s="10" t="str">
        <x:v>platform</x:v>
      </x:c>
      <x:c r="G125" s="10" t="str">
        <x:v>customer-month</x:v>
      </x:c>
      <x:c r="H125" s="14" t="n">
        <x:v>39</x:v>
      </x:c>
      <x:c r="I125" s="14" t="n">
        <x:v>60</x:v>
      </x:c>
      <x:c r="J125" s="14" t="n">
        <x:v>6</x:v>
      </x:c>
      <x:c r="K125" s="16" t="n">
        <x:v>0.7</x:v>
      </x:c>
      <x:c r="L125" s="16" t="n">
        <x:v>0.2</x:v>
      </x:c>
      <x:c r="M125" s="16" t="n">
        <x:v>0.03</x:v>
      </x:c>
      <x:c r="N125" s="16" t="n">
        <x:v>0.02</x:v>
      </x:c>
      <x:c r="O125" s="14" t="n">
        <x:v>0</x:v>
      </x:c>
      <x:c r="P125" s="17" t="n">
        <x:v>0.2</x:v>
      </x:c>
      <x:c r="Q125" s="14" t="n">
        <x:v>35</x:v>
      </x:c>
      <x:c r="R125" s="14" t="n">
        <x:v>0</x:v>
      </x:c>
      <x:c r="S125" s="16" t="n">
        <x:v>0</x:v>
      </x:c>
      <x:c r="T125" s="16" t="n">
        <x:v>1</x:v>
      </x:c>
      <x:c r="U125" s="16" t="n">
        <x:v>0.03</x:v>
      </x:c>
      <x:c r="V125" s="16" t="n">
        <x:v>0</x:v>
      </x:c>
      <x:c r="W125" s="16" t="n">
        <x:v>0.029</x:v>
      </x:c>
      <x:c r="X125" s="17" t="n">
        <x:v>0.3</x:v>
      </x:c>
      <x:c r="Y125" s="17" t="n">
        <x:v>0.15</x:v>
      </x:c>
      <x:c r="Z125" s="14" t="n">
        <x:v>30</x:v>
      </x:c>
      <x:c r="AA125" s="16" t="n">
        <x:v>0.05</x:v>
      </x:c>
      <x:c r="AB125" s="14" t="n">
        <x:v>6</x:v>
      </x:c>
      <x:c r="AC125" s="14" t="n">
        <x:v>50</x:v>
      </x:c>
      <x:c r="AD125" s="14" t="n">
        <x:v>0</x:v>
      </x:c>
      <x:c r="AE125" s="14" t="n">
        <x:v>0</x:v>
      </x:c>
      <x:c r="AF125" s="14" t="n">
        <x:v>0</x:v>
      </x:c>
      <x:c r="AG125" s="24" t="str">
        <x:v>Low</x:v>
      </x:c>
      <x:c r="AH125" s="24" t="str">
        <x:v>Dot judgment; not approved price</x:v>
      </x:c>
      <x:c r="AI125" s="24" t="str">
        <x:v>Year 1 full-year target 60 customer-month (5.0/month),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12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25" s="24" t="str">
        <x:v>Hypothetical in-year start after outstanding release, rights, provider or professional gates; no launch approval</x:v>
      </x:c>
      <x:c r="AL125" s="24" t="str">
        <x:v>https://chatgpt.com/c/6ab2b83c-303c-83ea-8d5e-4be203cff113</x:v>
      </x:c>
      <x:c r="AM125" s="27" t="n">
        <x:v>0.05</x:v>
      </x:c>
    </x:row>
    <x:row r="126" ht="48" hidden="0" customHeight="1">
      <x:c r="A126" s="1"/>
      <x:c r="B126" s="1"/>
      <x:c r="C126" s="1" t="str">
        <x:v>DOT-097</x:v>
      </x:c>
      <x:c r="D126" s="10" t="str">
        <x:v>Semajes premium and media</x:v>
      </x:c>
      <x:c r="E126" s="10" t="str">
        <x:v>Guided portfolio builder</x:v>
      </x:c>
      <x:c r="F126" s="10" t="str">
        <x:v>platform</x:v>
      </x:c>
      <x:c r="G126" s="10" t="str">
        <x:v>order / engagement</x:v>
      </x:c>
      <x:c r="H126" s="14" t="n">
        <x:v>99</x:v>
      </x:c>
      <x:c r="I126" s="14" t="n">
        <x:v>36</x:v>
      </x:c>
      <x:c r="J126" s="14" t="n">
        <x:v>6</x:v>
      </x:c>
      <x:c r="K126" s="16" t="n">
        <x:v>0.7</x:v>
      </x:c>
      <x:c r="L126" s="16" t="n">
        <x:v>0.2</x:v>
      </x:c>
      <x:c r="M126" s="16" t="n">
        <x:v>0.03</x:v>
      </x:c>
      <x:c r="N126" s="16" t="n">
        <x:v>0.02</x:v>
      </x:c>
      <x:c r="O126" s="14" t="n">
        <x:v>0</x:v>
      </x:c>
      <x:c r="P126" s="17" t="n">
        <x:v>1</x:v>
      </x:c>
      <x:c r="Q126" s="14" t="n">
        <x:v>35</x:v>
      </x:c>
      <x:c r="R126" s="14" t="n">
        <x:v>0</x:v>
      </x:c>
      <x:c r="S126" s="16" t="n">
        <x:v>0</x:v>
      </x:c>
      <x:c r="T126" s="16" t="n">
        <x:v>1</x:v>
      </x:c>
      <x:c r="U126" s="16" t="n">
        <x:v>0.03</x:v>
      </x:c>
      <x:c r="V126" s="16" t="n">
        <x:v>0</x:v>
      </x:c>
      <x:c r="W126" s="16" t="n">
        <x:v>0.029</x:v>
      </x:c>
      <x:c r="X126" s="17" t="n">
        <x:v>0.3</x:v>
      </x:c>
      <x:c r="Y126" s="17" t="n">
        <x:v>0.15</x:v>
      </x:c>
      <x:c r="Z126" s="14" t="n">
        <x:v>30</x:v>
      </x:c>
      <x:c r="AA126" s="16" t="n">
        <x:v>0.05</x:v>
      </x:c>
      <x:c r="AB126" s="14" t="n">
        <x:v>6</x:v>
      </x:c>
      <x:c r="AC126" s="14" t="n">
        <x:v>50</x:v>
      </x:c>
      <x:c r="AD126" s="14" t="n">
        <x:v>0</x:v>
      </x:c>
      <x:c r="AE126" s="14" t="n">
        <x:v>0</x:v>
      </x:c>
      <x:c r="AF126" s="14" t="n">
        <x:v>0</x:v>
      </x:c>
      <x:c r="AG126" s="24" t="str">
        <x:v>Low</x:v>
      </x:c>
      <x:c r="AH126" s="24" t="str">
        <x:v>Dot judgment; not approved price</x:v>
      </x:c>
      <x:c r="AI126" s="24" t="str">
        <x:v>Year 1 full-year target 36 order / engagement (3.0/month),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12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26" s="24" t="str">
        <x:v>Hypothetical in-year start after outstanding release, rights, provider or professional gates; no launch approval</x:v>
      </x:c>
      <x:c r="AL126" s="24" t="str">
        <x:v>https://chatgpt.com/c/6ab2b83c-303c-83ea-8d5e-4be203cff113</x:v>
      </x:c>
      <x:c r="AM126" s="27" t="n">
        <x:v>0.05</x:v>
      </x:c>
    </x:row>
    <x:row r="127" ht="48" hidden="0" customHeight="1">
      <x:c r="A127" s="1"/>
      <x:c r="B127" s="1"/>
      <x:c r="C127" s="1" t="str">
        <x:v>DOT-098</x:v>
      </x:c>
      <x:c r="D127" s="10" t="str">
        <x:v>Semajes premium and media</x:v>
      </x:c>
      <x:c r="E127" s="10" t="str">
        <x:v>Concierge portfolio assist</x:v>
      </x:c>
      <x:c r="F127" s="10" t="str">
        <x:v>platform</x:v>
      </x:c>
      <x:c r="G127" s="10" t="str">
        <x:v>order / engagement</x:v>
      </x:c>
      <x:c r="H127" s="14" t="n">
        <x:v>249</x:v>
      </x:c>
      <x:c r="I127" s="14" t="n">
        <x:v>18</x:v>
      </x:c>
      <x:c r="J127" s="14" t="n">
        <x:v>6</x:v>
      </x:c>
      <x:c r="K127" s="16" t="n">
        <x:v>0.7</x:v>
      </x:c>
      <x:c r="L127" s="16" t="n">
        <x:v>0.2</x:v>
      </x:c>
      <x:c r="M127" s="16" t="n">
        <x:v>0.03</x:v>
      </x:c>
      <x:c r="N127" s="16" t="n">
        <x:v>0.02</x:v>
      </x:c>
      <x:c r="O127" s="14" t="n">
        <x:v>0</x:v>
      </x:c>
      <x:c r="P127" s="17" t="n">
        <x:v>3</x:v>
      </x:c>
      <x:c r="Q127" s="14" t="n">
        <x:v>35</x:v>
      </x:c>
      <x:c r="R127" s="14" t="n">
        <x:v>0</x:v>
      </x:c>
      <x:c r="S127" s="16" t="n">
        <x:v>0</x:v>
      </x:c>
      <x:c r="T127" s="16" t="n">
        <x:v>1</x:v>
      </x:c>
      <x:c r="U127" s="16" t="n">
        <x:v>0.03</x:v>
      </x:c>
      <x:c r="V127" s="16" t="n">
        <x:v>0</x:v>
      </x:c>
      <x:c r="W127" s="16" t="n">
        <x:v>0.029</x:v>
      </x:c>
      <x:c r="X127" s="17" t="n">
        <x:v>0.3</x:v>
      </x:c>
      <x:c r="Y127" s="17" t="n">
        <x:v>0.15</x:v>
      </x:c>
      <x:c r="Z127" s="14" t="n">
        <x:v>30</x:v>
      </x:c>
      <x:c r="AA127" s="16" t="n">
        <x:v>0.05</x:v>
      </x:c>
      <x:c r="AB127" s="14" t="n">
        <x:v>6</x:v>
      </x:c>
      <x:c r="AC127" s="14" t="n">
        <x:v>50</x:v>
      </x:c>
      <x:c r="AD127" s="14" t="n">
        <x:v>0</x:v>
      </x:c>
      <x:c r="AE127" s="14" t="n">
        <x:v>0</x:v>
      </x:c>
      <x:c r="AF127" s="14" t="n">
        <x:v>0</x:v>
      </x:c>
      <x:c r="AG127" s="24" t="str">
        <x:v>Low</x:v>
      </x:c>
      <x:c r="AH127" s="24" t="str">
        <x:v>Dot judgment; not approved price</x:v>
      </x:c>
      <x:c r="AI127" s="24" t="str">
        <x:v>Year 1 full-year target 18 order / engagement (1.5/month),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12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27" s="24" t="str">
        <x:v>Hypothetical in-year start after outstanding release, rights, provider or professional gates; no launch approval</x:v>
      </x:c>
      <x:c r="AL127" s="24" t="str">
        <x:v>https://chatgpt.com/c/6ab2b83c-303c-83ea-8d5e-4be203cff113</x:v>
      </x:c>
      <x:c r="AM127" s="27" t="n">
        <x:v>0.05</x:v>
      </x:c>
    </x:row>
    <x:row r="128" ht="48" hidden="0" customHeight="1">
      <x:c r="A128" s="1"/>
      <x:c r="B128" s="1"/>
      <x:c r="C128" s="1" t="str">
        <x:v>DOT-099</x:v>
      </x:c>
      <x:c r="D128" s="10" t="str">
        <x:v>Semajes premium and media</x:v>
      </x:c>
      <x:c r="E128" s="10" t="str">
        <x:v>Self-build submission</x:v>
      </x:c>
      <x:c r="F128" s="10" t="str">
        <x:v>platform</x:v>
      </x:c>
      <x:c r="G128" s="10" t="str">
        <x:v>order / engagement</x:v>
      </x:c>
      <x:c r="H128" s="14" t="n">
        <x:v>29</x:v>
      </x:c>
      <x:c r="I128" s="14" t="n">
        <x:v>60</x:v>
      </x:c>
      <x:c r="J128" s="14" t="n">
        <x:v>6</x:v>
      </x:c>
      <x:c r="K128" s="16" t="n">
        <x:v>0.7</x:v>
      </x:c>
      <x:c r="L128" s="16" t="n">
        <x:v>0.2</x:v>
      </x:c>
      <x:c r="M128" s="16" t="n">
        <x:v>0.03</x:v>
      </x:c>
      <x:c r="N128" s="16" t="n">
        <x:v>0.02</x:v>
      </x:c>
      <x:c r="O128" s="14" t="n">
        <x:v>0</x:v>
      </x:c>
      <x:c r="P128" s="17" t="n">
        <x:v>0.15</x:v>
      </x:c>
      <x:c r="Q128" s="14" t="n">
        <x:v>35</x:v>
      </x:c>
      <x:c r="R128" s="14" t="n">
        <x:v>0</x:v>
      </x:c>
      <x:c r="S128" s="16" t="n">
        <x:v>0</x:v>
      </x:c>
      <x:c r="T128" s="16" t="n">
        <x:v>1</x:v>
      </x:c>
      <x:c r="U128" s="16" t="n">
        <x:v>0.03</x:v>
      </x:c>
      <x:c r="V128" s="16" t="n">
        <x:v>0</x:v>
      </x:c>
      <x:c r="W128" s="16" t="n">
        <x:v>0.029</x:v>
      </x:c>
      <x:c r="X128" s="17" t="n">
        <x:v>0.3</x:v>
      </x:c>
      <x:c r="Y128" s="17" t="n">
        <x:v>0.15</x:v>
      </x:c>
      <x:c r="Z128" s="14" t="n">
        <x:v>30</x:v>
      </x:c>
      <x:c r="AA128" s="16" t="n">
        <x:v>0.05</x:v>
      </x:c>
      <x:c r="AB128" s="14" t="n">
        <x:v>6</x:v>
      </x:c>
      <x:c r="AC128" s="14" t="n">
        <x:v>50</x:v>
      </x:c>
      <x:c r="AD128" s="14" t="n">
        <x:v>0</x:v>
      </x:c>
      <x:c r="AE128" s="14" t="n">
        <x:v>0</x:v>
      </x:c>
      <x:c r="AF128" s="14" t="n">
        <x:v>0</x:v>
      </x:c>
      <x:c r="AG128" s="24" t="str">
        <x:v>Low</x:v>
      </x:c>
      <x:c r="AH128" s="24" t="str">
        <x:v>Dot judgment; not approved price</x:v>
      </x:c>
      <x:c r="AI128" s="24" t="str">
        <x:v>Year 1 full-year target 60 order / engagement (5.0/month),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12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28" s="24" t="str">
        <x:v>Hypothetical in-year start after outstanding release, rights, provider or professional gates; no launch approval</x:v>
      </x:c>
      <x:c r="AL128" s="24" t="str">
        <x:v>https://chatgpt.com/c/6ab2b83c-303c-83ea-8d5e-4be203cff113</x:v>
      </x:c>
      <x:c r="AM128" s="27" t="n">
        <x:v>0.05</x:v>
      </x:c>
    </x:row>
    <x:row r="129" ht="48" hidden="0" customHeight="1">
      <x:c r="A129" s="1"/>
      <x:c r="B129" s="1"/>
      <x:c r="C129" s="1" t="str">
        <x:v>DOT-100</x:v>
      </x:c>
      <x:c r="D129" s="10" t="str">
        <x:v>Semajes courses</x:v>
      </x:c>
      <x:c r="E129" s="10" t="str">
        <x:v>Exposure With Intention</x:v>
      </x:c>
      <x:c r="F129" s="10" t="str">
        <x:v>digital</x:v>
      </x:c>
      <x:c r="G129" s="10" t="str">
        <x:v>order / engagement</x:v>
      </x:c>
      <x:c r="H129" s="14" t="n">
        <x:v>39</x:v>
      </x:c>
      <x:c r="I129" s="14" t="n">
        <x:v>240</x:v>
      </x:c>
      <x:c r="J129" s="14" t="n">
        <x:v>9</x:v>
      </x:c>
      <x:c r="K129" s="16" t="n">
        <x:v>0.25</x:v>
      </x:c>
      <x:c r="L129" s="16" t="n">
        <x:v>0.15</x:v>
      </x:c>
      <x:c r="M129" s="16" t="n">
        <x:v>0.03</x:v>
      </x:c>
      <x:c r="N129" s="16" t="n">
        <x:v>0.02</x:v>
      </x:c>
      <x:c r="O129" s="14" t="n">
        <x:v>0</x:v>
      </x:c>
      <x:c r="P129" s="17" t="n">
        <x:v>0.15</x:v>
      </x:c>
      <x:c r="Q129" s="14" t="n">
        <x:v>35</x:v>
      </x:c>
      <x:c r="R129" s="14" t="n">
        <x:v>0</x:v>
      </x:c>
      <x:c r="S129" s="16" t="n">
        <x:v>0</x:v>
      </x:c>
      <x:c r="T129" s="16" t="n">
        <x:v>1</x:v>
      </x:c>
      <x:c r="U129" s="16" t="n">
        <x:v>0.03</x:v>
      </x:c>
      <x:c r="V129" s="16" t="n">
        <x:v>0</x:v>
      </x:c>
      <x:c r="W129" s="16" t="n">
        <x:v>0.029</x:v>
      </x:c>
      <x:c r="X129" s="17" t="n">
        <x:v>0.3</x:v>
      </x:c>
      <x:c r="Y129" s="17" t="n">
        <x:v>0.1</x:v>
      </x:c>
      <x:c r="Z129" s="14" t="n">
        <x:v>30</x:v>
      </x:c>
      <x:c r="AA129" s="16" t="n">
        <x:v>0.05</x:v>
      </x:c>
      <x:c r="AB129" s="14" t="n">
        <x:v>30</x:v>
      </x:c>
      <x:c r="AC129" s="14" t="n">
        <x:v>50</x:v>
      </x:c>
      <x:c r="AD129" s="14" t="n">
        <x:v>0</x:v>
      </x:c>
      <x:c r="AE129" s="14" t="n">
        <x:v>0</x:v>
      </x:c>
      <x:c r="AF129" s="14" t="n">
        <x:v>0</x:v>
      </x:c>
      <x:c r="AG129" s="24" t="str">
        <x:v>Low</x:v>
      </x:c>
      <x:c r="AH129" s="24" t="str">
        <x:v>Dot judgment; not approved price</x:v>
      </x:c>
      <x:c r="AI129" s="24" t="str">
        <x:v>Year 1 full-year target 240 order / engagement (20.0/month),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12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29" s="24" t="str">
        <x:v>Hypothetical in-year start after outstanding release, rights, provider or professional gates; no launch approval</x:v>
      </x:c>
      <x:c r="AL129" s="24" t="str">
        <x:v>https://chatgpt.com/c/6ab2b83c-303c-83ea-8d5e-4be203cff113</x:v>
      </x:c>
      <x:c r="AM129" s="27" t="n">
        <x:v>0.05</x:v>
      </x:c>
    </x:row>
    <x:row r="130" ht="48" hidden="0" customHeight="1">
      <x:c r="A130" s="1"/>
      <x:c r="B130" s="1"/>
      <x:c r="C130" s="1" t="str">
        <x:v>DOT-101</x:v>
      </x:c>
      <x:c r="D130" s="10" t="str">
        <x:v>Sleepy Face</x:v>
      </x:c>
      <x:c r="E130" s="10" t="str">
        <x:v>T-shirts</x:v>
      </x:c>
      <x:c r="F130" s="10" t="str">
        <x:v>physical</x:v>
      </x:c>
      <x:c r="G130" s="10" t="str">
        <x:v>order / engagement</x:v>
      </x:c>
      <x:c r="H130" s="14" t="n">
        <x:v>95</x:v>
      </x:c>
      <x:c r="I130" s="14" t="n">
        <x:v>240</x:v>
      </x:c>
      <x:c r="J130" s="14" t="n">
        <x:v>6</x:v>
      </x:c>
      <x:c r="K130" s="16" t="n">
        <x:v>0.3</x:v>
      </x:c>
      <x:c r="L130" s="16" t="n">
        <x:v>0.12</x:v>
      </x:c>
      <x:c r="M130" s="16" t="n">
        <x:v>0.03</x:v>
      </x:c>
      <x:c r="N130" s="16" t="n">
        <x:v>0.02</x:v>
      </x:c>
      <x:c r="O130" s="14" t="n">
        <x:v>0</x:v>
      </x:c>
      <x:c r="P130" s="17" t="n">
        <x:v>0.15</x:v>
      </x:c>
      <x:c r="Q130" s="14" t="n">
        <x:v>35</x:v>
      </x:c>
      <x:c r="R130" s="14" t="n">
        <x:v>30</x:v>
      </x:c>
      <x:c r="S130" s="16" t="n">
        <x:v>0</x:v>
      </x:c>
      <x:c r="T130" s="16" t="n">
        <x:v>1</x:v>
      </x:c>
      <x:c r="U130" s="16" t="n">
        <x:v>0.08</x:v>
      </x:c>
      <x:c r="V130" s="16" t="n">
        <x:v>0.02</x:v>
      </x:c>
      <x:c r="W130" s="16" t="n">
        <x:v>0.029</x:v>
      </x:c>
      <x:c r="X130" s="17" t="n">
        <x:v>0.3</x:v>
      </x:c>
      <x:c r="Y130" s="17" t="n">
        <x:v>0.15</x:v>
      </x:c>
      <x:c r="Z130" s="14" t="n">
        <x:v>30</x:v>
      </x:c>
      <x:c r="AA130" s="16" t="n">
        <x:v>0.08</x:v>
      </x:c>
      <x:c r="AB130" s="14" t="n">
        <x:v>12</x:v>
      </x:c>
      <x:c r="AC130" s="14" t="n">
        <x:v>50</x:v>
      </x:c>
      <x:c r="AD130" s="14" t="n">
        <x:v>200</x:v>
      </x:c>
      <x:c r="AE130" s="14" t="n">
        <x:v>0</x:v>
      </x:c>
      <x:c r="AF130" s="14" t="n">
        <x:v>0</x:v>
      </x:c>
      <x:c r="AG130" s="24" t="str">
        <x:v>Low</x:v>
      </x:c>
      <x:c r="AH130" s="24" t="str">
        <x:v>Dot judgment; not approved price</x:v>
      </x:c>
      <x:c r="AI130" s="24" t="str">
        <x:v>Year 1 full-year target 240 order / engagement (20.0/month), prorated to operating months. Subsequent years retain 30% of prior units and add new demand equal to 70% of initial full-year units, growing 12% annually through Year 5, then 3%. Unvalidated acquisition hypothesis, not market evidence.</x:v>
      </x:c>
      <x:c r="AJ13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30" s="24" t="str">
        <x:v>Hypothetical in-year start after outstanding release, rights, provider or professional gates; no launch approval</x:v>
      </x:c>
      <x:c r="AL130" s="24" t="str">
        <x:v>https://chatgpt.com/c/6ab2b6ba-2204-83ea-a13b-489e83d9f257
https://chatgpt.com/c/6ab63f7c-6508-83ea-82af-2c5bd8e12369</x:v>
      </x:c>
      <x:c r="AM130" s="27" t="n">
        <x:v>0.03</x:v>
      </x:c>
    </x:row>
    <x:row r="131" ht="48" hidden="0" customHeight="1">
      <x:c r="A131" s="1"/>
      <x:c r="B131" s="1"/>
      <x:c r="C131" s="1" t="str">
        <x:v>DOT-102</x:v>
      </x:c>
      <x:c r="D131" s="10" t="str">
        <x:v>Sleepy Face</x:v>
      </x:c>
      <x:c r="E131" s="10" t="str">
        <x:v>Sweatshirts and hoodies</x:v>
      </x:c>
      <x:c r="F131" s="10" t="str">
        <x:v>physical</x:v>
      </x:c>
      <x:c r="G131" s="10" t="str">
        <x:v>order / engagement</x:v>
      </x:c>
      <x:c r="H131" s="14" t="n">
        <x:v>165</x:v>
      </x:c>
      <x:c r="I131" s="14" t="n">
        <x:v>360</x:v>
      </x:c>
      <x:c r="J131" s="14" t="n">
        <x:v>6</x:v>
      </x:c>
      <x:c r="K131" s="16" t="n">
        <x:v>0.3</x:v>
      </x:c>
      <x:c r="L131" s="16" t="n">
        <x:v>0.12</x:v>
      </x:c>
      <x:c r="M131" s="16" t="n">
        <x:v>0.03</x:v>
      </x:c>
      <x:c r="N131" s="16" t="n">
        <x:v>0.02</x:v>
      </x:c>
      <x:c r="O131" s="14" t="n">
        <x:v>0</x:v>
      </x:c>
      <x:c r="P131" s="17" t="n">
        <x:v>0.15</x:v>
      </x:c>
      <x:c r="Q131" s="14" t="n">
        <x:v>35</x:v>
      </x:c>
      <x:c r="R131" s="14" t="n">
        <x:v>60</x:v>
      </x:c>
      <x:c r="S131" s="16" t="n">
        <x:v>0</x:v>
      </x:c>
      <x:c r="T131" s="16" t="n">
        <x:v>1</x:v>
      </x:c>
      <x:c r="U131" s="16" t="n">
        <x:v>0.08</x:v>
      </x:c>
      <x:c r="V131" s="16" t="n">
        <x:v>0.02</x:v>
      </x:c>
      <x:c r="W131" s="16" t="n">
        <x:v>0.029</x:v>
      </x:c>
      <x:c r="X131" s="17" t="n">
        <x:v>0.3</x:v>
      </x:c>
      <x:c r="Y131" s="17" t="n">
        <x:v>0.15</x:v>
      </x:c>
      <x:c r="Z131" s="14" t="n">
        <x:v>30</x:v>
      </x:c>
      <x:c r="AA131" s="16" t="n">
        <x:v>0.08</x:v>
      </x:c>
      <x:c r="AB131" s="14" t="n">
        <x:v>12</x:v>
      </x:c>
      <x:c r="AC131" s="14" t="n">
        <x:v>50</x:v>
      </x:c>
      <x:c r="AD131" s="14" t="n">
        <x:v>200</x:v>
      </x:c>
      <x:c r="AE131" s="14" t="n">
        <x:v>0</x:v>
      </x:c>
      <x:c r="AF131" s="14" t="n">
        <x:v>0</x:v>
      </x:c>
      <x:c r="AG131" s="24" t="str">
        <x:v>Low</x:v>
      </x:c>
      <x:c r="AH131" s="24" t="str">
        <x:v>Dot judgment; not approved price</x:v>
      </x:c>
      <x:c r="AI131" s="24" t="str">
        <x:v>Year 1 full-year target 360 order / engagement (30.0/month), prorated to operating months. Subsequent years retain 30% of prior units and add new demand equal to 70% of initial full-year units, growing 12% annually through Year 5, then 3%. Unvalidated acquisition hypothesis, not market evidence.</x:v>
      </x:c>
      <x:c r="AJ13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31" s="24" t="str">
        <x:v>Hypothetical in-year start after outstanding release, rights, provider or professional gates; no launch approval</x:v>
      </x:c>
      <x:c r="AL131" s="24" t="str">
        <x:v>https://chatgpt.com/c/6ab2b6ba-2204-83ea-a13b-489e83d9f257
https://chatgpt.com/c/6ab63f7c-6508-83ea-82af-2c5bd8e12369</x:v>
      </x:c>
      <x:c r="AM131" s="27" t="n">
        <x:v>0.03</x:v>
      </x:c>
    </x:row>
    <x:row r="132" ht="48" hidden="0" customHeight="1">
      <x:c r="A132" s="1"/>
      <x:c r="B132" s="1"/>
      <x:c r="C132" s="1" t="str">
        <x:v>DOT-103</x:v>
      </x:c>
      <x:c r="D132" s="10" t="str">
        <x:v>Sleepy Face</x:v>
      </x:c>
      <x:c r="E132" s="10" t="str">
        <x:v>Knitwear</x:v>
      </x:c>
      <x:c r="F132" s="10" t="str">
        <x:v>physical</x:v>
      </x:c>
      <x:c r="G132" s="10" t="str">
        <x:v>order / engagement</x:v>
      </x:c>
      <x:c r="H132" s="14" t="n">
        <x:v>225</x:v>
      </x:c>
      <x:c r="I132" s="14" t="n">
        <x:v>80</x:v>
      </x:c>
      <x:c r="J132" s="14" t="n">
        <x:v>6</x:v>
      </x:c>
      <x:c r="K132" s="16" t="n">
        <x:v>0.3</x:v>
      </x:c>
      <x:c r="L132" s="16" t="n">
        <x:v>0.12</x:v>
      </x:c>
      <x:c r="M132" s="16" t="n">
        <x:v>0.03</x:v>
      </x:c>
      <x:c r="N132" s="16" t="n">
        <x:v>0.02</x:v>
      </x:c>
      <x:c r="O132" s="14" t="n">
        <x:v>0</x:v>
      </x:c>
      <x:c r="P132" s="17" t="n">
        <x:v>0.15</x:v>
      </x:c>
      <x:c r="Q132" s="14" t="n">
        <x:v>35</x:v>
      </x:c>
      <x:c r="R132" s="14" t="n">
        <x:v>90</x:v>
      </x:c>
      <x:c r="S132" s="16" t="n">
        <x:v>0</x:v>
      </x:c>
      <x:c r="T132" s="16" t="n">
        <x:v>1</x:v>
      </x:c>
      <x:c r="U132" s="16" t="n">
        <x:v>0.08</x:v>
      </x:c>
      <x:c r="V132" s="16" t="n">
        <x:v>0.02</x:v>
      </x:c>
      <x:c r="W132" s="16" t="n">
        <x:v>0.029</x:v>
      </x:c>
      <x:c r="X132" s="17" t="n">
        <x:v>0.3</x:v>
      </x:c>
      <x:c r="Y132" s="17" t="n">
        <x:v>0.15</x:v>
      </x:c>
      <x:c r="Z132" s="14" t="n">
        <x:v>30</x:v>
      </x:c>
      <x:c r="AA132" s="16" t="n">
        <x:v>0.08</x:v>
      </x:c>
      <x:c r="AB132" s="14" t="n">
        <x:v>12</x:v>
      </x:c>
      <x:c r="AC132" s="14" t="n">
        <x:v>50</x:v>
      </x:c>
      <x:c r="AD132" s="14" t="n">
        <x:v>200</x:v>
      </x:c>
      <x:c r="AE132" s="14" t="n">
        <x:v>0</x:v>
      </x:c>
      <x:c r="AF132" s="14" t="n">
        <x:v>0</x:v>
      </x:c>
      <x:c r="AG132" s="24" t="str">
        <x:v>Low</x:v>
      </x:c>
      <x:c r="AH132" s="24" t="str">
        <x:v>Dot judgment; not approved price</x:v>
      </x:c>
      <x:c r="AI132" s="24" t="str">
        <x:v>Year 1 full-year target 80 order / engagement (6.7/month), prorated to operating months. Subsequent years retain 30% of prior units and add new demand equal to 70% of initial full-year units, growing 12% annually through Year 5, then 3%. Unvalidated acquisition hypothesis, not market evidence.</x:v>
      </x:c>
      <x:c r="AJ13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32" s="24" t="str">
        <x:v>Hypothetical in-year start after outstanding release, rights, provider or professional gates; no launch approval</x:v>
      </x:c>
      <x:c r="AL132" s="24" t="str">
        <x:v>https://chatgpt.com/c/6ab2b6ba-2204-83ea-a13b-489e83d9f257
https://chatgpt.com/c/6ab63f7c-6508-83ea-82af-2c5bd8e12369</x:v>
      </x:c>
      <x:c r="AM132" s="27" t="n">
        <x:v>0.03</x:v>
      </x:c>
    </x:row>
    <x:row r="133" ht="48" hidden="0" customHeight="1">
      <x:c r="A133" s="1"/>
      <x:c r="B133" s="1"/>
      <x:c r="C133" s="1" t="str">
        <x:v>DOT-104</x:v>
      </x:c>
      <x:c r="D133" s="10" t="str">
        <x:v>Sleepy Face</x:v>
      </x:c>
      <x:c r="E133" s="10" t="str">
        <x:v>Headwear</x:v>
      </x:c>
      <x:c r="F133" s="10" t="str">
        <x:v>physical</x:v>
      </x:c>
      <x:c r="G133" s="10" t="str">
        <x:v>order / engagement</x:v>
      </x:c>
      <x:c r="H133" s="14" t="n">
        <x:v>95</x:v>
      </x:c>
      <x:c r="I133" s="14" t="n">
        <x:v>240</x:v>
      </x:c>
      <x:c r="J133" s="14" t="n">
        <x:v>6</x:v>
      </x:c>
      <x:c r="K133" s="16" t="n">
        <x:v>0.3</x:v>
      </x:c>
      <x:c r="L133" s="16" t="n">
        <x:v>0.12</x:v>
      </x:c>
      <x:c r="M133" s="16" t="n">
        <x:v>0.03</x:v>
      </x:c>
      <x:c r="N133" s="16" t="n">
        <x:v>0.02</x:v>
      </x:c>
      <x:c r="O133" s="14" t="n">
        <x:v>0</x:v>
      </x:c>
      <x:c r="P133" s="17" t="n">
        <x:v>0.15</x:v>
      </x:c>
      <x:c r="Q133" s="14" t="n">
        <x:v>35</x:v>
      </x:c>
      <x:c r="R133" s="14" t="n">
        <x:v>35</x:v>
      </x:c>
      <x:c r="S133" s="16" t="n">
        <x:v>0</x:v>
      </x:c>
      <x:c r="T133" s="16" t="n">
        <x:v>1</x:v>
      </x:c>
      <x:c r="U133" s="16" t="n">
        <x:v>0.08</x:v>
      </x:c>
      <x:c r="V133" s="16" t="n">
        <x:v>0.02</x:v>
      </x:c>
      <x:c r="W133" s="16" t="n">
        <x:v>0.029</x:v>
      </x:c>
      <x:c r="X133" s="17" t="n">
        <x:v>0.3</x:v>
      </x:c>
      <x:c r="Y133" s="17" t="n">
        <x:v>0.15</x:v>
      </x:c>
      <x:c r="Z133" s="14" t="n">
        <x:v>30</x:v>
      </x:c>
      <x:c r="AA133" s="16" t="n">
        <x:v>0.08</x:v>
      </x:c>
      <x:c r="AB133" s="14" t="n">
        <x:v>12</x:v>
      </x:c>
      <x:c r="AC133" s="14" t="n">
        <x:v>50</x:v>
      </x:c>
      <x:c r="AD133" s="14" t="n">
        <x:v>200</x:v>
      </x:c>
      <x:c r="AE133" s="14" t="n">
        <x:v>0</x:v>
      </x:c>
      <x:c r="AF133" s="14" t="n">
        <x:v>0</x:v>
      </x:c>
      <x:c r="AG133" s="24" t="str">
        <x:v>Low</x:v>
      </x:c>
      <x:c r="AH133" s="24" t="str">
        <x:v>Dot judgment; not approved price</x:v>
      </x:c>
      <x:c r="AI133" s="24" t="str">
        <x:v>Year 1 full-year target 240 order / engagement (20.0/month), prorated to operating months. Subsequent years retain 30% of prior units and add new demand equal to 70% of initial full-year units, growing 12% annually through Year 5, then 3%. Unvalidated acquisition hypothesis, not market evidence.</x:v>
      </x:c>
      <x:c r="AJ13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33" s="24" t="str">
        <x:v>Hypothetical in-year start after outstanding release, rights, provider or professional gates; no launch approval</x:v>
      </x:c>
      <x:c r="AL133" s="24" t="str">
        <x:v>https://chatgpt.com/c/6ab2b6ba-2204-83ea-a13b-489e83d9f257
https://chatgpt.com/c/6ab63f7c-6508-83ea-82af-2c5bd8e12369</x:v>
      </x:c>
      <x:c r="AM133" s="27" t="n">
        <x:v>0.03</x:v>
      </x:c>
    </x:row>
    <x:row r="134" ht="48" hidden="0" customHeight="1">
      <x:c r="A134" s="1"/>
      <x:c r="B134" s="1"/>
      <x:c r="C134" s="1" t="str">
        <x:v>DOT-105</x:v>
      </x:c>
      <x:c r="D134" s="10" t="str">
        <x:v>Sleepy Face</x:v>
      </x:c>
      <x:c r="E134" s="10" t="str">
        <x:v>Reserved eyewear families</x:v>
      </x:c>
      <x:c r="F134" s="10" t="str">
        <x:v>physical</x:v>
      </x:c>
      <x:c r="G134" s="10" t="str">
        <x:v>order / engagement</x:v>
      </x:c>
      <x:c r="H134" s="14" t="n">
        <x:v>175</x:v>
      </x:c>
      <x:c r="I134" s="14" t="n">
        <x:v>120</x:v>
      </x:c>
      <x:c r="J134" s="14" t="n">
        <x:v>6</x:v>
      </x:c>
      <x:c r="K134" s="16" t="n">
        <x:v>0.3</x:v>
      </x:c>
      <x:c r="L134" s="16" t="n">
        <x:v>0.12</x:v>
      </x:c>
      <x:c r="M134" s="16" t="n">
        <x:v>0.03</x:v>
      </x:c>
      <x:c r="N134" s="16" t="n">
        <x:v>0.02</x:v>
      </x:c>
      <x:c r="O134" s="14" t="n">
        <x:v>0</x:v>
      </x:c>
      <x:c r="P134" s="17" t="n">
        <x:v>0.15</x:v>
      </x:c>
      <x:c r="Q134" s="14" t="n">
        <x:v>35</x:v>
      </x:c>
      <x:c r="R134" s="14" t="n">
        <x:v>65</x:v>
      </x:c>
      <x:c r="S134" s="16" t="n">
        <x:v>0</x:v>
      </x:c>
      <x:c r="T134" s="16" t="n">
        <x:v>1</x:v>
      </x:c>
      <x:c r="U134" s="16" t="n">
        <x:v>0.08</x:v>
      </x:c>
      <x:c r="V134" s="16" t="n">
        <x:v>0.02</x:v>
      </x:c>
      <x:c r="W134" s="16" t="n">
        <x:v>0.029</x:v>
      </x:c>
      <x:c r="X134" s="17" t="n">
        <x:v>0.3</x:v>
      </x:c>
      <x:c r="Y134" s="17" t="n">
        <x:v>0.15</x:v>
      </x:c>
      <x:c r="Z134" s="14" t="n">
        <x:v>30</x:v>
      </x:c>
      <x:c r="AA134" s="16" t="n">
        <x:v>0.08</x:v>
      </x:c>
      <x:c r="AB134" s="14" t="n">
        <x:v>12</x:v>
      </x:c>
      <x:c r="AC134" s="14" t="n">
        <x:v>50</x:v>
      </x:c>
      <x:c r="AD134" s="14" t="n">
        <x:v>500</x:v>
      </x:c>
      <x:c r="AE134" s="14" t="n">
        <x:v>0</x:v>
      </x:c>
      <x:c r="AF134" s="14" t="n">
        <x:v>0</x:v>
      </x:c>
      <x:c r="AG134" s="24" t="str">
        <x:v>Low</x:v>
      </x:c>
      <x:c r="AH134" s="24" t="str">
        <x:v>Dot judgment; not approved price</x:v>
      </x:c>
      <x:c r="AI134" s="24" t="str">
        <x:v>Year 1 full-year target 120 order / engagement (10.0/month), prorated to operating months. Subsequent years retain 30% of prior units and add new demand equal to 70% of initial full-year units, growing 12% annually through Year 5, then 3%. Unvalidated acquisition hypothesis, not market evidence.</x:v>
      </x:c>
      <x:c r="AJ13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34" s="24" t="str">
        <x:v>Hypothetical in-year start after outstanding release, rights, provider or professional gates; no launch approval</x:v>
      </x:c>
      <x:c r="AL134" s="24" t="str">
        <x:v>https://chatgpt.com/c/6ab2b6ba-2204-83ea-a13b-489e83d9f257
https://chatgpt.com/c/6ab63f7c-6508-83ea-82af-2c5bd8e12369</x:v>
      </x:c>
      <x:c r="AM134" s="27" t="n">
        <x:v>0.03</x:v>
      </x:c>
    </x:row>
    <x:row r="135" ht="48" hidden="0" customHeight="1">
      <x:c r="A135" s="1"/>
      <x:c r="B135" s="1"/>
      <x:c r="C135" s="1" t="str">
        <x:v>DOT-106</x:v>
      </x:c>
      <x:c r="D135" s="10" t="str">
        <x:v>QzoticMusic</x:v>
      </x:c>
      <x:c r="E135" s="10" t="str">
        <x:v>Non-audio supporter subscription</x:v>
      </x:c>
      <x:c r="F135" s="10" t="str">
        <x:v>digital</x:v>
      </x:c>
      <x:c r="G135" s="10" t="str">
        <x:v>customer-month</x:v>
      </x:c>
      <x:c r="H135" s="14" t="n">
        <x:v>5</x:v>
      </x:c>
      <x:c r="I135" s="14" t="n">
        <x:v>600</x:v>
      </x:c>
      <x:c r="J135" s="14" t="n">
        <x:v>6</x:v>
      </x:c>
      <x:c r="K135" s="16" t="n">
        <x:v>0.25</x:v>
      </x:c>
      <x:c r="L135" s="16" t="n">
        <x:v>0.15</x:v>
      </x:c>
      <x:c r="M135" s="16" t="n">
        <x:v>0.03</x:v>
      </x:c>
      <x:c r="N135" s="16" t="n">
        <x:v>0.02</x:v>
      </x:c>
      <x:c r="O135" s="14" t="n">
        <x:v>0</x:v>
      </x:c>
      <x:c r="P135" s="17" t="n">
        <x:v>0.02</x:v>
      </x:c>
      <x:c r="Q135" s="14" t="n">
        <x:v>35</x:v>
      </x:c>
      <x:c r="R135" s="14" t="n">
        <x:v>0</x:v>
      </x:c>
      <x:c r="S135" s="16" t="n">
        <x:v>0</x:v>
      </x:c>
      <x:c r="T135" s="16" t="n">
        <x:v>1</x:v>
      </x:c>
      <x:c r="U135" s="16" t="n">
        <x:v>0.03</x:v>
      </x:c>
      <x:c r="V135" s="16" t="n">
        <x:v>0</x:v>
      </x:c>
      <x:c r="W135" s="16" t="n">
        <x:v>0.029</x:v>
      </x:c>
      <x:c r="X135" s="17" t="n">
        <x:v>0.3</x:v>
      </x:c>
      <x:c r="Y135" s="17" t="n">
        <x:v>0.1</x:v>
      </x:c>
      <x:c r="Z135" s="14" t="n">
        <x:v>30</x:v>
      </x:c>
      <x:c r="AA135" s="16" t="n">
        <x:v>0.05</x:v>
      </x:c>
      <x:c r="AB135" s="14" t="n">
        <x:v>8</x:v>
      </x:c>
      <x:c r="AC135" s="14" t="n">
        <x:v>50</x:v>
      </x:c>
      <x:c r="AD135" s="14" t="n">
        <x:v>0</x:v>
      </x:c>
      <x:c r="AE135" s="14" t="n">
        <x:v>0</x:v>
      </x:c>
      <x:c r="AF135" s="14" t="n">
        <x:v>0</x:v>
      </x:c>
      <x:c r="AG135" s="24" t="str">
        <x:v>Low</x:v>
      </x:c>
      <x:c r="AH135" s="24" t="str">
        <x:v>Historical proposal used as Dot assumption</x:v>
      </x:c>
      <x:c r="AI135" s="24" t="str">
        <x:v>Year 1 full-year target 600 customer-month (50.0/month),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13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35" s="24" t="str">
        <x:v>Hypothetical in-year start after outstanding release, rights, provider or professional gates; no launch approval</x:v>
      </x:c>
      <x:c r="AL135" s="24" t="str">
        <x:v>https://chatgpt.com/c/6ab2b4f7-b04c-83ea-aebd-6f99df77a775</x:v>
      </x:c>
      <x:c r="AM135" s="27" t="n">
        <x:v>0.05</x:v>
      </x:c>
    </x:row>
    <x:row r="136" ht="48" hidden="0" customHeight="1">
      <x:c r="A136" s="1"/>
      <x:c r="B136" s="1"/>
      <x:c r="C136" s="1" t="str">
        <x:v>DOT-107</x:v>
      </x:c>
      <x:c r="D136" s="10" t="str">
        <x:v>QzoticMusic</x:v>
      </x:c>
      <x:c r="E136" s="10" t="str">
        <x:v>Artist-authorized event tickets</x:v>
      </x:c>
      <x:c r="F136" s="10" t="str">
        <x:v>media</x:v>
      </x:c>
      <x:c r="G136" s="10" t="str">
        <x:v>order / engagement</x:v>
      </x:c>
      <x:c r="H136" s="14" t="n">
        <x:v>25</x:v>
      </x:c>
      <x:c r="I136" s="14" t="n">
        <x:v>240</x:v>
      </x:c>
      <x:c r="J136" s="14" t="n">
        <x:v>6</x:v>
      </x:c>
      <x:c r="K136" s="16" t="n">
        <x:v>0.35</x:v>
      </x:c>
      <x:c r="L136" s="16" t="n">
        <x:v>0.1</x:v>
      </x:c>
      <x:c r="M136" s="16" t="n">
        <x:v>0.03</x:v>
      </x:c>
      <x:c r="N136" s="16" t="n">
        <x:v>0.02</x:v>
      </x:c>
      <x:c r="O136" s="14" t="n">
        <x:v>0</x:v>
      </x:c>
      <x:c r="P136" s="17" t="n">
        <x:v>0.15</x:v>
      </x:c>
      <x:c r="Q136" s="14" t="n">
        <x:v>35</x:v>
      </x:c>
      <x:c r="R136" s="14" t="n">
        <x:v>10</x:v>
      </x:c>
      <x:c r="S136" s="16" t="n">
        <x:v>0</x:v>
      </x:c>
      <x:c r="T136" s="16" t="n">
        <x:v>1</x:v>
      </x:c>
      <x:c r="U136" s="16" t="n">
        <x:v>0.03</x:v>
      </x:c>
      <x:c r="V136" s="16" t="n">
        <x:v>0</x:v>
      </x:c>
      <x:c r="W136" s="16" t="n">
        <x:v>0.029</x:v>
      </x:c>
      <x:c r="X136" s="17" t="n">
        <x:v>0.3</x:v>
      </x:c>
      <x:c r="Y136" s="17" t="n">
        <x:v>0.5</x:v>
      </x:c>
      <x:c r="Z136" s="14" t="n">
        <x:v>30</x:v>
      </x:c>
      <x:c r="AA136" s="16" t="n">
        <x:v>0.08</x:v>
      </x:c>
      <x:c r="AB136" s="14" t="n">
        <x:v>20</x:v>
      </x:c>
      <x:c r="AC136" s="14" t="n">
        <x:v>50</x:v>
      </x:c>
      <x:c r="AD136" s="14" t="n">
        <x:v>300</x:v>
      </x:c>
      <x:c r="AE136" s="14" t="n">
        <x:v>0</x:v>
      </x:c>
      <x:c r="AF136" s="14" t="n">
        <x:v>1</x:v>
      </x:c>
      <x:c r="AG136" s="24" t="str">
        <x:v>Low</x:v>
      </x:c>
      <x:c r="AH136" s="24" t="str">
        <x:v>Dot judgment; not approved price</x:v>
      </x:c>
      <x:c r="AI136" s="24" t="str">
        <x:v>Year 1 full-year target 240 order / engagement (20.0/month), prorated to operating months. Subsequent years retain 35% of prior units and add new demand equal to 65% of initial full-year units, growing 10% annually through Year 5, then 3%. Unvalidated acquisition hypothesis, not market evidence.</x:v>
      </x:c>
      <x:c r="AJ13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36" s="24" t="str">
        <x:v>Hypothetical in-year start after outstanding release, rights, provider or professional gates; no launch approval</x:v>
      </x:c>
      <x:c r="AL136" s="24" t="str">
        <x:v>https://chatgpt.com/c/6ab2b4f7-b04c-83ea-aebd-6f99df77a775</x:v>
      </x:c>
      <x:c r="AM136" s="27" t="n">
        <x:v>0.1</x:v>
      </x:c>
    </x:row>
    <x:row r="137" ht="48" hidden="0" customHeight="1">
      <x:c r="A137" s="1"/>
      <x:c r="B137" s="1"/>
      <x:c r="C137" s="1" t="str">
        <x:v>DOT-108</x:v>
      </x:c>
      <x:c r="D137" s="10" t="str">
        <x:v>QzoticMusic</x:v>
      </x:c>
      <x:c r="E137" s="10" t="str">
        <x:v>Cultural sponsorship</x:v>
      </x:c>
      <x:c r="F137" s="10" t="str">
        <x:v>media</x:v>
      </x:c>
      <x:c r="G137" s="10" t="str">
        <x:v>order / engagement</x:v>
      </x:c>
      <x:c r="H137" s="14" t="n">
        <x:v>250</x:v>
      </x:c>
      <x:c r="I137" s="14" t="n">
        <x:v>12</x:v>
      </x:c>
      <x:c r="J137" s="14" t="n">
        <x:v>6</x:v>
      </x:c>
      <x:c r="K137" s="16" t="n">
        <x:v>0.35</x:v>
      </x:c>
      <x:c r="L137" s="16" t="n">
        <x:v>0.1</x:v>
      </x:c>
      <x:c r="M137" s="16" t="n">
        <x:v>0.03</x:v>
      </x:c>
      <x:c r="N137" s="16" t="n">
        <x:v>0.02</x:v>
      </x:c>
      <x:c r="O137" s="14" t="n">
        <x:v>0</x:v>
      </x:c>
      <x:c r="P137" s="17" t="n">
        <x:v>2</x:v>
      </x:c>
      <x:c r="Q137" s="14" t="n">
        <x:v>40</x:v>
      </x:c>
      <x:c r="R137" s="14" t="n">
        <x:v>0</x:v>
      </x:c>
      <x:c r="S137" s="16" t="n">
        <x:v>0</x:v>
      </x:c>
      <x:c r="T137" s="16" t="n">
        <x:v>1</x:v>
      </x:c>
      <x:c r="U137" s="16" t="n">
        <x:v>0.03</x:v>
      </x:c>
      <x:c r="V137" s="16" t="n">
        <x:v>0</x:v>
      </x:c>
      <x:c r="W137" s="16" t="n">
        <x:v>0.029</x:v>
      </x:c>
      <x:c r="X137" s="17" t="n">
        <x:v>0.3</x:v>
      </x:c>
      <x:c r="Y137" s="17" t="n">
        <x:v>0.5</x:v>
      </x:c>
      <x:c r="Z137" s="14" t="n">
        <x:v>30</x:v>
      </x:c>
      <x:c r="AA137" s="16" t="n">
        <x:v>0.08</x:v>
      </x:c>
      <x:c r="AB137" s="14" t="n">
        <x:v>8</x:v>
      </x:c>
      <x:c r="AC137" s="14" t="n">
        <x:v>50</x:v>
      </x:c>
      <x:c r="AD137" s="14" t="n">
        <x:v>0</x:v>
      </x:c>
      <x:c r="AE137" s="14" t="n">
        <x:v>0</x:v>
      </x:c>
      <x:c r="AF137" s="14" t="n">
        <x:v>1</x:v>
      </x:c>
      <x:c r="AG137" s="24" t="str">
        <x:v>Low</x:v>
      </x:c>
      <x:c r="AH137" s="24" t="str">
        <x:v>Historical proposal used as Dot assumption</x:v>
      </x:c>
      <x:c r="AI137" s="24" t="str">
        <x:v>Year 1 full-year target 12 order / engagement (1.0/month), prorated to operating months. Subsequent years retain 35% of prior units and add new demand equal to 65% of initial full-year units, growing 10% annually through Year 5, then 3%. Unvalidated acquisition hypothesis, not market evidence.</x:v>
      </x:c>
      <x:c r="AJ13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37" s="24" t="str">
        <x:v>Hypothetical in-year start after outstanding release, rights, provider or professional gates; no launch approval</x:v>
      </x:c>
      <x:c r="AL137" s="24" t="str">
        <x:v>https://chatgpt.com/c/6ab2b4f7-b04c-83ea-aebd-6f99df77a775</x:v>
      </x:c>
      <x:c r="AM137" s="27" t="n">
        <x:v>0.1</x:v>
      </x:c>
    </x:row>
    <x:row r="138" ht="48" hidden="0" customHeight="1">
      <x:c r="A138" s="1"/>
      <x:c r="B138" s="1"/>
      <x:c r="C138" s="1" t="str">
        <x:v>DOT-109</x:v>
      </x:c>
      <x:c r="D138" s="10" t="str">
        <x:v>LesPetitFilms</x:v>
      </x:c>
      <x:c r="E138" s="10" t="str">
        <x:v>Commissioned branded short</x:v>
      </x:c>
      <x:c r="F138" s="10" t="str">
        <x:v>media</x:v>
      </x:c>
      <x:c r="G138" s="10" t="str">
        <x:v>order / engagement</x:v>
      </x:c>
      <x:c r="H138" s="14" t="n">
        <x:v>3500</x:v>
      </x:c>
      <x:c r="I138" s="14" t="n">
        <x:v>8</x:v>
      </x:c>
      <x:c r="J138" s="14" t="n">
        <x:v>6</x:v>
      </x:c>
      <x:c r="K138" s="16" t="n">
        <x:v>0.35</x:v>
      </x:c>
      <x:c r="L138" s="16" t="n">
        <x:v>0.1</x:v>
      </x:c>
      <x:c r="M138" s="16" t="n">
        <x:v>0.03</x:v>
      </x:c>
      <x:c r="N138" s="16" t="n">
        <x:v>0.02</x:v>
      </x:c>
      <x:c r="O138" s="14" t="n">
        <x:v>0</x:v>
      </x:c>
      <x:c r="P138" s="17" t="n">
        <x:v>25</x:v>
      </x:c>
      <x:c r="Q138" s="14" t="n">
        <x:v>45</x:v>
      </x:c>
      <x:c r="R138" s="14" t="n">
        <x:v>350</x:v>
      </x:c>
      <x:c r="S138" s="16" t="n">
        <x:v>0</x:v>
      </x:c>
      <x:c r="T138" s="16" t="n">
        <x:v>1</x:v>
      </x:c>
      <x:c r="U138" s="16" t="n">
        <x:v>0.03</x:v>
      </x:c>
      <x:c r="V138" s="16" t="n">
        <x:v>0</x:v>
      </x:c>
      <x:c r="W138" s="16" t="n">
        <x:v>0.029</x:v>
      </x:c>
      <x:c r="X138" s="17" t="n">
        <x:v>0.3</x:v>
      </x:c>
      <x:c r="Y138" s="17" t="n">
        <x:v>0.5</x:v>
      </x:c>
      <x:c r="Z138" s="14" t="n">
        <x:v>30</x:v>
      </x:c>
      <x:c r="AA138" s="16" t="n">
        <x:v>0.08</x:v>
      </x:c>
      <x:c r="AB138" s="14" t="n">
        <x:v>20</x:v>
      </x:c>
      <x:c r="AC138" s="14" t="n">
        <x:v>50</x:v>
      </x:c>
      <x:c r="AD138" s="14" t="n">
        <x:v>0</x:v>
      </x:c>
      <x:c r="AE138" s="14" t="n">
        <x:v>0</x:v>
      </x:c>
      <x:c r="AF138" s="14" t="n">
        <x:v>1</x:v>
      </x:c>
      <x:c r="AG138" s="24" t="str">
        <x:v>Low</x:v>
      </x:c>
      <x:c r="AH138" s="24" t="str">
        <x:v>Historical lower-bound concept used as Dot assumption</x:v>
      </x:c>
      <x:c r="AI138" s="24" t="str">
        <x:v>Year 1 full-year target 8 order / engagement (0.7/month), prorated to operating months. Subsequent years retain 35% of prior units and add new demand equal to 65% of initial full-year units, growing 10% annually through Year 5, then 3%. Unvalidated acquisition hypothesis, not market evidence.</x:v>
      </x:c>
      <x:c r="AJ13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38" s="24" t="str">
        <x:v>Hypothetical in-year start after outstanding release, rights, provider or professional gates; no launch approval</x:v>
      </x:c>
      <x:c r="AL138" s="24" t="str">
        <x:v>https://chatgpt.com/c/6ab2b745-9244-83e9-aa91-8ad8e43c460b</x:v>
      </x:c>
      <x:c r="AM138" s="27" t="n">
        <x:v>0.1</x:v>
      </x:c>
    </x:row>
    <x:row r="139" ht="48" hidden="0" customHeight="1">
      <x:c r="A139" s="1"/>
      <x:c r="B139" s="1"/>
      <x:c r="C139" s="1" t="str">
        <x:v>DOT-110</x:v>
      </x:c>
      <x:c r="D139" s="10" t="str">
        <x:v>LesPetitFilms</x:v>
      </x:c>
      <x:c r="E139" s="10" t="str">
        <x:v>Sponsored curated program</x:v>
      </x:c>
      <x:c r="F139" s="10" t="str">
        <x:v>media</x:v>
      </x:c>
      <x:c r="G139" s="10" t="str">
        <x:v>order / engagement</x:v>
      </x:c>
      <x:c r="H139" s="14" t="n">
        <x:v>1500</x:v>
      </x:c>
      <x:c r="I139" s="14" t="n">
        <x:v>8</x:v>
      </x:c>
      <x:c r="J139" s="14" t="n">
        <x:v>6</x:v>
      </x:c>
      <x:c r="K139" s="16" t="n">
        <x:v>0.35</x:v>
      </x:c>
      <x:c r="L139" s="16" t="n">
        <x:v>0.1</x:v>
      </x:c>
      <x:c r="M139" s="16" t="n">
        <x:v>0.03</x:v>
      </x:c>
      <x:c r="N139" s="16" t="n">
        <x:v>0.02</x:v>
      </x:c>
      <x:c r="O139" s="14" t="n">
        <x:v>0</x:v>
      </x:c>
      <x:c r="P139" s="17" t="n">
        <x:v>10</x:v>
      </x:c>
      <x:c r="Q139" s="14" t="n">
        <x:v>45</x:v>
      </x:c>
      <x:c r="R139" s="14" t="n">
        <x:v>200</x:v>
      </x:c>
      <x:c r="S139" s="16" t="n">
        <x:v>0</x:v>
      </x:c>
      <x:c r="T139" s="16" t="n">
        <x:v>1</x:v>
      </x:c>
      <x:c r="U139" s="16" t="n">
        <x:v>0.03</x:v>
      </x:c>
      <x:c r="V139" s="16" t="n">
        <x:v>0</x:v>
      </x:c>
      <x:c r="W139" s="16" t="n">
        <x:v>0.029</x:v>
      </x:c>
      <x:c r="X139" s="17" t="n">
        <x:v>0.3</x:v>
      </x:c>
      <x:c r="Y139" s="17" t="n">
        <x:v>0.5</x:v>
      </x:c>
      <x:c r="Z139" s="14" t="n">
        <x:v>30</x:v>
      </x:c>
      <x:c r="AA139" s="16" t="n">
        <x:v>0.08</x:v>
      </x:c>
      <x:c r="AB139" s="14" t="n">
        <x:v>20</x:v>
      </x:c>
      <x:c r="AC139" s="14" t="n">
        <x:v>50</x:v>
      </x:c>
      <x:c r="AD139" s="14" t="n">
        <x:v>0</x:v>
      </x:c>
      <x:c r="AE139" s="14" t="n">
        <x:v>0</x:v>
      </x:c>
      <x:c r="AF139" s="14" t="n">
        <x:v>1</x:v>
      </x:c>
      <x:c r="AG139" s="24" t="str">
        <x:v>Low</x:v>
      </x:c>
      <x:c r="AH139" s="24" t="str">
        <x:v>Dot judgment; not approved price</x:v>
      </x:c>
      <x:c r="AI139" s="24" t="str">
        <x:v>Year 1 full-year target 8 order / engagement (0.7/month), prorated to operating months. Subsequent years retain 35% of prior units and add new demand equal to 65% of initial full-year units, growing 10% annually through Year 5, then 3%. Unvalidated acquisition hypothesis, not market evidence.</x:v>
      </x:c>
      <x:c r="AJ13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39" s="24" t="str">
        <x:v>Hypothetical in-year start after outstanding release, rights, provider or professional gates; no launch approval</x:v>
      </x:c>
      <x:c r="AL139" s="24" t="str">
        <x:v>https://chatgpt.com/c/6ab2b745-9244-83e9-aa91-8ad8e43c460b</x:v>
      </x:c>
      <x:c r="AM139" s="27" t="n">
        <x:v>0.1</x:v>
      </x:c>
    </x:row>
    <x:row r="140" ht="48" hidden="0" customHeight="1">
      <x:c r="A140" s="1"/>
      <x:c r="B140" s="1"/>
      <x:c r="C140" s="1" t="str">
        <x:v>DOT-111</x:v>
      </x:c>
      <x:c r="D140" s="10" t="str">
        <x:v>LesPetitFilms</x:v>
      </x:c>
      <x:c r="E140" s="10" t="str">
        <x:v>Micro-cinema and taxi distribution license</x:v>
      </x:c>
      <x:c r="F140" s="10" t="str">
        <x:v>media</x:v>
      </x:c>
      <x:c r="G140" s="10" t="str">
        <x:v>order / engagement</x:v>
      </x:c>
      <x:c r="H140" s="14" t="n">
        <x:v>500</x:v>
      </x:c>
      <x:c r="I140" s="14" t="n">
        <x:v>12</x:v>
      </x:c>
      <x:c r="J140" s="14" t="n">
        <x:v>6</x:v>
      </x:c>
      <x:c r="K140" s="16" t="n">
        <x:v>0.35</x:v>
      </x:c>
      <x:c r="L140" s="16" t="n">
        <x:v>0.1</x:v>
      </x:c>
      <x:c r="M140" s="16" t="n">
        <x:v>0.03</x:v>
      </x:c>
      <x:c r="N140" s="16" t="n">
        <x:v>0.02</x:v>
      </x:c>
      <x:c r="O140" s="14" t="n">
        <x:v>0</x:v>
      </x:c>
      <x:c r="P140" s="17" t="n">
        <x:v>3</x:v>
      </x:c>
      <x:c r="Q140" s="14" t="n">
        <x:v>40</x:v>
      </x:c>
      <x:c r="R140" s="14" t="n">
        <x:v>50</x:v>
      </x:c>
      <x:c r="S140" s="16" t="n">
        <x:v>0</x:v>
      </x:c>
      <x:c r="T140" s="16" t="n">
        <x:v>1</x:v>
      </x:c>
      <x:c r="U140" s="16" t="n">
        <x:v>0.03</x:v>
      </x:c>
      <x:c r="V140" s="16" t="n">
        <x:v>0</x:v>
      </x:c>
      <x:c r="W140" s="16" t="n">
        <x:v>0.029</x:v>
      </x:c>
      <x:c r="X140" s="17" t="n">
        <x:v>0.3</x:v>
      </x:c>
      <x:c r="Y140" s="17" t="n">
        <x:v>0.5</x:v>
      </x:c>
      <x:c r="Z140" s="14" t="n">
        <x:v>30</x:v>
      </x:c>
      <x:c r="AA140" s="16" t="n">
        <x:v>0.08</x:v>
      </x:c>
      <x:c r="AB140" s="14" t="n">
        <x:v>20</x:v>
      </x:c>
      <x:c r="AC140" s="14" t="n">
        <x:v>50</x:v>
      </x:c>
      <x:c r="AD140" s="14" t="n">
        <x:v>0</x:v>
      </x:c>
      <x:c r="AE140" s="14" t="n">
        <x:v>0</x:v>
      </x:c>
      <x:c r="AF140" s="14" t="n">
        <x:v>1</x:v>
      </x:c>
      <x:c r="AG140" s="24" t="str">
        <x:v>Low</x:v>
      </x:c>
      <x:c r="AH140" s="24" t="str">
        <x:v>Dot judgment; not approved price</x:v>
      </x:c>
      <x:c r="AI140" s="24" t="str">
        <x:v>Year 1 full-year target 12 order / engagement (1.0/month), prorated to operating months. Subsequent years retain 35% of prior units and add new demand equal to 65% of initial full-year units, growing 10% annually through Year 5, then 3%. Unvalidated acquisition hypothesis, not market evidence.</x:v>
      </x:c>
      <x:c r="AJ14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40" s="24" t="str">
        <x:v>Hypothetical in-year start after outstanding release, rights, provider or professional gates; no launch approval</x:v>
      </x:c>
      <x:c r="AL140" s="24" t="str">
        <x:v>https://chatgpt.com/c/6ab2b745-9244-83e9-aa91-8ad8e43c460b</x:v>
      </x:c>
      <x:c r="AM140" s="27" t="n">
        <x:v>0.1</x:v>
      </x:c>
    </x:row>
    <x:row r="141" ht="48" hidden="0" customHeight="1">
      <x:c r="A141" s="1"/>
      <x:c r="B141" s="1"/>
      <x:c r="C141" s="1" t="str">
        <x:v>DOT-112</x:v>
      </x:c>
      <x:c r="D141" s="10" t="str">
        <x:v>Learn Anglais</x:v>
      </x:c>
      <x:c r="E141" s="10" t="str">
        <x:v>Adult conversation, 60 minutes</x:v>
      </x:c>
      <x:c r="F141" s="10" t="str">
        <x:v>platform</x:v>
      </x:c>
      <x:c r="G141" s="10" t="str">
        <x:v>60-minute session</x:v>
      </x:c>
      <x:c r="H141" s="14" t="n">
        <x:v>45</x:v>
      </x:c>
      <x:c r="I141" s="14" t="n">
        <x:v>600</x:v>
      </x:c>
      <x:c r="J141" s="14" t="n">
        <x:v>9</x:v>
      </x:c>
      <x:c r="K141" s="16" t="n">
        <x:v>0.7</x:v>
      </x:c>
      <x:c r="L141" s="16" t="n">
        <x:v>0.2</x:v>
      </x:c>
      <x:c r="M141" s="16" t="n">
        <x:v>0.03</x:v>
      </x:c>
      <x:c r="N141" s="16" t="n">
        <x:v>0.02</x:v>
      </x:c>
      <x:c r="O141" s="14" t="n">
        <x:v>0</x:v>
      </x:c>
      <x:c r="P141" s="17" t="n">
        <x:v>0.1</x:v>
      </x:c>
      <x:c r="Q141" s="14" t="n">
        <x:v>35</x:v>
      </x:c>
      <x:c r="R141" s="14" t="n">
        <x:v>0</x:v>
      </x:c>
      <x:c r="S141" s="16" t="n">
        <x:v>0</x:v>
      </x:c>
      <x:c r="T141" s="16" t="n">
        <x:v>0.3333333333333333</x:v>
      </x:c>
      <x:c r="U141" s="16" t="n">
        <x:v>0.03</x:v>
      </x:c>
      <x:c r="V141" s="16" t="n">
        <x:v>0</x:v>
      </x:c>
      <x:c r="W141" s="16" t="n">
        <x:v>0.029</x:v>
      </x:c>
      <x:c r="X141" s="17" t="n">
        <x:v>0.3</x:v>
      </x:c>
      <x:c r="Y141" s="17" t="n">
        <x:v>0.15</x:v>
      </x:c>
      <x:c r="Z141" s="14" t="n">
        <x:v>30</x:v>
      </x:c>
      <x:c r="AA141" s="16" t="n">
        <x:v>0.05</x:v>
      </x:c>
      <x:c r="AB141" s="14" t="n">
        <x:v>16</x:v>
      </x:c>
      <x:c r="AC141" s="14" t="n">
        <x:v>50</x:v>
      </x:c>
      <x:c r="AD141" s="14" t="n">
        <x:v>0</x:v>
      </x:c>
      <x:c r="AE141" s="14" t="n">
        <x:v>0</x:v>
      </x:c>
      <x:c r="AF141" s="14" t="n">
        <x:v>0</x:v>
      </x:c>
      <x:c r="AG141" s="24" t="str">
        <x:v>Low</x:v>
      </x:c>
      <x:c r="AH141" s="24" t="str">
        <x:v>Historical session illustration used as Dot comparison assumption; not approved price</x:v>
      </x:c>
      <x:c r="AI141" s="24" t="str">
        <x:v>Year 1 full-year target 600 order / engagement (50.0/month),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14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41" s="24" t="str">
        <x:v>Hypothetical in-year start after outstanding release, rights, provider or professional gates; no launch approval</x:v>
      </x:c>
      <x:c r="AL141" s="24" t="str">
        <x:v>https://chatgpt.com/c/6ab49ca5-0efc-83ea-a6bd-1782ba0c13e6</x:v>
      </x:c>
      <x:c r="AM141" s="27" t="n">
        <x:v>0.05</x:v>
      </x:c>
    </x:row>
    <x:row r="142" ht="48" hidden="0" customHeight="1">
      <x:c r="A142" s="1"/>
      <x:c r="B142" s="1"/>
      <x:c r="C142" s="1" t="str">
        <x:v>DOT-113</x:v>
      </x:c>
      <x:c r="D142" s="10" t="str">
        <x:v>Learn Anglais</x:v>
      </x:c>
      <x:c r="E142" s="10" t="str">
        <x:v>Teacher-led lesson, 60 minutes</x:v>
      </x:c>
      <x:c r="F142" s="10" t="str">
        <x:v>platform</x:v>
      </x:c>
      <x:c r="G142" s="10" t="str">
        <x:v>60-minute session</x:v>
      </x:c>
      <x:c r="H142" s="14" t="n">
        <x:v>85</x:v>
      </x:c>
      <x:c r="I142" s="14" t="n">
        <x:v>360</x:v>
      </x:c>
      <x:c r="J142" s="14" t="n">
        <x:v>9</x:v>
      </x:c>
      <x:c r="K142" s="16" t="n">
        <x:v>0.7</x:v>
      </x:c>
      <x:c r="L142" s="16" t="n">
        <x:v>0.2</x:v>
      </x:c>
      <x:c r="M142" s="16" t="n">
        <x:v>0.03</x:v>
      </x:c>
      <x:c r="N142" s="16" t="n">
        <x:v>0.02</x:v>
      </x:c>
      <x:c r="O142" s="14" t="n">
        <x:v>0</x:v>
      </x:c>
      <x:c r="P142" s="17" t="n">
        <x:v>0.1</x:v>
      </x:c>
      <x:c r="Q142" s="14" t="n">
        <x:v>35</x:v>
      </x:c>
      <x:c r="R142" s="14" t="n">
        <x:v>0</x:v>
      </x:c>
      <x:c r="S142" s="16" t="n">
        <x:v>0</x:v>
      </x:c>
      <x:c r="T142" s="16" t="n">
        <x:v>0.3</x:v>
      </x:c>
      <x:c r="U142" s="16" t="n">
        <x:v>0.03</x:v>
      </x:c>
      <x:c r="V142" s="16" t="n">
        <x:v>0</x:v>
      </x:c>
      <x:c r="W142" s="16" t="n">
        <x:v>0.029</x:v>
      </x:c>
      <x:c r="X142" s="17" t="n">
        <x:v>0.3</x:v>
      </x:c>
      <x:c r="Y142" s="17" t="n">
        <x:v>0.15</x:v>
      </x:c>
      <x:c r="Z142" s="14" t="n">
        <x:v>30</x:v>
      </x:c>
      <x:c r="AA142" s="16" t="n">
        <x:v>0.05</x:v>
      </x:c>
      <x:c r="AB142" s="14" t="n">
        <x:v>12</x:v>
      </x:c>
      <x:c r="AC142" s="14" t="n">
        <x:v>50</x:v>
      </x:c>
      <x:c r="AD142" s="14" t="n">
        <x:v>0</x:v>
      </x:c>
      <x:c r="AE142" s="14" t="n">
        <x:v>0</x:v>
      </x:c>
      <x:c r="AF142" s="14" t="n">
        <x:v>0</x:v>
      </x:c>
      <x:c r="AG142" s="24" t="str">
        <x:v>Low</x:v>
      </x:c>
      <x:c r="AH142" s="24" t="str">
        <x:v>Historical session illustration used as Dot comparison assumption; not approved price</x:v>
      </x:c>
      <x:c r="AI142" s="24" t="str">
        <x:v>Year 1 full-year target 360 order / engagement (30.0/month),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14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42" s="24" t="str">
        <x:v>Hypothetical in-year start after outstanding release, rights, provider or professional gates; no launch approval</x:v>
      </x:c>
      <x:c r="AL142" s="24" t="str">
        <x:v>https://chatgpt.com/c/6ab49ca5-0efc-83ea-a6bd-1782ba0c13e6</x:v>
      </x:c>
      <x:c r="AM142" s="27" t="n">
        <x:v>0.05</x:v>
      </x:c>
    </x:row>
    <x:row r="143" ht="48" hidden="0" customHeight="1">
      <x:c r="A143" s="1"/>
      <x:c r="B143" s="1"/>
      <x:c r="C143" s="1" t="str">
        <x:v>DOT-114</x:v>
      </x:c>
      <x:c r="D143" s="10" t="str">
        <x:v>Learn Anglais</x:v>
      </x:c>
      <x:c r="E143" s="10" t="str">
        <x:v>Self-study learning access</x:v>
      </x:c>
      <x:c r="F143" s="10" t="str">
        <x:v>digital</x:v>
      </x:c>
      <x:c r="G143" s="10" t="str">
        <x:v>order / engagement</x:v>
      </x:c>
      <x:c r="H143" s="14" t="n">
        <x:v>29</x:v>
      </x:c>
      <x:c r="I143" s="14" t="n">
        <x:v>240</x:v>
      </x:c>
      <x:c r="J143" s="14" t="n">
        <x:v>9</x:v>
      </x:c>
      <x:c r="K143" s="16" t="n">
        <x:v>0.25</x:v>
      </x:c>
      <x:c r="L143" s="16" t="n">
        <x:v>0.15</x:v>
      </x:c>
      <x:c r="M143" s="16" t="n">
        <x:v>0.03</x:v>
      </x:c>
      <x:c r="N143" s="16" t="n">
        <x:v>0.02</x:v>
      </x:c>
      <x:c r="O143" s="14" t="n">
        <x:v>0</x:v>
      </x:c>
      <x:c r="P143" s="17" t="n">
        <x:v>0.15</x:v>
      </x:c>
      <x:c r="Q143" s="14" t="n">
        <x:v>35</x:v>
      </x:c>
      <x:c r="R143" s="14" t="n">
        <x:v>0</x:v>
      </x:c>
      <x:c r="S143" s="16" t="n">
        <x:v>0</x:v>
      </x:c>
      <x:c r="T143" s="16" t="n">
        <x:v>1</x:v>
      </x:c>
      <x:c r="U143" s="16" t="n">
        <x:v>0.03</x:v>
      </x:c>
      <x:c r="V143" s="16" t="n">
        <x:v>0</x:v>
      </x:c>
      <x:c r="W143" s="16" t="n">
        <x:v>0.029</x:v>
      </x:c>
      <x:c r="X143" s="17" t="n">
        <x:v>0.3</x:v>
      </x:c>
      <x:c r="Y143" s="17" t="n">
        <x:v>0.1</x:v>
      </x:c>
      <x:c r="Z143" s="14" t="n">
        <x:v>30</x:v>
      </x:c>
      <x:c r="AA143" s="16" t="n">
        <x:v>0.05</x:v>
      </x:c>
      <x:c r="AB143" s="14" t="n">
        <x:v>30</x:v>
      </x:c>
      <x:c r="AC143" s="14" t="n">
        <x:v>50</x:v>
      </x:c>
      <x:c r="AD143" s="14" t="n">
        <x:v>0</x:v>
      </x:c>
      <x:c r="AE143" s="14" t="n">
        <x:v>0</x:v>
      </x:c>
      <x:c r="AF143" s="14" t="n">
        <x:v>0</x:v>
      </x:c>
      <x:c r="AG143" s="24" t="str">
        <x:v>Low</x:v>
      </x:c>
      <x:c r="AH143" s="24" t="str">
        <x:v>Historical session illustration used as Dot comparison assumption; not approved price</x:v>
      </x:c>
      <x:c r="AI143" s="24" t="str">
        <x:v>Year 1 full-year target 240 order / engagement (20.0/month),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14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43" s="24" t="str">
        <x:v>Hypothetical in-year start after outstanding release, rights, provider or professional gates; no launch approval</x:v>
      </x:c>
      <x:c r="AL143" s="24" t="str">
        <x:v>https://chatgpt.com/c/6ab49ca5-0efc-83ea-a6bd-1782ba0c13e6</x:v>
      </x:c>
      <x:c r="AM143" s="27" t="n">
        <x:v>0.05</x:v>
      </x:c>
    </x:row>
    <x:row r="144" ht="48" hidden="0" customHeight="1">
      <x:c r="A144" s="1"/>
      <x:c r="B144" s="1"/>
      <x:c r="C144" s="1" t="str">
        <x:v>DOT-115</x:v>
      </x:c>
      <x:c r="D144" s="10" t="str">
        <x:v>Learn Anglais</x:v>
      </x:c>
      <x:c r="E144" s="10" t="str">
        <x:v>Teen safeguarded conversation fee</x:v>
      </x:c>
      <x:c r="F144" s="10" t="str">
        <x:v>platform</x:v>
      </x:c>
      <x:c r="G144" s="10" t="str">
        <x:v>order / engagement</x:v>
      </x:c>
      <x:c r="H144" s="14" t="n">
        <x:v>45</x:v>
      </x:c>
      <x:c r="I144" s="14" t="n">
        <x:v>240</x:v>
      </x:c>
      <x:c r="J144" s="14" t="n">
        <x:v>6</x:v>
      </x:c>
      <x:c r="K144" s="16" t="n">
        <x:v>0.7</x:v>
      </x:c>
      <x:c r="L144" s="16" t="n">
        <x:v>0.2</x:v>
      </x:c>
      <x:c r="M144" s="16" t="n">
        <x:v>0.03</x:v>
      </x:c>
      <x:c r="N144" s="16" t="n">
        <x:v>0.02</x:v>
      </x:c>
      <x:c r="O144" s="14" t="n">
        <x:v>0</x:v>
      </x:c>
      <x:c r="P144" s="17" t="n">
        <x:v>0.15</x:v>
      </x:c>
      <x:c r="Q144" s="14" t="n">
        <x:v>35</x:v>
      </x:c>
      <x:c r="R144" s="14" t="n">
        <x:v>0</x:v>
      </x:c>
      <x:c r="S144" s="16" t="n">
        <x:v>0</x:v>
      </x:c>
      <x:c r="T144" s="16" t="n">
        <x:v>0.3333333333333333</x:v>
      </x:c>
      <x:c r="U144" s="16" t="n">
        <x:v>0.03</x:v>
      </x:c>
      <x:c r="V144" s="16" t="n">
        <x:v>0</x:v>
      </x:c>
      <x:c r="W144" s="16" t="n">
        <x:v>0.029</x:v>
      </x:c>
      <x:c r="X144" s="17" t="n">
        <x:v>0.3</x:v>
      </x:c>
      <x:c r="Y144" s="17" t="n">
        <x:v>0.15</x:v>
      </x:c>
      <x:c r="Z144" s="14" t="n">
        <x:v>30</x:v>
      </x:c>
      <x:c r="AA144" s="16" t="n">
        <x:v>0.05</x:v>
      </x:c>
      <x:c r="AB144" s="14" t="n">
        <x:v>24</x:v>
      </x:c>
      <x:c r="AC144" s="14" t="n">
        <x:v>50</x:v>
      </x:c>
      <x:c r="AD144" s="14" t="n">
        <x:v>0</x:v>
      </x:c>
      <x:c r="AE144" s="14" t="n">
        <x:v>0</x:v>
      </x:c>
      <x:c r="AF144" s="14" t="n">
        <x:v>0</x:v>
      </x:c>
      <x:c r="AG144" s="24" t="str">
        <x:v>Low</x:v>
      </x:c>
      <x:c r="AH144" s="24" t="str">
        <x:v>Dot judgment; not approved price</x:v>
      </x:c>
      <x:c r="AI144" s="24" t="str">
        <x:v>Year 1 full-year target 240 order / engagement (20.0/month),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14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44" s="24" t="str">
        <x:v>Hypothetical in-year start after outstanding release, rights, provider or professional gates; no launch approval</x:v>
      </x:c>
      <x:c r="AL144" s="24" t="str">
        <x:v>https://chatgpt.com/c/6ab49ca5-0efc-83ea-a6bd-1782ba0c13e6</x:v>
      </x:c>
      <x:c r="AM144" s="27" t="n">
        <x:v>0.05</x:v>
      </x:c>
    </x:row>
    <x:row r="145" ht="48" hidden="0" customHeight="1">
      <x:c r="A145" s="1"/>
      <x:c r="B145" s="1"/>
      <x:c r="C145" s="1" t="str">
        <x:v>DOT-116</x:v>
      </x:c>
      <x:c r="D145" s="10" t="str">
        <x:v>Fiefé</x:v>
      </x:c>
      <x:c r="E145" s="10" t="str">
        <x:v>Scarves and accessories</x:v>
      </x:c>
      <x:c r="F145" s="10" t="str">
        <x:v>physical</x:v>
      </x:c>
      <x:c r="G145" s="10" t="str">
        <x:v>order / engagement</x:v>
      </x:c>
      <x:c r="H145" s="14" t="n">
        <x:v>450</x:v>
      </x:c>
      <x:c r="I145" s="14" t="n">
        <x:v>48</x:v>
      </x:c>
      <x:c r="J145" s="14" t="n">
        <x:v>6</x:v>
      </x:c>
      <x:c r="K145" s="16" t="n">
        <x:v>0.3</x:v>
      </x:c>
      <x:c r="L145" s="16" t="n">
        <x:v>0.12</x:v>
      </x:c>
      <x:c r="M145" s="16" t="n">
        <x:v>0.03</x:v>
      </x:c>
      <x:c r="N145" s="16" t="n">
        <x:v>0.02</x:v>
      </x:c>
      <x:c r="O145" s="14" t="n">
        <x:v>0</x:v>
      </x:c>
      <x:c r="P145" s="17" t="n">
        <x:v>0.5</x:v>
      </x:c>
      <x:c r="Q145" s="14" t="n">
        <x:v>50</x:v>
      </x:c>
      <x:c r="R145" s="14" t="n">
        <x:v>250</x:v>
      </x:c>
      <x:c r="S145" s="16" t="n">
        <x:v>0</x:v>
      </x:c>
      <x:c r="T145" s="16" t="n">
        <x:v>1</x:v>
      </x:c>
      <x:c r="U145" s="16" t="n">
        <x:v>0.03</x:v>
      </x:c>
      <x:c r="V145" s="16" t="n">
        <x:v>0.02</x:v>
      </x:c>
      <x:c r="W145" s="16" t="n">
        <x:v>0.029</x:v>
      </x:c>
      <x:c r="X145" s="17" t="n">
        <x:v>0.3</x:v>
      </x:c>
      <x:c r="Y145" s="17" t="n">
        <x:v>0.15</x:v>
      </x:c>
      <x:c r="Z145" s="14" t="n">
        <x:v>30</x:v>
      </x:c>
      <x:c r="AA145" s="16" t="n">
        <x:v>0.08</x:v>
      </x:c>
      <x:c r="AB145" s="14" t="n">
        <x:v>30</x:v>
      </x:c>
      <x:c r="AC145" s="14" t="n">
        <x:v>50</x:v>
      </x:c>
      <x:c r="AD145" s="14" t="n">
        <x:v>300</x:v>
      </x:c>
      <x:c r="AE145" s="14" t="n">
        <x:v>0</x:v>
      </x:c>
      <x:c r="AF145" s="14" t="n">
        <x:v>0</x:v>
      </x:c>
      <x:c r="AG145" s="24" t="str">
        <x:v>Low</x:v>
      </x:c>
      <x:c r="AH145" s="24" t="str">
        <x:v>Dot judgment; not approved price</x:v>
      </x:c>
      <x:c r="AI145" s="24" t="str">
        <x:v>Year 1 full-year target 48 order / engagement (4.0/month), prorated to operating months. Subsequent years retain 30% of prior units and add new demand equal to 70% of initial full-year units, growing 12% annually through Year 5, then 3%. Unvalidated acquisition hypothesis, not market evidence.</x:v>
      </x:c>
      <x:c r="AJ14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45" s="24" t="str">
        <x:v>Hypothetical in-year start after outstanding release, rights, provider or professional gates; no launch approval</x:v>
      </x:c>
      <x:c r="AL145" s="24" t="str">
        <x:v>https://chatgpt.com/c/6ab481bd-9488-83e9-97f5-5656b97d9182</x:v>
      </x:c>
      <x:c r="AM145" s="27" t="n">
        <x:v>0.03</x:v>
      </x:c>
    </x:row>
    <x:row r="146" ht="48" hidden="0" customHeight="1">
      <x:c r="A146" s="1"/>
      <x:c r="B146" s="1"/>
      <x:c r="C146" s="1" t="str">
        <x:v>DOT-117</x:v>
      </x:c>
      <x:c r="D146" s="10" t="str">
        <x:v>Fiefé</x:v>
      </x:c>
      <x:c r="E146" s="10" t="str">
        <x:v>Ties and menswear accessories</x:v>
      </x:c>
      <x:c r="F146" s="10" t="str">
        <x:v>physical</x:v>
      </x:c>
      <x:c r="G146" s="10" t="str">
        <x:v>order / engagement</x:v>
      </x:c>
      <x:c r="H146" s="14" t="n">
        <x:v>175</x:v>
      </x:c>
      <x:c r="I146" s="14" t="n">
        <x:v>60</x:v>
      </x:c>
      <x:c r="J146" s="14" t="n">
        <x:v>6</x:v>
      </x:c>
      <x:c r="K146" s="16" t="n">
        <x:v>0.3</x:v>
      </x:c>
      <x:c r="L146" s="16" t="n">
        <x:v>0.12</x:v>
      </x:c>
      <x:c r="M146" s="16" t="n">
        <x:v>0.03</x:v>
      </x:c>
      <x:c r="N146" s="16" t="n">
        <x:v>0.02</x:v>
      </x:c>
      <x:c r="O146" s="14" t="n">
        <x:v>0</x:v>
      </x:c>
      <x:c r="P146" s="17" t="n">
        <x:v>0.25</x:v>
      </x:c>
      <x:c r="Q146" s="14" t="n">
        <x:v>45</x:v>
      </x:c>
      <x:c r="R146" s="14" t="n">
        <x:v>80</x:v>
      </x:c>
      <x:c r="S146" s="16" t="n">
        <x:v>0</x:v>
      </x:c>
      <x:c r="T146" s="16" t="n">
        <x:v>1</x:v>
      </x:c>
      <x:c r="U146" s="16" t="n">
        <x:v>0.03</x:v>
      </x:c>
      <x:c r="V146" s="16" t="n">
        <x:v>0.02</x:v>
      </x:c>
      <x:c r="W146" s="16" t="n">
        <x:v>0.029</x:v>
      </x:c>
      <x:c r="X146" s="17" t="n">
        <x:v>0.3</x:v>
      </x:c>
      <x:c r="Y146" s="17" t="n">
        <x:v>0.15</x:v>
      </x:c>
      <x:c r="Z146" s="14" t="n">
        <x:v>30</x:v>
      </x:c>
      <x:c r="AA146" s="16" t="n">
        <x:v>0.08</x:v>
      </x:c>
      <x:c r="AB146" s="14" t="n">
        <x:v>12</x:v>
      </x:c>
      <x:c r="AC146" s="14" t="n">
        <x:v>50</x:v>
      </x:c>
      <x:c r="AD146" s="14" t="n">
        <x:v>150</x:v>
      </x:c>
      <x:c r="AE146" s="14" t="n">
        <x:v>0</x:v>
      </x:c>
      <x:c r="AF146" s="14" t="n">
        <x:v>0</x:v>
      </x:c>
      <x:c r="AG146" s="24" t="str">
        <x:v>Low</x:v>
      </x:c>
      <x:c r="AH146" s="24" t="str">
        <x:v>Dot judgment; not approved price</x:v>
      </x:c>
      <x:c r="AI146" s="24" t="str">
        <x:v>Year 1 full-year target 60 order / engagement (5.0/month), prorated to operating months. Subsequent years retain 30% of prior units and add new demand equal to 70% of initial full-year units, growing 12% annually through Year 5, then 3%. Unvalidated acquisition hypothesis, not market evidence.</x:v>
      </x:c>
      <x:c r="AJ14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46" s="24" t="str">
        <x:v>Hypothetical in-year start after outstanding release, rights, provider or professional gates; no launch approval</x:v>
      </x:c>
      <x:c r="AL146" s="24" t="str">
        <x:v>https://chatgpt.com/c/6ab481bd-9488-83e9-97f5-5656b97d9182</x:v>
      </x:c>
      <x:c r="AM146" s="27" t="n">
        <x:v>0.03</x:v>
      </x:c>
    </x:row>
    <x:row r="147" ht="48" hidden="0" customHeight="1">
      <x:c r="A147" s="1"/>
      <x:c r="B147" s="1"/>
      <x:c r="C147" s="1" t="str">
        <x:v>DOT-118</x:v>
      </x:c>
      <x:c r="D147" s="10" t="str">
        <x:v>Fiefé Design</x:v>
      </x:c>
      <x:c r="E147" s="10" t="str">
        <x:v>Private bespoke couture</x:v>
      </x:c>
      <x:c r="F147" s="10" t="str">
        <x:v>physical</x:v>
      </x:c>
      <x:c r="G147" s="10" t="str">
        <x:v>order / engagement</x:v>
      </x:c>
      <x:c r="H147" s="14" t="n">
        <x:v>2500</x:v>
      </x:c>
      <x:c r="I147" s="14" t="n">
        <x:v>8</x:v>
      </x:c>
      <x:c r="J147" s="14" t="n">
        <x:v>6</x:v>
      </x:c>
      <x:c r="K147" s="16" t="n">
        <x:v>0.3</x:v>
      </x:c>
      <x:c r="L147" s="16" t="n">
        <x:v>0.12</x:v>
      </x:c>
      <x:c r="M147" s="16" t="n">
        <x:v>0.03</x:v>
      </x:c>
      <x:c r="N147" s="16" t="n">
        <x:v>0.02</x:v>
      </x:c>
      <x:c r="O147" s="14" t="n">
        <x:v>0</x:v>
      </x:c>
      <x:c r="P147" s="17" t="n">
        <x:v>8</x:v>
      </x:c>
      <x:c r="Q147" s="14" t="n">
        <x:v>60</x:v>
      </x:c>
      <x:c r="R147" s="14" t="n">
        <x:v>900</x:v>
      </x:c>
      <x:c r="S147" s="16" t="n">
        <x:v>0</x:v>
      </x:c>
      <x:c r="T147" s="16" t="n">
        <x:v>1</x:v>
      </x:c>
      <x:c r="U147" s="16" t="n">
        <x:v>0.03</x:v>
      </x:c>
      <x:c r="V147" s="16" t="n">
        <x:v>0.02</x:v>
      </x:c>
      <x:c r="W147" s="16" t="n">
        <x:v>0.029</x:v>
      </x:c>
      <x:c r="X147" s="17" t="n">
        <x:v>0.3</x:v>
      </x:c>
      <x:c r="Y147" s="17" t="n">
        <x:v>0.15</x:v>
      </x:c>
      <x:c r="Z147" s="14" t="n">
        <x:v>30</x:v>
      </x:c>
      <x:c r="AA147" s="16" t="n">
        <x:v>0.08</x:v>
      </x:c>
      <x:c r="AB147" s="14" t="n">
        <x:v>30</x:v>
      </x:c>
      <x:c r="AC147" s="14" t="n">
        <x:v>50</x:v>
      </x:c>
      <x:c r="AD147" s="14" t="n">
        <x:v>500</x:v>
      </x:c>
      <x:c r="AE147" s="14" t="n">
        <x:v>0</x:v>
      </x:c>
      <x:c r="AF147" s="14" t="n">
        <x:v>0</x:v>
      </x:c>
      <x:c r="AG147" s="24" t="str">
        <x:v>Low</x:v>
      </x:c>
      <x:c r="AH147" s="24" t="str">
        <x:v>Dot judgment; not approved price</x:v>
      </x:c>
      <x:c r="AI147" s="24" t="str">
        <x:v>Year 1 full-year target 8 order / engagement (0.7/month), prorated to operating months. Subsequent years retain 30% of prior units and add new demand equal to 70% of initial full-year units, growing 12% annually through Year 5, then 3%. Unvalidated acquisition hypothesis, not market evidence.</x:v>
      </x:c>
      <x:c r="AJ14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47" s="24" t="str">
        <x:v>Hypothetical in-year start after outstanding release, rights, provider or professional gates; no launch approval</x:v>
      </x:c>
      <x:c r="AL147" s="24" t="str">
        <x:v>https://chatgpt.com/c/6ab481bd-9488-83e9-97f5-5656b97d9182</x:v>
      </x:c>
      <x:c r="AM147" s="27" t="n">
        <x:v>0.03</x:v>
      </x:c>
    </x:row>
    <x:row r="148" ht="48" hidden="0" customHeight="1">
      <x:c r="A148" s="1"/>
      <x:c r="B148" s="1"/>
      <x:c r="C148" s="1" t="str">
        <x:v>DOT-119</x:v>
      </x:c>
      <x:c r="D148" s="10" t="str">
        <x:v>OsezArt</x:v>
      </x:c>
      <x:c r="E148" s="10" t="str">
        <x:v>Artwork brokerage commission</x:v>
      </x:c>
      <x:c r="F148" s="10" t="str">
        <x:v>platform</x:v>
      </x:c>
      <x:c r="G148" s="10" t="str">
        <x:v>order / engagement</x:v>
      </x:c>
      <x:c r="H148" s="14" t="n">
        <x:v>5000</x:v>
      </x:c>
      <x:c r="I148" s="14" t="n">
        <x:v>12</x:v>
      </x:c>
      <x:c r="J148" s="14" t="n">
        <x:v>6</x:v>
      </x:c>
      <x:c r="K148" s="16" t="n">
        <x:v>0.7</x:v>
      </x:c>
      <x:c r="L148" s="16" t="n">
        <x:v>0.2</x:v>
      </x:c>
      <x:c r="M148" s="16" t="n">
        <x:v>0.03</x:v>
      </x:c>
      <x:c r="N148" s="16" t="n">
        <x:v>0.02</x:v>
      </x:c>
      <x:c r="O148" s="14" t="n">
        <x:v>0</x:v>
      </x:c>
      <x:c r="P148" s="17" t="n">
        <x:v>4</x:v>
      </x:c>
      <x:c r="Q148" s="14" t="n">
        <x:v>60</x:v>
      </x:c>
      <x:c r="R148" s="14" t="n">
        <x:v>0</x:v>
      </x:c>
      <x:c r="S148" s="16" t="n">
        <x:v>0</x:v>
      </x:c>
      <x:c r="T148" s="16" t="n">
        <x:v>0.2</x:v>
      </x:c>
      <x:c r="U148" s="16" t="n">
        <x:v>0.03</x:v>
      </x:c>
      <x:c r="V148" s="16" t="n">
        <x:v>0</x:v>
      </x:c>
      <x:c r="W148" s="16" t="n">
        <x:v>0.029</x:v>
      </x:c>
      <x:c r="X148" s="17" t="n">
        <x:v>0.3</x:v>
      </x:c>
      <x:c r="Y148" s="17" t="n">
        <x:v>0.15</x:v>
      </x:c>
      <x:c r="Z148" s="14" t="n">
        <x:v>30</x:v>
      </x:c>
      <x:c r="AA148" s="16" t="n">
        <x:v>0.05</x:v>
      </x:c>
      <x:c r="AB148" s="14" t="n">
        <x:v>40</x:v>
      </x:c>
      <x:c r="AC148" s="14" t="n">
        <x:v>50</x:v>
      </x:c>
      <x:c r="AD148" s="14" t="n">
        <x:v>0</x:v>
      </x:c>
      <x:c r="AE148" s="14" t="n">
        <x:v>0</x:v>
      </x:c>
      <x:c r="AF148" s="14" t="n">
        <x:v>0</x:v>
      </x:c>
      <x:c r="AG148" s="24" t="str">
        <x:v>Low</x:v>
      </x:c>
      <x:c r="AH148" s="24" t="str">
        <x:v>Dot judgment; not approved price</x:v>
      </x:c>
      <x:c r="AI148" s="24" t="str">
        <x:v>Year 1 full-year target 12 order / engagement (1.0/month), prorated to operating months. Subsequent years retain 70% of prior units and add new demand equal to 30% of initial full-year units, growing 20% annually through Year 5, then 3%. Unvalidated acquisition hypothesis, not market evidence.</x:v>
      </x:c>
      <x:c r="AJ14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48" s="24" t="str">
        <x:v>Hypothetical in-year start after outstanding release, rights, provider or professional gates; no launch approval</x:v>
      </x:c>
      <x:c r="AL148" s="24" t="str">
        <x:v>https://chatgpt.com/c/6abed1e8-a540-83e9-bf0c-14e43009a730</x:v>
      </x:c>
      <x:c r="AM148" s="27" t="n">
        <x:v>0.05</x:v>
      </x:c>
    </x:row>
    <x:row r="149" ht="48" hidden="0" customHeight="1">
      <x:c r="A149" s="1"/>
      <x:c r="B149" s="1"/>
      <x:c r="C149" s="1" t="str">
        <x:v>DOT-120</x:v>
      </x:c>
      <x:c r="D149" s="10" t="str">
        <x:v>OsezArt</x:v>
      </x:c>
      <x:c r="E149" s="10" t="str">
        <x:v>Institutional education and training</x:v>
      </x:c>
      <x:c r="F149" s="10" t="str">
        <x:v>professional</x:v>
      </x:c>
      <x:c r="G149" s="10" t="str">
        <x:v>order / engagement</x:v>
      </x:c>
      <x:c r="H149" s="14" t="n">
        <x:v>5000</x:v>
      </x:c>
      <x:c r="I149" s="14" t="n">
        <x:v>6</x:v>
      </x:c>
      <x:c r="J149" s="14" t="n">
        <x:v>9</x:v>
      </x:c>
      <x:c r="K149" s="16" t="n">
        <x:v>0.5</x:v>
      </x:c>
      <x:c r="L149" s="16" t="n">
        <x:v>0.1</x:v>
      </x:c>
      <x:c r="M149" s="16" t="n">
        <x:v>0.03</x:v>
      </x:c>
      <x:c r="N149" s="16" t="n">
        <x:v>0.02</x:v>
      </x:c>
      <x:c r="O149" s="14" t="n">
        <x:v>0</x:v>
      </x:c>
      <x:c r="P149" s="17" t="n">
        <x:v>30</x:v>
      </x:c>
      <x:c r="Q149" s="14" t="n">
        <x:v>65</x:v>
      </x:c>
      <x:c r="R149" s="14" t="n">
        <x:v>250</x:v>
      </x:c>
      <x:c r="S149" s="16" t="n">
        <x:v>0</x:v>
      </x:c>
      <x:c r="T149" s="16" t="n">
        <x:v>1</x:v>
      </x:c>
      <x:c r="U149" s="16" t="n">
        <x:v>0.03</x:v>
      </x:c>
      <x:c r="V149" s="16" t="n">
        <x:v>0</x:v>
      </x:c>
      <x:c r="W149" s="16" t="n">
        <x:v>0.029</x:v>
      </x:c>
      <x:c r="X149" s="17" t="n">
        <x:v>0.3</x:v>
      </x:c>
      <x:c r="Y149" s="17" t="n">
        <x:v>0.25</x:v>
      </x:c>
      <x:c r="Z149" s="14" t="n">
        <x:v>30</x:v>
      </x:c>
      <x:c r="AA149" s="16" t="n">
        <x:v>0.04</x:v>
      </x:c>
      <x:c r="AB149" s="14" t="n">
        <x:v>60</x:v>
      </x:c>
      <x:c r="AC149" s="14" t="n">
        <x:v>50</x:v>
      </x:c>
      <x:c r="AD149" s="14" t="n">
        <x:v>0</x:v>
      </x:c>
      <x:c r="AE149" s="14" t="n">
        <x:v>0</x:v>
      </x:c>
      <x:c r="AF149" s="14" t="n">
        <x:v>1</x:v>
      </x:c>
      <x:c r="AG149" s="24" t="str">
        <x:v>Low</x:v>
      </x:c>
      <x:c r="AH149" s="24" t="str">
        <x:v>Dot judgment; not approved price</x:v>
      </x:c>
      <x:c r="AI149" s="24" t="str">
        <x:v>Year 1 full-year target 6 order / engagement (0.5/month),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14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49" s="24" t="str">
        <x:v>Hypothetical in-year start after outstanding release, rights, provider or professional gates; no launch approval</x:v>
      </x:c>
      <x:c r="AL149" s="24" t="str">
        <x:v>https://chatgpt.com/c/6abed1e8-a540-83e9-bf0c-14e43009a730</x:v>
      </x:c>
      <x:c r="AM149" s="27" t="n">
        <x:v>0.2</x:v>
      </x:c>
    </x:row>
    <x:row r="150" ht="48" hidden="0" customHeight="1">
      <x:c r="A150" s="1"/>
      <x:c r="B150" s="1"/>
      <x:c r="C150" s="1" t="str">
        <x:v>DOT-121</x:v>
      </x:c>
      <x:c r="D150" s="10" t="str">
        <x:v>OsezArt</x:v>
      </x:c>
      <x:c r="E150" s="10" t="str">
        <x:v>Exhibition and installation advisory</x:v>
      </x:c>
      <x:c r="F150" s="10" t="str">
        <x:v>professional</x:v>
      </x:c>
      <x:c r="G150" s="10" t="str">
        <x:v>order / engagement</x:v>
      </x:c>
      <x:c r="H150" s="14" t="n">
        <x:v>3000</x:v>
      </x:c>
      <x:c r="I150" s="14" t="n">
        <x:v>6</x:v>
      </x:c>
      <x:c r="J150" s="14" t="n">
        <x:v>6</x:v>
      </x:c>
      <x:c r="K150" s="16" t="n">
        <x:v>0.5</x:v>
      </x:c>
      <x:c r="L150" s="16" t="n">
        <x:v>0.1</x:v>
      </x:c>
      <x:c r="M150" s="16" t="n">
        <x:v>0.03</x:v>
      </x:c>
      <x:c r="N150" s="16" t="n">
        <x:v>0.02</x:v>
      </x:c>
      <x:c r="O150" s="14" t="n">
        <x:v>0</x:v>
      </x:c>
      <x:c r="P150" s="17" t="n">
        <x:v>18</x:v>
      </x:c>
      <x:c r="Q150" s="14" t="n">
        <x:v>65</x:v>
      </x:c>
      <x:c r="R150" s="14" t="n">
        <x:v>200</x:v>
      </x:c>
      <x:c r="S150" s="16" t="n">
        <x:v>0</x:v>
      </x:c>
      <x:c r="T150" s="16" t="n">
        <x:v>1</x:v>
      </x:c>
      <x:c r="U150" s="16" t="n">
        <x:v>0.03</x:v>
      </x:c>
      <x:c r="V150" s="16" t="n">
        <x:v>0</x:v>
      </x:c>
      <x:c r="W150" s="16" t="n">
        <x:v>0.029</x:v>
      </x:c>
      <x:c r="X150" s="17" t="n">
        <x:v>0.3</x:v>
      </x:c>
      <x:c r="Y150" s="17" t="n">
        <x:v>0.25</x:v>
      </x:c>
      <x:c r="Z150" s="14" t="n">
        <x:v>30</x:v>
      </x:c>
      <x:c r="AA150" s="16" t="n">
        <x:v>0.04</x:v>
      </x:c>
      <x:c r="AB150" s="14" t="n">
        <x:v>24</x:v>
      </x:c>
      <x:c r="AC150" s="14" t="n">
        <x:v>50</x:v>
      </x:c>
      <x:c r="AD150" s="14" t="n">
        <x:v>0</x:v>
      </x:c>
      <x:c r="AE150" s="14" t="n">
        <x:v>0</x:v>
      </x:c>
      <x:c r="AF150" s="14" t="n">
        <x:v>1</x:v>
      </x:c>
      <x:c r="AG150" s="24" t="str">
        <x:v>Low</x:v>
      </x:c>
      <x:c r="AH150" s="24" t="str">
        <x:v>Dot judgment; not approved price</x:v>
      </x:c>
      <x:c r="AI150" s="24" t="str">
        <x:v>Year 1 full-year target 6 order / engagement (0.5/month),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15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50" s="24" t="str">
        <x:v>Hypothetical in-year start after outstanding release, rights, provider or professional gates; no launch approval</x:v>
      </x:c>
      <x:c r="AL150" s="24" t="str">
        <x:v>https://chatgpt.com/c/6abed1e8-a540-83e9-bf0c-14e43009a730</x:v>
      </x:c>
      <x:c r="AM150" s="27" t="n">
        <x:v>0.2</x:v>
      </x:c>
    </x:row>
    <x:row r="151" ht="48" hidden="0" customHeight="1">
      <x:c r="A151" s="1"/>
      <x:c r="B151" s="1"/>
      <x:c r="C151" s="1" t="str">
        <x:v>DOT-122</x:v>
      </x:c>
      <x:c r="D151" s="10" t="str">
        <x:v>OsezArt</x:v>
      </x:c>
      <x:c r="E151" s="10" t="str">
        <x:v>Museum-development consulting</x:v>
      </x:c>
      <x:c r="F151" s="10" t="str">
        <x:v>professional</x:v>
      </x:c>
      <x:c r="G151" s="10" t="str">
        <x:v>order / engagement</x:v>
      </x:c>
      <x:c r="H151" s="14" t="n">
        <x:v>10000</x:v>
      </x:c>
      <x:c r="I151" s="14" t="n">
        <x:v>2</x:v>
      </x:c>
      <x:c r="J151" s="14" t="n">
        <x:v>6</x:v>
      </x:c>
      <x:c r="K151" s="16" t="n">
        <x:v>0.5</x:v>
      </x:c>
      <x:c r="L151" s="16" t="n">
        <x:v>0.1</x:v>
      </x:c>
      <x:c r="M151" s="16" t="n">
        <x:v>0.03</x:v>
      </x:c>
      <x:c r="N151" s="16" t="n">
        <x:v>0.02</x:v>
      </x:c>
      <x:c r="O151" s="14" t="n">
        <x:v>0</x:v>
      </x:c>
      <x:c r="P151" s="17" t="n">
        <x:v>60</x:v>
      </x:c>
      <x:c r="Q151" s="14" t="n">
        <x:v>65</x:v>
      </x:c>
      <x:c r="R151" s="14" t="n">
        <x:v>500</x:v>
      </x:c>
      <x:c r="S151" s="16" t="n">
        <x:v>0</x:v>
      </x:c>
      <x:c r="T151" s="16" t="n">
        <x:v>1</x:v>
      </x:c>
      <x:c r="U151" s="16" t="n">
        <x:v>0.03</x:v>
      </x:c>
      <x:c r="V151" s="16" t="n">
        <x:v>0</x:v>
      </x:c>
      <x:c r="W151" s="16" t="n">
        <x:v>0.029</x:v>
      </x:c>
      <x:c r="X151" s="17" t="n">
        <x:v>0.3</x:v>
      </x:c>
      <x:c r="Y151" s="17" t="n">
        <x:v>0.25</x:v>
      </x:c>
      <x:c r="Z151" s="14" t="n">
        <x:v>30</x:v>
      </x:c>
      <x:c r="AA151" s="16" t="n">
        <x:v>0.04</x:v>
      </x:c>
      <x:c r="AB151" s="14" t="n">
        <x:v>40</x:v>
      </x:c>
      <x:c r="AC151" s="14" t="n">
        <x:v>50</x:v>
      </x:c>
      <x:c r="AD151" s="14" t="n">
        <x:v>0</x:v>
      </x:c>
      <x:c r="AE151" s="14" t="n">
        <x:v>0</x:v>
      </x:c>
      <x:c r="AF151" s="14" t="n">
        <x:v>1</x:v>
      </x:c>
      <x:c r="AG151" s="24" t="str">
        <x:v>Low</x:v>
      </x:c>
      <x:c r="AH151" s="24" t="str">
        <x:v>Dot judgment; not approved price</x:v>
      </x:c>
      <x:c r="AI151" s="24" t="str">
        <x:v>Year 1 full-year target 2 order / engagement (0.2/month),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15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51" s="24" t="str">
        <x:v>Hypothetical in-year start after outstanding release, rights, provider or professional gates; no launch approval</x:v>
      </x:c>
      <x:c r="AL151" s="24" t="str">
        <x:v>https://chatgpt.com/c/6abed1e8-a540-83e9-bf0c-14e43009a730</x:v>
      </x:c>
      <x:c r="AM151" s="27" t="n">
        <x:v>0.2</x:v>
      </x:c>
    </x:row>
    <x:row r="152" ht="48" hidden="0" customHeight="1">
      <x:c r="A152" s="1"/>
      <x:c r="B152" s="1"/>
      <x:c r="C152" s="1" t="str">
        <x:v>DOT-123</x:v>
      </x:c>
      <x:c r="D152" s="10" t="str">
        <x:v>FinBot research</x:v>
      </x:c>
      <x:c r="E152" s="10" t="str">
        <x:v>Cleared information subscription, conditional</x:v>
      </x:c>
      <x:c r="F152" s="10" t="str">
        <x:v>digital</x:v>
      </x:c>
      <x:c r="G152" s="10" t="str">
        <x:v>customer-month</x:v>
      </x:c>
      <x:c r="H152" s="14" t="n">
        <x:v>29</x:v>
      </x:c>
      <x:c r="I152" s="14" t="n">
        <x:v>120</x:v>
      </x:c>
      <x:c r="J152" s="14" t="n">
        <x:v>6</x:v>
      </x:c>
      <x:c r="K152" s="16" t="n">
        <x:v>0.25</x:v>
      </x:c>
      <x:c r="L152" s="16" t="n">
        <x:v>0.15</x:v>
      </x:c>
      <x:c r="M152" s="16" t="n">
        <x:v>0.03</x:v>
      </x:c>
      <x:c r="N152" s="16" t="n">
        <x:v>0.02</x:v>
      </x:c>
      <x:c r="O152" s="14" t="n">
        <x:v>0</x:v>
      </x:c>
      <x:c r="P152" s="17" t="n">
        <x:v>0.2</x:v>
      </x:c>
      <x:c r="Q152" s="14" t="n">
        <x:v>45</x:v>
      </x:c>
      <x:c r="R152" s="14" t="n">
        <x:v>0</x:v>
      </x:c>
      <x:c r="S152" s="16" t="n">
        <x:v>0</x:v>
      </x:c>
      <x:c r="T152" s="16" t="n">
        <x:v>1</x:v>
      </x:c>
      <x:c r="U152" s="16" t="n">
        <x:v>0.03</x:v>
      </x:c>
      <x:c r="V152" s="16" t="n">
        <x:v>0</x:v>
      </x:c>
      <x:c r="W152" s="16" t="n">
        <x:v>0.029</x:v>
      </x:c>
      <x:c r="X152" s="17" t="n">
        <x:v>0.3</x:v>
      </x:c>
      <x:c r="Y152" s="17" t="n">
        <x:v>0.1</x:v>
      </x:c>
      <x:c r="Z152" s="14" t="n">
        <x:v>30</x:v>
      </x:c>
      <x:c r="AA152" s="16" t="n">
        <x:v>0.05</x:v>
      </x:c>
      <x:c r="AB152" s="14" t="n">
        <x:v>40</x:v>
      </x:c>
      <x:c r="AC152" s="14" t="n">
        <x:v>50</x:v>
      </x:c>
      <x:c r="AD152" s="14" t="n">
        <x:v>0</x:v>
      </x:c>
      <x:c r="AE152" s="14" t="n">
        <x:v>240</x:v>
      </x:c>
      <x:c r="AF152" s="14" t="n">
        <x:v>0</x:v>
      </x:c>
      <x:c r="AG152" s="24" t="str">
        <x:v>Low</x:v>
      </x:c>
      <x:c r="AH152" s="24" t="str">
        <x:v>Dot judgment; not approved price</x:v>
      </x:c>
      <x:c r="AI152" s="24" t="str">
        <x:v>Year 1 full-year target 120 customer-month (10.0/month),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15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52" s="24" t="str">
        <x:v>Hypothetical in-year start after outstanding release, rights, provider or professional gates; no launch approval</x:v>
      </x:c>
      <x:c r="AL152" s="24" t="str">
        <x:v>https://chatgpt.com/c/6acfe325-dc14-83e9-b885-d3852dccf066
https://chatgpt.com/c/6ac233f7-5970-83ea-9365-e75a2d0cac7f</x:v>
      </x:c>
      <x:c r="AM152" s="27" t="n">
        <x:v>0.05</x:v>
      </x:c>
    </x:row>
    <x:row r="153" ht="48" hidden="0" customHeight="1">
      <x:c r="A153" s="1"/>
      <x:c r="B153" s="1"/>
      <x:c r="C153" s="1" t="str">
        <x:v>DOT-124</x:v>
      </x:c>
      <x:c r="D153" s="10" t="str">
        <x:v>Functional Analysis</x:v>
      </x:c>
      <x:c r="E153" s="10" t="str">
        <x:v>Personal reflection license</x:v>
      </x:c>
      <x:c r="F153" s="10" t="str">
        <x:v>digital</x:v>
      </x:c>
      <x:c r="G153" s="10" t="str">
        <x:v>order / engagement</x:v>
      </x:c>
      <x:c r="H153" s="14" t="n">
        <x:v>19</x:v>
      </x:c>
      <x:c r="I153" s="14" t="n">
        <x:v>240</x:v>
      </x:c>
      <x:c r="J153" s="14" t="n">
        <x:v>6</x:v>
      </x:c>
      <x:c r="K153" s="16" t="n">
        <x:v>0.25</x:v>
      </x:c>
      <x:c r="L153" s="16" t="n">
        <x:v>0.15</x:v>
      </x:c>
      <x:c r="M153" s="16" t="n">
        <x:v>0.03</x:v>
      </x:c>
      <x:c r="N153" s="16" t="n">
        <x:v>0.02</x:v>
      </x:c>
      <x:c r="O153" s="14" t="n">
        <x:v>0</x:v>
      </x:c>
      <x:c r="P153" s="17" t="n">
        <x:v>0.1</x:v>
      </x:c>
      <x:c r="Q153" s="14" t="n">
        <x:v>35</x:v>
      </x:c>
      <x:c r="R153" s="14" t="n">
        <x:v>0</x:v>
      </x:c>
      <x:c r="S153" s="16" t="n">
        <x:v>0</x:v>
      </x:c>
      <x:c r="T153" s="16" t="n">
        <x:v>1</x:v>
      </x:c>
      <x:c r="U153" s="16" t="n">
        <x:v>0.03</x:v>
      </x:c>
      <x:c r="V153" s="16" t="n">
        <x:v>0</x:v>
      </x:c>
      <x:c r="W153" s="16" t="n">
        <x:v>0.029</x:v>
      </x:c>
      <x:c r="X153" s="17" t="n">
        <x:v>0.3</x:v>
      </x:c>
      <x:c r="Y153" s="17" t="n">
        <x:v>0.1</x:v>
      </x:c>
      <x:c r="Z153" s="14" t="n">
        <x:v>30</x:v>
      </x:c>
      <x:c r="AA153" s="16" t="n">
        <x:v>0.05</x:v>
      </x:c>
      <x:c r="AB153" s="14" t="n">
        <x:v>20</x:v>
      </x:c>
      <x:c r="AC153" s="14" t="n">
        <x:v>50</x:v>
      </x:c>
      <x:c r="AD153" s="14" t="n">
        <x:v>0</x:v>
      </x:c>
      <x:c r="AE153" s="14" t="n">
        <x:v>0</x:v>
      </x:c>
      <x:c r="AF153" s="14" t="n">
        <x:v>0</x:v>
      </x:c>
      <x:c r="AG153" s="24" t="str">
        <x:v>Low</x:v>
      </x:c>
      <x:c r="AH153" s="24" t="str">
        <x:v>Dot judgment; not approved price</x:v>
      </x:c>
      <x:c r="AI153" s="24" t="str">
        <x:v>Year 1 full-year target 240 order / engagement (20.0/month),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15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53" s="24" t="str">
        <x:v>Hypothetical in-year start after outstanding release, rights, provider or professional gates; no launch approval</x:v>
      </x:c>
      <x:c r="AL153" s="24" t="str">
        <x:v>https://chatgpt.com/c/6ab8c3f7-d7d4-83ea-a177-731a3320268e</x:v>
      </x:c>
      <x:c r="AM153" s="27" t="n">
        <x:v>0.05</x:v>
      </x:c>
    </x:row>
    <x:row r="154" ht="48" hidden="0" customHeight="1">
      <x:c r="A154" s="1"/>
      <x:c r="B154" s="1"/>
      <x:c r="C154" s="1" t="str">
        <x:v>DOT-125</x:v>
      </x:c>
      <x:c r="D154" s="10" t="str">
        <x:v>Functional Analysis</x:v>
      </x:c>
      <x:c r="E154" s="10" t="str">
        <x:v>Facilitated reflection and export</x:v>
      </x:c>
      <x:c r="F154" s="10" t="str">
        <x:v>professional</x:v>
      </x:c>
      <x:c r="G154" s="10" t="str">
        <x:v>order / engagement</x:v>
      </x:c>
      <x:c r="H154" s="14" t="n">
        <x:v>99</x:v>
      </x:c>
      <x:c r="I154" s="14" t="n">
        <x:v>36</x:v>
      </x:c>
      <x:c r="J154" s="14" t="n">
        <x:v>6</x:v>
      </x:c>
      <x:c r="K154" s="16" t="n">
        <x:v>0.5</x:v>
      </x:c>
      <x:c r="L154" s="16" t="n">
        <x:v>0.1</x:v>
      </x:c>
      <x:c r="M154" s="16" t="n">
        <x:v>0.03</x:v>
      </x:c>
      <x:c r="N154" s="16" t="n">
        <x:v>0.02</x:v>
      </x:c>
      <x:c r="O154" s="14" t="n">
        <x:v>0</x:v>
      </x:c>
      <x:c r="P154" s="17" t="n">
        <x:v>1</x:v>
      </x:c>
      <x:c r="Q154" s="14" t="n">
        <x:v>40</x:v>
      </x:c>
      <x:c r="R154" s="14" t="n">
        <x:v>0</x:v>
      </x:c>
      <x:c r="S154" s="16" t="n">
        <x:v>0</x:v>
      </x:c>
      <x:c r="T154" s="16" t="n">
        <x:v>1</x:v>
      </x:c>
      <x:c r="U154" s="16" t="n">
        <x:v>0.03</x:v>
      </x:c>
      <x:c r="V154" s="16" t="n">
        <x:v>0</x:v>
      </x:c>
      <x:c r="W154" s="16" t="n">
        <x:v>0.029</x:v>
      </x:c>
      <x:c r="X154" s="17" t="n">
        <x:v>0.3</x:v>
      </x:c>
      <x:c r="Y154" s="17" t="n">
        <x:v>0.25</x:v>
      </x:c>
      <x:c r="Z154" s="14" t="n">
        <x:v>30</x:v>
      </x:c>
      <x:c r="AA154" s="16" t="n">
        <x:v>0.04</x:v>
      </x:c>
      <x:c r="AB154" s="14" t="n">
        <x:v>12</x:v>
      </x:c>
      <x:c r="AC154" s="14" t="n">
        <x:v>50</x:v>
      </x:c>
      <x:c r="AD154" s="14" t="n">
        <x:v>0</x:v>
      </x:c>
      <x:c r="AE154" s="14" t="n">
        <x:v>0</x:v>
      </x:c>
      <x:c r="AF154" s="14" t="n">
        <x:v>1</x:v>
      </x:c>
      <x:c r="AG154" s="24" t="str">
        <x:v>Low</x:v>
      </x:c>
      <x:c r="AH154" s="24" t="str">
        <x:v>Dot judgment; not approved price</x:v>
      </x:c>
      <x:c r="AI154" s="24" t="str">
        <x:v>Year 1 full-year target 36 order / engagement (3.0/month), prorated to operating months. Subsequent years retain 50% of prior units and add new demand equal to 50% of initial full-year units, growing 10% annually through Year 5, then 3%. Unvalidated acquisition hypothesis, not market evidence.</x:v>
      </x:c>
      <x:c r="AJ15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54" s="24" t="str">
        <x:v>Hypothetical in-year start after outstanding release, rights, provider or professional gates; no launch approval</x:v>
      </x:c>
      <x:c r="AL154" s="24" t="str">
        <x:v>https://chatgpt.com/c/6ab8c3f7-d7d4-83ea-a177-731a3320268e</x:v>
      </x:c>
      <x:c r="AM154" s="27" t="n">
        <x:v>0.2</x:v>
      </x:c>
    </x:row>
    <x:row r="155" ht="48" hidden="0" customHeight="1">
      <x:c r="A155" s="1"/>
      <x:c r="B155" s="1"/>
      <x:c r="C155" s="1" t="str">
        <x:v>DOT-126</x:v>
      </x:c>
      <x:c r="D155" s="10" t="str">
        <x:v>Independent candy game</x:v>
      </x:c>
      <x:c r="E155" s="10" t="str">
        <x:v>Independent consumer access</x:v>
      </x:c>
      <x:c r="F155" s="10" t="str">
        <x:v>digital</x:v>
      </x:c>
      <x:c r="G155" s="10" t="str">
        <x:v>order / engagement</x:v>
      </x:c>
      <x:c r="H155" s="14" t="n">
        <x:v>4.99</x:v>
      </x:c>
      <x:c r="I155" s="14" t="n">
        <x:v>600</x:v>
      </x:c>
      <x:c r="J155" s="14" t="n">
        <x:v>6</x:v>
      </x:c>
      <x:c r="K155" s="16" t="n">
        <x:v>0.25</x:v>
      </x:c>
      <x:c r="L155" s="16" t="n">
        <x:v>0.15</x:v>
      </x:c>
      <x:c r="M155" s="16" t="n">
        <x:v>0.03</x:v>
      </x:c>
      <x:c r="N155" s="16" t="n">
        <x:v>0.02</x:v>
      </x:c>
      <x:c r="O155" s="14" t="n">
        <x:v>0</x:v>
      </x:c>
      <x:c r="P155" s="17" t="n">
        <x:v>0.02</x:v>
      </x:c>
      <x:c r="Q155" s="14" t="n">
        <x:v>35</x:v>
      </x:c>
      <x:c r="R155" s="14" t="n">
        <x:v>0</x:v>
      </x:c>
      <x:c r="S155" s="16" t="n">
        <x:v>0</x:v>
      </x:c>
      <x:c r="T155" s="16" t="n">
        <x:v>1</x:v>
      </x:c>
      <x:c r="U155" s="16" t="n">
        <x:v>0.03</x:v>
      </x:c>
      <x:c r="V155" s="16" t="n">
        <x:v>0</x:v>
      </x:c>
      <x:c r="W155" s="16" t="n">
        <x:v>0.029</x:v>
      </x:c>
      <x:c r="X155" s="17" t="n">
        <x:v>0.3</x:v>
      </x:c>
      <x:c r="Y155" s="17" t="n">
        <x:v>0.1</x:v>
      </x:c>
      <x:c r="Z155" s="14" t="n">
        <x:v>30</x:v>
      </x:c>
      <x:c r="AA155" s="16" t="n">
        <x:v>0.05</x:v>
      </x:c>
      <x:c r="AB155" s="14" t="n">
        <x:v>40</x:v>
      </x:c>
      <x:c r="AC155" s="14" t="n">
        <x:v>50</x:v>
      </x:c>
      <x:c r="AD155" s="14" t="n">
        <x:v>0</x:v>
      </x:c>
      <x:c r="AE155" s="14" t="n">
        <x:v>0</x:v>
      </x:c>
      <x:c r="AF155" s="14" t="n">
        <x:v>0</x:v>
      </x:c>
      <x:c r="AG155" s="24" t="str">
        <x:v>Low</x:v>
      </x:c>
      <x:c r="AH155" s="24" t="str">
        <x:v>Dot judgment; not approved price</x:v>
      </x:c>
      <x:c r="AI155" s="24" t="str">
        <x:v>Year 1 full-year target 600 order / engagement (50.0/month), prorated to operating months. Subsequent years retain 25% of prior units and add new demand equal to 75% of initial full-year units, growing 15% annually through Year 5, then 3%. Unvalidated acquisition hypothesis, not market evidence.</x:v>
      </x:c>
      <x:c r="AJ15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55" s="24" t="str">
        <x:v>Hypothetical in-year start after outstanding release, rights, provider or professional gates; no launch approval</x:v>
      </x:c>
      <x:c r="AL155" s="24" t="str">
        <x:v>https://chatgpt.com/c/6ab8c3f7-d7d4-83ea-a177-731a3320268e</x:v>
      </x:c>
      <x:c r="AM155" s="27" t="n">
        <x:v>0.05</x:v>
      </x:c>
    </x:row>
    <x:row r="156" ht="36" hidden="0" customHeight="1">
      <x:c r="A156" s="1"/>
      <x:c r="B156" s="1"/>
      <x:c r="C156" s="1" t="str">
        <x:v>DOT-127</x:v>
      </x:c>
      <x:c r="D156" s="10" t="str">
        <x:v>Learn Anglais</x:v>
      </x:c>
      <x:c r="E156" s="10" t="str">
        <x:v>Adult conversation, 30 minutes</x:v>
      </x:c>
      <x:c r="F156" s="10" t="str">
        <x:v>platform</x:v>
      </x:c>
      <x:c r="G156" s="10" t="str">
        <x:v>30-minute session</x:v>
      </x:c>
      <x:c r="H156" s="14" t="n">
        <x:v>24</x:v>
      </x:c>
      <x:c r="I156" s="14" t="n">
        <x:v>300</x:v>
      </x:c>
      <x:c r="J156" s="14" t="n">
        <x:v>9</x:v>
      </x:c>
      <x:c r="K156" s="16" t="n">
        <x:v>0.7</x:v>
      </x:c>
      <x:c r="L156" s="16" t="n">
        <x:v>0.2</x:v>
      </x:c>
      <x:c r="M156" s="16" t="n">
        <x:v>0.03</x:v>
      </x:c>
      <x:c r="N156" s="16" t="n">
        <x:v>0.02</x:v>
      </x:c>
      <x:c r="O156" s="14" t="n">
        <x:v>0</x:v>
      </x:c>
      <x:c r="P156" s="17" t="n">
        <x:v>0.1</x:v>
      </x:c>
      <x:c r="Q156" s="14" t="n">
        <x:v>35</x:v>
      </x:c>
      <x:c r="R156" s="14" t="n">
        <x:v>0</x:v>
      </x:c>
      <x:c r="S156" s="16" t="n">
        <x:v>0</x:v>
      </x:c>
      <x:c r="T156" s="16" t="n">
        <x:v>0.3333333333333333</x:v>
      </x:c>
      <x:c r="U156" s="16" t="n">
        <x:v>0.03</x:v>
      </x:c>
      <x:c r="V156" s="16" t="n">
        <x:v>0</x:v>
      </x:c>
      <x:c r="W156" s="16" t="n">
        <x:v>0.029</x:v>
      </x:c>
      <x:c r="X156" s="17" t="n">
        <x:v>0.3</x:v>
      </x:c>
      <x:c r="Y156" s="17" t="n">
        <x:v>0.15</x:v>
      </x:c>
      <x:c r="Z156" s="14" t="n">
        <x:v>30</x:v>
      </x:c>
      <x:c r="AA156" s="16" t="n">
        <x:v>0.05</x:v>
      </x:c>
      <x:c r="AB156" s="14" t="n">
        <x:v>4</x:v>
      </x:c>
      <x:c r="AC156" s="14" t="n">
        <x:v>50</x:v>
      </x:c>
      <x:c r="AD156" s="14" t="n">
        <x:v>0</x:v>
      </x:c>
      <x:c r="AE156" s="14" t="n">
        <x:v>0</x:v>
      </x:c>
      <x:c r="AF156" s="14" t="n">
        <x:v>0</x:v>
      </x:c>
      <x:c r="AG156" s="24" t="str">
        <x:v>Low</x:v>
      </x:c>
      <x:c r="AH156" s="24" t="str">
        <x:v>Historical session illustration used as Dot comparison assumption; not approved price</x:v>
      </x:c>
      <x:c r="AI156" s="24" t="str">
        <x:v>Dot comparison target of 300 disjoint sessions per full year; no actual demand evidence</x:v>
      </x:c>
      <x:c r="AJ15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56" s="24" t="str">
        <x:v>Hypothetical in-year start after outstanding release, rights, provider or professional gates; no launch approval</x:v>
      </x:c>
      <x:c r="AL156" s="24" t="str">
        <x:v>https://chatgpt.com/c/6ab49ca5-0efc-83ea-a6bd-1782ba0c13e6</x:v>
      </x:c>
      <x:c r="AM156" s="27" t="n">
        <x:v>0.05</x:v>
      </x:c>
    </x:row>
    <x:row r="157" ht="36" hidden="0" customHeight="1">
      <x:c r="A157" s="1"/>
      <x:c r="B157" s="1"/>
      <x:c r="C157" s="1" t="str">
        <x:v>DOT-128</x:v>
      </x:c>
      <x:c r="D157" s="10" t="str">
        <x:v>Learn Anglais</x:v>
      </x:c>
      <x:c r="E157" s="10" t="str">
        <x:v>Teacher-led lesson, 120 minutes</x:v>
      </x:c>
      <x:c r="F157" s="10" t="str">
        <x:v>platform</x:v>
      </x:c>
      <x:c r="G157" s="10" t="str">
        <x:v>120-minute session</x:v>
      </x:c>
      <x:c r="H157" s="14" t="n">
        <x:v>165</x:v>
      </x:c>
      <x:c r="I157" s="14" t="n">
        <x:v>120</x:v>
      </x:c>
      <x:c r="J157" s="14" t="n">
        <x:v>9</x:v>
      </x:c>
      <x:c r="K157" s="16" t="n">
        <x:v>0.7</x:v>
      </x:c>
      <x:c r="L157" s="16" t="n">
        <x:v>0.2</x:v>
      </x:c>
      <x:c r="M157" s="16" t="n">
        <x:v>0.03</x:v>
      </x:c>
      <x:c r="N157" s="16" t="n">
        <x:v>0.02</x:v>
      </x:c>
      <x:c r="O157" s="14" t="n">
        <x:v>0</x:v>
      </x:c>
      <x:c r="P157" s="17" t="n">
        <x:v>0.1</x:v>
      </x:c>
      <x:c r="Q157" s="14" t="n">
        <x:v>35</x:v>
      </x:c>
      <x:c r="R157" s="14" t="n">
        <x:v>0</x:v>
      </x:c>
      <x:c r="S157" s="16" t="n">
        <x:v>0</x:v>
      </x:c>
      <x:c r="T157" s="16" t="n">
        <x:v>0.3</x:v>
      </x:c>
      <x:c r="U157" s="16" t="n">
        <x:v>0.03</x:v>
      </x:c>
      <x:c r="V157" s="16" t="n">
        <x:v>0</x:v>
      </x:c>
      <x:c r="W157" s="16" t="n">
        <x:v>0.029</x:v>
      </x:c>
      <x:c r="X157" s="17" t="n">
        <x:v>0.3</x:v>
      </x:c>
      <x:c r="Y157" s="17" t="n">
        <x:v>0.15</x:v>
      </x:c>
      <x:c r="Z157" s="14" t="n">
        <x:v>30</x:v>
      </x:c>
      <x:c r="AA157" s="16" t="n">
        <x:v>0.05</x:v>
      </x:c>
      <x:c r="AB157" s="14" t="n">
        <x:v>4</x:v>
      </x:c>
      <x:c r="AC157" s="14" t="n">
        <x:v>50</x:v>
      </x:c>
      <x:c r="AD157" s="14" t="n">
        <x:v>0</x:v>
      </x:c>
      <x:c r="AE157" s="14" t="n">
        <x:v>0</x:v>
      </x:c>
      <x:c r="AF157" s="14" t="n">
        <x:v>0</x:v>
      </x:c>
      <x:c r="AG157" s="24" t="str">
        <x:v>Low</x:v>
      </x:c>
      <x:c r="AH157" s="24" t="str">
        <x:v>Historical session illustration used as Dot comparison assumption; not approved price</x:v>
      </x:c>
      <x:c r="AI157" s="24" t="str">
        <x:v>Dot comparison target of 120 disjoint sessions per full year; no actual demand evidence</x:v>
      </x:c>
      <x:c r="AJ15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  <x:c r="AK157" s="24" t="str">
        <x:v>Hypothetical in-year start after outstanding release, rights, provider or professional gates; no launch approval</x:v>
      </x:c>
      <x:c r="AL157" s="24" t="str">
        <x:v>https://chatgpt.com/c/6ab49ca5-0efc-83ea-a6bd-1782ba0c13e6</x:v>
      </x:c>
      <x:c r="AM157" s="27" t="n">
        <x:v>0.05</x:v>
      </x:c>
    </x:row>
    <x:row r="158" ht="16" customHeight="1">
      <x:c r="A158" s="1"/>
      <x:c r="B158" s="1"/>
      <x:c r="C158" s="1"/>
      <x:c r="D158" s="10"/>
      <x:c r="E158" s="10"/>
      <x:c r="F158" s="10"/>
      <x:c r="G158" s="10"/>
      <x:c r="H158" s="10"/>
      <x:c r="I158" s="10"/>
      <x:c r="J158" s="10"/>
      <x:c r="K158" s="10"/>
      <x:c r="L158" s="10"/>
      <x:c r="M158" s="10"/>
      <x:c r="N158" s="10"/>
      <x:c r="O158" s="10"/>
      <x:c r="P158" s="10"/>
      <x:c r="Q158" s="10"/>
      <x:c r="R158" s="10"/>
      <x:c r="S158" s="10"/>
      <x:c r="T158" s="10"/>
      <x:c r="U158" s="10"/>
      <x:c r="V158" s="10"/>
      <x:c r="W158" s="10"/>
      <x:c r="X158" s="10"/>
      <x:c r="Y158" s="10"/>
      <x:c r="Z158" s="10"/>
      <x:c r="AA158" s="10"/>
      <x:c r="AB158" s="10"/>
      <x:c r="AC158" s="10"/>
      <x:c r="AD158" s="10"/>
      <x:c r="AE158" s="10"/>
      <x:c r="AF158" s="10"/>
      <x:c r="AG158" s="10"/>
      <x:c r="AH158" s="10"/>
      <x:c r="AI158" s="10"/>
      <x:c r="AJ158" s="10"/>
      <x:c r="AK158" s="10"/>
      <x:c r="AL158" s="10"/>
      <x:c r="AM158" s="10"/>
    </x:row>
  </x:sheetData>
  <x:dataValidations count="3">
    <x:dataValidation type="list" sqref="D7">
      <x:formula1>"Low,Base,High"</x:formula1>
    </x:dataValidation>
    <x:dataValidation type="list" sqref="D8">
      <x:formula1>"1,1.2"</x:formula1>
    </x:dataValidation>
    <x:dataValidation type="list" sqref="D21">
      <x:formula1>"0,1"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57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</x:cols>
  <x:sheetData>
    <x:row r="1" ht="1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16" customHeight="1">
      <x:c r="A2" s="1"/>
      <x:c r="B2" s="1"/>
      <x:c r="C2" s="2" t="str">
        <x:v>Cash and capital</x:v>
      </x:c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16" customHeight="1">
      <x:c r="A3" s="1"/>
      <x:c r="B3" s="1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16" customHeight="1">
      <x:c r="A4" s="1"/>
      <x:c r="B4" s="1"/>
      <x:c r="C4" s="1" t="str">
        <x:v>Dot comparison assumptions. USD. Not an owner or AF&amp;I budget.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16" customHeight="1">
      <x:c r="A5" s="1"/>
      <x:c r="B5" s="1"/>
      <x:c r="C5" s="1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16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29" customHeight="1">
      <x:c r="A7" s="1"/>
      <x:c r="B7" s="1"/>
      <x:c r="C7" s="13" t="str">
        <x:v>Cash and capital</x:v>
      </x:c>
      <x:c r="D7" s="13" t="str">
        <x:v>Year 1</x:v>
      </x:c>
      <x:c r="E7" s="13" t="str">
        <x:v>Year 2</x:v>
      </x:c>
      <x:c r="F7" s="13" t="str">
        <x:v>Year 3</x:v>
      </x:c>
      <x:c r="G7" s="13" t="str">
        <x:v>Year 4</x:v>
      </x:c>
      <x:c r="H7" s="13" t="str">
        <x:v>Year 5</x:v>
      </x:c>
      <x:c r="I7" s="13" t="str">
        <x:v>Year 6</x:v>
      </x:c>
      <x:c r="J7" s="13" t="str">
        <x:v>Year 7</x:v>
      </x:c>
      <x:c r="K7" s="13" t="str">
        <x:v>Year 8</x:v>
      </x:c>
      <x:c r="L7" s="13" t="str">
        <x:v>Year 9</x:v>
      </x:c>
      <x:c r="M7" s="13" t="str">
        <x:v>Year 10</x:v>
      </x:c>
      <x:c r="N7" s="13" t="str">
        <x:v>Year 11</x:v>
      </x:c>
      <x:c r="O7" s="13" t="str">
        <x:v>Year 12</x:v>
      </x:c>
      <x:c r="P7" s="13" t="str">
        <x:v>Year 13</x:v>
      </x:c>
      <x:c r="Q7" s="13" t="str">
        <x:v>Year 14</x:v>
      </x:c>
      <x:c r="R7" s="13" t="str">
        <x:v>Year 15</x:v>
      </x:c>
      <x:c r="S7" s="13" t="str">
        <x:v>Year 16</x:v>
      </x:c>
      <x:c r="T7" s="13" t="str">
        <x:v>Year 17</x:v>
      </x:c>
      <x:c r="U7" s="13" t="str">
        <x:v>Year 18</x:v>
      </x:c>
      <x:c r="V7" s="13" t="str">
        <x:v>Year 19</x:v>
      </x:c>
      <x:c r="W7" s="13" t="str">
        <x:v>Year 20</x:v>
      </x:c>
    </x:row>
    <x:row r="8" ht="16" customHeight="1">
      <x:c r="A8" s="1"/>
      <x:c r="B8" s="1"/>
      <x:c r="C8" s="1" t="str">
        <x:v>Net income / (loss)</x:v>
      </x:c>
      <x:c r="D8" s="10" t="n">
        <x:f>'Income statement'!D86</x:f>
        <x:v>285425.20302411105</x:v>
      </x:c>
      <x:c r="E8" s="10" t="n">
        <x:f>'Income statement'!E86</x:f>
        <x:v>405563.3645748701</x:v>
      </x:c>
      <x:c r="F8" s="10" t="n">
        <x:f>'Income statement'!F86</x:f>
        <x:v>491321.89028612745</x:v>
      </x:c>
      <x:c r="G8" s="10" t="n">
        <x:f>'Income statement'!G86</x:f>
        <x:v>570128.3132481711</x:v>
      </x:c>
      <x:c r="H8" s="10" t="n">
        <x:f>'Income statement'!H86</x:f>
        <x:v>651980.4189105856</x:v>
      </x:c>
      <x:c r="I8" s="10" t="n">
        <x:f>'Income statement'!I86</x:f>
        <x:v>700118.8801825757</x:v>
      </x:c>
      <x:c r="J8" s="10" t="n">
        <x:f>'Income statement'!J86</x:f>
        <x:v>734274.5634322519</x:v>
      </x:c>
      <x:c r="K8" s="10" t="n">
        <x:f>'Income statement'!K86</x:f>
        <x:v>761873.3337188205</x:v>
      </x:c>
      <x:c r="L8" s="10" t="n">
        <x:f>'Income statement'!L86</x:f>
        <x:v>785966.8394573693</x:v>
      </x:c>
      <x:c r="M8" s="10" t="n">
        <x:f>'Income statement'!M86</x:f>
        <x:v>807949.8691335758</x:v>
      </x:c>
      <x:c r="N8" s="10" t="n">
        <x:f>'Income statement'!N86</x:f>
        <x:v>828645.282326001</x:v>
      </x:c>
      <x:c r="O8" s="10" t="n">
        <x:f>'Income statement'!O86</x:f>
        <x:v>848390.1592217835</x:v>
      </x:c>
      <x:c r="P8" s="10" t="n">
        <x:f>'Income statement'!P86</x:f>
        <x:v>867330.3452736663</x:v>
      </x:c>
      <x:c r="Q8" s="10" t="n">
        <x:f>'Income statement'!Q86</x:f>
        <x:v>885639.7590603516</x:v>
      </x:c>
      <x:c r="R8" s="10" t="n">
        <x:f>'Income statement'!R86</x:f>
        <x:v>903288.1535865595</x:v>
      </x:c>
      <x:c r="S8" s="10" t="n">
        <x:f>'Income statement'!S86</x:f>
        <x:v>920195.7902934733</x:v>
      </x:c>
      <x:c r="T8" s="10" t="n">
        <x:f>'Income statement'!T86</x:f>
        <x:v>936399.5069058081</x:v>
      </x:c>
      <x:c r="U8" s="10" t="n">
        <x:f>'Income statement'!U86</x:f>
        <x:v>951761.4485125559</x:v>
      </x:c>
      <x:c r="V8" s="10" t="n">
        <x:f>'Income statement'!V86</x:f>
        <x:v>966117.8340115855</x:v>
      </x:c>
      <x:c r="W8" s="10" t="n">
        <x:f>'Income statement'!W86</x:f>
        <x:v>979448.9319412527</x:v>
      </x:c>
    </x:row>
    <x:row r="9" ht="16" customHeight="1">
      <x:c r="A9" s="1"/>
      <x:c r="B9" s="1"/>
      <x:c r="C9" s="1" t="str">
        <x:v>Add: depreciation</x:v>
      </x:c>
      <x:c r="D9" s="10" t="n">
        <x:f>D18</x:f>
        <x:v>500</x:v>
      </x:c>
      <x:c r="E9" s="10" t="n">
        <x:f>E18</x:f>
        <x:v>500</x:v>
      </x:c>
      <x:c r="F9" s="10" t="n">
        <x:f>F18</x:f>
        <x:v>500</x:v>
      </x:c>
      <x:c r="G9" s="10" t="n">
        <x:f>G18</x:f>
        <x:v>546.3635</x:v>
      </x:c>
      <x:c r="H9" s="10" t="n">
        <x:f>H18</x:f>
        <x:v>546.3635</x:v>
      </x:c>
      <x:c r="I9" s="10" t="n">
        <x:f>I18</x:f>
        <x:v>546.3635</x:v>
      </x:c>
      <x:c r="J9" s="10" t="n">
        <x:f>J18</x:f>
        <x:v>597.0261482645001</x:v>
      </x:c>
      <x:c r="K9" s="10" t="n">
        <x:f>K18</x:f>
        <x:v>597.0261482645001</x:v>
      </x:c>
      <x:c r="L9" s="10" t="n">
        <x:f>L18</x:f>
        <x:v>597.0261482645001</x:v>
      </x:c>
      <x:c r="M9" s="10" t="n">
        <x:f>M18</x:f>
        <x:v>652.3865919146225</x:v>
      </x:c>
      <x:c r="N9" s="10" t="n">
        <x:f>N18</x:f>
        <x:v>652.3865919146225</x:v>
      </x:c>
      <x:c r="O9" s="10" t="n">
        <x:f>O18</x:f>
        <x:v>652.3865919146225</x:v>
      </x:c>
      <x:c r="P9" s="10" t="n">
        <x:f>P18</x:f>
        <x:v>712.8804434230897</x:v>
      </x:c>
      <x:c r="Q9" s="10" t="n">
        <x:f>Q18</x:f>
        <x:v>712.8804434230897</x:v>
      </x:c>
      <x:c r="R9" s="10" t="n">
        <x:f>R18</x:f>
        <x:v>712.8804434230897</x:v>
      </x:c>
      <x:c r="S9" s="10" t="n">
        <x:f>S18</x:f>
        <x:v>778.9837083003825</x:v>
      </x:c>
      <x:c r="T9" s="10" t="n">
        <x:f>T18</x:f>
        <x:v>778.9837083003825</x:v>
      </x:c>
      <x:c r="U9" s="10" t="n">
        <x:f>U18</x:f>
        <x:v>778.9837083003825</x:v>
      </x:c>
      <x:c r="V9" s="10" t="n">
        <x:f>V18</x:f>
        <x:v>851.2165306199522</x:v>
      </x:c>
      <x:c r="W9" s="10" t="n">
        <x:f>W18</x:f>
        <x:v>851.2165306199522</x:v>
      </x:c>
    </x:row>
    <x:row r="10" ht="16" customHeight="1">
      <x:c r="A10" s="1"/>
      <x:c r="B10" s="1"/>
      <x:c r="C10" s="1" t="str">
        <x:v>Increase / (decrease) in receivables</x:v>
      </x:c>
      <x:c r="D10" s="10" t="n">
        <x:f>D20</x:f>
        <x:v>62343.19333333334</x:v>
      </x:c>
      <x:c r="E10" s="10" t="n">
        <x:f>E20-D20</x:f>
        <x:v>-5151.0778473333485</x:v>
      </x:c>
      <x:c r="F10" s="10" t="n">
        <x:f>F20-E20</x:f>
        <x:v>10472.612845554002</x:v>
      </x:c>
      <x:c r="G10" s="10" t="n">
        <x:f>G20-F20</x:f>
        <x:v>9504.968401976133</x:v>
      </x:c>
      <x:c r="H10" s="10" t="n">
        <x:f>H20-G20</x:f>
        <x:v>9558.912392993807</x:v>
      </x:c>
      <x:c r="I10" s="10" t="n">
        <x:f>I20-H20</x:f>
        <x:v>6686.280132823333</x:v>
      </x:c>
      <x:c r="J10" s="10" t="n">
        <x:f>J20-I20</x:f>
        <x:v>5377.801164862773</x:v>
      </x:c>
      <x:c r="K10" s="10" t="n">
        <x:f>K20-J20</x:f>
        <x:v>4826.307579448359</x:v>
      </x:c>
      <x:c r="L10" s="10" t="n">
        <x:f>L20-K20</x:f>
        <x:v>4647.941378446805</x:v>
      </x:c>
      <x:c r="M10" s="10" t="n">
        <x:f>M20-L20</x:f>
        <x:v>4657.506710415852</x:v>
      </x:c>
      <x:c r="N10" s="10" t="n">
        <x:f>N20-M20</x:f>
        <x:v>4764.720818873684</x:v>
      </x:c>
      <x:c r="O10" s="10" t="n">
        <x:f>O20-N20</x:f>
        <x:v>4925.296069628603</x:v>
      </x:c>
      <x:c r="P10" s="10" t="n">
        <x:f>P20-O20</x:f>
        <x:v>5117.483242766728</x:v>
      </x:c>
      <x:c r="Q10" s="10" t="n">
        <x:f>Q20-P20</x:f>
        <x:v>5330.6740287263965</x:v>
      </x:c>
      <x:c r="R10" s="10" t="n">
        <x:f>R20-Q20</x:f>
        <x:v>5559.806821659091</x:v>
      </x:c>
      <x:c r="S10" s="10" t="n">
        <x:f>S20-R20</x:f>
        <x:v>5802.600211286539</x:v>
      </x:c>
      <x:c r="T10" s="10" t="n">
        <x:f>T20-S20</x:f>
        <x:v>6058.177422140085</x:v>
      </x:c>
      <x:c r="U10" s="10" t="n">
        <x:f>U20-T20</x:f>
        <x:v>6326.3798447491135</x:v>
      </x:c>
      <x:c r="V10" s="10" t="n">
        <x:f>V20-U20</x:f>
        <x:v>6607.423760171165</x:v>
      </x:c>
      <x:c r="W10" s="10" t="n">
        <x:f>W20-V20</x:f>
        <x:v>6901.7286614934565</x:v>
      </x:c>
    </x:row>
    <x:row r="11" ht="16" customHeight="1">
      <x:c r="A11" s="1"/>
      <x:c r="B11" s="1"/>
      <x:c r="C11" s="1" t="str">
        <x:v>Increase / (decrease) in materials reserve</x:v>
      </x:c>
      <x:c r="D11" s="10" t="n">
        <x:f>D21</x:f>
        <x:v>10533.333333333334</x:v>
      </x:c>
      <x:c r="E11" s="10" t="n">
        <x:f>E21-D21</x:f>
        <x:v>-532.2273166666673</x:v>
      </x:c>
      <x:c r="F11" s="10" t="n">
        <x:f>F21-E21</x:f>
        <x:v>2559.008858943331</x:v>
      </x:c>
      <x:c r="G11" s="10" t="n">
        <x:f>G21-F21</x:f>
        <x:v>2244.11307409268</x:v>
      </x:c>
      <x:c r="H11" s="10" t="n">
        <x:f>H21-G21</x:f>
        <x:v>2339.4818599407645</x:v>
      </x:c>
      <x:c r="I11" s="10" t="n">
        <x:f>I21-H21</x:f>
        <x:v>1564.2008000695641</x:v>
      </x:c>
      <x:c r="J11" s="10" t="n">
        <x:f>J21-I21</x:f>
        <x:v>1342.8767939077406</x:v>
      </x:c>
      <x:c r="K11" s="10" t="n">
        <x:f>K21-J21</x:f>
        <x:v>1308.5555107092077</x:v>
      </x:c>
      <x:c r="L11" s="10" t="n">
        <x:f>L21-K21</x:f>
        <x:v>1342.0610678241537</x:v>
      </x:c>
      <x:c r="M11" s="10" t="n">
        <x:f>M21-L21</x:f>
        <x:v>1403.6205583044066</x:v>
      </x:c>
      <x:c r="N11" s="10" t="n">
        <x:f>N21-M21</x:f>
        <x:v>1479.450319940559</x:v>
      </x:c>
      <x:c r="O11" s="10" t="n">
        <x:f>O21-N21</x:f>
        <x:v>1564.5678617477533</x:v>
      </x:c>
      <x:c r="P11" s="10" t="n">
        <x:f>P21-O21</x:f>
        <x:v>1657.132133697698</x:v>
      </x:c>
      <x:c r="Q11" s="10" t="n">
        <x:f>Q21-P21</x:f>
        <x:v>1756.5116463670638</x:v>
      </x:c>
      <x:c r="R11" s="10" t="n">
        <x:f>R21-Q21</x:f>
        <x:v>1862.589243933613</x:v>
      </x:c>
      <x:c r="S11" s="10" t="n">
        <x:f>S21-R21</x:f>
        <x:v>1975.4936350608004</x:v>
      </x:c>
      <x:c r="T11" s="10" t="n">
        <x:f>T21-S21</x:f>
        <x:v>2095.486869237393</x:v>
      </x:c>
      <x:c r="U11" s="10" t="n">
        <x:f>U21-T21</x:f>
        <x:v>2222.91325648396</x:v>
      </x:c>
      <x:c r="V11" s="10" t="n">
        <x:f>V21-U21</x:f>
        <x:v>2358.1747032729327</x:v>
      </x:c>
      <x:c r="W11" s="10" t="n">
        <x:f>W21-V21</x:f>
        <x:v>2501.7184461007564</x:v>
      </x:c>
    </x:row>
    <x:row r="12" ht="16" customHeight="1">
      <x:c r="A12" s="1"/>
      <x:c r="B12" s="1"/>
      <x:c r="C12" s="7" t="str">
        <x:v>Operating cash flow</x:v>
      </x:c>
      <x:c r="D12" s="11" t="n">
        <x:f>D8+D9-D10-D11</x:f>
        <x:v>213048.67635744435</x:v>
      </x:c>
      <x:c r="E12" s="11" t="n">
        <x:f>E8+E9-E10-E11</x:f>
        <x:v>411746.6697388701</x:v>
      </x:c>
      <x:c r="F12" s="11" t="n">
        <x:f>F8+F9-F10-F11</x:f>
        <x:v>478790.2685816301</x:v>
      </x:c>
      <x:c r="G12" s="11" t="n">
        <x:f>G8+G9-G10-G11</x:f>
        <x:v>558925.5952721023</x:v>
      </x:c>
      <x:c r="H12" s="11" t="n">
        <x:f>H8+H9-H10-H11</x:f>
        <x:v>640628.388157651</x:v>
      </x:c>
      <x:c r="I12" s="11" t="n">
        <x:f>I8+I9-I10-I11</x:f>
        <x:v>692414.7627496826</x:v>
      </x:c>
      <x:c r="J12" s="11" t="n">
        <x:f>J8+J9-J10-J11</x:f>
        <x:v>728150.9116217459</x:v>
      </x:c>
      <x:c r="K12" s="11" t="n">
        <x:f>K8+K9-K10-K11</x:f>
        <x:v>756335.4967769275</x:v>
      </x:c>
      <x:c r="L12" s="11" t="n">
        <x:f>L8+L9-L10-L11</x:f>
        <x:v>780573.8631593629</x:v>
      </x:c>
      <x:c r="M12" s="11" t="n">
        <x:f>M8+M9-M10-M11</x:f>
        <x:v>802541.1284567702</x:v>
      </x:c>
      <x:c r="N12" s="11" t="n">
        <x:f>N8+N9-N10-N11</x:f>
        <x:v>823053.4977791012</x:v>
      </x:c>
      <x:c r="O12" s="11" t="n">
        <x:f>O8+O9-O10-O11</x:f>
        <x:v>842552.6818823218</x:v>
      </x:c>
      <x:c r="P12" s="11" t="n">
        <x:f>P8+P9-P10-P11</x:f>
        <x:v>861268.6103406249</x:v>
      </x:c>
      <x:c r="Q12" s="11" t="n">
        <x:f>Q8+Q9-Q10-Q11</x:f>
        <x:v>879265.4538286813</x:v>
      </x:c>
      <x:c r="R12" s="11" t="n">
        <x:f>R8+R9-R10-R11</x:f>
        <x:v>896578.6379643899</x:v>
      </x:c>
      <x:c r="S12" s="11" t="n">
        <x:f>S8+S9-S10-S11</x:f>
        <x:v>913196.6801554263</x:v>
      </x:c>
      <x:c r="T12" s="11" t="n">
        <x:f>T8+T9-T10-T11</x:f>
        <x:v>929024.8263227311</x:v>
      </x:c>
      <x:c r="U12" s="11" t="n">
        <x:f>U8+U9-U10-U11</x:f>
        <x:v>943991.1391196232</x:v>
      </x:c>
      <x:c r="V12" s="11" t="n">
        <x:f>V8+V9-V10-V11</x:f>
        <x:v>958003.4520787613</x:v>
      </x:c>
      <x:c r="W12" s="11" t="n">
        <x:f>W8+W9-W10-W11</x:f>
        <x:v>970896.7013642784</x:v>
      </x:c>
    </x:row>
    <x:row r="13" ht="16" customHeight="1">
      <x:c r="A13" s="1"/>
      <x:c r="B13" s="1"/>
      <x:c r="C13" s="1" t="str">
        <x:v>Capital expenditure</x:v>
      </x:c>
      <x:c r="D13" s="10" t="n">
        <x:f>IF(MOD(1-1,'Assumptions'!$D$15)=0,'Assumptions'!$D$14*(1+'Assumptions'!$D$13)^(1-1),0)</x:f>
        <x:v>1500</x:v>
      </x:c>
      <x:c r="E13" s="10" t="n">
        <x:f>IF(MOD(2-1,'Assumptions'!$D$15)=0,'Assumptions'!$D$14*(1+'Assumptions'!$D$13)^(2-1),0)</x:f>
        <x:v>0</x:v>
      </x:c>
      <x:c r="F13" s="10" t="n">
        <x:f>IF(MOD(3-1,'Assumptions'!$D$15)=0,'Assumptions'!$D$14*(1+'Assumptions'!$D$13)^(3-1),0)</x:f>
        <x:v>0</x:v>
      </x:c>
      <x:c r="G13" s="10" t="n">
        <x:f>IF(MOD(4-1,'Assumptions'!$D$15)=0,'Assumptions'!$D$14*(1+'Assumptions'!$D$13)^(4-1),0)</x:f>
        <x:v>1639.0905</x:v>
      </x:c>
      <x:c r="H13" s="10" t="n">
        <x:f>IF(MOD(5-1,'Assumptions'!$D$15)=0,'Assumptions'!$D$14*(1+'Assumptions'!$D$13)^(5-1),0)</x:f>
        <x:v>0</x:v>
      </x:c>
      <x:c r="I13" s="10" t="n">
        <x:f>IF(MOD(6-1,'Assumptions'!$D$15)=0,'Assumptions'!$D$14*(1+'Assumptions'!$D$13)^(6-1),0)</x:f>
        <x:v>0</x:v>
      </x:c>
      <x:c r="J13" s="10" t="n">
        <x:f>IF(MOD(7-1,'Assumptions'!$D$15)=0,'Assumptions'!$D$14*(1+'Assumptions'!$D$13)^(7-1),0)</x:f>
        <x:v>1791.0784447935002</x:v>
      </x:c>
      <x:c r="K13" s="10" t="n">
        <x:f>IF(MOD(8-1,'Assumptions'!$D$15)=0,'Assumptions'!$D$14*(1+'Assumptions'!$D$13)^(8-1),0)</x:f>
        <x:v>0</x:v>
      </x:c>
      <x:c r="L13" s="10" t="n">
        <x:f>IF(MOD(9-1,'Assumptions'!$D$15)=0,'Assumptions'!$D$14*(1+'Assumptions'!$D$13)^(9-1),0)</x:f>
        <x:v>0</x:v>
      </x:c>
      <x:c r="M13" s="10" t="n">
        <x:f>IF(MOD(10-1,'Assumptions'!$D$15)=0,'Assumptions'!$D$14*(1+'Assumptions'!$D$13)^(10-1),0)</x:f>
        <x:v>1957.1597757438674</x:v>
      </x:c>
      <x:c r="N13" s="10" t="n">
        <x:f>IF(MOD(11-1,'Assumptions'!$D$15)=0,'Assumptions'!$D$14*(1+'Assumptions'!$D$13)^(11-1),0)</x:f>
        <x:v>0</x:v>
      </x:c>
      <x:c r="O13" s="10" t="n">
        <x:f>IF(MOD(12-1,'Assumptions'!$D$15)=0,'Assumptions'!$D$14*(1+'Assumptions'!$D$13)^(12-1),0)</x:f>
        <x:v>0</x:v>
      </x:c>
      <x:c r="P13" s="10" t="n">
        <x:f>IF(MOD(13-1,'Assumptions'!$D$15)=0,'Assumptions'!$D$14*(1+'Assumptions'!$D$13)^(13-1),0)</x:f>
        <x:v>2138.641330269269</x:v>
      </x:c>
      <x:c r="Q13" s="10" t="n">
        <x:f>IF(MOD(14-1,'Assumptions'!$D$15)=0,'Assumptions'!$D$14*(1+'Assumptions'!$D$13)^(14-1),0)</x:f>
        <x:v>0</x:v>
      </x:c>
      <x:c r="R13" s="10" t="n">
        <x:f>IF(MOD(15-1,'Assumptions'!$D$15)=0,'Assumptions'!$D$14*(1+'Assumptions'!$D$13)^(15-1),0)</x:f>
        <x:v>0</x:v>
      </x:c>
      <x:c r="S13" s="10" t="n">
        <x:f>IF(MOD(16-1,'Assumptions'!$D$15)=0,'Assumptions'!$D$14*(1+'Assumptions'!$D$13)^(16-1),0)</x:f>
        <x:v>2336.9511249011475</x:v>
      </x:c>
      <x:c r="T13" s="10" t="n">
        <x:f>IF(MOD(17-1,'Assumptions'!$D$15)=0,'Assumptions'!$D$14*(1+'Assumptions'!$D$13)^(17-1),0)</x:f>
        <x:v>0</x:v>
      </x:c>
      <x:c r="U13" s="10" t="n">
        <x:f>IF(MOD(18-1,'Assumptions'!$D$15)=0,'Assumptions'!$D$14*(1+'Assumptions'!$D$13)^(18-1),0)</x:f>
        <x:v>0</x:v>
      </x:c>
      <x:c r="V13" s="10" t="n">
        <x:f>IF(MOD(19-1,'Assumptions'!$D$15)=0,'Assumptions'!$D$14*(1+'Assumptions'!$D$13)^(19-1),0)</x:f>
        <x:v>2553.6495918598566</x:v>
      </x:c>
      <x:c r="W13" s="10" t="n">
        <x:f>IF(MOD(20-1,'Assumptions'!$D$15)=0,'Assumptions'!$D$14*(1+'Assumptions'!$D$13)^(20-1),0)</x:f>
        <x:v>0</x:v>
      </x:c>
    </x:row>
    <x:row r="14" ht="16" customHeight="1">
      <x:c r="A14" s="1"/>
      <x:c r="B14" s="1"/>
      <x:c r="C14" s="7" t="str">
        <x:v>Free cash flow before financing</x:v>
      </x:c>
      <x:c r="D14" s="11" t="n">
        <x:f>D12-D13</x:f>
        <x:v>211548.67635744435</x:v>
      </x:c>
      <x:c r="E14" s="11" t="n">
        <x:f>E12-E13</x:f>
        <x:v>411746.6697388701</x:v>
      </x:c>
      <x:c r="F14" s="11" t="n">
        <x:f>F12-F13</x:f>
        <x:v>478790.2685816301</x:v>
      </x:c>
      <x:c r="G14" s="11" t="n">
        <x:f>G12-G13</x:f>
        <x:v>557286.5047721022</x:v>
      </x:c>
      <x:c r="H14" s="11" t="n">
        <x:f>H12-H13</x:f>
        <x:v>640628.388157651</x:v>
      </x:c>
      <x:c r="I14" s="11" t="n">
        <x:f>I12-I13</x:f>
        <x:v>692414.7627496826</x:v>
      </x:c>
      <x:c r="J14" s="11" t="n">
        <x:f>J12-J13</x:f>
        <x:v>726359.8331769524</x:v>
      </x:c>
      <x:c r="K14" s="11" t="n">
        <x:f>K12-K13</x:f>
        <x:v>756335.4967769275</x:v>
      </x:c>
      <x:c r="L14" s="11" t="n">
        <x:f>L12-L13</x:f>
        <x:v>780573.8631593629</x:v>
      </x:c>
      <x:c r="M14" s="11" t="n">
        <x:f>M12-M13</x:f>
        <x:v>800583.9686810264</x:v>
      </x:c>
      <x:c r="N14" s="11" t="n">
        <x:f>N12-N13</x:f>
        <x:v>823053.4977791012</x:v>
      </x:c>
      <x:c r="O14" s="11" t="n">
        <x:f>O12-O13</x:f>
        <x:v>842552.6818823218</x:v>
      </x:c>
      <x:c r="P14" s="11" t="n">
        <x:f>P12-P13</x:f>
        <x:v>859129.9690103556</x:v>
      </x:c>
      <x:c r="Q14" s="11" t="n">
        <x:f>Q12-Q13</x:f>
        <x:v>879265.4538286813</x:v>
      </x:c>
      <x:c r="R14" s="11" t="n">
        <x:f>R12-R13</x:f>
        <x:v>896578.6379643899</x:v>
      </x:c>
      <x:c r="S14" s="11" t="n">
        <x:f>S12-S13</x:f>
        <x:v>910859.7290305251</x:v>
      </x:c>
      <x:c r="T14" s="11" t="n">
        <x:f>T12-T13</x:f>
        <x:v>929024.8263227311</x:v>
      </x:c>
      <x:c r="U14" s="11" t="n">
        <x:f>U12-U13</x:f>
        <x:v>943991.1391196232</x:v>
      </x:c>
      <x:c r="V14" s="11" t="n">
        <x:f>V12-V13</x:f>
        <x:v>955449.8024869014</x:v>
      </x:c>
      <x:c r="W14" s="11" t="n">
        <x:f>W12-W13</x:f>
        <x:v>970896.7013642784</x:v>
      </x:c>
    </x:row>
    <x:row r="15" ht="16" customHeight="1">
      <x:c r="A15" s="1"/>
      <x:c r="B15" s="1"/>
      <x:c r="C15" s="1" t="str">
        <x:v>Cumulative unfunded cash position</x:v>
      </x:c>
      <x:c r="D15" s="10" t="n">
        <x:f>D14</x:f>
        <x:v>211548.67635744435</x:v>
      </x:c>
      <x:c r="E15" s="10" t="n">
        <x:f>D15+E14</x:f>
        <x:v>623295.3460963145</x:v>
      </x:c>
      <x:c r="F15" s="10" t="n">
        <x:f>E15+F14</x:f>
        <x:v>1102085.6146779447</x:v>
      </x:c>
      <x:c r="G15" s="10" t="n">
        <x:f>F15+G14</x:f>
        <x:v>1659372.119450047</x:v>
      </x:c>
      <x:c r="H15" s="10" t="n">
        <x:f>G15+H14</x:f>
        <x:v>2300000.507607698</x:v>
      </x:c>
      <x:c r="I15" s="10" t="n">
        <x:f>H15+I14</x:f>
        <x:v>2992415.2703573806</x:v>
      </x:c>
      <x:c r="J15" s="10" t="n">
        <x:f>I15+J14</x:f>
        <x:v>3718775.103534333</x:v>
      </x:c>
      <x:c r="K15" s="10" t="n">
        <x:f>J15+K14</x:f>
        <x:v>4475110.600311261</x:v>
      </x:c>
      <x:c r="L15" s="10" t="n">
        <x:f>K15+L14</x:f>
        <x:v>5255684.463470624</x:v>
      </x:c>
      <x:c r="M15" s="10" t="n">
        <x:f>L15+M14</x:f>
        <x:v>6056268.43215165</x:v>
      </x:c>
      <x:c r="N15" s="10" t="n">
        <x:f>M15+N14</x:f>
        <x:v>6879321.929930751</x:v>
      </x:c>
      <x:c r="O15" s="10" t="n">
        <x:f>N15+O14</x:f>
        <x:v>7721874.611813073</x:v>
      </x:c>
      <x:c r="P15" s="10" t="n">
        <x:f>O15+P14</x:f>
        <x:v>8581004.580823429</x:v>
      </x:c>
      <x:c r="Q15" s="10" t="n">
        <x:f>P15+Q14</x:f>
        <x:v>9460270.03465211</x:v>
      </x:c>
      <x:c r="R15" s="10" t="n">
        <x:f>Q15+R14</x:f>
        <x:v>10356848.6726165</x:v>
      </x:c>
      <x:c r="S15" s="10" t="n">
        <x:f>R15+S14</x:f>
        <x:v>11267708.401647026</x:v>
      </x:c>
      <x:c r="T15" s="10" t="n">
        <x:f>S15+T14</x:f>
        <x:v>12196733.227969756</x:v>
      </x:c>
      <x:c r="U15" s="10" t="n">
        <x:f>T15+U14</x:f>
        <x:v>13140724.36708938</x:v>
      </x:c>
      <x:c r="V15" s="10" t="n">
        <x:f>U15+V14</x:f>
        <x:v>14096174.169576282</x:v>
      </x:c>
      <x:c r="W15" s="10" t="n">
        <x:f>V15+W14</x:f>
        <x:v>15067070.87094056</x:v>
      </x:c>
    </x:row>
    <x:row r="16" ht="16" customHeight="1">
      <x:c r="A16" s="1"/>
      <x:c r="B16" s="1"/>
      <x:c r="C16" s="7" t="str">
        <x:v>Minimum cash requirement (includes Year 1 timing)</x:v>
      </x:c>
      <x:c r="D16" s="11" t="n">
        <x:f>MAX(0,-MIN($D15:D15),'Monthly cash'!K20)</x:f>
        <x:v>25216.872599999995</x:v>
      </x:c>
      <x:c r="E16" s="11" t="n">
        <x:f>MAX(0,-MIN($D15:E15),'Monthly cash'!K20)</x:f>
        <x:v>25216.872599999995</x:v>
      </x:c>
      <x:c r="F16" s="11" t="n">
        <x:f>MAX(0,-MIN($D15:F15),'Monthly cash'!K20)</x:f>
        <x:v>25216.872599999995</x:v>
      </x:c>
      <x:c r="G16" s="11" t="n">
        <x:f>MAX(0,-MIN($D15:G15),'Monthly cash'!K20)</x:f>
        <x:v>25216.872599999995</x:v>
      </x:c>
      <x:c r="H16" s="11" t="n">
        <x:f>MAX(0,-MIN($D15:H15),'Monthly cash'!K20)</x:f>
        <x:v>25216.872599999995</x:v>
      </x:c>
      <x:c r="I16" s="11" t="n">
        <x:f>MAX(0,-MIN($D15:I15),'Monthly cash'!K20)</x:f>
        <x:v>25216.872599999995</x:v>
      </x:c>
      <x:c r="J16" s="11" t="n">
        <x:f>MAX(0,-MIN($D15:J15),'Monthly cash'!K20)</x:f>
        <x:v>25216.872599999995</x:v>
      </x:c>
      <x:c r="K16" s="11" t="n">
        <x:f>MAX(0,-MIN($D15:K15),'Monthly cash'!K20)</x:f>
        <x:v>25216.872599999995</x:v>
      </x:c>
      <x:c r="L16" s="11" t="n">
        <x:f>MAX(0,-MIN($D15:L15),'Monthly cash'!K20)</x:f>
        <x:v>25216.872599999995</x:v>
      </x:c>
      <x:c r="M16" s="11" t="n">
        <x:f>MAX(0,-MIN($D15:M15),'Monthly cash'!K20)</x:f>
        <x:v>25216.872599999995</x:v>
      </x:c>
      <x:c r="N16" s="11" t="n">
        <x:f>MAX(0,-MIN($D15:N15),'Monthly cash'!K20)</x:f>
        <x:v>25216.872599999995</x:v>
      </x:c>
      <x:c r="O16" s="11" t="n">
        <x:f>MAX(0,-MIN($D15:O15),'Monthly cash'!K20)</x:f>
        <x:v>25216.872599999995</x:v>
      </x:c>
      <x:c r="P16" s="11" t="n">
        <x:f>MAX(0,-MIN($D15:P15),'Monthly cash'!K20)</x:f>
        <x:v>25216.872599999995</x:v>
      </x:c>
      <x:c r="Q16" s="11" t="n">
        <x:f>MAX(0,-MIN($D15:Q15),'Monthly cash'!K20)</x:f>
        <x:v>25216.872599999995</x:v>
      </x:c>
      <x:c r="R16" s="11" t="n">
        <x:f>MAX(0,-MIN($D15:R15),'Monthly cash'!K20)</x:f>
        <x:v>25216.872599999995</x:v>
      </x:c>
      <x:c r="S16" s="11" t="n">
        <x:f>MAX(0,-MIN($D15:S15),'Monthly cash'!K20)</x:f>
        <x:v>25216.872599999995</x:v>
      </x:c>
      <x:c r="T16" s="11" t="n">
        <x:f>MAX(0,-MIN($D15:T15),'Monthly cash'!K20)</x:f>
        <x:v>25216.872599999995</x:v>
      </x:c>
      <x:c r="U16" s="11" t="n">
        <x:f>MAX(0,-MIN($D15:U15),'Monthly cash'!K20)</x:f>
        <x:v>25216.872599999995</x:v>
      </x:c>
      <x:c r="V16" s="11" t="n">
        <x:f>MAX(0,-MIN($D15:V15),'Monthly cash'!K20)</x:f>
        <x:v>25216.872599999995</x:v>
      </x:c>
      <x:c r="W16" s="11" t="n">
        <x:f>MAX(0,-MIN($D15:W15),'Monthly cash'!K20)</x:f>
        <x:v>25216.872599999995</x:v>
      </x:c>
    </x:row>
    <x:row r="17" ht="16" customHeight="1">
      <x:c r="A17" s="1"/>
      <x:c r="B17" s="1"/>
      <x:c r="C17" s="1" t="str">
        <x:v>Opening net fixed assets</x:v>
      </x:c>
      <x:c r="D17" s="10" t="n">
        <x:f>0</x:f>
        <x:v>0</x:v>
      </x:c>
      <x:c r="E17" s="10" t="n">
        <x:f>D19</x:f>
        <x:v>1000</x:v>
      </x:c>
      <x:c r="F17" s="10" t="n">
        <x:f>E19</x:f>
        <x:v>500</x:v>
      </x:c>
      <x:c r="G17" s="10" t="n">
        <x:f>F19</x:f>
        <x:v>0</x:v>
      </x:c>
      <x:c r="H17" s="10" t="n">
        <x:f>G19</x:f>
        <x:v>1092.7269999999999</x:v>
      </x:c>
      <x:c r="I17" s="10" t="n">
        <x:f>H19</x:f>
        <x:v>546.3634999999998</x:v>
      </x:c>
      <x:c r="J17" s="10" t="n">
        <x:f>I19</x:f>
        <x:v>-2.2737367544323206e-13</x:v>
      </x:c>
      <x:c r="K17" s="10" t="n">
        <x:f>J19</x:f>
        <x:v>1194.052296529</x:v>
      </x:c>
      <x:c r="L17" s="10" t="n">
        <x:f>K19</x:f>
        <x:v>597.0261482644999</x:v>
      </x:c>
      <x:c r="M17" s="10" t="n">
        <x:f>L19</x:f>
        <x:v>-2.2737367544323206e-13</x:v>
      </x:c>
      <x:c r="N17" s="10" t="n">
        <x:f>M19</x:f>
        <x:v>1304.7731838292448</x:v>
      </x:c>
      <x:c r="O17" s="10" t="n">
        <x:f>N19</x:f>
        <x:v>652.3865919146223</x:v>
      </x:c>
      <x:c r="P17" s="10" t="n">
        <x:f>O19</x:f>
        <x:v>-2.2737367544323206e-13</x:v>
      </x:c>
      <x:c r="Q17" s="10" t="n">
        <x:f>P19</x:f>
        <x:v>1425.7608868461793</x:v>
      </x:c>
      <x:c r="R17" s="10" t="n">
        <x:f>Q19</x:f>
        <x:v>712.8804434230897</x:v>
      </x:c>
      <x:c r="S17" s="10" t="n">
        <x:f>R19</x:f>
        <x:v>0</x:v>
      </x:c>
      <x:c r="T17" s="10" t="n">
        <x:f>S19</x:f>
        <x:v>1557.9674166007649</x:v>
      </x:c>
      <x:c r="U17" s="10" t="n">
        <x:f>T19</x:f>
        <x:v>778.9837083003823</x:v>
      </x:c>
      <x:c r="V17" s="10" t="n">
        <x:f>U19</x:f>
        <x:v>-2.2737367544323206e-13</x:v>
      </x:c>
      <x:c r="W17" s="10" t="n">
        <x:f>V19</x:f>
        <x:v>1702.4330612399044</x:v>
      </x:c>
    </x:row>
    <x:row r="18" ht="16" customHeight="1">
      <x:c r="A18" s="1"/>
      <x:c r="B18" s="1"/>
      <x:c r="C18" s="1" t="str">
        <x:v>Depreciation</x:v>
      </x:c>
      <x:c r="D18" s="10" t="n">
        <x:f>IF(1-1&lt;'Assumptions'!$D$15,D13/'Assumptions'!$D$15,0)</x:f>
        <x:v>500</x:v>
      </x:c>
      <x:c r="E18" s="10" t="n">
        <x:f>IF(2-1&lt;'Assumptions'!$D$15,D13/'Assumptions'!$D$15,0)+IF(2-2&lt;'Assumptions'!$D$15,E13/'Assumptions'!$D$15,0)</x:f>
        <x:v>500</x:v>
      </x:c>
      <x:c r="F18" s="10" t="n">
        <x:f>IF(3-1&lt;'Assumptions'!$D$15,D13/'Assumptions'!$D$15,0)+IF(3-2&lt;'Assumptions'!$D$15,E13/'Assumptions'!$D$15,0)+IF(3-3&lt;'Assumptions'!$D$15,F13/'Assumptions'!$D$15,0)</x:f>
        <x:v>500</x:v>
      </x:c>
      <x:c r="G18" s="10" t="n">
        <x:f>IF(4-1&lt;'Assumptions'!$D$15,D13/'Assumptions'!$D$15,0)+IF(4-2&lt;'Assumptions'!$D$15,E13/'Assumptions'!$D$15,0)+IF(4-3&lt;'Assumptions'!$D$15,F13/'Assumptions'!$D$15,0)+IF(4-4&lt;'Assumptions'!$D$15,G13/'Assumptions'!$D$15,0)</x:f>
        <x:v>546.3635</x:v>
      </x:c>
      <x:c r="H18" s="10" t="n">
        <x:f>IF(5-1&lt;'Assumptions'!$D$15,D13/'Assumptions'!$D$15,0)+IF(5-2&lt;'Assumptions'!$D$15,E13/'Assumptions'!$D$15,0)+IF(5-3&lt;'Assumptions'!$D$15,F13/'Assumptions'!$D$15,0)+IF(5-4&lt;'Assumptions'!$D$15,G13/'Assumptions'!$D$15,0)+IF(5-5&lt;'Assumptions'!$D$15,H13/'Assumptions'!$D$15,0)</x:f>
        <x:v>546.3635</x:v>
      </x:c>
      <x:c r="I18" s="10" t="n">
        <x:f>IF(6-1&lt;'Assumptions'!$D$15,D13/'Assumptions'!$D$15,0)+IF(6-2&lt;'Assumptions'!$D$15,E13/'Assumptions'!$D$15,0)+IF(6-3&lt;'Assumptions'!$D$15,F13/'Assumptions'!$D$15,0)+IF(6-4&lt;'Assumptions'!$D$15,G13/'Assumptions'!$D$15,0)+IF(6-5&lt;'Assumptions'!$D$15,H13/'Assumptions'!$D$15,0)+IF(6-6&lt;'Assumptions'!$D$15,I13/'Assumptions'!$D$15,0)</x:f>
        <x:v>546.3635</x:v>
      </x:c>
      <x:c r="J18" s="10" t="n">
        <x:f>IF(7-1&lt;'Assumptions'!$D$15,D13/'Assumptions'!$D$15,0)+IF(7-2&lt;'Assumptions'!$D$15,E13/'Assumptions'!$D$15,0)+IF(7-3&lt;'Assumptions'!$D$15,F13/'Assumptions'!$D$15,0)+IF(7-4&lt;'Assumptions'!$D$15,G13/'Assumptions'!$D$15,0)+IF(7-5&lt;'Assumptions'!$D$15,H13/'Assumptions'!$D$15,0)+IF(7-6&lt;'Assumptions'!$D$15,I13/'Assumptions'!$D$15,0)+IF(7-7&lt;'Assumptions'!$D$15,J13/'Assumptions'!$D$15,0)</x:f>
        <x:v>597.0261482645001</x:v>
      </x:c>
      <x:c r="K18" s="10" t="n">
        <x:f>IF(8-1&lt;'Assumptions'!$D$15,D13/'Assumptions'!$D$15,0)+IF(8-2&lt;'Assumptions'!$D$15,E13/'Assumptions'!$D$15,0)+IF(8-3&lt;'Assumptions'!$D$15,F13/'Assumptions'!$D$15,0)+IF(8-4&lt;'Assumptions'!$D$15,G13/'Assumptions'!$D$15,0)+IF(8-5&lt;'Assumptions'!$D$15,H13/'Assumptions'!$D$15,0)+IF(8-6&lt;'Assumptions'!$D$15,I13/'Assumptions'!$D$15,0)+IF(8-7&lt;'Assumptions'!$D$15,J13/'Assumptions'!$D$15,0)+IF(8-8&lt;'Assumptions'!$D$15,K13/'Assumptions'!$D$15,0)</x:f>
        <x:v>597.0261482645001</x:v>
      </x:c>
      <x:c r="L18" s="10" t="n">
        <x:f>IF(9-1&lt;'Assumptions'!$D$15,D13/'Assumptions'!$D$15,0)+IF(9-2&lt;'Assumptions'!$D$15,E13/'Assumptions'!$D$15,0)+IF(9-3&lt;'Assumptions'!$D$15,F13/'Assumptions'!$D$15,0)+IF(9-4&lt;'Assumptions'!$D$15,G13/'Assumptions'!$D$15,0)+IF(9-5&lt;'Assumptions'!$D$15,H13/'Assumptions'!$D$15,0)+IF(9-6&lt;'Assumptions'!$D$15,I13/'Assumptions'!$D$15,0)+IF(9-7&lt;'Assumptions'!$D$15,J13/'Assumptions'!$D$15,0)+IF(9-8&lt;'Assumptions'!$D$15,K13/'Assumptions'!$D$15,0)+IF(9-9&lt;'Assumptions'!$D$15,L13/'Assumptions'!$D$15,0)</x:f>
        <x:v>597.0261482645001</x:v>
      </x:c>
      <x:c r="M18" s="10" t="n">
        <x:f>IF(10-1&lt;'Assumptions'!$D$15,D13/'Assumptions'!$D$15,0)+IF(10-2&lt;'Assumptions'!$D$15,E13/'Assumptions'!$D$15,0)+IF(10-3&lt;'Assumptions'!$D$15,F13/'Assumptions'!$D$15,0)+IF(10-4&lt;'Assumptions'!$D$15,G13/'Assumptions'!$D$15,0)+IF(10-5&lt;'Assumptions'!$D$15,H13/'Assumptions'!$D$15,0)+IF(10-6&lt;'Assumptions'!$D$15,I13/'Assumptions'!$D$15,0)+IF(10-7&lt;'Assumptions'!$D$15,J13/'Assumptions'!$D$15,0)+IF(10-8&lt;'Assumptions'!$D$15,K13/'Assumptions'!$D$15,0)+IF(10-9&lt;'Assumptions'!$D$15,L13/'Assumptions'!$D$15,0)+IF(10-10&lt;'Assumptions'!$D$15,M13/'Assumptions'!$D$15,0)</x:f>
        <x:v>652.3865919146225</x:v>
      </x:c>
      <x:c r="N18" s="10" t="n">
        <x:f>IF(11-1&lt;'Assumptions'!$D$15,D13/'Assumptions'!$D$15,0)+IF(11-2&lt;'Assumptions'!$D$15,E13/'Assumptions'!$D$15,0)+IF(11-3&lt;'Assumptions'!$D$15,F13/'Assumptions'!$D$15,0)+IF(11-4&lt;'Assumptions'!$D$15,G13/'Assumptions'!$D$15,0)+IF(11-5&lt;'Assumptions'!$D$15,H13/'Assumptions'!$D$15,0)+IF(11-6&lt;'Assumptions'!$D$15,I13/'Assumptions'!$D$15,0)+IF(11-7&lt;'Assumptions'!$D$15,J13/'Assumptions'!$D$15,0)+IF(11-8&lt;'Assumptions'!$D$15,K13/'Assumptions'!$D$15,0)+IF(11-9&lt;'Assumptions'!$D$15,L13/'Assumptions'!$D$15,0)+IF(11-10&lt;'Assumptions'!$D$15,M13/'Assumptions'!$D$15,0)+IF(11-11&lt;'Assumptions'!$D$15,N13/'Assumptions'!$D$15,0)</x:f>
        <x:v>652.3865919146225</x:v>
      </x:c>
      <x:c r="O18" s="10" t="n">
        <x:f>IF(12-1&lt;'Assumptions'!$D$15,D13/'Assumptions'!$D$15,0)+IF(12-2&lt;'Assumptions'!$D$15,E13/'Assumptions'!$D$15,0)+IF(12-3&lt;'Assumptions'!$D$15,F13/'Assumptions'!$D$15,0)+IF(12-4&lt;'Assumptions'!$D$15,G13/'Assumptions'!$D$15,0)+IF(12-5&lt;'Assumptions'!$D$15,H13/'Assumptions'!$D$15,0)+IF(12-6&lt;'Assumptions'!$D$15,I13/'Assumptions'!$D$15,0)+IF(12-7&lt;'Assumptions'!$D$15,J13/'Assumptions'!$D$15,0)+IF(12-8&lt;'Assumptions'!$D$15,K13/'Assumptions'!$D$15,0)+IF(12-9&lt;'Assumptions'!$D$15,L13/'Assumptions'!$D$15,0)+IF(12-10&lt;'Assumptions'!$D$15,M13/'Assumptions'!$D$15,0)+IF(12-11&lt;'Assumptions'!$D$15,N13/'Assumptions'!$D$15,0)+IF(12-12&lt;'Assumptions'!$D$15,O13/'Assumptions'!$D$15,0)</x:f>
        <x:v>652.3865919146225</x:v>
      </x:c>
      <x:c r="P18" s="10" t="n">
        <x:f>IF(13-1&lt;'Assumptions'!$D$15,D13/'Assumptions'!$D$15,0)+IF(13-2&lt;'Assumptions'!$D$15,E13/'Assumptions'!$D$15,0)+IF(13-3&lt;'Assumptions'!$D$15,F13/'Assumptions'!$D$15,0)+IF(13-4&lt;'Assumptions'!$D$15,G13/'Assumptions'!$D$15,0)+IF(13-5&lt;'Assumptions'!$D$15,H13/'Assumptions'!$D$15,0)+IF(13-6&lt;'Assumptions'!$D$15,I13/'Assumptions'!$D$15,0)+IF(13-7&lt;'Assumptions'!$D$15,J13/'Assumptions'!$D$15,0)+IF(13-8&lt;'Assumptions'!$D$15,K13/'Assumptions'!$D$15,0)+IF(13-9&lt;'Assumptions'!$D$15,L13/'Assumptions'!$D$15,0)+IF(13-10&lt;'Assumptions'!$D$15,M13/'Assumptions'!$D$15,0)+IF(13-11&lt;'Assumptions'!$D$15,N13/'Assumptions'!$D$15,0)+IF(13-12&lt;'Assumptions'!$D$15,O13/'Assumptions'!$D$15,0)+IF(13-13&lt;'Assumptions'!$D$15,P13/'Assumptions'!$D$15,0)</x:f>
        <x:v>712.8804434230897</x:v>
      </x:c>
      <x:c r="Q18" s="10" t="n">
        <x:f>IF(14-1&lt;'Assumptions'!$D$15,D13/'Assumptions'!$D$15,0)+IF(14-2&lt;'Assumptions'!$D$15,E13/'Assumptions'!$D$15,0)+IF(14-3&lt;'Assumptions'!$D$15,F13/'Assumptions'!$D$15,0)+IF(14-4&lt;'Assumptions'!$D$15,G13/'Assumptions'!$D$15,0)+IF(14-5&lt;'Assumptions'!$D$15,H13/'Assumptions'!$D$15,0)+IF(14-6&lt;'Assumptions'!$D$15,I13/'Assumptions'!$D$15,0)+IF(14-7&lt;'Assumptions'!$D$15,J13/'Assumptions'!$D$15,0)+IF(14-8&lt;'Assumptions'!$D$15,K13/'Assumptions'!$D$15,0)+IF(14-9&lt;'Assumptions'!$D$15,L13/'Assumptions'!$D$15,0)+IF(14-10&lt;'Assumptions'!$D$15,M13/'Assumptions'!$D$15,0)+IF(14-11&lt;'Assumptions'!$D$15,N13/'Assumptions'!$D$15,0)+IF(14-12&lt;'Assumptions'!$D$15,O13/'Assumptions'!$D$15,0)+IF(14-13&lt;'Assumptions'!$D$15,P13/'Assumptions'!$D$15,0)+IF(14-14&lt;'Assumptions'!$D$15,Q13/'Assumptions'!$D$15,0)</x:f>
        <x:v>712.8804434230897</x:v>
      </x:c>
      <x:c r="R18" s="10" t="n">
        <x:f>IF(15-1&lt;'Assumptions'!$D$15,D13/'Assumptions'!$D$15,0)+IF(15-2&lt;'Assumptions'!$D$15,E13/'Assumptions'!$D$15,0)+IF(15-3&lt;'Assumptions'!$D$15,F13/'Assumptions'!$D$15,0)+IF(15-4&lt;'Assumptions'!$D$15,G13/'Assumptions'!$D$15,0)+IF(15-5&lt;'Assumptions'!$D$15,H13/'Assumptions'!$D$15,0)+IF(15-6&lt;'Assumptions'!$D$15,I13/'Assumptions'!$D$15,0)+IF(15-7&lt;'Assumptions'!$D$15,J13/'Assumptions'!$D$15,0)+IF(15-8&lt;'Assumptions'!$D$15,K13/'Assumptions'!$D$15,0)+IF(15-9&lt;'Assumptions'!$D$15,L13/'Assumptions'!$D$15,0)+IF(15-10&lt;'Assumptions'!$D$15,M13/'Assumptions'!$D$15,0)+IF(15-11&lt;'Assumptions'!$D$15,N13/'Assumptions'!$D$15,0)+IF(15-12&lt;'Assumptions'!$D$15,O13/'Assumptions'!$D$15,0)+IF(15-13&lt;'Assumptions'!$D$15,P13/'Assumptions'!$D$15,0)+IF(15-14&lt;'Assumptions'!$D$15,Q13/'Assumptions'!$D$15,0)+IF(15-15&lt;'Assumptions'!$D$15,R13/'Assumptions'!$D$15,0)</x:f>
        <x:v>712.8804434230897</x:v>
      </x:c>
      <x:c r="S18" s="10" t="n">
        <x:f>IF(16-1&lt;'Assumptions'!$D$15,D13/'Assumptions'!$D$15,0)+IF(16-2&lt;'Assumptions'!$D$15,E13/'Assumptions'!$D$15,0)+IF(16-3&lt;'Assumptions'!$D$15,F13/'Assumptions'!$D$15,0)+IF(16-4&lt;'Assumptions'!$D$15,G13/'Assumptions'!$D$15,0)+IF(16-5&lt;'Assumptions'!$D$15,H13/'Assumptions'!$D$15,0)+IF(16-6&lt;'Assumptions'!$D$15,I13/'Assumptions'!$D$15,0)+IF(16-7&lt;'Assumptions'!$D$15,J13/'Assumptions'!$D$15,0)+IF(16-8&lt;'Assumptions'!$D$15,K13/'Assumptions'!$D$15,0)+IF(16-9&lt;'Assumptions'!$D$15,L13/'Assumptions'!$D$15,0)+IF(16-10&lt;'Assumptions'!$D$15,M13/'Assumptions'!$D$15,0)+IF(16-11&lt;'Assumptions'!$D$15,N13/'Assumptions'!$D$15,0)+IF(16-12&lt;'Assumptions'!$D$15,O13/'Assumptions'!$D$15,0)+IF(16-13&lt;'Assumptions'!$D$15,P13/'Assumptions'!$D$15,0)+IF(16-14&lt;'Assumptions'!$D$15,Q13/'Assumptions'!$D$15,0)+IF(16-15&lt;'Assumptions'!$D$15,R13/'Assumptions'!$D$15,0)+IF(16-16&lt;'Assumptions'!$D$15,S13/'Assumptions'!$D$15,0)</x:f>
        <x:v>778.9837083003825</x:v>
      </x:c>
      <x:c r="T18" s="10" t="n">
        <x:f>IF(17-1&lt;'Assumptions'!$D$15,D13/'Assumptions'!$D$15,0)+IF(17-2&lt;'Assumptions'!$D$15,E13/'Assumptions'!$D$15,0)+IF(17-3&lt;'Assumptions'!$D$15,F13/'Assumptions'!$D$15,0)+IF(17-4&lt;'Assumptions'!$D$15,G13/'Assumptions'!$D$15,0)+IF(17-5&lt;'Assumptions'!$D$15,H13/'Assumptions'!$D$15,0)+IF(17-6&lt;'Assumptions'!$D$15,I13/'Assumptions'!$D$15,0)+IF(17-7&lt;'Assumptions'!$D$15,J13/'Assumptions'!$D$15,0)+IF(17-8&lt;'Assumptions'!$D$15,K13/'Assumptions'!$D$15,0)+IF(17-9&lt;'Assumptions'!$D$15,L13/'Assumptions'!$D$15,0)+IF(17-10&lt;'Assumptions'!$D$15,M13/'Assumptions'!$D$15,0)+IF(17-11&lt;'Assumptions'!$D$15,N13/'Assumptions'!$D$15,0)+IF(17-12&lt;'Assumptions'!$D$15,O13/'Assumptions'!$D$15,0)+IF(17-13&lt;'Assumptions'!$D$15,P13/'Assumptions'!$D$15,0)+IF(17-14&lt;'Assumptions'!$D$15,Q13/'Assumptions'!$D$15,0)+IF(17-15&lt;'Assumptions'!$D$15,R13/'Assumptions'!$D$15,0)+IF(17-16&lt;'Assumptions'!$D$15,S13/'Assumptions'!$D$15,0)+IF(17-17&lt;'Assumptions'!$D$15,T13/'Assumptions'!$D$15,0)</x:f>
        <x:v>778.9837083003825</x:v>
      </x:c>
      <x:c r="U18" s="10" t="n">
        <x:f>IF(18-1&lt;'Assumptions'!$D$15,D13/'Assumptions'!$D$15,0)+IF(18-2&lt;'Assumptions'!$D$15,E13/'Assumptions'!$D$15,0)+IF(18-3&lt;'Assumptions'!$D$15,F13/'Assumptions'!$D$15,0)+IF(18-4&lt;'Assumptions'!$D$15,G13/'Assumptions'!$D$15,0)+IF(18-5&lt;'Assumptions'!$D$15,H13/'Assumptions'!$D$15,0)+IF(18-6&lt;'Assumptions'!$D$15,I13/'Assumptions'!$D$15,0)+IF(18-7&lt;'Assumptions'!$D$15,J13/'Assumptions'!$D$15,0)+IF(18-8&lt;'Assumptions'!$D$15,K13/'Assumptions'!$D$15,0)+IF(18-9&lt;'Assumptions'!$D$15,L13/'Assumptions'!$D$15,0)+IF(18-10&lt;'Assumptions'!$D$15,M13/'Assumptions'!$D$15,0)+IF(18-11&lt;'Assumptions'!$D$15,N13/'Assumptions'!$D$15,0)+IF(18-12&lt;'Assumptions'!$D$15,O13/'Assumptions'!$D$15,0)+IF(18-13&lt;'Assumptions'!$D$15,P13/'Assumptions'!$D$15,0)+IF(18-14&lt;'Assumptions'!$D$15,Q13/'Assumptions'!$D$15,0)+IF(18-15&lt;'Assumptions'!$D$15,R13/'Assumptions'!$D$15,0)+IF(18-16&lt;'Assumptions'!$D$15,S13/'Assumptions'!$D$15,0)+IF(18-17&lt;'Assumptions'!$D$15,T13/'Assumptions'!$D$15,0)+IF(18-18&lt;'Assumptions'!$D$15,U13/'Assumptions'!$D$15,0)</x:f>
        <x:v>778.9837083003825</x:v>
      </x:c>
      <x:c r="V18" s="10" t="n">
        <x:f>IF(19-1&lt;'Assumptions'!$D$15,D13/'Assumptions'!$D$15,0)+IF(19-2&lt;'Assumptions'!$D$15,E13/'Assumptions'!$D$15,0)+IF(19-3&lt;'Assumptions'!$D$15,F13/'Assumptions'!$D$15,0)+IF(19-4&lt;'Assumptions'!$D$15,G13/'Assumptions'!$D$15,0)+IF(19-5&lt;'Assumptions'!$D$15,H13/'Assumptions'!$D$15,0)+IF(19-6&lt;'Assumptions'!$D$15,I13/'Assumptions'!$D$15,0)+IF(19-7&lt;'Assumptions'!$D$15,J13/'Assumptions'!$D$15,0)+IF(19-8&lt;'Assumptions'!$D$15,K13/'Assumptions'!$D$15,0)+IF(19-9&lt;'Assumptions'!$D$15,L13/'Assumptions'!$D$15,0)+IF(19-10&lt;'Assumptions'!$D$15,M13/'Assumptions'!$D$15,0)+IF(19-11&lt;'Assumptions'!$D$15,N13/'Assumptions'!$D$15,0)+IF(19-12&lt;'Assumptions'!$D$15,O13/'Assumptions'!$D$15,0)+IF(19-13&lt;'Assumptions'!$D$15,P13/'Assumptions'!$D$15,0)+IF(19-14&lt;'Assumptions'!$D$15,Q13/'Assumptions'!$D$15,0)+IF(19-15&lt;'Assumptions'!$D$15,R13/'Assumptions'!$D$15,0)+IF(19-16&lt;'Assumptions'!$D$15,S13/'Assumptions'!$D$15,0)+IF(19-17&lt;'Assumptions'!$D$15,T13/'Assumptions'!$D$15,0)+IF(19-18&lt;'Assumptions'!$D$15,U13/'Assumptions'!$D$15,0)+IF(19-19&lt;'Assumptions'!$D$15,V13/'Assumptions'!$D$15,0)</x:f>
        <x:v>851.2165306199522</x:v>
      </x:c>
      <x:c r="W18" s="10" t="n">
        <x:f>IF(20-1&lt;'Assumptions'!$D$15,D13/'Assumptions'!$D$15,0)+IF(20-2&lt;'Assumptions'!$D$15,E13/'Assumptions'!$D$15,0)+IF(20-3&lt;'Assumptions'!$D$15,F13/'Assumptions'!$D$15,0)+IF(20-4&lt;'Assumptions'!$D$15,G13/'Assumptions'!$D$15,0)+IF(20-5&lt;'Assumptions'!$D$15,H13/'Assumptions'!$D$15,0)+IF(20-6&lt;'Assumptions'!$D$15,I13/'Assumptions'!$D$15,0)+IF(20-7&lt;'Assumptions'!$D$15,J13/'Assumptions'!$D$15,0)+IF(20-8&lt;'Assumptions'!$D$15,K13/'Assumptions'!$D$15,0)+IF(20-9&lt;'Assumptions'!$D$15,L13/'Assumptions'!$D$15,0)+IF(20-10&lt;'Assumptions'!$D$15,M13/'Assumptions'!$D$15,0)+IF(20-11&lt;'Assumptions'!$D$15,N13/'Assumptions'!$D$15,0)+IF(20-12&lt;'Assumptions'!$D$15,O13/'Assumptions'!$D$15,0)+IF(20-13&lt;'Assumptions'!$D$15,P13/'Assumptions'!$D$15,0)+IF(20-14&lt;'Assumptions'!$D$15,Q13/'Assumptions'!$D$15,0)+IF(20-15&lt;'Assumptions'!$D$15,R13/'Assumptions'!$D$15,0)+IF(20-16&lt;'Assumptions'!$D$15,S13/'Assumptions'!$D$15,0)+IF(20-17&lt;'Assumptions'!$D$15,T13/'Assumptions'!$D$15,0)+IF(20-18&lt;'Assumptions'!$D$15,U13/'Assumptions'!$D$15,0)+IF(20-19&lt;'Assumptions'!$D$15,V13/'Assumptions'!$D$15,0)+IF(20-20&lt;'Assumptions'!$D$15,W13/'Assumptions'!$D$15,0)</x:f>
        <x:v>851.2165306199522</x:v>
      </x:c>
    </x:row>
    <x:row r="19" ht="16" customHeight="1">
      <x:c r="A19" s="1"/>
      <x:c r="B19" s="1"/>
      <x:c r="C19" s="7" t="str">
        <x:v>Closing net fixed assets</x:v>
      </x:c>
      <x:c r="D19" s="11" t="n">
        <x:f>D17+D13-D18</x:f>
        <x:v>1000</x:v>
      </x:c>
      <x:c r="E19" s="11" t="n">
        <x:f>E17+E13-E18</x:f>
        <x:v>500</x:v>
      </x:c>
      <x:c r="F19" s="11" t="n">
        <x:f>F17+F13-F18</x:f>
        <x:v>0</x:v>
      </x:c>
      <x:c r="G19" s="11" t="n">
        <x:f>G17+G13-G18</x:f>
        <x:v>1092.7269999999999</x:v>
      </x:c>
      <x:c r="H19" s="11" t="n">
        <x:f>H17+H13-H18</x:f>
        <x:v>546.3634999999998</x:v>
      </x:c>
      <x:c r="I19" s="11" t="n">
        <x:f>I17+I13-I18</x:f>
        <x:v>-2.2737367544323206e-13</x:v>
      </x:c>
      <x:c r="J19" s="11" t="n">
        <x:f>J17+J13-J18</x:f>
        <x:v>1194.052296529</x:v>
      </x:c>
      <x:c r="K19" s="11" t="n">
        <x:f>K17+K13-K18</x:f>
        <x:v>597.0261482644999</x:v>
      </x:c>
      <x:c r="L19" s="11" t="n">
        <x:f>L17+L13-L18</x:f>
        <x:v>-2.2737367544323206e-13</x:v>
      </x:c>
      <x:c r="M19" s="11" t="n">
        <x:f>M17+M13-M18</x:f>
        <x:v>1304.7731838292448</x:v>
      </x:c>
      <x:c r="N19" s="11" t="n">
        <x:f>N17+N13-N18</x:f>
        <x:v>652.3865919146223</x:v>
      </x:c>
      <x:c r="O19" s="11" t="n">
        <x:f>O17+O13-O18</x:f>
        <x:v>-2.2737367544323206e-13</x:v>
      </x:c>
      <x:c r="P19" s="11" t="n">
        <x:f>P17+P13-P18</x:f>
        <x:v>1425.7608868461793</x:v>
      </x:c>
      <x:c r="Q19" s="11" t="n">
        <x:f>Q17+Q13-Q18</x:f>
        <x:v>712.8804434230897</x:v>
      </x:c>
      <x:c r="R19" s="11" t="n">
        <x:f>R17+R13-R18</x:f>
        <x:v>0</x:v>
      </x:c>
      <x:c r="S19" s="11" t="n">
        <x:f>S17+S13-S18</x:f>
        <x:v>1557.9674166007649</x:v>
      </x:c>
      <x:c r="T19" s="11" t="n">
        <x:f>T17+T13-T18</x:f>
        <x:v>778.9837083003823</x:v>
      </x:c>
      <x:c r="U19" s="11" t="n">
        <x:f>U17+U13-U18</x:f>
        <x:v>-2.2737367544323206e-13</x:v>
      </x:c>
      <x:c r="V19" s="11" t="n">
        <x:f>V17+V13-V18</x:f>
        <x:v>1702.4330612399044</x:v>
      </x:c>
      <x:c r="W19" s="11" t="n">
        <x:f>W17+W13-W18</x:f>
        <x:v>851.2165306199522</x:v>
      </x:c>
    </x:row>
    <x:row r="20" ht="16" customHeight="1">
      <x:c r="A20" s="1"/>
      <x:c r="B20" s="1"/>
      <x:c r="C20" s="1" t="str">
        <x:v>Closing receivables</x:v>
      </x:c>
      <x:c r="D20" s="10" t="n">
        <x:f>SUM('Revenue and costs'!X8:X135)</x:f>
        <x:v>62343.19333333334</x:v>
      </x:c>
      <x:c r="E20" s="10" t="n">
        <x:f>SUM('Revenue and costs'!X136:X263)</x:f>
        <x:v>57192.115485999995</x:v>
      </x:c>
      <x:c r="F20" s="10" t="n">
        <x:f>SUM('Revenue and costs'!X264:X391)</x:f>
        <x:v>67664.728331554</x:v>
      </x:c>
      <x:c r="G20" s="10" t="n">
        <x:f>SUM('Revenue and costs'!X392:X519)</x:f>
        <x:v>77169.69673353013</x:v>
      </x:c>
      <x:c r="H20" s="10" t="n">
        <x:f>SUM('Revenue and costs'!X520:X647)</x:f>
        <x:v>86728.60912652394</x:v>
      </x:c>
      <x:c r="I20" s="10" t="n">
        <x:f>SUM('Revenue and costs'!X648:X775)</x:f>
        <x:v>93414.88925934727</x:v>
      </x:c>
      <x:c r="J20" s="10" t="n">
        <x:f>SUM('Revenue and costs'!X776:X903)</x:f>
        <x:v>98792.69042421004</x:v>
      </x:c>
      <x:c r="K20" s="10" t="n">
        <x:f>SUM('Revenue and costs'!X904:X1031)</x:f>
        <x:v>103618.9980036584</x:v>
      </x:c>
      <x:c r="L20" s="10" t="n">
        <x:f>SUM('Revenue and costs'!X1032:X1159)</x:f>
        <x:v>108266.9393821052</x:v>
      </x:c>
      <x:c r="M20" s="10" t="n">
        <x:f>SUM('Revenue and costs'!X1160:X1287)</x:f>
        <x:v>112924.44609252106</x:v>
      </x:c>
      <x:c r="N20" s="10" t="n">
        <x:f>SUM('Revenue and costs'!X1288:X1415)</x:f>
        <x:v>117689.16691139474</x:v>
      </x:c>
      <x:c r="O20" s="10" t="n">
        <x:f>SUM('Revenue and costs'!X1416:X1543)</x:f>
        <x:v>122614.46298102335</x:v>
      </x:c>
      <x:c r="P20" s="10" t="n">
        <x:f>SUM('Revenue and costs'!X1544:X1671)</x:f>
        <x:v>127731.94622379007</x:v>
      </x:c>
      <x:c r="Q20" s="10" t="n">
        <x:f>SUM('Revenue and costs'!X1672:X1799)</x:f>
        <x:v>133062.62025251647</x:v>
      </x:c>
      <x:c r="R20" s="10" t="n">
        <x:f>SUM('Revenue and costs'!X1800:X1927)</x:f>
        <x:v>138622.42707417556</x:v>
      </x:c>
      <x:c r="S20" s="10" t="n">
        <x:f>SUM('Revenue and costs'!X1928:X2055)</x:f>
        <x:v>144425.0272854621</x:v>
      </x:c>
      <x:c r="T20" s="10" t="n">
        <x:f>SUM('Revenue and costs'!X2056:X2183)</x:f>
        <x:v>150483.20470760218</x:v>
      </x:c>
      <x:c r="U20" s="10" t="n">
        <x:f>SUM('Revenue and costs'!X2184:X2311)</x:f>
        <x:v>156809.5845523513</x:v>
      </x:c>
      <x:c r="V20" s="10" t="n">
        <x:f>SUM('Revenue and costs'!X2312:X2439)</x:f>
        <x:v>163417.00831252246</x:v>
      </x:c>
      <x:c r="W20" s="10" t="n">
        <x:f>SUM('Revenue and costs'!X2440:X2567)</x:f>
        <x:v>170318.73697401592</x:v>
      </x:c>
    </x:row>
    <x:row r="21" ht="16" customHeight="1">
      <x:c r="A21" s="1"/>
      <x:c r="B21" s="1"/>
      <x:c r="C21" s="1" t="str">
        <x:v>Closing materials reserve</x:v>
      </x:c>
      <x:c r="D21" s="10" t="n">
        <x:f>SUM('Revenue and costs'!Y8:Y135)</x:f>
        <x:v>10533.333333333334</x:v>
      </x:c>
      <x:c r="E21" s="10" t="n">
        <x:f>SUM('Revenue and costs'!Y136:Y263)</x:f>
        <x:v>10001.106016666667</x:v>
      </x:c>
      <x:c r="F21" s="10" t="n">
        <x:f>SUM('Revenue and costs'!Y264:Y391)</x:f>
        <x:v>12560.114875609997</x:v>
      </x:c>
      <x:c r="G21" s="10" t="n">
        <x:f>SUM('Revenue and costs'!Y392:Y519)</x:f>
        <x:v>14804.227949702678</x:v>
      </x:c>
      <x:c r="H21" s="10" t="n">
        <x:f>SUM('Revenue and costs'!Y520:Y647)</x:f>
        <x:v>17143.709809643442</x:v>
      </x:c>
      <x:c r="I21" s="10" t="n">
        <x:f>SUM('Revenue and costs'!Y648:Y775)</x:f>
        <x:v>18707.910609713006</x:v>
      </x:c>
      <x:c r="J21" s="10" t="n">
        <x:f>SUM('Revenue and costs'!Y776:Y903)</x:f>
        <x:v>20050.787403620747</x:v>
      </x:c>
      <x:c r="K21" s="10" t="n">
        <x:f>SUM('Revenue and costs'!Y904:Y1031)</x:f>
        <x:v>21359.342914329955</x:v>
      </x:c>
      <x:c r="L21" s="10" t="n">
        <x:f>SUM('Revenue and costs'!Y1032:Y1159)</x:f>
        <x:v>22701.40398215411</x:v>
      </x:c>
      <x:c r="M21" s="10" t="n">
        <x:f>SUM('Revenue and costs'!Y1160:Y1287)</x:f>
        <x:v>24105.024540458515</x:v>
      </x:c>
      <x:c r="N21" s="10" t="n">
        <x:f>SUM('Revenue and costs'!Y1288:Y1415)</x:f>
        <x:v>25584.474860399074</x:v>
      </x:c>
      <x:c r="O21" s="10" t="n">
        <x:f>SUM('Revenue and costs'!Y1416:Y1543)</x:f>
        <x:v>27149.042722146827</x:v>
      </x:c>
      <x:c r="P21" s="10" t="n">
        <x:f>SUM('Revenue and costs'!Y1544:Y1671)</x:f>
        <x:v>28806.174855844525</x:v>
      </x:c>
      <x:c r="Q21" s="10" t="n">
        <x:f>SUM('Revenue and costs'!Y1672:Y1799)</x:f>
        <x:v>30562.68650221159</x:v>
      </x:c>
      <x:c r="R21" s="10" t="n">
        <x:f>SUM('Revenue and costs'!Y1800:Y1927)</x:f>
        <x:v>32425.275746145202</x:v>
      </x:c>
      <x:c r="S21" s="10" t="n">
        <x:f>SUM('Revenue and costs'!Y1928:Y2055)</x:f>
        <x:v>34400.769381206</x:v>
      </x:c>
      <x:c r="T21" s="10" t="n">
        <x:f>SUM('Revenue and costs'!Y2056:Y2183)</x:f>
        <x:v>36496.256250443395</x:v>
      </x:c>
      <x:c r="U21" s="10" t="n">
        <x:f>SUM('Revenue and costs'!Y2184:Y2311)</x:f>
        <x:v>38719.169506927356</x:v>
      </x:c>
      <x:c r="V21" s="10" t="n">
        <x:f>SUM('Revenue and costs'!Y2312:Y2439)</x:f>
        <x:v>41077.34421020029</x:v>
      </x:c>
      <x:c r="W21" s="10" t="n">
        <x:f>SUM('Revenue and costs'!Y2440:Y2567)</x:f>
        <x:v>43579.062656301045</x:v>
      </x:c>
    </x:row>
    <x:row r="22" ht="16" customHeight="1">
      <x:c r="A22" s="1"/>
      <x:c r="B22" s="1"/>
      <x:c r="C22" s="1" t="str">
        <x:v>External financing authorized</x:v>
      </x:c>
      <x:c r="D22" s="10" t="n">
        <x:f>'Assumptions'!$D$16</x:f>
        <x:v>0</x:v>
      </x:c>
      <x:c r="E22" s="10" t="n">
        <x:f>'Assumptions'!$D$16</x:f>
        <x:v>0</x:v>
      </x:c>
      <x:c r="F22" s="10" t="n">
        <x:f>'Assumptions'!$D$16</x:f>
        <x:v>0</x:v>
      </x:c>
      <x:c r="G22" s="10" t="n">
        <x:f>'Assumptions'!$D$16</x:f>
        <x:v>0</x:v>
      </x:c>
      <x:c r="H22" s="10" t="n">
        <x:f>'Assumptions'!$D$16</x:f>
        <x:v>0</x:v>
      </x:c>
      <x:c r="I22" s="10" t="n">
        <x:f>'Assumptions'!$D$16</x:f>
        <x:v>0</x:v>
      </x:c>
      <x:c r="J22" s="10" t="n">
        <x:f>'Assumptions'!$D$16</x:f>
        <x:v>0</x:v>
      </x:c>
      <x:c r="K22" s="10" t="n">
        <x:f>'Assumptions'!$D$16</x:f>
        <x:v>0</x:v>
      </x:c>
      <x:c r="L22" s="10" t="n">
        <x:f>'Assumptions'!$D$16</x:f>
        <x:v>0</x:v>
      </x:c>
      <x:c r="M22" s="10" t="n">
        <x:f>'Assumptions'!$D$16</x:f>
        <x:v>0</x:v>
      </x:c>
      <x:c r="N22" s="10" t="n">
        <x:f>'Assumptions'!$D$16</x:f>
        <x:v>0</x:v>
      </x:c>
      <x:c r="O22" s="10" t="n">
        <x:f>'Assumptions'!$D$16</x:f>
        <x:v>0</x:v>
      </x:c>
      <x:c r="P22" s="10" t="n">
        <x:f>'Assumptions'!$D$16</x:f>
        <x:v>0</x:v>
      </x:c>
      <x:c r="Q22" s="10" t="n">
        <x:f>'Assumptions'!$D$16</x:f>
        <x:v>0</x:v>
      </x:c>
      <x:c r="R22" s="10" t="n">
        <x:f>'Assumptions'!$D$16</x:f>
        <x:v>0</x:v>
      </x:c>
      <x:c r="S22" s="10" t="n">
        <x:f>'Assumptions'!$D$16</x:f>
        <x:v>0</x:v>
      </x:c>
      <x:c r="T22" s="10" t="n">
        <x:f>'Assumptions'!$D$16</x:f>
        <x:v>0</x:v>
      </x:c>
      <x:c r="U22" s="10" t="n">
        <x:f>'Assumptions'!$D$16</x:f>
        <x:v>0</x:v>
      </x:c>
      <x:c r="V22" s="10" t="n">
        <x:f>'Assumptions'!$D$16</x:f>
        <x:v>0</x:v>
      </x:c>
      <x:c r="W22" s="10" t="n">
        <x:f>'Assumptions'!$D$16</x:f>
        <x:v>0</x:v>
      </x:c>
    </x:row>
    <x:row r="23" ht="16" customHeight="1">
      <x:c r="A23" s="1"/>
      <x:c r="B23" s="1"/>
      <x:c r="C23" s="1" t="str">
        <x:v>Assumed opening cash, not a verified cash balance</x:v>
      </x:c>
      <x:c r="D23" s="10" t="n">
        <x:f>'Assumptions'!$D$17</x:f>
        <x:v>0</x:v>
      </x:c>
      <x:c r="E23" s="10" t="n">
        <x:f>'Assumptions'!$D$17</x:f>
        <x:v>0</x:v>
      </x:c>
      <x:c r="F23" s="10" t="n">
        <x:f>'Assumptions'!$D$17</x:f>
        <x:v>0</x:v>
      </x:c>
      <x:c r="G23" s="10" t="n">
        <x:f>'Assumptions'!$D$17</x:f>
        <x:v>0</x:v>
      </x:c>
      <x:c r="H23" s="10" t="n">
        <x:f>'Assumptions'!$D$17</x:f>
        <x:v>0</x:v>
      </x:c>
      <x:c r="I23" s="10" t="n">
        <x:f>'Assumptions'!$D$17</x:f>
        <x:v>0</x:v>
      </x:c>
      <x:c r="J23" s="10" t="n">
        <x:f>'Assumptions'!$D$17</x:f>
        <x:v>0</x:v>
      </x:c>
      <x:c r="K23" s="10" t="n">
        <x:f>'Assumptions'!$D$17</x:f>
        <x:v>0</x:v>
      </x:c>
      <x:c r="L23" s="10" t="n">
        <x:f>'Assumptions'!$D$17</x:f>
        <x:v>0</x:v>
      </x:c>
      <x:c r="M23" s="10" t="n">
        <x:f>'Assumptions'!$D$17</x:f>
        <x:v>0</x:v>
      </x:c>
      <x:c r="N23" s="10" t="n">
        <x:f>'Assumptions'!$D$17</x:f>
        <x:v>0</x:v>
      </x:c>
      <x:c r="O23" s="10" t="n">
        <x:f>'Assumptions'!$D$17</x:f>
        <x:v>0</x:v>
      </x:c>
      <x:c r="P23" s="10" t="n">
        <x:f>'Assumptions'!$D$17</x:f>
        <x:v>0</x:v>
      </x:c>
      <x:c r="Q23" s="10" t="n">
        <x:f>'Assumptions'!$D$17</x:f>
        <x:v>0</x:v>
      </x:c>
      <x:c r="R23" s="10" t="n">
        <x:f>'Assumptions'!$D$17</x:f>
        <x:v>0</x:v>
      </x:c>
      <x:c r="S23" s="10" t="n">
        <x:f>'Assumptions'!$D$17</x:f>
        <x:v>0</x:v>
      </x:c>
      <x:c r="T23" s="10" t="n">
        <x:f>'Assumptions'!$D$17</x:f>
        <x:v>0</x:v>
      </x:c>
      <x:c r="U23" s="10" t="n">
        <x:f>'Assumptions'!$D$17</x:f>
        <x:v>0</x:v>
      </x:c>
      <x:c r="V23" s="10" t="n">
        <x:f>'Assumptions'!$D$17</x:f>
        <x:v>0</x:v>
      </x:c>
      <x:c r="W23" s="10" t="n">
        <x:f>'Assumptions'!$D$17</x:f>
        <x:v>0</x:v>
      </x:c>
    </x:row>
    <x:row r="24" ht="16" customHeight="1">
      <x:c r="A24" s="1"/>
      <x:c r="B24" s="1"/>
      <x:c r="C24" s="7" t="str">
        <x:v>Cash requirement versus authorized funds</x:v>
      </x:c>
      <x:c r="D24" s="11" t="n">
        <x:f>MAX(0,D16-D22-D23)</x:f>
        <x:v>25216.872599999995</x:v>
      </x:c>
      <x:c r="E24" s="11" t="n">
        <x:f>MAX(0,E16-E22-E23)</x:f>
        <x:v>25216.872599999995</x:v>
      </x:c>
      <x:c r="F24" s="11" t="n">
        <x:f>MAX(0,F16-F22-F23)</x:f>
        <x:v>25216.872599999995</x:v>
      </x:c>
      <x:c r="G24" s="11" t="n">
        <x:f>MAX(0,G16-G22-G23)</x:f>
        <x:v>25216.872599999995</x:v>
      </x:c>
      <x:c r="H24" s="11" t="n">
        <x:f>MAX(0,H16-H22-H23)</x:f>
        <x:v>25216.872599999995</x:v>
      </x:c>
      <x:c r="I24" s="11" t="n">
        <x:f>MAX(0,I16-I22-I23)</x:f>
        <x:v>25216.872599999995</x:v>
      </x:c>
      <x:c r="J24" s="11" t="n">
        <x:f>MAX(0,J16-J22-J23)</x:f>
        <x:v>25216.872599999995</x:v>
      </x:c>
      <x:c r="K24" s="11" t="n">
        <x:f>MAX(0,K16-K22-K23)</x:f>
        <x:v>25216.872599999995</x:v>
      </x:c>
      <x:c r="L24" s="11" t="n">
        <x:f>MAX(0,L16-L22-L23)</x:f>
        <x:v>25216.872599999995</x:v>
      </x:c>
      <x:c r="M24" s="11" t="n">
        <x:f>MAX(0,M16-M22-M23)</x:f>
        <x:v>25216.872599999995</x:v>
      </x:c>
      <x:c r="N24" s="11" t="n">
        <x:f>MAX(0,N16-N22-N23)</x:f>
        <x:v>25216.872599999995</x:v>
      </x:c>
      <x:c r="O24" s="11" t="n">
        <x:f>MAX(0,O16-O22-O23)</x:f>
        <x:v>25216.872599999995</x:v>
      </x:c>
      <x:c r="P24" s="11" t="n">
        <x:f>MAX(0,P16-P22-P23)</x:f>
        <x:v>25216.872599999995</x:v>
      </x:c>
      <x:c r="Q24" s="11" t="n">
        <x:f>MAX(0,Q16-Q22-Q23)</x:f>
        <x:v>25216.872599999995</x:v>
      </x:c>
      <x:c r="R24" s="11" t="n">
        <x:f>MAX(0,R16-R22-R23)</x:f>
        <x:v>25216.872599999995</x:v>
      </x:c>
      <x:c r="S24" s="11" t="n">
        <x:f>MAX(0,S16-S22-S23)</x:f>
        <x:v>25216.872599999995</x:v>
      </x:c>
      <x:c r="T24" s="11" t="n">
        <x:f>MAX(0,T16-T22-T23)</x:f>
        <x:v>25216.872599999995</x:v>
      </x:c>
      <x:c r="U24" s="11" t="n">
        <x:f>MAX(0,U16-U22-U23)</x:f>
        <x:v>25216.872599999995</x:v>
      </x:c>
      <x:c r="V24" s="11" t="n">
        <x:f>MAX(0,V16-V22-V23)</x:f>
        <x:v>25216.872599999995</x:v>
      </x:c>
      <x:c r="W24" s="11" t="n">
        <x:f>MAX(0,W16-W22-W23)</x:f>
        <x:v>25216.872599999995</x:v>
      </x:c>
    </x:row>
    <x:row r="25" ht="16" customHeight="1">
      <x:c r="A25" s="1"/>
      <x:c r="B25" s="1"/>
      <x:c r="C25" s="1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  <x:c r="T25" s="10"/>
      <x:c r="U25" s="10"/>
      <x:c r="V25" s="10"/>
      <x:c r="W25" s="10"/>
    </x:row>
    <x:row r="26" ht="16" customHeight="1">
      <x:c r="A26" s="1"/>
      <x:c r="B26" s="1"/>
      <x:c r="C26" s="1" t="str">
        <x:v>Target paid delivery/support hours</x:v>
      </x:c>
      <x:c r="D26" s="10" t="n">
        <x:f>'Income statement'!D90</x:f>
        <x:v>6976.338000000001</x:v>
      </x:c>
      <x:c r="E26" s="10" t="n">
        <x:f>'Income statement'!E90</x:f>
        <x:v>9315.0582</x:v>
      </x:c>
      <x:c r="F26" s="10" t="n">
        <x:f>'Income statement'!F90</x:f>
        <x:v>11062.540810000008</x:v>
      </x:c>
      <x:c r="G26" s="10" t="n">
        <x:f>'Income statement'!G90</x:f>
        <x:v>12703.21737579999</x:v>
      </x:c>
      <x:c r="H26" s="10" t="n">
        <x:f>'Income statement'!H90</x:f>
        <x:v>14422.639870880996</x:v>
      </x:c>
      <x:c r="I26" s="10" t="n">
        <x:f>'Income statement'!I90</x:f>
        <x:v>15500.546582083778</x:v>
      </x:c>
      <x:c r="J26" s="10" t="n">
        <x:f>'Income statement'!J90</x:f>
        <x:v>16312.997089181763</x:v>
      </x:c>
      <x:c r="K26" s="10" t="n">
        <x:f>'Income statement'!K90</x:f>
        <x:v>17004.31829865815</x:v>
      </x:c>
      <x:c r="L26" s="10" t="n">
        <x:f>'Income statement'!L90</x:f>
        <x:v>17637.971729764886</x:v>
      </x:c>
      <x:c r="M26" s="10" t="n">
        <x:f>'Income statement'!M90</x:f>
        <x:v>18245.369239118558</x:v>
      </x:c>
      <x:c r="N26" s="10" t="n">
        <x:f>'Income statement'!N90</x:f>
        <x:v>18843.56735221121</x:v>
      </x:c>
      <x:c r="O26" s="10" t="n">
        <x:f>'Income statement'!O90</x:f>
        <x:v>19442.512838177812</x:v>
      </x:c>
      <x:c r="P26" s="10" t="n">
        <x:f>'Income statement'!P90</x:f>
        <x:v>20048.356145517813</x:v>
      </x:c>
      <x:c r="Q26" s="10" t="n">
        <x:f>'Income statement'!Q90</x:f>
        <x:v>20665.106056040207</x:v>
      </x:c>
      <x:c r="R26" s="10" t="n">
        <x:f>'Income statement'!R90</x:f>
        <x:v>21295.512608279045</x:v>
      </x:c>
      <x:c r="S26" s="10" t="n">
        <x:f>'Income statement'!S90</x:f>
        <x:v>21941.562660236454</x:v>
      </x:c>
      <x:c r="T26" s="10" t="n">
        <x:f>'Income statement'!T90</x:f>
        <x:v>22604.769536878488</x:v>
      </x:c>
      <x:c r="U26" s="10" t="n">
        <x:f>'Income statement'!U90</x:f>
        <x:v>23286.34817882657</x:v>
      </x:c>
      <x:c r="V26" s="10" t="n">
        <x:f>'Income statement'!V90</x:f>
        <x:v>23987.32419525202</x:v>
      </x:c>
      <x:c r="W26" s="10" t="n">
        <x:f>'Income statement'!W90</x:f>
        <x:v>24708.60349900802</x:v>
      </x:c>
    </x:row>
    <x:row r="27" ht="16" customHeight="1">
      <x:c r="A27" s="1"/>
      <x:c r="B27" s="1"/>
      <x:c r="C27" s="1" t="str">
        <x:v>Target equivalent 1,600-hour capacity</x:v>
      </x:c>
      <x:c r="D27" s="21" t="n">
        <x:f>D26/1600</x:f>
        <x:v>4.360211250000001</x:v>
      </x:c>
      <x:c r="E27" s="21" t="n">
        <x:f>E26/1600</x:f>
        <x:v>5.821911375</x:v>
      </x:c>
      <x:c r="F27" s="21" t="n">
        <x:f>F26/1600</x:f>
        <x:v>6.9140880062500045</x:v>
      </x:c>
      <x:c r="G27" s="21" t="n">
        <x:f>G26/1600</x:f>
        <x:v>7.939510859874994</x:v>
      </x:c>
      <x:c r="H27" s="21" t="n">
        <x:f>H26/1600</x:f>
        <x:v>9.014149919300623</x:v>
      </x:c>
      <x:c r="I27" s="21" t="n">
        <x:f>I26/1600</x:f>
        <x:v>9.68784161380236</x:v>
      </x:c>
      <x:c r="J27" s="21" t="n">
        <x:f>J26/1600</x:f>
        <x:v>10.195623180738602</x:v>
      </x:c>
      <x:c r="K27" s="21" t="n">
        <x:f>K26/1600</x:f>
        <x:v>10.627698936661343</x:v>
      </x:c>
      <x:c r="L27" s="21" t="n">
        <x:f>L26/1600</x:f>
        <x:v>11.023732331103053</x:v>
      </x:c>
      <x:c r="M27" s="21" t="n">
        <x:f>M26/1600</x:f>
        <x:v>11.403355774449098</x:v>
      </x:c>
      <x:c r="N27" s="21" t="n">
        <x:f>N26/1600</x:f>
        <x:v>11.777229595132006</x:v>
      </x:c>
      <x:c r="O27" s="21" t="n">
        <x:f>O26/1600</x:f>
        <x:v>12.151570523861132</x:v>
      </x:c>
      <x:c r="P27" s="21" t="n">
        <x:f>P26/1600</x:f>
        <x:v>12.530222590948632</x:v>
      </x:c>
      <x:c r="Q27" s="21" t="n">
        <x:f>Q26/1600</x:f>
        <x:v>12.91569128502513</x:v>
      </x:c>
      <x:c r="R27" s="21" t="n">
        <x:f>R26/1600</x:f>
        <x:v>13.309695380174404</x:v>
      </x:c>
      <x:c r="S27" s="21" t="n">
        <x:f>S26/1600</x:f>
        <x:v>13.713476662647784</x:v>
      </x:c>
      <x:c r="T27" s="21" t="n">
        <x:f>T26/1600</x:f>
        <x:v>14.127980960549055</x:v>
      </x:c>
      <x:c r="U27" s="21" t="n">
        <x:f>U26/1600</x:f>
        <x:v>14.553967611766607</x:v>
      </x:c>
      <x:c r="V27" s="21" t="n">
        <x:f>V26/1600</x:f>
        <x:v>14.992077622032511</x:v>
      </x:c>
      <x:c r="W27" s="21" t="n">
        <x:f>W26/1600</x:f>
        <x:v>15.442877186880011</x:v>
      </x:c>
    </x:row>
    <x:row r="28" ht="16" customHeight="1">
      <x:c r="A28" s="1"/>
      <x:c r="B28" s="1"/>
      <x:c r="C28" s="1" t="str">
        <x:v>Accepted paid capacity supplied for this model</x:v>
      </x:c>
      <x:c r="D28" s="21" t="n">
        <x:f>0</x:f>
        <x:v>0</x:v>
      </x:c>
      <x:c r="E28" s="21" t="n">
        <x:f>0</x:f>
        <x:v>0</x:v>
      </x:c>
      <x:c r="F28" s="21" t="n">
        <x:f>0</x:f>
        <x:v>0</x:v>
      </x:c>
      <x:c r="G28" s="21" t="n">
        <x:f>0</x:f>
        <x:v>0</x:v>
      </x:c>
      <x:c r="H28" s="21" t="n">
        <x:f>0</x:f>
        <x:v>0</x:v>
      </x:c>
      <x:c r="I28" s="21" t="n">
        <x:f>0</x:f>
        <x:v>0</x:v>
      </x:c>
      <x:c r="J28" s="21" t="n">
        <x:f>0</x:f>
        <x:v>0</x:v>
      </x:c>
      <x:c r="K28" s="21" t="n">
        <x:f>0</x:f>
        <x:v>0</x:v>
      </x:c>
      <x:c r="L28" s="21" t="n">
        <x:f>0</x:f>
        <x:v>0</x:v>
      </x:c>
      <x:c r="M28" s="21" t="n">
        <x:f>0</x:f>
        <x:v>0</x:v>
      </x:c>
      <x:c r="N28" s="21" t="n">
        <x:f>0</x:f>
        <x:v>0</x:v>
      </x:c>
      <x:c r="O28" s="21" t="n">
        <x:f>0</x:f>
        <x:v>0</x:v>
      </x:c>
      <x:c r="P28" s="21" t="n">
        <x:f>0</x:f>
        <x:v>0</x:v>
      </x:c>
      <x:c r="Q28" s="21" t="n">
        <x:f>0</x:f>
        <x:v>0</x:v>
      </x:c>
      <x:c r="R28" s="21" t="n">
        <x:f>0</x:f>
        <x:v>0</x:v>
      </x:c>
      <x:c r="S28" s="21" t="n">
        <x:f>0</x:f>
        <x:v>0</x:v>
      </x:c>
      <x:c r="T28" s="21" t="n">
        <x:f>0</x:f>
        <x:v>0</x:v>
      </x:c>
      <x:c r="U28" s="21" t="n">
        <x:f>0</x:f>
        <x:v>0</x:v>
      </x:c>
      <x:c r="V28" s="21" t="n">
        <x:f>0</x:f>
        <x:v>0</x:v>
      </x:c>
      <x:c r="W28" s="21" t="n">
        <x:f>0</x:f>
        <x:v>0</x:v>
      </x:c>
    </x:row>
    <x:row r="29" ht="16" customHeight="1">
      <x:c r="A29" s="1"/>
      <x:c r="B29" s="1"/>
      <x:c r="C29" s="1" t="str">
        <x:v>Target capacity not yet staffed</x:v>
      </x:c>
      <x:c r="D29" s="21" t="n">
        <x:f>MAX(0,D27-D28)</x:f>
        <x:v>4.360211250000001</x:v>
      </x:c>
      <x:c r="E29" s="21" t="n">
        <x:f>MAX(0,E27-E28)</x:f>
        <x:v>5.821911375</x:v>
      </x:c>
      <x:c r="F29" s="21" t="n">
        <x:f>MAX(0,F27-F28)</x:f>
        <x:v>6.9140880062500045</x:v>
      </x:c>
      <x:c r="G29" s="21" t="n">
        <x:f>MAX(0,G27-G28)</x:f>
        <x:v>7.939510859874994</x:v>
      </x:c>
      <x:c r="H29" s="21" t="n">
        <x:f>MAX(0,H27-H28)</x:f>
        <x:v>9.014149919300623</x:v>
      </x:c>
      <x:c r="I29" s="21" t="n">
        <x:f>MAX(0,I27-I28)</x:f>
        <x:v>9.68784161380236</x:v>
      </x:c>
      <x:c r="J29" s="21" t="n">
        <x:f>MAX(0,J27-J28)</x:f>
        <x:v>10.195623180738602</x:v>
      </x:c>
      <x:c r="K29" s="21" t="n">
        <x:f>MAX(0,K27-K28)</x:f>
        <x:v>10.627698936661343</x:v>
      </x:c>
      <x:c r="L29" s="21" t="n">
        <x:f>MAX(0,L27-L28)</x:f>
        <x:v>11.023732331103053</x:v>
      </x:c>
      <x:c r="M29" s="21" t="n">
        <x:f>MAX(0,M27-M28)</x:f>
        <x:v>11.403355774449098</x:v>
      </x:c>
      <x:c r="N29" s="21" t="n">
        <x:f>MAX(0,N27-N28)</x:f>
        <x:v>11.777229595132006</x:v>
      </x:c>
      <x:c r="O29" s="21" t="n">
        <x:f>MAX(0,O27-O28)</x:f>
        <x:v>12.151570523861132</x:v>
      </x:c>
      <x:c r="P29" s="21" t="n">
        <x:f>MAX(0,P27-P28)</x:f>
        <x:v>12.530222590948632</x:v>
      </x:c>
      <x:c r="Q29" s="21" t="n">
        <x:f>MAX(0,Q27-Q28)</x:f>
        <x:v>12.91569128502513</x:v>
      </x:c>
      <x:c r="R29" s="21" t="n">
        <x:f>MAX(0,R27-R28)</x:f>
        <x:v>13.309695380174404</x:v>
      </x:c>
      <x:c r="S29" s="21" t="n">
        <x:f>MAX(0,S27-S28)</x:f>
        <x:v>13.713476662647784</x:v>
      </x:c>
      <x:c r="T29" s="21" t="n">
        <x:f>MAX(0,T27-T28)</x:f>
        <x:v>14.127980960549055</x:v>
      </x:c>
      <x:c r="U29" s="21" t="n">
        <x:f>MAX(0,U27-U28)</x:f>
        <x:v>14.553967611766607</x:v>
      </x:c>
      <x:c r="V29" s="21" t="n">
        <x:f>MAX(0,V27-V28)</x:f>
        <x:v>14.992077622032511</x:v>
      </x:c>
      <x:c r="W29" s="21" t="n">
        <x:f>MAX(0,W27-W28)</x:f>
        <x:v>15.442877186880011</x:v>
      </x:c>
    </x:row>
    <x:row r="30" ht="16" customHeight="1">
      <x:c r="A30" s="1"/>
      <x:c r="B30" s="1"/>
      <x:c r="C30" s="1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10"/>
      <x:c r="O30" s="10"/>
      <x:c r="P30" s="10"/>
      <x:c r="Q30" s="10"/>
      <x:c r="R30" s="10"/>
      <x:c r="S30" s="10"/>
      <x:c r="T30" s="10"/>
      <x:c r="U30" s="10"/>
      <x:c r="V30" s="10"/>
      <x:c r="W30" s="10"/>
    </x:row>
    <x:row r="31" ht="16" customHeight="1">
      <x:c r="A31" s="1"/>
      <x:c r="B31" s="1"/>
      <x:c r="C31" s="1" t="str">
        <x:v>Unpaid labor opportunity cost</x:v>
      </x:c>
      <x:c r="D31" s="10" t="n">
        <x:f>'Income statement'!D91</x:f>
        <x:v>119600</x:v>
      </x:c>
      <x:c r="E31" s="10" t="n">
        <x:f>'Income statement'!E91</x:f>
        <x:v>39552</x:v>
      </x:c>
      <x:c r="F31" s="10" t="n">
        <x:f>'Income statement'!F91</x:f>
        <x:v>40738.56</x:v>
      </x:c>
      <x:c r="G31" s="10" t="n">
        <x:f>'Income statement'!G91</x:f>
        <x:v>41960.7168</x:v>
      </x:c>
      <x:c r="H31" s="10" t="n">
        <x:f>'Income statement'!H91</x:f>
        <x:v>43219.53830400001</x:v>
      </x:c>
      <x:c r="I31" s="10" t="n">
        <x:f>'Income statement'!I91</x:f>
        <x:v>44516.12445312</x:v>
      </x:c>
      <x:c r="J31" s="10" t="n">
        <x:f>'Income statement'!J91</x:f>
        <x:v>45851.6081867136</x:v>
      </x:c>
      <x:c r="K31" s="10" t="n">
        <x:f>'Income statement'!K91</x:f>
        <x:v>47227.156432315016</x:v>
      </x:c>
      <x:c r="L31" s="10" t="n">
        <x:f>'Income statement'!L91</x:f>
        <x:v>48643.97112528447</x:v>
      </x:c>
      <x:c r="M31" s="10" t="n">
        <x:f>'Income statement'!M91</x:f>
        <x:v>50103.290259043</x:v>
      </x:c>
      <x:c r="N31" s="10" t="n">
        <x:f>'Income statement'!N91</x:f>
        <x:v>51606.388966814295</x:v>
      </x:c>
      <x:c r="O31" s="10" t="n">
        <x:f>'Income statement'!O91</x:f>
        <x:v>53154.580635818726</x:v>
      </x:c>
      <x:c r="P31" s="10" t="n">
        <x:f>'Income statement'!P91</x:f>
        <x:v>54749.21805489329</x:v>
      </x:c>
      <x:c r="Q31" s="10" t="n">
        <x:f>'Income statement'!Q91</x:f>
        <x:v>56391.69459654009</x:v>
      </x:c>
      <x:c r="R31" s="10" t="n">
        <x:f>'Income statement'!R91</x:f>
        <x:v>58083.4454344363</x:v>
      </x:c>
      <x:c r="S31" s="10" t="n">
        <x:f>'Income statement'!S91</x:f>
        <x:v>59825.94879746938</x:v>
      </x:c>
      <x:c r="T31" s="10" t="n">
        <x:f>'Income statement'!T91</x:f>
        <x:v>61620.72726139347</x:v>
      </x:c>
      <x:c r="U31" s="10" t="n">
        <x:f>'Income statement'!U91</x:f>
        <x:v>63469.34907923527</x:v>
      </x:c>
      <x:c r="V31" s="10" t="n">
        <x:f>'Income statement'!V91</x:f>
        <x:v>65373.42955161234</x:v>
      </x:c>
      <x:c r="W31" s="10" t="n">
        <x:f>'Income statement'!W91</x:f>
        <x:v>67334.6324381607</x:v>
      </x:c>
    </x:row>
    <x:row r="32" ht="16" customHeight="1">
      <x:c r="A32" s="1"/>
      <x:c r="B32" s="1"/>
      <x:c r="C32" s="1" t="str">
        <x:v>Return on target after unpaid labor</x:v>
      </x:c>
      <x:c r="D32" s="10" t="n">
        <x:f>'Income statement'!D93</x:f>
        <x:v>165825.20302411105</x:v>
      </x:c>
      <x:c r="E32" s="10" t="n">
        <x:f>'Income statement'!E93</x:f>
        <x:v>366011.3645748701</x:v>
      </x:c>
      <x:c r="F32" s="10" t="n">
        <x:f>'Income statement'!F93</x:f>
        <x:v>450583.33028612746</x:v>
      </x:c>
      <x:c r="G32" s="10" t="n">
        <x:f>'Income statement'!G93</x:f>
        <x:v>528167.5964481711</x:v>
      </x:c>
      <x:c r="H32" s="10" t="n">
        <x:f>'Income statement'!H93</x:f>
        <x:v>608760.8806065855</x:v>
      </x:c>
      <x:c r="I32" s="10" t="n">
        <x:f>'Income statement'!I93</x:f>
        <x:v>655602.7557294556</x:v>
      </x:c>
      <x:c r="J32" s="10" t="n">
        <x:f>'Income statement'!J93</x:f>
        <x:v>688422.9552455383</x:v>
      </x:c>
      <x:c r="K32" s="10" t="n">
        <x:f>'Income statement'!K93</x:f>
        <x:v>714646.1772865055</x:v>
      </x:c>
      <x:c r="L32" s="10" t="n">
        <x:f>'Income statement'!L93</x:f>
        <x:v>737322.8683320849</x:v>
      </x:c>
      <x:c r="M32" s="10" t="n">
        <x:f>'Income statement'!M93</x:f>
        <x:v>757846.5788745328</x:v>
      </x:c>
      <x:c r="N32" s="10" t="n">
        <x:f>'Income statement'!N93</x:f>
        <x:v>777038.8933591867</x:v>
      </x:c>
      <x:c r="O32" s="10" t="n">
        <x:f>'Income statement'!O93</x:f>
        <x:v>795235.5785859647</x:v>
      </x:c>
      <x:c r="P32" s="10" t="n">
        <x:f>'Income statement'!P93</x:f>
        <x:v>812581.127218773</x:v>
      </x:c>
      <x:c r="Q32" s="10" t="n">
        <x:f>'Income statement'!Q93</x:f>
        <x:v>829248.0644638116</x:v>
      </x:c>
      <x:c r="R32" s="10" t="n">
        <x:f>'Income statement'!R93</x:f>
        <x:v>845204.7081521231</x:v>
      </x:c>
      <x:c r="S32" s="10" t="n">
        <x:f>'Income statement'!S93</x:f>
        <x:v>860369.8414960039</x:v>
      </x:c>
      <x:c r="T32" s="10" t="n">
        <x:f>'Income statement'!T93</x:f>
        <x:v>874778.7796444147</x:v>
      </x:c>
      <x:c r="U32" s="10" t="n">
        <x:f>'Income statement'!U93</x:f>
        <x:v>888292.0994333207</x:v>
      </x:c>
      <x:c r="V32" s="10" t="n">
        <x:f>'Income statement'!V93</x:f>
        <x:v>900744.4044599731</x:v>
      </x:c>
      <x:c r="W32" s="10" t="n">
        <x:f>'Income statement'!W93</x:f>
        <x:v>912114.299503092</x:v>
      </x:c>
    </x:row>
    <x:row r="33" ht="16" customHeight="1">
      <x:c r="A33" s="1"/>
      <x:c r="B33" s="1"/>
      <x:c r="C33" s="1" t="str">
        <x:v>Shared paid human specialist hours</x:v>
      </x:c>
      <x:c r="D33" s="10" t="n">
        <x:f>SUMPRODUCT('Shared costs'!$D$8:$D$12,'Shared costs'!$F$8:$F$12)*(1+'Assumptions'!$D$20)^(1-1)</x:f>
        <x:v>1104</x:v>
      </x:c>
      <x:c r="E33" s="10" t="n">
        <x:f>SUMPRODUCT('Shared costs'!$D$8:$D$12,'Shared costs'!$F$8:$F$12)*(1+'Assumptions'!$D$20)^(2-1)</x:f>
        <x:v>1159.2</x:v>
      </x:c>
      <x:c r="F33" s="10" t="n">
        <x:f>SUMPRODUCT('Shared costs'!$D$8:$D$12,'Shared costs'!$F$8:$F$12)*(1+'Assumptions'!$D$20)^(3-1)</x:f>
        <x:v>1217.16</x:v>
      </x:c>
      <x:c r="G33" s="10" t="n">
        <x:f>SUMPRODUCT('Shared costs'!$D$8:$D$12,'Shared costs'!$F$8:$F$12)*(1+'Assumptions'!$D$20)^(4-1)</x:f>
        <x:v>1278.018</x:v>
      </x:c>
      <x:c r="H33" s="10" t="n">
        <x:f>SUMPRODUCT('Shared costs'!$D$8:$D$12,'Shared costs'!$F$8:$F$12)*(1+'Assumptions'!$D$20)^(5-1)</x:f>
        <x:v>1341.9189000000003</x:v>
      </x:c>
      <x:c r="I33" s="10" t="n">
        <x:f>SUMPRODUCT('Shared costs'!$D$8:$D$12,'Shared costs'!$F$8:$F$12)*(1+'Assumptions'!$D$20)^(6-1)</x:f>
        <x:v>1409.0148450000004</x:v>
      </x:c>
      <x:c r="J33" s="10" t="n">
        <x:f>SUMPRODUCT('Shared costs'!$D$8:$D$12,'Shared costs'!$F$8:$F$12)*(1+'Assumptions'!$D$20)^(7-1)</x:f>
        <x:v>1479.4655872500005</x:v>
      </x:c>
      <x:c r="K33" s="10" t="n">
        <x:f>SUMPRODUCT('Shared costs'!$D$8:$D$12,'Shared costs'!$F$8:$F$12)*(1+'Assumptions'!$D$20)^(8-1)</x:f>
        <x:v>1553.4388666125005</x:v>
      </x:c>
      <x:c r="L33" s="10" t="n">
        <x:f>SUMPRODUCT('Shared costs'!$D$8:$D$12,'Shared costs'!$F$8:$F$12)*(1+'Assumptions'!$D$20)^(9-1)</x:f>
        <x:v>1631.1108099431256</x:v>
      </x:c>
      <x:c r="M33" s="10" t="n">
        <x:f>SUMPRODUCT('Shared costs'!$D$8:$D$12,'Shared costs'!$F$8:$F$12)*(1+'Assumptions'!$D$20)^(10-1)</x:f>
        <x:v>1712.6663504402818</x:v>
      </x:c>
      <x:c r="N33" s="10" t="n">
        <x:f>SUMPRODUCT('Shared costs'!$D$8:$D$12,'Shared costs'!$F$8:$F$12)*(1+'Assumptions'!$D$20)^(11-1)</x:f>
        <x:v>1798.2996679622959</x:v>
      </x:c>
      <x:c r="O33" s="10" t="n">
        <x:f>SUMPRODUCT('Shared costs'!$D$8:$D$12,'Shared costs'!$F$8:$F$12)*(1+'Assumptions'!$D$20)^(12-1)</x:f>
        <x:v>1888.214651360411</x:v>
      </x:c>
      <x:c r="P33" s="10" t="n">
        <x:f>SUMPRODUCT('Shared costs'!$D$8:$D$12,'Shared costs'!$F$8:$F$12)*(1+'Assumptions'!$D$20)^(13-1)</x:f>
        <x:v>1982.6253839284316</x:v>
      </x:c>
      <x:c r="Q33" s="10" t="n">
        <x:f>SUMPRODUCT('Shared costs'!$D$8:$D$12,'Shared costs'!$F$8:$F$12)*(1+'Assumptions'!$D$20)^(14-1)</x:f>
        <x:v>2081.756653124853</x:v>
      </x:c>
      <x:c r="R33" s="10" t="n">
        <x:f>SUMPRODUCT('Shared costs'!$D$8:$D$12,'Shared costs'!$F$8:$F$12)*(1+'Assumptions'!$D$20)^(15-1)</x:f>
        <x:v>2185.844485781096</x:v>
      </x:c>
      <x:c r="S33" s="10" t="n">
        <x:f>SUMPRODUCT('Shared costs'!$D$8:$D$12,'Shared costs'!$F$8:$F$12)*(1+'Assumptions'!$D$20)^(16-1)</x:f>
        <x:v>2295.136710070151</x:v>
      </x:c>
      <x:c r="T33" s="10" t="n">
        <x:f>SUMPRODUCT('Shared costs'!$D$8:$D$12,'Shared costs'!$F$8:$F$12)*(1+'Assumptions'!$D$20)^(17-1)</x:f>
        <x:v>2409.8935455736582</x:v>
      </x:c>
      <x:c r="U33" s="10" t="n">
        <x:f>SUMPRODUCT('Shared costs'!$D$8:$D$12,'Shared costs'!$F$8:$F$12)*(1+'Assumptions'!$D$20)^(18-1)</x:f>
        <x:v>2530.3882228523416</x:v>
      </x:c>
      <x:c r="V33" s="10" t="n">
        <x:f>SUMPRODUCT('Shared costs'!$D$8:$D$12,'Shared costs'!$F$8:$F$12)*(1+'Assumptions'!$D$20)^(19-1)</x:f>
        <x:v>2656.9076339949584</x:v>
      </x:c>
      <x:c r="W33" s="10" t="n">
        <x:f>SUMPRODUCT('Shared costs'!$D$8:$D$12,'Shared costs'!$F$8:$F$12)*(1+'Assumptions'!$D$20)^(20-1)</x:f>
        <x:v>2789.753015694707</x:v>
      </x:c>
    </x:row>
    <x:row r="34" ht="16" customHeight="1">
      <x:c r="A34" s="1"/>
      <x:c r="B34" s="1"/>
      <x:c r="C34" s="1" t="str">
        <x:v>Total direct and shared paid human hours</x:v>
      </x:c>
      <x:c r="D34" s="10" t="n">
        <x:f>D26+D33</x:f>
        <x:v>8080.338000000001</x:v>
      </x:c>
      <x:c r="E34" s="10" t="n">
        <x:f>E26+E33</x:f>
        <x:v>10474.2582</x:v>
      </x:c>
      <x:c r="F34" s="10" t="n">
        <x:f>F26+F33</x:f>
        <x:v>12279.700810000008</x:v>
      </x:c>
      <x:c r="G34" s="10" t="n">
        <x:f>G26+G33</x:f>
        <x:v>13981.23537579999</x:v>
      </x:c>
      <x:c r="H34" s="10" t="n">
        <x:f>H26+H33</x:f>
        <x:v>15764.558770880996</x:v>
      </x:c>
      <x:c r="I34" s="10" t="n">
        <x:f>I26+I33</x:f>
        <x:v>16909.56142708378</x:v>
      </x:c>
      <x:c r="J34" s="10" t="n">
        <x:f>J26+J33</x:f>
        <x:v>17792.46267643176</x:v>
      </x:c>
      <x:c r="K34" s="10" t="n">
        <x:f>K26+K33</x:f>
        <x:v>18557.75716527065</x:v>
      </x:c>
      <x:c r="L34" s="10" t="n">
        <x:f>L26+L33</x:f>
        <x:v>19269.08253970801</x:v>
      </x:c>
      <x:c r="M34" s="10" t="n">
        <x:f>M26+M33</x:f>
        <x:v>19958.03558955884</x:v>
      </x:c>
      <x:c r="N34" s="10" t="n">
        <x:f>N26+N33</x:f>
        <x:v>20641.867020173504</x:v>
      </x:c>
      <x:c r="O34" s="10" t="n">
        <x:f>O26+O33</x:f>
        <x:v>21330.72748953822</x:v>
      </x:c>
      <x:c r="P34" s="10" t="n">
        <x:f>P26+P33</x:f>
        <x:v>22030.981529446246</x:v>
      </x:c>
      <x:c r="Q34" s="10" t="n">
        <x:f>Q26+Q33</x:f>
        <x:v>22746.86270916506</x:v>
      </x:c>
      <x:c r="R34" s="10" t="n">
        <x:f>R26+R33</x:f>
        <x:v>23481.357094060142</x:v>
      </x:c>
      <x:c r="S34" s="10" t="n">
        <x:f>S26+S33</x:f>
        <x:v>24236.699370306604</x:v>
      </x:c>
      <x:c r="T34" s="10" t="n">
        <x:f>T26+T33</x:f>
        <x:v>25014.663082452145</x:v>
      </x:c>
      <x:c r="U34" s="10" t="n">
        <x:f>U26+U33</x:f>
        <x:v>25816.736401678914</x:v>
      </x:c>
      <x:c r="V34" s="10" t="n">
        <x:f>V26+V33</x:f>
        <x:v>26644.231829246975</x:v>
      </x:c>
      <x:c r="W34" s="10" t="n">
        <x:f>W26+W33</x:f>
        <x:v>27498.356514702726</x:v>
      </x:c>
    </x:row>
    <x:row r="35" ht="16" customHeight="1">
      <x:c r="A35" s="1"/>
      <x:c r="B35" s="1"/>
      <x:c r="C35" s="1" t="str">
        <x:v>Cash deficits are requirements, not assumed financing. Positive annual closes do not prove intra-year liquidity.</x:v>
      </x:c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10"/>
      <x:c r="O35" s="10"/>
      <x:c r="P35" s="10"/>
      <x:c r="Q35" s="10"/>
      <x:c r="R35" s="10"/>
      <x:c r="S35" s="10"/>
      <x:c r="T35" s="10"/>
      <x:c r="U35" s="10"/>
      <x:c r="V35" s="10"/>
      <x:c r="W35" s="10"/>
    </x:row>
    <x:row r="36" ht="16" customHeight="1">
      <x:c r="A36" s="1"/>
      <x:c r="B36" s="1"/>
      <x:c r="C36" s="1" t="str">
        <x:v>No financing is authorized. Commitments require earned cash and all product release gates.</x:v>
      </x:c>
      <x:c r="D36" s="10"/>
      <x:c r="E36" s="10"/>
      <x:c r="F36" s="10"/>
      <x:c r="G36" s="10"/>
      <x:c r="H36" s="10"/>
      <x:c r="I36" s="10"/>
      <x:c r="J36" s="10"/>
      <x:c r="K36" s="10"/>
      <x:c r="L36" s="10"/>
      <x:c r="M36" s="10"/>
      <x:c r="N36" s="10"/>
      <x:c r="O36" s="10"/>
      <x:c r="P36" s="10"/>
      <x:c r="Q36" s="10"/>
      <x:c r="R36" s="10"/>
      <x:c r="S36" s="10"/>
      <x:c r="T36" s="10"/>
      <x:c r="U36" s="10"/>
      <x:c r="V36" s="10"/>
      <x:c r="W36" s="10"/>
    </x:row>
    <x:row r="37" ht="16" customHeight="1">
      <x:c r="A37" s="1"/>
      <x:c r="B37" s="1"/>
      <x:c r="C37" s="1"/>
      <x:c r="D37" s="10"/>
      <x:c r="E37" s="10"/>
      <x:c r="F37" s="10"/>
      <x:c r="G37" s="10"/>
      <x:c r="H37" s="10"/>
      <x:c r="I37" s="10"/>
      <x:c r="J37" s="10"/>
      <x:c r="K37" s="10"/>
      <x:c r="L37" s="10"/>
      <x:c r="M37" s="10"/>
      <x:c r="N37" s="10"/>
      <x:c r="O37" s="10"/>
      <x:c r="P37" s="10"/>
      <x:c r="Q37" s="10"/>
      <x:c r="R37" s="10"/>
      <x:c r="S37" s="10"/>
      <x:c r="T37" s="10"/>
      <x:c r="U37" s="10"/>
      <x:c r="V37" s="10"/>
      <x:c r="W37" s="10"/>
    </x:row>
    <x:row r="38" ht="16" customHeight="1">
      <x:c r="A38" s="1"/>
      <x:c r="B38" s="1"/>
      <x:c r="C38" s="1"/>
      <x:c r="D38" s="10"/>
      <x:c r="E38" s="10"/>
      <x:c r="F38" s="10"/>
      <x:c r="G38" s="10"/>
      <x:c r="H38" s="10"/>
      <x:c r="I38" s="10"/>
      <x:c r="J38" s="10"/>
      <x:c r="K38" s="10"/>
      <x:c r="L38" s="10"/>
      <x:c r="M38" s="10"/>
      <x:c r="N38" s="10"/>
      <x:c r="O38" s="10"/>
      <x:c r="P38" s="10"/>
      <x:c r="Q38" s="10"/>
      <x:c r="R38" s="10"/>
      <x:c r="S38" s="10"/>
      <x:c r="T38" s="10"/>
      <x:c r="U38" s="10"/>
      <x:c r="V38" s="10"/>
      <x:c r="W38" s="10"/>
    </x:row>
    <x:row r="39" ht="16" customHeight="1">
      <x:c r="A39" s="1"/>
      <x:c r="B39" s="1"/>
      <x:c r="C39" s="1"/>
      <x:c r="D39" s="10"/>
      <x:c r="E39" s="10"/>
      <x:c r="F39" s="10"/>
      <x:c r="G39" s="10"/>
      <x:c r="H39" s="10"/>
      <x:c r="I39" s="10"/>
      <x:c r="J39" s="10"/>
      <x:c r="K39" s="10"/>
      <x:c r="L39" s="10"/>
      <x:c r="M39" s="10"/>
      <x:c r="N39" s="10"/>
      <x:c r="O39" s="10"/>
      <x:c r="P39" s="10"/>
      <x:c r="Q39" s="10"/>
      <x:c r="R39" s="10"/>
      <x:c r="S39" s="10"/>
      <x:c r="T39" s="10"/>
      <x:c r="U39" s="10"/>
      <x:c r="V39" s="10"/>
      <x:c r="W39" s="10"/>
    </x:row>
    <x:row r="40" ht="16" customHeight="1">
      <x:c r="A40" s="1"/>
      <x:c r="B40" s="1"/>
      <x:c r="C40" s="1" t="str">
        <x:v>Dedicated Balance sheet and Cash flow tabs replace the informal bridge in this companion.</x:v>
      </x:c>
      <x:c r="D40" s="10"/>
      <x:c r="E40" s="10"/>
      <x:c r="F40" s="10"/>
      <x:c r="G40" s="10"/>
      <x:c r="H40" s="10"/>
      <x:c r="I40" s="10"/>
      <x:c r="J40" s="10"/>
      <x:c r="K40" s="10"/>
      <x:c r="L40" s="10"/>
      <x:c r="M40" s="10"/>
      <x:c r="N40" s="10"/>
      <x:c r="O40" s="10"/>
      <x:c r="P40" s="10"/>
      <x:c r="Q40" s="10"/>
      <x:c r="R40" s="10"/>
      <x:c r="S40" s="10"/>
      <x:c r="T40" s="10"/>
      <x:c r="U40" s="10"/>
      <x:c r="V40" s="10"/>
      <x:c r="W40" s="10"/>
    </x:row>
    <x:row r="41" ht="16" customHeight="1">
      <x:c r="A41" s="1"/>
      <x:c r="B41" s="1"/>
      <x:c r="C41" s="1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10"/>
      <x:c r="O41" s="10"/>
      <x:c r="P41" s="10"/>
      <x:c r="Q41" s="10"/>
      <x:c r="R41" s="10"/>
      <x:c r="S41" s="10"/>
      <x:c r="T41" s="10"/>
      <x:c r="U41" s="10"/>
      <x:c r="V41" s="10"/>
      <x:c r="W41" s="10"/>
    </x:row>
    <x:row r="42" ht="16" customHeight="1">
      <x:c r="A42" s="1"/>
      <x:c r="B42" s="1"/>
      <x:c r="C42" s="1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  <x:c r="O42" s="10"/>
      <x:c r="P42" s="10"/>
      <x:c r="Q42" s="10"/>
      <x:c r="R42" s="10"/>
      <x:c r="S42" s="10"/>
      <x:c r="T42" s="10"/>
      <x:c r="U42" s="10"/>
      <x:c r="V42" s="10"/>
      <x:c r="W42" s="10"/>
    </x:row>
    <x:row r="43" ht="16" customHeight="1">
      <x:c r="A43" s="1"/>
      <x:c r="B43" s="1"/>
      <x:c r="C43" s="1"/>
      <x:c r="D43" s="10"/>
      <x:c r="E43" s="10"/>
      <x:c r="F43" s="10"/>
      <x:c r="G43" s="10"/>
      <x:c r="H43" s="10"/>
      <x:c r="I43" s="10"/>
      <x:c r="J43" s="10"/>
      <x:c r="K43" s="10"/>
      <x:c r="L43" s="10"/>
      <x:c r="M43" s="10"/>
      <x:c r="N43" s="10"/>
      <x:c r="O43" s="10"/>
      <x:c r="P43" s="10"/>
      <x:c r="Q43" s="10"/>
      <x:c r="R43" s="10"/>
      <x:c r="S43" s="10"/>
      <x:c r="T43" s="10"/>
      <x:c r="U43" s="10"/>
      <x:c r="V43" s="10"/>
      <x:c r="W43" s="10"/>
    </x:row>
    <x:row r="44" ht="16" customHeight="1">
      <x:c r="A44" s="1"/>
      <x:c r="B44" s="1"/>
      <x:c r="C44" s="1"/>
      <x:c r="D44" s="10"/>
      <x:c r="E44" s="10"/>
      <x:c r="F44" s="10"/>
      <x:c r="G44" s="10"/>
      <x:c r="H44" s="10"/>
      <x:c r="I44" s="10"/>
      <x:c r="J44" s="10"/>
      <x:c r="K44" s="10"/>
      <x:c r="L44" s="10"/>
      <x:c r="M44" s="10"/>
      <x:c r="N44" s="10"/>
      <x:c r="O44" s="10"/>
      <x:c r="P44" s="10"/>
      <x:c r="Q44" s="10"/>
      <x:c r="R44" s="10"/>
      <x:c r="S44" s="10"/>
      <x:c r="T44" s="10"/>
      <x:c r="U44" s="10"/>
      <x:c r="V44" s="10"/>
      <x:c r="W44" s="10"/>
    </x:row>
    <x:row r="45" ht="16" customHeight="1">
      <x:c r="A45" s="1"/>
      <x:c r="B45" s="1"/>
      <x:c r="C45" s="1"/>
      <x:c r="D45" s="10"/>
      <x:c r="E45" s="10"/>
      <x:c r="F45" s="10"/>
      <x:c r="G45" s="10"/>
      <x:c r="H45" s="10"/>
      <x:c r="I45" s="10"/>
      <x:c r="J45" s="10"/>
      <x:c r="K45" s="10"/>
      <x:c r="L45" s="10"/>
      <x:c r="M45" s="10"/>
      <x:c r="N45" s="10"/>
      <x:c r="O45" s="10"/>
      <x:c r="P45" s="10"/>
      <x:c r="Q45" s="10"/>
      <x:c r="R45" s="10"/>
      <x:c r="S45" s="10"/>
      <x:c r="T45" s="10"/>
      <x:c r="U45" s="10"/>
      <x:c r="V45" s="10"/>
      <x:c r="W45" s="10"/>
    </x:row>
    <x:row r="46" ht="16" customHeight="1">
      <x:c r="A46" s="1"/>
      <x:c r="B46" s="1"/>
      <x:c r="C46" s="1"/>
      <x:c r="D46" s="10"/>
      <x:c r="E46" s="10"/>
      <x:c r="F46" s="10"/>
      <x:c r="G46" s="10"/>
      <x:c r="H46" s="10"/>
      <x:c r="I46" s="10"/>
      <x:c r="J46" s="10"/>
      <x:c r="K46" s="10"/>
      <x:c r="L46" s="10"/>
      <x:c r="M46" s="10"/>
      <x:c r="N46" s="10"/>
      <x:c r="O46" s="10"/>
      <x:c r="P46" s="10"/>
      <x:c r="Q46" s="10"/>
      <x:c r="R46" s="10"/>
      <x:c r="S46" s="10"/>
      <x:c r="T46" s="10"/>
      <x:c r="U46" s="10"/>
      <x:c r="V46" s="10"/>
      <x:c r="W46" s="10"/>
    </x:row>
    <x:row r="47" ht="16" customHeight="1">
      <x:c r="A47" s="1"/>
      <x:c r="B47" s="1"/>
      <x:c r="C47" s="1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  <x:c r="N47" s="10"/>
      <x:c r="O47" s="10"/>
      <x:c r="P47" s="10"/>
      <x:c r="Q47" s="10"/>
      <x:c r="R47" s="10"/>
      <x:c r="S47" s="10"/>
      <x:c r="T47" s="10"/>
      <x:c r="U47" s="10"/>
      <x:c r="V47" s="10"/>
      <x:c r="W47" s="10"/>
    </x:row>
    <x:row r="48" ht="16" customHeight="1">
      <x:c r="A48" s="1"/>
      <x:c r="B48" s="1"/>
      <x:c r="C48" s="1"/>
      <x:c r="D48" s="10"/>
      <x:c r="E48" s="10"/>
      <x:c r="F48" s="10"/>
      <x:c r="G48" s="10"/>
      <x:c r="H48" s="10"/>
      <x:c r="I48" s="10"/>
      <x:c r="J48" s="10"/>
      <x:c r="K48" s="10"/>
      <x:c r="L48" s="10"/>
      <x:c r="M48" s="10"/>
      <x:c r="N48" s="10"/>
      <x:c r="O48" s="10"/>
      <x:c r="P48" s="10"/>
      <x:c r="Q48" s="10"/>
      <x:c r="R48" s="10"/>
      <x:c r="S48" s="10"/>
      <x:c r="T48" s="10"/>
      <x:c r="U48" s="10"/>
      <x:c r="V48" s="10"/>
      <x:c r="W48" s="10"/>
    </x:row>
    <x:row r="49" ht="16" customHeight="1">
      <x:c r="A49" s="1"/>
      <x:c r="B49" s="1"/>
      <x:c r="C49" s="1"/>
      <x:c r="D49" s="10"/>
      <x:c r="E49" s="10"/>
      <x:c r="F49" s="10"/>
      <x:c r="G49" s="10"/>
      <x:c r="H49" s="10"/>
      <x:c r="I49" s="10"/>
      <x:c r="J49" s="10"/>
      <x:c r="K49" s="10"/>
      <x:c r="L49" s="10"/>
      <x:c r="M49" s="10"/>
      <x:c r="N49" s="10"/>
      <x:c r="O49" s="10"/>
      <x:c r="P49" s="10"/>
      <x:c r="Q49" s="10"/>
      <x:c r="R49" s="10"/>
      <x:c r="S49" s="10"/>
      <x:c r="T49" s="10"/>
      <x:c r="U49" s="10"/>
      <x:c r="V49" s="10"/>
      <x:c r="W49" s="10"/>
    </x:row>
    <x:row r="50" ht="16" customHeight="1">
      <x:c r="A50" s="1"/>
      <x:c r="B50" s="1"/>
      <x:c r="C50" s="1"/>
      <x:c r="D50" s="10"/>
      <x:c r="E50" s="10"/>
      <x:c r="F50" s="10"/>
      <x:c r="G50" s="10"/>
      <x:c r="H50" s="10"/>
      <x:c r="I50" s="10"/>
      <x:c r="J50" s="10"/>
      <x:c r="K50" s="10"/>
      <x:c r="L50" s="10"/>
      <x:c r="M50" s="10"/>
      <x:c r="N50" s="10"/>
      <x:c r="O50" s="10"/>
      <x:c r="P50" s="10"/>
      <x:c r="Q50" s="10"/>
      <x:c r="R50" s="10"/>
      <x:c r="S50" s="10"/>
      <x:c r="T50" s="10"/>
      <x:c r="U50" s="10"/>
      <x:c r="V50" s="10"/>
      <x:c r="W50" s="10"/>
    </x:row>
    <x:row r="51" ht="16" customHeight="1">
      <x:c r="A51" s="1"/>
      <x:c r="B51" s="1"/>
      <x:c r="C51" s="1"/>
      <x:c r="D51" s="10"/>
      <x:c r="E51" s="10"/>
      <x:c r="F51" s="10"/>
      <x:c r="G51" s="10"/>
      <x:c r="H51" s="10"/>
      <x:c r="I51" s="10"/>
      <x:c r="J51" s="10"/>
      <x:c r="K51" s="10"/>
      <x:c r="L51" s="10"/>
      <x:c r="M51" s="10"/>
      <x:c r="N51" s="10"/>
      <x:c r="O51" s="10"/>
      <x:c r="P51" s="10"/>
      <x:c r="Q51" s="10"/>
      <x:c r="R51" s="10"/>
      <x:c r="S51" s="10"/>
      <x:c r="T51" s="10"/>
      <x:c r="U51" s="10"/>
      <x:c r="V51" s="10"/>
      <x:c r="W51" s="10"/>
    </x:row>
    <x:row r="52" ht="16" customHeight="1">
      <x:c r="A52" s="1"/>
      <x:c r="B52" s="1"/>
      <x:c r="C52" s="1"/>
      <x:c r="D52" s="10"/>
      <x:c r="E52" s="10"/>
      <x:c r="F52" s="10"/>
      <x:c r="G52" s="10"/>
      <x:c r="H52" s="10"/>
      <x:c r="I52" s="10"/>
      <x:c r="J52" s="10"/>
      <x:c r="K52" s="10"/>
      <x:c r="L52" s="10"/>
      <x:c r="M52" s="10"/>
      <x:c r="N52" s="10"/>
      <x:c r="O52" s="10"/>
      <x:c r="P52" s="10"/>
      <x:c r="Q52" s="10"/>
      <x:c r="R52" s="10"/>
      <x:c r="S52" s="10"/>
      <x:c r="T52" s="10"/>
      <x:c r="U52" s="10"/>
      <x:c r="V52" s="10"/>
      <x:c r="W52" s="10"/>
    </x:row>
    <x:row r="53" ht="16" customHeight="1">
      <x:c r="A53" s="1"/>
      <x:c r="B53" s="1"/>
      <x:c r="C53" s="1"/>
      <x:c r="D53" s="10"/>
      <x:c r="E53" s="10"/>
      <x:c r="F53" s="10"/>
      <x:c r="G53" s="10"/>
      <x:c r="H53" s="10"/>
      <x:c r="I53" s="10"/>
      <x:c r="J53" s="10"/>
      <x:c r="K53" s="10"/>
      <x:c r="L53" s="10"/>
      <x:c r="M53" s="10"/>
      <x:c r="N53" s="10"/>
      <x:c r="O53" s="10"/>
      <x:c r="P53" s="10"/>
      <x:c r="Q53" s="10"/>
      <x:c r="R53" s="10"/>
      <x:c r="S53" s="10"/>
      <x:c r="T53" s="10"/>
      <x:c r="U53" s="10"/>
      <x:c r="V53" s="10"/>
      <x:c r="W53" s="10"/>
    </x:row>
    <x:row r="54" ht="16" customHeight="1">
      <x:c r="A54" s="1"/>
      <x:c r="B54" s="1"/>
      <x:c r="C54" s="1" t="str">
        <x:v>Outsourced provider hours are unverified; principal payout assumptions are not accepted provider capacity.</x:v>
      </x:c>
      <x:c r="D54" s="10"/>
      <x:c r="E54" s="10"/>
      <x:c r="F54" s="10"/>
      <x:c r="G54" s="10"/>
      <x:c r="H54" s="10"/>
      <x:c r="I54" s="10"/>
      <x:c r="J54" s="10"/>
      <x:c r="K54" s="10"/>
      <x:c r="L54" s="10"/>
      <x:c r="M54" s="10"/>
      <x:c r="N54" s="10"/>
      <x:c r="O54" s="10"/>
      <x:c r="P54" s="10"/>
      <x:c r="Q54" s="10"/>
      <x:c r="R54" s="10"/>
      <x:c r="S54" s="10"/>
      <x:c r="T54" s="10"/>
      <x:c r="U54" s="10"/>
      <x:c r="V54" s="10"/>
      <x:c r="W54" s="10"/>
    </x:row>
    <x:row r="55" ht="16" customHeight="1">
      <x:c r="A55" s="1"/>
      <x:c r="B55" s="1"/>
      <x:c r="C55" s="1" t="str">
        <x:v>$0 gate: no unfunded target commitment. Retain customer receipts only after refund, fulfillment and fee obligations.</x:v>
      </x:c>
      <x:c r="D55" s="10"/>
      <x:c r="E55" s="10"/>
      <x:c r="F55" s="10"/>
      <x:c r="G55" s="10"/>
      <x:c r="H55" s="10"/>
      <x:c r="I55" s="10"/>
      <x:c r="J55" s="10"/>
      <x:c r="K55" s="10"/>
      <x:c r="L55" s="10"/>
      <x:c r="M55" s="10"/>
      <x:c r="N55" s="10"/>
      <x:c r="O55" s="10"/>
      <x:c r="P55" s="10"/>
      <x:c r="Q55" s="10"/>
      <x:c r="R55" s="10"/>
      <x:c r="S55" s="10"/>
      <x:c r="T55" s="10"/>
      <x:c r="U55" s="10"/>
      <x:c r="V55" s="10"/>
      <x:c r="W55" s="10"/>
    </x:row>
    <x:row r="56" ht="16" customHeight="1">
      <x:c r="A56" s="1"/>
      <x:c r="B56" s="1"/>
      <x:c r="C56" s="1" t="str">
        <x:v>No validated demand, accepted paid capacity or cleared new launch is inferred from the target scenario.</x:v>
      </x:c>
      <x:c r="D56" s="10"/>
      <x:c r="E56" s="10"/>
      <x:c r="F56" s="10"/>
      <x:c r="G56" s="10"/>
      <x:c r="H56" s="10"/>
      <x:c r="I56" s="10"/>
      <x:c r="J56" s="10"/>
      <x:c r="K56" s="10"/>
      <x:c r="L56" s="10"/>
      <x:c r="M56" s="10"/>
      <x:c r="N56" s="10"/>
      <x:c r="O56" s="10"/>
      <x:c r="P56" s="10"/>
      <x:c r="Q56" s="10"/>
      <x:c r="R56" s="10"/>
      <x:c r="S56" s="10"/>
      <x:c r="T56" s="10"/>
      <x:c r="U56" s="10"/>
      <x:c r="V56" s="10"/>
      <x:c r="W56" s="10"/>
    </x:row>
    <x:row r="57" ht="16" customHeight="1">
      <x:c r="A57" s="1"/>
      <x:c r="B57" s="1"/>
      <x:c r="C57" s="1"/>
      <x:c r="D57" s="10"/>
      <x:c r="E57" s="10"/>
      <x:c r="F57" s="10"/>
      <x:c r="G57" s="10"/>
      <x:c r="H57" s="10"/>
      <x:c r="I57" s="10"/>
      <x:c r="J57" s="10"/>
      <x:c r="K57" s="10"/>
      <x:c r="L57" s="10"/>
      <x:c r="M57" s="10"/>
      <x:c r="N57" s="10"/>
      <x:c r="O57" s="10"/>
      <x:c r="P57" s="10"/>
      <x:c r="Q57" s="10"/>
      <x:c r="R57" s="10"/>
      <x:c r="S57" s="10"/>
      <x:c r="T57" s="10"/>
      <x:c r="U57" s="10"/>
      <x:c r="V57" s="10"/>
      <x:c r="W57" s="10"/>
    </x:row>
    <x:row r="58" ht="16" customHeight="1">
      <x:c r="A58" s="1"/>
      <x:c r="B58" s="1"/>
      <x:c r="C58" s="1" t="str">
        <x:v>Contribution margin after variable acquisition cost</x:v>
      </x:c>
      <x:c r="D58" s="9" t="n">
        <x:f>IF('Income statement'!D50=0,0,('Income statement'!D50-'Income statement'!D57-'Income statement'!D61)/'Income statement'!D50)</x:f>
        <x:v>0.44788142718688484</x:v>
      </x:c>
      <x:c r="E58" s="9" t="n">
        <x:f>IF('Income statement'!E50=0,0,('Income statement'!E50-'Income statement'!E57-'Income statement'!E61)/'Income statement'!E50)</x:f>
        <x:v>0.4417335019243762</x:v>
      </x:c>
      <x:c r="F58" s="9" t="n">
        <x:f>IF('Income statement'!F50=0,0,('Income statement'!F50-'Income statement'!F57-'Income statement'!F61)/'Income statement'!F50)</x:f>
        <x:v>0.4365547378058703</x:v>
      </x:c>
      <x:c r="G58" s="9" t="n">
        <x:f>IF('Income statement'!G50=0,0,('Income statement'!G50-'Income statement'!G57-'Income statement'!G61)/'Income statement'!G50)</x:f>
        <x:v>0.4316454512729971</x:v>
      </x:c>
      <x:c r="H58" s="9" t="n">
        <x:f>IF('Income statement'!H50=0,0,('Income statement'!H50-'Income statement'!H57-'Income statement'!H61)/'Income statement'!H50)</x:f>
        <x:v>0.42688530286794524</x:v>
      </x:c>
      <x:c r="I58" s="9" t="n">
        <x:f>IF('Income statement'!I50=0,0,('Income statement'!I50-'Income statement'!I57-'Income statement'!I61)/'Income statement'!I50)</x:f>
        <x:v>0.4209469505121327</x:v>
      </x:c>
      <x:c r="J58" s="9" t="n">
        <x:f>IF('Income statement'!J50=0,0,('Income statement'!J50-'Income statement'!J57-'Income statement'!J61)/'Income statement'!J50)</x:f>
        <x:v>0.4147530816310485</x:v>
      </x:c>
      <x:c r="K58" s="9" t="n">
        <x:f>IF('Income statement'!K50=0,0,('Income statement'!K50-'Income statement'!K57-'Income statement'!K61)/'Income statement'!K50)</x:f>
        <x:v>0.4084623937876179</x:v>
      </x:c>
      <x:c r="L58" s="9" t="n">
        <x:f>IF('Income statement'!L50=0,0,('Income statement'!L50-'Income statement'!L57-'Income statement'!L61)/'Income statement'!L50)</x:f>
        <x:v>0.4020965390658176</x:v>
      </x:c>
      <x:c r="M58" s="9" t="n">
        <x:f>IF('Income statement'!M50=0,0,('Income statement'!M50-'Income statement'!M57-'Income statement'!M61)/'Income statement'!M50)</x:f>
        <x:v>0.3956551329319193</x:v>
      </x:c>
      <x:c r="N58" s="9" t="n">
        <x:f>IF('Income statement'!N50=0,0,('Income statement'!N50-'Income statement'!N57-'Income statement'!N61)/'Income statement'!N50)</x:f>
        <x:v>0.3891371523258972</x:v>
      </x:c>
      <x:c r="O58" s="9" t="n">
        <x:f>IF('Income statement'!O50=0,0,('Income statement'!O50-'Income statement'!O57-'Income statement'!O61)/'Income statement'!O50)</x:f>
        <x:v>0.3825436341479365</x:v>
      </x:c>
      <x:c r="P58" s="9" t="n">
        <x:f>IF('Income statement'!P50=0,0,('Income statement'!P50-'Income statement'!P57-'Income statement'!P61)/'Income statement'!P50)</x:f>
        <x:v>0.37587700096327786</x:v>
      </x:c>
      <x:c r="Q58" s="9" t="n">
        <x:f>IF('Income statement'!Q50=0,0,('Income statement'!Q50-'Income statement'!Q57-'Income statement'!Q61)/'Income statement'!Q50)</x:f>
        <x:v>0.3691401672732024</x:v>
      </x:c>
      <x:c r="R58" s="9" t="n">
        <x:f>IF('Income statement'!R50=0,0,('Income statement'!R50-'Income statement'!R57-'Income statement'!R61)/'Income statement'!R50)</x:f>
        <x:v>0.36233595596085805</x:v>
      </x:c>
      <x:c r="S58" s="9" t="n">
        <x:f>IF('Income statement'!S50=0,0,('Income statement'!S50-'Income statement'!S57-'Income statement'!S61)/'Income statement'!S50)</x:f>
        <x:v>0.3554668069407315</x:v>
      </x:c>
      <x:c r="T58" s="9" t="n">
        <x:f>IF('Income statement'!T50=0,0,('Income statement'!T50-'Income statement'!T57-'Income statement'!T61)/'Income statement'!T50)</x:f>
        <x:v>0.34853467700458</x:v>
      </x:c>
      <x:c r="U58" s="9" t="n">
        <x:f>IF('Income statement'!U50=0,0,('Income statement'!U50-'Income statement'!U57-'Income statement'!U61)/'Income statement'!U50)</x:f>
        <x:v>0.3415410455067197</x:v>
      </x:c>
      <x:c r="V58" s="9" t="n">
        <x:f>IF('Income statement'!V50=0,0,('Income statement'!V50-'Income statement'!V57-'Income statement'!V61)/'Income statement'!V50)</x:f>
        <x:v>0.334486969466056</x:v>
      </x:c>
      <x:c r="W58" s="9" t="n">
        <x:f>IF('Income statement'!W50=0,0,('Income statement'!W50-'Income statement'!W57-'Income statement'!W61)/'Income statement'!W50)</x:f>
        <x:v>0.32737315512611703</x:v>
      </x:c>
    </x:row>
    <x:row r="59">
      <x:c r="C59" s="1" t="str">
        <x:v>Fixed costs including depreciation</x:v>
      </x:c>
      <x:c r="D59" s="10" t="n">
        <x:f>'Shared costs'!H21+'Income statement'!D62+'Income statement'!D63+D18+'Income statement'!D77</x:f>
        <x:v>75050</x:v>
      </x:c>
      <x:c r="E59" s="10" t="n">
        <x:f>'Shared costs'!I21+'Income statement'!E62+'Income statement'!E63+E18+'Income statement'!E77</x:f>
        <x:v>77465.72</x:v>
      </x:c>
      <x:c r="F59" s="10" t="n">
        <x:f>'Shared costs'!J21+'Income statement'!F62+'Income statement'!F63+F18+'Income statement'!F77</x:f>
        <x:v>82809.07777999999</x:v>
      </x:c>
      <x:c r="G59" s="10" t="n">
        <x:f>'Shared costs'!K21+'Income statement'!G62+'Income statement'!G63+G18+'Income statement'!G77</x:f>
        <x:v>88606.40226707</x:v>
      </x:c>
      <x:c r="H59" s="10" t="n">
        <x:f>'Shared costs'!L21+'Income statement'!H62+'Income statement'!H63+H18+'Income statement'!H77</x:f>
        <x:v>94797.34970902624</x:v>
      </x:c>
      <x:c r="I59" s="10" t="n">
        <x:f>'Shared costs'!M21+'Income statement'!I62+'Income statement'!I63+I18+'Income statement'!I77</x:f>
        <x:v>101463.28099597506</x:v>
      </x:c>
      <x:c r="J59" s="10" t="n">
        <x:f>'Shared costs'!N21+'Income statement'!J62+'Income statement'!J63+J18+'Income statement'!J77</x:f>
        <x:v>108692.68260840213</x:v>
      </x:c>
      <x:c r="K59" s="10" t="n">
        <x:f>'Shared costs'!O21+'Income statement'!K62+'Income statement'!K63+K18+'Income statement'!K77</x:f>
        <x:v>116425.1091037912</x:v>
      </x:c>
      <x:c r="L59" s="10" t="n">
        <x:f>'Shared costs'!P21+'Income statement'!L62+'Income statement'!L63+L18+'Income statement'!L77</x:f>
        <x:v>124755.40727337106</x:v>
      </x:c>
      <x:c r="M59" s="10" t="n">
        <x:f>'Shared costs'!Q21+'Income statement'!M62+'Income statement'!M63+M18+'Income statement'!M77</x:f>
        <x:v>133786.694469683</x:v>
      </x:c>
      <x:c r="N59" s="10" t="n">
        <x:f>'Shared costs'!R21+'Income statement'!N62+'Income statement'!N63+N18+'Income statement'!N77</x:f>
        <x:v>143459.8698134156</x:v>
      </x:c>
      <x:c r="O59" s="10" t="n">
        <x:f>'Shared costs'!S21+'Income statement'!O62+'Income statement'!O63+O18+'Income statement'!O77</x:f>
        <x:v>153886.09082521335</x:v>
      </x:c>
      <x:c r="P59" s="10" t="n">
        <x:f>'Shared costs'!T21+'Income statement'!P62+'Income statement'!P63+P18+'Income statement'!P77</x:f>
        <x:v>165186.16503485836</x:v>
      </x:c>
      <x:c r="Q59" s="10" t="n">
        <x:f>'Shared costs'!U21+'Income statement'!Q62+'Income statement'!Q63+Q18+'Income statement'!Q77</x:f>
        <x:v>177304.3021960769</x:v>
      </x:c>
      <x:c r="R59" s="10" t="n">
        <x:f>'Shared costs'!V21+'Income statement'!R62+'Income statement'!R63+R18+'Income statement'!R77</x:f>
        <x:v>190371.47446994504</x:v>
      </x:c>
      <x:c r="S59" s="10" t="n">
        <x:f>'Shared costs'!W21+'Income statement'!S62+'Income statement'!S63+S18+'Income statement'!S77</x:f>
        <x:v>204529.97369104164</x:v>
      </x:c>
      <x:c r="T59" s="10" t="n">
        <x:f>'Shared costs'!X21+'Income statement'!T62+'Income statement'!T63+T18+'Income statement'!T77</x:f>
        <x:v>219729.95653398457</x:v>
      </x:c>
      <x:c r="U59" s="10" t="n">
        <x:f>'Shared costs'!Y21+'Income statement'!U62+'Income statement'!U63+U18+'Income statement'!U77</x:f>
        <x:v>236126.5662934077</x:v>
      </x:c>
      <x:c r="V59" s="10" t="n">
        <x:f>'Shared costs'!Z21+'Income statement'!V62+'Income statement'!V63+V18+'Income statement'!V77</x:f>
        <x:v>253888.29573476745</x:v>
      </x:c>
      <x:c r="W59" s="10" t="n">
        <x:f>'Shared costs'!AA21+'Income statement'!W62+'Income statement'!W63+W18+'Income statement'!W77</x:f>
        <x:v>272974.74638740986</x:v>
      </x:c>
    </x:row>
    <x:row r="60">
      <x:c r="C60" s="1" t="str">
        <x:v>Pre-tax break-even net revenue at constant mix</x:v>
      </x:c>
      <x:c r="D60" s="10" t="n">
        <x:f>IF(D58&gt;0,D59/D58,NA())</x:f>
        <x:v>167566.67154381538</x:v>
      </x:c>
      <x:c r="E60" s="10" t="n">
        <x:f>IF(E58&gt;0,E59/E58,NA())</x:f>
        <x:v>175367.54550543908</x:v>
      </x:c>
      <x:c r="F60" s="10" t="n">
        <x:f>IF(F58&gt;0,F59/F58,NA())</x:f>
        <x:v>189687.73124808926</x:v>
      </x:c>
      <x:c r="G60" s="10" t="n">
        <x:f>IF(G58&gt;0,G59/G58,NA())</x:f>
        <x:v>205275.88558098875</x:v>
      </x:c>
      <x:c r="H60" s="10" t="n">
        <x:f>IF(H58&gt;0,H59/H58,NA())</x:f>
        <x:v>222067.4946458658</x:v>
      </x:c>
      <x:c r="I60" s="10" t="n">
        <x:f>IF(I58&gt;0,I59/I58,NA())</x:f>
        <x:v>241035.79054921944</x:v>
      </x:c>
      <x:c r="J60" s="10" t="n">
        <x:f>IF(J58&gt;0,J59/J58,NA())</x:f>
        <x:v>262066.00365923689</x:v>
      </x:c>
      <x:c r="K60" s="10" t="n">
        <x:f>IF(K58&gt;0,K59/K58,NA())</x:f>
        <x:v>285032.6269309557</x:v>
      </x:c>
      <x:c r="L60" s="10" t="n">
        <x:f>IF(L58&gt;0,L59/L58,NA())</x:f>
        <x:v>310262.3254684377</x:v>
      </x:c>
      <x:c r="M60" s="10" t="n">
        <x:f>IF(M58&gt;0,M59/M58,NA())</x:f>
        <x:v>338139.6659213916</x:v>
      </x:c>
      <x:c r="N60" s="10" t="n">
        <x:f>IF(N58&gt;0,N59/N58,NA())</x:f>
        <x:v>368661.4576787309</x:v>
      </x:c>
      <x:c r="O60" s="10" t="n">
        <x:f>IF(O58&gt;0,O59/O58,NA())</x:f>
        <x:v>402270.68780787196</x:v>
      </x:c>
      <x:c r="P60" s="10" t="n">
        <x:f>IF(P58&gt;0,P59/P58,NA())</x:f>
        <x:v>439468.6682386204</x:v>
      </x:c>
      <x:c r="Q60" s="10" t="n">
        <x:f>IF(Q58&gt;0,Q59/Q58,NA())</x:f>
        <x:v>480317.01211440674</x:v>
      </x:c>
      <x:c r="R60" s="10" t="n">
        <x:f>IF(R58&gt;0,R59/R58,NA())</x:f>
        <x:v>525400.4504331064</x:v>
      </x:c>
      <x:c r="S60" s="10" t="n">
        <x:f>IF(S58&gt;0,S59/S58,NA())</x:f>
        <x:v>575384.1700475392</x:v>
      </x:c>
      <x:c r="T60" s="10" t="n">
        <x:f>IF(T58&gt;0,T59/T58,NA())</x:f>
        <x:v>630439.2963776662</x:v>
      </x:c>
      <x:c r="U60" s="10" t="n">
        <x:f>IF(U58&gt;0,U59/U58,NA())</x:f>
        <x:v>691356.3374003373</x:v>
      </x:c>
      <x:c r="V60" s="10" t="n">
        <x:f>IF(V58&gt;0,V59/V58,NA())</x:f>
        <x:v>759037.9264700541</x:v>
      </x:c>
      <x:c r="W60" s="10" t="n">
        <x:f>IF(W58&gt;0,W59/W58,NA())</x:f>
        <x:v>833833.6302567302</x:v>
      </x:c>
    </x:row>
    <x:row r="61">
      <x:c r="C61" s="1" t="str">
        <x:v>Pre-tax break-even including unpaid labor</x:v>
      </x:c>
      <x:c r="D61" s="10" t="n">
        <x:f>IF(D58&gt;0,(D59+D31)/D58,NA())</x:f>
        <x:v>434601.63379085495</x:v>
      </x:c>
      <x:c r="E61" s="10" t="n">
        <x:f>IF(E58&gt;0,(E59+E31)/E58,NA())</x:f>
        <x:v>264905.69424827816</x:v>
      </x:c>
      <x:c r="F61" s="10" t="n">
        <x:f>IF(F58&gt;0,(F59+F31)/F58,NA())</x:f>
        <x:v>283006.0633425994</x:v>
      </x:c>
      <x:c r="G61" s="10" t="n">
        <x:f>IF(G58&gt;0,(G59+G31)/G58,NA())</x:f>
        <x:v>302486.95701994543</x:v>
      </x:c>
      <x:c r="H61" s="10" t="n">
        <x:f>IF(H58&gt;0,(H59+H31)/H58,NA())</x:f>
        <x:v>323311.4072697908</x:v>
      </x:c>
      <x:c r="I61" s="10" t="n">
        <x:f>IF(I58&gt;0,(I59+I31)/I58,NA())</x:f>
        <x:v>346788.12917279365</x:v>
      </x:c>
      <x:c r="J61" s="10" t="n">
        <x:f>IF(J58&gt;0,(J59+J31)/J58,NA())</x:f>
        <x:v>372617.58294202026</x:v>
      </x:c>
      <x:c r="K61" s="10" t="n">
        <x:f>IF(K58&gt;0,(K59+K31)/K58,NA())</x:f>
        <x:v>400654.4250465272</x:v>
      </x:c>
      <x:c r="L61" s="10" t="n">
        <x:f>IF(L58&gt;0,(L59+L31)/L58,NA())</x:f>
        <x:v>431238.17678587994</x:v>
      </x:c>
      <x:c r="M61" s="10" t="n">
        <x:f>IF(M58&gt;0,(M59+M31)/M58,NA())</x:f>
        <x:v>464773.4085137424</x:v>
      </x:c>
      <x:c r="N61" s="10" t="n">
        <x:f>IF(N58&gt;0,(N59+N31)/N58,NA())</x:f>
        <x:v>501278.9388376479</x:v>
      </x:c>
      <x:c r="O61" s="10" t="n">
        <x:f>IF(O58&gt;0,(O59+O31)/O58,NA())</x:f>
        <x:v>541221.0607613083</x:v>
      </x:c>
      <x:c r="P61" s="10" t="n">
        <x:f>IF(P58&gt;0,(P59+P31)/P58,NA())</x:f>
        <x:v>585125.9388739209</x:v>
      </x:c>
      <x:c r="Q61" s="10" t="n">
        <x:f>IF(Q58&gt;0,(Q59+Q31)/Q58,NA())</x:f>
        <x:v>633082.0038331333</x:v>
      </x:c>
      <x:c r="R61" s="10" t="n">
        <x:f>IF(R58&gt;0,(R59+R31)/R58,NA())</x:f>
        <x:v>685703.1873790111</x:v>
      </x:c>
      <x:c r="S61" s="10" t="n">
        <x:f>IF(S58&gt;0,(S59+S31)/S58,NA())</x:f>
        <x:v>743686.6602641416</x:v>
      </x:c>
      <x:c r="T61" s="10" t="n">
        <x:f>IF(T58&gt;0,(T59+T31)/T58,NA())</x:f>
        <x:v>807238.7121229859</x:v>
      </x:c>
      <x:c r="U61" s="10" t="n">
        <x:f>IF(U58&gt;0,(U59+U31)/U58,NA())</x:f>
        <x:v>877188.6111906527</x:v>
      </x:c>
      <x:c r="V61" s="10" t="n">
        <x:f>IF(V58&gt;0,(V59+V31)/V58,NA())</x:f>
        <x:v>954481.8017754762</x:v>
      </x:c>
      <x:c r="W61" s="10" t="n">
        <x:f>IF(W58&gt;0,(W59+W31)/W58,NA())</x:f>
        <x:v>1039515.2244369885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35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1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16" customHeight="1">
      <x:c r="A2" s="1"/>
      <x:c r="B2" s="1"/>
      <x:c r="C2" s="2" t="str">
        <x:v>Product comparison</x:v>
      </x:c>
      <x:c r="D2" s="2"/>
      <x:c r="E2" s="2"/>
      <x:c r="F2" s="2"/>
      <x:c r="G2" s="2"/>
      <x:c r="H2" s="2"/>
      <x:c r="I2" s="1"/>
      <x:c r="J2" s="1"/>
      <x:c r="K2" s="1"/>
      <x:c r="L2" s="1"/>
      <x:c r="M2" s="1"/>
    </x:row>
    <x:row r="3" ht="16" customHeight="1">
      <x:c r="A3" s="1"/>
      <x:c r="B3" s="1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</x:row>
    <x:row r="4" ht="16" customHeight="1">
      <x:c r="A4" s="1"/>
      <x:c r="B4" s="1"/>
      <x:c r="C4" s="1" t="str">
        <x:v>Dot comparison assumptions. USD. Not an owner or AF&amp;I budget.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16" customHeight="1">
      <x:c r="A5" s="1"/>
      <x:c r="B5" s="1"/>
      <x:c r="C5" s="1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16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 ht="43" customHeight="1">
      <x:c r="A7" s="1"/>
      <x:c r="B7" s="1"/>
      <x:c r="C7" s="20" t="str">
        <x:v>Family</x:v>
      </x:c>
      <x:c r="D7" s="20" t="str">
        <x:v>Dot net revenue Y1</x:v>
      </x:c>
      <x:c r="E7" s="20" t="str">
        <x:v>Dot net revenue Y2</x:v>
      </x:c>
      <x:c r="F7" s="20" t="str">
        <x:v>Dot net revenue Y3</x:v>
      </x:c>
      <x:c r="G7" s="20" t="str">
        <x:v>Dot net revenue Y4</x:v>
      </x:c>
      <x:c r="H7" s="20" t="str">
        <x:v>Dot net revenue Y5</x:v>
      </x:c>
      <x:c r="I7" s="20" t="str">
        <x:v>Owner Y1 revenue</x:v>
      </x:c>
      <x:c r="J7" s="20" t="str">
        <x:v>Owner Y1 budget costs</x:v>
      </x:c>
      <x:c r="K7" s="20" t="str">
        <x:v>Owner submission / receipt</x:v>
      </x:c>
      <x:c r="L7" s="20" t="str">
        <x:v>Comparison status</x:v>
      </x:c>
      <x:c r="M7" s="20" t="str">
        <x:v>Separate Year 1 cash requirement</x:v>
      </x:c>
    </x:row>
    <x:row r="8" ht="16" customHeight="1">
      <x:c r="A8" s="1"/>
      <x:c r="B8" s="1"/>
      <x:c r="C8" s="1" t="str">
        <x:v>ETV courses</x:v>
      </x:c>
      <x:c r="D8" s="10" t="n">
        <x:f>'Segment tax'!E8</x:f>
        <x:v>21126.6</x:v>
      </x:c>
      <x:c r="E8" s="10" t="n">
        <x:f>'Segment tax'!E47</x:f>
        <x:v>23823.19515</x:v>
      </x:c>
      <x:c r="F8" s="10" t="n">
        <x:f>'Segment tax'!E86</x:f>
        <x:v>27568.355023199998</x:v>
      </x:c>
      <x:c r="G8" s="10" t="n">
        <x:f>'Segment tax'!E125</x:f>
        <x:v>32088.900180487348</x:v>
      </x:c>
      <x:c r="H8" s="10" t="n">
        <x:f>'Segment tax'!E164</x:f>
        <x:v>37400.78770843146</x:v>
      </x:c>
      <x:c r="I8" s="10"/>
      <x:c r="J8" s="10"/>
      <x:c r="K8" s="10"/>
      <x:c r="L8" s="10" t="str">
        <x:v>Owner submission pending</x:v>
      </x:c>
      <x:c r="M8" s="10" t="n">
        <x:f>'Monthly cash'!Q27</x:f>
        <x:v>31.13101301736267</x:v>
      </x:c>
    </x:row>
    <x:row r="9" ht="16" customHeight="1">
      <x:c r="A9" s="1"/>
      <x:c r="B9" s="1"/>
      <x:c r="C9" s="1" t="str">
        <x:v>ETV services</x:v>
      </x:c>
      <x:c r="D9" s="10" t="n">
        <x:f>'Segment tax'!E9</x:f>
        <x:v>60140</x:v>
      </x:c>
      <x:c r="E9" s="10" t="n">
        <x:f>'Segment tax'!E48</x:f>
        <x:v>64409.94000000001</x:v>
      </x:c>
      <x:c r="F9" s="10" t="n">
        <x:f>'Segment tax'!E87</x:f>
        <x:v>70703.71128</x:v>
      </x:c>
      <x:c r="G9" s="10" t="n">
        <x:f>'Segment tax'!E126</x:f>
        <x:v>78531.80094216001</x:v>
      </x:c>
      <x:c r="H9" s="10" t="n">
        <x:f>'Segment tax'!E165</x:f>
        <x:v>87705.82146896354</x:v>
      </x:c>
      <x:c r="I9" s="10"/>
      <x:c r="J9" s="10"/>
      <x:c r="K9" s="10"/>
      <x:c r="L9" s="10" t="str">
        <x:v>Owner submission pending</x:v>
      </x:c>
      <x:c r="M9" s="10" t="n">
        <x:f>'Monthly cash'!Q28</x:f>
        <x:v>3675.1322110120745</x:v>
      </x:c>
    </x:row>
    <x:row r="10" ht="16" customHeight="1">
      <x:c r="A10" s="1"/>
      <x:c r="B10" s="1"/>
      <x:c r="C10" s="1" t="str">
        <x:v>BPA professional services</x:v>
      </x:c>
      <x:c r="D10" s="10" t="n">
        <x:f>'Segment tax'!E10</x:f>
        <x:v>283046</x:v>
      </x:c>
      <x:c r="E10" s="10" t="n">
        <x:f>'Segment tax'!E49</x:f>
        <x:v>366603.2550000001</x:v>
      </x:c>
      <x:c r="F10" s="10" t="n">
        <x:f>'Segment tax'!E88</x:f>
        <x:v>431407.35741000006</x:v>
      </x:c>
      <x:c r="G10" s="10" t="n">
        <x:f>'Segment tax'!E127</x:f>
        <x:v>489174.29127402004</x:v>
      </x:c>
      <x:c r="H10" s="10" t="n">
        <x:f>'Segment tax'!E166</x:f>
        <x:v>546013.3579397507</x:v>
      </x:c>
      <x:c r="I10" s="10"/>
      <x:c r="J10" s="10"/>
      <x:c r="K10" s="10"/>
      <x:c r="L10" s="10" t="str">
        <x:v>Owner submission pending</x:v>
      </x:c>
      <x:c r="M10" s="10" t="n">
        <x:f>'Monthly cash'!Q29</x:f>
        <x:v>18869.507813224023</x:v>
      </x:c>
    </x:row>
    <x:row r="11" ht="16" customHeight="1">
      <x:c r="A11" s="1"/>
      <x:c r="B11" s="1"/>
      <x:c r="C11" s="1" t="str">
        <x:v>CornerFlow</x:v>
      </x:c>
      <x:c r="D11" s="10" t="n">
        <x:f>'Segment tax'!E11</x:f>
        <x:v>4782.1</x:v>
      </x:c>
      <x:c r="E11" s="10" t="n">
        <x:f>'Segment tax'!E50</x:f>
        <x:v>7280.79672</x:v>
      </x:c>
      <x:c r="F11" s="10" t="n">
        <x:f>'Segment tax'!E89</x:f>
        <x:v>9549.360714960001</x:v>
      </x:c>
      <x:c r="G11" s="10" t="n">
        <x:f>'Segment tax'!E128</x:f>
        <x:v>11858.976180768963</x:v>
      </x:c>
      <x:c r="H11" s="10" t="n">
        <x:f>'Segment tax'!E167</x:f>
        <x:v>14390.823256203943</x:v>
      </x:c>
      <x:c r="I11" s="10"/>
      <x:c r="J11" s="10"/>
      <x:c r="K11" s="10"/>
      <x:c r="L11" s="10" t="str">
        <x:v>Owner submission pending</x:v>
      </x:c>
      <x:c r="M11" s="10" t="n">
        <x:f>'Monthly cash'!Q30</x:f>
        <x:v>170.9515699127643</x:v>
      </x:c>
    </x:row>
    <x:row r="12" ht="16" customHeight="1">
      <x:c r="A12" s="1"/>
      <x:c r="B12" s="1"/>
      <x:c r="C12" s="1" t="str">
        <x:v>Spindle</x:v>
      </x:c>
      <x:c r="D12" s="10" t="n">
        <x:f>'Segment tax'!E12</x:f>
        <x:v>4782.1</x:v>
      </x:c>
      <x:c r="E12" s="10" t="n">
        <x:f>'Segment tax'!E51</x:f>
        <x:v>7280.79672</x:v>
      </x:c>
      <x:c r="F12" s="10" t="n">
        <x:f>'Segment tax'!E90</x:f>
        <x:v>9549.360714960001</x:v>
      </x:c>
      <x:c r="G12" s="10" t="n">
        <x:f>'Segment tax'!E129</x:f>
        <x:v>11858.976180768963</x:v>
      </x:c>
      <x:c r="H12" s="10" t="n">
        <x:f>'Segment tax'!E168</x:f>
        <x:v>14390.823256203943</x:v>
      </x:c>
      <x:c r="I12" s="10"/>
      <x:c r="J12" s="10"/>
      <x:c r="K12" s="10"/>
      <x:c r="L12" s="10" t="str">
        <x:v>Owner submission pending</x:v>
      </x:c>
      <x:c r="M12" s="10" t="n">
        <x:f>'Monthly cash'!Q31</x:f>
        <x:v>170.9515699127643</x:v>
      </x:c>
    </x:row>
    <x:row r="13" ht="16" customHeight="1">
      <x:c r="A13" s="1"/>
      <x:c r="B13" s="1"/>
      <x:c r="C13" s="1" t="str">
        <x:v>Maison Contour</x:v>
      </x:c>
      <x:c r="D13" s="10" t="n">
        <x:f>'Segment tax'!E13</x:f>
        <x:v>6528.1</x:v>
      </x:c>
      <x:c r="E13" s="10" t="n">
        <x:f>'Segment tax'!E52</x:f>
        <x:v>9809.70312</x:v>
      </x:c>
      <x:c r="F13" s="10" t="n">
        <x:f>'Segment tax'!E91</x:f>
        <x:v>12924.48906216</x:v>
      </x:c>
      <x:c r="G13" s="10" t="n">
        <x:f>'Segment tax'!E130</x:f>
        <x:v>16189.872574052164</x:v>
      </x:c>
      <x:c r="H13" s="10" t="n">
        <x:f>'Segment tax'!E169</x:f>
        <x:v>19834.45429914821</x:v>
      </x:c>
      <x:c r="I13" s="10"/>
      <x:c r="J13" s="10"/>
      <x:c r="K13" s="10"/>
      <x:c r="L13" s="10" t="str">
        <x:v>Owner submission pending</x:v>
      </x:c>
      <x:c r="M13" s="10" t="n">
        <x:f>'Monthly cash'!Q32</x:f>
        <x:v>233.36796460707987</x:v>
      </x:c>
    </x:row>
    <x:row r="14" ht="16" customHeight="1">
      <x:c r="A14" s="1"/>
      <x:c r="B14" s="1"/>
      <x:c r="C14" s="1" t="str">
        <x:v>DishLoom US</x:v>
      </x:c>
      <x:c r="D14" s="10" t="n">
        <x:f>'Segment tax'!E14</x:f>
        <x:v>5499.9</x:v>
      </x:c>
      <x:c r="E14" s="10" t="n">
        <x:f>'Segment tax'!E53</x:f>
        <x:v>7966.055160000002</x:v>
      </x:c>
      <x:c r="F14" s="10" t="n">
        <x:f>'Segment tax'!E92</x:f>
        <x:v>10631.654293680002</x:v>
      </x:c>
      <x:c r="G14" s="10" t="n">
        <x:f>'Segment tax'!E131</x:f>
        <x:v>13642.323638842085</x:v>
      </x:c>
      <x:c r="H14" s="10" t="n">
        <x:f>'Segment tax'!E170</x:f>
        <x:v>17147.437785274426</x:v>
      </x:c>
      <x:c r="I14" s="10"/>
      <x:c r="J14" s="10"/>
      <x:c r="K14" s="10"/>
      <x:c r="L14" s="10" t="str">
        <x:v>Owner submission pending</x:v>
      </x:c>
      <x:c r="M14" s="10" t="n">
        <x:f>'Monthly cash'!Q33</x:f>
        <x:v>196.61164328709404</x:v>
      </x:c>
    </x:row>
    <x:row r="15" ht="16" customHeight="1">
      <x:c r="A15" s="1"/>
      <x:c r="B15" s="1"/>
      <x:c r="C15" s="1" t="str">
        <x:v>Is Makes Travel Easy</x:v>
      </x:c>
      <x:c r="D15" s="10" t="n">
        <x:f>'Segment tax'!E15</x:f>
        <x:v>14413.230000000001</x:v>
      </x:c>
      <x:c r="E15" s="10" t="n">
        <x:f>'Segment tax'!E54</x:f>
        <x:v>17563.017492000003</x:v>
      </x:c>
      <x:c r="F15" s="10" t="n">
        <x:f>'Segment tax'!E93</x:f>
        <x:v>21206.790022608002</x:v>
      </x:c>
      <x:c r="G15" s="10" t="n">
        <x:f>'Segment tax'!E132</x:f>
        <x:v>25596.990115483466</x:v>
      </x:c>
      <x:c r="H15" s="10" t="n">
        <x:f>'Segment tax'!E171</x:f>
        <x:v>30941.3437993572</x:v>
      </x:c>
      <x:c r="I15" s="10"/>
      <x:c r="J15" s="10"/>
      <x:c r="K15" s="10"/>
      <x:c r="L15" s="10" t="str">
        <x:v>Owner submission pending</x:v>
      </x:c>
      <x:c r="M15" s="10" t="n">
        <x:f>'Monthly cash'!Q34</x:f>
        <x:v>268.2429464750987</x:v>
      </x:c>
    </x:row>
    <x:row r="16" ht="16" customHeight="1">
      <x:c r="A16" s="1"/>
      <x:c r="B16" s="1"/>
      <x:c r="C16" s="1" t="str">
        <x:v>Turbo Tax - Made Easy!</x:v>
      </x:c>
      <x:c r="D16" s="10" t="n">
        <x:f>'Segment tax'!E16</x:f>
        <x:v>47190.5</x:v>
      </x:c>
      <x:c r="E16" s="10" t="n">
        <x:f>'Segment tax'!E55</x:f>
        <x:v>62221.0865</x:v>
      </x:c>
      <x:c r="F16" s="10" t="n">
        <x:f>'Segment tax'!E94</x:f>
        <x:v>73855.956752</x:v>
      </x:c>
      <x:c r="G16" s="10" t="n">
        <x:f>'Segment tax'!E133</x:f>
        <x:v>85865.133787346</x:v>
      </x:c>
      <x:c r="H16" s="10" t="n">
        <x:f>'Segment tax'!E172</x:f>
        <x:v>99391.21541618685</x:v>
      </x:c>
      <x:c r="I16" s="10"/>
      <x:c r="J16" s="10"/>
      <x:c r="K16" s="10"/>
      <x:c r="L16" s="10" t="str">
        <x:v>Owner submission pending</x:v>
      </x:c>
      <x:c r="M16" s="10" t="n">
        <x:f>'Monthly cash'!Q35</x:f>
        <x:v>608.6837243544331</x:v>
      </x:c>
    </x:row>
    <x:row r="17" ht="16" customHeight="1">
      <x:c r="A17" s="1"/>
      <x:c r="B17" s="1"/>
      <x:c r="C17" s="1" t="str">
        <x:v>LavaLearning adult</x:v>
      </x:c>
      <x:c r="D17" s="10" t="n">
        <x:f>'Segment tax'!E17</x:f>
        <x:v>21475.8</x:v>
      </x:c>
      <x:c r="E17" s="10" t="n">
        <x:f>'Segment tax'!E56</x:f>
        <x:v>31335.4911</x:v>
      </x:c>
      <x:c r="F17" s="10" t="n">
        <x:f>'Segment tax'!E95</x:f>
        <x:v>38006.2715913</x:v>
      </x:c>
      <x:c r="G17" s="10" t="n">
        <x:f>'Segment tax'!E134</x:f>
        <x:v>44548.665041499895</x:v>
      </x:c>
      <x:c r="H17" s="10" t="n">
        <x:f>'Segment tax'!E173</x:f>
        <x:v>51846.48152099889</x:v>
      </x:c>
      <x:c r="I17" s="10"/>
      <x:c r="J17" s="10"/>
      <x:c r="K17" s="10"/>
      <x:c r="L17" s="10" t="str">
        <x:v>Owner submission pending</x:v>
      </x:c>
      <x:c r="M17" s="10" t="n">
        <x:f>'Monthly cash'!Q36</x:f>
        <x:v>399.6836149780392</x:v>
      </x:c>
    </x:row>
    <x:row r="18" ht="16" customHeight="1">
      <x:c r="A18" s="1"/>
      <x:c r="B18" s="1"/>
      <x:c r="C18" s="1" t="str">
        <x:v>LavaLearning Model Life</x:v>
      </x:c>
      <x:c r="D18" s="10" t="n">
        <x:f>'Segment tax'!E18</x:f>
        <x:v>0</x:v>
      </x:c>
      <x:c r="E18" s="10" t="n">
        <x:f>'Segment tax'!E57</x:f>
        <x:v>0</x:v>
      </x:c>
      <x:c r="F18" s="10" t="n">
        <x:f>'Segment tax'!E96</x:f>
        <x:v>0</x:v>
      </x:c>
      <x:c r="G18" s="10" t="n">
        <x:f>'Segment tax'!E135</x:f>
        <x:v>0</x:v>
      </x:c>
      <x:c r="H18" s="10" t="n">
        <x:f>'Segment tax'!E174</x:f>
        <x:v>0</x:v>
      </x:c>
      <x:c r="I18" s="10"/>
      <x:c r="J18" s="10"/>
      <x:c r="K18" s="10"/>
      <x:c r="L18" s="10" t="str">
        <x:v>Owner submission pending</x:v>
      </x:c>
      <x:c r="M18" s="10" t="n">
        <x:f>'Monthly cash'!Q37</x:f>
        <x:v>0</x:v>
      </x:c>
    </x:row>
    <x:row r="19" ht="16" customHeight="1">
      <x:c r="A19" s="1"/>
      <x:c r="B19" s="1"/>
      <x:c r="C19" s="1" t="str">
        <x:v>LavaLearning Kids</x:v>
      </x:c>
      <x:c r="D19" s="10" t="n">
        <x:f>'Segment tax'!E19</x:f>
        <x:v>5529</x:v>
      </x:c>
      <x:c r="E19" s="10" t="n">
        <x:f>'Segment tax'!E58</x:f>
        <x:v>11138.1705</x:v>
      </x:c>
      <x:c r="F19" s="10" t="n">
        <x:f>'Segment tax'!E97</x:f>
        <x:v>14251.500639</x:v>
      </x:c>
      <x:c r="G19" s="10" t="n">
        <x:f>'Segment tax'!E136</x:f>
        <x:v>17019.5490433845</x:v>
      </x:c>
      <x:c r="H19" s="10" t="n">
        <x:f>'Segment tax'!E175</x:f>
        <x:v>20041.078420318576</x:v>
      </x:c>
      <x:c r="I19" s="10"/>
      <x:c r="J19" s="10"/>
      <x:c r="K19" s="10"/>
      <x:c r="L19" s="10" t="str">
        <x:v>Owner submission pending</x:v>
      </x:c>
      <x:c r="M19" s="10" t="n">
        <x:f>'Monthly cash'!Q38</x:f>
        <x:v>197.65191653199935</x:v>
      </x:c>
    </x:row>
    <x:row r="20" ht="16" customHeight="1">
      <x:c r="A20" s="1"/>
      <x:c r="B20" s="1"/>
      <x:c r="C20" s="1" t="str">
        <x:v>VraiSkill adult</x:v>
      </x:c>
      <x:c r="D20" s="10" t="n">
        <x:f>'Segment tax'!E20</x:f>
        <x:v>15705.27</x:v>
      </x:c>
      <x:c r="E20" s="10" t="n">
        <x:f>'Segment tax'!E59</x:f>
        <x:v>22427.12556</x:v>
      </x:c>
      <x:c r="F20" s="10" t="n">
        <x:f>'Segment tax'!E98</x:f>
        <x:v>27328.253463629997</x:v>
      </x:c>
      <x:c r="G20" s="10" t="n">
        <x:f>'Segment tax'!E137</x:f>
        <x:v>32316.456284184238</x:v>
      </x:c>
      <x:c r="H20" s="10" t="n">
        <x:f>'Segment tax'!E176</x:f>
        <x:v>37973.6090390414</x:v>
      </x:c>
      <x:c r="I20" s="10"/>
      <x:c r="J20" s="10"/>
      <x:c r="K20" s="10"/>
      <x:c r="L20" s="10" t="str">
        <x:v>Owner submission pending</x:v>
      </x:c>
      <x:c r="M20" s="10" t="n">
        <x:f>'Monthly cash'!Q39</x:f>
        <x:v>292.28895257946846</x:v>
      </x:c>
    </x:row>
    <x:row r="21" ht="16" customHeight="1">
      <x:c r="A21" s="1"/>
      <x:c r="B21" s="1"/>
      <x:c r="C21" s="1" t="str">
        <x:v>VraiSkill teen</x:v>
      </x:c>
      <x:c r="D21" s="10" t="n">
        <x:f>'Segment tax'!E21</x:f>
        <x:v>4656</x:v>
      </x:c>
      <x:c r="E21" s="10" t="n">
        <x:f>'Segment tax'!E60</x:f>
        <x:v>9379.512</x:v>
      </x:c>
      <x:c r="F21" s="10" t="n">
        <x:f>'Segment tax'!E99</x:f>
        <x:v>12001.263695999998</x:v>
      </x:c>
      <x:c r="G21" s="10" t="n">
        <x:f>'Segment tax'!E138</x:f>
        <x:v>14332.251826007998</x:v>
      </x:c>
      <x:c r="H21" s="10" t="n">
        <x:f>'Segment tax'!E177</x:f>
        <x:v>16876.69761711038</x:v>
      </x:c>
      <x:c r="I21" s="10"/>
      <x:c r="J21" s="10"/>
      <x:c r="K21" s="10"/>
      <x:c r="L21" s="10" t="str">
        <x:v>Owner submission pending</x:v>
      </x:c>
      <x:c r="M21" s="10" t="n">
        <x:f>'Monthly cash'!Q40</x:f>
        <x:v>166.44371918484154</x:v>
      </x:c>
    </x:row>
    <x:row r="22" ht="16" customHeight="1">
      <x:c r="A22" s="1"/>
      <x:c r="B22" s="1"/>
      <x:c r="C22" s="1" t="str">
        <x:v>VraiSkill Model Life</x:v>
      </x:c>
      <x:c r="D22" s="10" t="n">
        <x:f>'Segment tax'!E22</x:f>
        <x:v>0</x:v>
      </x:c>
      <x:c r="E22" s="10" t="n">
        <x:f>'Segment tax'!E61</x:f>
        <x:v>0</x:v>
      </x:c>
      <x:c r="F22" s="10" t="n">
        <x:f>'Segment tax'!E100</x:f>
        <x:v>0</x:v>
      </x:c>
      <x:c r="G22" s="10" t="n">
        <x:f>'Segment tax'!E139</x:f>
        <x:v>0</x:v>
      </x:c>
      <x:c r="H22" s="10" t="n">
        <x:f>'Segment tax'!E178</x:f>
        <x:v>0</x:v>
      </x:c>
      <x:c r="I22" s="10"/>
      <x:c r="J22" s="10"/>
      <x:c r="K22" s="10"/>
      <x:c r="L22" s="10" t="str">
        <x:v>Owner submission pending</x:v>
      </x:c>
      <x:c r="M22" s="10" t="n">
        <x:f>'Monthly cash'!Q41</x:f>
        <x:v>0</x:v>
      </x:c>
    </x:row>
    <x:row r="23" ht="16" customHeight="1">
      <x:c r="A23" s="1"/>
      <x:c r="B23" s="1"/>
      <x:c r="C23" s="1" t="str">
        <x:v>Model Life</x:v>
      </x:c>
      <x:c r="D23" s="10" t="n">
        <x:f>'Segment tax'!E23</x:f>
        <x:v>15830.4</x:v>
      </x:c>
      <x:c r="E23" s="10" t="n">
        <x:f>'Segment tax'!E62</x:f>
        <x:v>22928.751360000006</x:v>
      </x:c>
      <x:c r="F23" s="10" t="n">
        <x:f>'Segment tax'!E101</x:f>
        <x:v>30601.163681280006</x:v>
      </x:c>
      <x:c r="G23" s="10" t="n">
        <x:f>'Segment tax'!E140</x:f>
        <x:v>39266.79396576768</x:v>
      </x:c>
      <x:c r="H23" s="10" t="n">
        <x:f>'Segment tax'!E179</x:f>
        <x:v>49355.588122694644</x:v>
      </x:c>
      <x:c r="I23" s="10"/>
      <x:c r="J23" s="10"/>
      <x:c r="K23" s="10"/>
      <x:c r="L23" s="10" t="str">
        <x:v>Owner submission pending</x:v>
      </x:c>
      <x:c r="M23" s="10" t="n">
        <x:f>'Monthly cash'!Q42</x:f>
        <x:v>565.9086452284612</x:v>
      </x:c>
    </x:row>
    <x:row r="24" ht="16" customHeight="1">
      <x:c r="A24" s="1"/>
      <x:c r="B24" s="1"/>
      <x:c r="C24" s="1" t="str">
        <x:v>S’otality cleaning</x:v>
      </x:c>
      <x:c r="D24" s="10" t="n">
        <x:f>'Segment tax'!E24</x:f>
        <x:v>101384.4</x:v>
      </x:c>
      <x:c r="E24" s="10" t="n">
        <x:f>'Segment tax'!E63</x:f>
        <x:v>122715.67775999999</x:v>
      </x:c>
      <x:c r="F24" s="10" t="n">
        <x:f>'Segment tax'!E102</x:f>
        <x:v>143171.96759424</x:v>
      </x:c>
      <x:c r="G24" s="10" t="n">
        <x:f>'Segment tax'!E141</x:f>
        <x:v>163995.75365501957</x:v>
      </x:c>
      <x:c r="H24" s="10" t="n">
        <x:f>'Segment tax'!E180</x:f>
        <x:v>186057.6008816727</x:v>
      </x:c>
      <x:c r="I24" s="10"/>
      <x:c r="J24" s="10"/>
      <x:c r="K24" s="10"/>
      <x:c r="L24" s="10" t="str">
        <x:v>Owner submission pending</x:v>
      </x:c>
      <x:c r="M24" s="10" t="n">
        <x:f>'Monthly cash'!Q43</x:f>
        <x:v>2446.853271793345</x:v>
      </x:c>
    </x:row>
    <x:row r="25" ht="16" customHeight="1">
      <x:c r="A25" s="1"/>
      <x:c r="B25" s="1"/>
      <x:c r="C25" s="1" t="str">
        <x:v>S’otality laundry</x:v>
      </x:c>
      <x:c r="D25" s="10" t="n">
        <x:f>'Segment tax'!E25</x:f>
        <x:v>15714</x:v>
      </x:c>
      <x:c r="E25" s="10" t="n">
        <x:f>'Segment tax'!E64</x:f>
        <x:v>19020.225599999998</x:v>
      </x:c>
      <x:c r="F25" s="10" t="n">
        <x:f>'Segment tax'!E103</x:f>
        <x:v>22190.8330944</x:v>
      </x:c>
      <x:c r="G25" s="10" t="n">
        <x:f>'Segment tax'!E142</x:f>
        <x:v>25418.400394291206</x:v>
      </x:c>
      <x:c r="H25" s="10" t="n">
        <x:f>'Segment tax'!E181</x:f>
        <x:v>28837.860067767862</x:v>
      </x:c>
      <x:c r="I25" s="10"/>
      <x:c r="J25" s="10"/>
      <x:c r="K25" s="10"/>
      <x:c r="L25" s="10" t="str">
        <x:v>Owner submission pending</x:v>
      </x:c>
      <x:c r="M25" s="10" t="n">
        <x:f>'Monthly cash'!Q44</x:f>
        <x:v>292.45142559368725</x:v>
      </x:c>
    </x:row>
    <x:row r="26" ht="16" customHeight="1">
      <x:c r="A26" s="1"/>
      <x:c r="B26" s="1"/>
      <x:c r="C26" s="1" t="str">
        <x:v>S’otality Personal Chef</x:v>
      </x:c>
      <x:c r="D26" s="10" t="n">
        <x:f>'Segment tax'!E26</x:f>
        <x:v>18915</x:v>
      </x:c>
      <x:c r="E26" s="10" t="n">
        <x:f>'Segment tax'!E65</x:f>
        <x:v>28554.084000000003</x:v>
      </x:c>
      <x:c r="F26" s="10" t="n">
        <x:f>'Segment tax'!E104</x:f>
        <x:v>36524.532096</x:v>
      </x:c>
      <x:c r="G26" s="10" t="n">
        <x:f>'Segment tax'!E143</x:f>
        <x:v>43726.47711868802</x:v>
      </x:c>
      <x:c r="H26" s="10" t="n">
        <x:f>'Segment tax'!E182</x:f>
        <x:v>50741.63001663726</x:v>
      </x:c>
      <x:c r="I26" s="10"/>
      <x:c r="J26" s="10"/>
      <x:c r="K26" s="10"/>
      <x:c r="L26" s="10" t="str">
        <x:v>Owner submission pending</x:v>
      </x:c>
      <x:c r="M26" s="10" t="n">
        <x:f>'Monthly cash'!Q45</x:f>
        <x:v>1176.1776091884187</x:v>
      </x:c>
    </x:row>
    <x:row r="27" ht="16" customHeight="1">
      <x:c r="A27" s="1"/>
      <x:c r="B27" s="1"/>
      <x:c r="C27" s="1" t="str">
        <x:v>S’otality interiors</x:v>
      </x:c>
      <x:c r="D27" s="10" t="n">
        <x:f>'Segment tax'!E27</x:f>
        <x:v>35356.5</x:v>
      </x:c>
      <x:c r="E27" s="10" t="n">
        <x:f>'Segment tax'!E66</x:f>
        <x:v>43712.681399999994</x:v>
      </x:c>
      <x:c r="F27" s="10" t="n">
        <x:f>'Segment tax'!E105</x:f>
        <x:v>51399.8622972</x:v>
      </x:c>
      <x:c r="G27" s="10" t="n">
        <x:f>'Segment tax'!E144</x:f>
        <x:v>59161.46403003122</x:v>
      </x:c>
      <x:c r="H27" s="10" t="n">
        <x:f>'Segment tax'!E183</x:f>
        <x:v>67453.58588614318</x:v>
      </x:c>
      <x:c r="I27" s="10"/>
      <x:c r="J27" s="10"/>
      <x:c r="K27" s="10"/>
      <x:c r="L27" s="10" t="str">
        <x:v>Owner submission pending</x:v>
      </x:c>
      <x:c r="M27" s="10" t="n">
        <x:f>'Monthly cash'!Q46</x:f>
        <x:v>1521.3378025771608</x:v>
      </x:c>
    </x:row>
    <x:row r="28" ht="16" customHeight="1">
      <x:c r="A28" s="1"/>
      <x:c r="B28" s="1"/>
      <x:c r="C28" s="1" t="str">
        <x:v>S’otality concierge</x:v>
      </x:c>
      <x:c r="D28" s="10" t="n">
        <x:f>'Segment tax'!E28</x:f>
        <x:v>13095</x:v>
      </x:c>
      <x:c r="E28" s="10" t="n">
        <x:f>'Segment tax'!E67</x:f>
        <x:v>16473.51</x:v>
      </x:c>
      <x:c r="F28" s="10" t="n">
        <x:f>'Segment tax'!E106</x:f>
        <x:v>19391.547420000003</x:v>
      </x:c>
      <x:c r="G28" s="10" t="n">
        <x:f>'Segment tax'!E145</x:f>
        <x:v>22220.533497240005</x:v>
      </x:c>
      <x:c r="H28" s="10" t="n">
        <x:f>'Segment tax'!E184</x:f>
        <x:v>25167.679402823287</x:v>
      </x:c>
      <x:c r="I28" s="10"/>
      <x:c r="J28" s="10"/>
      <x:c r="K28" s="10"/>
      <x:c r="L28" s="10" t="str">
        <x:v>Owner submission pending</x:v>
      </x:c>
      <x:c r="M28" s="10" t="n">
        <x:f>'Monthly cash'!Q47</x:f>
        <x:v>1101.2140009545042</x:v>
      </x:c>
    </x:row>
    <x:row r="29" ht="16" customHeight="1">
      <x:c r="A29" s="1"/>
      <x:c r="B29" s="1"/>
      <x:c r="C29" s="1" t="str">
        <x:v>S’otality administration</x:v>
      </x:c>
      <x:c r="D29" s="10" t="n">
        <x:f>'Segment tax'!E29</x:f>
        <x:v>20952</x:v>
      </x:c>
      <x:c r="E29" s="10" t="n">
        <x:f>'Segment tax'!E68</x:f>
        <x:v>26357.616</x:v>
      </x:c>
      <x:c r="F29" s="10" t="n">
        <x:f>'Segment tax'!E107</x:f>
        <x:v>31026.475872000003</x:v>
      </x:c>
      <x:c r="G29" s="10" t="n">
        <x:f>'Segment tax'!E146</x:f>
        <x:v>35552.853595584005</x:v>
      </x:c>
      <x:c r="H29" s="10" t="n">
        <x:f>'Segment tax'!E185</x:f>
        <x:v>40268.28704451726</x:v>
      </x:c>
      <x:c r="I29" s="10"/>
      <x:c r="J29" s="10"/>
      <x:c r="K29" s="10"/>
      <x:c r="L29" s="10" t="str">
        <x:v>Owner submission pending</x:v>
      </x:c>
      <x:c r="M29" s="10" t="n">
        <x:f>'Monthly cash'!Q48</x:f>
        <x:v>2184.342401527206</x:v>
      </x:c>
    </x:row>
    <x:row r="30" ht="16" customHeight="1">
      <x:c r="A30" s="1"/>
      <x:c r="B30" s="1"/>
      <x:c r="C30" s="1" t="str">
        <x:v>S’otality bike tours</x:v>
      </x:c>
      <x:c r="D30" s="10" t="n">
        <x:f>'Segment tax'!E30</x:f>
        <x:v>7566</x:v>
      </x:c>
      <x:c r="E30" s="10" t="n">
        <x:f>'Segment tax'!E69</x:f>
        <x:v>11421.633600000001</x:v>
      </x:c>
      <x:c r="F30" s="10" t="n">
        <x:f>'Segment tax'!E108</x:f>
        <x:v>14609.812838400003</x:v>
      </x:c>
      <x:c r="G30" s="10" t="n">
        <x:f>'Segment tax'!E147</x:f>
        <x:v>17490.590847475203</x:v>
      </x:c>
      <x:c r="H30" s="10" t="n">
        <x:f>'Segment tax'!E186</x:f>
        <x:v>20296.6520066549</x:v>
      </x:c>
      <x:c r="I30" s="10"/>
      <x:c r="J30" s="10"/>
      <x:c r="K30" s="10"/>
      <x:c r="L30" s="10" t="str">
        <x:v>Owner submission pending</x:v>
      </x:c>
      <x:c r="M30" s="10" t="n">
        <x:f>'Monthly cash'!Q49</x:f>
        <x:v>370.4710436753674</x:v>
      </x:c>
    </x:row>
    <x:row r="31" ht="16" customHeight="1">
      <x:c r="A31" s="1"/>
      <x:c r="B31" s="1"/>
      <x:c r="C31" s="1" t="str">
        <x:v>S’otality editorial</x:v>
      </x:c>
      <x:c r="D31" s="10" t="n">
        <x:f>'Segment tax'!E31</x:f>
        <x:v>3395</x:v>
      </x:c>
      <x:c r="E31" s="10" t="n">
        <x:f>'Segment tax'!E70</x:f>
        <x:v>6163.962000000001</x:v>
      </x:c>
      <x:c r="F31" s="10" t="n">
        <x:f>'Segment tax'!E109</x:f>
        <x:v>7756.6189680000025</x:v>
      </x:c>
      <x:c r="G31" s="10" t="n">
        <x:f>'Segment tax'!E148</x:f>
        <x:v>9003.039818724004</x:v>
      </x:c>
      <x:c r="H31" s="10" t="n">
        <x:f>'Segment tax'!E187</x:f>
        <x:v>10208.551137784529</x:v>
      </x:c>
      <x:c r="I31" s="10"/>
      <x:c r="J31" s="10"/>
      <x:c r="K31" s="10"/>
      <x:c r="L31" s="10" t="str">
        <x:v>Owner submission pending</x:v>
      </x:c>
      <x:c r="M31" s="10" t="n">
        <x:f>'Monthly cash'!Q50</x:f>
        <x:v>476.67563254950323</x:v>
      </x:c>
    </x:row>
    <x:row r="32" ht="16" customHeight="1">
      <x:c r="A32" s="1"/>
      <x:c r="B32" s="1"/>
      <x:c r="C32" s="1" t="str">
        <x:v>Tomato Odyssey</x:v>
      </x:c>
      <x:c r="D32" s="10" t="n">
        <x:f>'Segment tax'!E32</x:f>
        <x:v>3395</x:v>
      </x:c>
      <x:c r="E32" s="10" t="n">
        <x:f>'Segment tax'!E71</x:f>
        <x:v>6163.962000000001</x:v>
      </x:c>
      <x:c r="F32" s="10" t="n">
        <x:f>'Segment tax'!E110</x:f>
        <x:v>7756.6189680000025</x:v>
      </x:c>
      <x:c r="G32" s="10" t="n">
        <x:f>'Segment tax'!E149</x:f>
        <x:v>9003.039818724004</x:v>
      </x:c>
      <x:c r="H32" s="10" t="n">
        <x:f>'Segment tax'!E188</x:f>
        <x:v>10208.551137784529</x:v>
      </x:c>
      <x:c r="I32" s="10"/>
      <x:c r="J32" s="10"/>
      <x:c r="K32" s="10"/>
      <x:c r="L32" s="10" t="str">
        <x:v>Owner submission pending</x:v>
      </x:c>
      <x:c r="M32" s="10" t="n">
        <x:f>'Monthly cash'!Q51</x:f>
        <x:v>476.67563254950323</x:v>
      </x:c>
    </x:row>
    <x:row r="33" ht="16" customHeight="1">
      <x:c r="A33" s="1"/>
      <x:c r="B33" s="1"/>
      <x:c r="C33" s="1" t="str">
        <x:v>Semajes Studio</x:v>
      </x:c>
      <x:c r="D33" s="10" t="n">
        <x:f>'Segment tax'!E33</x:f>
        <x:v>65452.5</x:v>
      </x:c>
      <x:c r="E33" s="10" t="n">
        <x:f>'Segment tax'!E72</x:f>
        <x:v>84829.9626</x:v>
      </x:c>
      <x:c r="F33" s="10" t="n">
        <x:f>'Segment tax'!E111</x:f>
        <x:v>100350.50709384002</x:v>
      </x:c>
      <x:c r="G33" s="10" t="n">
        <x:f>'Segment tax'!E150</x:f>
        <x:v>115335.06982432045</x:v>
      </x:c>
      <x:c r="H33" s="10" t="n">
        <x:f>'Segment tax'!E189</x:f>
        <x:v>131178.8376259839</x:v>
      </x:c>
      <x:c r="I33" s="10"/>
      <x:c r="J33" s="10"/>
      <x:c r="K33" s="10"/>
      <x:c r="L33" s="10" t="str">
        <x:v>Owner submission pending</x:v>
      </x:c>
      <x:c r="M33" s="10" t="n">
        <x:f>'Monthly cash'!Q52</x:f>
        <x:v>5096.072729856792</x:v>
      </x:c>
    </x:row>
    <x:row r="34" ht="16" customHeight="1">
      <x:c r="A34" s="1"/>
      <x:c r="B34" s="1"/>
      <x:c r="C34" s="1" t="str">
        <x:v>Semajes Marketplace</x:v>
      </x:c>
      <x:c r="D34" s="10" t="n">
        <x:f>'Segment tax'!E34</x:f>
        <x:v>10767</x:v>
      </x:c>
      <x:c r="E34" s="10" t="n">
        <x:f>'Segment tax'!E73</x:f>
        <x:v>15594.922800000002</x:v>
      </x:c>
      <x:c r="F34" s="10" t="n">
        <x:f>'Segment tax'!E112</x:f>
        <x:v>20813.291474400005</x:v>
      </x:c>
      <x:c r="G34" s="10" t="n">
        <x:f>'Segment tax'!E151</x:f>
        <x:v>26707.194425246405</x:v>
      </x:c>
      <x:c r="H34" s="10" t="n">
        <x:f>'Segment tax'!E190</x:f>
        <x:v>33569.05809815629</x:v>
      </x:c>
      <x:c r="I34" s="10"/>
      <x:c r="J34" s="10"/>
      <x:c r="K34" s="10"/>
      <x:c r="L34" s="10" t="str">
        <x:v>Owner submission pending</x:v>
      </x:c>
      <x:c r="M34" s="10" t="n">
        <x:f>'Monthly cash'!Q53</x:f>
        <x:v>384.901100614946</x:v>
      </x:c>
    </x:row>
    <x:row r="35" ht="16" customHeight="1">
      <x:c r="A35" s="1"/>
      <x:c r="B35" s="1"/>
      <x:c r="C35" s="1" t="str">
        <x:v>Semajes premium and media</x:v>
      </x:c>
      <x:c r="D35" s="10" t="n">
        <x:f>'Segment tax'!E35</x:f>
        <x:v>7510.709999999999</x:v>
      </x:c>
      <x:c r="E35" s="10" t="n">
        <x:f>'Segment tax'!E74</x:f>
        <x:v>10878.512364000002</x:v>
      </x:c>
      <x:c r="F35" s="10" t="n">
        <x:f>'Segment tax'!E113</x:f>
        <x:v>14518.677106872</x:v>
      </x:c>
      <x:c r="G35" s="10" t="n">
        <x:f>'Segment tax'!E152</x:f>
        <x:v>18630.072651773236</x:v>
      </x:c>
      <x:c r="H35" s="10" t="n">
        <x:f>'Segment tax'!E191</x:f>
        <x:v>23416.686203065237</x:v>
      </x:c>
      <x:c r="I35" s="10"/>
      <x:c r="J35" s="10"/>
      <x:c r="K35" s="10"/>
      <x:c r="L35" s="10" t="str">
        <x:v>Owner submission pending</x:v>
      </x:c>
      <x:c r="M35" s="10" t="n">
        <x:f>'Monthly cash'!Q54</x:f>
        <x:v>268.4945245100475</x:v>
      </x:c>
    </x:row>
    <x:row r="36" ht="16" customHeight="1">
      <x:c r="A36" s="1"/>
      <x:c r="B36" s="1"/>
      <x:c r="C36" s="1" t="str">
        <x:v>Semajes courses</x:v>
      </x:c>
      <x:c r="D36" s="10" t="n">
        <x:f>'Segment tax'!E36</x:f>
        <x:v>6809.4</x:v>
      </x:c>
      <x:c r="E36" s="10" t="n">
        <x:f>'Segment tax'!E75</x:f>
        <x:v>9723.823199999999</x:v>
      </x:c>
      <x:c r="F36" s="10" t="n">
        <x:f>'Segment tax'!E114</x:f>
        <x:v>11848.8258486</x:v>
      </x:c>
      <x:c r="G36" s="10" t="n">
        <x:f>'Segment tax'!E153</x:f>
        <x:v>14011.5819353328</x:v>
      </x:c>
      <x:c r="H36" s="10" t="n">
        <x:f>'Segment tax'!E192</x:f>
        <x:v>16464.377459951244</x:v>
      </x:c>
      <x:c r="I36" s="10"/>
      <x:c r="J36" s="10"/>
      <x:c r="K36" s="10"/>
      <x:c r="L36" s="10" t="str">
        <x:v>Owner submission pending</x:v>
      </x:c>
      <x:c r="M36" s="10" t="n">
        <x:f>'Monthly cash'!Q55</x:f>
        <x:v>126.72895109059777</x:v>
      </x:c>
    </x:row>
    <x:row r="37" ht="16" customHeight="1">
      <x:c r="A37" s="1"/>
      <x:c r="B37" s="1"/>
      <x:c r="C37" s="1" t="str">
        <x:v>Sleepy Face</x:v>
      </x:c>
      <x:c r="D37" s="10" t="n">
        <x:f>'Segment tax'!E37</x:f>
        <x:v>64800</x:v>
      </x:c>
      <x:c r="E37" s="10" t="n">
        <x:f>'Segment tax'!E76</x:f>
        <x:v>123467.32800000001</x:v>
      </x:c>
      <x:c r="F37" s="10" t="n">
        <x:f>'Segment tax'!E115</x:f>
        <x:v>156177.6567552</x:v>
      </x:c>
      <x:c r="G37" s="10" t="n">
        <x:f>'Segment tax'!E154</x:f>
        <x:v>183046.70093902852</x:v>
      </x:c>
      <x:c r="H37" s="10" t="n">
        <x:f>'Segment tax'!E193</x:f>
        <x:v>210529.1309864839</x:v>
      </x:c>
      <x:c r="I37" s="10"/>
      <x:c r="J37" s="10"/>
      <x:c r="K37" s="10"/>
      <x:c r="L37" s="10" t="str">
        <x:v>Owner submission pending</x:v>
      </x:c>
      <x:c r="M37" s="10" t="n">
        <x:f>'Monthly cash'!Q56</x:f>
        <x:v>7966.4847515416095</x:v>
      </x:c>
    </x:row>
    <x:row r="38" ht="16" customHeight="1">
      <x:c r="A38" s="1"/>
      <x:c r="B38" s="1"/>
      <x:c r="C38" s="1" t="str">
        <x:v>QzoticMusic</x:v>
      </x:c>
      <x:c r="D38" s="10" t="n">
        <x:f>'Segment tax'!E38</x:f>
        <x:v>5820</x:v>
      </x:c>
      <x:c r="E38" s="10" t="n">
        <x:f>'Segment tax'!E77</x:f>
        <x:v>10856.1915</x:v>
      </x:c>
      <x:c r="F38" s="10" t="n">
        <x:f>'Segment tax'!E116</x:f>
        <x:v>13723.190721</x:v>
      </x:c>
      <x:c r="G38" s="10" t="n">
        <x:f>'Segment tax'!E155</x:f>
        <x:v>16054.165605415506</x:v>
      </x:c>
      <x:c r="H38" s="10" t="n">
        <x:f>'Segment tax'!E194</x:f>
        <x:v>18399.24803964139</x:v>
      </x:c>
      <x:c r="I38" s="10"/>
      <x:c r="J38" s="10"/>
      <x:c r="K38" s="10"/>
      <x:c r="L38" s="10" t="str">
        <x:v>Owner submission pending</x:v>
      </x:c>
      <x:c r="M38" s="10" t="n">
        <x:f>'Monthly cash'!Q57</x:f>
        <x:v>1848.7832613182031</x:v>
      </x:c>
    </x:row>
    <x:row r="39" ht="16" customHeight="1">
      <x:c r="A39" s="1"/>
      <x:c r="B39" s="1"/>
      <x:c r="C39" s="1" t="str">
        <x:v>LesPetitFilms</x:v>
      </x:c>
      <x:c r="D39" s="10" t="n">
        <x:f>'Segment tax'!E39</x:f>
        <x:v>22310</x:v>
      </x:c>
      <x:c r="E39" s="10" t="n">
        <x:f>'Segment tax'!E78</x:f>
        <x:v>40506.03600000001</x:v>
      </x:c>
      <x:c r="F39" s="10" t="n">
        <x:f>'Segment tax'!E117</x:f>
        <x:v>50972.06750400001</x:v>
      </x:c>
      <x:c r="G39" s="10" t="n">
        <x:f>'Segment tax'!E156</x:f>
        <x:v>59162.83309447203</x:v>
      </x:c>
      <x:c r="H39" s="10" t="n">
        <x:f>'Segment tax'!E195</x:f>
        <x:v>67084.7646197269</x:v>
      </x:c>
      <x:c r="I39" s="10"/>
      <x:c r="J39" s="10"/>
      <x:c r="K39" s="10"/>
      <x:c r="L39" s="10" t="str">
        <x:v>Owner submission pending</x:v>
      </x:c>
      <x:c r="M39" s="10" t="n">
        <x:f>'Monthly cash'!Q58</x:f>
        <x:v>3372.654156753878</x:v>
      </x:c>
    </x:row>
    <x:row r="40" ht="16" customHeight="1">
      <x:c r="A40" s="1"/>
      <x:c r="B40" s="1"/>
      <x:c r="C40" s="1" t="str">
        <x:v>Learn Anglais</x:v>
      </x:c>
      <x:c r="D40" s="10" t="n">
        <x:f>'Segment tax'!E40</x:f>
        <x:v>26102.699999999997</x:v>
      </x:c>
      <x:c r="E40" s="10" t="n">
        <x:f>'Segment tax'!E79</x:f>
        <x:v>32980.85748</x:v>
      </x:c>
      <x:c r="F40" s="10" t="n">
        <x:f>'Segment tax'!E118</x:f>
        <x:v>40327.78826844</x:v>
      </x:c>
      <x:c r="G40" s="10" t="n">
        <x:f>'Segment tax'!E157</x:f>
        <x:v>48994.91913474865</x:v>
      </x:c>
      <x:c r="H40" s="10" t="n">
        <x:f>'Segment tax'!E196</x:f>
        <x:v>59459.17980079221</x:v>
      </x:c>
      <x:c r="I40" s="10"/>
      <x:c r="J40" s="10"/>
      <x:c r="K40" s="10"/>
      <x:c r="L40" s="10" t="str">
        <x:v>Owner submission pending</x:v>
      </x:c>
      <x:c r="M40" s="10" t="n">
        <x:f>'Monthly cash'!Q59</x:f>
        <x:v>485.7943125139582</x:v>
      </x:c>
    </x:row>
    <x:row r="41" ht="16" customHeight="1">
      <x:c r="A41" s="1"/>
      <x:c r="B41" s="1"/>
      <x:c r="C41" s="1" t="str">
        <x:v>Fiefé</x:v>
      </x:c>
      <x:c r="D41" s="10" t="n">
        <x:f>'Segment tax'!E41</x:f>
        <x:v>15247.5</x:v>
      </x:c>
      <x:c r="E41" s="10" t="n">
        <x:f>'Segment tax'!E80</x:f>
        <x:v>29051.976599999995</x:v>
      </x:c>
      <x:c r="F41" s="10" t="n">
        <x:f>'Segment tax'!E119</x:f>
        <x:v>36748.747243440004</x:v>
      </x:c>
      <x:c r="G41" s="10" t="n">
        <x:f>'Segment tax'!E158</x:f>
        <x:v>43071.05821863947</x:v>
      </x:c>
      <x:c r="H41" s="10" t="n">
        <x:f>'Segment tax'!E197</x:f>
        <x:v>49537.6994555002</x:v>
      </x:c>
      <x:c r="I41" s="10"/>
      <x:c r="J41" s="10"/>
      <x:c r="K41" s="10"/>
      <x:c r="L41" s="10" t="str">
        <x:v>Owner submission pending</x:v>
      </x:c>
      <x:c r="M41" s="10" t="n">
        <x:f>'Monthly cash'!Q60</x:f>
        <x:v>2395.0710069310294</x:v>
      </x:c>
    </x:row>
    <x:row r="42" ht="16" customHeight="1">
      <x:c r="A42" s="1"/>
      <x:c r="B42" s="1"/>
      <x:c r="C42" s="1" t="str">
        <x:v>Fiefé Design</x:v>
      </x:c>
      <x:c r="D42" s="10" t="n">
        <x:f>'Segment tax'!E42</x:f>
        <x:v>9500</x:v>
      </x:c>
      <x:c r="E42" s="10" t="n">
        <x:f>'Segment tax'!E81</x:f>
        <x:v>18100.920000000002</x:v>
      </x:c>
      <x:c r="F42" s="10" t="n">
        <x:f>'Segment tax'!E120</x:f>
        <x:v>22896.415728</x:v>
      </x:c>
      <x:c r="G42" s="10" t="n">
        <x:f>'Segment tax'!E159</x:f>
        <x:v>26835.550291987205</x:v>
      </x:c>
      <x:c r="H42" s="10" t="n">
        <x:f>'Segment tax'!E198</x:f>
        <x:v>30864.6102526481</x:v>
      </x:c>
      <x:c r="I42" s="10"/>
      <x:c r="J42" s="10"/>
      <x:c r="K42" s="10"/>
      <x:c r="L42" s="10" t="str">
        <x:v>Owner submission pending</x:v>
      </x:c>
      <x:c r="M42" s="10" t="n">
        <x:f>'Monthly cash'!Q61</x:f>
        <x:v>1439.6081040068718</x:v>
      </x:c>
    </x:row>
    <x:row r="43" ht="16" customHeight="1">
      <x:c r="A43" s="1"/>
      <x:c r="B43" s="1"/>
      <x:c r="C43" s="1" t="str">
        <x:v>OsezArt</x:v>
      </x:c>
      <x:c r="D43" s="10" t="n">
        <x:f>'Segment tax'!E43</x:f>
        <x:v>46075</x:v>
      </x:c>
      <x:c r="E43" s="10" t="n">
        <x:f>'Segment tax'!E82</x:f>
        <x:v>65963.298</x:v>
      </x:c>
      <x:c r="F43" s="10" t="n">
        <x:f>'Segment tax'!E121</x:f>
        <x:v>82110.56324400002</x:v>
      </x:c>
      <x:c r="G43" s="10" t="n">
        <x:f>'Segment tax'!E160</x:f>
        <x:v>97158.18000218403</x:v>
      </x:c>
      <x:c r="H43" s="10" t="n">
        <x:f>'Segment tax'!E199</x:f>
        <x:v>112599.9235038855</x:v>
      </x:c>
      <x:c r="I43" s="10"/>
      <x:c r="J43" s="10"/>
      <x:c r="K43" s="10"/>
      <x:c r="L43" s="10" t="str">
        <x:v>Owner submission pending</x:v>
      </x:c>
      <x:c r="M43" s="10" t="n">
        <x:f>'Monthly cash'!Q62</x:f>
        <x:v>2519.0974107658476</x:v>
      </x:c>
    </x:row>
    <x:row r="44" ht="16" customHeight="1">
      <x:c r="A44" s="1"/>
      <x:c r="B44" s="1"/>
      <x:c r="C44" s="1" t="str">
        <x:v>FinBot research</x:v>
      </x:c>
      <x:c r="D44" s="10" t="n">
        <x:f>'Segment tax'!E44</x:f>
        <x:v>1687.8</x:v>
      </x:c>
      <x:c r="E44" s="10" t="n">
        <x:f>'Segment tax'!E83</x:f>
        <x:v>3400.0731</x:v>
      </x:c>
      <x:c r="F44" s="10" t="n">
        <x:f>'Segment tax'!E122</x:f>
        <x:v>4350.4580897999995</x:v>
      </x:c>
      <x:c r="G44" s="10" t="n">
        <x:f>'Segment tax'!E161</x:f>
        <x:v>5195.4412869278995</x:v>
      </x:c>
      <x:c r="H44" s="10" t="n">
        <x:f>'Segment tax'!E200</x:f>
        <x:v>6117.802886202512</x:v>
      </x:c>
      <x:c r="I44" s="10"/>
      <x:c r="J44" s="10"/>
      <x:c r="K44" s="10"/>
      <x:c r="L44" s="10" t="str">
        <x:v>Owner submission pending</x:v>
      </x:c>
      <x:c r="M44" s="10" t="n">
        <x:f>'Monthly cash'!Q63</x:f>
        <x:v>60.33584820450506</x:v>
      </x:c>
    </x:row>
    <x:row r="45" ht="16" customHeight="1">
      <x:c r="A45" s="1"/>
      <x:c r="B45" s="1"/>
      <x:c r="C45" s="1" t="str">
        <x:v>Functional Analysis</x:v>
      </x:c>
      <x:c r="D45" s="10" t="n">
        <x:f>'Segment tax'!E45</x:f>
        <x:v>3940.14</x:v>
      </x:c>
      <x:c r="E45" s="10" t="n">
        <x:f>'Segment tax'!E84</x:f>
        <x:v>7276.24548</x:v>
      </x:c>
      <x:c r="F45" s="10" t="n">
        <x:f>'Segment tax'!E123</x:f>
        <x:v>9315.33001776</x:v>
      </x:c>
      <x:c r="G45" s="10" t="n">
        <x:f>'Segment tax'!E162</x:f>
        <x:v>11092.83897003732</x:v>
      </x:c>
      <x:c r="H45" s="10" t="n">
        <x:f>'Segment tax'!E201</x:f>
        <x:v>12941.162287203739</x:v>
      </x:c>
      <x:c r="I45" s="10"/>
      <x:c r="J45" s="10"/>
      <x:c r="K45" s="10"/>
      <x:c r="L45" s="10" t="str">
        <x:v>Owner submission pending</x:v>
      </x:c>
      <x:c r="M45" s="10" t="n">
        <x:f>'Monthly cash'!Q64</x:f>
        <x:v>140.85299736017214</x:v>
      </x:c>
    </x:row>
    <x:row r="46" ht="16" customHeight="1">
      <x:c r="A46" s="1"/>
      <x:c r="B46" s="1"/>
      <x:c r="C46" s="1" t="str">
        <x:v>Independent candy game</x:v>
      </x:c>
      <x:c r="D46" s="10" t="n">
        <x:f>'Segment tax'!E46</x:f>
        <x:v>1452.09</x:v>
      </x:c>
      <x:c r="E46" s="10" t="n">
        <x:f>'Segment tax'!E85</x:f>
        <x:v>2925.235305</x:v>
      </x:c>
      <x:c r="F46" s="10" t="n">
        <x:f>'Segment tax'!E124</x:f>
        <x:v>3742.8941151900003</x:v>
      </x:c>
      <x:c r="G46" s="10" t="n">
        <x:f>'Segment tax'!E163</x:f>
        <x:v>4469.871038236246</x:v>
      </x:c>
      <x:c r="H46" s="10" t="n">
        <x:f>'Segment tax'!E202</x:f>
        <x:v>5263.420069336301</x:v>
      </x:c>
      <x:c r="I46" s="10"/>
      <x:c r="J46" s="10"/>
      <x:c r="K46" s="10"/>
      <x:c r="L46" s="10" t="str">
        <x:v>Owner submission pending</x:v>
      </x:c>
      <x:c r="M46" s="10" t="n">
        <x:f>'Monthly cash'!Q65</x:f>
        <x:v>51.90963492077245</x:v>
      </x:c>
    </x:row>
    <x:row r="47" ht="16" customHeight="1">
      <x:c r="A47" s="1"/>
      <x:c r="B47" s="1"/>
      <x:c r="C47" s="1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</x:row>
    <x:row r="48" ht="16" customHeight="1">
      <x:c r="A48" s="1"/>
      <x:c r="B48" s="1"/>
      <x:c r="C48" s="1"/>
      <x:c r="D48" s="10"/>
      <x:c r="E48" s="10"/>
      <x:c r="F48" s="10"/>
      <x:c r="G48" s="10"/>
      <x:c r="H48" s="10"/>
      <x:c r="I48" s="10"/>
      <x:c r="J48" s="10"/>
      <x:c r="K48" s="10"/>
      <x:c r="L48" s="10"/>
      <x:c r="M48" s="10"/>
    </x:row>
    <x:row r="49" ht="16" customHeight="1">
      <x:c r="A49" s="1"/>
      <x:c r="B49" s="1"/>
      <x:c r="C49" s="1"/>
      <x:c r="D49" s="10"/>
      <x:c r="E49" s="10"/>
      <x:c r="F49" s="10"/>
      <x:c r="G49" s="10"/>
      <x:c r="H49" s="10"/>
      <x:c r="I49" s="10"/>
      <x:c r="J49" s="10"/>
      <x:c r="K49" s="10"/>
      <x:c r="L49" s="10"/>
      <x:c r="M49" s="10"/>
    </x:row>
    <x:row r="50" ht="16" customHeight="1">
      <x:c r="A50" s="1"/>
      <x:c r="B50" s="1"/>
      <x:c r="C50" s="1"/>
      <x:c r="D50" s="10"/>
      <x:c r="E50" s="10"/>
      <x:c r="F50" s="10"/>
      <x:c r="G50" s="10"/>
      <x:c r="H50" s="10"/>
      <x:c r="I50" s="10"/>
      <x:c r="J50" s="10"/>
      <x:c r="K50" s="10"/>
      <x:c r="L50" s="10"/>
      <x:c r="M50" s="10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22" hidden="0" customWidth="1"/>
    <x:col min="4" max="4" width="28" hidden="0" customWidth="1"/>
    <x:col min="5" max="5" width="28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</x:cols>
  <x:sheetData>
    <x:row r="1" ht="1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</x:row>
    <x:row r="2" ht="16" customHeight="1">
      <x:c r="A2" s="1"/>
      <x:c r="B2" s="1"/>
      <x:c r="C2" s="2" t="str">
        <x:v>Revenue and costs</x:v>
      </x:c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</x:row>
    <x:row r="3" ht="16" customHeight="1">
      <x:c r="A3" s="1"/>
      <x:c r="B3" s="1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</x:row>
    <x:row r="4" ht="16" customHeight="1">
      <x:c r="A4" s="1"/>
      <x:c r="B4" s="1"/>
      <x:c r="C4" s="1" t="str">
        <x:v>Dot comparison assumptions. USD. Not an owner or AF&amp;I budget.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</x:row>
    <x:row r="5" ht="16" customHeight="1">
      <x:c r="A5" s="1"/>
      <x:c r="B5" s="1"/>
      <x:c r="C5" s="1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</x:row>
    <x:row r="6" ht="16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</x:row>
    <x:row r="7" ht="43" customHeight="1">
      <x:c r="A7" s="1"/>
      <x:c r="B7" s="1"/>
      <x:c r="C7" s="20" t="str">
        <x:v>Stream ID</x:v>
      </x:c>
      <x:c r="D7" s="20" t="str">
        <x:v>Reporting family</x:v>
      </x:c>
      <x:c r="E7" s="20" t="str">
        <x:v>Year</x:v>
      </x:c>
      <x:c r="F7" s="20" t="str">
        <x:v>New order equivalents</x:v>
      </x:c>
      <x:c r="G7" s="20" t="str">
        <x:v>Retained order equivalents</x:v>
      </x:c>
      <x:c r="H7" s="20" t="str">
        <x:v>Total billable units</x:v>
      </x:c>
      <x:c r="I7" s="20" t="str">
        <x:v>Unit price / gross booking</x:v>
      </x:c>
      <x:c r="J7" s="20" t="str">
        <x:v>Gross customer value</x:v>
      </x:c>
      <x:c r="K7" s="20" t="str">
        <x:v>Recognized gross revenue</x:v>
      </x:c>
      <x:c r="L7" s="20" t="str">
        <x:v>Refunds</x:v>
      </x:c>
      <x:c r="M7" s="20" t="str">
        <x:v>Discounts</x:v>
      </x:c>
      <x:c r="N7" s="20" t="str">
        <x:v>Net revenue</x:v>
      </x:c>
      <x:c r="O7" s="20" t="str">
        <x:v>Human delivery</x:v>
      </x:c>
      <x:c r="P7" s="20" t="str">
        <x:v>Materials and fulfillment</x:v>
      </x:c>
      <x:c r="Q7" s="20" t="str">
        <x:v>Provider share (principal)</x:v>
      </x:c>
      <x:c r="R7" s="20" t="str">
        <x:v>Customer support</x:v>
      </x:c>
      <x:c r="S7" s="20" t="str">
        <x:v>Payment processing</x:v>
      </x:c>
      <x:c r="T7" s="20" t="str">
        <x:v>Variable marketing</x:v>
      </x:c>
      <x:c r="U7" s="20" t="str">
        <x:v>Product fixed cost</x:v>
      </x:c>
      <x:c r="V7" s="20" t="str">
        <x:v>Launch expense</x:v>
      </x:c>
      <x:c r="W7" s="20" t="str">
        <x:v>Human delivery hours</x:v>
      </x:c>
      <x:c r="X7" s="20" t="str">
        <x:v>Closing receivables</x:v>
      </x:c>
      <x:c r="Y7" s="20" t="str">
        <x:v>Closing materials reserve</x:v>
      </x:c>
      <x:c r="Z7" s="20" t="str">
        <x:v>Founder prep hours</x:v>
      </x:c>
      <x:c r="AA7" s="20" t="str">
        <x:v>Unpaid prep value</x:v>
      </x:c>
      <x:c r="AB7" s="20" t="str">
        <x:v>New customer / order equivalents</x:v>
      </x:c>
      <x:c r="AC7" s="20" t="str">
        <x:v>Required product prospect opportunities</x:v>
      </x:c>
      <x:c r="AD7" s="20" t="str">
        <x:v>Marketing allowance / new customer</x:v>
      </x:c>
      <x:c r="AE7" s="20" t="str">
        <x:v>Paid preparation sensitivity</x:v>
      </x:c>
    </x:row>
    <x:row r="8" ht="16" customHeight="1">
      <x:c r="A8" s="1"/>
      <x:c r="B8" s="1"/>
      <x:c r="C8" s="1" t="str">
        <x:v>DOT-001</x:v>
      </x:c>
      <x:c r="D8" s="10" t="str">
        <x:v>ETV courses</x:v>
      </x:c>
      <x:c r="E8" s="10" t="n">
        <x:v>1</x:v>
      </x:c>
      <x:c r="F8" s="21" t="n">
        <x:f>'Assumptions'!$I$30*'Assumptions'!$J$30/12*'Assumptions'!$D$9*'Assumptions'!$D$8</x:f>
        <x:v>240</x:v>
      </x:c>
      <x:c r="G8" s="21" t="n">
        <x:f>0</x:f>
        <x:v>0</x:v>
      </x:c>
      <x:c r="H8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8+G8,NA())</x:f>
        <x:v>240</x:v>
      </x:c>
      <x:c r="I8" s="22" t="n">
        <x:f>'Assumptions'!$H$30*IF('Assumptions'!$O$30=1,1,'Assumptions'!$D$10)*(1+'Assumptions'!$N$30)^(1-1)</x:f>
        <x:v>29</x:v>
      </x:c>
      <x:c r="J8" s="10" t="n">
        <x:f>H8*I8</x:f>
        <x:v>6960</x:v>
      </x:c>
      <x:c r="K8" s="10" t="n">
        <x:f>J8*'Assumptions'!$T$30</x:f>
        <x:v>6960</x:v>
      </x:c>
      <x:c r="L8" s="10" t="n">
        <x:f>K8*'Assumptions'!$U$30</x:f>
        <x:v>208.79999999999998</x:v>
      </x:c>
      <x:c r="M8" s="10" t="n">
        <x:f>K8*'Assumptions'!$V$30</x:f>
        <x:v>0</x:v>
      </x:c>
      <x:c r="N8" s="10" t="n">
        <x:f>K8-L8-M8</x:f>
        <x:v>6751.2</x:v>
      </x:c>
      <x:c r="O8" s="10" t="n">
        <x:f>H8*'Assumptions'!$P$30*'Assumptions'!$Q$30*'Assumptions'!$D$11*(1+'Assumptions'!$D$13)^(1-1)</x:f>
        <x:v>1260</x:v>
      </x:c>
      <x:c r="P8" s="10" t="n">
        <x:f>H8*'Assumptions'!$R$30*'Assumptions'!$D$11*(1+'Assumptions'!$D$13)^(1-1)</x:f>
        <x:v>0</x:v>
      </x:c>
      <x:c r="Q8" s="10" t="n">
        <x:f>J8*'Assumptions'!$S$30</x:f>
        <x:v>0</x:v>
      </x:c>
      <x:c r="R8" s="10" t="n">
        <x:f>H8*'Assumptions'!$Y$30*'Assumptions'!$Z$30*'Assumptions'!$D$11*(1+'Assumptions'!$D$13)^(1-1)</x:f>
        <x:v>720</x:v>
      </x:c>
      <x:c r="S8" s="10" t="n">
        <x:f>IF(I8=0,0,J8*'Assumptions'!$W$30+H8*'Assumptions'!$X$30)</x:f>
        <x:v>273.84000000000003</x:v>
      </x:c>
      <x:c r="T8" s="10" t="n">
        <x:f>N8*'Assumptions'!$AA$30</x:f>
        <x:v>337.56</x:v>
      </x:c>
      <x:c r="U8" s="10" t="n">
        <x:f>'Assumptions'!$AE$30*'Assumptions'!$D$11*(1+'Assumptions'!$D$13)^(1-1)</x:f>
        <x:v>0</x:v>
      </x:c>
      <x:c r="V8" s="10" t="n">
        <x:f>'Assumptions'!$AD$30*'Assumptions'!$D$11</x:f>
        <x:v>0</x:v>
      </x:c>
      <x:c r="W8" s="10" t="n">
        <x:f>H8*('Assumptions'!$P$30+'Assumptions'!$Y$30)</x:f>
        <x:v>60</x:v>
      </x:c>
      <x:c r="X8" s="10" t="n">
        <x:f>N8/'Assumptions'!$J$30*'Assumptions'!$AF$30</x:f>
        <x:v>0</x:v>
      </x:c>
      <x:c r="Y8" s="10" t="n">
        <x:f>P8/'Assumptions'!$J$30</x:f>
        <x:v>0</x:v>
      </x:c>
      <x:c r="Z8" s="10" t="n">
        <x:f>'Assumptions'!$AB$30</x:f>
        <x:v>0</x:v>
      </x:c>
      <x:c r="AA8" s="10" t="n">
        <x:f>Z8*'Assumptions'!$AC$30*'Assumptions'!$D$11*(1+'Assumptions'!$D$13)^(1-1)</x:f>
        <x:v>0</x:v>
      </x:c>
      <x:c r="AB8" s="10" t="n">
        <x:f>F8/1</x:f>
        <x:v>240</x:v>
      </x:c>
      <x:c r="AC8" s="10" t="n">
        <x:f>AB8/'Assumptions'!$AM$30</x:f>
        <x:v>4800</x:v>
      </x:c>
      <x:c r="AD8" s="10" t="n">
        <x:f>IF(AB8=0,0,T8/AB8)</x:f>
        <x:v>1.4065</x:v>
      </x:c>
      <x:c r="AE8" s="10" t="n">
        <x:f>AA8*'Assumptions'!$D$21</x:f>
        <x:v>0</x:v>
      </x:c>
    </x:row>
    <x:row r="9" ht="16" customHeight="1">
      <x:c r="A9" s="1"/>
      <x:c r="B9" s="1"/>
      <x:c r="C9" s="1" t="str">
        <x:v>DOT-002</x:v>
      </x:c>
      <x:c r="D9" s="10" t="str">
        <x:v>ETV courses</x:v>
      </x:c>
      <x:c r="E9" s="10" t="n">
        <x:v>1</x:v>
      </x:c>
      <x:c r="F9" s="21" t="n">
        <x:f>'Assumptions'!$I$31*'Assumptions'!$J$31/12*'Assumptions'!$D$9*'Assumptions'!$D$8</x:f>
        <x:v>380</x:v>
      </x:c>
      <x:c r="G9" s="21" t="n">
        <x:f>0</x:f>
        <x:v>0</x:v>
      </x:c>
      <x:c r="H9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9+G9,NA())</x:f>
        <x:v>380</x:v>
      </x:c>
      <x:c r="I9" s="22" t="n">
        <x:f>'Assumptions'!$H$31*IF('Assumptions'!$O$31=1,1,'Assumptions'!$D$10)*(1+'Assumptions'!$N$31)^(1-1)</x:f>
        <x:v>39</x:v>
      </x:c>
      <x:c r="J9" s="10" t="n">
        <x:f>H9*I9</x:f>
        <x:v>14820</x:v>
      </x:c>
      <x:c r="K9" s="10" t="n">
        <x:f>J9*'Assumptions'!$T$31</x:f>
        <x:v>14820</x:v>
      </x:c>
      <x:c r="L9" s="10" t="n">
        <x:f>K9*'Assumptions'!$U$31</x:f>
        <x:v>444.59999999999997</x:v>
      </x:c>
      <x:c r="M9" s="10" t="n">
        <x:f>K9*'Assumptions'!$V$31</x:f>
        <x:v>0</x:v>
      </x:c>
      <x:c r="N9" s="10" t="n">
        <x:f>K9-L9-M9</x:f>
        <x:v>14375.4</x:v>
      </x:c>
      <x:c r="O9" s="10" t="n">
        <x:f>H9*'Assumptions'!$P$31*'Assumptions'!$Q$31*'Assumptions'!$D$11*(1+'Assumptions'!$D$13)^(1-1)</x:f>
        <x:v>1995</x:v>
      </x:c>
      <x:c r="P9" s="10" t="n">
        <x:f>H9*'Assumptions'!$R$31*'Assumptions'!$D$11*(1+'Assumptions'!$D$13)^(1-1)</x:f>
        <x:v>0</x:v>
      </x:c>
      <x:c r="Q9" s="10" t="n">
        <x:f>J9*'Assumptions'!$S$31</x:f>
        <x:v>0</x:v>
      </x:c>
      <x:c r="R9" s="10" t="n">
        <x:f>H9*'Assumptions'!$Y$31*'Assumptions'!$Z$31*'Assumptions'!$D$11*(1+'Assumptions'!$D$13)^(1-1)</x:f>
        <x:v>1140</x:v>
      </x:c>
      <x:c r="S9" s="10" t="n">
        <x:f>IF(I9=0,0,J9*'Assumptions'!$W$31+H9*'Assumptions'!$X$31)</x:f>
        <x:v>543.78</x:v>
      </x:c>
      <x:c r="T9" s="10" t="n">
        <x:f>N9*'Assumptions'!$AA$31</x:f>
        <x:v>718.77</x:v>
      </x:c>
      <x:c r="U9" s="10" t="n">
        <x:f>'Assumptions'!$AE$31*'Assumptions'!$D$11*(1+'Assumptions'!$D$13)^(1-1)</x:f>
        <x:v>0</x:v>
      </x:c>
      <x:c r="V9" s="10" t="n">
        <x:f>'Assumptions'!$AD$31*'Assumptions'!$D$11</x:f>
        <x:v>0</x:v>
      </x:c>
      <x:c r="W9" s="10" t="n">
        <x:f>H9*('Assumptions'!$P$31+'Assumptions'!$Y$31)</x:f>
        <x:v>95</x:v>
      </x:c>
      <x:c r="X9" s="10" t="n">
        <x:f>N9/'Assumptions'!$J$31*'Assumptions'!$AF$31</x:f>
        <x:v>0</x:v>
      </x:c>
      <x:c r="Y9" s="10" t="n">
        <x:f>P9/'Assumptions'!$J$31</x:f>
        <x:v>0</x:v>
      </x:c>
      <x:c r="Z9" s="10" t="n">
        <x:f>'Assumptions'!$AB$31</x:f>
        <x:v>0</x:v>
      </x:c>
      <x:c r="AA9" s="10" t="n">
        <x:f>Z9*'Assumptions'!$AC$31*'Assumptions'!$D$11*(1+'Assumptions'!$D$13)^(1-1)</x:f>
        <x:v>0</x:v>
      </x:c>
      <x:c r="AB9" s="10" t="n">
        <x:f>F9/1</x:f>
        <x:v>380</x:v>
      </x:c>
      <x:c r="AC9" s="10" t="n">
        <x:f>AB9/'Assumptions'!$AM$31</x:f>
        <x:v>7600</x:v>
      </x:c>
      <x:c r="AD9" s="10" t="n">
        <x:f>IF(AB9=0,0,T9/AB9)</x:f>
        <x:v>1.8915</x:v>
      </x:c>
      <x:c r="AE9" s="10" t="n">
        <x:f>AA9*'Assumptions'!$D$21</x:f>
        <x:v>0</x:v>
      </x:c>
    </x:row>
    <x:row r="10" ht="16" customHeight="1">
      <x:c r="A10" s="1"/>
      <x:c r="B10" s="1"/>
      <x:c r="C10" s="1" t="str">
        <x:v>DOT-003</x:v>
      </x:c>
      <x:c r="D10" s="10" t="str">
        <x:v>ETV services</x:v>
      </x:c>
      <x:c r="E10" s="10" t="n">
        <x:v>1</x:v>
      </x:c>
      <x:c r="F10" s="21" t="n">
        <x:f>'Assumptions'!$I$32*'Assumptions'!$J$32/12*'Assumptions'!$D$9*'Assumptions'!$D$8</x:f>
        <x:v>12</x:v>
      </x:c>
      <x:c r="G10" s="21" t="n">
        <x:f>0</x:f>
        <x:v>0</x:v>
      </x:c>
      <x:c r="H10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10+G10,NA())</x:f>
        <x:v>12</x:v>
      </x:c>
      <x:c r="I10" s="22" t="n">
        <x:f>'Assumptions'!$H$32*IF('Assumptions'!$O$32=1,1,'Assumptions'!$D$10)*(1+'Assumptions'!$N$32)^(1-1)</x:f>
        <x:v>1750</x:v>
      </x:c>
      <x:c r="J10" s="10" t="n">
        <x:f>H10*I10</x:f>
        <x:v>21000</x:v>
      </x:c>
      <x:c r="K10" s="10" t="n">
        <x:f>J10*'Assumptions'!$T$32</x:f>
        <x:v>21000</x:v>
      </x:c>
      <x:c r="L10" s="10" t="n">
        <x:f>K10*'Assumptions'!$U$32</x:f>
        <x:v>630</x:v>
      </x:c>
      <x:c r="M10" s="10" t="n">
        <x:f>K10*'Assumptions'!$V$32</x:f>
        <x:v>0</x:v>
      </x:c>
      <x:c r="N10" s="10" t="n">
        <x:f>K10-L10-M10</x:f>
        <x:v>20370</x:v>
      </x:c>
      <x:c r="O10" s="10" t="n">
        <x:f>H10*'Assumptions'!$P$32*'Assumptions'!$Q$32*'Assumptions'!$D$11*(1+'Assumptions'!$D$13)^(1-1)</x:f>
        <x:v>10800</x:v>
      </x:c>
      <x:c r="P10" s="10" t="n">
        <x:f>H10*'Assumptions'!$R$32*'Assumptions'!$D$11*(1+'Assumptions'!$D$13)^(1-1)</x:f>
        <x:v>300</x:v>
      </x:c>
      <x:c r="Q10" s="10" t="n">
        <x:f>J10*'Assumptions'!$S$32</x:f>
        <x:v>0</x:v>
      </x:c>
      <x:c r="R10" s="10" t="n">
        <x:f>H10*'Assumptions'!$Y$32*'Assumptions'!$Z$32*'Assumptions'!$D$11*(1+'Assumptions'!$D$13)^(1-1)</x:f>
        <x:v>90</x:v>
      </x:c>
      <x:c r="S10" s="10" t="n">
        <x:f>IF(I10=0,0,J10*'Assumptions'!$W$32+H10*'Assumptions'!$X$32)</x:f>
        <x:v>612.6</x:v>
      </x:c>
      <x:c r="T10" s="10" t="n">
        <x:f>N10*'Assumptions'!$AA$32</x:f>
        <x:v>814.8000000000001</x:v>
      </x:c>
      <x:c r="U10" s="10" t="n">
        <x:f>'Assumptions'!$AE$32*'Assumptions'!$D$11*(1+'Assumptions'!$D$13)^(1-1)</x:f>
        <x:v>0</x:v>
      </x:c>
      <x:c r="V10" s="10" t="n">
        <x:f>'Assumptions'!$AD$32*'Assumptions'!$D$11</x:f>
        <x:v>0</x:v>
      </x:c>
      <x:c r="W10" s="10" t="n">
        <x:f>H10*('Assumptions'!$P$32+'Assumptions'!$Y$32)</x:f>
        <x:v>243</x:v>
      </x:c>
      <x:c r="X10" s="10" t="n">
        <x:f>N10/'Assumptions'!$J$32*'Assumptions'!$AF$32</x:f>
        <x:v>1697.5</x:v>
      </x:c>
      <x:c r="Y10" s="10" t="n">
        <x:f>P10/'Assumptions'!$J$32</x:f>
        <x:v>25</x:v>
      </x:c>
      <x:c r="Z10" s="10" t="n">
        <x:f>'Assumptions'!$AB$32</x:f>
        <x:v>0</x:v>
      </x:c>
      <x:c r="AA10" s="10" t="n">
        <x:f>Z10*'Assumptions'!$AC$32*'Assumptions'!$D$11*(1+'Assumptions'!$D$13)^(1-1)</x:f>
        <x:v>0</x:v>
      </x:c>
      <x:c r="AB10" s="10" t="n">
        <x:f>F10/1</x:f>
        <x:v>12</x:v>
      </x:c>
      <x:c r="AC10" s="10" t="n">
        <x:f>AB10/'Assumptions'!$AM$32</x:f>
        <x:v>60</x:v>
      </x:c>
      <x:c r="AD10" s="10" t="n">
        <x:f>IF(AB10=0,0,T10/AB10)</x:f>
        <x:v>67.9</x:v>
      </x:c>
      <x:c r="AE10" s="10" t="n">
        <x:f>AA10*'Assumptions'!$D$21</x:f>
        <x:v>0</x:v>
      </x:c>
    </x:row>
    <x:row r="11" ht="16" customHeight="1">
      <x:c r="A11" s="1"/>
      <x:c r="B11" s="1"/>
      <x:c r="C11" s="1" t="str">
        <x:v>DOT-004</x:v>
      </x:c>
      <x:c r="D11" s="10" t="str">
        <x:v>ETV services</x:v>
      </x:c>
      <x:c r="E11" s="10" t="n">
        <x:v>1</x:v>
      </x:c>
      <x:c r="F11" s="21" t="n">
        <x:f>'Assumptions'!$I$33*'Assumptions'!$J$33/12*'Assumptions'!$D$9*'Assumptions'!$D$8</x:f>
        <x:v>8</x:v>
      </x:c>
      <x:c r="G11" s="21" t="n">
        <x:f>0</x:f>
        <x:v>0</x:v>
      </x:c>
      <x:c r="H11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11+G11,NA())</x:f>
        <x:v>8</x:v>
      </x:c>
      <x:c r="I11" s="22" t="n">
        <x:f>'Assumptions'!$H$33*IF('Assumptions'!$O$33=1,1,'Assumptions'!$D$10)*(1+'Assumptions'!$N$33)^(1-1)</x:f>
        <x:v>2500</x:v>
      </x:c>
      <x:c r="J11" s="10" t="n">
        <x:f>H11*I11</x:f>
        <x:v>20000</x:v>
      </x:c>
      <x:c r="K11" s="10" t="n">
        <x:f>J11*'Assumptions'!$T$33</x:f>
        <x:v>20000</x:v>
      </x:c>
      <x:c r="L11" s="10" t="n">
        <x:f>K11*'Assumptions'!$U$33</x:f>
        <x:v>600</x:v>
      </x:c>
      <x:c r="M11" s="10" t="n">
        <x:f>K11*'Assumptions'!$V$33</x:f>
        <x:v>0</x:v>
      </x:c>
      <x:c r="N11" s="10" t="n">
        <x:f>K11-L11-M11</x:f>
        <x:v>19400</x:v>
      </x:c>
      <x:c r="O11" s="10" t="n">
        <x:f>H11*'Assumptions'!$P$33*'Assumptions'!$Q$33*'Assumptions'!$D$11*(1+'Assumptions'!$D$13)^(1-1)</x:f>
        <x:v>10800</x:v>
      </x:c>
      <x:c r="P11" s="10" t="n">
        <x:f>H11*'Assumptions'!$R$33*'Assumptions'!$D$11*(1+'Assumptions'!$D$13)^(1-1)</x:f>
        <x:v>200</x:v>
      </x:c>
      <x:c r="Q11" s="10" t="n">
        <x:f>J11*'Assumptions'!$S$33</x:f>
        <x:v>0</x:v>
      </x:c>
      <x:c r="R11" s="10" t="n">
        <x:f>H11*'Assumptions'!$Y$33*'Assumptions'!$Z$33*'Assumptions'!$D$11*(1+'Assumptions'!$D$13)^(1-1)</x:f>
        <x:v>60</x:v>
      </x:c>
      <x:c r="S11" s="10" t="n">
        <x:f>IF(I11=0,0,J11*'Assumptions'!$W$33+H11*'Assumptions'!$X$33)</x:f>
        <x:v>582.4</x:v>
      </x:c>
      <x:c r="T11" s="10" t="n">
        <x:f>N11*'Assumptions'!$AA$33</x:f>
        <x:v>776</x:v>
      </x:c>
      <x:c r="U11" s="10" t="n">
        <x:f>'Assumptions'!$AE$33*'Assumptions'!$D$11*(1+'Assumptions'!$D$13)^(1-1)</x:f>
        <x:v>0</x:v>
      </x:c>
      <x:c r="V11" s="10" t="n">
        <x:f>'Assumptions'!$AD$33*'Assumptions'!$D$11</x:f>
        <x:v>0</x:v>
      </x:c>
      <x:c r="W11" s="10" t="n">
        <x:f>H11*('Assumptions'!$P$33+'Assumptions'!$Y$33)</x:f>
        <x:v>242</x:v>
      </x:c>
      <x:c r="X11" s="10" t="n">
        <x:f>N11/'Assumptions'!$J$33*'Assumptions'!$AF$33</x:f>
        <x:v>1616.6666666666667</x:v>
      </x:c>
      <x:c r="Y11" s="10" t="n">
        <x:f>P11/'Assumptions'!$J$33</x:f>
        <x:v>16.666666666666668</x:v>
      </x:c>
      <x:c r="Z11" s="10" t="n">
        <x:f>'Assumptions'!$AB$33</x:f>
        <x:v>0</x:v>
      </x:c>
      <x:c r="AA11" s="10" t="n">
        <x:f>Z11*'Assumptions'!$AC$33*'Assumptions'!$D$11*(1+'Assumptions'!$D$13)^(1-1)</x:f>
        <x:v>0</x:v>
      </x:c>
      <x:c r="AB11" s="10" t="n">
        <x:f>F11/1</x:f>
        <x:v>8</x:v>
      </x:c>
      <x:c r="AC11" s="10" t="n">
        <x:f>AB11/'Assumptions'!$AM$33</x:f>
        <x:v>40</x:v>
      </x:c>
      <x:c r="AD11" s="10" t="n">
        <x:f>IF(AB11=0,0,T11/AB11)</x:f>
        <x:v>97</x:v>
      </x:c>
      <x:c r="AE11" s="10" t="n">
        <x:f>AA11*'Assumptions'!$D$21</x:f>
        <x:v>0</x:v>
      </x:c>
    </x:row>
    <x:row r="12" ht="16" customHeight="1">
      <x:c r="A12" s="1"/>
      <x:c r="B12" s="1"/>
      <x:c r="C12" s="1" t="str">
        <x:v>DOT-005</x:v>
      </x:c>
      <x:c r="D12" s="10" t="str">
        <x:v>ETV services</x:v>
      </x:c>
      <x:c r="E12" s="10" t="n">
        <x:v>1</x:v>
      </x:c>
      <x:c r="F12" s="21" t="n">
        <x:f>'Assumptions'!$I$34*'Assumptions'!$J$34/12*'Assumptions'!$D$9*'Assumptions'!$D$8</x:f>
        <x:v>8</x:v>
      </x:c>
      <x:c r="G12" s="21" t="n">
        <x:f>0</x:f>
        <x:v>0</x:v>
      </x:c>
      <x:c r="H12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12+G12,NA())</x:f>
        <x:v>8</x:v>
      </x:c>
      <x:c r="I12" s="22" t="n">
        <x:f>'Assumptions'!$H$34*IF('Assumptions'!$O$34=1,1,'Assumptions'!$D$10)*(1+'Assumptions'!$N$34)^(1-1)</x:f>
        <x:v>1500</x:v>
      </x:c>
      <x:c r="J12" s="10" t="n">
        <x:f>H12*I12</x:f>
        <x:v>12000</x:v>
      </x:c>
      <x:c r="K12" s="10" t="n">
        <x:f>J12*'Assumptions'!$T$34</x:f>
        <x:v>12000</x:v>
      </x:c>
      <x:c r="L12" s="10" t="n">
        <x:f>K12*'Assumptions'!$U$34</x:f>
        <x:v>360</x:v>
      </x:c>
      <x:c r="M12" s="10" t="n">
        <x:f>K12*'Assumptions'!$V$34</x:f>
        <x:v>0</x:v>
      </x:c>
      <x:c r="N12" s="10" t="n">
        <x:f>K12-L12-M12</x:f>
        <x:v>11640</x:v>
      </x:c>
      <x:c r="O12" s="10" t="n">
        <x:f>H12*'Assumptions'!$P$34*'Assumptions'!$Q$34*'Assumptions'!$D$11*(1+'Assumptions'!$D$13)^(1-1)</x:f>
        <x:v>6480</x:v>
      </x:c>
      <x:c r="P12" s="10" t="n">
        <x:f>H12*'Assumptions'!$R$34*'Assumptions'!$D$11*(1+'Assumptions'!$D$13)^(1-1)</x:f>
        <x:v>200</x:v>
      </x:c>
      <x:c r="Q12" s="10" t="n">
        <x:f>J12*'Assumptions'!$S$34</x:f>
        <x:v>0</x:v>
      </x:c>
      <x:c r="R12" s="10" t="n">
        <x:f>H12*'Assumptions'!$Y$34*'Assumptions'!$Z$34*'Assumptions'!$D$11*(1+'Assumptions'!$D$13)^(1-1)</x:f>
        <x:v>60</x:v>
      </x:c>
      <x:c r="S12" s="10" t="n">
        <x:f>IF(I12=0,0,J12*'Assumptions'!$W$34+H12*'Assumptions'!$X$34)</x:f>
        <x:v>350.4</x:v>
      </x:c>
      <x:c r="T12" s="10" t="n">
        <x:f>N12*'Assumptions'!$AA$34</x:f>
        <x:v>465.6</x:v>
      </x:c>
      <x:c r="U12" s="10" t="n">
        <x:f>'Assumptions'!$AE$34*'Assumptions'!$D$11*(1+'Assumptions'!$D$13)^(1-1)</x:f>
        <x:v>0</x:v>
      </x:c>
      <x:c r="V12" s="10" t="n">
        <x:f>'Assumptions'!$AD$34*'Assumptions'!$D$11</x:f>
        <x:v>0</x:v>
      </x:c>
      <x:c r="W12" s="10" t="n">
        <x:f>H12*('Assumptions'!$P$34+'Assumptions'!$Y$34)</x:f>
        <x:v>146</x:v>
      </x:c>
      <x:c r="X12" s="10" t="n">
        <x:f>N12/'Assumptions'!$J$34*'Assumptions'!$AF$34</x:f>
        <x:v>970</x:v>
      </x:c>
      <x:c r="Y12" s="10" t="n">
        <x:f>P12/'Assumptions'!$J$34</x:f>
        <x:v>16.666666666666668</x:v>
      </x:c>
      <x:c r="Z12" s="10" t="n">
        <x:f>'Assumptions'!$AB$34</x:f>
        <x:v>0</x:v>
      </x:c>
      <x:c r="AA12" s="10" t="n">
        <x:f>Z12*'Assumptions'!$AC$34*'Assumptions'!$D$11*(1+'Assumptions'!$D$13)^(1-1)</x:f>
        <x:v>0</x:v>
      </x:c>
      <x:c r="AB12" s="10" t="n">
        <x:f>F12/1</x:f>
        <x:v>8</x:v>
      </x:c>
      <x:c r="AC12" s="10" t="n">
        <x:f>AB12/'Assumptions'!$AM$34</x:f>
        <x:v>40</x:v>
      </x:c>
      <x:c r="AD12" s="10" t="n">
        <x:f>IF(AB12=0,0,T12/AB12)</x:f>
        <x:v>58.2</x:v>
      </x:c>
      <x:c r="AE12" s="10" t="n">
        <x:f>AA12*'Assumptions'!$D$21</x:f>
        <x:v>0</x:v>
      </x:c>
    </x:row>
    <x:row r="13" ht="16" customHeight="1">
      <x:c r="A13" s="1"/>
      <x:c r="B13" s="1"/>
      <x:c r="C13" s="1" t="str">
        <x:v>DOT-006</x:v>
      </x:c>
      <x:c r="D13" s="10" t="str">
        <x:v>ETV services</x:v>
      </x:c>
      <x:c r="E13" s="10" t="n">
        <x:v>1</x:v>
      </x:c>
      <x:c r="F13" s="21" t="n">
        <x:f>'Assumptions'!$I$35*'Assumptions'!$J$35/12*'Assumptions'!$D$9*'Assumptions'!$D$8</x:f>
        <x:v>12</x:v>
      </x:c>
      <x:c r="G13" s="21" t="n">
        <x:f>0</x:f>
        <x:v>0</x:v>
      </x:c>
      <x:c r="H13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13+G13,NA())</x:f>
        <x:v>12</x:v>
      </x:c>
      <x:c r="I13" s="22" t="n">
        <x:f>'Assumptions'!$H$35*IF('Assumptions'!$O$35=1,1,'Assumptions'!$D$10)*(1+'Assumptions'!$N$35)^(1-1)</x:f>
        <x:v>750</x:v>
      </x:c>
      <x:c r="J13" s="10" t="n">
        <x:f>H13*I13</x:f>
        <x:v>9000</x:v>
      </x:c>
      <x:c r="K13" s="10" t="n">
        <x:f>J13*'Assumptions'!$T$35</x:f>
        <x:v>9000</x:v>
      </x:c>
      <x:c r="L13" s="10" t="n">
        <x:f>K13*'Assumptions'!$U$35</x:f>
        <x:v>270</x:v>
      </x:c>
      <x:c r="M13" s="10" t="n">
        <x:f>K13*'Assumptions'!$V$35</x:f>
        <x:v>0</x:v>
      </x:c>
      <x:c r="N13" s="10" t="n">
        <x:f>K13-L13-M13</x:f>
        <x:v>8730</x:v>
      </x:c>
      <x:c r="O13" s="10" t="n">
        <x:f>H13*'Assumptions'!$P$35*'Assumptions'!$Q$35*'Assumptions'!$D$11*(1+'Assumptions'!$D$13)^(1-1)</x:f>
        <x:v>4320</x:v>
      </x:c>
      <x:c r="P13" s="10" t="n">
        <x:f>H13*'Assumptions'!$R$35*'Assumptions'!$D$11*(1+'Assumptions'!$D$13)^(1-1)</x:f>
        <x:v>300</x:v>
      </x:c>
      <x:c r="Q13" s="10" t="n">
        <x:f>J13*'Assumptions'!$S$35</x:f>
        <x:v>0</x:v>
      </x:c>
      <x:c r="R13" s="10" t="n">
        <x:f>H13*'Assumptions'!$Y$35*'Assumptions'!$Z$35*'Assumptions'!$D$11*(1+'Assumptions'!$D$13)^(1-1)</x:f>
        <x:v>90</x:v>
      </x:c>
      <x:c r="S13" s="10" t="n">
        <x:f>IF(I13=0,0,J13*'Assumptions'!$W$35+H13*'Assumptions'!$X$35)</x:f>
        <x:v>264.6</x:v>
      </x:c>
      <x:c r="T13" s="10" t="n">
        <x:f>N13*'Assumptions'!$AA$35</x:f>
        <x:v>349.2</x:v>
      </x:c>
      <x:c r="U13" s="10" t="n">
        <x:f>'Assumptions'!$AE$35*'Assumptions'!$D$11*(1+'Assumptions'!$D$13)^(1-1)</x:f>
        <x:v>0</x:v>
      </x:c>
      <x:c r="V13" s="10" t="n">
        <x:f>'Assumptions'!$AD$35*'Assumptions'!$D$11</x:f>
        <x:v>0</x:v>
      </x:c>
      <x:c r="W13" s="10" t="n">
        <x:f>H13*('Assumptions'!$P$35+'Assumptions'!$Y$35)</x:f>
        <x:v>99</x:v>
      </x:c>
      <x:c r="X13" s="10" t="n">
        <x:f>N13/'Assumptions'!$J$35*'Assumptions'!$AF$35</x:f>
        <x:v>727.5</x:v>
      </x:c>
      <x:c r="Y13" s="10" t="n">
        <x:f>P13/'Assumptions'!$J$35</x:f>
        <x:v>25</x:v>
      </x:c>
      <x:c r="Z13" s="10" t="n">
        <x:f>'Assumptions'!$AB$35</x:f>
        <x:v>0</x:v>
      </x:c>
      <x:c r="AA13" s="10" t="n">
        <x:f>Z13*'Assumptions'!$AC$35*'Assumptions'!$D$11*(1+'Assumptions'!$D$13)^(1-1)</x:f>
        <x:v>0</x:v>
      </x:c>
      <x:c r="AB13" s="10" t="n">
        <x:f>F13/1</x:f>
        <x:v>12</x:v>
      </x:c>
      <x:c r="AC13" s="10" t="n">
        <x:f>AB13/'Assumptions'!$AM$35</x:f>
        <x:v>60</x:v>
      </x:c>
      <x:c r="AD13" s="10" t="n">
        <x:f>IF(AB13=0,0,T13/AB13)</x:f>
        <x:v>29.099999999999998</x:v>
      </x:c>
      <x:c r="AE13" s="10" t="n">
        <x:f>AA13*'Assumptions'!$D$21</x:f>
        <x:v>0</x:v>
      </x:c>
    </x:row>
    <x:row r="14" ht="16" customHeight="1">
      <x:c r="A14" s="1"/>
      <x:c r="B14" s="1"/>
      <x:c r="C14" s="1" t="str">
        <x:v>DOT-007</x:v>
      </x:c>
      <x:c r="D14" s="10" t="str">
        <x:v>BPA professional services</x:v>
      </x:c>
      <x:c r="E14" s="10" t="n">
        <x:v>1</x:v>
      </x:c>
      <x:c r="F14" s="21" t="n">
        <x:f>'Assumptions'!$I$36*'Assumptions'!$J$36/12*'Assumptions'!$D$9*'Assumptions'!$D$8</x:f>
        <x:v>36</x:v>
      </x:c>
      <x:c r="G14" s="21" t="n">
        <x:f>0</x:f>
        <x:v>0</x:v>
      </x:c>
      <x:c r="H14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14+G14,NA())</x:f>
        <x:v>36</x:v>
      </x:c>
      <x:c r="I14" s="22" t="n">
        <x:f>'Assumptions'!$H$36*IF('Assumptions'!$O$36=1,1,'Assumptions'!$D$10)*(1+'Assumptions'!$N$36)^(1-1)</x:f>
        <x:v>250</x:v>
      </x:c>
      <x:c r="J14" s="10" t="n">
        <x:f>H14*I14</x:f>
        <x:v>9000</x:v>
      </x:c>
      <x:c r="K14" s="10" t="n">
        <x:f>J14*'Assumptions'!$T$36</x:f>
        <x:v>9000</x:v>
      </x:c>
      <x:c r="L14" s="10" t="n">
        <x:f>K14*'Assumptions'!$U$36</x:f>
        <x:v>270</x:v>
      </x:c>
      <x:c r="M14" s="10" t="n">
        <x:f>K14*'Assumptions'!$V$36</x:f>
        <x:v>0</x:v>
      </x:c>
      <x:c r="N14" s="10" t="n">
        <x:f>K14-L14-M14</x:f>
        <x:v>8730</x:v>
      </x:c>
      <x:c r="O14" s="10" t="n">
        <x:f>H14*'Assumptions'!$P$36*'Assumptions'!$Q$36*'Assumptions'!$D$11*(1+'Assumptions'!$D$13)^(1-1)</x:f>
        <x:v>1799.28</x:v>
      </x:c>
      <x:c r="P14" s="10" t="n">
        <x:f>H14*'Assumptions'!$R$36*'Assumptions'!$D$11*(1+'Assumptions'!$D$13)^(1-1)</x:f>
        <x:v>360</x:v>
      </x:c>
      <x:c r="Q14" s="10" t="n">
        <x:f>J14*'Assumptions'!$S$36</x:f>
        <x:v>0</x:v>
      </x:c>
      <x:c r="R14" s="10" t="n">
        <x:f>H14*'Assumptions'!$Y$36*'Assumptions'!$Z$36*'Assumptions'!$D$11*(1+'Assumptions'!$D$13)^(1-1)</x:f>
        <x:v>270</x:v>
      </x:c>
      <x:c r="S14" s="10" t="n">
        <x:f>IF(I14=0,0,J14*'Assumptions'!$W$36+H14*'Assumptions'!$X$36)</x:f>
        <x:v>271.8</x:v>
      </x:c>
      <x:c r="T14" s="10" t="n">
        <x:f>N14*'Assumptions'!$AA$36</x:f>
        <x:v>349.2</x:v>
      </x:c>
      <x:c r="U14" s="10" t="n">
        <x:f>'Assumptions'!$AE$36*'Assumptions'!$D$11*(1+'Assumptions'!$D$13)^(1-1)</x:f>
        <x:v>0</x:v>
      </x:c>
      <x:c r="V14" s="10" t="n">
        <x:f>'Assumptions'!$AD$36*'Assumptions'!$D$11</x:f>
        <x:v>0</x:v>
      </x:c>
      <x:c r="W14" s="10" t="n">
        <x:f>H14*('Assumptions'!$P$36+'Assumptions'!$Y$36)</x:f>
        <x:v>38.988</x:v>
      </x:c>
      <x:c r="X14" s="10" t="n">
        <x:f>N14/'Assumptions'!$J$36*'Assumptions'!$AF$36</x:f>
        <x:v>970</x:v>
      </x:c>
      <x:c r="Y14" s="10" t="n">
        <x:f>P14/'Assumptions'!$J$36</x:f>
        <x:v>40</x:v>
      </x:c>
      <x:c r="Z14" s="10" t="n">
        <x:f>'Assumptions'!$AB$36</x:f>
        <x:v>6</x:v>
      </x:c>
      <x:c r="AA14" s="10" t="n">
        <x:f>Z14*'Assumptions'!$AC$36*'Assumptions'!$D$11*(1+'Assumptions'!$D$13)^(1-1)</x:f>
        <x:v>300</x:v>
      </x:c>
      <x:c r="AB14" s="10" t="n">
        <x:f>F14/1</x:f>
        <x:v>36</x:v>
      </x:c>
      <x:c r="AC14" s="10" t="n">
        <x:f>AB14/'Assumptions'!$AM$36</x:f>
        <x:v>180</x:v>
      </x:c>
      <x:c r="AD14" s="10" t="n">
        <x:f>IF(AB14=0,0,T14/AB14)</x:f>
        <x:v>9.7</x:v>
      </x:c>
      <x:c r="AE14" s="10" t="n">
        <x:f>AA14*'Assumptions'!$D$21</x:f>
        <x:v>0</x:v>
      </x:c>
    </x:row>
    <x:row r="15" ht="16" customHeight="1">
      <x:c r="A15" s="1"/>
      <x:c r="B15" s="1"/>
      <x:c r="C15" s="1" t="str">
        <x:v>DOT-008</x:v>
      </x:c>
      <x:c r="D15" s="10" t="str">
        <x:v>BPA professional services</x:v>
      </x:c>
      <x:c r="E15" s="10" t="n">
        <x:v>1</x:v>
      </x:c>
      <x:c r="F15" s="21" t="n">
        <x:f>'Assumptions'!$I$37*'Assumptions'!$J$37/12*'Assumptions'!$D$9*'Assumptions'!$D$8</x:f>
        <x:v>13.5</x:v>
      </x:c>
      <x:c r="G15" s="21" t="n">
        <x:f>0</x:f>
        <x:v>0</x:v>
      </x:c>
      <x:c r="H15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15+G15,NA())</x:f>
        <x:v>13.5</x:v>
      </x:c>
      <x:c r="I15" s="22" t="n">
        <x:f>'Assumptions'!$H$37*IF('Assumptions'!$O$37=1,1,'Assumptions'!$D$10)*(1+'Assumptions'!$N$37)^(1-1)</x:f>
        <x:v>600</x:v>
      </x:c>
      <x:c r="J15" s="10" t="n">
        <x:f>H15*I15</x:f>
        <x:v>8100</x:v>
      </x:c>
      <x:c r="K15" s="10" t="n">
        <x:f>J15*'Assumptions'!$T$37</x:f>
        <x:v>8100</x:v>
      </x:c>
      <x:c r="L15" s="10" t="n">
        <x:f>K15*'Assumptions'!$U$37</x:f>
        <x:v>243</x:v>
      </x:c>
      <x:c r="M15" s="10" t="n">
        <x:f>K15*'Assumptions'!$V$37</x:f>
        <x:v>0</x:v>
      </x:c>
      <x:c r="N15" s="10" t="n">
        <x:f>K15-L15-M15</x:f>
        <x:v>7857</x:v>
      </x:c>
      <x:c r="O15" s="10" t="n">
        <x:f>H15*'Assumptions'!$P$37*'Assumptions'!$Q$37*'Assumptions'!$D$11*(1+'Assumptions'!$D$13)^(1-1)</x:f>
        <x:v>3240</x:v>
      </x:c>
      <x:c r="P15" s="10" t="n">
        <x:f>H15*'Assumptions'!$R$37*'Assumptions'!$D$11*(1+'Assumptions'!$D$13)^(1-1)</x:f>
        <x:v>135</x:v>
      </x:c>
      <x:c r="Q15" s="10" t="n">
        <x:f>J15*'Assumptions'!$S$37</x:f>
        <x:v>0</x:v>
      </x:c>
      <x:c r="R15" s="10" t="n">
        <x:f>H15*'Assumptions'!$Y$37*'Assumptions'!$Z$37*'Assumptions'!$D$11*(1+'Assumptions'!$D$13)^(1-1)</x:f>
        <x:v>101.25</x:v>
      </x:c>
      <x:c r="S15" s="10" t="n">
        <x:f>IF(I15=0,0,J15*'Assumptions'!$W$37+H15*'Assumptions'!$X$37)</x:f>
        <x:v>238.95000000000002</x:v>
      </x:c>
      <x:c r="T15" s="10" t="n">
        <x:f>N15*'Assumptions'!$AA$37</x:f>
        <x:v>314.28000000000003</x:v>
      </x:c>
      <x:c r="U15" s="10" t="n">
        <x:f>'Assumptions'!$AE$37*'Assumptions'!$D$11*(1+'Assumptions'!$D$13)^(1-1)</x:f>
        <x:v>0</x:v>
      </x:c>
      <x:c r="V15" s="10" t="n">
        <x:f>'Assumptions'!$AD$37*'Assumptions'!$D$11</x:f>
        <x:v>0</x:v>
      </x:c>
      <x:c r="W15" s="10" t="n">
        <x:f>H15*('Assumptions'!$P$37+'Assumptions'!$Y$37)</x:f>
        <x:v>57.375</x:v>
      </x:c>
      <x:c r="X15" s="10" t="n">
        <x:f>N15/'Assumptions'!$J$37*'Assumptions'!$AF$37</x:f>
        <x:v>873</x:v>
      </x:c>
      <x:c r="Y15" s="10" t="n">
        <x:f>P15/'Assumptions'!$J$37</x:f>
        <x:v>15</x:v>
      </x:c>
      <x:c r="Z15" s="10" t="n">
        <x:f>'Assumptions'!$AB$37</x:f>
        <x:v>6</x:v>
      </x:c>
      <x:c r="AA15" s="10" t="n">
        <x:f>Z15*'Assumptions'!$AC$37*'Assumptions'!$D$11*(1+'Assumptions'!$D$13)^(1-1)</x:f>
        <x:v>300</x:v>
      </x:c>
      <x:c r="AB15" s="10" t="n">
        <x:f>F15/1</x:f>
        <x:v>13.5</x:v>
      </x:c>
      <x:c r="AC15" s="10" t="n">
        <x:f>AB15/'Assumptions'!$AM$37</x:f>
        <x:v>67.5</x:v>
      </x:c>
      <x:c r="AD15" s="10" t="n">
        <x:f>IF(AB15=0,0,T15/AB15)</x:f>
        <x:v>23.28</x:v>
      </x:c>
      <x:c r="AE15" s="10" t="n">
        <x:f>AA15*'Assumptions'!$D$21</x:f>
        <x:v>0</x:v>
      </x:c>
    </x:row>
    <x:row r="16" ht="16" customHeight="1">
      <x:c r="A16" s="1"/>
      <x:c r="B16" s="1"/>
      <x:c r="C16" s="1" t="str">
        <x:v>DOT-009</x:v>
      </x:c>
      <x:c r="D16" s="10" t="str">
        <x:v>BPA professional services</x:v>
      </x:c>
      <x:c r="E16" s="10" t="n">
        <x:v>1</x:v>
      </x:c>
      <x:c r="F16" s="21" t="n">
        <x:f>'Assumptions'!$I$38*'Assumptions'!$J$38/12*'Assumptions'!$D$9*'Assumptions'!$D$8</x:f>
        <x:v>9</x:v>
      </x:c>
      <x:c r="G16" s="21" t="n">
        <x:f>0</x:f>
        <x:v>0</x:v>
      </x:c>
      <x:c r="H16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16+G16,NA())</x:f>
        <x:v>9</x:v>
      </x:c>
      <x:c r="I16" s="22" t="n">
        <x:f>'Assumptions'!$H$38*IF('Assumptions'!$O$38=1,1,'Assumptions'!$D$10)*(1+'Assumptions'!$N$38)^(1-1)</x:f>
        <x:v>900</x:v>
      </x:c>
      <x:c r="J16" s="10" t="n">
        <x:f>H16*I16</x:f>
        <x:v>8100</x:v>
      </x:c>
      <x:c r="K16" s="10" t="n">
        <x:f>J16*'Assumptions'!$T$38</x:f>
        <x:v>8100</x:v>
      </x:c>
      <x:c r="L16" s="10" t="n">
        <x:f>K16*'Assumptions'!$U$38</x:f>
        <x:v>243</x:v>
      </x:c>
      <x:c r="M16" s="10" t="n">
        <x:f>K16*'Assumptions'!$V$38</x:f>
        <x:v>0</x:v>
      </x:c>
      <x:c r="N16" s="10" t="n">
        <x:f>K16-L16-M16</x:f>
        <x:v>7857</x:v>
      </x:c>
      <x:c r="O16" s="10" t="n">
        <x:f>H16*'Assumptions'!$P$38*'Assumptions'!$Q$38*'Assumptions'!$D$11*(1+'Assumptions'!$D$13)^(1-1)</x:f>
        <x:v>3240</x:v>
      </x:c>
      <x:c r="P16" s="10" t="n">
        <x:f>H16*'Assumptions'!$R$38*'Assumptions'!$D$11*(1+'Assumptions'!$D$13)^(1-1)</x:f>
        <x:v>90</x:v>
      </x:c>
      <x:c r="Q16" s="10" t="n">
        <x:f>J16*'Assumptions'!$S$38</x:f>
        <x:v>0</x:v>
      </x:c>
      <x:c r="R16" s="10" t="n">
        <x:f>H16*'Assumptions'!$Y$38*'Assumptions'!$Z$38*'Assumptions'!$D$11*(1+'Assumptions'!$D$13)^(1-1)</x:f>
        <x:v>67.5</x:v>
      </x:c>
      <x:c r="S16" s="10" t="n">
        <x:f>IF(I16=0,0,J16*'Assumptions'!$W$38+H16*'Assumptions'!$X$38)</x:f>
        <x:v>237.6</x:v>
      </x:c>
      <x:c r="T16" s="10" t="n">
        <x:f>N16*'Assumptions'!$AA$38</x:f>
        <x:v>314.28000000000003</x:v>
      </x:c>
      <x:c r="U16" s="10" t="n">
        <x:f>'Assumptions'!$AE$38*'Assumptions'!$D$11*(1+'Assumptions'!$D$13)^(1-1)</x:f>
        <x:v>0</x:v>
      </x:c>
      <x:c r="V16" s="10" t="n">
        <x:f>'Assumptions'!$AD$38*'Assumptions'!$D$11</x:f>
        <x:v>0</x:v>
      </x:c>
      <x:c r="W16" s="10" t="n">
        <x:f>H16*('Assumptions'!$P$38+'Assumptions'!$Y$38)</x:f>
        <x:v>56.25</x:v>
      </x:c>
      <x:c r="X16" s="10" t="n">
        <x:f>N16/'Assumptions'!$J$38*'Assumptions'!$AF$38</x:f>
        <x:v>873</x:v>
      </x:c>
      <x:c r="Y16" s="10" t="n">
        <x:f>P16/'Assumptions'!$J$38</x:f>
        <x:v>10</x:v>
      </x:c>
      <x:c r="Z16" s="10" t="n">
        <x:f>'Assumptions'!$AB$38</x:f>
        <x:v>6</x:v>
      </x:c>
      <x:c r="AA16" s="10" t="n">
        <x:f>Z16*'Assumptions'!$AC$38*'Assumptions'!$D$11*(1+'Assumptions'!$D$13)^(1-1)</x:f>
        <x:v>300</x:v>
      </x:c>
      <x:c r="AB16" s="10" t="n">
        <x:f>F16/1</x:f>
        <x:v>9</x:v>
      </x:c>
      <x:c r="AC16" s="10" t="n">
        <x:f>AB16/'Assumptions'!$AM$38</x:f>
        <x:v>45</x:v>
      </x:c>
      <x:c r="AD16" s="10" t="n">
        <x:f>IF(AB16=0,0,T16/AB16)</x:f>
        <x:v>34.92</x:v>
      </x:c>
      <x:c r="AE16" s="10" t="n">
        <x:f>AA16*'Assumptions'!$D$21</x:f>
        <x:v>0</x:v>
      </x:c>
    </x:row>
    <x:row r="17" ht="16" customHeight="1">
      <x:c r="A17" s="1"/>
      <x:c r="B17" s="1"/>
      <x:c r="C17" s="1" t="str">
        <x:v>DOT-010</x:v>
      </x:c>
      <x:c r="D17" s="10" t="str">
        <x:v>BPA professional services</x:v>
      </x:c>
      <x:c r="E17" s="10" t="n">
        <x:v>1</x:v>
      </x:c>
      <x:c r="F17" s="21" t="n">
        <x:f>'Assumptions'!$I$39*'Assumptions'!$J$39/12*'Assumptions'!$D$9*'Assumptions'!$D$8</x:f>
        <x:v>9</x:v>
      </x:c>
      <x:c r="G17" s="21" t="n">
        <x:f>0</x:f>
        <x:v>0</x:v>
      </x:c>
      <x:c r="H17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17+G17,NA())</x:f>
        <x:v>9</x:v>
      </x:c>
      <x:c r="I17" s="22" t="n">
        <x:f>'Assumptions'!$H$39*IF('Assumptions'!$O$39=1,1,'Assumptions'!$D$10)*(1+'Assumptions'!$N$39)^(1-1)</x:f>
        <x:v>1800</x:v>
      </x:c>
      <x:c r="J17" s="10" t="n">
        <x:f>H17*I17</x:f>
        <x:v>16200</x:v>
      </x:c>
      <x:c r="K17" s="10" t="n">
        <x:f>J17*'Assumptions'!$T$39</x:f>
        <x:v>16200</x:v>
      </x:c>
      <x:c r="L17" s="10" t="n">
        <x:f>K17*'Assumptions'!$U$39</x:f>
        <x:v>486</x:v>
      </x:c>
      <x:c r="M17" s="10" t="n">
        <x:f>K17*'Assumptions'!$V$39</x:f>
        <x:v>0</x:v>
      </x:c>
      <x:c r="N17" s="10" t="n">
        <x:f>K17-L17-M17</x:f>
        <x:v>15714</x:v>
      </x:c>
      <x:c r="O17" s="10" t="n">
        <x:f>H17*'Assumptions'!$P$39*'Assumptions'!$Q$39*'Assumptions'!$D$11*(1+'Assumptions'!$D$13)^(1-1)</x:f>
        <x:v>6480</x:v>
      </x:c>
      <x:c r="P17" s="10" t="n">
        <x:f>H17*'Assumptions'!$R$39*'Assumptions'!$D$11*(1+'Assumptions'!$D$13)^(1-1)</x:f>
        <x:v>90</x:v>
      </x:c>
      <x:c r="Q17" s="10" t="n">
        <x:f>J17*'Assumptions'!$S$39</x:f>
        <x:v>0</x:v>
      </x:c>
      <x:c r="R17" s="10" t="n">
        <x:f>H17*'Assumptions'!$Y$39*'Assumptions'!$Z$39*'Assumptions'!$D$11*(1+'Assumptions'!$D$13)^(1-1)</x:f>
        <x:v>67.5</x:v>
      </x:c>
      <x:c r="S17" s="10" t="n">
        <x:f>IF(I17=0,0,J17*'Assumptions'!$W$39+H17*'Assumptions'!$X$39)</x:f>
        <x:v>472.5</x:v>
      </x:c>
      <x:c r="T17" s="10" t="n">
        <x:f>N17*'Assumptions'!$AA$39</x:f>
        <x:v>628.5600000000001</x:v>
      </x:c>
      <x:c r="U17" s="10" t="n">
        <x:f>'Assumptions'!$AE$39*'Assumptions'!$D$11*(1+'Assumptions'!$D$13)^(1-1)</x:f>
        <x:v>0</x:v>
      </x:c>
      <x:c r="V17" s="10" t="n">
        <x:f>'Assumptions'!$AD$39*'Assumptions'!$D$11</x:f>
        <x:v>0</x:v>
      </x:c>
      <x:c r="W17" s="10" t="n">
        <x:f>H17*('Assumptions'!$P$39+'Assumptions'!$Y$39)</x:f>
        <x:v>110.25</x:v>
      </x:c>
      <x:c r="X17" s="10" t="n">
        <x:f>N17/'Assumptions'!$J$39*'Assumptions'!$AF$39</x:f>
        <x:v>1746</x:v>
      </x:c>
      <x:c r="Y17" s="10" t="n">
        <x:f>P17/'Assumptions'!$J$39</x:f>
        <x:v>10</x:v>
      </x:c>
      <x:c r="Z17" s="10" t="n">
        <x:f>'Assumptions'!$AB$39</x:f>
        <x:v>6</x:v>
      </x:c>
      <x:c r="AA17" s="10" t="n">
        <x:f>Z17*'Assumptions'!$AC$39*'Assumptions'!$D$11*(1+'Assumptions'!$D$13)^(1-1)</x:f>
        <x:v>300</x:v>
      </x:c>
      <x:c r="AB17" s="10" t="n">
        <x:f>F17/1</x:f>
        <x:v>9</x:v>
      </x:c>
      <x:c r="AC17" s="10" t="n">
        <x:f>AB17/'Assumptions'!$AM$39</x:f>
        <x:v>45</x:v>
      </x:c>
      <x:c r="AD17" s="10" t="n">
        <x:f>IF(AB17=0,0,T17/AB17)</x:f>
        <x:v>69.84</x:v>
      </x:c>
      <x:c r="AE17" s="10" t="n">
        <x:f>AA17*'Assumptions'!$D$21</x:f>
        <x:v>0</x:v>
      </x:c>
    </x:row>
    <x:row r="18" ht="16" customHeight="1">
      <x:c r="A18" s="1"/>
      <x:c r="B18" s="1"/>
      <x:c r="C18" s="1" t="str">
        <x:v>DOT-011</x:v>
      </x:c>
      <x:c r="D18" s="10" t="str">
        <x:v>BPA professional services</x:v>
      </x:c>
      <x:c r="E18" s="10" t="n">
        <x:v>1</x:v>
      </x:c>
      <x:c r="F18" s="21" t="n">
        <x:f>'Assumptions'!$I$40*'Assumptions'!$J$40/12*'Assumptions'!$D$9*'Assumptions'!$D$8</x:f>
        <x:v>27</x:v>
      </x:c>
      <x:c r="G18" s="21" t="n">
        <x:f>0</x:f>
        <x:v>0</x:v>
      </x:c>
      <x:c r="H18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18+G18,NA())</x:f>
        <x:v>27</x:v>
      </x:c>
      <x:c r="I18" s="22" t="n">
        <x:f>'Assumptions'!$H$40*IF('Assumptions'!$O$40=1,1,'Assumptions'!$D$10)*(1+'Assumptions'!$N$40)^(1-1)</x:f>
        <x:v>600</x:v>
      </x:c>
      <x:c r="J18" s="10" t="n">
        <x:f>H18*I18</x:f>
        <x:v>16200</x:v>
      </x:c>
      <x:c r="K18" s="10" t="n">
        <x:f>J18*'Assumptions'!$T$40</x:f>
        <x:v>16200</x:v>
      </x:c>
      <x:c r="L18" s="10" t="n">
        <x:f>K18*'Assumptions'!$U$40</x:f>
        <x:v>486</x:v>
      </x:c>
      <x:c r="M18" s="10" t="n">
        <x:f>K18*'Assumptions'!$V$40</x:f>
        <x:v>0</x:v>
      </x:c>
      <x:c r="N18" s="10" t="n">
        <x:f>K18-L18-M18</x:f>
        <x:v>15714</x:v>
      </x:c>
      <x:c r="O18" s="10" t="n">
        <x:f>H18*'Assumptions'!$P$40*'Assumptions'!$Q$40*'Assumptions'!$D$11*(1+'Assumptions'!$D$13)^(1-1)</x:f>
        <x:v>6480</x:v>
      </x:c>
      <x:c r="P18" s="10" t="n">
        <x:f>H18*'Assumptions'!$R$40*'Assumptions'!$D$11*(1+'Assumptions'!$D$13)^(1-1)</x:f>
        <x:v>270</x:v>
      </x:c>
      <x:c r="Q18" s="10" t="n">
        <x:f>J18*'Assumptions'!$S$40</x:f>
        <x:v>0</x:v>
      </x:c>
      <x:c r="R18" s="10" t="n">
        <x:f>H18*'Assumptions'!$Y$40*'Assumptions'!$Z$40*'Assumptions'!$D$11*(1+'Assumptions'!$D$13)^(1-1)</x:f>
        <x:v>202.5</x:v>
      </x:c>
      <x:c r="S18" s="10" t="n">
        <x:f>IF(I18=0,0,J18*'Assumptions'!$W$40+H18*'Assumptions'!$X$40)</x:f>
        <x:v>477.90000000000003</x:v>
      </x:c>
      <x:c r="T18" s="10" t="n">
        <x:f>N18*'Assumptions'!$AA$40</x:f>
        <x:v>628.5600000000001</x:v>
      </x:c>
      <x:c r="U18" s="10" t="n">
        <x:f>'Assumptions'!$AE$40*'Assumptions'!$D$11*(1+'Assumptions'!$D$13)^(1-1)</x:f>
        <x:v>0</x:v>
      </x:c>
      <x:c r="V18" s="10" t="n">
        <x:f>'Assumptions'!$AD$40*'Assumptions'!$D$11</x:f>
        <x:v>0</x:v>
      </x:c>
      <x:c r="W18" s="10" t="n">
        <x:f>H18*('Assumptions'!$P$40+'Assumptions'!$Y$40)</x:f>
        <x:v>114.75</x:v>
      </x:c>
      <x:c r="X18" s="10" t="n">
        <x:f>N18/'Assumptions'!$J$40*'Assumptions'!$AF$40</x:f>
        <x:v>1746</x:v>
      </x:c>
      <x:c r="Y18" s="10" t="n">
        <x:f>P18/'Assumptions'!$J$40</x:f>
        <x:v>30</x:v>
      </x:c>
      <x:c r="Z18" s="10" t="n">
        <x:f>'Assumptions'!$AB$40</x:f>
        <x:v>6</x:v>
      </x:c>
      <x:c r="AA18" s="10" t="n">
        <x:f>Z18*'Assumptions'!$AC$40*'Assumptions'!$D$11*(1+'Assumptions'!$D$13)^(1-1)</x:f>
        <x:v>300</x:v>
      </x:c>
      <x:c r="AB18" s="10" t="n">
        <x:f>F18/'Assumptions'!$J$40</x:f>
        <x:v>3</x:v>
      </x:c>
      <x:c r="AC18" s="10" t="n">
        <x:f>AB18/'Assumptions'!$AM$40</x:f>
        <x:v>15</x:v>
      </x:c>
      <x:c r="AD18" s="10" t="n">
        <x:f>IF(AB18=0,0,T18/AB18)</x:f>
        <x:v>209.52</x:v>
      </x:c>
      <x:c r="AE18" s="10" t="n">
        <x:f>AA18*'Assumptions'!$D$21</x:f>
        <x:v>0</x:v>
      </x:c>
    </x:row>
    <x:row r="19" ht="16" customHeight="1">
      <x:c r="A19" s="1"/>
      <x:c r="B19" s="1"/>
      <x:c r="C19" s="1" t="str">
        <x:v>DOT-012</x:v>
      </x:c>
      <x:c r="D19" s="10" t="str">
        <x:v>BPA professional services</x:v>
      </x:c>
      <x:c r="E19" s="10" t="n">
        <x:v>1</x:v>
      </x:c>
      <x:c r="F19" s="21" t="n">
        <x:f>'Assumptions'!$I$41*'Assumptions'!$J$41/12*'Assumptions'!$D$9*'Assumptions'!$D$8</x:f>
        <x:v>18</x:v>
      </x:c>
      <x:c r="G19" s="21" t="n">
        <x:f>0</x:f>
        <x:v>0</x:v>
      </x:c>
      <x:c r="H19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19+G19,NA())</x:f>
        <x:v>18</x:v>
      </x:c>
      <x:c r="I19" s="22" t="n">
        <x:f>'Assumptions'!$H$41*IF('Assumptions'!$O$41=1,1,'Assumptions'!$D$10)*(1+'Assumptions'!$N$41)^(1-1)</x:f>
        <x:v>1080</x:v>
      </x:c>
      <x:c r="J19" s="10" t="n">
        <x:f>H19*I19</x:f>
        <x:v>19440</x:v>
      </x:c>
      <x:c r="K19" s="10" t="n">
        <x:f>J19*'Assumptions'!$T$41</x:f>
        <x:v>19440</x:v>
      </x:c>
      <x:c r="L19" s="10" t="n">
        <x:f>K19*'Assumptions'!$U$41</x:f>
        <x:v>583.1999999999999</x:v>
      </x:c>
      <x:c r="M19" s="10" t="n">
        <x:f>K19*'Assumptions'!$V$41</x:f>
        <x:v>0</x:v>
      </x:c>
      <x:c r="N19" s="10" t="n">
        <x:f>K19-L19-M19</x:f>
        <x:v>18856.8</x:v>
      </x:c>
      <x:c r="O19" s="10" t="n">
        <x:f>H19*'Assumptions'!$P$41*'Assumptions'!$Q$41*'Assumptions'!$D$11*(1+'Assumptions'!$D$13)^(1-1)</x:f>
        <x:v>8640</x:v>
      </x:c>
      <x:c r="P19" s="10" t="n">
        <x:f>H19*'Assumptions'!$R$41*'Assumptions'!$D$11*(1+'Assumptions'!$D$13)^(1-1)</x:f>
        <x:v>180</x:v>
      </x:c>
      <x:c r="Q19" s="10" t="n">
        <x:f>J19*'Assumptions'!$S$41</x:f>
        <x:v>0</x:v>
      </x:c>
      <x:c r="R19" s="10" t="n">
        <x:f>H19*'Assumptions'!$Y$41*'Assumptions'!$Z$41*'Assumptions'!$D$11*(1+'Assumptions'!$D$13)^(1-1)</x:f>
        <x:v>135</x:v>
      </x:c>
      <x:c r="S19" s="10" t="n">
        <x:f>IF(I19=0,0,J19*'Assumptions'!$W$41+H19*'Assumptions'!$X$41)</x:f>
        <x:v>569.16</x:v>
      </x:c>
      <x:c r="T19" s="10" t="n">
        <x:f>N19*'Assumptions'!$AA$41</x:f>
        <x:v>754.2719999999999</x:v>
      </x:c>
      <x:c r="U19" s="10" t="n">
        <x:f>'Assumptions'!$AE$41*'Assumptions'!$D$11*(1+'Assumptions'!$D$13)^(1-1)</x:f>
        <x:v>0</x:v>
      </x:c>
      <x:c r="V19" s="10" t="n">
        <x:f>'Assumptions'!$AD$41*'Assumptions'!$D$11</x:f>
        <x:v>0</x:v>
      </x:c>
      <x:c r="W19" s="10" t="n">
        <x:f>H19*('Assumptions'!$P$41+'Assumptions'!$Y$41)</x:f>
        <x:v>148.5</x:v>
      </x:c>
      <x:c r="X19" s="10" t="n">
        <x:f>N19/'Assumptions'!$J$41*'Assumptions'!$AF$41</x:f>
        <x:v>2095.2</x:v>
      </x:c>
      <x:c r="Y19" s="10" t="n">
        <x:f>P19/'Assumptions'!$J$41</x:f>
        <x:v>20</x:v>
      </x:c>
      <x:c r="Z19" s="10" t="n">
        <x:f>'Assumptions'!$AB$41</x:f>
        <x:v>6</x:v>
      </x:c>
      <x:c r="AA19" s="10" t="n">
        <x:f>Z19*'Assumptions'!$AC$41*'Assumptions'!$D$11*(1+'Assumptions'!$D$13)^(1-1)</x:f>
        <x:v>300</x:v>
      </x:c>
      <x:c r="AB19" s="10" t="n">
        <x:f>F19/'Assumptions'!$J$41</x:f>
        <x:v>2</x:v>
      </x:c>
      <x:c r="AC19" s="10" t="n">
        <x:f>AB19/'Assumptions'!$AM$41</x:f>
        <x:v>10</x:v>
      </x:c>
      <x:c r="AD19" s="10" t="n">
        <x:f>IF(AB19=0,0,T19/AB19)</x:f>
        <x:v>377.13599999999997</x:v>
      </x:c>
      <x:c r="AE19" s="10" t="n">
        <x:f>AA19*'Assumptions'!$D$21</x:f>
        <x:v>0</x:v>
      </x:c>
    </x:row>
    <x:row r="20" ht="16" customHeight="1">
      <x:c r="A20" s="1"/>
      <x:c r="B20" s="1"/>
      <x:c r="C20" s="1" t="str">
        <x:v>DOT-013</x:v>
      </x:c>
      <x:c r="D20" s="10" t="str">
        <x:v>BPA professional services</x:v>
      </x:c>
      <x:c r="E20" s="10" t="n">
        <x:v>1</x:v>
      </x:c>
      <x:c r="F20" s="21" t="n">
        <x:f>'Assumptions'!$I$42*'Assumptions'!$J$42/12*'Assumptions'!$D$9*'Assumptions'!$D$8</x:f>
        <x:v>13.5</x:v>
      </x:c>
      <x:c r="G20" s="21" t="n">
        <x:f>0</x:f>
        <x:v>0</x:v>
      </x:c>
      <x:c r="H20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20+G20,NA())</x:f>
        <x:v>13.5</x:v>
      </x:c>
      <x:c r="I20" s="22" t="n">
        <x:f>'Assumptions'!$H$42*IF('Assumptions'!$O$42=1,1,'Assumptions'!$D$10)*(1+'Assumptions'!$N$42)^(1-1)</x:f>
        <x:v>2160</x:v>
      </x:c>
      <x:c r="J20" s="10" t="n">
        <x:f>H20*I20</x:f>
        <x:v>29160</x:v>
      </x:c>
      <x:c r="K20" s="10" t="n">
        <x:f>J20*'Assumptions'!$T$42</x:f>
        <x:v>29160</x:v>
      </x:c>
      <x:c r="L20" s="10" t="n">
        <x:f>K20*'Assumptions'!$U$42</x:f>
        <x:v>874.8</x:v>
      </x:c>
      <x:c r="M20" s="10" t="n">
        <x:f>K20*'Assumptions'!$V$42</x:f>
        <x:v>0</x:v>
      </x:c>
      <x:c r="N20" s="10" t="n">
        <x:f>K20-L20-M20</x:f>
        <x:v>28285.2</x:v>
      </x:c>
      <x:c r="O20" s="10" t="n">
        <x:f>H20*'Assumptions'!$P$42*'Assumptions'!$Q$42*'Assumptions'!$D$11*(1+'Assumptions'!$D$13)^(1-1)</x:f>
        <x:v>12960</x:v>
      </x:c>
      <x:c r="P20" s="10" t="n">
        <x:f>H20*'Assumptions'!$R$42*'Assumptions'!$D$11*(1+'Assumptions'!$D$13)^(1-1)</x:f>
        <x:v>135</x:v>
      </x:c>
      <x:c r="Q20" s="10" t="n">
        <x:f>J20*'Assumptions'!$S$42</x:f>
        <x:v>0</x:v>
      </x:c>
      <x:c r="R20" s="10" t="n">
        <x:f>H20*'Assumptions'!$Y$42*'Assumptions'!$Z$42*'Assumptions'!$D$11*(1+'Assumptions'!$D$13)^(1-1)</x:f>
        <x:v>101.25</x:v>
      </x:c>
      <x:c r="S20" s="10" t="n">
        <x:f>IF(I20=0,0,J20*'Assumptions'!$W$42+H20*'Assumptions'!$X$42)</x:f>
        <x:v>849.6899999999999</x:v>
      </x:c>
      <x:c r="T20" s="10" t="n">
        <x:f>N20*'Assumptions'!$AA$42</x:f>
        <x:v>1131.4080000000001</x:v>
      </x:c>
      <x:c r="U20" s="10" t="n">
        <x:f>'Assumptions'!$AE$42*'Assumptions'!$D$11*(1+'Assumptions'!$D$13)^(1-1)</x:f>
        <x:v>0</x:v>
      </x:c>
      <x:c r="V20" s="10" t="n">
        <x:f>'Assumptions'!$AD$42*'Assumptions'!$D$11</x:f>
        <x:v>0</x:v>
      </x:c>
      <x:c r="W20" s="10" t="n">
        <x:f>H20*('Assumptions'!$P$42+'Assumptions'!$Y$42)</x:f>
        <x:v>219.375</x:v>
      </x:c>
      <x:c r="X20" s="10" t="n">
        <x:f>N20/'Assumptions'!$J$42*'Assumptions'!$AF$42</x:f>
        <x:v>3142.8</x:v>
      </x:c>
      <x:c r="Y20" s="10" t="n">
        <x:f>P20/'Assumptions'!$J$42</x:f>
        <x:v>15</x:v>
      </x:c>
      <x:c r="Z20" s="10" t="n">
        <x:f>'Assumptions'!$AB$42</x:f>
        <x:v>6</x:v>
      </x:c>
      <x:c r="AA20" s="10" t="n">
        <x:f>Z20*'Assumptions'!$AC$42*'Assumptions'!$D$11*(1+'Assumptions'!$D$13)^(1-1)</x:f>
        <x:v>300</x:v>
      </x:c>
      <x:c r="AB20" s="10" t="n">
        <x:f>F20/'Assumptions'!$J$42</x:f>
        <x:v>1.5</x:v>
      </x:c>
      <x:c r="AC20" s="10" t="n">
        <x:f>AB20/'Assumptions'!$AM$42</x:f>
        <x:v>7.5</x:v>
      </x:c>
      <x:c r="AD20" s="10" t="n">
        <x:f>IF(AB20=0,0,T20/AB20)</x:f>
        <x:v>754.272</x:v>
      </x:c>
      <x:c r="AE20" s="10" t="n">
        <x:f>AA20*'Assumptions'!$D$21</x:f>
        <x:v>0</x:v>
      </x:c>
    </x:row>
    <x:row r="21" ht="16" customHeight="1">
      <x:c r="A21" s="1"/>
      <x:c r="B21" s="1"/>
      <x:c r="C21" s="1" t="str">
        <x:v>DOT-014</x:v>
      </x:c>
      <x:c r="D21" s="10" t="str">
        <x:v>BPA professional services</x:v>
      </x:c>
      <x:c r="E21" s="10" t="n">
        <x:v>1</x:v>
      </x:c>
      <x:c r="F21" s="21" t="n">
        <x:f>'Assumptions'!$I$43*'Assumptions'!$J$43/12*'Assumptions'!$D$9*'Assumptions'!$D$8</x:f>
        <x:v>9</x:v>
      </x:c>
      <x:c r="G21" s="21" t="n">
        <x:f>0</x:f>
        <x:v>0</x:v>
      </x:c>
      <x:c r="H21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21+G21,NA())</x:f>
        <x:v>9</x:v>
      </x:c>
      <x:c r="I21" s="22" t="n">
        <x:f>'Assumptions'!$H$43*IF('Assumptions'!$O$43=1,1,'Assumptions'!$D$10)*(1+'Assumptions'!$N$43)^(1-1)</x:f>
        <x:v>3000</x:v>
      </x:c>
      <x:c r="J21" s="10" t="n">
        <x:f>H21*I21</x:f>
        <x:v>27000</x:v>
      </x:c>
      <x:c r="K21" s="10" t="n">
        <x:f>J21*'Assumptions'!$T$43</x:f>
        <x:v>27000</x:v>
      </x:c>
      <x:c r="L21" s="10" t="n">
        <x:f>K21*'Assumptions'!$U$43</x:f>
        <x:v>810</x:v>
      </x:c>
      <x:c r="M21" s="10" t="n">
        <x:f>K21*'Assumptions'!$V$43</x:f>
        <x:v>0</x:v>
      </x:c>
      <x:c r="N21" s="10" t="n">
        <x:f>K21-L21-M21</x:f>
        <x:v>26190</x:v>
      </x:c>
      <x:c r="O21" s="10" t="n">
        <x:f>H21*'Assumptions'!$P$43*'Assumptions'!$Q$43*'Assumptions'!$D$11*(1+'Assumptions'!$D$13)^(1-1)</x:f>
        <x:v>10800</x:v>
      </x:c>
      <x:c r="P21" s="10" t="n">
        <x:f>H21*'Assumptions'!$R$43*'Assumptions'!$D$11*(1+'Assumptions'!$D$13)^(1-1)</x:f>
        <x:v>90</x:v>
      </x:c>
      <x:c r="Q21" s="10" t="n">
        <x:f>J21*'Assumptions'!$S$43</x:f>
        <x:v>0</x:v>
      </x:c>
      <x:c r="R21" s="10" t="n">
        <x:f>H21*'Assumptions'!$Y$43*'Assumptions'!$Z$43*'Assumptions'!$D$11*(1+'Assumptions'!$D$13)^(1-1)</x:f>
        <x:v>67.5</x:v>
      </x:c>
      <x:c r="S21" s="10" t="n">
        <x:f>IF(I21=0,0,J21*'Assumptions'!$W$43+H21*'Assumptions'!$X$43)</x:f>
        <x:v>785.7</x:v>
      </x:c>
      <x:c r="T21" s="10" t="n">
        <x:f>N21*'Assumptions'!$AA$43</x:f>
        <x:v>1047.6</x:v>
      </x:c>
      <x:c r="U21" s="10" t="n">
        <x:f>'Assumptions'!$AE$43*'Assumptions'!$D$11*(1+'Assumptions'!$D$13)^(1-1)</x:f>
        <x:v>0</x:v>
      </x:c>
      <x:c r="V21" s="10" t="n">
        <x:f>'Assumptions'!$AD$43*'Assumptions'!$D$11</x:f>
        <x:v>0</x:v>
      </x:c>
      <x:c r="W21" s="10" t="n">
        <x:f>H21*('Assumptions'!$P$43+'Assumptions'!$Y$43)</x:f>
        <x:v>182.25</x:v>
      </x:c>
      <x:c r="X21" s="10" t="n">
        <x:f>N21/'Assumptions'!$J$43*'Assumptions'!$AF$43</x:f>
        <x:v>2910</x:v>
      </x:c>
      <x:c r="Y21" s="10" t="n">
        <x:f>P21/'Assumptions'!$J$43</x:f>
        <x:v>10</x:v>
      </x:c>
      <x:c r="Z21" s="10" t="n">
        <x:f>'Assumptions'!$AB$43</x:f>
        <x:v>6</x:v>
      </x:c>
      <x:c r="AA21" s="10" t="n">
        <x:f>Z21*'Assumptions'!$AC$43*'Assumptions'!$D$11*(1+'Assumptions'!$D$13)^(1-1)</x:f>
        <x:v>300</x:v>
      </x:c>
      <x:c r="AB21" s="10" t="n">
        <x:f>F21/'Assumptions'!$J$43</x:f>
        <x:v>1</x:v>
      </x:c>
      <x:c r="AC21" s="10" t="n">
        <x:f>AB21/'Assumptions'!$AM$43</x:f>
        <x:v>5</x:v>
      </x:c>
      <x:c r="AD21" s="10" t="n">
        <x:f>IF(AB21=0,0,T21/AB21)</x:f>
        <x:v>1047.6</x:v>
      </x:c>
      <x:c r="AE21" s="10" t="n">
        <x:f>AA21*'Assumptions'!$D$21</x:f>
        <x:v>0</x:v>
      </x:c>
    </x:row>
    <x:row r="22" ht="16" customHeight="1">
      <x:c r="A22" s="1"/>
      <x:c r="B22" s="1"/>
      <x:c r="C22" s="1" t="str">
        <x:v>DOT-015</x:v>
      </x:c>
      <x:c r="D22" s="10" t="str">
        <x:v>BPA professional services</x:v>
      </x:c>
      <x:c r="E22" s="10" t="n">
        <x:v>1</x:v>
      </x:c>
      <x:c r="F22" s="21" t="n">
        <x:f>'Assumptions'!$I$44*'Assumptions'!$J$44/12*'Assumptions'!$D$9*'Assumptions'!$D$8</x:f>
        <x:v>7.5</x:v>
      </x:c>
      <x:c r="G22" s="21" t="n">
        <x:f>0</x:f>
        <x:v>0</x:v>
      </x:c>
      <x:c r="H22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22+G22,NA())</x:f>
        <x:v>7.5</x:v>
      </x:c>
      <x:c r="I22" s="22" t="n">
        <x:f>'Assumptions'!$H$44*IF('Assumptions'!$O$44=1,1,'Assumptions'!$D$10)*(1+'Assumptions'!$N$44)^(1-1)</x:f>
        <x:v>1200</x:v>
      </x:c>
      <x:c r="J22" s="10" t="n">
        <x:f>H22*I22</x:f>
        <x:v>9000</x:v>
      </x:c>
      <x:c r="K22" s="10" t="n">
        <x:f>J22*'Assumptions'!$T$44</x:f>
        <x:v>9000</x:v>
      </x:c>
      <x:c r="L22" s="10" t="n">
        <x:f>K22*'Assumptions'!$U$44</x:f>
        <x:v>270</x:v>
      </x:c>
      <x:c r="M22" s="10" t="n">
        <x:f>K22*'Assumptions'!$V$44</x:f>
        <x:v>0</x:v>
      </x:c>
      <x:c r="N22" s="10" t="n">
        <x:f>K22-L22-M22</x:f>
        <x:v>8730</x:v>
      </x:c>
      <x:c r="O22" s="10" t="n">
        <x:f>H22*'Assumptions'!$P$44*'Assumptions'!$Q$44*'Assumptions'!$D$11*(1+'Assumptions'!$D$13)^(1-1)</x:f>
        <x:v>4500</x:v>
      </x:c>
      <x:c r="P22" s="10" t="n">
        <x:f>H22*'Assumptions'!$R$44*'Assumptions'!$D$11*(1+'Assumptions'!$D$13)^(1-1)</x:f>
        <x:v>75</x:v>
      </x:c>
      <x:c r="Q22" s="10" t="n">
        <x:f>J22*'Assumptions'!$S$44</x:f>
        <x:v>0</x:v>
      </x:c>
      <x:c r="R22" s="10" t="n">
        <x:f>H22*'Assumptions'!$Y$44*'Assumptions'!$Z$44*'Assumptions'!$D$11*(1+'Assumptions'!$D$13)^(1-1)</x:f>
        <x:v>56.25</x:v>
      </x:c>
      <x:c r="S22" s="10" t="n">
        <x:f>IF(I22=0,0,J22*'Assumptions'!$W$44+H22*'Assumptions'!$X$44)</x:f>
        <x:v>263.25</x:v>
      </x:c>
      <x:c r="T22" s="10" t="n">
        <x:f>N22*'Assumptions'!$AA$44</x:f>
        <x:v>349.2</x:v>
      </x:c>
      <x:c r="U22" s="10" t="n">
        <x:f>'Assumptions'!$AE$44*'Assumptions'!$D$11*(1+'Assumptions'!$D$13)^(1-1)</x:f>
        <x:v>0</x:v>
      </x:c>
      <x:c r="V22" s="10" t="n">
        <x:f>'Assumptions'!$AD$44*'Assumptions'!$D$11</x:f>
        <x:v>0</x:v>
      </x:c>
      <x:c r="W22" s="10" t="n">
        <x:f>H22*('Assumptions'!$P$44+'Assumptions'!$Y$44)</x:f>
        <x:v>76.875</x:v>
      </x:c>
      <x:c r="X22" s="10" t="n">
        <x:f>N22/'Assumptions'!$J$44*'Assumptions'!$AF$44</x:f>
        <x:v>970</x:v>
      </x:c>
      <x:c r="Y22" s="10" t="n">
        <x:f>P22/'Assumptions'!$J$44</x:f>
        <x:v>8.333333333333334</x:v>
      </x:c>
      <x:c r="Z22" s="10" t="n">
        <x:f>'Assumptions'!$AB$44</x:f>
        <x:v>6</x:v>
      </x:c>
      <x:c r="AA22" s="10" t="n">
        <x:f>Z22*'Assumptions'!$AC$44*'Assumptions'!$D$11*(1+'Assumptions'!$D$13)^(1-1)</x:f>
        <x:v>300</x:v>
      </x:c>
      <x:c r="AB22" s="10" t="n">
        <x:f>F22/1</x:f>
        <x:v>7.5</x:v>
      </x:c>
      <x:c r="AC22" s="10" t="n">
        <x:f>AB22/'Assumptions'!$AM$44</x:f>
        <x:v>37.5</x:v>
      </x:c>
      <x:c r="AD22" s="10" t="n">
        <x:f>IF(AB22=0,0,T22/AB22)</x:f>
        <x:v>46.559999999999995</x:v>
      </x:c>
      <x:c r="AE22" s="10" t="n">
        <x:f>AA22*'Assumptions'!$D$21</x:f>
        <x:v>0</x:v>
      </x:c>
    </x:row>
    <x:row r="23" ht="16" customHeight="1">
      <x:c r="A23" s="1"/>
      <x:c r="B23" s="1"/>
      <x:c r="C23" s="1" t="str">
        <x:v>DOT-016</x:v>
      </x:c>
      <x:c r="D23" s="10" t="str">
        <x:v>BPA professional services</x:v>
      </x:c>
      <x:c r="E23" s="10" t="n">
        <x:v>1</x:v>
      </x:c>
      <x:c r="F23" s="21" t="n">
        <x:f>'Assumptions'!$I$45*'Assumptions'!$J$45/12*'Assumptions'!$D$9*'Assumptions'!$D$8</x:f>
        <x:v>4.5</x:v>
      </x:c>
      <x:c r="G23" s="21" t="n">
        <x:f>0</x:f>
        <x:v>0</x:v>
      </x:c>
      <x:c r="H23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23+G23,NA())</x:f>
        <x:v>4.5</x:v>
      </x:c>
      <x:c r="I23" s="22" t="n">
        <x:f>'Assumptions'!$H$45*IF('Assumptions'!$O$45=1,1,'Assumptions'!$D$10)*(1+'Assumptions'!$N$45)^(1-1)</x:f>
        <x:v>1800</x:v>
      </x:c>
      <x:c r="J23" s="10" t="n">
        <x:f>H23*I23</x:f>
        <x:v>8100</x:v>
      </x:c>
      <x:c r="K23" s="10" t="n">
        <x:f>J23*'Assumptions'!$T$45</x:f>
        <x:v>8100</x:v>
      </x:c>
      <x:c r="L23" s="10" t="n">
        <x:f>K23*'Assumptions'!$U$45</x:f>
        <x:v>243</x:v>
      </x:c>
      <x:c r="M23" s="10" t="n">
        <x:f>K23*'Assumptions'!$V$45</x:f>
        <x:v>0</x:v>
      </x:c>
      <x:c r="N23" s="10" t="n">
        <x:f>K23-L23-M23</x:f>
        <x:v>7857</x:v>
      </x:c>
      <x:c r="O23" s="10" t="n">
        <x:f>H23*'Assumptions'!$P$45*'Assumptions'!$Q$45*'Assumptions'!$D$11*(1+'Assumptions'!$D$13)^(1-1)</x:f>
        <x:v>1350</x:v>
      </x:c>
      <x:c r="P23" s="10" t="n">
        <x:f>H23*'Assumptions'!$R$45*'Assumptions'!$D$11*(1+'Assumptions'!$D$13)^(1-1)</x:f>
        <x:v>45</x:v>
      </x:c>
      <x:c r="Q23" s="10" t="n">
        <x:f>J23*'Assumptions'!$S$45</x:f>
        <x:v>0</x:v>
      </x:c>
      <x:c r="R23" s="10" t="n">
        <x:f>H23*'Assumptions'!$Y$45*'Assumptions'!$Z$45*'Assumptions'!$D$11*(1+'Assumptions'!$D$13)^(1-1)</x:f>
        <x:v>33.75</x:v>
      </x:c>
      <x:c r="S23" s="10" t="n">
        <x:f>IF(I23=0,0,J23*'Assumptions'!$W$45+H23*'Assumptions'!$X$45)</x:f>
        <x:v>236.25</x:v>
      </x:c>
      <x:c r="T23" s="10" t="n">
        <x:f>N23*'Assumptions'!$AA$45</x:f>
        <x:v>314.28000000000003</x:v>
      </x:c>
      <x:c r="U23" s="10" t="n">
        <x:f>'Assumptions'!$AE$45*'Assumptions'!$D$11*(1+'Assumptions'!$D$13)^(1-1)</x:f>
        <x:v>0</x:v>
      </x:c>
      <x:c r="V23" s="10" t="n">
        <x:f>'Assumptions'!$AD$45*'Assumptions'!$D$11</x:f>
        <x:v>0</x:v>
      </x:c>
      <x:c r="W23" s="10" t="n">
        <x:f>H23*('Assumptions'!$P$45+'Assumptions'!$Y$45)</x:f>
        <x:v>23.625</x:v>
      </x:c>
      <x:c r="X23" s="10" t="n">
        <x:f>N23/'Assumptions'!$J$45*'Assumptions'!$AF$45</x:f>
        <x:v>873</x:v>
      </x:c>
      <x:c r="Y23" s="10" t="n">
        <x:f>P23/'Assumptions'!$J$45</x:f>
        <x:v>5</x:v>
      </x:c>
      <x:c r="Z23" s="10" t="n">
        <x:f>'Assumptions'!$AB$45</x:f>
        <x:v>6</x:v>
      </x:c>
      <x:c r="AA23" s="10" t="n">
        <x:f>Z23*'Assumptions'!$AC$45*'Assumptions'!$D$11*(1+'Assumptions'!$D$13)^(1-1)</x:f>
        <x:v>300</x:v>
      </x:c>
      <x:c r="AB23" s="10" t="n">
        <x:f>F23/1</x:f>
        <x:v>4.5</x:v>
      </x:c>
      <x:c r="AC23" s="10" t="n">
        <x:f>AB23/'Assumptions'!$AM$45</x:f>
        <x:v>22.5</x:v>
      </x:c>
      <x:c r="AD23" s="10" t="n">
        <x:f>IF(AB23=0,0,T23/AB23)</x:f>
        <x:v>69.84</x:v>
      </x:c>
      <x:c r="AE23" s="10" t="n">
        <x:f>AA23*'Assumptions'!$D$21</x:f>
        <x:v>0</x:v>
      </x:c>
    </x:row>
    <x:row r="24" ht="16" customHeight="1">
      <x:c r="A24" s="1"/>
      <x:c r="B24" s="1"/>
      <x:c r="C24" s="1" t="str">
        <x:v>DOT-017</x:v>
      </x:c>
      <x:c r="D24" s="10" t="str">
        <x:v>BPA professional services</x:v>
      </x:c>
      <x:c r="E24" s="10" t="n">
        <x:v>1</x:v>
      </x:c>
      <x:c r="F24" s="21" t="n">
        <x:f>'Assumptions'!$I$46*'Assumptions'!$J$46/12*'Assumptions'!$D$9*'Assumptions'!$D$8</x:f>
        <x:v>4.5</x:v>
      </x:c>
      <x:c r="G24" s="21" t="n">
        <x:f>0</x:f>
        <x:v>0</x:v>
      </x:c>
      <x:c r="H24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24+G24,NA())</x:f>
        <x:v>4.5</x:v>
      </x:c>
      <x:c r="I24" s="22" t="n">
        <x:f>'Assumptions'!$H$46*IF('Assumptions'!$O$46=1,1,'Assumptions'!$D$10)*(1+'Assumptions'!$N$46)^(1-1)</x:f>
        <x:v>1500</x:v>
      </x:c>
      <x:c r="J24" s="10" t="n">
        <x:f>H24*I24</x:f>
        <x:v>6750</x:v>
      </x:c>
      <x:c r="K24" s="10" t="n">
        <x:f>J24*'Assumptions'!$T$46</x:f>
        <x:v>6750</x:v>
      </x:c>
      <x:c r="L24" s="10" t="n">
        <x:f>K24*'Assumptions'!$U$46</x:f>
        <x:v>202.5</x:v>
      </x:c>
      <x:c r="M24" s="10" t="n">
        <x:f>K24*'Assumptions'!$V$46</x:f>
        <x:v>0</x:v>
      </x:c>
      <x:c r="N24" s="10" t="n">
        <x:f>K24-L24-M24</x:f>
        <x:v>6547.5</x:v>
      </x:c>
      <x:c r="O24" s="10" t="n">
        <x:f>H24*'Assumptions'!$P$46*'Assumptions'!$Q$46*'Assumptions'!$D$11*(1+'Assumptions'!$D$13)^(1-1)</x:f>
        <x:v>1620</x:v>
      </x:c>
      <x:c r="P24" s="10" t="n">
        <x:f>H24*'Assumptions'!$R$46*'Assumptions'!$D$11*(1+'Assumptions'!$D$13)^(1-1)</x:f>
        <x:v>45</x:v>
      </x:c>
      <x:c r="Q24" s="10" t="n">
        <x:f>J24*'Assumptions'!$S$46</x:f>
        <x:v>0</x:v>
      </x:c>
      <x:c r="R24" s="10" t="n">
        <x:f>H24*'Assumptions'!$Y$46*'Assumptions'!$Z$46*'Assumptions'!$D$11*(1+'Assumptions'!$D$13)^(1-1)</x:f>
        <x:v>33.75</x:v>
      </x:c>
      <x:c r="S24" s="10" t="n">
        <x:f>IF(I24=0,0,J24*'Assumptions'!$W$46+H24*'Assumptions'!$X$46)</x:f>
        <x:v>197.1</x:v>
      </x:c>
      <x:c r="T24" s="10" t="n">
        <x:f>N24*'Assumptions'!$AA$46</x:f>
        <x:v>261.9</x:v>
      </x:c>
      <x:c r="U24" s="10" t="n">
        <x:f>'Assumptions'!$AE$46*'Assumptions'!$D$11*(1+'Assumptions'!$D$13)^(1-1)</x:f>
        <x:v>0</x:v>
      </x:c>
      <x:c r="V24" s="10" t="n">
        <x:f>'Assumptions'!$AD$46*'Assumptions'!$D$11</x:f>
        <x:v>0</x:v>
      </x:c>
      <x:c r="W24" s="10" t="n">
        <x:f>H24*('Assumptions'!$P$46+'Assumptions'!$Y$46)</x:f>
        <x:v>28.125</x:v>
      </x:c>
      <x:c r="X24" s="10" t="n">
        <x:f>N24/'Assumptions'!$J$46*'Assumptions'!$AF$46</x:f>
        <x:v>727.5</x:v>
      </x:c>
      <x:c r="Y24" s="10" t="n">
        <x:f>P24/'Assumptions'!$J$46</x:f>
        <x:v>5</x:v>
      </x:c>
      <x:c r="Z24" s="10" t="n">
        <x:f>'Assumptions'!$AB$46</x:f>
        <x:v>6</x:v>
      </x:c>
      <x:c r="AA24" s="10" t="n">
        <x:f>Z24*'Assumptions'!$AC$46*'Assumptions'!$D$11*(1+'Assumptions'!$D$13)^(1-1)</x:f>
        <x:v>300</x:v>
      </x:c>
      <x:c r="AB24" s="10" t="n">
        <x:f>F24/1</x:f>
        <x:v>4.5</x:v>
      </x:c>
      <x:c r="AC24" s="10" t="n">
        <x:f>AB24/'Assumptions'!$AM$46</x:f>
        <x:v>22.5</x:v>
      </x:c>
      <x:c r="AD24" s="10" t="n">
        <x:f>IF(AB24=0,0,T24/AB24)</x:f>
        <x:v>58.199999999999996</x:v>
      </x:c>
      <x:c r="AE24" s="10" t="n">
        <x:f>AA24*'Assumptions'!$D$21</x:f>
        <x:v>0</x:v>
      </x:c>
    </x:row>
    <x:row r="25" ht="16" customHeight="1">
      <x:c r="A25" s="1"/>
      <x:c r="B25" s="1"/>
      <x:c r="C25" s="1" t="str">
        <x:v>DOT-018</x:v>
      </x:c>
      <x:c r="D25" s="10" t="str">
        <x:v>BPA professional services</x:v>
      </x:c>
      <x:c r="E25" s="10" t="n">
        <x:v>1</x:v>
      </x:c>
      <x:c r="F25" s="21" t="n">
        <x:f>'Assumptions'!$I$47*'Assumptions'!$J$47/12*'Assumptions'!$D$9*'Assumptions'!$D$8</x:f>
        <x:v>6</x:v>
      </x:c>
      <x:c r="G25" s="21" t="n">
        <x:f>0</x:f>
        <x:v>0</x:v>
      </x:c>
      <x:c r="H25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25+G25,NA())</x:f>
        <x:v>6</x:v>
      </x:c>
      <x:c r="I25" s="22" t="n">
        <x:f>'Assumptions'!$H$47*IF('Assumptions'!$O$47=1,1,'Assumptions'!$D$10)*(1+'Assumptions'!$N$47)^(1-1)</x:f>
        <x:v>1200</x:v>
      </x:c>
      <x:c r="J25" s="10" t="n">
        <x:f>H25*I25</x:f>
        <x:v>7200</x:v>
      </x:c>
      <x:c r="K25" s="10" t="n">
        <x:f>J25*'Assumptions'!$T$47</x:f>
        <x:v>7200</x:v>
      </x:c>
      <x:c r="L25" s="10" t="n">
        <x:f>K25*'Assumptions'!$U$47</x:f>
        <x:v>216</x:v>
      </x:c>
      <x:c r="M25" s="10" t="n">
        <x:f>K25*'Assumptions'!$V$47</x:f>
        <x:v>0</x:v>
      </x:c>
      <x:c r="N25" s="10" t="n">
        <x:f>K25-L25-M25</x:f>
        <x:v>6984</x:v>
      </x:c>
      <x:c r="O25" s="10" t="n">
        <x:f>H25*'Assumptions'!$P$47*'Assumptions'!$Q$47*'Assumptions'!$D$11*(1+'Assumptions'!$D$13)^(1-1)</x:f>
        <x:v>1440</x:v>
      </x:c>
      <x:c r="P25" s="10" t="n">
        <x:f>H25*'Assumptions'!$R$47*'Assumptions'!$D$11*(1+'Assumptions'!$D$13)^(1-1)</x:f>
        <x:v>60</x:v>
      </x:c>
      <x:c r="Q25" s="10" t="n">
        <x:f>J25*'Assumptions'!$S$47</x:f>
        <x:v>0</x:v>
      </x:c>
      <x:c r="R25" s="10" t="n">
        <x:f>H25*'Assumptions'!$Y$47*'Assumptions'!$Z$47*'Assumptions'!$D$11*(1+'Assumptions'!$D$13)^(1-1)</x:f>
        <x:v>45</x:v>
      </x:c>
      <x:c r="S25" s="10" t="n">
        <x:f>IF(I25=0,0,J25*'Assumptions'!$W$47+H25*'Assumptions'!$X$47)</x:f>
        <x:v>210.60000000000002</x:v>
      </x:c>
      <x:c r="T25" s="10" t="n">
        <x:f>N25*'Assumptions'!$AA$47</x:f>
        <x:v>279.36</x:v>
      </x:c>
      <x:c r="U25" s="10" t="n">
        <x:f>'Assumptions'!$AE$47*'Assumptions'!$D$11*(1+'Assumptions'!$D$13)^(1-1)</x:f>
        <x:v>0</x:v>
      </x:c>
      <x:c r="V25" s="10" t="n">
        <x:f>'Assumptions'!$AD$47*'Assumptions'!$D$11</x:f>
        <x:v>0</x:v>
      </x:c>
      <x:c r="W25" s="10" t="n">
        <x:f>H25*('Assumptions'!$P$47+'Assumptions'!$Y$47)</x:f>
        <x:v>25.5</x:v>
      </x:c>
      <x:c r="X25" s="10" t="n">
        <x:f>N25/'Assumptions'!$J$47*'Assumptions'!$AF$47</x:f>
        <x:v>776</x:v>
      </x:c>
      <x:c r="Y25" s="10" t="n">
        <x:f>P25/'Assumptions'!$J$47</x:f>
        <x:v>6.666666666666667</x:v>
      </x:c>
      <x:c r="Z25" s="10" t="n">
        <x:f>'Assumptions'!$AB$47</x:f>
        <x:v>6</x:v>
      </x:c>
      <x:c r="AA25" s="10" t="n">
        <x:f>Z25*'Assumptions'!$AC$47*'Assumptions'!$D$11*(1+'Assumptions'!$D$13)^(1-1)</x:f>
        <x:v>300</x:v>
      </x:c>
      <x:c r="AB25" s="10" t="n">
        <x:f>F25/1</x:f>
        <x:v>6</x:v>
      </x:c>
      <x:c r="AC25" s="10" t="n">
        <x:f>AB25/'Assumptions'!$AM$47</x:f>
        <x:v>30</x:v>
      </x:c>
      <x:c r="AD25" s="10" t="n">
        <x:f>IF(AB25=0,0,T25/AB25)</x:f>
        <x:v>46.56</x:v>
      </x:c>
      <x:c r="AE25" s="10" t="n">
        <x:f>AA25*'Assumptions'!$D$21</x:f>
        <x:v>0</x:v>
      </x:c>
    </x:row>
    <x:row r="26" ht="16" customHeight="1">
      <x:c r="A26" s="1"/>
      <x:c r="B26" s="1"/>
      <x:c r="C26" s="1" t="str">
        <x:v>DOT-019</x:v>
      </x:c>
      <x:c r="D26" s="10" t="str">
        <x:v>BPA professional services</x:v>
      </x:c>
      <x:c r="E26" s="10" t="n">
        <x:v>1</x:v>
      </x:c>
      <x:c r="F26" s="21" t="n">
        <x:f>'Assumptions'!$I$48*'Assumptions'!$J$48/12*'Assumptions'!$D$9*'Assumptions'!$D$8</x:f>
        <x:v>3</x:v>
      </x:c>
      <x:c r="G26" s="21" t="n">
        <x:f>0</x:f>
        <x:v>0</x:v>
      </x:c>
      <x:c r="H26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26+G26,NA())</x:f>
        <x:v>3</x:v>
      </x:c>
      <x:c r="I26" s="22" t="n">
        <x:f>'Assumptions'!$H$48*IF('Assumptions'!$O$48=1,1,'Assumptions'!$D$10)*(1+'Assumptions'!$N$48)^(1-1)</x:f>
        <x:v>3000</x:v>
      </x:c>
      <x:c r="J26" s="10" t="n">
        <x:f>H26*I26</x:f>
        <x:v>9000</x:v>
      </x:c>
      <x:c r="K26" s="10" t="n">
        <x:f>J26*'Assumptions'!$T$48</x:f>
        <x:v>9000</x:v>
      </x:c>
      <x:c r="L26" s="10" t="n">
        <x:f>K26*'Assumptions'!$U$48</x:f>
        <x:v>270</x:v>
      </x:c>
      <x:c r="M26" s="10" t="n">
        <x:f>K26*'Assumptions'!$V$48</x:f>
        <x:v>0</x:v>
      </x:c>
      <x:c r="N26" s="10" t="n">
        <x:f>K26-L26-M26</x:f>
        <x:v>8730</x:v>
      </x:c>
      <x:c r="O26" s="10" t="n">
        <x:f>H26*'Assumptions'!$P$48*'Assumptions'!$Q$48*'Assumptions'!$D$11*(1+'Assumptions'!$D$13)^(1-1)</x:f>
        <x:v>2160</x:v>
      </x:c>
      <x:c r="P26" s="10" t="n">
        <x:f>H26*'Assumptions'!$R$48*'Assumptions'!$D$11*(1+'Assumptions'!$D$13)^(1-1)</x:f>
        <x:v>30</x:v>
      </x:c>
      <x:c r="Q26" s="10" t="n">
        <x:f>J26*'Assumptions'!$S$48</x:f>
        <x:v>0</x:v>
      </x:c>
      <x:c r="R26" s="10" t="n">
        <x:f>H26*'Assumptions'!$Y$48*'Assumptions'!$Z$48*'Assumptions'!$D$11*(1+'Assumptions'!$D$13)^(1-1)</x:f>
        <x:v>22.5</x:v>
      </x:c>
      <x:c r="S26" s="10" t="n">
        <x:f>IF(I26=0,0,J26*'Assumptions'!$W$48+H26*'Assumptions'!$X$48)</x:f>
        <x:v>261.9</x:v>
      </x:c>
      <x:c r="T26" s="10" t="n">
        <x:f>N26*'Assumptions'!$AA$48</x:f>
        <x:v>349.2</x:v>
      </x:c>
      <x:c r="U26" s="10" t="n">
        <x:f>'Assumptions'!$AE$48*'Assumptions'!$D$11*(1+'Assumptions'!$D$13)^(1-1)</x:f>
        <x:v>0</x:v>
      </x:c>
      <x:c r="V26" s="10" t="n">
        <x:f>'Assumptions'!$AD$48*'Assumptions'!$D$11</x:f>
        <x:v>0</x:v>
      </x:c>
      <x:c r="W26" s="10" t="n">
        <x:f>H26*('Assumptions'!$P$48+'Assumptions'!$Y$48)</x:f>
        <x:v>36.75</x:v>
      </x:c>
      <x:c r="X26" s="10" t="n">
        <x:f>N26/'Assumptions'!$J$48*'Assumptions'!$AF$48</x:f>
        <x:v>970</x:v>
      </x:c>
      <x:c r="Y26" s="10" t="n">
        <x:f>P26/'Assumptions'!$J$48</x:f>
        <x:v>3.3333333333333335</x:v>
      </x:c>
      <x:c r="Z26" s="10" t="n">
        <x:f>'Assumptions'!$AB$48</x:f>
        <x:v>6</x:v>
      </x:c>
      <x:c r="AA26" s="10" t="n">
        <x:f>Z26*'Assumptions'!$AC$48*'Assumptions'!$D$11*(1+'Assumptions'!$D$13)^(1-1)</x:f>
        <x:v>300</x:v>
      </x:c>
      <x:c r="AB26" s="10" t="n">
        <x:f>F26/1</x:f>
        <x:v>3</x:v>
      </x:c>
      <x:c r="AC26" s="10" t="n">
        <x:f>AB26/'Assumptions'!$AM$48</x:f>
        <x:v>15</x:v>
      </x:c>
      <x:c r="AD26" s="10" t="n">
        <x:f>IF(AB26=0,0,T26/AB26)</x:f>
        <x:v>116.39999999999999</x:v>
      </x:c>
      <x:c r="AE26" s="10" t="n">
        <x:f>AA26*'Assumptions'!$D$21</x:f>
        <x:v>0</x:v>
      </x:c>
    </x:row>
    <x:row r="27" ht="16" customHeight="1">
      <x:c r="A27" s="1"/>
      <x:c r="B27" s="1"/>
      <x:c r="C27" s="1" t="str">
        <x:v>DOT-020</x:v>
      </x:c>
      <x:c r="D27" s="10" t="str">
        <x:v>BPA professional services</x:v>
      </x:c>
      <x:c r="E27" s="10" t="n">
        <x:v>1</x:v>
      </x:c>
      <x:c r="F27" s="21" t="n">
        <x:f>'Assumptions'!$I$49*'Assumptions'!$J$49/12*'Assumptions'!$D$9*'Assumptions'!$D$8</x:f>
        <x:v>4.5</x:v>
      </x:c>
      <x:c r="G27" s="21" t="n">
        <x:f>0</x:f>
        <x:v>0</x:v>
      </x:c>
      <x:c r="H27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27+G27,NA())</x:f>
        <x:v>4.5</x:v>
      </x:c>
      <x:c r="I27" s="22" t="n">
        <x:f>'Assumptions'!$H$49*IF('Assumptions'!$O$49=1,1,'Assumptions'!$D$10)*(1+'Assumptions'!$N$49)^(1-1)</x:f>
        <x:v>1800</x:v>
      </x:c>
      <x:c r="J27" s="10" t="n">
        <x:f>H27*I27</x:f>
        <x:v>8100</x:v>
      </x:c>
      <x:c r="K27" s="10" t="n">
        <x:f>J27*'Assumptions'!$T$49</x:f>
        <x:v>8100</x:v>
      </x:c>
      <x:c r="L27" s="10" t="n">
        <x:f>K27*'Assumptions'!$U$49</x:f>
        <x:v>243</x:v>
      </x:c>
      <x:c r="M27" s="10" t="n">
        <x:f>K27*'Assumptions'!$V$49</x:f>
        <x:v>0</x:v>
      </x:c>
      <x:c r="N27" s="10" t="n">
        <x:f>K27-L27-M27</x:f>
        <x:v>7857</x:v>
      </x:c>
      <x:c r="O27" s="10" t="n">
        <x:f>H27*'Assumptions'!$P$49*'Assumptions'!$Q$49*'Assumptions'!$D$11*(1+'Assumptions'!$D$13)^(1-1)</x:f>
        <x:v>1620</x:v>
      </x:c>
      <x:c r="P27" s="10" t="n">
        <x:f>H27*'Assumptions'!$R$49*'Assumptions'!$D$11*(1+'Assumptions'!$D$13)^(1-1)</x:f>
        <x:v>45</x:v>
      </x:c>
      <x:c r="Q27" s="10" t="n">
        <x:f>J27*'Assumptions'!$S$49</x:f>
        <x:v>0</x:v>
      </x:c>
      <x:c r="R27" s="10" t="n">
        <x:f>H27*'Assumptions'!$Y$49*'Assumptions'!$Z$49*'Assumptions'!$D$11*(1+'Assumptions'!$D$13)^(1-1)</x:f>
        <x:v>33.75</x:v>
      </x:c>
      <x:c r="S27" s="10" t="n">
        <x:f>IF(I27=0,0,J27*'Assumptions'!$W$49+H27*'Assumptions'!$X$49)</x:f>
        <x:v>236.25</x:v>
      </x:c>
      <x:c r="T27" s="10" t="n">
        <x:f>N27*'Assumptions'!$AA$49</x:f>
        <x:v>314.28000000000003</x:v>
      </x:c>
      <x:c r="U27" s="10" t="n">
        <x:f>'Assumptions'!$AE$49*'Assumptions'!$D$11*(1+'Assumptions'!$D$13)^(1-1)</x:f>
        <x:v>0</x:v>
      </x:c>
      <x:c r="V27" s="10" t="n">
        <x:f>'Assumptions'!$AD$49*'Assumptions'!$D$11</x:f>
        <x:v>0</x:v>
      </x:c>
      <x:c r="W27" s="10" t="n">
        <x:f>H27*('Assumptions'!$P$49+'Assumptions'!$Y$49)</x:f>
        <x:v>28.125</x:v>
      </x:c>
      <x:c r="X27" s="10" t="n">
        <x:f>N27/'Assumptions'!$J$49*'Assumptions'!$AF$49</x:f>
        <x:v>873</x:v>
      </x:c>
      <x:c r="Y27" s="10" t="n">
        <x:f>P27/'Assumptions'!$J$49</x:f>
        <x:v>5</x:v>
      </x:c>
      <x:c r="Z27" s="10" t="n">
        <x:f>'Assumptions'!$AB$49</x:f>
        <x:v>6</x:v>
      </x:c>
      <x:c r="AA27" s="10" t="n">
        <x:f>Z27*'Assumptions'!$AC$49*'Assumptions'!$D$11*(1+'Assumptions'!$D$13)^(1-1)</x:f>
        <x:v>300</x:v>
      </x:c>
      <x:c r="AB27" s="10" t="n">
        <x:f>F27/1</x:f>
        <x:v>4.5</x:v>
      </x:c>
      <x:c r="AC27" s="10" t="n">
        <x:f>AB27/'Assumptions'!$AM$49</x:f>
        <x:v>22.5</x:v>
      </x:c>
      <x:c r="AD27" s="10" t="n">
        <x:f>IF(AB27=0,0,T27/AB27)</x:f>
        <x:v>69.84</x:v>
      </x:c>
      <x:c r="AE27" s="10" t="n">
        <x:f>AA27*'Assumptions'!$D$21</x:f>
        <x:v>0</x:v>
      </x:c>
    </x:row>
    <x:row r="28" ht="16" customHeight="1">
      <x:c r="A28" s="1"/>
      <x:c r="B28" s="1"/>
      <x:c r="C28" s="1" t="str">
        <x:v>DOT-021</x:v>
      </x:c>
      <x:c r="D28" s="10" t="str">
        <x:v>BPA professional services</x:v>
      </x:c>
      <x:c r="E28" s="10" t="n">
        <x:v>1</x:v>
      </x:c>
      <x:c r="F28" s="21" t="n">
        <x:f>'Assumptions'!$I$50*'Assumptions'!$J$50/12*'Assumptions'!$D$9*'Assumptions'!$D$8</x:f>
        <x:v>3</x:v>
      </x:c>
      <x:c r="G28" s="21" t="n">
        <x:f>0</x:f>
        <x:v>0</x:v>
      </x:c>
      <x:c r="H28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28+G28,NA())</x:f>
        <x:v>3</x:v>
      </x:c>
      <x:c r="I28" s="22" t="n">
        <x:f>'Assumptions'!$H$50*IF('Assumptions'!$O$50=1,1,'Assumptions'!$D$10)*(1+'Assumptions'!$N$50)^(1-1)</x:f>
        <x:v>4200</x:v>
      </x:c>
      <x:c r="J28" s="10" t="n">
        <x:f>H28*I28</x:f>
        <x:v>12600</x:v>
      </x:c>
      <x:c r="K28" s="10" t="n">
        <x:f>J28*'Assumptions'!$T$50</x:f>
        <x:v>12600</x:v>
      </x:c>
      <x:c r="L28" s="10" t="n">
        <x:f>K28*'Assumptions'!$U$50</x:f>
        <x:v>378</x:v>
      </x:c>
      <x:c r="M28" s="10" t="n">
        <x:f>K28*'Assumptions'!$V$50</x:f>
        <x:v>0</x:v>
      </x:c>
      <x:c r="N28" s="10" t="n">
        <x:f>K28-L28-M28</x:f>
        <x:v>12222</x:v>
      </x:c>
      <x:c r="O28" s="10" t="n">
        <x:f>H28*'Assumptions'!$P$50*'Assumptions'!$Q$50*'Assumptions'!$D$11*(1+'Assumptions'!$D$13)^(1-1)</x:f>
        <x:v>2160</x:v>
      </x:c>
      <x:c r="P28" s="10" t="n">
        <x:f>H28*'Assumptions'!$R$50*'Assumptions'!$D$11*(1+'Assumptions'!$D$13)^(1-1)</x:f>
        <x:v>30</x:v>
      </x:c>
      <x:c r="Q28" s="10" t="n">
        <x:f>J28*'Assumptions'!$S$50</x:f>
        <x:v>0</x:v>
      </x:c>
      <x:c r="R28" s="10" t="n">
        <x:f>H28*'Assumptions'!$Y$50*'Assumptions'!$Z$50*'Assumptions'!$D$11*(1+'Assumptions'!$D$13)^(1-1)</x:f>
        <x:v>22.5</x:v>
      </x:c>
      <x:c r="S28" s="10" t="n">
        <x:f>IF(I28=0,0,J28*'Assumptions'!$W$50+H28*'Assumptions'!$X$50)</x:f>
        <x:v>366.3</x:v>
      </x:c>
      <x:c r="T28" s="10" t="n">
        <x:f>N28*'Assumptions'!$AA$50</x:f>
        <x:v>488.88</x:v>
      </x:c>
      <x:c r="U28" s="10" t="n">
        <x:f>'Assumptions'!$AE$50*'Assumptions'!$D$11*(1+'Assumptions'!$D$13)^(1-1)</x:f>
        <x:v>0</x:v>
      </x:c>
      <x:c r="V28" s="10" t="n">
        <x:f>'Assumptions'!$AD$50*'Assumptions'!$D$11</x:f>
        <x:v>0</x:v>
      </x:c>
      <x:c r="W28" s="10" t="n">
        <x:f>H28*('Assumptions'!$P$50+'Assumptions'!$Y$50)</x:f>
        <x:v>36.75</x:v>
      </x:c>
      <x:c r="X28" s="10" t="n">
        <x:f>N28/'Assumptions'!$J$50*'Assumptions'!$AF$50</x:f>
        <x:v>1358</x:v>
      </x:c>
      <x:c r="Y28" s="10" t="n">
        <x:f>P28/'Assumptions'!$J$50</x:f>
        <x:v>3.3333333333333335</x:v>
      </x:c>
      <x:c r="Z28" s="10" t="n">
        <x:f>'Assumptions'!$AB$50</x:f>
        <x:v>6</x:v>
      </x:c>
      <x:c r="AA28" s="10" t="n">
        <x:f>Z28*'Assumptions'!$AC$50*'Assumptions'!$D$11*(1+'Assumptions'!$D$13)^(1-1)</x:f>
        <x:v>300</x:v>
      </x:c>
      <x:c r="AB28" s="10" t="n">
        <x:f>F28/1</x:f>
        <x:v>3</x:v>
      </x:c>
      <x:c r="AC28" s="10" t="n">
        <x:f>AB28/'Assumptions'!$AM$50</x:f>
        <x:v>15</x:v>
      </x:c>
      <x:c r="AD28" s="10" t="n">
        <x:f>IF(AB28=0,0,T28/AB28)</x:f>
        <x:v>162.96</x:v>
      </x:c>
      <x:c r="AE28" s="10" t="n">
        <x:f>AA28*'Assumptions'!$D$21</x:f>
        <x:v>0</x:v>
      </x:c>
    </x:row>
    <x:row r="29" ht="16" customHeight="1">
      <x:c r="A29" s="1"/>
      <x:c r="B29" s="1"/>
      <x:c r="C29" s="1" t="str">
        <x:v>DOT-022</x:v>
      </x:c>
      <x:c r="D29" s="10" t="str">
        <x:v>BPA professional services</x:v>
      </x:c>
      <x:c r="E29" s="10" t="n">
        <x:v>1</x:v>
      </x:c>
      <x:c r="F29" s="21" t="n">
        <x:f>'Assumptions'!$I$51*'Assumptions'!$J$51/12*'Assumptions'!$D$9*'Assumptions'!$D$8</x:f>
        <x:v>12</x:v>
      </x:c>
      <x:c r="G29" s="21" t="n">
        <x:f>0</x:f>
        <x:v>0</x:v>
      </x:c>
      <x:c r="H29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29+G29,NA())</x:f>
        <x:v>12</x:v>
      </x:c>
      <x:c r="I29" s="22" t="n">
        <x:f>'Assumptions'!$H$51*IF('Assumptions'!$O$51=1,1,'Assumptions'!$D$10)*(1+'Assumptions'!$N$51)^(1-1)</x:f>
        <x:v>900</x:v>
      </x:c>
      <x:c r="J29" s="10" t="n">
        <x:f>H29*I29</x:f>
        <x:v>10800</x:v>
      </x:c>
      <x:c r="K29" s="10" t="n">
        <x:f>J29*'Assumptions'!$T$51</x:f>
        <x:v>10800</x:v>
      </x:c>
      <x:c r="L29" s="10" t="n">
        <x:f>K29*'Assumptions'!$U$51</x:f>
        <x:v>324</x:v>
      </x:c>
      <x:c r="M29" s="10" t="n">
        <x:f>K29*'Assumptions'!$V$51</x:f>
        <x:v>0</x:v>
      </x:c>
      <x:c r="N29" s="10" t="n">
        <x:f>K29-L29-M29</x:f>
        <x:v>10476</x:v>
      </x:c>
      <x:c r="O29" s="10" t="n">
        <x:f>H29*'Assumptions'!$P$51*'Assumptions'!$Q$51*'Assumptions'!$D$11*(1+'Assumptions'!$D$13)^(1-1)</x:f>
        <x:v>2160</x:v>
      </x:c>
      <x:c r="P29" s="10" t="n">
        <x:f>H29*'Assumptions'!$R$51*'Assumptions'!$D$11*(1+'Assumptions'!$D$13)^(1-1)</x:f>
        <x:v>120</x:v>
      </x:c>
      <x:c r="Q29" s="10" t="n">
        <x:f>J29*'Assumptions'!$S$51</x:f>
        <x:v>0</x:v>
      </x:c>
      <x:c r="R29" s="10" t="n">
        <x:f>H29*'Assumptions'!$Y$51*'Assumptions'!$Z$51*'Assumptions'!$D$11*(1+'Assumptions'!$D$13)^(1-1)</x:f>
        <x:v>90</x:v>
      </x:c>
      <x:c r="S29" s="10" t="n">
        <x:f>IF(I29=0,0,J29*'Assumptions'!$W$51+H29*'Assumptions'!$X$51)</x:f>
        <x:v>316.8</x:v>
      </x:c>
      <x:c r="T29" s="10" t="n">
        <x:f>N29*'Assumptions'!$AA$51</x:f>
        <x:v>419.04</x:v>
      </x:c>
      <x:c r="U29" s="10" t="n">
        <x:f>'Assumptions'!$AE$51*'Assumptions'!$D$11*(1+'Assumptions'!$D$13)^(1-1)</x:f>
        <x:v>0</x:v>
      </x:c>
      <x:c r="V29" s="10" t="n">
        <x:f>'Assumptions'!$AD$51*'Assumptions'!$D$11</x:f>
        <x:v>0</x:v>
      </x:c>
      <x:c r="W29" s="10" t="n">
        <x:f>H29*('Assumptions'!$P$51+'Assumptions'!$Y$51)</x:f>
        <x:v>39</x:v>
      </x:c>
      <x:c r="X29" s="10" t="n">
        <x:f>N29/'Assumptions'!$J$51*'Assumptions'!$AF$51</x:f>
        <x:v>1164</x:v>
      </x:c>
      <x:c r="Y29" s="10" t="n">
        <x:f>P29/'Assumptions'!$J$51</x:f>
        <x:v>13.333333333333334</x:v>
      </x:c>
      <x:c r="Z29" s="10" t="n">
        <x:f>'Assumptions'!$AB$51</x:f>
        <x:v>6</x:v>
      </x:c>
      <x:c r="AA29" s="10" t="n">
        <x:f>Z29*'Assumptions'!$AC$51*'Assumptions'!$D$11*(1+'Assumptions'!$D$13)^(1-1)</x:f>
        <x:v>300</x:v>
      </x:c>
      <x:c r="AB29" s="10" t="n">
        <x:f>F29/1</x:f>
        <x:v>12</x:v>
      </x:c>
      <x:c r="AC29" s="10" t="n">
        <x:f>AB29/'Assumptions'!$AM$51</x:f>
        <x:v>60</x:v>
      </x:c>
      <x:c r="AD29" s="10" t="n">
        <x:f>IF(AB29=0,0,T29/AB29)</x:f>
        <x:v>34.92</x:v>
      </x:c>
      <x:c r="AE29" s="10" t="n">
        <x:f>AA29*'Assumptions'!$D$21</x:f>
        <x:v>0</x:v>
      </x:c>
    </x:row>
    <x:row r="30" ht="16" customHeight="1">
      <x:c r="A30" s="1"/>
      <x:c r="B30" s="1"/>
      <x:c r="C30" s="1" t="str">
        <x:v>DOT-023</x:v>
      </x:c>
      <x:c r="D30" s="10" t="str">
        <x:v>BPA professional services</x:v>
      </x:c>
      <x:c r="E30" s="10" t="n">
        <x:v>1</x:v>
      </x:c>
      <x:c r="F30" s="21" t="n">
        <x:f>'Assumptions'!$I$52*'Assumptions'!$J$52/12*'Assumptions'!$D$9*'Assumptions'!$D$8</x:f>
        <x:v>7.5</x:v>
      </x:c>
      <x:c r="G30" s="21" t="n">
        <x:f>0</x:f>
        <x:v>0</x:v>
      </x:c>
      <x:c r="H30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30+G30,NA())</x:f>
        <x:v>7.5</x:v>
      </x:c>
      <x:c r="I30" s="22" t="n">
        <x:f>'Assumptions'!$H$52*IF('Assumptions'!$O$52=1,1,'Assumptions'!$D$10)*(1+'Assumptions'!$N$52)^(1-1)</x:f>
        <x:v>1800</x:v>
      </x:c>
      <x:c r="J30" s="10" t="n">
        <x:f>H30*I30</x:f>
        <x:v>13500</x:v>
      </x:c>
      <x:c r="K30" s="10" t="n">
        <x:f>J30*'Assumptions'!$T$52</x:f>
        <x:v>13500</x:v>
      </x:c>
      <x:c r="L30" s="10" t="n">
        <x:f>K30*'Assumptions'!$U$52</x:f>
        <x:v>405</x:v>
      </x:c>
      <x:c r="M30" s="10" t="n">
        <x:f>K30*'Assumptions'!$V$52</x:f>
        <x:v>0</x:v>
      </x:c>
      <x:c r="N30" s="10" t="n">
        <x:f>K30-L30-M30</x:f>
        <x:v>13095</x:v>
      </x:c>
      <x:c r="O30" s="10" t="n">
        <x:f>H30*'Assumptions'!$P$52*'Assumptions'!$Q$52*'Assumptions'!$D$11*(1+'Assumptions'!$D$13)^(1-1)</x:f>
        <x:v>2700</x:v>
      </x:c>
      <x:c r="P30" s="10" t="n">
        <x:f>H30*'Assumptions'!$R$52*'Assumptions'!$D$11*(1+'Assumptions'!$D$13)^(1-1)</x:f>
        <x:v>75</x:v>
      </x:c>
      <x:c r="Q30" s="10" t="n">
        <x:f>J30*'Assumptions'!$S$52</x:f>
        <x:v>0</x:v>
      </x:c>
      <x:c r="R30" s="10" t="n">
        <x:f>H30*'Assumptions'!$Y$52*'Assumptions'!$Z$52*'Assumptions'!$D$11*(1+'Assumptions'!$D$13)^(1-1)</x:f>
        <x:v>56.25</x:v>
      </x:c>
      <x:c r="S30" s="10" t="n">
        <x:f>IF(I30=0,0,J30*'Assumptions'!$W$52+H30*'Assumptions'!$X$52)</x:f>
        <x:v>393.75</x:v>
      </x:c>
      <x:c r="T30" s="10" t="n">
        <x:f>N30*'Assumptions'!$AA$52</x:f>
        <x:v>523.8</x:v>
      </x:c>
      <x:c r="U30" s="10" t="n">
        <x:f>'Assumptions'!$AE$52*'Assumptions'!$D$11*(1+'Assumptions'!$D$13)^(1-1)</x:f>
        <x:v>0</x:v>
      </x:c>
      <x:c r="V30" s="10" t="n">
        <x:f>'Assumptions'!$AD$52*'Assumptions'!$D$11</x:f>
        <x:v>0</x:v>
      </x:c>
      <x:c r="W30" s="10" t="n">
        <x:f>H30*('Assumptions'!$P$52+'Assumptions'!$Y$52)</x:f>
        <x:v>46.875</x:v>
      </x:c>
      <x:c r="X30" s="10" t="n">
        <x:f>N30/'Assumptions'!$J$52*'Assumptions'!$AF$52</x:f>
        <x:v>1455</x:v>
      </x:c>
      <x:c r="Y30" s="10" t="n">
        <x:f>P30/'Assumptions'!$J$52</x:f>
        <x:v>8.333333333333334</x:v>
      </x:c>
      <x:c r="Z30" s="10" t="n">
        <x:f>'Assumptions'!$AB$52</x:f>
        <x:v>6</x:v>
      </x:c>
      <x:c r="AA30" s="10" t="n">
        <x:f>Z30*'Assumptions'!$AC$52*'Assumptions'!$D$11*(1+'Assumptions'!$D$13)^(1-1)</x:f>
        <x:v>300</x:v>
      </x:c>
      <x:c r="AB30" s="10" t="n">
        <x:f>F30/1</x:f>
        <x:v>7.5</x:v>
      </x:c>
      <x:c r="AC30" s="10" t="n">
        <x:f>AB30/'Assumptions'!$AM$52</x:f>
        <x:v>37.5</x:v>
      </x:c>
      <x:c r="AD30" s="10" t="n">
        <x:f>IF(AB30=0,0,T30/AB30)</x:f>
        <x:v>69.83999999999999</x:v>
      </x:c>
      <x:c r="AE30" s="10" t="n">
        <x:f>AA30*'Assumptions'!$D$21</x:f>
        <x:v>0</x:v>
      </x:c>
    </x:row>
    <x:row r="31" ht="16" customHeight="1">
      <x:c r="A31" s="1"/>
      <x:c r="B31" s="1"/>
      <x:c r="C31" s="1" t="str">
        <x:v>DOT-024</x:v>
      </x:c>
      <x:c r="D31" s="10" t="str">
        <x:v>BPA professional services</x:v>
      </x:c>
      <x:c r="E31" s="10" t="n">
        <x:v>1</x:v>
      </x:c>
      <x:c r="F31" s="21" t="n">
        <x:f>'Assumptions'!$I$53*'Assumptions'!$J$53/12*'Assumptions'!$D$9*'Assumptions'!$D$8</x:f>
        <x:v>25</x:v>
      </x:c>
      <x:c r="G31" s="21" t="n">
        <x:f>0</x:f>
        <x:v>0</x:v>
      </x:c>
      <x:c r="H31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31+G31,NA())</x:f>
        <x:v>25</x:v>
      </x:c>
      <x:c r="I31" s="22" t="n">
        <x:f>'Assumptions'!$H$53*IF('Assumptions'!$O$53=1,1,'Assumptions'!$D$10)*(1+'Assumptions'!$N$53)^(1-1)</x:f>
        <x:v>540</x:v>
      </x:c>
      <x:c r="J31" s="10" t="n">
        <x:f>H31*I31</x:f>
        <x:v>13500</x:v>
      </x:c>
      <x:c r="K31" s="10" t="n">
        <x:f>J31*'Assumptions'!$T$53</x:f>
        <x:v>13500</x:v>
      </x:c>
      <x:c r="L31" s="10" t="n">
        <x:f>K31*'Assumptions'!$U$53</x:f>
        <x:v>405</x:v>
      </x:c>
      <x:c r="M31" s="10" t="n">
        <x:f>K31*'Assumptions'!$V$53</x:f>
        <x:v>0</x:v>
      </x:c>
      <x:c r="N31" s="10" t="n">
        <x:f>K31-L31-M31</x:f>
        <x:v>13095</x:v>
      </x:c>
      <x:c r="O31" s="10" t="n">
        <x:f>H31*'Assumptions'!$P$53*'Assumptions'!$Q$53*'Assumptions'!$D$11*(1+'Assumptions'!$D$13)^(1-1)</x:f>
        <x:v>3000</x:v>
      </x:c>
      <x:c r="P31" s="10" t="n">
        <x:f>H31*'Assumptions'!$R$53*'Assumptions'!$D$11*(1+'Assumptions'!$D$13)^(1-1)</x:f>
        <x:v>250</x:v>
      </x:c>
      <x:c r="Q31" s="10" t="n">
        <x:f>J31*'Assumptions'!$S$53</x:f>
        <x:v>0</x:v>
      </x:c>
      <x:c r="R31" s="10" t="n">
        <x:f>H31*'Assumptions'!$Y$53*'Assumptions'!$Z$53*'Assumptions'!$D$11*(1+'Assumptions'!$D$13)^(1-1)</x:f>
        <x:v>187.5</x:v>
      </x:c>
      <x:c r="S31" s="10" t="n">
        <x:f>IF(I31=0,0,J31*'Assumptions'!$W$53+H31*'Assumptions'!$X$53)</x:f>
        <x:v>399</x:v>
      </x:c>
      <x:c r="T31" s="10" t="n">
        <x:f>N31*'Assumptions'!$AA$53</x:f>
        <x:v>523.8</x:v>
      </x:c>
      <x:c r="U31" s="10" t="n">
        <x:f>'Assumptions'!$AE$53*'Assumptions'!$D$11*(1+'Assumptions'!$D$13)^(1-1)</x:f>
        <x:v>0</x:v>
      </x:c>
      <x:c r="V31" s="10" t="n">
        <x:f>'Assumptions'!$AD$53*'Assumptions'!$D$11</x:f>
        <x:v>0</x:v>
      </x:c>
      <x:c r="W31" s="10" t="n">
        <x:f>H31*('Assumptions'!$P$53+'Assumptions'!$Y$53)</x:f>
        <x:v>56.25</x:v>
      </x:c>
      <x:c r="X31" s="10" t="n">
        <x:f>N31/'Assumptions'!$J$53*'Assumptions'!$AF$53</x:f>
        <x:v>2182.5</x:v>
      </x:c>
      <x:c r="Y31" s="10" t="n">
        <x:f>P31/'Assumptions'!$J$53</x:f>
        <x:v>41.666666666666664</x:v>
      </x:c>
      <x:c r="Z31" s="10" t="n">
        <x:f>'Assumptions'!$AB$53</x:f>
        <x:v>6</x:v>
      </x:c>
      <x:c r="AA31" s="10" t="n">
        <x:f>Z31*'Assumptions'!$AC$53*'Assumptions'!$D$11*(1+'Assumptions'!$D$13)^(1-1)</x:f>
        <x:v>300</x:v>
      </x:c>
      <x:c r="AB31" s="10" t="n">
        <x:f>F31/1</x:f>
        <x:v>25</x:v>
      </x:c>
      <x:c r="AC31" s="10" t="n">
        <x:f>AB31/'Assumptions'!$AM$53</x:f>
        <x:v>125</x:v>
      </x:c>
      <x:c r="AD31" s="10" t="n">
        <x:f>IF(AB31=0,0,T31/AB31)</x:f>
        <x:v>20.951999999999998</x:v>
      </x:c>
      <x:c r="AE31" s="10" t="n">
        <x:f>AA31*'Assumptions'!$D$21</x:f>
        <x:v>0</x:v>
      </x:c>
    </x:row>
    <x:row r="32" ht="16" customHeight="1">
      <x:c r="A32" s="1"/>
      <x:c r="B32" s="1"/>
      <x:c r="C32" s="1" t="str">
        <x:v>DOT-025</x:v>
      </x:c>
      <x:c r="D32" s="10" t="str">
        <x:v>BPA professional services</x:v>
      </x:c>
      <x:c r="E32" s="10" t="n">
        <x:v>1</x:v>
      </x:c>
      <x:c r="F32" s="21" t="n">
        <x:f>'Assumptions'!$I$54*'Assumptions'!$J$54/12*'Assumptions'!$D$9*'Assumptions'!$D$8</x:f>
        <x:v>10</x:v>
      </x:c>
      <x:c r="G32" s="21" t="n">
        <x:f>0</x:f>
        <x:v>0</x:v>
      </x:c>
      <x:c r="H32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32+G32,NA())</x:f>
        <x:v>10</x:v>
      </x:c>
      <x:c r="I32" s="22" t="n">
        <x:f>'Assumptions'!$H$54*IF('Assumptions'!$O$54=1,1,'Assumptions'!$D$10)*(1+'Assumptions'!$N$54)^(1-1)</x:f>
        <x:v>1020</x:v>
      </x:c>
      <x:c r="J32" s="10" t="n">
        <x:f>H32*I32</x:f>
        <x:v>10200</x:v>
      </x:c>
      <x:c r="K32" s="10" t="n">
        <x:f>J32*'Assumptions'!$T$54</x:f>
        <x:v>10200</x:v>
      </x:c>
      <x:c r="L32" s="10" t="n">
        <x:f>K32*'Assumptions'!$U$54</x:f>
        <x:v>306</x:v>
      </x:c>
      <x:c r="M32" s="10" t="n">
        <x:f>K32*'Assumptions'!$V$54</x:f>
        <x:v>0</x:v>
      </x:c>
      <x:c r="N32" s="10" t="n">
        <x:f>K32-L32-M32</x:f>
        <x:v>9894</x:v>
      </x:c>
      <x:c r="O32" s="10" t="n">
        <x:f>H32*'Assumptions'!$P$54*'Assumptions'!$Q$54*'Assumptions'!$D$11*(1+'Assumptions'!$D$13)^(1-1)</x:f>
        <x:v>3000</x:v>
      </x:c>
      <x:c r="P32" s="10" t="n">
        <x:f>H32*'Assumptions'!$R$54*'Assumptions'!$D$11*(1+'Assumptions'!$D$13)^(1-1)</x:f>
        <x:v>100</x:v>
      </x:c>
      <x:c r="Q32" s="10" t="n">
        <x:f>J32*'Assumptions'!$S$54</x:f>
        <x:v>0</x:v>
      </x:c>
      <x:c r="R32" s="10" t="n">
        <x:f>H32*'Assumptions'!$Y$54*'Assumptions'!$Z$54*'Assumptions'!$D$11*(1+'Assumptions'!$D$13)^(1-1)</x:f>
        <x:v>75</x:v>
      </x:c>
      <x:c r="S32" s="10" t="n">
        <x:f>IF(I32=0,0,J32*'Assumptions'!$W$54+H32*'Assumptions'!$X$54)</x:f>
        <x:v>298.8</x:v>
      </x:c>
      <x:c r="T32" s="10" t="n">
        <x:f>N32*'Assumptions'!$AA$54</x:f>
        <x:v>395.76</x:v>
      </x:c>
      <x:c r="U32" s="10" t="n">
        <x:f>'Assumptions'!$AE$54*'Assumptions'!$D$11*(1+'Assumptions'!$D$13)^(1-1)</x:f>
        <x:v>0</x:v>
      </x:c>
      <x:c r="V32" s="10" t="n">
        <x:f>'Assumptions'!$AD$54*'Assumptions'!$D$11</x:f>
        <x:v>0</x:v>
      </x:c>
      <x:c r="W32" s="10" t="n">
        <x:f>H32*('Assumptions'!$P$54+'Assumptions'!$Y$54)</x:f>
        <x:v>52.5</x:v>
      </x:c>
      <x:c r="X32" s="10" t="n">
        <x:f>N32/'Assumptions'!$J$54*'Assumptions'!$AF$54</x:f>
        <x:v>1649</x:v>
      </x:c>
      <x:c r="Y32" s="10" t="n">
        <x:f>P32/'Assumptions'!$J$54</x:f>
        <x:v>16.666666666666668</x:v>
      </x:c>
      <x:c r="Z32" s="10" t="n">
        <x:f>'Assumptions'!$AB$54</x:f>
        <x:v>6</x:v>
      </x:c>
      <x:c r="AA32" s="10" t="n">
        <x:f>Z32*'Assumptions'!$AC$54*'Assumptions'!$D$11*(1+'Assumptions'!$D$13)^(1-1)</x:f>
        <x:v>300</x:v>
      </x:c>
      <x:c r="AB32" s="10" t="n">
        <x:f>F32/1</x:f>
        <x:v>10</x:v>
      </x:c>
      <x:c r="AC32" s="10" t="n">
        <x:f>AB32/'Assumptions'!$AM$54</x:f>
        <x:v>50</x:v>
      </x:c>
      <x:c r="AD32" s="10" t="n">
        <x:f>IF(AB32=0,0,T32/AB32)</x:f>
        <x:v>39.576</x:v>
      </x:c>
      <x:c r="AE32" s="10" t="n">
        <x:f>AA32*'Assumptions'!$D$21</x:f>
        <x:v>0</x:v>
      </x:c>
    </x:row>
    <x:row r="33" ht="16" customHeight="1">
      <x:c r="A33" s="1"/>
      <x:c r="B33" s="1"/>
      <x:c r="C33" s="1" t="str">
        <x:v>DOT-026</x:v>
      </x:c>
      <x:c r="D33" s="10" t="str">
        <x:v>BPA professional services</x:v>
      </x:c>
      <x:c r="E33" s="10" t="n">
        <x:v>1</x:v>
      </x:c>
      <x:c r="F33" s="21" t="n">
        <x:f>'Assumptions'!$I$55*'Assumptions'!$J$55/12*'Assumptions'!$D$9*'Assumptions'!$D$8</x:f>
        <x:v>4</x:v>
      </x:c>
      <x:c r="G33" s="21" t="n">
        <x:f>0</x:f>
        <x:v>0</x:v>
      </x:c>
      <x:c r="H33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33+G33,NA())</x:f>
        <x:v>4</x:v>
      </x:c>
      <x:c r="I33" s="22" t="n">
        <x:f>'Assumptions'!$H$55*IF('Assumptions'!$O$55=1,1,'Assumptions'!$D$10)*(1+'Assumptions'!$N$55)^(1-1)</x:f>
        <x:v>1800</x:v>
      </x:c>
      <x:c r="J33" s="10" t="n">
        <x:f>H33*I33</x:f>
        <x:v>7200</x:v>
      </x:c>
      <x:c r="K33" s="10" t="n">
        <x:f>J33*'Assumptions'!$T$55</x:f>
        <x:v>7200</x:v>
      </x:c>
      <x:c r="L33" s="10" t="n">
        <x:f>K33*'Assumptions'!$U$55</x:f>
        <x:v>216</x:v>
      </x:c>
      <x:c r="M33" s="10" t="n">
        <x:f>K33*'Assumptions'!$V$55</x:f>
        <x:v>0</x:v>
      </x:c>
      <x:c r="N33" s="10" t="n">
        <x:f>K33-L33-M33</x:f>
        <x:v>6984</x:v>
      </x:c>
      <x:c r="O33" s="10" t="n">
        <x:f>H33*'Assumptions'!$P$55*'Assumptions'!$Q$55*'Assumptions'!$D$11*(1+'Assumptions'!$D$13)^(1-1)</x:f>
        <x:v>2400</x:v>
      </x:c>
      <x:c r="P33" s="10" t="n">
        <x:f>H33*'Assumptions'!$R$55*'Assumptions'!$D$11*(1+'Assumptions'!$D$13)^(1-1)</x:f>
        <x:v>40</x:v>
      </x:c>
      <x:c r="Q33" s="10" t="n">
        <x:f>J33*'Assumptions'!$S$55</x:f>
        <x:v>0</x:v>
      </x:c>
      <x:c r="R33" s="10" t="n">
        <x:f>H33*'Assumptions'!$Y$55*'Assumptions'!$Z$55*'Assumptions'!$D$11*(1+'Assumptions'!$D$13)^(1-1)</x:f>
        <x:v>30</x:v>
      </x:c>
      <x:c r="S33" s="10" t="n">
        <x:f>IF(I33=0,0,J33*'Assumptions'!$W$55+H33*'Assumptions'!$X$55)</x:f>
        <x:v>210</x:v>
      </x:c>
      <x:c r="T33" s="10" t="n">
        <x:f>N33*'Assumptions'!$AA$55</x:f>
        <x:v>279.36</x:v>
      </x:c>
      <x:c r="U33" s="10" t="n">
        <x:f>'Assumptions'!$AE$55*'Assumptions'!$D$11*(1+'Assumptions'!$D$13)^(1-1)</x:f>
        <x:v>0</x:v>
      </x:c>
      <x:c r="V33" s="10" t="n">
        <x:f>'Assumptions'!$AD$55*'Assumptions'!$D$11</x:f>
        <x:v>0</x:v>
      </x:c>
      <x:c r="W33" s="10" t="n">
        <x:f>H33*('Assumptions'!$P$55+'Assumptions'!$Y$55)</x:f>
        <x:v>41</x:v>
      </x:c>
      <x:c r="X33" s="10" t="n">
        <x:f>N33/'Assumptions'!$J$55*'Assumptions'!$AF$55</x:f>
        <x:v>1164</x:v>
      </x:c>
      <x:c r="Y33" s="10" t="n">
        <x:f>P33/'Assumptions'!$J$55</x:f>
        <x:v>6.666666666666667</x:v>
      </x:c>
      <x:c r="Z33" s="10" t="n">
        <x:f>'Assumptions'!$AB$55</x:f>
        <x:v>6</x:v>
      </x:c>
      <x:c r="AA33" s="10" t="n">
        <x:f>Z33*'Assumptions'!$AC$55*'Assumptions'!$D$11*(1+'Assumptions'!$D$13)^(1-1)</x:f>
        <x:v>300</x:v>
      </x:c>
      <x:c r="AB33" s="10" t="n">
        <x:f>F33/1</x:f>
        <x:v>4</x:v>
      </x:c>
      <x:c r="AC33" s="10" t="n">
        <x:f>AB33/'Assumptions'!$AM$55</x:f>
        <x:v>20</x:v>
      </x:c>
      <x:c r="AD33" s="10" t="n">
        <x:f>IF(AB33=0,0,T33/AB33)</x:f>
        <x:v>69.84</x:v>
      </x:c>
      <x:c r="AE33" s="10" t="n">
        <x:f>AA33*'Assumptions'!$D$21</x:f>
        <x:v>0</x:v>
      </x:c>
    </x:row>
    <x:row r="34" ht="16" customHeight="1">
      <x:c r="A34" s="1"/>
      <x:c r="B34" s="1"/>
      <x:c r="C34" s="1" t="str">
        <x:v>DOT-027</x:v>
      </x:c>
      <x:c r="D34" s="10" t="str">
        <x:v>BPA professional services</x:v>
      </x:c>
      <x:c r="E34" s="10" t="n">
        <x:v>1</x:v>
      </x:c>
      <x:c r="F34" s="21" t="n">
        <x:f>'Assumptions'!$I$56*'Assumptions'!$J$56/12*'Assumptions'!$D$9*'Assumptions'!$D$8</x:f>
        <x:v>4</x:v>
      </x:c>
      <x:c r="G34" s="21" t="n">
        <x:f>0</x:f>
        <x:v>0</x:v>
      </x:c>
      <x:c r="H34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34+G34,NA())</x:f>
        <x:v>4</x:v>
      </x:c>
      <x:c r="I34" s="22" t="n">
        <x:f>'Assumptions'!$H$56*IF('Assumptions'!$O$56=1,1,'Assumptions'!$D$10)*(1+'Assumptions'!$N$56)^(1-1)</x:f>
        <x:v>1800</x:v>
      </x:c>
      <x:c r="J34" s="10" t="n">
        <x:f>H34*I34</x:f>
        <x:v>7200</x:v>
      </x:c>
      <x:c r="K34" s="10" t="n">
        <x:f>J34*'Assumptions'!$T$56</x:f>
        <x:v>7200</x:v>
      </x:c>
      <x:c r="L34" s="10" t="n">
        <x:f>K34*'Assumptions'!$U$56</x:f>
        <x:v>216</x:v>
      </x:c>
      <x:c r="M34" s="10" t="n">
        <x:f>K34*'Assumptions'!$V$56</x:f>
        <x:v>0</x:v>
      </x:c>
      <x:c r="N34" s="10" t="n">
        <x:f>K34-L34-M34</x:f>
        <x:v>6984</x:v>
      </x:c>
      <x:c r="O34" s="10" t="n">
        <x:f>H34*'Assumptions'!$P$56*'Assumptions'!$Q$56*'Assumptions'!$D$11*(1+'Assumptions'!$D$13)^(1-1)</x:f>
        <x:v>2400</x:v>
      </x:c>
      <x:c r="P34" s="10" t="n">
        <x:f>H34*'Assumptions'!$R$56*'Assumptions'!$D$11*(1+'Assumptions'!$D$13)^(1-1)</x:f>
        <x:v>40</x:v>
      </x:c>
      <x:c r="Q34" s="10" t="n">
        <x:f>J34*'Assumptions'!$S$56</x:f>
        <x:v>0</x:v>
      </x:c>
      <x:c r="R34" s="10" t="n">
        <x:f>H34*'Assumptions'!$Y$56*'Assumptions'!$Z$56*'Assumptions'!$D$11*(1+'Assumptions'!$D$13)^(1-1)</x:f>
        <x:v>30</x:v>
      </x:c>
      <x:c r="S34" s="10" t="n">
        <x:f>IF(I34=0,0,J34*'Assumptions'!$W$56+H34*'Assumptions'!$X$56)</x:f>
        <x:v>210</x:v>
      </x:c>
      <x:c r="T34" s="10" t="n">
        <x:f>N34*'Assumptions'!$AA$56</x:f>
        <x:v>279.36</x:v>
      </x:c>
      <x:c r="U34" s="10" t="n">
        <x:f>'Assumptions'!$AE$56*'Assumptions'!$D$11*(1+'Assumptions'!$D$13)^(1-1)</x:f>
        <x:v>0</x:v>
      </x:c>
      <x:c r="V34" s="10" t="n">
        <x:f>'Assumptions'!$AD$56*'Assumptions'!$D$11</x:f>
        <x:v>0</x:v>
      </x:c>
      <x:c r="W34" s="10" t="n">
        <x:f>H34*('Assumptions'!$P$56+'Assumptions'!$Y$56)</x:f>
        <x:v>41</x:v>
      </x:c>
      <x:c r="X34" s="10" t="n">
        <x:f>N34/'Assumptions'!$J$56*'Assumptions'!$AF$56</x:f>
        <x:v>1164</x:v>
      </x:c>
      <x:c r="Y34" s="10" t="n">
        <x:f>P34/'Assumptions'!$J$56</x:f>
        <x:v>6.666666666666667</x:v>
      </x:c>
      <x:c r="Z34" s="10" t="n">
        <x:f>'Assumptions'!$AB$56</x:f>
        <x:v>6</x:v>
      </x:c>
      <x:c r="AA34" s="10" t="n">
        <x:f>Z34*'Assumptions'!$AC$56*'Assumptions'!$D$11*(1+'Assumptions'!$D$13)^(1-1)</x:f>
        <x:v>300</x:v>
      </x:c>
      <x:c r="AB34" s="10" t="n">
        <x:f>F34/1</x:f>
        <x:v>4</x:v>
      </x:c>
      <x:c r="AC34" s="10" t="n">
        <x:f>AB34/'Assumptions'!$AM$56</x:f>
        <x:v>20</x:v>
      </x:c>
      <x:c r="AD34" s="10" t="n">
        <x:f>IF(AB34=0,0,T34/AB34)</x:f>
        <x:v>69.84</x:v>
      </x:c>
      <x:c r="AE34" s="10" t="n">
        <x:f>AA34*'Assumptions'!$D$21</x:f>
        <x:v>0</x:v>
      </x:c>
    </x:row>
    <x:row r="35" ht="16" customHeight="1">
      <x:c r="A35" s="1"/>
      <x:c r="B35" s="1"/>
      <x:c r="C35" s="1" t="str">
        <x:v>DOT-028</x:v>
      </x:c>
      <x:c r="D35" s="10" t="str">
        <x:v>BPA professional services</x:v>
      </x:c>
      <x:c r="E35" s="10" t="n">
        <x:v>1</x:v>
      </x:c>
      <x:c r="F35" s="21" t="n">
        <x:f>'Assumptions'!$I$57*'Assumptions'!$J$57/12*'Assumptions'!$D$9*'Assumptions'!$D$8</x:f>
        <x:v>2</x:v>
      </x:c>
      <x:c r="G35" s="21" t="n">
        <x:f>0</x:f>
        <x:v>0</x:v>
      </x:c>
      <x:c r="H35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35+G35,NA())</x:f>
        <x:v>2</x:v>
      </x:c>
      <x:c r="I35" s="22" t="n">
        <x:f>'Assumptions'!$H$57*IF('Assumptions'!$O$57=1,1,'Assumptions'!$D$10)*(1+'Assumptions'!$N$57)^(1-1)</x:f>
        <x:v>1800</x:v>
      </x:c>
      <x:c r="J35" s="10" t="n">
        <x:f>H35*I35</x:f>
        <x:v>3600</x:v>
      </x:c>
      <x:c r="K35" s="10" t="n">
        <x:f>J35*'Assumptions'!$T$57</x:f>
        <x:v>3600</x:v>
      </x:c>
      <x:c r="L35" s="10" t="n">
        <x:f>K35*'Assumptions'!$U$57</x:f>
        <x:v>108</x:v>
      </x:c>
      <x:c r="M35" s="10" t="n">
        <x:f>K35*'Assumptions'!$V$57</x:f>
        <x:v>0</x:v>
      </x:c>
      <x:c r="N35" s="10" t="n">
        <x:f>K35-L35-M35</x:f>
        <x:v>3492</x:v>
      </x:c>
      <x:c r="O35" s="10" t="n">
        <x:f>H35*'Assumptions'!$P$57*'Assumptions'!$Q$57*'Assumptions'!$D$11*(1+'Assumptions'!$D$13)^(1-1)</x:f>
        <x:v>1440</x:v>
      </x:c>
      <x:c r="P35" s="10" t="n">
        <x:f>H35*'Assumptions'!$R$57*'Assumptions'!$D$11*(1+'Assumptions'!$D$13)^(1-1)</x:f>
        <x:v>20</x:v>
      </x:c>
      <x:c r="Q35" s="10" t="n">
        <x:f>J35*'Assumptions'!$S$57</x:f>
        <x:v>0</x:v>
      </x:c>
      <x:c r="R35" s="10" t="n">
        <x:f>H35*'Assumptions'!$Y$57*'Assumptions'!$Z$57*'Assumptions'!$D$11*(1+'Assumptions'!$D$13)^(1-1)</x:f>
        <x:v>15</x:v>
      </x:c>
      <x:c r="S35" s="10" t="n">
        <x:f>IF(I35=0,0,J35*'Assumptions'!$W$57+H35*'Assumptions'!$X$57)</x:f>
        <x:v>105</x:v>
      </x:c>
      <x:c r="T35" s="10" t="n">
        <x:f>N35*'Assumptions'!$AA$57</x:f>
        <x:v>139.68</x:v>
      </x:c>
      <x:c r="U35" s="10" t="n">
        <x:f>'Assumptions'!$AE$57*'Assumptions'!$D$11*(1+'Assumptions'!$D$13)^(1-1)</x:f>
        <x:v>0</x:v>
      </x:c>
      <x:c r="V35" s="10" t="n">
        <x:f>'Assumptions'!$AD$57*'Assumptions'!$D$11</x:f>
        <x:v>0</x:v>
      </x:c>
      <x:c r="W35" s="10" t="n">
        <x:f>H35*('Assumptions'!$P$57+'Assumptions'!$Y$57)</x:f>
        <x:v>24.5</x:v>
      </x:c>
      <x:c r="X35" s="10" t="n">
        <x:f>N35/'Assumptions'!$J$57*'Assumptions'!$AF$57</x:f>
        <x:v>582</x:v>
      </x:c>
      <x:c r="Y35" s="10" t="n">
        <x:f>P35/'Assumptions'!$J$57</x:f>
        <x:v>3.3333333333333335</x:v>
      </x:c>
      <x:c r="Z35" s="10" t="n">
        <x:f>'Assumptions'!$AB$57</x:f>
        <x:v>6</x:v>
      </x:c>
      <x:c r="AA35" s="10" t="n">
        <x:f>Z35*'Assumptions'!$AC$57*'Assumptions'!$D$11*(1+'Assumptions'!$D$13)^(1-1)</x:f>
        <x:v>300</x:v>
      </x:c>
      <x:c r="AB35" s="10" t="n">
        <x:f>F35/1</x:f>
        <x:v>2</x:v>
      </x:c>
      <x:c r="AC35" s="10" t="n">
        <x:f>AB35/'Assumptions'!$AM$57</x:f>
        <x:v>10</x:v>
      </x:c>
      <x:c r="AD35" s="10" t="n">
        <x:f>IF(AB35=0,0,T35/AB35)</x:f>
        <x:v>69.84</x:v>
      </x:c>
      <x:c r="AE35" s="10" t="n">
        <x:f>AA35*'Assumptions'!$D$21</x:f>
        <x:v>0</x:v>
      </x:c>
    </x:row>
    <x:row r="36" ht="16" customHeight="1">
      <x:c r="A36" s="1"/>
      <x:c r="B36" s="1"/>
      <x:c r="C36" s="1" t="str">
        <x:v>DOT-029</x:v>
      </x:c>
      <x:c r="D36" s="10" t="str">
        <x:v>BPA professional services</x:v>
      </x:c>
      <x:c r="E36" s="10" t="n">
        <x:v>1</x:v>
      </x:c>
      <x:c r="F36" s="21" t="n">
        <x:f>'Assumptions'!$I$58*'Assumptions'!$J$58/12*'Assumptions'!$D$9*'Assumptions'!$D$8</x:f>
        <x:v>20</x:v>
      </x:c>
      <x:c r="G36" s="21" t="n">
        <x:f>0</x:f>
        <x:v>0</x:v>
      </x:c>
      <x:c r="H36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36+G36,NA())</x:f>
        <x:v>20</x:v>
      </x:c>
      <x:c r="I36" s="22" t="n">
        <x:f>'Assumptions'!$H$58*IF('Assumptions'!$O$58=1,1,'Assumptions'!$D$10)*(1+'Assumptions'!$N$58)^(1-1)</x:f>
        <x:v>180</x:v>
      </x:c>
      <x:c r="J36" s="10" t="n">
        <x:f>H36*I36</x:f>
        <x:v>3600</x:v>
      </x:c>
      <x:c r="K36" s="10" t="n">
        <x:f>J36*'Assumptions'!$T$58</x:f>
        <x:v>3600</x:v>
      </x:c>
      <x:c r="L36" s="10" t="n">
        <x:f>K36*'Assumptions'!$U$58</x:f>
        <x:v>108</x:v>
      </x:c>
      <x:c r="M36" s="10" t="n">
        <x:f>K36*'Assumptions'!$V$58</x:f>
        <x:v>0</x:v>
      </x:c>
      <x:c r="N36" s="10" t="n">
        <x:f>K36-L36-M36</x:f>
        <x:v>3492</x:v>
      </x:c>
      <x:c r="O36" s="10" t="n">
        <x:f>H36*'Assumptions'!$P$58*'Assumptions'!$Q$58*'Assumptions'!$D$11*(1+'Assumptions'!$D$13)^(1-1)</x:f>
        <x:v>1200</x:v>
      </x:c>
      <x:c r="P36" s="10" t="n">
        <x:f>H36*'Assumptions'!$R$58*'Assumptions'!$D$11*(1+'Assumptions'!$D$13)^(1-1)</x:f>
        <x:v>200</x:v>
      </x:c>
      <x:c r="Q36" s="10" t="n">
        <x:f>J36*'Assumptions'!$S$58</x:f>
        <x:v>0</x:v>
      </x:c>
      <x:c r="R36" s="10" t="n">
        <x:f>H36*'Assumptions'!$Y$58*'Assumptions'!$Z$58*'Assumptions'!$D$11*(1+'Assumptions'!$D$13)^(1-1)</x:f>
        <x:v>150</x:v>
      </x:c>
      <x:c r="S36" s="10" t="n">
        <x:f>IF(I36=0,0,J36*'Assumptions'!$W$58+H36*'Assumptions'!$X$58)</x:f>
        <x:v>110.4</x:v>
      </x:c>
      <x:c r="T36" s="10" t="n">
        <x:f>N36*'Assumptions'!$AA$58</x:f>
        <x:v>139.68</x:v>
      </x:c>
      <x:c r="U36" s="10" t="n">
        <x:f>'Assumptions'!$AE$58*'Assumptions'!$D$11*(1+'Assumptions'!$D$13)^(1-1)</x:f>
        <x:v>0</x:v>
      </x:c>
      <x:c r="V36" s="10" t="n">
        <x:f>'Assumptions'!$AD$58*'Assumptions'!$D$11</x:f>
        <x:v>0</x:v>
      </x:c>
      <x:c r="W36" s="10" t="n">
        <x:f>H36*('Assumptions'!$P$58+'Assumptions'!$Y$58)</x:f>
        <x:v>25</x:v>
      </x:c>
      <x:c r="X36" s="10" t="n">
        <x:f>N36/'Assumptions'!$J$58*'Assumptions'!$AF$58</x:f>
        <x:v>582</x:v>
      </x:c>
      <x:c r="Y36" s="10" t="n">
        <x:f>P36/'Assumptions'!$J$58</x:f>
        <x:v>33.333333333333336</x:v>
      </x:c>
      <x:c r="Z36" s="10" t="n">
        <x:f>'Assumptions'!$AB$58</x:f>
        <x:v>6</x:v>
      </x:c>
      <x:c r="AA36" s="10" t="n">
        <x:f>Z36*'Assumptions'!$AC$58*'Assumptions'!$D$11*(1+'Assumptions'!$D$13)^(1-1)</x:f>
        <x:v>300</x:v>
      </x:c>
      <x:c r="AB36" s="10" t="n">
        <x:f>F36/1</x:f>
        <x:v>20</x:v>
      </x:c>
      <x:c r="AC36" s="10" t="n">
        <x:f>AB36/'Assumptions'!$AM$58</x:f>
        <x:v>100</x:v>
      </x:c>
      <x:c r="AD36" s="10" t="n">
        <x:f>IF(AB36=0,0,T36/AB36)</x:f>
        <x:v>6.984</x:v>
      </x:c>
      <x:c r="AE36" s="10" t="n">
        <x:f>AA36*'Assumptions'!$D$21</x:f>
        <x:v>0</x:v>
      </x:c>
    </x:row>
    <x:row r="37" ht="16" customHeight="1">
      <x:c r="A37" s="1"/>
      <x:c r="B37" s="1"/>
      <x:c r="C37" s="1" t="str">
        <x:v>DOT-030</x:v>
      </x:c>
      <x:c r="D37" s="10" t="str">
        <x:v>BPA professional services</x:v>
      </x:c>
      <x:c r="E37" s="10" t="n">
        <x:v>1</x:v>
      </x:c>
      <x:c r="F37" s="21" t="n">
        <x:f>'Assumptions'!$I$59*'Assumptions'!$J$59/12*'Assumptions'!$D$9*'Assumptions'!$D$8</x:f>
        <x:v>4</x:v>
      </x:c>
      <x:c r="G37" s="21" t="n">
        <x:f>0</x:f>
        <x:v>0</x:v>
      </x:c>
      <x:c r="H37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37+G37,NA())</x:f>
        <x:v>4</x:v>
      </x:c>
      <x:c r="I37" s="22" t="n">
        <x:f>'Assumptions'!$H$59*IF('Assumptions'!$O$59=1,1,'Assumptions'!$D$10)*(1+'Assumptions'!$N$59)^(1-1)</x:f>
        <x:v>500</x:v>
      </x:c>
      <x:c r="J37" s="10" t="n">
        <x:f>H37*I37</x:f>
        <x:v>2000</x:v>
      </x:c>
      <x:c r="K37" s="10" t="n">
        <x:f>J37*'Assumptions'!$T$59</x:f>
        <x:v>2000</x:v>
      </x:c>
      <x:c r="L37" s="10" t="n">
        <x:f>K37*'Assumptions'!$U$59</x:f>
        <x:v>60</x:v>
      </x:c>
      <x:c r="M37" s="10" t="n">
        <x:f>K37*'Assumptions'!$V$59</x:f>
        <x:v>0</x:v>
      </x:c>
      <x:c r="N37" s="10" t="n">
        <x:f>K37-L37-M37</x:f>
        <x:v>1940</x:v>
      </x:c>
      <x:c r="O37" s="10" t="n">
        <x:f>H37*'Assumptions'!$P$59*'Assumptions'!$Q$59*'Assumptions'!$D$11*(1+'Assumptions'!$D$13)^(1-1)</x:f>
        <x:v>720</x:v>
      </x:c>
      <x:c r="P37" s="10" t="n">
        <x:f>H37*'Assumptions'!$R$59*'Assumptions'!$D$11*(1+'Assumptions'!$D$13)^(1-1)</x:f>
        <x:v>40</x:v>
      </x:c>
      <x:c r="Q37" s="10" t="n">
        <x:f>J37*'Assumptions'!$S$59</x:f>
        <x:v>0</x:v>
      </x:c>
      <x:c r="R37" s="10" t="n">
        <x:f>H37*'Assumptions'!$Y$59*'Assumptions'!$Z$59*'Assumptions'!$D$11*(1+'Assumptions'!$D$13)^(1-1)</x:f>
        <x:v>30</x:v>
      </x:c>
      <x:c r="S37" s="10" t="n">
        <x:f>IF(I37=0,0,J37*'Assumptions'!$W$59+H37*'Assumptions'!$X$59)</x:f>
        <x:v>59.2</x:v>
      </x:c>
      <x:c r="T37" s="10" t="n">
        <x:f>N37*'Assumptions'!$AA$59</x:f>
        <x:v>77.60000000000001</x:v>
      </x:c>
      <x:c r="U37" s="10" t="n">
        <x:f>'Assumptions'!$AE$59*'Assumptions'!$D$11*(1+'Assumptions'!$D$13)^(1-1)</x:f>
        <x:v>0</x:v>
      </x:c>
      <x:c r="V37" s="10" t="n">
        <x:f>'Assumptions'!$AD$59*'Assumptions'!$D$11</x:f>
        <x:v>0</x:v>
      </x:c>
      <x:c r="W37" s="10" t="n">
        <x:f>H37*('Assumptions'!$P$59+'Assumptions'!$Y$59)</x:f>
        <x:v>13</x:v>
      </x:c>
      <x:c r="X37" s="10" t="n">
        <x:f>N37/'Assumptions'!$J$59*'Assumptions'!$AF$59</x:f>
        <x:v>323.3333333333333</x:v>
      </x:c>
      <x:c r="Y37" s="10" t="n">
        <x:f>P37/'Assumptions'!$J$59</x:f>
        <x:v>6.666666666666667</x:v>
      </x:c>
      <x:c r="Z37" s="10" t="n">
        <x:f>'Assumptions'!$AB$59</x:f>
        <x:v>6</x:v>
      </x:c>
      <x:c r="AA37" s="10" t="n">
        <x:f>Z37*'Assumptions'!$AC$59*'Assumptions'!$D$11*(1+'Assumptions'!$D$13)^(1-1)</x:f>
        <x:v>300</x:v>
      </x:c>
      <x:c r="AB37" s="10" t="n">
        <x:f>F37/1</x:f>
        <x:v>4</x:v>
      </x:c>
      <x:c r="AC37" s="10" t="n">
        <x:f>AB37/'Assumptions'!$AM$59</x:f>
        <x:v>20</x:v>
      </x:c>
      <x:c r="AD37" s="10" t="n">
        <x:f>IF(AB37=0,0,T37/AB37)</x:f>
        <x:v>19.400000000000002</x:v>
      </x:c>
      <x:c r="AE37" s="10" t="n">
        <x:f>AA37*'Assumptions'!$D$21</x:f>
        <x:v>0</x:v>
      </x:c>
    </x:row>
    <x:row r="38" ht="16" customHeight="1">
      <x:c r="A38" s="1"/>
      <x:c r="B38" s="1"/>
      <x:c r="C38" s="1" t="str">
        <x:v>DOT-031</x:v>
      </x:c>
      <x:c r="D38" s="10" t="str">
        <x:v>BPA professional services</x:v>
      </x:c>
      <x:c r="E38" s="10" t="n">
        <x:v>1</x:v>
      </x:c>
      <x:c r="F38" s="21" t="n">
        <x:f>'Assumptions'!$I$60*'Assumptions'!$J$60/12*'Assumptions'!$D$9*'Assumptions'!$D$8</x:f>
        <x:v>3</x:v>
      </x:c>
      <x:c r="G38" s="21" t="n">
        <x:f>0</x:f>
        <x:v>0</x:v>
      </x:c>
      <x:c r="H38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38+G38,NA())</x:f>
        <x:v>3</x:v>
      </x:c>
      <x:c r="I38" s="22" t="n">
        <x:f>'Assumptions'!$H$60*IF('Assumptions'!$O$60=1,1,'Assumptions'!$D$10)*(1+'Assumptions'!$N$60)^(1-1)</x:f>
        <x:v>5000</x:v>
      </x:c>
      <x:c r="J38" s="10" t="n">
        <x:f>H38*I38</x:f>
        <x:v>15000</x:v>
      </x:c>
      <x:c r="K38" s="10" t="n">
        <x:f>J38*'Assumptions'!$T$60</x:f>
        <x:v>15000</x:v>
      </x:c>
      <x:c r="L38" s="10" t="n">
        <x:f>K38*'Assumptions'!$U$60</x:f>
        <x:v>450</x:v>
      </x:c>
      <x:c r="M38" s="10" t="n">
        <x:f>K38*'Assumptions'!$V$60</x:f>
        <x:v>0</x:v>
      </x:c>
      <x:c r="N38" s="10" t="n">
        <x:f>K38-L38-M38</x:f>
        <x:v>14550</x:v>
      </x:c>
      <x:c r="O38" s="10" t="n">
        <x:f>H38*'Assumptions'!$P$60*'Assumptions'!$Q$60*'Assumptions'!$D$11*(1+'Assumptions'!$D$13)^(1-1)</x:f>
        <x:v>7200</x:v>
      </x:c>
      <x:c r="P38" s="10" t="n">
        <x:f>H38*'Assumptions'!$R$60*'Assumptions'!$D$11*(1+'Assumptions'!$D$13)^(1-1)</x:f>
        <x:v>30</x:v>
      </x:c>
      <x:c r="Q38" s="10" t="n">
        <x:f>J38*'Assumptions'!$S$60</x:f>
        <x:v>0</x:v>
      </x:c>
      <x:c r="R38" s="10" t="n">
        <x:f>H38*'Assumptions'!$Y$60*'Assumptions'!$Z$60*'Assumptions'!$D$11*(1+'Assumptions'!$D$13)^(1-1)</x:f>
        <x:v>22.5</x:v>
      </x:c>
      <x:c r="S38" s="10" t="n">
        <x:f>IF(I38=0,0,J38*'Assumptions'!$W$60+H38*'Assumptions'!$X$60)</x:f>
        <x:v>435.9</x:v>
      </x:c>
      <x:c r="T38" s="10" t="n">
        <x:f>N38*'Assumptions'!$AA$60</x:f>
        <x:v>582</x:v>
      </x:c>
      <x:c r="U38" s="10" t="n">
        <x:f>'Assumptions'!$AE$60*'Assumptions'!$D$11*(1+'Assumptions'!$D$13)^(1-1)</x:f>
        <x:v>0</x:v>
      </x:c>
      <x:c r="V38" s="10" t="n">
        <x:f>'Assumptions'!$AD$60*'Assumptions'!$D$11</x:f>
        <x:v>0</x:v>
      </x:c>
      <x:c r="W38" s="10" t="n">
        <x:f>H38*('Assumptions'!$P$60+'Assumptions'!$Y$60)</x:f>
        <x:v>120.75</x:v>
      </x:c>
      <x:c r="X38" s="10" t="n">
        <x:f>N38/'Assumptions'!$J$60*'Assumptions'!$AF$60</x:f>
        <x:v>1616.6666666666667</x:v>
      </x:c>
      <x:c r="Y38" s="10" t="n">
        <x:f>P38/'Assumptions'!$J$60</x:f>
        <x:v>3.3333333333333335</x:v>
      </x:c>
      <x:c r="Z38" s="10" t="n">
        <x:f>'Assumptions'!$AB$60</x:f>
        <x:v>6</x:v>
      </x:c>
      <x:c r="AA38" s="10" t="n">
        <x:f>Z38*'Assumptions'!$AC$60*'Assumptions'!$D$11*(1+'Assumptions'!$D$13)^(1-1)</x:f>
        <x:v>300</x:v>
      </x:c>
      <x:c r="AB38" s="10" t="n">
        <x:f>F38/1</x:f>
        <x:v>3</x:v>
      </x:c>
      <x:c r="AC38" s="10" t="n">
        <x:f>AB38/'Assumptions'!$AM$60</x:f>
        <x:v>15</x:v>
      </x:c>
      <x:c r="AD38" s="10" t="n">
        <x:f>IF(AB38=0,0,T38/AB38)</x:f>
        <x:v>194</x:v>
      </x:c>
      <x:c r="AE38" s="10" t="n">
        <x:f>AA38*'Assumptions'!$D$21</x:f>
        <x:v>0</x:v>
      </x:c>
    </x:row>
    <x:row r="39" ht="16" customHeight="1">
      <x:c r="A39" s="1"/>
      <x:c r="B39" s="1"/>
      <x:c r="C39" s="1" t="str">
        <x:v>DOT-032</x:v>
      </x:c>
      <x:c r="D39" s="10" t="str">
        <x:v>BPA professional services</x:v>
      </x:c>
      <x:c r="E39" s="10" t="n">
        <x:v>1</x:v>
      </x:c>
      <x:c r="F39" s="21" t="n">
        <x:f>'Assumptions'!$I$61*'Assumptions'!$J$61/12*'Assumptions'!$D$9*'Assumptions'!$D$8</x:f>
        <x:v>1.5</x:v>
      </x:c>
      <x:c r="G39" s="21" t="n">
        <x:f>0</x:f>
        <x:v>0</x:v>
      </x:c>
      <x:c r="H39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39+G39,NA())</x:f>
        <x:v>1.5</x:v>
      </x:c>
      <x:c r="I39" s="22" t="n">
        <x:f>'Assumptions'!$H$61*IF('Assumptions'!$O$61=1,1,'Assumptions'!$D$10)*(1+'Assumptions'!$N$61)^(1-1)</x:f>
        <x:v>7500</x:v>
      </x:c>
      <x:c r="J39" s="10" t="n">
        <x:f>H39*I39</x:f>
        <x:v>11250</x:v>
      </x:c>
      <x:c r="K39" s="10" t="n">
        <x:f>J39*'Assumptions'!$T$61</x:f>
        <x:v>11250</x:v>
      </x:c>
      <x:c r="L39" s="10" t="n">
        <x:f>K39*'Assumptions'!$U$61</x:f>
        <x:v>337.5</x:v>
      </x:c>
      <x:c r="M39" s="10" t="n">
        <x:f>K39*'Assumptions'!$V$61</x:f>
        <x:v>0</x:v>
      </x:c>
      <x:c r="N39" s="10" t="n">
        <x:f>K39-L39-M39</x:f>
        <x:v>10912.5</x:v>
      </x:c>
      <x:c r="O39" s="10" t="n">
        <x:f>H39*'Assumptions'!$P$61*'Assumptions'!$Q$61*'Assumptions'!$D$11*(1+'Assumptions'!$D$13)^(1-1)</x:f>
        <x:v>5400</x:v>
      </x:c>
      <x:c r="P39" s="10" t="n">
        <x:f>H39*'Assumptions'!$R$61*'Assumptions'!$D$11*(1+'Assumptions'!$D$13)^(1-1)</x:f>
        <x:v>15</x:v>
      </x:c>
      <x:c r="Q39" s="10" t="n">
        <x:f>J39*'Assumptions'!$S$61</x:f>
        <x:v>0</x:v>
      </x:c>
      <x:c r="R39" s="10" t="n">
        <x:f>H39*'Assumptions'!$Y$61*'Assumptions'!$Z$61*'Assumptions'!$D$11*(1+'Assumptions'!$D$13)^(1-1)</x:f>
        <x:v>11.25</x:v>
      </x:c>
      <x:c r="S39" s="10" t="n">
        <x:f>IF(I39=0,0,J39*'Assumptions'!$W$61+H39*'Assumptions'!$X$61)</x:f>
        <x:v>326.7</x:v>
      </x:c>
      <x:c r="T39" s="10" t="n">
        <x:f>N39*'Assumptions'!$AA$61</x:f>
        <x:v>436.5</x:v>
      </x:c>
      <x:c r="U39" s="10" t="n">
        <x:f>'Assumptions'!$AE$61*'Assumptions'!$D$11*(1+'Assumptions'!$D$13)^(1-1)</x:f>
        <x:v>0</x:v>
      </x:c>
      <x:c r="V39" s="10" t="n">
        <x:f>'Assumptions'!$AD$61*'Assumptions'!$D$11</x:f>
        <x:v>0</x:v>
      </x:c>
      <x:c r="W39" s="10" t="n">
        <x:f>H39*('Assumptions'!$P$61+'Assumptions'!$Y$61)</x:f>
        <x:v>90.375</x:v>
      </x:c>
      <x:c r="X39" s="10" t="n">
        <x:f>N39/'Assumptions'!$J$61*'Assumptions'!$AF$61</x:f>
        <x:v>1212.5</x:v>
      </x:c>
      <x:c r="Y39" s="10" t="n">
        <x:f>P39/'Assumptions'!$J$61</x:f>
        <x:v>1.6666666666666667</x:v>
      </x:c>
      <x:c r="Z39" s="10" t="n">
        <x:f>'Assumptions'!$AB$61</x:f>
        <x:v>6</x:v>
      </x:c>
      <x:c r="AA39" s="10" t="n">
        <x:f>Z39*'Assumptions'!$AC$61*'Assumptions'!$D$11*(1+'Assumptions'!$D$13)^(1-1)</x:f>
        <x:v>300</x:v>
      </x:c>
      <x:c r="AB39" s="10" t="n">
        <x:f>F39/1</x:f>
        <x:v>1.5</x:v>
      </x:c>
      <x:c r="AC39" s="10" t="n">
        <x:f>AB39/'Assumptions'!$AM$61</x:f>
        <x:v>7.5</x:v>
      </x:c>
      <x:c r="AD39" s="10" t="n">
        <x:f>IF(AB39=0,0,T39/AB39)</x:f>
        <x:v>291</x:v>
      </x:c>
      <x:c r="AE39" s="10" t="n">
        <x:f>AA39*'Assumptions'!$D$21</x:f>
        <x:v>0</x:v>
      </x:c>
    </x:row>
    <x:row r="40" ht="16" customHeight="1">
      <x:c r="A40" s="1"/>
      <x:c r="B40" s="1"/>
      <x:c r="C40" s="1" t="str">
        <x:v>DOT-033</x:v>
      </x:c>
      <x:c r="D40" s="10" t="str">
        <x:v>CornerFlow</x:v>
      </x:c>
      <x:c r="E40" s="10" t="n">
        <x:v>1</x:v>
      </x:c>
      <x:c r="F40" s="21" t="n">
        <x:f>'Assumptions'!$I$62*'Assumptions'!$J$62/12*'Assumptions'!$D$9*'Assumptions'!$D$8</x:f>
        <x:v>60</x:v>
      </x:c>
      <x:c r="G40" s="21" t="n">
        <x:f>0</x:f>
        <x:v>0</x:v>
      </x:c>
      <x:c r="H40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40+G40,NA())</x:f>
        <x:v>60</x:v>
      </x:c>
      <x:c r="I40" s="22" t="n">
        <x:f>'Assumptions'!$H$62*IF('Assumptions'!$O$62=1,1,'Assumptions'!$D$10)*(1+'Assumptions'!$N$62)^(1-1)</x:f>
        <x:v>49</x:v>
      </x:c>
      <x:c r="J40" s="10" t="n">
        <x:f>H40*I40</x:f>
        <x:v>2940</x:v>
      </x:c>
      <x:c r="K40" s="10" t="n">
        <x:f>J40*'Assumptions'!$T$62</x:f>
        <x:v>2940</x:v>
      </x:c>
      <x:c r="L40" s="10" t="n">
        <x:f>K40*'Assumptions'!$U$62</x:f>
        <x:v>88.2</x:v>
      </x:c>
      <x:c r="M40" s="10" t="n">
        <x:f>K40*'Assumptions'!$V$62</x:f>
        <x:v>0</x:v>
      </x:c>
      <x:c r="N40" s="10" t="n">
        <x:f>K40-L40-M40</x:f>
        <x:v>2851.8</x:v>
      </x:c>
      <x:c r="O40" s="10" t="n">
        <x:f>H40*'Assumptions'!$P$62*'Assumptions'!$Q$62*'Assumptions'!$D$11*(1+'Assumptions'!$D$13)^(1-1)</x:f>
        <x:v>315</x:v>
      </x:c>
      <x:c r="P40" s="10" t="n">
        <x:f>H40*'Assumptions'!$R$62*'Assumptions'!$D$11*(1+'Assumptions'!$D$13)^(1-1)</x:f>
        <x:v>0</x:v>
      </x:c>
      <x:c r="Q40" s="10" t="n">
        <x:f>J40*'Assumptions'!$S$62</x:f>
        <x:v>0</x:v>
      </x:c>
      <x:c r="R40" s="10" t="n">
        <x:f>H40*'Assumptions'!$Y$62*'Assumptions'!$Z$62*'Assumptions'!$D$11*(1+'Assumptions'!$D$13)^(1-1)</x:f>
        <x:v>270</x:v>
      </x:c>
      <x:c r="S40" s="10" t="n">
        <x:f>IF(I40=0,0,J40*'Assumptions'!$W$62+H40*'Assumptions'!$X$62)</x:f>
        <x:v>103.26</x:v>
      </x:c>
      <x:c r="T40" s="10" t="n">
        <x:f>N40*'Assumptions'!$AA$62</x:f>
        <x:v>142.59</x:v>
      </x:c>
      <x:c r="U40" s="10" t="n">
        <x:f>'Assumptions'!$AE$62*'Assumptions'!$D$11*(1+'Assumptions'!$D$13)^(1-1)</x:f>
        <x:v>120</x:v>
      </x:c>
      <x:c r="V40" s="10" t="n">
        <x:f>'Assumptions'!$AD$62*'Assumptions'!$D$11</x:f>
        <x:v>0</x:v>
      </x:c>
      <x:c r="W40" s="10" t="n">
        <x:f>H40*('Assumptions'!$P$62+'Assumptions'!$Y$62)</x:f>
        <x:v>18</x:v>
      </x:c>
      <x:c r="X40" s="10" t="n">
        <x:f>N40/'Assumptions'!$J$62*'Assumptions'!$AF$62</x:f>
        <x:v>0</x:v>
      </x:c>
      <x:c r="Y40" s="10" t="n">
        <x:f>P40/'Assumptions'!$J$62</x:f>
        <x:v>0</x:v>
      </x:c>
      <x:c r="Z40" s="10" t="n">
        <x:f>'Assumptions'!$AB$62</x:f>
        <x:v>24</x:v>
      </x:c>
      <x:c r="AA40" s="10" t="n">
        <x:f>Z40*'Assumptions'!$AC$62*'Assumptions'!$D$11*(1+'Assumptions'!$D$13)^(1-1)</x:f>
        <x:v>1200</x:v>
      </x:c>
      <x:c r="AB40" s="10" t="n">
        <x:f>F40/'Assumptions'!$J$62</x:f>
        <x:v>10</x:v>
      </x:c>
      <x:c r="AC40" s="10" t="n">
        <x:f>AB40/'Assumptions'!$AM$62</x:f>
        <x:v>200</x:v>
      </x:c>
      <x:c r="AD40" s="10" t="n">
        <x:f>IF(AB40=0,0,T40/AB40)</x:f>
        <x:v>14.259</x:v>
      </x:c>
      <x:c r="AE40" s="10" t="n">
        <x:f>AA40*'Assumptions'!$D$21</x:f>
        <x:v>0</x:v>
      </x:c>
    </x:row>
    <x:row r="41" ht="16" customHeight="1">
      <x:c r="A41" s="1"/>
      <x:c r="B41" s="1"/>
      <x:c r="C41" s="1" t="str">
        <x:v>DOT-034</x:v>
      </x:c>
      <x:c r="D41" s="10" t="str">
        <x:v>CornerFlow</x:v>
      </x:c>
      <x:c r="E41" s="10" t="n">
        <x:v>1</x:v>
      </x:c>
      <x:c r="F41" s="21" t="n">
        <x:f>'Assumptions'!$I$63*'Assumptions'!$J$63/12*'Assumptions'!$D$9*'Assumptions'!$D$8</x:f>
        <x:v>10</x:v>
      </x:c>
      <x:c r="G41" s="21" t="n">
        <x:f>0</x:f>
        <x:v>0</x:v>
      </x:c>
      <x:c r="H41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41+G41,NA())</x:f>
        <x:v>10</x:v>
      </x:c>
      <x:c r="I41" s="22" t="n">
        <x:f>'Assumptions'!$H$63*IF('Assumptions'!$O$63=1,1,'Assumptions'!$D$10)*(1+'Assumptions'!$N$63)^(1-1)</x:f>
        <x:v>199</x:v>
      </x:c>
      <x:c r="J41" s="10" t="n">
        <x:f>H41*I41</x:f>
        <x:v>1990</x:v>
      </x:c>
      <x:c r="K41" s="10" t="n">
        <x:f>J41*'Assumptions'!$T$63</x:f>
        <x:v>1990</x:v>
      </x:c>
      <x:c r="L41" s="10" t="n">
        <x:f>K41*'Assumptions'!$U$63</x:f>
        <x:v>59.699999999999996</x:v>
      </x:c>
      <x:c r="M41" s="10" t="n">
        <x:f>K41*'Assumptions'!$V$63</x:f>
        <x:v>0</x:v>
      </x:c>
      <x:c r="N41" s="10" t="n">
        <x:f>K41-L41-M41</x:f>
        <x:v>1930.3</x:v>
      </x:c>
      <x:c r="O41" s="10" t="n">
        <x:f>H41*'Assumptions'!$P$63*'Assumptions'!$Q$63*'Assumptions'!$D$11*(1+'Assumptions'!$D$13)^(1-1)</x:f>
        <x:v>800</x:v>
      </x:c>
      <x:c r="P41" s="10" t="n">
        <x:f>H41*'Assumptions'!$R$63*'Assumptions'!$D$11*(1+'Assumptions'!$D$13)^(1-1)</x:f>
        <x:v>0</x:v>
      </x:c>
      <x:c r="Q41" s="10" t="n">
        <x:f>J41*'Assumptions'!$S$63</x:f>
        <x:v>0</x:v>
      </x:c>
      <x:c r="R41" s="10" t="n">
        <x:f>H41*'Assumptions'!$Y$63*'Assumptions'!$Z$63*'Assumptions'!$D$11*(1+'Assumptions'!$D$13)^(1-1)</x:f>
        <x:v>75</x:v>
      </x:c>
      <x:c r="S41" s="10" t="n">
        <x:f>IF(I41=0,0,J41*'Assumptions'!$W$63+H41*'Assumptions'!$X$63)</x:f>
        <x:v>60.71</x:v>
      </x:c>
      <x:c r="T41" s="10" t="n">
        <x:f>N41*'Assumptions'!$AA$63</x:f>
        <x:v>77.212</x:v>
      </x:c>
      <x:c r="U41" s="10" t="n">
        <x:f>'Assumptions'!$AE$63*'Assumptions'!$D$11*(1+'Assumptions'!$D$13)^(1-1)</x:f>
        <x:v>0</x:v>
      </x:c>
      <x:c r="V41" s="10" t="n">
        <x:f>'Assumptions'!$AD$63*'Assumptions'!$D$11</x:f>
        <x:v>0</x:v>
      </x:c>
      <x:c r="W41" s="10" t="n">
        <x:f>H41*('Assumptions'!$P$63+'Assumptions'!$Y$63)</x:f>
        <x:v>22.5</x:v>
      </x:c>
      <x:c r="X41" s="10" t="n">
        <x:f>N41/'Assumptions'!$J$63*'Assumptions'!$AF$63</x:f>
        <x:v>321.71666666666664</x:v>
      </x:c>
      <x:c r="Y41" s="10" t="n">
        <x:f>P41/'Assumptions'!$J$63</x:f>
        <x:v>0</x:v>
      </x:c>
      <x:c r="Z41" s="10" t="n">
        <x:f>'Assumptions'!$AB$63</x:f>
        <x:v>4</x:v>
      </x:c>
      <x:c r="AA41" s="10" t="n">
        <x:f>Z41*'Assumptions'!$AC$63*'Assumptions'!$D$11*(1+'Assumptions'!$D$13)^(1-1)</x:f>
        <x:v>200</x:v>
      </x:c>
      <x:c r="AB41" s="10" t="n">
        <x:f>F41/1</x:f>
        <x:v>10</x:v>
      </x:c>
      <x:c r="AC41" s="10" t="n">
        <x:f>AB41/'Assumptions'!$AM$63</x:f>
        <x:v>50</x:v>
      </x:c>
      <x:c r="AD41" s="10" t="n">
        <x:f>IF(AB41=0,0,T41/AB41)</x:f>
        <x:v>7.7212000000000005</x:v>
      </x:c>
      <x:c r="AE41" s="10" t="n">
        <x:f>AA41*'Assumptions'!$D$21</x:f>
        <x:v>0</x:v>
      </x:c>
    </x:row>
    <x:row r="42" ht="16" customHeight="1">
      <x:c r="A42" s="1"/>
      <x:c r="B42" s="1"/>
      <x:c r="C42" s="1" t="str">
        <x:v>DOT-035</x:v>
      </x:c>
      <x:c r="D42" s="10" t="str">
        <x:v>Spindle</x:v>
      </x:c>
      <x:c r="E42" s="10" t="n">
        <x:v>1</x:v>
      </x:c>
      <x:c r="F42" s="21" t="n">
        <x:f>'Assumptions'!$I$64*'Assumptions'!$J$64/12*'Assumptions'!$D$9*'Assumptions'!$D$8</x:f>
        <x:v>60</x:v>
      </x:c>
      <x:c r="G42" s="21" t="n">
        <x:f>0</x:f>
        <x:v>0</x:v>
      </x:c>
      <x:c r="H42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42+G42,NA())</x:f>
        <x:v>60</x:v>
      </x:c>
      <x:c r="I42" s="22" t="n">
        <x:f>'Assumptions'!$H$64*IF('Assumptions'!$O$64=1,1,'Assumptions'!$D$10)*(1+'Assumptions'!$N$64)^(1-1)</x:f>
        <x:v>49</x:v>
      </x:c>
      <x:c r="J42" s="10" t="n">
        <x:f>H42*I42</x:f>
        <x:v>2940</x:v>
      </x:c>
      <x:c r="K42" s="10" t="n">
        <x:f>J42*'Assumptions'!$T$64</x:f>
        <x:v>2940</x:v>
      </x:c>
      <x:c r="L42" s="10" t="n">
        <x:f>K42*'Assumptions'!$U$64</x:f>
        <x:v>88.2</x:v>
      </x:c>
      <x:c r="M42" s="10" t="n">
        <x:f>K42*'Assumptions'!$V$64</x:f>
        <x:v>0</x:v>
      </x:c>
      <x:c r="N42" s="10" t="n">
        <x:f>K42-L42-M42</x:f>
        <x:v>2851.8</x:v>
      </x:c>
      <x:c r="O42" s="10" t="n">
        <x:f>H42*'Assumptions'!$P$64*'Assumptions'!$Q$64*'Assumptions'!$D$11*(1+'Assumptions'!$D$13)^(1-1)</x:f>
        <x:v>315</x:v>
      </x:c>
      <x:c r="P42" s="10" t="n">
        <x:f>H42*'Assumptions'!$R$64*'Assumptions'!$D$11*(1+'Assumptions'!$D$13)^(1-1)</x:f>
        <x:v>0</x:v>
      </x:c>
      <x:c r="Q42" s="10" t="n">
        <x:f>J42*'Assumptions'!$S$64</x:f>
        <x:v>0</x:v>
      </x:c>
      <x:c r="R42" s="10" t="n">
        <x:f>H42*'Assumptions'!$Y$64*'Assumptions'!$Z$64*'Assumptions'!$D$11*(1+'Assumptions'!$D$13)^(1-1)</x:f>
        <x:v>270</x:v>
      </x:c>
      <x:c r="S42" s="10" t="n">
        <x:f>IF(I42=0,0,J42*'Assumptions'!$W$64+H42*'Assumptions'!$X$64)</x:f>
        <x:v>103.26</x:v>
      </x:c>
      <x:c r="T42" s="10" t="n">
        <x:f>N42*'Assumptions'!$AA$64</x:f>
        <x:v>142.59</x:v>
      </x:c>
      <x:c r="U42" s="10" t="n">
        <x:f>'Assumptions'!$AE$64*'Assumptions'!$D$11*(1+'Assumptions'!$D$13)^(1-1)</x:f>
        <x:v>120</x:v>
      </x:c>
      <x:c r="V42" s="10" t="n">
        <x:f>'Assumptions'!$AD$64*'Assumptions'!$D$11</x:f>
        <x:v>0</x:v>
      </x:c>
      <x:c r="W42" s="10" t="n">
        <x:f>H42*('Assumptions'!$P$64+'Assumptions'!$Y$64)</x:f>
        <x:v>18</x:v>
      </x:c>
      <x:c r="X42" s="10" t="n">
        <x:f>N42/'Assumptions'!$J$64*'Assumptions'!$AF$64</x:f>
        <x:v>0</x:v>
      </x:c>
      <x:c r="Y42" s="10" t="n">
        <x:f>P42/'Assumptions'!$J$64</x:f>
        <x:v>0</x:v>
      </x:c>
      <x:c r="Z42" s="10" t="n">
        <x:f>'Assumptions'!$AB$64</x:f>
        <x:v>24</x:v>
      </x:c>
      <x:c r="AA42" s="10" t="n">
        <x:f>Z42*'Assumptions'!$AC$64*'Assumptions'!$D$11*(1+'Assumptions'!$D$13)^(1-1)</x:f>
        <x:v>1200</x:v>
      </x:c>
      <x:c r="AB42" s="10" t="n">
        <x:f>F42/'Assumptions'!$J$64</x:f>
        <x:v>10</x:v>
      </x:c>
      <x:c r="AC42" s="10" t="n">
        <x:f>AB42/'Assumptions'!$AM$64</x:f>
        <x:v>200</x:v>
      </x:c>
      <x:c r="AD42" s="10" t="n">
        <x:f>IF(AB42=0,0,T42/AB42)</x:f>
        <x:v>14.259</x:v>
      </x:c>
      <x:c r="AE42" s="10" t="n">
        <x:f>AA42*'Assumptions'!$D$21</x:f>
        <x:v>0</x:v>
      </x:c>
    </x:row>
    <x:row r="43" ht="16" customHeight="1">
      <x:c r="A43" s="1"/>
      <x:c r="B43" s="1"/>
      <x:c r="C43" s="1" t="str">
        <x:v>DOT-036</x:v>
      </x:c>
      <x:c r="D43" s="10" t="str">
        <x:v>Spindle</x:v>
      </x:c>
      <x:c r="E43" s="10" t="n">
        <x:v>1</x:v>
      </x:c>
      <x:c r="F43" s="21" t="n">
        <x:f>'Assumptions'!$I$65*'Assumptions'!$J$65/12*'Assumptions'!$D$9*'Assumptions'!$D$8</x:f>
        <x:v>10</x:v>
      </x:c>
      <x:c r="G43" s="21" t="n">
        <x:f>0</x:f>
        <x:v>0</x:v>
      </x:c>
      <x:c r="H43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43+G43,NA())</x:f>
        <x:v>10</x:v>
      </x:c>
      <x:c r="I43" s="22" t="n">
        <x:f>'Assumptions'!$H$65*IF('Assumptions'!$O$65=1,1,'Assumptions'!$D$10)*(1+'Assumptions'!$N$65)^(1-1)</x:f>
        <x:v>199</x:v>
      </x:c>
      <x:c r="J43" s="10" t="n">
        <x:f>H43*I43</x:f>
        <x:v>1990</x:v>
      </x:c>
      <x:c r="K43" s="10" t="n">
        <x:f>J43*'Assumptions'!$T$65</x:f>
        <x:v>1990</x:v>
      </x:c>
      <x:c r="L43" s="10" t="n">
        <x:f>K43*'Assumptions'!$U$65</x:f>
        <x:v>59.699999999999996</x:v>
      </x:c>
      <x:c r="M43" s="10" t="n">
        <x:f>K43*'Assumptions'!$V$65</x:f>
        <x:v>0</x:v>
      </x:c>
      <x:c r="N43" s="10" t="n">
        <x:f>K43-L43-M43</x:f>
        <x:v>1930.3</x:v>
      </x:c>
      <x:c r="O43" s="10" t="n">
        <x:f>H43*'Assumptions'!$P$65*'Assumptions'!$Q$65*'Assumptions'!$D$11*(1+'Assumptions'!$D$13)^(1-1)</x:f>
        <x:v>800</x:v>
      </x:c>
      <x:c r="P43" s="10" t="n">
        <x:f>H43*'Assumptions'!$R$65*'Assumptions'!$D$11*(1+'Assumptions'!$D$13)^(1-1)</x:f>
        <x:v>0</x:v>
      </x:c>
      <x:c r="Q43" s="10" t="n">
        <x:f>J43*'Assumptions'!$S$65</x:f>
        <x:v>0</x:v>
      </x:c>
      <x:c r="R43" s="10" t="n">
        <x:f>H43*'Assumptions'!$Y$65*'Assumptions'!$Z$65*'Assumptions'!$D$11*(1+'Assumptions'!$D$13)^(1-1)</x:f>
        <x:v>75</x:v>
      </x:c>
      <x:c r="S43" s="10" t="n">
        <x:f>IF(I43=0,0,J43*'Assumptions'!$W$65+H43*'Assumptions'!$X$65)</x:f>
        <x:v>60.71</x:v>
      </x:c>
      <x:c r="T43" s="10" t="n">
        <x:f>N43*'Assumptions'!$AA$65</x:f>
        <x:v>77.212</x:v>
      </x:c>
      <x:c r="U43" s="10" t="n">
        <x:f>'Assumptions'!$AE$65*'Assumptions'!$D$11*(1+'Assumptions'!$D$13)^(1-1)</x:f>
        <x:v>0</x:v>
      </x:c>
      <x:c r="V43" s="10" t="n">
        <x:f>'Assumptions'!$AD$65*'Assumptions'!$D$11</x:f>
        <x:v>0</x:v>
      </x:c>
      <x:c r="W43" s="10" t="n">
        <x:f>H43*('Assumptions'!$P$65+'Assumptions'!$Y$65)</x:f>
        <x:v>22.5</x:v>
      </x:c>
      <x:c r="X43" s="10" t="n">
        <x:f>N43/'Assumptions'!$J$65*'Assumptions'!$AF$65</x:f>
        <x:v>321.71666666666664</x:v>
      </x:c>
      <x:c r="Y43" s="10" t="n">
        <x:f>P43/'Assumptions'!$J$65</x:f>
        <x:v>0</x:v>
      </x:c>
      <x:c r="Z43" s="10" t="n">
        <x:f>'Assumptions'!$AB$65</x:f>
        <x:v>4</x:v>
      </x:c>
      <x:c r="AA43" s="10" t="n">
        <x:f>Z43*'Assumptions'!$AC$65*'Assumptions'!$D$11*(1+'Assumptions'!$D$13)^(1-1)</x:f>
        <x:v>200</x:v>
      </x:c>
      <x:c r="AB43" s="10" t="n">
        <x:f>F43/1</x:f>
        <x:v>10</x:v>
      </x:c>
      <x:c r="AC43" s="10" t="n">
        <x:f>AB43/'Assumptions'!$AM$65</x:f>
        <x:v>50</x:v>
      </x:c>
      <x:c r="AD43" s="10" t="n">
        <x:f>IF(AB43=0,0,T43/AB43)</x:f>
        <x:v>7.7212000000000005</x:v>
      </x:c>
      <x:c r="AE43" s="10" t="n">
        <x:f>AA43*'Assumptions'!$D$21</x:f>
        <x:v>0</x:v>
      </x:c>
    </x:row>
    <x:row r="44" ht="16" customHeight="1">
      <x:c r="A44" s="1"/>
      <x:c r="B44" s="1"/>
      <x:c r="C44" s="1" t="str">
        <x:v>DOT-037</x:v>
      </x:c>
      <x:c r="D44" s="10" t="str">
        <x:v>Maison Contour</x:v>
      </x:c>
      <x:c r="E44" s="10" t="n">
        <x:v>1</x:v>
      </x:c>
      <x:c r="F44" s="21" t="n">
        <x:f>'Assumptions'!$I$66*'Assumptions'!$J$66/12*'Assumptions'!$D$9*'Assumptions'!$D$8</x:f>
        <x:v>60</x:v>
      </x:c>
      <x:c r="G44" s="21" t="n">
        <x:f>0</x:f>
        <x:v>0</x:v>
      </x:c>
      <x:c r="H44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44+G44,NA())</x:f>
        <x:v>60</x:v>
      </x:c>
      <x:c r="I44" s="22" t="n">
        <x:f>'Assumptions'!$H$66*IF('Assumptions'!$O$66=1,1,'Assumptions'!$D$10)*(1+'Assumptions'!$N$66)^(1-1)</x:f>
        <x:v>79</x:v>
      </x:c>
      <x:c r="J44" s="10" t="n">
        <x:f>H44*I44</x:f>
        <x:v>4740</x:v>
      </x:c>
      <x:c r="K44" s="10" t="n">
        <x:f>J44*'Assumptions'!$T$66</x:f>
        <x:v>4740</x:v>
      </x:c>
      <x:c r="L44" s="10" t="n">
        <x:f>K44*'Assumptions'!$U$66</x:f>
        <x:v>142.2</x:v>
      </x:c>
      <x:c r="M44" s="10" t="n">
        <x:f>K44*'Assumptions'!$V$66</x:f>
        <x:v>0</x:v>
      </x:c>
      <x:c r="N44" s="10" t="n">
        <x:f>K44-L44-M44</x:f>
        <x:v>4597.8</x:v>
      </x:c>
      <x:c r="O44" s="10" t="n">
        <x:f>H44*'Assumptions'!$P$66*'Assumptions'!$Q$66*'Assumptions'!$D$11*(1+'Assumptions'!$D$13)^(1-1)</x:f>
        <x:v>315</x:v>
      </x:c>
      <x:c r="P44" s="10" t="n">
        <x:f>H44*'Assumptions'!$R$66*'Assumptions'!$D$11*(1+'Assumptions'!$D$13)^(1-1)</x:f>
        <x:v>0</x:v>
      </x:c>
      <x:c r="Q44" s="10" t="n">
        <x:f>J44*'Assumptions'!$S$66</x:f>
        <x:v>0</x:v>
      </x:c>
      <x:c r="R44" s="10" t="n">
        <x:f>H44*'Assumptions'!$Y$66*'Assumptions'!$Z$66*'Assumptions'!$D$11*(1+'Assumptions'!$D$13)^(1-1)</x:f>
        <x:v>270</x:v>
      </x:c>
      <x:c r="S44" s="10" t="n">
        <x:f>IF(I44=0,0,J44*'Assumptions'!$W$66+H44*'Assumptions'!$X$66)</x:f>
        <x:v>155.46</x:v>
      </x:c>
      <x:c r="T44" s="10" t="n">
        <x:f>N44*'Assumptions'!$AA$66</x:f>
        <x:v>229.89000000000001</x:v>
      </x:c>
      <x:c r="U44" s="10" t="n">
        <x:f>'Assumptions'!$AE$66*'Assumptions'!$D$11*(1+'Assumptions'!$D$13)^(1-1)</x:f>
        <x:v>120</x:v>
      </x:c>
      <x:c r="V44" s="10" t="n">
        <x:f>'Assumptions'!$AD$66*'Assumptions'!$D$11</x:f>
        <x:v>0</x:v>
      </x:c>
      <x:c r="W44" s="10" t="n">
        <x:f>H44*('Assumptions'!$P$66+'Assumptions'!$Y$66)</x:f>
        <x:v>18</x:v>
      </x:c>
      <x:c r="X44" s="10" t="n">
        <x:f>N44/'Assumptions'!$J$66*'Assumptions'!$AF$66</x:f>
        <x:v>0</x:v>
      </x:c>
      <x:c r="Y44" s="10" t="n">
        <x:f>P44/'Assumptions'!$J$66</x:f>
        <x:v>0</x:v>
      </x:c>
      <x:c r="Z44" s="10" t="n">
        <x:f>'Assumptions'!$AB$66</x:f>
        <x:v>24</x:v>
      </x:c>
      <x:c r="AA44" s="10" t="n">
        <x:f>Z44*'Assumptions'!$AC$66*'Assumptions'!$D$11*(1+'Assumptions'!$D$13)^(1-1)</x:f>
        <x:v>1200</x:v>
      </x:c>
      <x:c r="AB44" s="10" t="n">
        <x:f>F44/'Assumptions'!$J$66</x:f>
        <x:v>10</x:v>
      </x:c>
      <x:c r="AC44" s="10" t="n">
        <x:f>AB44/'Assumptions'!$AM$66</x:f>
        <x:v>200</x:v>
      </x:c>
      <x:c r="AD44" s="10" t="n">
        <x:f>IF(AB44=0,0,T44/AB44)</x:f>
        <x:v>22.989</x:v>
      </x:c>
      <x:c r="AE44" s="10" t="n">
        <x:f>AA44*'Assumptions'!$D$21</x:f>
        <x:v>0</x:v>
      </x:c>
    </x:row>
    <x:row r="45" ht="16" customHeight="1">
      <x:c r="A45" s="1"/>
      <x:c r="B45" s="1"/>
      <x:c r="C45" s="1" t="str">
        <x:v>DOT-038</x:v>
      </x:c>
      <x:c r="D45" s="10" t="str">
        <x:v>Maison Contour</x:v>
      </x:c>
      <x:c r="E45" s="10" t="n">
        <x:v>1</x:v>
      </x:c>
      <x:c r="F45" s="21" t="n">
        <x:f>'Assumptions'!$I$67*'Assumptions'!$J$67/12*'Assumptions'!$D$9*'Assumptions'!$D$8</x:f>
        <x:v>10</x:v>
      </x:c>
      <x:c r="G45" s="21" t="n">
        <x:f>0</x:f>
        <x:v>0</x:v>
      </x:c>
      <x:c r="H45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45+G45,NA())</x:f>
        <x:v>10</x:v>
      </x:c>
      <x:c r="I45" s="22" t="n">
        <x:f>'Assumptions'!$H$67*IF('Assumptions'!$O$67=1,1,'Assumptions'!$D$10)*(1+'Assumptions'!$N$67)^(1-1)</x:f>
        <x:v>199</x:v>
      </x:c>
      <x:c r="J45" s="10" t="n">
        <x:f>H45*I45</x:f>
        <x:v>1990</x:v>
      </x:c>
      <x:c r="K45" s="10" t="n">
        <x:f>J45*'Assumptions'!$T$67</x:f>
        <x:v>1990</x:v>
      </x:c>
      <x:c r="L45" s="10" t="n">
        <x:f>K45*'Assumptions'!$U$67</x:f>
        <x:v>59.699999999999996</x:v>
      </x:c>
      <x:c r="M45" s="10" t="n">
        <x:f>K45*'Assumptions'!$V$67</x:f>
        <x:v>0</x:v>
      </x:c>
      <x:c r="N45" s="10" t="n">
        <x:f>K45-L45-M45</x:f>
        <x:v>1930.3</x:v>
      </x:c>
      <x:c r="O45" s="10" t="n">
        <x:f>H45*'Assumptions'!$P$67*'Assumptions'!$Q$67*'Assumptions'!$D$11*(1+'Assumptions'!$D$13)^(1-1)</x:f>
        <x:v>800</x:v>
      </x:c>
      <x:c r="P45" s="10" t="n">
        <x:f>H45*'Assumptions'!$R$67*'Assumptions'!$D$11*(1+'Assumptions'!$D$13)^(1-1)</x:f>
        <x:v>0</x:v>
      </x:c>
      <x:c r="Q45" s="10" t="n">
        <x:f>J45*'Assumptions'!$S$67</x:f>
        <x:v>0</x:v>
      </x:c>
      <x:c r="R45" s="10" t="n">
        <x:f>H45*'Assumptions'!$Y$67*'Assumptions'!$Z$67*'Assumptions'!$D$11*(1+'Assumptions'!$D$13)^(1-1)</x:f>
        <x:v>75</x:v>
      </x:c>
      <x:c r="S45" s="10" t="n">
        <x:f>IF(I45=0,0,J45*'Assumptions'!$W$67+H45*'Assumptions'!$X$67)</x:f>
        <x:v>60.71</x:v>
      </x:c>
      <x:c r="T45" s="10" t="n">
        <x:f>N45*'Assumptions'!$AA$67</x:f>
        <x:v>77.212</x:v>
      </x:c>
      <x:c r="U45" s="10" t="n">
        <x:f>'Assumptions'!$AE$67*'Assumptions'!$D$11*(1+'Assumptions'!$D$13)^(1-1)</x:f>
        <x:v>0</x:v>
      </x:c>
      <x:c r="V45" s="10" t="n">
        <x:f>'Assumptions'!$AD$67*'Assumptions'!$D$11</x:f>
        <x:v>0</x:v>
      </x:c>
      <x:c r="W45" s="10" t="n">
        <x:f>H45*('Assumptions'!$P$67+'Assumptions'!$Y$67)</x:f>
        <x:v>22.5</x:v>
      </x:c>
      <x:c r="X45" s="10" t="n">
        <x:f>N45/'Assumptions'!$J$67*'Assumptions'!$AF$67</x:f>
        <x:v>321.71666666666664</x:v>
      </x:c>
      <x:c r="Y45" s="10" t="n">
        <x:f>P45/'Assumptions'!$J$67</x:f>
        <x:v>0</x:v>
      </x:c>
      <x:c r="Z45" s="10" t="n">
        <x:f>'Assumptions'!$AB$67</x:f>
        <x:v>4</x:v>
      </x:c>
      <x:c r="AA45" s="10" t="n">
        <x:f>Z45*'Assumptions'!$AC$67*'Assumptions'!$D$11*(1+'Assumptions'!$D$13)^(1-1)</x:f>
        <x:v>200</x:v>
      </x:c>
      <x:c r="AB45" s="10" t="n">
        <x:f>F45/1</x:f>
        <x:v>10</x:v>
      </x:c>
      <x:c r="AC45" s="10" t="n">
        <x:f>AB45/'Assumptions'!$AM$67</x:f>
        <x:v>50</x:v>
      </x:c>
      <x:c r="AD45" s="10" t="n">
        <x:f>IF(AB45=0,0,T45/AB45)</x:f>
        <x:v>7.7212000000000005</x:v>
      </x:c>
      <x:c r="AE45" s="10" t="n">
        <x:f>AA45*'Assumptions'!$D$21</x:f>
        <x:v>0</x:v>
      </x:c>
    </x:row>
    <x:row r="46" ht="16" customHeight="1">
      <x:c r="A46" s="1"/>
      <x:c r="B46" s="1"/>
      <x:c r="C46" s="1" t="str">
        <x:v>DOT-039</x:v>
      </x:c>
      <x:c r="D46" s="10" t="str">
        <x:v>DishLoom US</x:v>
      </x:c>
      <x:c r="E46" s="10" t="n">
        <x:v>1</x:v>
      </x:c>
      <x:c r="F46" s="21" t="n">
        <x:f>'Assumptions'!$I$68*'Assumptions'!$J$68/12*'Assumptions'!$D$9*'Assumptions'!$D$8</x:f>
        <x:v>60</x:v>
      </x:c>
      <x:c r="G46" s="21" t="n">
        <x:f>0</x:f>
        <x:v>0</x:v>
      </x:c>
      <x:c r="H46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46+G46,NA())</x:f>
        <x:v>60</x:v>
      </x:c>
      <x:c r="I46" s="22" t="n">
        <x:f>'Assumptions'!$H$68*IF('Assumptions'!$O$68=1,1,'Assumptions'!$D$10)*(1+'Assumptions'!$N$68)^(1-1)</x:f>
        <x:v>39</x:v>
      </x:c>
      <x:c r="J46" s="10" t="n">
        <x:f>H46*I46</x:f>
        <x:v>2340</x:v>
      </x:c>
      <x:c r="K46" s="10" t="n">
        <x:f>J46*'Assumptions'!$T$68</x:f>
        <x:v>2340</x:v>
      </x:c>
      <x:c r="L46" s="10" t="n">
        <x:f>K46*'Assumptions'!$U$68</x:f>
        <x:v>70.2</x:v>
      </x:c>
      <x:c r="M46" s="10" t="n">
        <x:f>K46*'Assumptions'!$V$68</x:f>
        <x:v>0</x:v>
      </x:c>
      <x:c r="N46" s="10" t="n">
        <x:f>K46-L46-M46</x:f>
        <x:v>2269.8</x:v>
      </x:c>
      <x:c r="O46" s="10" t="n">
        <x:f>H46*'Assumptions'!$P$68*'Assumptions'!$Q$68*'Assumptions'!$D$11*(1+'Assumptions'!$D$13)^(1-1)</x:f>
        <x:v>315</x:v>
      </x:c>
      <x:c r="P46" s="10" t="n">
        <x:f>H46*'Assumptions'!$R$68*'Assumptions'!$D$11*(1+'Assumptions'!$D$13)^(1-1)</x:f>
        <x:v>0</x:v>
      </x:c>
      <x:c r="Q46" s="10" t="n">
        <x:f>J46*'Assumptions'!$S$68</x:f>
        <x:v>0</x:v>
      </x:c>
      <x:c r="R46" s="10" t="n">
        <x:f>H46*'Assumptions'!$Y$68*'Assumptions'!$Z$68*'Assumptions'!$D$11*(1+'Assumptions'!$D$13)^(1-1)</x:f>
        <x:v>270</x:v>
      </x:c>
      <x:c r="S46" s="10" t="n">
        <x:f>IF(I46=0,0,J46*'Assumptions'!$W$68+H46*'Assumptions'!$X$68)</x:f>
        <x:v>85.86</x:v>
      </x:c>
      <x:c r="T46" s="10" t="n">
        <x:f>N46*'Assumptions'!$AA$68</x:f>
        <x:v>113.49000000000001</x:v>
      </x:c>
      <x:c r="U46" s="10" t="n">
        <x:f>'Assumptions'!$AE$68*'Assumptions'!$D$11*(1+'Assumptions'!$D$13)^(1-1)</x:f>
        <x:v>120</x:v>
      </x:c>
      <x:c r="V46" s="10" t="n">
        <x:f>'Assumptions'!$AD$68*'Assumptions'!$D$11</x:f>
        <x:v>0</x:v>
      </x:c>
      <x:c r="W46" s="10" t="n">
        <x:f>H46*('Assumptions'!$P$68+'Assumptions'!$Y$68)</x:f>
        <x:v>18</x:v>
      </x:c>
      <x:c r="X46" s="10" t="n">
        <x:f>N46/'Assumptions'!$J$68*'Assumptions'!$AF$68</x:f>
        <x:v>0</x:v>
      </x:c>
      <x:c r="Y46" s="10" t="n">
        <x:f>P46/'Assumptions'!$J$68</x:f>
        <x:v>0</x:v>
      </x:c>
      <x:c r="Z46" s="10" t="n">
        <x:f>'Assumptions'!$AB$68</x:f>
        <x:v>24</x:v>
      </x:c>
      <x:c r="AA46" s="10" t="n">
        <x:f>Z46*'Assumptions'!$AC$68*'Assumptions'!$D$11*(1+'Assumptions'!$D$13)^(1-1)</x:f>
        <x:v>1200</x:v>
      </x:c>
      <x:c r="AB46" s="10" t="n">
        <x:f>F46/'Assumptions'!$J$68</x:f>
        <x:v>10</x:v>
      </x:c>
      <x:c r="AC46" s="10" t="n">
        <x:f>AB46/'Assumptions'!$AM$68</x:f>
        <x:v>200</x:v>
      </x:c>
      <x:c r="AD46" s="10" t="n">
        <x:f>IF(AB46=0,0,T46/AB46)</x:f>
        <x:v>11.349</x:v>
      </x:c>
      <x:c r="AE46" s="10" t="n">
        <x:f>AA46*'Assumptions'!$D$21</x:f>
        <x:v>0</x:v>
      </x:c>
    </x:row>
    <x:row r="47" ht="16" customHeight="1">
      <x:c r="A47" s="1"/>
      <x:c r="B47" s="1"/>
      <x:c r="C47" s="1" t="str">
        <x:v>DOT-040</x:v>
      </x:c>
      <x:c r="D47" s="10" t="str">
        <x:v>DishLoom US</x:v>
      </x:c>
      <x:c r="E47" s="10" t="n">
        <x:v>1</x:v>
      </x:c>
      <x:c r="F47" s="21" t="n">
        <x:f>'Assumptions'!$I$69*'Assumptions'!$J$69/12*'Assumptions'!$D$9*'Assumptions'!$D$8</x:f>
        <x:v>120</x:v>
      </x:c>
      <x:c r="G47" s="21" t="n">
        <x:f>0</x:f>
        <x:v>0</x:v>
      </x:c>
      <x:c r="H47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47+G47,NA())</x:f>
        <x:v>120</x:v>
      </x:c>
      <x:c r="I47" s="22" t="n">
        <x:f>'Assumptions'!$H$69*IF('Assumptions'!$O$69=1,1,'Assumptions'!$D$10)*(1+'Assumptions'!$N$69)^(1-1)</x:f>
        <x:v>9</x:v>
      </x:c>
      <x:c r="J47" s="10" t="n">
        <x:f>H47*I47</x:f>
        <x:v>1080</x:v>
      </x:c>
      <x:c r="K47" s="10" t="n">
        <x:f>J47*'Assumptions'!$T$69</x:f>
        <x:v>1080</x:v>
      </x:c>
      <x:c r="L47" s="10" t="n">
        <x:f>K47*'Assumptions'!$U$69</x:f>
        <x:v>32.4</x:v>
      </x:c>
      <x:c r="M47" s="10" t="n">
        <x:f>K47*'Assumptions'!$V$69</x:f>
        <x:v>0</x:v>
      </x:c>
      <x:c r="N47" s="10" t="n">
        <x:f>K47-L47-M47</x:f>
        <x:v>1047.6</x:v>
      </x:c>
      <x:c r="O47" s="10" t="n">
        <x:f>H47*'Assumptions'!$P$69*'Assumptions'!$Q$69*'Assumptions'!$D$11*(1+'Assumptions'!$D$13)^(1-1)</x:f>
        <x:v>210</x:v>
      </x:c>
      <x:c r="P47" s="10" t="n">
        <x:f>H47*'Assumptions'!$R$69*'Assumptions'!$D$11*(1+'Assumptions'!$D$13)^(1-1)</x:f>
        <x:v>0</x:v>
      </x:c>
      <x:c r="Q47" s="10" t="n">
        <x:f>J47*'Assumptions'!$S$69</x:f>
        <x:v>0</x:v>
      </x:c>
      <x:c r="R47" s="10" t="n">
        <x:f>H47*'Assumptions'!$Y$69*'Assumptions'!$Z$69*'Assumptions'!$D$11*(1+'Assumptions'!$D$13)^(1-1)</x:f>
        <x:v>540</x:v>
      </x:c>
      <x:c r="S47" s="10" t="n">
        <x:f>IF(I47=0,0,J47*'Assumptions'!$W$69+H47*'Assumptions'!$X$69)</x:f>
        <x:v>67.32</x:v>
      </x:c>
      <x:c r="T47" s="10" t="n">
        <x:f>N47*'Assumptions'!$AA$69</x:f>
        <x:v>52.379999999999995</x:v>
      </x:c>
      <x:c r="U47" s="10" t="n">
        <x:f>'Assumptions'!$AE$69*'Assumptions'!$D$11*(1+'Assumptions'!$D$13)^(1-1)</x:f>
        <x:v>0</x:v>
      </x:c>
      <x:c r="V47" s="10" t="n">
        <x:f>'Assumptions'!$AD$69*'Assumptions'!$D$11</x:f>
        <x:v>0</x:v>
      </x:c>
      <x:c r="W47" s="10" t="n">
        <x:f>H47*('Assumptions'!$P$69+'Assumptions'!$Y$69)</x:f>
        <x:v>24</x:v>
      </x:c>
      <x:c r="X47" s="10" t="n">
        <x:f>N47/'Assumptions'!$J$69*'Assumptions'!$AF$69</x:f>
        <x:v>0</x:v>
      </x:c>
      <x:c r="Y47" s="10" t="n">
        <x:f>P47/'Assumptions'!$J$69</x:f>
        <x:v>0</x:v>
      </x:c>
      <x:c r="Z47" s="10" t="n">
        <x:f>'Assumptions'!$AB$69</x:f>
        <x:v>4</x:v>
      </x:c>
      <x:c r="AA47" s="10" t="n">
        <x:f>Z47*'Assumptions'!$AC$69*'Assumptions'!$D$11*(1+'Assumptions'!$D$13)^(1-1)</x:f>
        <x:v>200</x:v>
      </x:c>
      <x:c r="AB47" s="10" t="n">
        <x:f>F47/1</x:f>
        <x:v>120</x:v>
      </x:c>
      <x:c r="AC47" s="10" t="n">
        <x:f>AB47/'Assumptions'!$AM$69</x:f>
        <x:v>2400</x:v>
      </x:c>
      <x:c r="AD47" s="10" t="n">
        <x:f>IF(AB47=0,0,T47/AB47)</x:f>
        <x:v>0.43649999999999994</x:v>
      </x:c>
      <x:c r="AE47" s="10" t="n">
        <x:f>AA47*'Assumptions'!$D$21</x:f>
        <x:v>0</x:v>
      </x:c>
    </x:row>
    <x:row r="48" ht="16" customHeight="1">
      <x:c r="A48" s="1"/>
      <x:c r="B48" s="1"/>
      <x:c r="C48" s="1" t="str">
        <x:v>DOT-041</x:v>
      </x:c>
      <x:c r="D48" s="10" t="str">
        <x:v>DishLoom US</x:v>
      </x:c>
      <x:c r="E48" s="10" t="n">
        <x:v>1</x:v>
      </x:c>
      <x:c r="F48" s="21" t="n">
        <x:f>'Assumptions'!$I$70*'Assumptions'!$J$70/12*'Assumptions'!$D$9*'Assumptions'!$D$8</x:f>
        <x:v>150</x:v>
      </x:c>
      <x:c r="G48" s="21" t="n">
        <x:f>0</x:f>
        <x:v>0</x:v>
      </x:c>
      <x:c r="H48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48+G48,NA())</x:f>
        <x:v>150</x:v>
      </x:c>
      <x:c r="I48" s="22" t="n">
        <x:f>'Assumptions'!$H$70*IF('Assumptions'!$O$70=1,1,'Assumptions'!$D$10)*(1+'Assumptions'!$N$70)^(1-1)</x:f>
        <x:v>100</x:v>
      </x:c>
      <x:c r="J48" s="10" t="n">
        <x:f>H48*I48</x:f>
        <x:v>15000</x:v>
      </x:c>
      <x:c r="K48" s="10" t="n">
        <x:f>J48*'Assumptions'!$T$70</x:f>
        <x:v>2250</x:v>
      </x:c>
      <x:c r="L48" s="10" t="n">
        <x:f>K48*'Assumptions'!$U$70</x:f>
        <x:v>67.5</x:v>
      </x:c>
      <x:c r="M48" s="10" t="n">
        <x:f>K48*'Assumptions'!$V$70</x:f>
        <x:v>0</x:v>
      </x:c>
      <x:c r="N48" s="10" t="n">
        <x:f>K48-L48-M48</x:f>
        <x:v>2182.5</x:v>
      </x:c>
      <x:c r="O48" s="10" t="n">
        <x:f>H48*'Assumptions'!$P$70*'Assumptions'!$Q$70*'Assumptions'!$D$11*(1+'Assumptions'!$D$13)^(1-1)</x:f>
        <x:v>525</x:v>
      </x:c>
      <x:c r="P48" s="10" t="n">
        <x:f>H48*'Assumptions'!$R$70*'Assumptions'!$D$11*(1+'Assumptions'!$D$13)^(1-1)</x:f>
        <x:v>0</x:v>
      </x:c>
      <x:c r="Q48" s="10" t="n">
        <x:f>J48*'Assumptions'!$S$70</x:f>
        <x:v>0</x:v>
      </x:c>
      <x:c r="R48" s="10" t="n">
        <x:f>H48*'Assumptions'!$Y$70*'Assumptions'!$Z$70*'Assumptions'!$D$11*(1+'Assumptions'!$D$13)^(1-1)</x:f>
        <x:v>675</x:v>
      </x:c>
      <x:c r="S48" s="10" t="n">
        <x:f>IF(I48=0,0,J48*'Assumptions'!$W$70+H48*'Assumptions'!$X$70)</x:f>
        <x:v>480</x:v>
      </x:c>
      <x:c r="T48" s="10" t="n">
        <x:f>N48*'Assumptions'!$AA$70</x:f>
        <x:v>109.125</x:v>
      </x:c>
      <x:c r="U48" s="10" t="n">
        <x:f>'Assumptions'!$AE$70*'Assumptions'!$D$11*(1+'Assumptions'!$D$13)^(1-1)</x:f>
        <x:v>0</x:v>
      </x:c>
      <x:c r="V48" s="10" t="n">
        <x:f>'Assumptions'!$AD$70*'Assumptions'!$D$11</x:f>
        <x:v>0</x:v>
      </x:c>
      <x:c r="W48" s="10" t="n">
        <x:f>H48*('Assumptions'!$P$70+'Assumptions'!$Y$70)</x:f>
        <x:v>37.5</x:v>
      </x:c>
      <x:c r="X48" s="10" t="n">
        <x:f>N48/'Assumptions'!$J$70*'Assumptions'!$AF$70</x:f>
        <x:v>0</x:v>
      </x:c>
      <x:c r="Y48" s="10" t="n">
        <x:f>P48/'Assumptions'!$J$70</x:f>
        <x:v>0</x:v>
      </x:c>
      <x:c r="Z48" s="10" t="n">
        <x:f>'Assumptions'!$AB$70</x:f>
        <x:v>8</x:v>
      </x:c>
      <x:c r="AA48" s="10" t="n">
        <x:f>Z48*'Assumptions'!$AC$70*'Assumptions'!$D$11*(1+'Assumptions'!$D$13)^(1-1)</x:f>
        <x:v>400</x:v>
      </x:c>
      <x:c r="AB48" s="10" t="n">
        <x:f>F48/1</x:f>
        <x:v>150</x:v>
      </x:c>
      <x:c r="AC48" s="10" t="n">
        <x:f>AB48/'Assumptions'!$AM$70</x:f>
        <x:v>3000</x:v>
      </x:c>
      <x:c r="AD48" s="10" t="n">
        <x:f>IF(AB48=0,0,T48/AB48)</x:f>
        <x:v>0.7275</x:v>
      </x:c>
      <x:c r="AE48" s="10" t="n">
        <x:f>AA48*'Assumptions'!$D$21</x:f>
        <x:v>0</x:v>
      </x:c>
    </x:row>
    <x:row r="49" ht="16" customHeight="1">
      <x:c r="A49" s="1"/>
      <x:c r="B49" s="1"/>
      <x:c r="C49" s="1" t="str">
        <x:v>DOT-042</x:v>
      </x:c>
      <x:c r="D49" s="10" t="str">
        <x:v>Is Makes Travel Easy</x:v>
      </x:c>
      <x:c r="E49" s="10" t="n">
        <x:v>1</x:v>
      </x:c>
      <x:c r="F49" s="21" t="n">
        <x:f>'Assumptions'!$I$71*'Assumptions'!$J$71/12*'Assumptions'!$D$9*'Assumptions'!$D$8</x:f>
        <x:v>270</x:v>
      </x:c>
      <x:c r="G49" s="21" t="n">
        <x:f>0</x:f>
        <x:v>0</x:v>
      </x:c>
      <x:c r="H49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49+G49,NA())</x:f>
        <x:v>270</x:v>
      </x:c>
      <x:c r="I49" s="22" t="n">
        <x:f>'Assumptions'!$H$71*IF('Assumptions'!$O$71=1,1,'Assumptions'!$D$10)*(1+'Assumptions'!$N$71)^(1-1)</x:f>
        <x:v>29</x:v>
      </x:c>
      <x:c r="J49" s="10" t="n">
        <x:f>H49*I49</x:f>
        <x:v>7830</x:v>
      </x:c>
      <x:c r="K49" s="10" t="n">
        <x:f>J49*'Assumptions'!$T$71</x:f>
        <x:v>7830</x:v>
      </x:c>
      <x:c r="L49" s="10" t="n">
        <x:f>K49*'Assumptions'!$U$71</x:f>
        <x:v>234.89999999999998</x:v>
      </x:c>
      <x:c r="M49" s="10" t="n">
        <x:f>K49*'Assumptions'!$V$71</x:f>
        <x:v>0</x:v>
      </x:c>
      <x:c r="N49" s="10" t="n">
        <x:f>K49-L49-M49</x:f>
        <x:v>7595.1</x:v>
      </x:c>
      <x:c r="O49" s="10" t="n">
        <x:f>H49*'Assumptions'!$P$71*'Assumptions'!$Q$71*'Assumptions'!$D$11*(1+'Assumptions'!$D$13)^(1-1)</x:f>
        <x:v>945</x:v>
      </x:c>
      <x:c r="P49" s="10" t="n">
        <x:f>H49*'Assumptions'!$R$71*'Assumptions'!$D$11*(1+'Assumptions'!$D$13)^(1-1)</x:f>
        <x:v>0</x:v>
      </x:c>
      <x:c r="Q49" s="10" t="n">
        <x:f>J49*'Assumptions'!$S$71</x:f>
        <x:v>0</x:v>
      </x:c>
      <x:c r="R49" s="10" t="n">
        <x:f>H49*'Assumptions'!$Y$71*'Assumptions'!$Z$71*'Assumptions'!$D$11*(1+'Assumptions'!$D$13)^(1-1)</x:f>
        <x:v>1215</x:v>
      </x:c>
      <x:c r="S49" s="10" t="n">
        <x:f>IF(I49=0,0,J49*'Assumptions'!$W$71+H49*'Assumptions'!$X$71)</x:f>
        <x:v>308.07000000000005</x:v>
      </x:c>
      <x:c r="T49" s="10" t="n">
        <x:f>N49*'Assumptions'!$AA$71</x:f>
        <x:v>379.75500000000005</x:v>
      </x:c>
      <x:c r="U49" s="10" t="n">
        <x:f>'Assumptions'!$AE$71*'Assumptions'!$D$11*(1+'Assumptions'!$D$13)^(1-1)</x:f>
        <x:v>240</x:v>
      </x:c>
      <x:c r="V49" s="10" t="n">
        <x:f>'Assumptions'!$AD$71*'Assumptions'!$D$11</x:f>
        <x:v>0</x:v>
      </x:c>
      <x:c r="W49" s="10" t="n">
        <x:f>H49*('Assumptions'!$P$71+'Assumptions'!$Y$71)</x:f>
        <x:v>67.5</x:v>
      </x:c>
      <x:c r="X49" s="10" t="n">
        <x:f>N49/'Assumptions'!$J$71*'Assumptions'!$AF$71</x:f>
        <x:v>0</x:v>
      </x:c>
      <x:c r="Y49" s="10" t="n">
        <x:f>P49/'Assumptions'!$J$71</x:f>
        <x:v>0</x:v>
      </x:c>
      <x:c r="Z49" s="10" t="n">
        <x:f>'Assumptions'!$AB$71</x:f>
        <x:v>16</x:v>
      </x:c>
      <x:c r="AA49" s="10" t="n">
        <x:f>Z49*'Assumptions'!$AC$71*'Assumptions'!$D$11*(1+'Assumptions'!$D$13)^(1-1)</x:f>
        <x:v>800</x:v>
      </x:c>
      <x:c r="AB49" s="10" t="n">
        <x:f>F49/1</x:f>
        <x:v>270</x:v>
      </x:c>
      <x:c r="AC49" s="10" t="n">
        <x:f>AB49/'Assumptions'!$AM$71</x:f>
        <x:v>5400</x:v>
      </x:c>
      <x:c r="AD49" s="10" t="n">
        <x:f>IF(AB49=0,0,T49/AB49)</x:f>
        <x:v>1.4065</x:v>
      </x:c>
      <x:c r="AE49" s="10" t="n">
        <x:f>AA49*'Assumptions'!$D$21</x:f>
        <x:v>0</x:v>
      </x:c>
    </x:row>
    <x:row r="50" ht="16" customHeight="1">
      <x:c r="A50" s="1"/>
      <x:c r="B50" s="1"/>
      <x:c r="C50" s="1" t="str">
        <x:v>DOT-043</x:v>
      </x:c>
      <x:c r="D50" s="10" t="str">
        <x:v>Is Makes Travel Easy</x:v>
      </x:c>
      <x:c r="E50" s="10" t="n">
        <x:v>1</x:v>
      </x:c>
      <x:c r="F50" s="21" t="n">
        <x:f>'Assumptions'!$I$72*'Assumptions'!$J$72/12*'Assumptions'!$D$9*'Assumptions'!$D$8</x:f>
        <x:v>135</x:v>
      </x:c>
      <x:c r="G50" s="21" t="n">
        <x:f>0</x:f>
        <x:v>0</x:v>
      </x:c>
      <x:c r="H50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50+G50,NA())</x:f>
        <x:v>135</x:v>
      </x:c>
      <x:c r="I50" s="22" t="n">
        <x:f>'Assumptions'!$H$72*IF('Assumptions'!$O$72=1,1,'Assumptions'!$D$10)*(1+'Assumptions'!$N$72)^(1-1)</x:f>
        <x:v>19</x:v>
      </x:c>
      <x:c r="J50" s="10" t="n">
        <x:f>H50*I50</x:f>
        <x:v>2565</x:v>
      </x:c>
      <x:c r="K50" s="10" t="n">
        <x:f>J50*'Assumptions'!$T$72</x:f>
        <x:v>2565</x:v>
      </x:c>
      <x:c r="L50" s="10" t="n">
        <x:f>K50*'Assumptions'!$U$72</x:f>
        <x:v>76.95</x:v>
      </x:c>
      <x:c r="M50" s="10" t="n">
        <x:f>K50*'Assumptions'!$V$72</x:f>
        <x:v>0</x:v>
      </x:c>
      <x:c r="N50" s="10" t="n">
        <x:f>K50-L50-M50</x:f>
        <x:v>2488.05</x:v>
      </x:c>
      <x:c r="O50" s="10" t="n">
        <x:f>H50*'Assumptions'!$P$72*'Assumptions'!$Q$72*'Assumptions'!$D$11*(1+'Assumptions'!$D$13)^(1-1)</x:f>
        <x:v>472.5</x:v>
      </x:c>
      <x:c r="P50" s="10" t="n">
        <x:f>H50*'Assumptions'!$R$72*'Assumptions'!$D$11*(1+'Assumptions'!$D$13)^(1-1)</x:f>
        <x:v>0</x:v>
      </x:c>
      <x:c r="Q50" s="10" t="n">
        <x:f>J50*'Assumptions'!$S$72</x:f>
        <x:v>0</x:v>
      </x:c>
      <x:c r="R50" s="10" t="n">
        <x:f>H50*'Assumptions'!$Y$72*'Assumptions'!$Z$72*'Assumptions'!$D$11*(1+'Assumptions'!$D$13)^(1-1)</x:f>
        <x:v>607.5</x:v>
      </x:c>
      <x:c r="S50" s="10" t="n">
        <x:f>IF(I50=0,0,J50*'Assumptions'!$W$72+H50*'Assumptions'!$X$72)</x:f>
        <x:v>114.885</x:v>
      </x:c>
      <x:c r="T50" s="10" t="n">
        <x:f>N50*'Assumptions'!$AA$72</x:f>
        <x:v>124.40250000000002</x:v>
      </x:c>
      <x:c r="U50" s="10" t="n">
        <x:f>'Assumptions'!$AE$72*'Assumptions'!$D$11*(1+'Assumptions'!$D$13)^(1-1)</x:f>
        <x:v>0</x:v>
      </x:c>
      <x:c r="V50" s="10" t="n">
        <x:f>'Assumptions'!$AD$72*'Assumptions'!$D$11</x:f>
        <x:v>0</x:v>
      </x:c>
      <x:c r="W50" s="10" t="n">
        <x:f>H50*('Assumptions'!$P$72+'Assumptions'!$Y$72)</x:f>
        <x:v>33.75</x:v>
      </x:c>
      <x:c r="X50" s="10" t="n">
        <x:f>N50/'Assumptions'!$J$72*'Assumptions'!$AF$72</x:f>
        <x:v>0</x:v>
      </x:c>
      <x:c r="Y50" s="10" t="n">
        <x:f>P50/'Assumptions'!$J$72</x:f>
        <x:v>0</x:v>
      </x:c>
      <x:c r="Z50" s="10" t="n">
        <x:f>'Assumptions'!$AB$72</x:f>
        <x:v>4</x:v>
      </x:c>
      <x:c r="AA50" s="10" t="n">
        <x:f>Z50*'Assumptions'!$AC$72*'Assumptions'!$D$11*(1+'Assumptions'!$D$13)^(1-1)</x:f>
        <x:v>200</x:v>
      </x:c>
      <x:c r="AB50" s="10" t="n">
        <x:f>F50/'Assumptions'!$J$72</x:f>
        <x:v>15</x:v>
      </x:c>
      <x:c r="AC50" s="10" t="n">
        <x:f>AB50/'Assumptions'!$AM$72</x:f>
        <x:v>300</x:v>
      </x:c>
      <x:c r="AD50" s="10" t="n">
        <x:f>IF(AB50=0,0,T50/AB50)</x:f>
        <x:v>8.293500000000002</x:v>
      </x:c>
      <x:c r="AE50" s="10" t="n">
        <x:f>AA50*'Assumptions'!$D$21</x:f>
        <x:v>0</x:v>
      </x:c>
    </x:row>
    <x:row r="51" ht="16" customHeight="1">
      <x:c r="A51" s="1"/>
      <x:c r="B51" s="1"/>
      <x:c r="C51" s="1" t="str">
        <x:v>DOT-044</x:v>
      </x:c>
      <x:c r="D51" s="10" t="str">
        <x:v>Is Makes Travel Easy</x:v>
      </x:c>
      <x:c r="E51" s="10" t="n">
        <x:v>1</x:v>
      </x:c>
      <x:c r="F51" s="21" t="n">
        <x:f>'Assumptions'!$I$73*'Assumptions'!$J$73/12*'Assumptions'!$D$9*'Assumptions'!$D$8</x:f>
        <x:v>36</x:v>
      </x:c>
      <x:c r="G51" s="21" t="n">
        <x:f>0</x:f>
        <x:v>0</x:v>
      </x:c>
      <x:c r="H51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51+G51,NA())</x:f>
        <x:v>36</x:v>
      </x:c>
      <x:c r="I51" s="22" t="n">
        <x:f>'Assumptions'!$H$73*IF('Assumptions'!$O$73=1,1,'Assumptions'!$D$10)*(1+'Assumptions'!$N$73)^(1-1)</x:f>
        <x:v>49</x:v>
      </x:c>
      <x:c r="J51" s="10" t="n">
        <x:f>H51*I51</x:f>
        <x:v>1764</x:v>
      </x:c>
      <x:c r="K51" s="10" t="n">
        <x:f>J51*'Assumptions'!$T$73</x:f>
        <x:v>1764</x:v>
      </x:c>
      <x:c r="L51" s="10" t="n">
        <x:f>K51*'Assumptions'!$U$73</x:f>
        <x:v>52.919999999999995</x:v>
      </x:c>
      <x:c r="M51" s="10" t="n">
        <x:f>K51*'Assumptions'!$V$73</x:f>
        <x:v>0</x:v>
      </x:c>
      <x:c r="N51" s="10" t="n">
        <x:f>K51-L51-M51</x:f>
        <x:v>1711.08</x:v>
      </x:c>
      <x:c r="O51" s="10" t="n">
        <x:f>H51*'Assumptions'!$P$73*'Assumptions'!$Q$73*'Assumptions'!$D$11*(1+'Assumptions'!$D$13)^(1-1)</x:f>
        <x:v>315</x:v>
      </x:c>
      <x:c r="P51" s="10" t="n">
        <x:f>H51*'Assumptions'!$R$73*'Assumptions'!$D$11*(1+'Assumptions'!$D$13)^(1-1)</x:f>
        <x:v>0</x:v>
      </x:c>
      <x:c r="Q51" s="10" t="n">
        <x:f>J51*'Assumptions'!$S$73</x:f>
        <x:v>0</x:v>
      </x:c>
      <x:c r="R51" s="10" t="n">
        <x:f>H51*'Assumptions'!$Y$73*'Assumptions'!$Z$73*'Assumptions'!$D$11*(1+'Assumptions'!$D$13)^(1-1)</x:f>
        <x:v>540</x:v>
      </x:c>
      <x:c r="S51" s="10" t="n">
        <x:f>IF(I51=0,0,J51*'Assumptions'!$W$73+H51*'Assumptions'!$X$73)</x:f>
        <x:v>61.956</x:v>
      </x:c>
      <x:c r="T51" s="10" t="n">
        <x:f>N51*'Assumptions'!$AA$73</x:f>
        <x:v>136.8864</x:v>
      </x:c>
      <x:c r="U51" s="10" t="n">
        <x:f>'Assumptions'!$AE$73*'Assumptions'!$D$11*(1+'Assumptions'!$D$13)^(1-1)</x:f>
        <x:v>0</x:v>
      </x:c>
      <x:c r="V51" s="10" t="n">
        <x:f>'Assumptions'!$AD$73*'Assumptions'!$D$11</x:f>
        <x:v>0</x:v>
      </x:c>
      <x:c r="W51" s="10" t="n">
        <x:f>H51*('Assumptions'!$P$73+'Assumptions'!$Y$73)</x:f>
        <x:v>27</x:v>
      </x:c>
      <x:c r="X51" s="10" t="n">
        <x:f>N51/'Assumptions'!$J$73*'Assumptions'!$AF$73</x:f>
        <x:v>190.12</x:v>
      </x:c>
      <x:c r="Y51" s="10" t="n">
        <x:f>P51/'Assumptions'!$J$73</x:f>
        <x:v>0</x:v>
      </x:c>
      <x:c r="Z51" s="10" t="n">
        <x:f>'Assumptions'!$AB$73</x:f>
        <x:v>4</x:v>
      </x:c>
      <x:c r="AA51" s="10" t="n">
        <x:f>Z51*'Assumptions'!$AC$73*'Assumptions'!$D$11*(1+'Assumptions'!$D$13)^(1-1)</x:f>
        <x:v>200</x:v>
      </x:c>
      <x:c r="AB51" s="10" t="n">
        <x:f>F51/1</x:f>
        <x:v>36</x:v>
      </x:c>
      <x:c r="AC51" s="10" t="n">
        <x:f>AB51/'Assumptions'!$AM$73</x:f>
        <x:v>360</x:v>
      </x:c>
      <x:c r="AD51" s="10" t="n">
        <x:f>IF(AB51=0,0,T51/AB51)</x:f>
        <x:v>3.8024000000000004</x:v>
      </x:c>
      <x:c r="AE51" s="10" t="n">
        <x:f>AA51*'Assumptions'!$D$21</x:f>
        <x:v>0</x:v>
      </x:c>
    </x:row>
    <x:row r="52" ht="16" customHeight="1">
      <x:c r="A52" s="1"/>
      <x:c r="B52" s="1"/>
      <x:c r="C52" s="1" t="str">
        <x:v>DOT-045</x:v>
      </x:c>
      <x:c r="D52" s="10" t="str">
        <x:v>Is Makes Travel Easy</x:v>
      </x:c>
      <x:c r="E52" s="10" t="n">
        <x:v>1</x:v>
      </x:c>
      <x:c r="F52" s="21" t="n">
        <x:f>'Assumptions'!$I$74*'Assumptions'!$J$74/12*'Assumptions'!$D$9*'Assumptions'!$D$8</x:f>
        <x:v>180</x:v>
      </x:c>
      <x:c r="G52" s="21" t="n">
        <x:f>0</x:f>
        <x:v>0</x:v>
      </x:c>
      <x:c r="H52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52+G52,NA())</x:f>
        <x:v>180</x:v>
      </x:c>
      <x:c r="I52" s="22" t="n">
        <x:f>'Assumptions'!$H$74*IF('Assumptions'!$O$74=1,1,'Assumptions'!$D$10)*(1+'Assumptions'!$N$74)^(1-1)</x:f>
        <x:v>150</x:v>
      </x:c>
      <x:c r="J52" s="10" t="n">
        <x:f>H52*I52</x:f>
        <x:v>27000</x:v>
      </x:c>
      <x:c r="K52" s="10" t="n">
        <x:f>J52*'Assumptions'!$T$74</x:f>
        <x:v>2700</x:v>
      </x:c>
      <x:c r="L52" s="10" t="n">
        <x:f>K52*'Assumptions'!$U$74</x:f>
        <x:v>81</x:v>
      </x:c>
      <x:c r="M52" s="10" t="n">
        <x:f>K52*'Assumptions'!$V$74</x:f>
        <x:v>0</x:v>
      </x:c>
      <x:c r="N52" s="10" t="n">
        <x:f>K52-L52-M52</x:f>
        <x:v>2619</x:v>
      </x:c>
      <x:c r="O52" s="10" t="n">
        <x:f>H52*'Assumptions'!$P$74*'Assumptions'!$Q$74*'Assumptions'!$D$11*(1+'Assumptions'!$D$13)^(1-1)</x:f>
        <x:v>630</x:v>
      </x:c>
      <x:c r="P52" s="10" t="n">
        <x:f>H52*'Assumptions'!$R$74*'Assumptions'!$D$11*(1+'Assumptions'!$D$13)^(1-1)</x:f>
        <x:v>0</x:v>
      </x:c>
      <x:c r="Q52" s="10" t="n">
        <x:f>J52*'Assumptions'!$S$74</x:f>
        <x:v>0</x:v>
      </x:c>
      <x:c r="R52" s="10" t="n">
        <x:f>H52*'Assumptions'!$Y$74*'Assumptions'!$Z$74*'Assumptions'!$D$11*(1+'Assumptions'!$D$13)^(1-1)</x:f>
        <x:v>810</x:v>
      </x:c>
      <x:c r="S52" s="10" t="n">
        <x:f>IF(I52=0,0,J52*'Assumptions'!$W$74+H52*'Assumptions'!$X$74)</x:f>
        <x:v>837</x:v>
      </x:c>
      <x:c r="T52" s="10" t="n">
        <x:f>N52*'Assumptions'!$AA$74</x:f>
        <x:v>130.95000000000002</x:v>
      </x:c>
      <x:c r="U52" s="10" t="n">
        <x:f>'Assumptions'!$AE$74*'Assumptions'!$D$11*(1+'Assumptions'!$D$13)^(1-1)</x:f>
        <x:v>0</x:v>
      </x:c>
      <x:c r="V52" s="10" t="n">
        <x:f>'Assumptions'!$AD$74*'Assumptions'!$D$11</x:f>
        <x:v>0</x:v>
      </x:c>
      <x:c r="W52" s="10" t="n">
        <x:f>H52*('Assumptions'!$P$74+'Assumptions'!$Y$74)</x:f>
        <x:v>45</x:v>
      </x:c>
      <x:c r="X52" s="10" t="n">
        <x:f>N52/'Assumptions'!$J$74*'Assumptions'!$AF$74</x:f>
        <x:v>0</x:v>
      </x:c>
      <x:c r="Y52" s="10" t="n">
        <x:f>P52/'Assumptions'!$J$74</x:f>
        <x:v>0</x:v>
      </x:c>
      <x:c r="Z52" s="10" t="n">
        <x:f>'Assumptions'!$AB$74</x:f>
        <x:v>4</x:v>
      </x:c>
      <x:c r="AA52" s="10" t="n">
        <x:f>Z52*'Assumptions'!$AC$74*'Assumptions'!$D$11*(1+'Assumptions'!$D$13)^(1-1)</x:f>
        <x:v>200</x:v>
      </x:c>
      <x:c r="AB52" s="10" t="n">
        <x:f>F52/1</x:f>
        <x:v>180</x:v>
      </x:c>
      <x:c r="AC52" s="10" t="n">
        <x:f>AB52/'Assumptions'!$AM$74</x:f>
        <x:v>3600</x:v>
      </x:c>
      <x:c r="AD52" s="10" t="n">
        <x:f>IF(AB52=0,0,T52/AB52)</x:f>
        <x:v>0.7275000000000001</x:v>
      </x:c>
      <x:c r="AE52" s="10" t="n">
        <x:f>AA52*'Assumptions'!$D$21</x:f>
        <x:v>0</x:v>
      </x:c>
    </x:row>
    <x:row r="53" ht="16" customHeight="1">
      <x:c r="A53" s="1"/>
      <x:c r="B53" s="1"/>
      <x:c r="C53" s="1" t="str">
        <x:v>DOT-046</x:v>
      </x:c>
      <x:c r="D53" s="10" t="str">
        <x:v>Turbo Tax - Made Easy!</x:v>
      </x:c>
      <x:c r="E53" s="10" t="n">
        <x:v>1</x:v>
      </x:c>
      <x:c r="F53" s="21" t="n">
        <x:f>'Assumptions'!$I$75*'Assumptions'!$J$75/12*'Assumptions'!$D$9*'Assumptions'!$D$8</x:f>
        <x:v>250</x:v>
      </x:c>
      <x:c r="G53" s="21" t="n">
        <x:f>0</x:f>
        <x:v>0</x:v>
      </x:c>
      <x:c r="H53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53+G53,NA())</x:f>
        <x:v>250</x:v>
      </x:c>
      <x:c r="I53" s="22" t="n">
        <x:f>'Assumptions'!$H$75*IF('Assumptions'!$O$75=1,1,'Assumptions'!$D$10)*(1+'Assumptions'!$N$75)^(1-1)</x:f>
        <x:v>149</x:v>
      </x:c>
      <x:c r="J53" s="10" t="n">
        <x:f>H53*I53</x:f>
        <x:v>37250</x:v>
      </x:c>
      <x:c r="K53" s="10" t="n">
        <x:f>J53*'Assumptions'!$T$75</x:f>
        <x:v>37250</x:v>
      </x:c>
      <x:c r="L53" s="10" t="n">
        <x:f>K53*'Assumptions'!$U$75</x:f>
        <x:v>1117.5</x:v>
      </x:c>
      <x:c r="M53" s="10" t="n">
        <x:f>K53*'Assumptions'!$V$75</x:f>
        <x:v>0</x:v>
      </x:c>
      <x:c r="N53" s="10" t="n">
        <x:f>K53-L53-M53</x:f>
        <x:v>36132.5</x:v>
      </x:c>
      <x:c r="O53" s="10" t="n">
        <x:f>H53*'Assumptions'!$P$75*'Assumptions'!$Q$75*'Assumptions'!$D$11*(1+'Assumptions'!$D$13)^(1-1)</x:f>
        <x:v>1312.5</x:v>
      </x:c>
      <x:c r="P53" s="10" t="n">
        <x:f>H53*'Assumptions'!$R$75*'Assumptions'!$D$11*(1+'Assumptions'!$D$13)^(1-1)</x:f>
        <x:v>0</x:v>
      </x:c>
      <x:c r="Q53" s="10" t="n">
        <x:f>J53*'Assumptions'!$S$75</x:f>
        <x:v>0</x:v>
      </x:c>
      <x:c r="R53" s="10" t="n">
        <x:f>H53*'Assumptions'!$Y$75*'Assumptions'!$Z$75*'Assumptions'!$D$11*(1+'Assumptions'!$D$13)^(1-1)</x:f>
        <x:v>750</x:v>
      </x:c>
      <x:c r="S53" s="10" t="n">
        <x:f>IF(I53=0,0,J53*'Assumptions'!$W$75+H53*'Assumptions'!$X$75)</x:f>
        <x:v>1155.25</x:v>
      </x:c>
      <x:c r="T53" s="10" t="n">
        <x:f>N53*'Assumptions'!$AA$75</x:f>
        <x:v>1806.625</x:v>
      </x:c>
      <x:c r="U53" s="10" t="n">
        <x:f>'Assumptions'!$AE$75*'Assumptions'!$D$11*(1+'Assumptions'!$D$13)^(1-1)</x:f>
        <x:v>0</x:v>
      </x:c>
      <x:c r="V53" s="10" t="n">
        <x:f>'Assumptions'!$AD$75*'Assumptions'!$D$11</x:f>
        <x:v>0</x:v>
      </x:c>
      <x:c r="W53" s="10" t="n">
        <x:f>H53*('Assumptions'!$P$75+'Assumptions'!$Y$75)</x:f>
        <x:v>62.5</x:v>
      </x:c>
      <x:c r="X53" s="10" t="n">
        <x:f>N53/'Assumptions'!$J$75*'Assumptions'!$AF$75</x:f>
        <x:v>0</x:v>
      </x:c>
      <x:c r="Y53" s="10" t="n">
        <x:f>P53/'Assumptions'!$J$75</x:f>
        <x:v>0</x:v>
      </x:c>
      <x:c r="Z53" s="10" t="n">
        <x:f>'Assumptions'!$AB$75</x:f>
        <x:v>20</x:v>
      </x:c>
      <x:c r="AA53" s="10" t="n">
        <x:f>Z53*'Assumptions'!$AC$75*'Assumptions'!$D$11*(1+'Assumptions'!$D$13)^(1-1)</x:f>
        <x:v>1000</x:v>
      </x:c>
      <x:c r="AB53" s="10" t="n">
        <x:f>F53/1</x:f>
        <x:v>250</x:v>
      </x:c>
      <x:c r="AC53" s="10" t="n">
        <x:f>AB53/'Assumptions'!$AM$75</x:f>
        <x:v>5000</x:v>
      </x:c>
      <x:c r="AD53" s="10" t="n">
        <x:f>IF(AB53=0,0,T53/AB53)</x:f>
        <x:v>7.2265</x:v>
      </x:c>
      <x:c r="AE53" s="10" t="n">
        <x:f>AA53*'Assumptions'!$D$21</x:f>
        <x:v>0</x:v>
      </x:c>
    </x:row>
    <x:row r="54" ht="16" customHeight="1">
      <x:c r="A54" s="1"/>
      <x:c r="B54" s="1"/>
      <x:c r="C54" s="1" t="str">
        <x:v>DOT-047</x:v>
      </x:c>
      <x:c r="D54" s="10" t="str">
        <x:v>LavaLearning adult</x:v>
      </x:c>
      <x:c r="E54" s="10" t="n">
        <x:v>1</x:v>
      </x:c>
      <x:c r="F54" s="21" t="n">
        <x:f>'Assumptions'!$I$76*'Assumptions'!$J$76/12*'Assumptions'!$D$9*'Assumptions'!$D$8</x:f>
        <x:v>150</x:v>
      </x:c>
      <x:c r="G54" s="21" t="n">
        <x:f>0</x:f>
        <x:v>0</x:v>
      </x:c>
      <x:c r="H54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54+G54,NA())</x:f>
        <x:v>150</x:v>
      </x:c>
      <x:c r="I54" s="22" t="n">
        <x:f>'Assumptions'!$H$76*IF('Assumptions'!$O$76=1,1,'Assumptions'!$D$10)*(1+'Assumptions'!$N$76)^(1-1)</x:f>
        <x:v>79</x:v>
      </x:c>
      <x:c r="J54" s="10" t="n">
        <x:f>H54*I54</x:f>
        <x:v>11850</x:v>
      </x:c>
      <x:c r="K54" s="10" t="n">
        <x:f>J54*'Assumptions'!$T$76</x:f>
        <x:v>11850</x:v>
      </x:c>
      <x:c r="L54" s="10" t="n">
        <x:f>K54*'Assumptions'!$U$76</x:f>
        <x:v>355.5</x:v>
      </x:c>
      <x:c r="M54" s="10" t="n">
        <x:f>K54*'Assumptions'!$V$76</x:f>
        <x:v>0</x:v>
      </x:c>
      <x:c r="N54" s="10" t="n">
        <x:f>K54-L54-M54</x:f>
        <x:v>11494.5</x:v>
      </x:c>
      <x:c r="O54" s="10" t="n">
        <x:f>H54*'Assumptions'!$P$76*'Assumptions'!$Q$76*'Assumptions'!$D$11*(1+'Assumptions'!$D$13)^(1-1)</x:f>
        <x:v>787.5</x:v>
      </x:c>
      <x:c r="P54" s="10" t="n">
        <x:f>H54*'Assumptions'!$R$76*'Assumptions'!$D$11*(1+'Assumptions'!$D$13)^(1-1)</x:f>
        <x:v>0</x:v>
      </x:c>
      <x:c r="Q54" s="10" t="n">
        <x:f>J54*'Assumptions'!$S$76</x:f>
        <x:v>0</x:v>
      </x:c>
      <x:c r="R54" s="10" t="n">
        <x:f>H54*'Assumptions'!$Y$76*'Assumptions'!$Z$76*'Assumptions'!$D$11*(1+'Assumptions'!$D$13)^(1-1)</x:f>
        <x:v>450</x:v>
      </x:c>
      <x:c r="S54" s="10" t="n">
        <x:f>IF(I54=0,0,J54*'Assumptions'!$W$76+H54*'Assumptions'!$X$76)</x:f>
        <x:v>388.65000000000003</x:v>
      </x:c>
      <x:c r="T54" s="10" t="n">
        <x:f>N54*'Assumptions'!$AA$76</x:f>
        <x:v>574.725</x:v>
      </x:c>
      <x:c r="U54" s="10" t="n">
        <x:f>'Assumptions'!$AE$76*'Assumptions'!$D$11*(1+'Assumptions'!$D$13)^(1-1)</x:f>
        <x:v>0</x:v>
      </x:c>
      <x:c r="V54" s="10" t="n">
        <x:f>'Assumptions'!$AD$76*'Assumptions'!$D$11</x:f>
        <x:v>0</x:v>
      </x:c>
      <x:c r="W54" s="10" t="n">
        <x:f>H54*('Assumptions'!$P$76+'Assumptions'!$Y$76)</x:f>
        <x:v>37.5</x:v>
      </x:c>
      <x:c r="X54" s="10" t="n">
        <x:f>N54/'Assumptions'!$J$76*'Assumptions'!$AF$76</x:f>
        <x:v>0</x:v>
      </x:c>
      <x:c r="Y54" s="10" t="n">
        <x:f>P54/'Assumptions'!$J$76</x:f>
        <x:v>0</x:v>
      </x:c>
      <x:c r="Z54" s="10" t="n">
        <x:f>'Assumptions'!$AB$76</x:f>
        <x:v>20</x:v>
      </x:c>
      <x:c r="AA54" s="10" t="n">
        <x:f>Z54*'Assumptions'!$AC$76*'Assumptions'!$D$11*(1+'Assumptions'!$D$13)^(1-1)</x:f>
        <x:v>1000</x:v>
      </x:c>
      <x:c r="AB54" s="10" t="n">
        <x:f>F54/1</x:f>
        <x:v>150</x:v>
      </x:c>
      <x:c r="AC54" s="10" t="n">
        <x:f>AB54/'Assumptions'!$AM$76</x:f>
        <x:v>3000</x:v>
      </x:c>
      <x:c r="AD54" s="10" t="n">
        <x:f>IF(AB54=0,0,T54/AB54)</x:f>
        <x:v>3.8315</x:v>
      </x:c>
      <x:c r="AE54" s="10" t="n">
        <x:f>AA54*'Assumptions'!$D$21</x:f>
        <x:v>0</x:v>
      </x:c>
    </x:row>
    <x:row r="55" ht="16" customHeight="1">
      <x:c r="A55" s="1"/>
      <x:c r="B55" s="1"/>
      <x:c r="C55" s="1" t="str">
        <x:v>DOT-048</x:v>
      </x:c>
      <x:c r="D55" s="10" t="str">
        <x:v>Turbo Tax - Made Easy!</x:v>
      </x:c>
      <x:c r="E55" s="10" t="n">
        <x:v>1</x:v>
      </x:c>
      <x:c r="F55" s="21" t="n">
        <x:f>'Assumptions'!$I$77*'Assumptions'!$J$77/12*'Assumptions'!$D$9*'Assumptions'!$D$8</x:f>
        <x:v>500</x:v>
      </x:c>
      <x:c r="G55" s="21" t="n">
        <x:f>0</x:f>
        <x:v>0</x:v>
      </x:c>
      <x:c r="H55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55+G55,NA())</x:f>
        <x:v>500</x:v>
      </x:c>
      <x:c r="I55" s="22" t="n">
        <x:f>'Assumptions'!$H$77*IF('Assumptions'!$O$77=1,1,'Assumptions'!$D$10)*(1+'Assumptions'!$N$77)^(1-1)</x:f>
        <x:v>19</x:v>
      </x:c>
      <x:c r="J55" s="10" t="n">
        <x:f>H55*I55</x:f>
        <x:v>9500</x:v>
      </x:c>
      <x:c r="K55" s="10" t="n">
        <x:f>J55*'Assumptions'!$T$77</x:f>
        <x:v>9500</x:v>
      </x:c>
      <x:c r="L55" s="10" t="n">
        <x:f>K55*'Assumptions'!$U$77</x:f>
        <x:v>285</x:v>
      </x:c>
      <x:c r="M55" s="10" t="n">
        <x:f>K55*'Assumptions'!$V$77</x:f>
        <x:v>0</x:v>
      </x:c>
      <x:c r="N55" s="10" t="n">
        <x:f>K55-L55-M55</x:f>
        <x:v>9215</x:v>
      </x:c>
      <x:c r="O55" s="10" t="n">
        <x:f>H55*'Assumptions'!$P$77*'Assumptions'!$Q$77*'Assumptions'!$D$11*(1+'Assumptions'!$D$13)^(1-1)</x:f>
        <x:v>2625</x:v>
      </x:c>
      <x:c r="P55" s="10" t="n">
        <x:f>H55*'Assumptions'!$R$77*'Assumptions'!$D$11*(1+'Assumptions'!$D$13)^(1-1)</x:f>
        <x:v>0</x:v>
      </x:c>
      <x:c r="Q55" s="10" t="n">
        <x:f>J55*'Assumptions'!$S$77</x:f>
        <x:v>0</x:v>
      </x:c>
      <x:c r="R55" s="10" t="n">
        <x:f>H55*'Assumptions'!$Y$77*'Assumptions'!$Z$77*'Assumptions'!$D$11*(1+'Assumptions'!$D$13)^(1-1)</x:f>
        <x:v>1500</x:v>
      </x:c>
      <x:c r="S55" s="10" t="n">
        <x:f>IF(I55=0,0,J55*'Assumptions'!$W$77+H55*'Assumptions'!$X$77)</x:f>
        <x:v>425.5</x:v>
      </x:c>
      <x:c r="T55" s="10" t="n">
        <x:f>N55*'Assumptions'!$AA$77</x:f>
        <x:v>460.75</x:v>
      </x:c>
      <x:c r="U55" s="10" t="n">
        <x:f>'Assumptions'!$AE$77*'Assumptions'!$D$11*(1+'Assumptions'!$D$13)^(1-1)</x:f>
        <x:v>0</x:v>
      </x:c>
      <x:c r="V55" s="10" t="n">
        <x:f>'Assumptions'!$AD$77*'Assumptions'!$D$11</x:f>
        <x:v>0</x:v>
      </x:c>
      <x:c r="W55" s="10" t="n">
        <x:f>H55*('Assumptions'!$P$77+'Assumptions'!$Y$77)</x:f>
        <x:v>125</x:v>
      </x:c>
      <x:c r="X55" s="10" t="n">
        <x:f>N55/'Assumptions'!$J$77*'Assumptions'!$AF$77</x:f>
        <x:v>0</x:v>
      </x:c>
      <x:c r="Y55" s="10" t="n">
        <x:f>P55/'Assumptions'!$J$77</x:f>
        <x:v>0</x:v>
      </x:c>
      <x:c r="Z55" s="10" t="n">
        <x:f>'Assumptions'!$AB$77</x:f>
        <x:v>30</x:v>
      </x:c>
      <x:c r="AA55" s="10" t="n">
        <x:f>Z55*'Assumptions'!$AC$77*'Assumptions'!$D$11*(1+'Assumptions'!$D$13)^(1-1)</x:f>
        <x:v>1500</x:v>
      </x:c>
      <x:c r="AB55" s="10" t="n">
        <x:f>F55/1</x:f>
        <x:v>500</x:v>
      </x:c>
      <x:c r="AC55" s="10" t="n">
        <x:f>AB55/'Assumptions'!$AM$77</x:f>
        <x:v>10000</x:v>
      </x:c>
      <x:c r="AD55" s="10" t="n">
        <x:f>IF(AB55=0,0,T55/AB55)</x:f>
        <x:v>0.9215</x:v>
      </x:c>
      <x:c r="AE55" s="10" t="n">
        <x:f>AA55*'Assumptions'!$D$21</x:f>
        <x:v>0</x:v>
      </x:c>
    </x:row>
    <x:row r="56" ht="16" customHeight="1">
      <x:c r="A56" s="1"/>
      <x:c r="B56" s="1"/>
      <x:c r="C56" s="1" t="str">
        <x:v>DOT-049</x:v>
      </x:c>
      <x:c r="D56" s="10" t="str">
        <x:v>Turbo Tax - Made Easy!</x:v>
      </x:c>
      <x:c r="E56" s="10" t="n">
        <x:v>1</x:v>
      </x:c>
      <x:c r="F56" s="21" t="n">
        <x:f>'Assumptions'!$I$78*'Assumptions'!$J$78/12*'Assumptions'!$D$9*'Assumptions'!$D$8</x:f>
        <x:v>100</x:v>
      </x:c>
      <x:c r="G56" s="21" t="n">
        <x:f>0</x:f>
        <x:v>0</x:v>
      </x:c>
      <x:c r="H56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56+G56,NA())</x:f>
        <x:v>100</x:v>
      </x:c>
      <x:c r="I56" s="22" t="n">
        <x:f>'Assumptions'!$H$78*IF('Assumptions'!$O$78=1,1,'Assumptions'!$D$10)*(1+'Assumptions'!$N$78)^(1-1)</x:f>
        <x:v>19</x:v>
      </x:c>
      <x:c r="J56" s="10" t="n">
        <x:f>H56*I56</x:f>
        <x:v>1900</x:v>
      </x:c>
      <x:c r="K56" s="10" t="n">
        <x:f>J56*'Assumptions'!$T$78</x:f>
        <x:v>1900</x:v>
      </x:c>
      <x:c r="L56" s="10" t="n">
        <x:f>K56*'Assumptions'!$U$78</x:f>
        <x:v>57</x:v>
      </x:c>
      <x:c r="M56" s="10" t="n">
        <x:f>K56*'Assumptions'!$V$78</x:f>
        <x:v>0</x:v>
      </x:c>
      <x:c r="N56" s="10" t="n">
        <x:f>K56-L56-M56</x:f>
        <x:v>1843</x:v>
      </x:c>
      <x:c r="O56" s="10" t="n">
        <x:f>H56*'Assumptions'!$P$78*'Assumptions'!$Q$78*'Assumptions'!$D$11*(1+'Assumptions'!$D$13)^(1-1)</x:f>
        <x:v>525</x:v>
      </x:c>
      <x:c r="P56" s="10" t="n">
        <x:f>H56*'Assumptions'!$R$78*'Assumptions'!$D$11*(1+'Assumptions'!$D$13)^(1-1)</x:f>
        <x:v>0</x:v>
      </x:c>
      <x:c r="Q56" s="10" t="n">
        <x:f>J56*'Assumptions'!$S$78</x:f>
        <x:v>0</x:v>
      </x:c>
      <x:c r="R56" s="10" t="n">
        <x:f>H56*'Assumptions'!$Y$78*'Assumptions'!$Z$78*'Assumptions'!$D$11*(1+'Assumptions'!$D$13)^(1-1)</x:f>
        <x:v>300</x:v>
      </x:c>
      <x:c r="S56" s="10" t="n">
        <x:f>IF(I56=0,0,J56*'Assumptions'!$W$78+H56*'Assumptions'!$X$78)</x:f>
        <x:v>85.1</x:v>
      </x:c>
      <x:c r="T56" s="10" t="n">
        <x:f>N56*'Assumptions'!$AA$78</x:f>
        <x:v>92.15</x:v>
      </x:c>
      <x:c r="U56" s="10" t="n">
        <x:f>'Assumptions'!$AE$78*'Assumptions'!$D$11*(1+'Assumptions'!$D$13)^(1-1)</x:f>
        <x:v>0</x:v>
      </x:c>
      <x:c r="V56" s="10" t="n">
        <x:f>'Assumptions'!$AD$78*'Assumptions'!$D$11</x:f>
        <x:v>0</x:v>
      </x:c>
      <x:c r="W56" s="10" t="n">
        <x:f>H56*('Assumptions'!$P$78+'Assumptions'!$Y$78)</x:f>
        <x:v>25</x:v>
      </x:c>
      <x:c r="X56" s="10" t="n">
        <x:f>N56/'Assumptions'!$J$78*'Assumptions'!$AF$78</x:f>
        <x:v>0</x:v>
      </x:c>
      <x:c r="Y56" s="10" t="n">
        <x:f>P56/'Assumptions'!$J$78</x:f>
        <x:v>0</x:v>
      </x:c>
      <x:c r="Z56" s="10" t="n">
        <x:f>'Assumptions'!$AB$78</x:f>
        <x:v>30</x:v>
      </x:c>
      <x:c r="AA56" s="10" t="n">
        <x:f>Z56*'Assumptions'!$AC$78*'Assumptions'!$D$11*(1+'Assumptions'!$D$13)^(1-1)</x:f>
        <x:v>1500</x:v>
      </x:c>
      <x:c r="AB56" s="10" t="n">
        <x:f>F56/1</x:f>
        <x:v>100</x:v>
      </x:c>
      <x:c r="AC56" s="10" t="n">
        <x:f>AB56/'Assumptions'!$AM$78</x:f>
        <x:v>2000</x:v>
      </x:c>
      <x:c r="AD56" s="10" t="n">
        <x:f>IF(AB56=0,0,T56/AB56)</x:f>
        <x:v>0.9215000000000001</x:v>
      </x:c>
      <x:c r="AE56" s="10" t="n">
        <x:f>AA56*'Assumptions'!$D$21</x:f>
        <x:v>0</x:v>
      </x:c>
    </x:row>
    <x:row r="57" ht="16" customHeight="1">
      <x:c r="A57" s="1"/>
      <x:c r="B57" s="1"/>
      <x:c r="C57" s="1" t="str">
        <x:v>DOT-050</x:v>
      </x:c>
      <x:c r="D57" s="10" t="str">
        <x:v>LavaLearning adult</x:v>
      </x:c>
      <x:c r="E57" s="10" t="n">
        <x:v>1</x:v>
      </x:c>
      <x:c r="F57" s="21" t="n">
        <x:f>'Assumptions'!$I$79*'Assumptions'!$J$79/12*'Assumptions'!$D$9*'Assumptions'!$D$8</x:f>
        <x:v>450</x:v>
      </x:c>
      <x:c r="G57" s="21" t="n">
        <x:f>0</x:f>
        <x:v>0</x:v>
      </x:c>
      <x:c r="H57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57+G57,NA())</x:f>
        <x:v>450</x:v>
      </x:c>
      <x:c r="I57" s="22" t="n">
        <x:f>'Assumptions'!$H$79*IF('Assumptions'!$O$79=1,1,'Assumptions'!$D$10)*(1+'Assumptions'!$N$79)^(1-1)</x:f>
        <x:v>19</x:v>
      </x:c>
      <x:c r="J57" s="10" t="n">
        <x:f>H57*I57</x:f>
        <x:v>8550</x:v>
      </x:c>
      <x:c r="K57" s="10" t="n">
        <x:f>J57*'Assumptions'!$T$79</x:f>
        <x:v>8550</x:v>
      </x:c>
      <x:c r="L57" s="10" t="n">
        <x:f>K57*'Assumptions'!$U$79</x:f>
        <x:v>256.5</x:v>
      </x:c>
      <x:c r="M57" s="10" t="n">
        <x:f>K57*'Assumptions'!$V$79</x:f>
        <x:v>0</x:v>
      </x:c>
      <x:c r="N57" s="10" t="n">
        <x:f>K57-L57-M57</x:f>
        <x:v>8293.5</x:v>
      </x:c>
      <x:c r="O57" s="10" t="n">
        <x:f>H57*'Assumptions'!$P$79*'Assumptions'!$Q$79*'Assumptions'!$D$11*(1+'Assumptions'!$D$13)^(1-1)</x:f>
        <x:v>2362.5</x:v>
      </x:c>
      <x:c r="P57" s="10" t="n">
        <x:f>H57*'Assumptions'!$R$79*'Assumptions'!$D$11*(1+'Assumptions'!$D$13)^(1-1)</x:f>
        <x:v>0</x:v>
      </x:c>
      <x:c r="Q57" s="10" t="n">
        <x:f>J57*'Assumptions'!$S$79</x:f>
        <x:v>0</x:v>
      </x:c>
      <x:c r="R57" s="10" t="n">
        <x:f>H57*'Assumptions'!$Y$79*'Assumptions'!$Z$79*'Assumptions'!$D$11*(1+'Assumptions'!$D$13)^(1-1)</x:f>
        <x:v>1350</x:v>
      </x:c>
      <x:c r="S57" s="10" t="n">
        <x:f>IF(I57=0,0,J57*'Assumptions'!$W$79+H57*'Assumptions'!$X$79)</x:f>
        <x:v>382.95000000000005</x:v>
      </x:c>
      <x:c r="T57" s="10" t="n">
        <x:f>N57*'Assumptions'!$AA$79</x:f>
        <x:v>414.675</x:v>
      </x:c>
      <x:c r="U57" s="10" t="n">
        <x:f>'Assumptions'!$AE$79*'Assumptions'!$D$11*(1+'Assumptions'!$D$13)^(1-1)</x:f>
        <x:v>0</x:v>
      </x:c>
      <x:c r="V57" s="10" t="n">
        <x:f>'Assumptions'!$AD$79*'Assumptions'!$D$11</x:f>
        <x:v>0</x:v>
      </x:c>
      <x:c r="W57" s="10" t="n">
        <x:f>H57*('Assumptions'!$P$79+'Assumptions'!$Y$79)</x:f>
        <x:v>112.5</x:v>
      </x:c>
      <x:c r="X57" s="10" t="n">
        <x:f>N57/'Assumptions'!$J$79*'Assumptions'!$AF$79</x:f>
        <x:v>0</x:v>
      </x:c>
      <x:c r="Y57" s="10" t="n">
        <x:f>P57/'Assumptions'!$J$79</x:f>
        <x:v>0</x:v>
      </x:c>
      <x:c r="Z57" s="10" t="n">
        <x:f>'Assumptions'!$AB$79</x:f>
        <x:v>40</x:v>
      </x:c>
      <x:c r="AA57" s="10" t="n">
        <x:f>Z57*'Assumptions'!$AC$79*'Assumptions'!$D$11*(1+'Assumptions'!$D$13)^(1-1)</x:f>
        <x:v>2000</x:v>
      </x:c>
      <x:c r="AB57" s="10" t="n">
        <x:f>F57/1</x:f>
        <x:v>450</x:v>
      </x:c>
      <x:c r="AC57" s="10" t="n">
        <x:f>AB57/'Assumptions'!$AM$79</x:f>
        <x:v>9000</x:v>
      </x:c>
      <x:c r="AD57" s="10" t="n">
        <x:f>IF(AB57=0,0,T57/AB57)</x:f>
        <x:v>0.9215</x:v>
      </x:c>
      <x:c r="AE57" s="10" t="n">
        <x:f>AA57*'Assumptions'!$D$21</x:f>
        <x:v>0</x:v>
      </x:c>
    </x:row>
    <x:row r="58" ht="16" customHeight="1">
      <x:c r="A58" s="1"/>
      <x:c r="B58" s="1"/>
      <x:c r="C58" s="1" t="str">
        <x:v>DOT-051</x:v>
      </x:c>
      <x:c r="D58" s="10" t="str">
        <x:v>LavaLearning adult</x:v>
      </x:c>
      <x:c r="E58" s="10" t="n">
        <x:v>1</x:v>
      </x:c>
      <x:c r="F58" s="21" t="n">
        <x:f>'Assumptions'!$I$80*'Assumptions'!$J$80/12*'Assumptions'!$D$9*'Assumptions'!$D$8</x:f>
        <x:v>60</x:v>
      </x:c>
      <x:c r="G58" s="21" t="n">
        <x:f>0</x:f>
        <x:v>0</x:v>
      </x:c>
      <x:c r="H58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58+G58,NA())</x:f>
        <x:v>60</x:v>
      </x:c>
      <x:c r="I58" s="22" t="n">
        <x:f>'Assumptions'!$H$80*IF('Assumptions'!$O$80=1,1,'Assumptions'!$D$10)*(1+'Assumptions'!$N$80)^(1-1)</x:f>
        <x:v>29</x:v>
      </x:c>
      <x:c r="J58" s="10" t="n">
        <x:f>H58*I58</x:f>
        <x:v>1740</x:v>
      </x:c>
      <x:c r="K58" s="10" t="n">
        <x:f>J58*'Assumptions'!$T$80</x:f>
        <x:v>1740</x:v>
      </x:c>
      <x:c r="L58" s="10" t="n">
        <x:f>K58*'Assumptions'!$U$80</x:f>
        <x:v>52.199999999999996</x:v>
      </x:c>
      <x:c r="M58" s="10" t="n">
        <x:f>K58*'Assumptions'!$V$80</x:f>
        <x:v>0</x:v>
      </x:c>
      <x:c r="N58" s="10" t="n">
        <x:f>K58-L58-M58</x:f>
        <x:v>1687.8</x:v>
      </x:c>
      <x:c r="O58" s="10" t="n">
        <x:f>H58*'Assumptions'!$P$80*'Assumptions'!$Q$80*'Assumptions'!$D$11*(1+'Assumptions'!$D$13)^(1-1)</x:f>
        <x:v>315</x:v>
      </x:c>
      <x:c r="P58" s="10" t="n">
        <x:f>H58*'Assumptions'!$R$80*'Assumptions'!$D$11*(1+'Assumptions'!$D$13)^(1-1)</x:f>
        <x:v>0</x:v>
      </x:c>
      <x:c r="Q58" s="10" t="n">
        <x:f>J58*'Assumptions'!$S$80</x:f>
        <x:v>0</x:v>
      </x:c>
      <x:c r="R58" s="10" t="n">
        <x:f>H58*'Assumptions'!$Y$80*'Assumptions'!$Z$80*'Assumptions'!$D$11*(1+'Assumptions'!$D$13)^(1-1)</x:f>
        <x:v>180</x:v>
      </x:c>
      <x:c r="S58" s="10" t="n">
        <x:f>IF(I58=0,0,J58*'Assumptions'!$W$80+H58*'Assumptions'!$X$80)</x:f>
        <x:v>68.46000000000001</x:v>
      </x:c>
      <x:c r="T58" s="10" t="n">
        <x:f>N58*'Assumptions'!$AA$80</x:f>
        <x:v>84.39</x:v>
      </x:c>
      <x:c r="U58" s="10" t="n">
        <x:f>'Assumptions'!$AE$80*'Assumptions'!$D$11*(1+'Assumptions'!$D$13)^(1-1)</x:f>
        <x:v>0</x:v>
      </x:c>
      <x:c r="V58" s="10" t="n">
        <x:f>'Assumptions'!$AD$80*'Assumptions'!$D$11</x:f>
        <x:v>0</x:v>
      </x:c>
      <x:c r="W58" s="10" t="n">
        <x:f>H58*('Assumptions'!$P$80+'Assumptions'!$Y$80)</x:f>
        <x:v>15</x:v>
      </x:c>
      <x:c r="X58" s="10" t="n">
        <x:f>N58/'Assumptions'!$J$80*'Assumptions'!$AF$80</x:f>
        <x:v>0</x:v>
      </x:c>
      <x:c r="Y58" s="10" t="n">
        <x:f>P58/'Assumptions'!$J$80</x:f>
        <x:v>0</x:v>
      </x:c>
      <x:c r="Z58" s="10" t="n">
        <x:f>'Assumptions'!$AB$80</x:f>
        <x:v>20</x:v>
      </x:c>
      <x:c r="AA58" s="10" t="n">
        <x:f>Z58*'Assumptions'!$AC$80*'Assumptions'!$D$11*(1+'Assumptions'!$D$13)^(1-1)</x:f>
        <x:v>1000</x:v>
      </x:c>
      <x:c r="AB58" s="10" t="n">
        <x:f>F58/1</x:f>
        <x:v>60</x:v>
      </x:c>
      <x:c r="AC58" s="10" t="n">
        <x:f>AB58/'Assumptions'!$AM$80</x:f>
        <x:v>1200</x:v>
      </x:c>
      <x:c r="AD58" s="10" t="n">
        <x:f>IF(AB58=0,0,T58/AB58)</x:f>
        <x:v>1.4065</x:v>
      </x:c>
      <x:c r="AE58" s="10" t="n">
        <x:f>AA58*'Assumptions'!$D$21</x:f>
        <x:v>0</x:v>
      </x:c>
    </x:row>
    <x:row r="59" ht="16" customHeight="1">
      <x:c r="A59" s="1"/>
      <x:c r="B59" s="1"/>
      <x:c r="C59" s="1" t="str">
        <x:v>DOT-052</x:v>
      </x:c>
      <x:c r="D59" s="10" t="str">
        <x:v>LavaLearning Model Life</x:v>
      </x:c>
      <x:c r="E59" s="10" t="n">
        <x:v>1</x:v>
      </x:c>
      <x:c r="F59" s="21" t="n">
        <x:f>'Assumptions'!$I$81*'Assumptions'!$J$81/12*'Assumptions'!$D$9*'Assumptions'!$D$8</x:f>
        <x:v>0</x:v>
      </x:c>
      <x:c r="G59" s="21" t="n">
        <x:f>0</x:f>
        <x:v>0</x:v>
      </x:c>
      <x:c r="H59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59+G59,NA())</x:f>
        <x:v>0</x:v>
      </x:c>
      <x:c r="I59" s="22" t="n">
        <x:f>'Assumptions'!$H$81*IF('Assumptions'!$O$81=1,1,'Assumptions'!$D$10)*(1+'Assumptions'!$N$81)^(1-1)</x:f>
        <x:v>0</x:v>
      </x:c>
      <x:c r="J59" s="10" t="n">
        <x:f>H59*I59</x:f>
        <x:v>0</x:v>
      </x:c>
      <x:c r="K59" s="10" t="n">
        <x:f>J59*'Assumptions'!$T$81</x:f>
        <x:v>0</x:v>
      </x:c>
      <x:c r="L59" s="10" t="n">
        <x:f>K59*'Assumptions'!$U$81</x:f>
        <x:v>0</x:v>
      </x:c>
      <x:c r="M59" s="10" t="n">
        <x:f>K59*'Assumptions'!$V$81</x:f>
        <x:v>0</x:v>
      </x:c>
      <x:c r="N59" s="10" t="n">
        <x:f>K59-L59-M59</x:f>
        <x:v>0</x:v>
      </x:c>
      <x:c r="O59" s="10" t="n">
        <x:f>H59*'Assumptions'!$P$81*'Assumptions'!$Q$81*'Assumptions'!$D$11*(1+'Assumptions'!$D$13)^(1-1)</x:f>
        <x:v>0</x:v>
      </x:c>
      <x:c r="P59" s="10" t="n">
        <x:f>H59*'Assumptions'!$R$81*'Assumptions'!$D$11*(1+'Assumptions'!$D$13)^(1-1)</x:f>
        <x:v>0</x:v>
      </x:c>
      <x:c r="Q59" s="10" t="n">
        <x:f>J59*'Assumptions'!$S$81</x:f>
        <x:v>0</x:v>
      </x:c>
      <x:c r="R59" s="10" t="n">
        <x:f>H59*'Assumptions'!$Y$81*'Assumptions'!$Z$81*'Assumptions'!$D$11*(1+'Assumptions'!$D$13)^(1-1)</x:f>
        <x:v>0</x:v>
      </x:c>
      <x:c r="S59" s="10" t="n">
        <x:f>IF(I59=0,0,J59*'Assumptions'!$W$81+H59*'Assumptions'!$X$81)</x:f>
        <x:v>0</x:v>
      </x:c>
      <x:c r="T59" s="10" t="n">
        <x:f>N59*'Assumptions'!$AA$81</x:f>
        <x:v>0</x:v>
      </x:c>
      <x:c r="U59" s="10" t="n">
        <x:f>'Assumptions'!$AE$81*'Assumptions'!$D$11*(1+'Assumptions'!$D$13)^(1-1)</x:f>
        <x:v>0</x:v>
      </x:c>
      <x:c r="V59" s="10" t="n">
        <x:f>'Assumptions'!$AD$81*'Assumptions'!$D$11</x:f>
        <x:v>0</x:v>
      </x:c>
      <x:c r="W59" s="10" t="n">
        <x:f>H59*('Assumptions'!$P$81+'Assumptions'!$Y$81)</x:f>
        <x:v>0</x:v>
      </x:c>
      <x:c r="X59" s="10" t="n">
        <x:f>N59/'Assumptions'!$J$81*'Assumptions'!$AF$81</x:f>
        <x:v>0</x:v>
      </x:c>
      <x:c r="Y59" s="10" t="n">
        <x:f>P59/'Assumptions'!$J$81</x:f>
        <x:v>0</x:v>
      </x:c>
      <x:c r="Z59" s="10" t="n">
        <x:f>'Assumptions'!$AB$81</x:f>
        <x:v>0</x:v>
      </x:c>
      <x:c r="AA59" s="10" t="n">
        <x:f>Z59*'Assumptions'!$AC$81*'Assumptions'!$D$11*(1+'Assumptions'!$D$13)^(1-1)</x:f>
        <x:v>0</x:v>
      </x:c>
      <x:c r="AB59" s="10" t="n">
        <x:f>F59/1</x:f>
        <x:v>0</x:v>
      </x:c>
      <x:c r="AC59" s="10" t="n">
        <x:f>AB59/'Assumptions'!$AM$81</x:f>
        <x:v>0</x:v>
      </x:c>
      <x:c r="AD59" s="10" t="n">
        <x:f>IF(AB59=0,0,T59/AB59)</x:f>
        <x:v>0</x:v>
      </x:c>
      <x:c r="AE59" s="10" t="n">
        <x:f>AA59*'Assumptions'!$D$21</x:f>
        <x:v>0</x:v>
      </x:c>
    </x:row>
    <x:row r="60" ht="16" customHeight="1">
      <x:c r="A60" s="1"/>
      <x:c r="B60" s="1"/>
      <x:c r="C60" s="1" t="str">
        <x:v>DOT-053</x:v>
      </x:c>
      <x:c r="D60" s="10" t="str">
        <x:v>LavaLearning Kids</x:v>
      </x:c>
      <x:c r="E60" s="10" t="n">
        <x:v>1</x:v>
      </x:c>
      <x:c r="F60" s="21" t="n">
        <x:f>'Assumptions'!$I$82*'Assumptions'!$J$82/12*'Assumptions'!$D$9*'Assumptions'!$D$8</x:f>
        <x:v>300</x:v>
      </x:c>
      <x:c r="G60" s="21" t="n">
        <x:f>0</x:f>
        <x:v>0</x:v>
      </x:c>
      <x:c r="H60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60+G60,NA())</x:f>
        <x:v>300</x:v>
      </x:c>
      <x:c r="I60" s="22" t="n">
        <x:f>'Assumptions'!$H$82*IF('Assumptions'!$O$82=1,1,'Assumptions'!$D$10)*(1+'Assumptions'!$N$82)^(1-1)</x:f>
        <x:v>19</x:v>
      </x:c>
      <x:c r="J60" s="10" t="n">
        <x:f>H60*I60</x:f>
        <x:v>5700</x:v>
      </x:c>
      <x:c r="K60" s="10" t="n">
        <x:f>J60*'Assumptions'!$T$82</x:f>
        <x:v>5700</x:v>
      </x:c>
      <x:c r="L60" s="10" t="n">
        <x:f>K60*'Assumptions'!$U$82</x:f>
        <x:v>171</x:v>
      </x:c>
      <x:c r="M60" s="10" t="n">
        <x:f>K60*'Assumptions'!$V$82</x:f>
        <x:v>0</x:v>
      </x:c>
      <x:c r="N60" s="10" t="n">
        <x:f>K60-L60-M60</x:f>
        <x:v>5529</x:v>
      </x:c>
      <x:c r="O60" s="10" t="n">
        <x:f>H60*'Assumptions'!$P$82*'Assumptions'!$Q$82*'Assumptions'!$D$11*(1+'Assumptions'!$D$13)^(1-1)</x:f>
        <x:v>1575</x:v>
      </x:c>
      <x:c r="P60" s="10" t="n">
        <x:f>H60*'Assumptions'!$R$82*'Assumptions'!$D$11*(1+'Assumptions'!$D$13)^(1-1)</x:f>
        <x:v>0</x:v>
      </x:c>
      <x:c r="Q60" s="10" t="n">
        <x:f>J60*'Assumptions'!$S$82</x:f>
        <x:v>0</x:v>
      </x:c>
      <x:c r="R60" s="10" t="n">
        <x:f>H60*'Assumptions'!$Y$82*'Assumptions'!$Z$82*'Assumptions'!$D$11*(1+'Assumptions'!$D$13)^(1-1)</x:f>
        <x:v>900</x:v>
      </x:c>
      <x:c r="S60" s="10" t="n">
        <x:f>IF(I60=0,0,J60*'Assumptions'!$W$82+H60*'Assumptions'!$X$82)</x:f>
        <x:v>255.3</x:v>
      </x:c>
      <x:c r="T60" s="10" t="n">
        <x:f>N60*'Assumptions'!$AA$82</x:f>
        <x:v>276.45</x:v>
      </x:c>
      <x:c r="U60" s="10" t="n">
        <x:f>'Assumptions'!$AE$82*'Assumptions'!$D$11*(1+'Assumptions'!$D$13)^(1-1)</x:f>
        <x:v>240</x:v>
      </x:c>
      <x:c r="V60" s="10" t="n">
        <x:f>'Assumptions'!$AD$82*'Assumptions'!$D$11</x:f>
        <x:v>0</x:v>
      </x:c>
      <x:c r="W60" s="10" t="n">
        <x:f>H60*('Assumptions'!$P$82+'Assumptions'!$Y$82)</x:f>
        <x:v>75</x:v>
      </x:c>
      <x:c r="X60" s="10" t="n">
        <x:f>N60/'Assumptions'!$J$82*'Assumptions'!$AF$82</x:f>
        <x:v>0</x:v>
      </x:c>
      <x:c r="Y60" s="10" t="n">
        <x:f>P60/'Assumptions'!$J$82</x:f>
        <x:v>0</x:v>
      </x:c>
      <x:c r="Z60" s="10" t="n">
        <x:f>'Assumptions'!$AB$82</x:f>
        <x:v>80</x:v>
      </x:c>
      <x:c r="AA60" s="10" t="n">
        <x:f>Z60*'Assumptions'!$AC$82*'Assumptions'!$D$11*(1+'Assumptions'!$D$13)^(1-1)</x:f>
        <x:v>4000</x:v>
      </x:c>
      <x:c r="AB60" s="10" t="n">
        <x:f>F60/1</x:f>
        <x:v>300</x:v>
      </x:c>
      <x:c r="AC60" s="10" t="n">
        <x:f>AB60/'Assumptions'!$AM$82</x:f>
        <x:v>6000</x:v>
      </x:c>
      <x:c r="AD60" s="10" t="n">
        <x:f>IF(AB60=0,0,T60/AB60)</x:f>
        <x:v>0.9215</x:v>
      </x:c>
      <x:c r="AE60" s="10" t="n">
        <x:f>AA60*'Assumptions'!$D$21</x:f>
        <x:v>0</x:v>
      </x:c>
    </x:row>
    <x:row r="61" ht="16" customHeight="1">
      <x:c r="A61" s="1"/>
      <x:c r="B61" s="1"/>
      <x:c r="C61" s="1" t="str">
        <x:v>DOT-054</x:v>
      </x:c>
      <x:c r="D61" s="10" t="str">
        <x:v>VraiSkill adult</x:v>
      </x:c>
      <x:c r="E61" s="10" t="n">
        <x:v>1</x:v>
      </x:c>
      <x:c r="F61" s="21" t="n">
        <x:f>'Assumptions'!$I$83*'Assumptions'!$J$83/12*'Assumptions'!$D$9*'Assumptions'!$D$8</x:f>
        <x:v>900</x:v>
      </x:c>
      <x:c r="G61" s="21" t="n">
        <x:f>0</x:f>
        <x:v>0</x:v>
      </x:c>
      <x:c r="H61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61+G61,NA())</x:f>
        <x:v>900</x:v>
      </x:c>
      <x:c r="I61" s="22" t="n">
        <x:f>'Assumptions'!$H$83*IF('Assumptions'!$O$83=1,1,'Assumptions'!$D$10)*(1+'Assumptions'!$N$83)^(1-1)</x:f>
        <x:v>9.99</x:v>
      </x:c>
      <x:c r="J61" s="10" t="n">
        <x:f>H61*I61</x:f>
        <x:v>8991</x:v>
      </x:c>
      <x:c r="K61" s="10" t="n">
        <x:f>J61*'Assumptions'!$T$83</x:f>
        <x:v>8991</x:v>
      </x:c>
      <x:c r="L61" s="10" t="n">
        <x:f>K61*'Assumptions'!$U$83</x:f>
        <x:v>269.73</x:v>
      </x:c>
      <x:c r="M61" s="10" t="n">
        <x:f>K61*'Assumptions'!$V$83</x:f>
        <x:v>0</x:v>
      </x:c>
      <x:c r="N61" s="10" t="n">
        <x:f>K61-L61-M61</x:f>
        <x:v>8721.27</x:v>
      </x:c>
      <x:c r="O61" s="10" t="n">
        <x:f>H61*'Assumptions'!$P$83*'Assumptions'!$Q$83*'Assumptions'!$D$11*(1+'Assumptions'!$D$13)^(1-1)</x:f>
        <x:v>4725</x:v>
      </x:c>
      <x:c r="P61" s="10" t="n">
        <x:f>H61*'Assumptions'!$R$83*'Assumptions'!$D$11*(1+'Assumptions'!$D$13)^(1-1)</x:f>
        <x:v>0</x:v>
      </x:c>
      <x:c r="Q61" s="10" t="n">
        <x:f>J61*'Assumptions'!$S$83</x:f>
        <x:v>0</x:v>
      </x:c>
      <x:c r="R61" s="10" t="n">
        <x:f>H61*'Assumptions'!$Y$83*'Assumptions'!$Z$83*'Assumptions'!$D$11*(1+'Assumptions'!$D$13)^(1-1)</x:f>
        <x:v>2700</x:v>
      </x:c>
      <x:c r="S61" s="10" t="n">
        <x:f>IF(I61=0,0,J61*'Assumptions'!$W$83+H61*'Assumptions'!$X$83)</x:f>
        <x:v>530.739</x:v>
      </x:c>
      <x:c r="T61" s="10" t="n">
        <x:f>N61*'Assumptions'!$AA$83</x:f>
        <x:v>436.06350000000003</x:v>
      </x:c>
      <x:c r="U61" s="10" t="n">
        <x:f>'Assumptions'!$AE$83*'Assumptions'!$D$11*(1+'Assumptions'!$D$13)^(1-1)</x:f>
        <x:v>240</x:v>
      </x:c>
      <x:c r="V61" s="10" t="n">
        <x:f>'Assumptions'!$AD$83*'Assumptions'!$D$11</x:f>
        <x:v>0</x:v>
      </x:c>
      <x:c r="W61" s="10" t="n">
        <x:f>H61*('Assumptions'!$P$83+'Assumptions'!$Y$83)</x:f>
        <x:v>225</x:v>
      </x:c>
      <x:c r="X61" s="10" t="n">
        <x:f>N61/'Assumptions'!$J$83*'Assumptions'!$AF$83</x:f>
        <x:v>0</x:v>
      </x:c>
      <x:c r="Y61" s="10" t="n">
        <x:f>P61/'Assumptions'!$J$83</x:f>
        <x:v>0</x:v>
      </x:c>
      <x:c r="Z61" s="10" t="n">
        <x:f>'Assumptions'!$AB$83</x:f>
        <x:v>60</x:v>
      </x:c>
      <x:c r="AA61" s="10" t="n">
        <x:f>Z61*'Assumptions'!$AC$83*'Assumptions'!$D$11*(1+'Assumptions'!$D$13)^(1-1)</x:f>
        <x:v>3000</x:v>
      </x:c>
      <x:c r="AB61" s="10" t="n">
        <x:f>F61/1</x:f>
        <x:v>900</x:v>
      </x:c>
      <x:c r="AC61" s="10" t="n">
        <x:f>AB61/'Assumptions'!$AM$83</x:f>
        <x:v>18000</x:v>
      </x:c>
      <x:c r="AD61" s="10" t="n">
        <x:f>IF(AB61=0,0,T61/AB61)</x:f>
        <x:v>0.48451500000000003</x:v>
      </x:c>
      <x:c r="AE61" s="10" t="n">
        <x:f>AA61*'Assumptions'!$D$21</x:f>
        <x:v>0</x:v>
      </x:c>
    </x:row>
    <x:row r="62" ht="16" customHeight="1">
      <x:c r="A62" s="1"/>
      <x:c r="B62" s="1"/>
      <x:c r="C62" s="1" t="str">
        <x:v>DOT-055</x:v>
      </x:c>
      <x:c r="D62" s="10" t="str">
        <x:v>VraiSkill adult</x:v>
      </x:c>
      <x:c r="E62" s="10" t="n">
        <x:v>1</x:v>
      </x:c>
      <x:c r="F62" s="21" t="n">
        <x:f>'Assumptions'!$I$84*'Assumptions'!$J$84/12*'Assumptions'!$D$9*'Assumptions'!$D$8</x:f>
        <x:v>300</x:v>
      </x:c>
      <x:c r="G62" s="21" t="n">
        <x:f>0</x:f>
        <x:v>0</x:v>
      </x:c>
      <x:c r="H62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62+G62,NA())</x:f>
        <x:v>300</x:v>
      </x:c>
      <x:c r="I62" s="22" t="n">
        <x:f>'Assumptions'!$H$84*IF('Assumptions'!$O$84=1,1,'Assumptions'!$D$10)*(1+'Assumptions'!$N$84)^(1-1)</x:f>
        <x:v>24</x:v>
      </x:c>
      <x:c r="J62" s="10" t="n">
        <x:f>H62*I62</x:f>
        <x:v>7200</x:v>
      </x:c>
      <x:c r="K62" s="10" t="n">
        <x:f>J62*'Assumptions'!$T$84</x:f>
        <x:v>7200</x:v>
      </x:c>
      <x:c r="L62" s="10" t="n">
        <x:f>K62*'Assumptions'!$U$84</x:f>
        <x:v>216</x:v>
      </x:c>
      <x:c r="M62" s="10" t="n">
        <x:f>K62*'Assumptions'!$V$84</x:f>
        <x:v>0</x:v>
      </x:c>
      <x:c r="N62" s="10" t="n">
        <x:f>K62-L62-M62</x:f>
        <x:v>6984</x:v>
      </x:c>
      <x:c r="O62" s="10" t="n">
        <x:f>H62*'Assumptions'!$P$84*'Assumptions'!$Q$84*'Assumptions'!$D$11*(1+'Assumptions'!$D$13)^(1-1)</x:f>
        <x:v>1575</x:v>
      </x:c>
      <x:c r="P62" s="10" t="n">
        <x:f>H62*'Assumptions'!$R$84*'Assumptions'!$D$11*(1+'Assumptions'!$D$13)^(1-1)</x:f>
        <x:v>0</x:v>
      </x:c>
      <x:c r="Q62" s="10" t="n">
        <x:f>J62*'Assumptions'!$S$84</x:f>
        <x:v>0</x:v>
      </x:c>
      <x:c r="R62" s="10" t="n">
        <x:f>H62*'Assumptions'!$Y$84*'Assumptions'!$Z$84*'Assumptions'!$D$11*(1+'Assumptions'!$D$13)^(1-1)</x:f>
        <x:v>900</x:v>
      </x:c>
      <x:c r="S62" s="10" t="n">
        <x:f>IF(I62=0,0,J62*'Assumptions'!$W$84+H62*'Assumptions'!$X$84)</x:f>
        <x:v>298.8</x:v>
      </x:c>
      <x:c r="T62" s="10" t="n">
        <x:f>N62*'Assumptions'!$AA$84</x:f>
        <x:v>349.20000000000005</x:v>
      </x:c>
      <x:c r="U62" s="10" t="n">
        <x:f>'Assumptions'!$AE$84*'Assumptions'!$D$11*(1+'Assumptions'!$D$13)^(1-1)</x:f>
        <x:v>0</x:v>
      </x:c>
      <x:c r="V62" s="10" t="n">
        <x:f>'Assumptions'!$AD$84*'Assumptions'!$D$11</x:f>
        <x:v>0</x:v>
      </x:c>
      <x:c r="W62" s="10" t="n">
        <x:f>H62*('Assumptions'!$P$84+'Assumptions'!$Y$84)</x:f>
        <x:v>75</x:v>
      </x:c>
      <x:c r="X62" s="10" t="n">
        <x:f>N62/'Assumptions'!$J$84*'Assumptions'!$AF$84</x:f>
        <x:v>0</x:v>
      </x:c>
      <x:c r="Y62" s="10" t="n">
        <x:f>P62/'Assumptions'!$J$84</x:f>
        <x:v>0</x:v>
      </x:c>
      <x:c r="Z62" s="10" t="n">
        <x:f>'Assumptions'!$AB$84</x:f>
        <x:v>0</x:v>
      </x:c>
      <x:c r="AA62" s="10" t="n">
        <x:f>Z62*'Assumptions'!$AC$84*'Assumptions'!$D$11*(1+'Assumptions'!$D$13)^(1-1)</x:f>
        <x:v>0</x:v>
      </x:c>
      <x:c r="AB62" s="10" t="n">
        <x:f>F62/1</x:f>
        <x:v>300</x:v>
      </x:c>
      <x:c r="AC62" s="10" t="n">
        <x:f>AB62/'Assumptions'!$AM$84</x:f>
        <x:v>6000</x:v>
      </x:c>
      <x:c r="AD62" s="10" t="n">
        <x:f>IF(AB62=0,0,T62/AB62)</x:f>
        <x:v>1.1640000000000001</x:v>
      </x:c>
      <x:c r="AE62" s="10" t="n">
        <x:f>AA62*'Assumptions'!$D$21</x:f>
        <x:v>0</x:v>
      </x:c>
    </x:row>
    <x:row r="63" ht="16" customHeight="1">
      <x:c r="A63" s="1"/>
      <x:c r="B63" s="1"/>
      <x:c r="C63" s="1" t="str">
        <x:v>DOT-056</x:v>
      </x:c>
      <x:c r="D63" s="10" t="str">
        <x:v>VraiSkill teen</x:v>
      </x:c>
      <x:c r="E63" s="10" t="n">
        <x:v>1</x:v>
      </x:c>
      <x:c r="F63" s="21" t="n">
        <x:f>'Assumptions'!$I$85*'Assumptions'!$J$85/12*'Assumptions'!$D$9*'Assumptions'!$D$8</x:f>
        <x:v>200</x:v>
      </x:c>
      <x:c r="G63" s="21" t="n">
        <x:f>0</x:f>
        <x:v>0</x:v>
      </x:c>
      <x:c r="H63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63+G63,NA())</x:f>
        <x:v>200</x:v>
      </x:c>
      <x:c r="I63" s="22" t="n">
        <x:f>'Assumptions'!$H$85*IF('Assumptions'!$O$85=1,1,'Assumptions'!$D$10)*(1+'Assumptions'!$N$85)^(1-1)</x:f>
        <x:v>24</x:v>
      </x:c>
      <x:c r="J63" s="10" t="n">
        <x:f>H63*I63</x:f>
        <x:v>4800</x:v>
      </x:c>
      <x:c r="K63" s="10" t="n">
        <x:f>J63*'Assumptions'!$T$85</x:f>
        <x:v>4800</x:v>
      </x:c>
      <x:c r="L63" s="10" t="n">
        <x:f>K63*'Assumptions'!$U$85</x:f>
        <x:v>144</x:v>
      </x:c>
      <x:c r="M63" s="10" t="n">
        <x:f>K63*'Assumptions'!$V$85</x:f>
        <x:v>0</x:v>
      </x:c>
      <x:c r="N63" s="10" t="n">
        <x:f>K63-L63-M63</x:f>
        <x:v>4656</x:v>
      </x:c>
      <x:c r="O63" s="10" t="n">
        <x:f>H63*'Assumptions'!$P$85*'Assumptions'!$Q$85*'Assumptions'!$D$11*(1+'Assumptions'!$D$13)^(1-1)</x:f>
        <x:v>1050</x:v>
      </x:c>
      <x:c r="P63" s="10" t="n">
        <x:f>H63*'Assumptions'!$R$85*'Assumptions'!$D$11*(1+'Assumptions'!$D$13)^(1-1)</x:f>
        <x:v>0</x:v>
      </x:c>
      <x:c r="Q63" s="10" t="n">
        <x:f>J63*'Assumptions'!$S$85</x:f>
        <x:v>0</x:v>
      </x:c>
      <x:c r="R63" s="10" t="n">
        <x:f>H63*'Assumptions'!$Y$85*'Assumptions'!$Z$85*'Assumptions'!$D$11*(1+'Assumptions'!$D$13)^(1-1)</x:f>
        <x:v>600</x:v>
      </x:c>
      <x:c r="S63" s="10" t="n">
        <x:f>IF(I63=0,0,J63*'Assumptions'!$W$85+H63*'Assumptions'!$X$85)</x:f>
        <x:v>199.20000000000002</x:v>
      </x:c>
      <x:c r="T63" s="10" t="n">
        <x:f>N63*'Assumptions'!$AA$85</x:f>
        <x:v>232.8</x:v>
      </x:c>
      <x:c r="U63" s="10" t="n">
        <x:f>'Assumptions'!$AE$85*'Assumptions'!$D$11*(1+'Assumptions'!$D$13)^(1-1)</x:f>
        <x:v>240</x:v>
      </x:c>
      <x:c r="V63" s="10" t="n">
        <x:f>'Assumptions'!$AD$85*'Assumptions'!$D$11</x:f>
        <x:v>0</x:v>
      </x:c>
      <x:c r="W63" s="10" t="n">
        <x:f>H63*('Assumptions'!$P$85+'Assumptions'!$Y$85)</x:f>
        <x:v>50</x:v>
      </x:c>
      <x:c r="X63" s="10" t="n">
        <x:f>N63/'Assumptions'!$J$85*'Assumptions'!$AF$85</x:f>
        <x:v>0</x:v>
      </x:c>
      <x:c r="Y63" s="10" t="n">
        <x:f>P63/'Assumptions'!$J$85</x:f>
        <x:v>0</x:v>
      </x:c>
      <x:c r="Z63" s="10" t="n">
        <x:f>'Assumptions'!$AB$85</x:f>
        <x:v>80</x:v>
      </x:c>
      <x:c r="AA63" s="10" t="n">
        <x:f>Z63*'Assumptions'!$AC$85*'Assumptions'!$D$11*(1+'Assumptions'!$D$13)^(1-1)</x:f>
        <x:v>4000</x:v>
      </x:c>
      <x:c r="AB63" s="10" t="n">
        <x:f>F63/1</x:f>
        <x:v>200</x:v>
      </x:c>
      <x:c r="AC63" s="10" t="n">
        <x:f>AB63/'Assumptions'!$AM$85</x:f>
        <x:v>4000</x:v>
      </x:c>
      <x:c r="AD63" s="10" t="n">
        <x:f>IF(AB63=0,0,T63/AB63)</x:f>
        <x:v>1.1640000000000001</x:v>
      </x:c>
      <x:c r="AE63" s="10" t="n">
        <x:f>AA63*'Assumptions'!$D$21</x:f>
        <x:v>0</x:v>
      </x:c>
    </x:row>
    <x:row r="64" ht="16" customHeight="1">
      <x:c r="A64" s="1"/>
      <x:c r="B64" s="1"/>
      <x:c r="C64" s="1" t="str">
        <x:v>DOT-057</x:v>
      </x:c>
      <x:c r="D64" s="10" t="str">
        <x:v>VraiSkill Model Life</x:v>
      </x:c>
      <x:c r="E64" s="10" t="n">
        <x:v>1</x:v>
      </x:c>
      <x:c r="F64" s="21" t="n">
        <x:f>'Assumptions'!$I$86*'Assumptions'!$J$86/12*'Assumptions'!$D$9*'Assumptions'!$D$8</x:f>
        <x:v>0</x:v>
      </x:c>
      <x:c r="G64" s="21" t="n">
        <x:f>0</x:f>
        <x:v>0</x:v>
      </x:c>
      <x:c r="H64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64+G64,NA())</x:f>
        <x:v>0</x:v>
      </x:c>
      <x:c r="I64" s="22" t="n">
        <x:f>'Assumptions'!$H$86*IF('Assumptions'!$O$86=1,1,'Assumptions'!$D$10)*(1+'Assumptions'!$N$86)^(1-1)</x:f>
        <x:v>0</x:v>
      </x:c>
      <x:c r="J64" s="10" t="n">
        <x:f>H64*I64</x:f>
        <x:v>0</x:v>
      </x:c>
      <x:c r="K64" s="10" t="n">
        <x:f>J64*'Assumptions'!$T$86</x:f>
        <x:v>0</x:v>
      </x:c>
      <x:c r="L64" s="10" t="n">
        <x:f>K64*'Assumptions'!$U$86</x:f>
        <x:v>0</x:v>
      </x:c>
      <x:c r="M64" s="10" t="n">
        <x:f>K64*'Assumptions'!$V$86</x:f>
        <x:v>0</x:v>
      </x:c>
      <x:c r="N64" s="10" t="n">
        <x:f>K64-L64-M64</x:f>
        <x:v>0</x:v>
      </x:c>
      <x:c r="O64" s="10" t="n">
        <x:f>H64*'Assumptions'!$P$86*'Assumptions'!$Q$86*'Assumptions'!$D$11*(1+'Assumptions'!$D$13)^(1-1)</x:f>
        <x:v>0</x:v>
      </x:c>
      <x:c r="P64" s="10" t="n">
        <x:f>H64*'Assumptions'!$R$86*'Assumptions'!$D$11*(1+'Assumptions'!$D$13)^(1-1)</x:f>
        <x:v>0</x:v>
      </x:c>
      <x:c r="Q64" s="10" t="n">
        <x:f>J64*'Assumptions'!$S$86</x:f>
        <x:v>0</x:v>
      </x:c>
      <x:c r="R64" s="10" t="n">
        <x:f>H64*'Assumptions'!$Y$86*'Assumptions'!$Z$86*'Assumptions'!$D$11*(1+'Assumptions'!$D$13)^(1-1)</x:f>
        <x:v>0</x:v>
      </x:c>
      <x:c r="S64" s="10" t="n">
        <x:f>IF(I64=0,0,J64*'Assumptions'!$W$86+H64*'Assumptions'!$X$86)</x:f>
        <x:v>0</x:v>
      </x:c>
      <x:c r="T64" s="10" t="n">
        <x:f>N64*'Assumptions'!$AA$86</x:f>
        <x:v>0</x:v>
      </x:c>
      <x:c r="U64" s="10" t="n">
        <x:f>'Assumptions'!$AE$86*'Assumptions'!$D$11*(1+'Assumptions'!$D$13)^(1-1)</x:f>
        <x:v>0</x:v>
      </x:c>
      <x:c r="V64" s="10" t="n">
        <x:f>'Assumptions'!$AD$86*'Assumptions'!$D$11</x:f>
        <x:v>0</x:v>
      </x:c>
      <x:c r="W64" s="10" t="n">
        <x:f>H64*('Assumptions'!$P$86+'Assumptions'!$Y$86)</x:f>
        <x:v>0</x:v>
      </x:c>
      <x:c r="X64" s="10" t="n">
        <x:f>N64/'Assumptions'!$J$86*'Assumptions'!$AF$86</x:f>
        <x:v>0</x:v>
      </x:c>
      <x:c r="Y64" s="10" t="n">
        <x:f>P64/'Assumptions'!$J$86</x:f>
        <x:v>0</x:v>
      </x:c>
      <x:c r="Z64" s="10" t="n">
        <x:f>'Assumptions'!$AB$86</x:f>
        <x:v>0</x:v>
      </x:c>
      <x:c r="AA64" s="10" t="n">
        <x:f>Z64*'Assumptions'!$AC$86*'Assumptions'!$D$11*(1+'Assumptions'!$D$13)^(1-1)</x:f>
        <x:v>0</x:v>
      </x:c>
      <x:c r="AB64" s="10" t="n">
        <x:f>F64/1</x:f>
        <x:v>0</x:v>
      </x:c>
      <x:c r="AC64" s="10" t="n">
        <x:f>AB64/'Assumptions'!$AM$86</x:f>
        <x:v>0</x:v>
      </x:c>
      <x:c r="AD64" s="10" t="n">
        <x:f>IF(AB64=0,0,T64/AB64)</x:f>
        <x:v>0</x:v>
      </x:c>
      <x:c r="AE64" s="10" t="n">
        <x:f>AA64*'Assumptions'!$D$21</x:f>
        <x:v>0</x:v>
      </x:c>
    </x:row>
    <x:row r="65" ht="16" customHeight="1">
      <x:c r="A65" s="1"/>
      <x:c r="B65" s="1"/>
      <x:c r="C65" s="1" t="str">
        <x:v>DOT-058</x:v>
      </x:c>
      <x:c r="D65" s="10" t="str">
        <x:v>Model Life</x:v>
      </x:c>
      <x:c r="E65" s="10" t="n">
        <x:v>1</x:v>
      </x:c>
      <x:c r="F65" s="21" t="n">
        <x:f>'Assumptions'!$I$87*'Assumptions'!$J$87/12*'Assumptions'!$D$9*'Assumptions'!$D$8</x:f>
        <x:v>240</x:v>
      </x:c>
      <x:c r="G65" s="21" t="n">
        <x:f>0</x:f>
        <x:v>0</x:v>
      </x:c>
      <x:c r="H65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65+G65,NA())</x:f>
        <x:v>240</x:v>
      </x:c>
      <x:c r="I65" s="22" t="n">
        <x:f>'Assumptions'!$H$87*IF('Assumptions'!$O$87=1,1,'Assumptions'!$D$10)*(1+'Assumptions'!$N$87)^(1-1)</x:f>
        <x:v>15</x:v>
      </x:c>
      <x:c r="J65" s="10" t="n">
        <x:f>H65*I65</x:f>
        <x:v>3600</x:v>
      </x:c>
      <x:c r="K65" s="10" t="n">
        <x:f>J65*'Assumptions'!$T$87</x:f>
        <x:v>3600</x:v>
      </x:c>
      <x:c r="L65" s="10" t="n">
        <x:f>K65*'Assumptions'!$U$87</x:f>
        <x:v>108</x:v>
      </x:c>
      <x:c r="M65" s="10" t="n">
        <x:f>K65*'Assumptions'!$V$87</x:f>
        <x:v>0</x:v>
      </x:c>
      <x:c r="N65" s="10" t="n">
        <x:f>K65-L65-M65</x:f>
        <x:v>3492</x:v>
      </x:c>
      <x:c r="O65" s="10" t="n">
        <x:f>H65*'Assumptions'!$P$87*'Assumptions'!$Q$87*'Assumptions'!$D$11*(1+'Assumptions'!$D$13)^(1-1)</x:f>
        <x:v>840</x:v>
      </x:c>
      <x:c r="P65" s="10" t="n">
        <x:f>H65*'Assumptions'!$R$87*'Assumptions'!$D$11*(1+'Assumptions'!$D$13)^(1-1)</x:f>
        <x:v>0</x:v>
      </x:c>
      <x:c r="Q65" s="10" t="n">
        <x:f>J65*'Assumptions'!$S$87</x:f>
        <x:v>0</x:v>
      </x:c>
      <x:c r="R65" s="10" t="n">
        <x:f>H65*'Assumptions'!$Y$87*'Assumptions'!$Z$87*'Assumptions'!$D$11*(1+'Assumptions'!$D$13)^(1-1)</x:f>
        <x:v>1080</x:v>
      </x:c>
      <x:c r="S65" s="10" t="n">
        <x:f>IF(I65=0,0,J65*'Assumptions'!$W$87+H65*'Assumptions'!$X$87)</x:f>
        <x:v>176.4</x:v>
      </x:c>
      <x:c r="T65" s="10" t="n">
        <x:f>N65*'Assumptions'!$AA$87</x:f>
        <x:v>174.60000000000002</x:v>
      </x:c>
      <x:c r="U65" s="10" t="n">
        <x:f>'Assumptions'!$AE$87*'Assumptions'!$D$11*(1+'Assumptions'!$D$13)^(1-1)</x:f>
        <x:v>60</x:v>
      </x:c>
      <x:c r="V65" s="10" t="n">
        <x:f>'Assumptions'!$AD$87*'Assumptions'!$D$11</x:f>
        <x:v>0</x:v>
      </x:c>
      <x:c r="W65" s="10" t="n">
        <x:f>H65*('Assumptions'!$P$87+'Assumptions'!$Y$87)</x:f>
        <x:v>60</x:v>
      </x:c>
      <x:c r="X65" s="10" t="n">
        <x:f>N65/'Assumptions'!$J$87*'Assumptions'!$AF$87</x:f>
        <x:v>0</x:v>
      </x:c>
      <x:c r="Y65" s="10" t="n">
        <x:f>P65/'Assumptions'!$J$87</x:f>
        <x:v>0</x:v>
      </x:c>
      <x:c r="Z65" s="10" t="n">
        <x:f>'Assumptions'!$AB$87</x:f>
        <x:v>8</x:v>
      </x:c>
      <x:c r="AA65" s="10" t="n">
        <x:f>Z65*'Assumptions'!$AC$87*'Assumptions'!$D$11*(1+'Assumptions'!$D$13)^(1-1)</x:f>
        <x:v>400</x:v>
      </x:c>
      <x:c r="AB65" s="10" t="n">
        <x:f>F65/'Assumptions'!$J$87</x:f>
        <x:v>40</x:v>
      </x:c>
      <x:c r="AC65" s="10" t="n">
        <x:f>AB65/'Assumptions'!$AM$87</x:f>
        <x:v>800</x:v>
      </x:c>
      <x:c r="AD65" s="10" t="n">
        <x:f>IF(AB65=0,0,T65/AB65)</x:f>
        <x:v>4.365</x:v>
      </x:c>
      <x:c r="AE65" s="10" t="n">
        <x:f>AA65*'Assumptions'!$D$21</x:f>
        <x:v>0</x:v>
      </x:c>
    </x:row>
    <x:row r="66" ht="16" customHeight="1">
      <x:c r="A66" s="1"/>
      <x:c r="B66" s="1"/>
      <x:c r="C66" s="1" t="str">
        <x:v>DOT-059</x:v>
      </x:c>
      <x:c r="D66" s="10" t="str">
        <x:v>Model Life</x:v>
      </x:c>
      <x:c r="E66" s="10" t="n">
        <x:v>1</x:v>
      </x:c>
      <x:c r="F66" s="21" t="n">
        <x:f>'Assumptions'!$I$88*'Assumptions'!$J$88/12*'Assumptions'!$D$9*'Assumptions'!$D$8</x:f>
        <x:v>60</x:v>
      </x:c>
      <x:c r="G66" s="21" t="n">
        <x:f>0</x:f>
        <x:v>0</x:v>
      </x:c>
      <x:c r="H66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66+G66,NA())</x:f>
        <x:v>60</x:v>
      </x:c>
      <x:c r="I66" s="22" t="n">
        <x:f>'Assumptions'!$H$88*IF('Assumptions'!$O$88=1,1,'Assumptions'!$D$10)*(1+'Assumptions'!$N$88)^(1-1)</x:f>
        <x:v>79</x:v>
      </x:c>
      <x:c r="J66" s="10" t="n">
        <x:f>H66*I66</x:f>
        <x:v>4740</x:v>
      </x:c>
      <x:c r="K66" s="10" t="n">
        <x:f>J66*'Assumptions'!$T$88</x:f>
        <x:v>4740</x:v>
      </x:c>
      <x:c r="L66" s="10" t="n">
        <x:f>K66*'Assumptions'!$U$88</x:f>
        <x:v>142.2</x:v>
      </x:c>
      <x:c r="M66" s="10" t="n">
        <x:f>K66*'Assumptions'!$V$88</x:f>
        <x:v>0</x:v>
      </x:c>
      <x:c r="N66" s="10" t="n">
        <x:f>K66-L66-M66</x:f>
        <x:v>4597.8</x:v>
      </x:c>
      <x:c r="O66" s="10" t="n">
        <x:f>H66*'Assumptions'!$P$88*'Assumptions'!$Q$88*'Assumptions'!$D$11*(1+'Assumptions'!$D$13)^(1-1)</x:f>
        <x:v>210</x:v>
      </x:c>
      <x:c r="P66" s="10" t="n">
        <x:f>H66*'Assumptions'!$R$88*'Assumptions'!$D$11*(1+'Assumptions'!$D$13)^(1-1)</x:f>
        <x:v>0</x:v>
      </x:c>
      <x:c r="Q66" s="10" t="n">
        <x:f>J66*'Assumptions'!$S$88</x:f>
        <x:v>0</x:v>
      </x:c>
      <x:c r="R66" s="10" t="n">
        <x:f>H66*'Assumptions'!$Y$88*'Assumptions'!$Z$88*'Assumptions'!$D$11*(1+'Assumptions'!$D$13)^(1-1)</x:f>
        <x:v>270</x:v>
      </x:c>
      <x:c r="S66" s="10" t="n">
        <x:f>IF(I66=0,0,J66*'Assumptions'!$W$88+H66*'Assumptions'!$X$88)</x:f>
        <x:v>155.46</x:v>
      </x:c>
      <x:c r="T66" s="10" t="n">
        <x:f>N66*'Assumptions'!$AA$88</x:f>
        <x:v>229.89000000000001</x:v>
      </x:c>
      <x:c r="U66" s="10" t="n">
        <x:f>'Assumptions'!$AE$88*'Assumptions'!$D$11*(1+'Assumptions'!$D$13)^(1-1)</x:f>
        <x:v>60</x:v>
      </x:c>
      <x:c r="V66" s="10" t="n">
        <x:f>'Assumptions'!$AD$88*'Assumptions'!$D$11</x:f>
        <x:v>0</x:v>
      </x:c>
      <x:c r="W66" s="10" t="n">
        <x:f>H66*('Assumptions'!$P$88+'Assumptions'!$Y$88)</x:f>
        <x:v>15</x:v>
      </x:c>
      <x:c r="X66" s="10" t="n">
        <x:f>N66/'Assumptions'!$J$88*'Assumptions'!$AF$88</x:f>
        <x:v>0</x:v>
      </x:c>
      <x:c r="Y66" s="10" t="n">
        <x:f>P66/'Assumptions'!$J$88</x:f>
        <x:v>0</x:v>
      </x:c>
      <x:c r="Z66" s="10" t="n">
        <x:f>'Assumptions'!$AB$88</x:f>
        <x:v>8</x:v>
      </x:c>
      <x:c r="AA66" s="10" t="n">
        <x:f>Z66*'Assumptions'!$AC$88*'Assumptions'!$D$11*(1+'Assumptions'!$D$13)^(1-1)</x:f>
        <x:v>400</x:v>
      </x:c>
      <x:c r="AB66" s="10" t="n">
        <x:f>F66/'Assumptions'!$J$88</x:f>
        <x:v>10</x:v>
      </x:c>
      <x:c r="AC66" s="10" t="n">
        <x:f>AB66/'Assumptions'!$AM$88</x:f>
        <x:v>200</x:v>
      </x:c>
      <x:c r="AD66" s="10" t="n">
        <x:f>IF(AB66=0,0,T66/AB66)</x:f>
        <x:v>22.989</x:v>
      </x:c>
      <x:c r="AE66" s="10" t="n">
        <x:f>AA66*'Assumptions'!$D$21</x:f>
        <x:v>0</x:v>
      </x:c>
    </x:row>
    <x:row r="67" ht="16" customHeight="1">
      <x:c r="A67" s="1"/>
      <x:c r="B67" s="1"/>
      <x:c r="C67" s="1" t="str">
        <x:v>DOT-060</x:v>
      </x:c>
      <x:c r="D67" s="10" t="str">
        <x:v>Model Life</x:v>
      </x:c>
      <x:c r="E67" s="10" t="n">
        <x:v>1</x:v>
      </x:c>
      <x:c r="F67" s="21" t="n">
        <x:f>'Assumptions'!$I$89*'Assumptions'!$J$89/12*'Assumptions'!$D$9*'Assumptions'!$D$8</x:f>
        <x:v>60</x:v>
      </x:c>
      <x:c r="G67" s="21" t="n">
        <x:f>0</x:f>
        <x:v>0</x:v>
      </x:c>
      <x:c r="H67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67+G67,NA())</x:f>
        <x:v>60</x:v>
      </x:c>
      <x:c r="I67" s="22" t="n">
        <x:f>'Assumptions'!$H$89*IF('Assumptions'!$O$89=1,1,'Assumptions'!$D$10)*(1+'Assumptions'!$N$89)^(1-1)</x:f>
        <x:v>59</x:v>
      </x:c>
      <x:c r="J67" s="10" t="n">
        <x:f>H67*I67</x:f>
        <x:v>3540</x:v>
      </x:c>
      <x:c r="K67" s="10" t="n">
        <x:f>J67*'Assumptions'!$T$89</x:f>
        <x:v>3540</x:v>
      </x:c>
      <x:c r="L67" s="10" t="n">
        <x:f>K67*'Assumptions'!$U$89</x:f>
        <x:v>106.2</x:v>
      </x:c>
      <x:c r="M67" s="10" t="n">
        <x:f>K67*'Assumptions'!$V$89</x:f>
        <x:v>0</x:v>
      </x:c>
      <x:c r="N67" s="10" t="n">
        <x:f>K67-L67-M67</x:f>
        <x:v>3433.8</x:v>
      </x:c>
      <x:c r="O67" s="10" t="n">
        <x:f>H67*'Assumptions'!$P$89*'Assumptions'!$Q$89*'Assumptions'!$D$11*(1+'Assumptions'!$D$13)^(1-1)</x:f>
        <x:v>210</x:v>
      </x:c>
      <x:c r="P67" s="10" t="n">
        <x:f>H67*'Assumptions'!$R$89*'Assumptions'!$D$11*(1+'Assumptions'!$D$13)^(1-1)</x:f>
        <x:v>0</x:v>
      </x:c>
      <x:c r="Q67" s="10" t="n">
        <x:f>J67*'Assumptions'!$S$89</x:f>
        <x:v>0</x:v>
      </x:c>
      <x:c r="R67" s="10" t="n">
        <x:f>H67*'Assumptions'!$Y$89*'Assumptions'!$Z$89*'Assumptions'!$D$11*(1+'Assumptions'!$D$13)^(1-1)</x:f>
        <x:v>270</x:v>
      </x:c>
      <x:c r="S67" s="10" t="n">
        <x:f>IF(I67=0,0,J67*'Assumptions'!$W$89+H67*'Assumptions'!$X$89)</x:f>
        <x:v>120.66000000000001</x:v>
      </x:c>
      <x:c r="T67" s="10" t="n">
        <x:f>N67*'Assumptions'!$AA$89</x:f>
        <x:v>171.69000000000003</x:v>
      </x:c>
      <x:c r="U67" s="10" t="n">
        <x:f>'Assumptions'!$AE$89*'Assumptions'!$D$11*(1+'Assumptions'!$D$13)^(1-1)</x:f>
        <x:v>60</x:v>
      </x:c>
      <x:c r="V67" s="10" t="n">
        <x:f>'Assumptions'!$AD$89*'Assumptions'!$D$11</x:f>
        <x:v>0</x:v>
      </x:c>
      <x:c r="W67" s="10" t="n">
        <x:f>H67*('Assumptions'!$P$89+'Assumptions'!$Y$89)</x:f>
        <x:v>15</x:v>
      </x:c>
      <x:c r="X67" s="10" t="n">
        <x:f>N67/'Assumptions'!$J$89*'Assumptions'!$AF$89</x:f>
        <x:v>0</x:v>
      </x:c>
      <x:c r="Y67" s="10" t="n">
        <x:f>P67/'Assumptions'!$J$89</x:f>
        <x:v>0</x:v>
      </x:c>
      <x:c r="Z67" s="10" t="n">
        <x:f>'Assumptions'!$AB$89</x:f>
        <x:v>8</x:v>
      </x:c>
      <x:c r="AA67" s="10" t="n">
        <x:f>Z67*'Assumptions'!$AC$89*'Assumptions'!$D$11*(1+'Assumptions'!$D$13)^(1-1)</x:f>
        <x:v>400</x:v>
      </x:c>
      <x:c r="AB67" s="10" t="n">
        <x:f>F67/'Assumptions'!$J$89</x:f>
        <x:v>10</x:v>
      </x:c>
      <x:c r="AC67" s="10" t="n">
        <x:f>AB67/'Assumptions'!$AM$89</x:f>
        <x:v>200</x:v>
      </x:c>
      <x:c r="AD67" s="10" t="n">
        <x:f>IF(AB67=0,0,T67/AB67)</x:f>
        <x:v>17.169000000000004</x:v>
      </x:c>
      <x:c r="AE67" s="10" t="n">
        <x:f>AA67*'Assumptions'!$D$21</x:f>
        <x:v>0</x:v>
      </x:c>
    </x:row>
    <x:row r="68" ht="16" customHeight="1">
      <x:c r="A68" s="1"/>
      <x:c r="B68" s="1"/>
      <x:c r="C68" s="1" t="str">
        <x:v>DOT-061</x:v>
      </x:c>
      <x:c r="D68" s="10" t="str">
        <x:v>Model Life</x:v>
      </x:c>
      <x:c r="E68" s="10" t="n">
        <x:v>1</x:v>
      </x:c>
      <x:c r="F68" s="21" t="n">
        <x:f>'Assumptions'!$I$90*'Assumptions'!$J$90/12*'Assumptions'!$D$9*'Assumptions'!$D$8</x:f>
        <x:v>30</x:v>
      </x:c>
      <x:c r="G68" s="21" t="n">
        <x:f>0</x:f>
        <x:v>0</x:v>
      </x:c>
      <x:c r="H68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68+G68,NA())</x:f>
        <x:v>30</x:v>
      </x:c>
      <x:c r="I68" s="22" t="n">
        <x:f>'Assumptions'!$H$90*IF('Assumptions'!$O$90=1,1,'Assumptions'!$D$10)*(1+'Assumptions'!$N$90)^(1-1)</x:f>
        <x:v>99</x:v>
      </x:c>
      <x:c r="J68" s="10" t="n">
        <x:f>H68*I68</x:f>
        <x:v>2970</x:v>
      </x:c>
      <x:c r="K68" s="10" t="n">
        <x:f>J68*'Assumptions'!$T$90</x:f>
        <x:v>2970</x:v>
      </x:c>
      <x:c r="L68" s="10" t="n">
        <x:f>K68*'Assumptions'!$U$90</x:f>
        <x:v>89.1</x:v>
      </x:c>
      <x:c r="M68" s="10" t="n">
        <x:f>K68*'Assumptions'!$V$90</x:f>
        <x:v>0</x:v>
      </x:c>
      <x:c r="N68" s="10" t="n">
        <x:f>K68-L68-M68</x:f>
        <x:v>2880.9</x:v>
      </x:c>
      <x:c r="O68" s="10" t="n">
        <x:f>H68*'Assumptions'!$P$90*'Assumptions'!$Q$90*'Assumptions'!$D$11*(1+'Assumptions'!$D$13)^(1-1)</x:f>
        <x:v>105</x:v>
      </x:c>
      <x:c r="P68" s="10" t="n">
        <x:f>H68*'Assumptions'!$R$90*'Assumptions'!$D$11*(1+'Assumptions'!$D$13)^(1-1)</x:f>
        <x:v>0</x:v>
      </x:c>
      <x:c r="Q68" s="10" t="n">
        <x:f>J68*'Assumptions'!$S$90</x:f>
        <x:v>0</x:v>
      </x:c>
      <x:c r="R68" s="10" t="n">
        <x:f>H68*'Assumptions'!$Y$90*'Assumptions'!$Z$90*'Assumptions'!$D$11*(1+'Assumptions'!$D$13)^(1-1)</x:f>
        <x:v>135</x:v>
      </x:c>
      <x:c r="S68" s="10" t="n">
        <x:f>IF(I68=0,0,J68*'Assumptions'!$W$90+H68*'Assumptions'!$X$90)</x:f>
        <x:v>95.13000000000001</x:v>
      </x:c>
      <x:c r="T68" s="10" t="n">
        <x:f>N68*'Assumptions'!$AA$90</x:f>
        <x:v>144.04500000000002</x:v>
      </x:c>
      <x:c r="U68" s="10" t="n">
        <x:f>'Assumptions'!$AE$90*'Assumptions'!$D$11*(1+'Assumptions'!$D$13)^(1-1)</x:f>
        <x:v>60</x:v>
      </x:c>
      <x:c r="V68" s="10" t="n">
        <x:f>'Assumptions'!$AD$90*'Assumptions'!$D$11</x:f>
        <x:v>0</x:v>
      </x:c>
      <x:c r="W68" s="10" t="n">
        <x:f>H68*('Assumptions'!$P$90+'Assumptions'!$Y$90)</x:f>
        <x:v>7.5</x:v>
      </x:c>
      <x:c r="X68" s="10" t="n">
        <x:f>N68/'Assumptions'!$J$90*'Assumptions'!$AF$90</x:f>
        <x:v>0</x:v>
      </x:c>
      <x:c r="Y68" s="10" t="n">
        <x:f>P68/'Assumptions'!$J$90</x:f>
        <x:v>0</x:v>
      </x:c>
      <x:c r="Z68" s="10" t="n">
        <x:f>'Assumptions'!$AB$90</x:f>
        <x:v>8</x:v>
      </x:c>
      <x:c r="AA68" s="10" t="n">
        <x:f>Z68*'Assumptions'!$AC$90*'Assumptions'!$D$11*(1+'Assumptions'!$D$13)^(1-1)</x:f>
        <x:v>400</x:v>
      </x:c>
      <x:c r="AB68" s="10" t="n">
        <x:f>F68/'Assumptions'!$J$90</x:f>
        <x:v>5</x:v>
      </x:c>
      <x:c r="AC68" s="10" t="n">
        <x:f>AB68/'Assumptions'!$AM$90</x:f>
        <x:v>100</x:v>
      </x:c>
      <x:c r="AD68" s="10" t="n">
        <x:f>IF(AB68=0,0,T68/AB68)</x:f>
        <x:v>28.809000000000005</x:v>
      </x:c>
      <x:c r="AE68" s="10" t="n">
        <x:f>AA68*'Assumptions'!$D$21</x:f>
        <x:v>0</x:v>
      </x:c>
    </x:row>
    <x:row r="69" ht="16" customHeight="1">
      <x:c r="A69" s="1"/>
      <x:c r="B69" s="1"/>
      <x:c r="C69" s="1" t="str">
        <x:v>DOT-062</x:v>
      </x:c>
      <x:c r="D69" s="10" t="str">
        <x:v>Model Life</x:v>
      </x:c>
      <x:c r="E69" s="10" t="n">
        <x:v>1</x:v>
      </x:c>
      <x:c r="F69" s="21" t="n">
        <x:f>'Assumptions'!$I$91*'Assumptions'!$J$91/12*'Assumptions'!$D$9*'Assumptions'!$D$8</x:f>
        <x:v>30</x:v>
      </x:c>
      <x:c r="G69" s="21" t="n">
        <x:f>0</x:f>
        <x:v>0</x:v>
      </x:c>
      <x:c r="H69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69+G69,NA())</x:f>
        <x:v>30</x:v>
      </x:c>
      <x:c r="I69" s="22" t="n">
        <x:f>'Assumptions'!$H$91*IF('Assumptions'!$O$91=1,1,'Assumptions'!$D$10)*(1+'Assumptions'!$N$91)^(1-1)</x:f>
        <x:v>49</x:v>
      </x:c>
      <x:c r="J69" s="10" t="n">
        <x:f>H69*I69</x:f>
        <x:v>1470</x:v>
      </x:c>
      <x:c r="K69" s="10" t="n">
        <x:f>J69*'Assumptions'!$T$91</x:f>
        <x:v>1470</x:v>
      </x:c>
      <x:c r="L69" s="10" t="n">
        <x:f>K69*'Assumptions'!$U$91</x:f>
        <x:v>44.1</x:v>
      </x:c>
      <x:c r="M69" s="10" t="n">
        <x:f>K69*'Assumptions'!$V$91</x:f>
        <x:v>0</x:v>
      </x:c>
      <x:c r="N69" s="10" t="n">
        <x:f>K69-L69-M69</x:f>
        <x:v>1425.9</x:v>
      </x:c>
      <x:c r="O69" s="10" t="n">
        <x:f>H69*'Assumptions'!$P$91*'Assumptions'!$Q$91*'Assumptions'!$D$11*(1+'Assumptions'!$D$13)^(1-1)</x:f>
        <x:v>105</x:v>
      </x:c>
      <x:c r="P69" s="10" t="n">
        <x:f>H69*'Assumptions'!$R$91*'Assumptions'!$D$11*(1+'Assumptions'!$D$13)^(1-1)</x:f>
        <x:v>0</x:v>
      </x:c>
      <x:c r="Q69" s="10" t="n">
        <x:f>J69*'Assumptions'!$S$91</x:f>
        <x:v>0</x:v>
      </x:c>
      <x:c r="R69" s="10" t="n">
        <x:f>H69*'Assumptions'!$Y$91*'Assumptions'!$Z$91*'Assumptions'!$D$11*(1+'Assumptions'!$D$13)^(1-1)</x:f>
        <x:v>135</x:v>
      </x:c>
      <x:c r="S69" s="10" t="n">
        <x:f>IF(I69=0,0,J69*'Assumptions'!$W$91+H69*'Assumptions'!$X$91)</x:f>
        <x:v>51.63</x:v>
      </x:c>
      <x:c r="T69" s="10" t="n">
        <x:f>N69*'Assumptions'!$AA$91</x:f>
        <x:v>71.295</x:v>
      </x:c>
      <x:c r="U69" s="10" t="n">
        <x:f>'Assumptions'!$AE$91*'Assumptions'!$D$11*(1+'Assumptions'!$D$13)^(1-1)</x:f>
        <x:v>60</x:v>
      </x:c>
      <x:c r="V69" s="10" t="n">
        <x:f>'Assumptions'!$AD$91*'Assumptions'!$D$11</x:f>
        <x:v>0</x:v>
      </x:c>
      <x:c r="W69" s="10" t="n">
        <x:f>H69*('Assumptions'!$P$91+'Assumptions'!$Y$91)</x:f>
        <x:v>7.5</x:v>
      </x:c>
      <x:c r="X69" s="10" t="n">
        <x:f>N69/'Assumptions'!$J$91*'Assumptions'!$AF$91</x:f>
        <x:v>0</x:v>
      </x:c>
      <x:c r="Y69" s="10" t="n">
        <x:f>P69/'Assumptions'!$J$91</x:f>
        <x:v>0</x:v>
      </x:c>
      <x:c r="Z69" s="10" t="n">
        <x:f>'Assumptions'!$AB$91</x:f>
        <x:v>8</x:v>
      </x:c>
      <x:c r="AA69" s="10" t="n">
        <x:f>Z69*'Assumptions'!$AC$91*'Assumptions'!$D$11*(1+'Assumptions'!$D$13)^(1-1)</x:f>
        <x:v>400</x:v>
      </x:c>
      <x:c r="AB69" s="10" t="n">
        <x:f>F69/'Assumptions'!$J$91</x:f>
        <x:v>5</x:v>
      </x:c>
      <x:c r="AC69" s="10" t="n">
        <x:f>AB69/'Assumptions'!$AM$91</x:f>
        <x:v>100</x:v>
      </x:c>
      <x:c r="AD69" s="10" t="n">
        <x:f>IF(AB69=0,0,T69/AB69)</x:f>
        <x:v>14.259</x:v>
      </x:c>
      <x:c r="AE69" s="10" t="n">
        <x:f>AA69*'Assumptions'!$D$21</x:f>
        <x:v>0</x:v>
      </x:c>
    </x:row>
    <x:row r="70" ht="16" customHeight="1">
      <x:c r="A70" s="1"/>
      <x:c r="B70" s="1"/>
      <x:c r="C70" s="1" t="str">
        <x:v>DOT-063</x:v>
      </x:c>
      <x:c r="D70" s="10" t="str">
        <x:v>S’otality cleaning</x:v>
      </x:c>
      <x:c r="E70" s="10" t="n">
        <x:v>1</x:v>
      </x:c>
      <x:c r="F70" s="21" t="n">
        <x:f>'Assumptions'!$I$92*'Assumptions'!$J$92/12*'Assumptions'!$D$9*'Assumptions'!$D$8</x:f>
        <x:v>90</x:v>
      </x:c>
      <x:c r="G70" s="21" t="n">
        <x:f>0</x:f>
        <x:v>0</x:v>
      </x:c>
      <x:c r="H70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70+G70,NA())</x:f>
        <x:v>90</x:v>
      </x:c>
      <x:c r="I70" s="22" t="n">
        <x:f>'Assumptions'!$H$92*IF('Assumptions'!$O$92=1,1,'Assumptions'!$D$10)*(1+'Assumptions'!$N$92)^(1-1)</x:f>
        <x:v>149</x:v>
      </x:c>
      <x:c r="J70" s="10" t="n">
        <x:f>H70*I70</x:f>
        <x:v>13410</x:v>
      </x:c>
      <x:c r="K70" s="10" t="n">
        <x:f>J70*'Assumptions'!$T$92</x:f>
        <x:v>13410</x:v>
      </x:c>
      <x:c r="L70" s="10" t="n">
        <x:f>K70*'Assumptions'!$U$92</x:f>
        <x:v>402.3</x:v>
      </x:c>
      <x:c r="M70" s="10" t="n">
        <x:f>K70*'Assumptions'!$V$92</x:f>
        <x:v>0</x:v>
      </x:c>
      <x:c r="N70" s="10" t="n">
        <x:f>K70-L70-M70</x:f>
        <x:v>13007.7</x:v>
      </x:c>
      <x:c r="O70" s="10" t="n">
        <x:f>H70*'Assumptions'!$P$92*'Assumptions'!$Q$92*'Assumptions'!$D$11*(1+'Assumptions'!$D$13)^(1-1)</x:f>
        <x:v>315</x:v>
      </x:c>
      <x:c r="P70" s="10" t="n">
        <x:f>H70*'Assumptions'!$R$92*'Assumptions'!$D$11*(1+'Assumptions'!$D$13)^(1-1)</x:f>
        <x:v>720</x:v>
      </x:c>
      <x:c r="Q70" s="10" t="n">
        <x:f>J70*'Assumptions'!$S$92</x:f>
        <x:v>8716.5</x:v>
      </x:c>
      <x:c r="R70" s="10" t="n">
        <x:f>H70*'Assumptions'!$Y$92*'Assumptions'!$Z$92*'Assumptions'!$D$11*(1+'Assumptions'!$D$13)^(1-1)</x:f>
        <x:v>540</x:v>
      </x:c>
      <x:c r="S70" s="10" t="n">
        <x:f>IF(I70=0,0,J70*'Assumptions'!$W$92+H70*'Assumptions'!$X$92)</x:f>
        <x:v>415.89000000000004</x:v>
      </x:c>
      <x:c r="T70" s="10" t="n">
        <x:f>N70*'Assumptions'!$AA$92</x:f>
        <x:v>520.308</x:v>
      </x:c>
      <x:c r="U70" s="10" t="n">
        <x:f>'Assumptions'!$AE$92*'Assumptions'!$D$11*(1+'Assumptions'!$D$13)^(1-1)</x:f>
        <x:v>0</x:v>
      </x:c>
      <x:c r="V70" s="10" t="n">
        <x:f>'Assumptions'!$AD$92*'Assumptions'!$D$11</x:f>
        <x:v>0</x:v>
      </x:c>
      <x:c r="W70" s="10" t="n">
        <x:f>H70*('Assumptions'!$P$92+'Assumptions'!$Y$92)</x:f>
        <x:v>27.000000000000004</x:v>
      </x:c>
      <x:c r="X70" s="10" t="n">
        <x:f>N70/'Assumptions'!$J$92*'Assumptions'!$AF$92</x:f>
        <x:v>0</x:v>
      </x:c>
      <x:c r="Y70" s="10" t="n">
        <x:f>P70/'Assumptions'!$J$92</x:f>
        <x:v>80</x:v>
      </x:c>
      <x:c r="Z70" s="10" t="n">
        <x:f>'Assumptions'!$AB$92</x:f>
        <x:v>4</x:v>
      </x:c>
      <x:c r="AA70" s="10" t="n">
        <x:f>Z70*'Assumptions'!$AC$92*'Assumptions'!$D$11*(1+'Assumptions'!$D$13)^(1-1)</x:f>
        <x:v>200</x:v>
      </x:c>
      <x:c r="AB70" s="10" t="n">
        <x:f>F70/1</x:f>
        <x:v>90</x:v>
      </x:c>
      <x:c r="AC70" s="10" t="n">
        <x:f>AB70/'Assumptions'!$AM$92</x:f>
        <x:v>600</x:v>
      </x:c>
      <x:c r="AD70" s="10" t="n">
        <x:f>IF(AB70=0,0,T70/AB70)</x:f>
        <x:v>5.7812</x:v>
      </x:c>
      <x:c r="AE70" s="10" t="n">
        <x:f>AA70*'Assumptions'!$D$21</x:f>
        <x:v>0</x:v>
      </x:c>
    </x:row>
    <x:row r="71" ht="16" customHeight="1">
      <x:c r="A71" s="1"/>
      <x:c r="B71" s="1"/>
      <x:c r="C71" s="1" t="str">
        <x:v>DOT-064</x:v>
      </x:c>
      <x:c r="D71" s="10" t="str">
        <x:v>S’otality cleaning</x:v>
      </x:c>
      <x:c r="E71" s="10" t="n">
        <x:v>1</x:v>
      </x:c>
      <x:c r="F71" s="21" t="n">
        <x:f>'Assumptions'!$I$93*'Assumptions'!$J$93/12*'Assumptions'!$D$9*'Assumptions'!$D$8</x:f>
        <x:v>135</x:v>
      </x:c>
      <x:c r="G71" s="21" t="n">
        <x:f>0</x:f>
        <x:v>0</x:v>
      </x:c>
      <x:c r="H71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71+G71,NA())</x:f>
        <x:v>135</x:v>
      </x:c>
      <x:c r="I71" s="22" t="n">
        <x:f>'Assumptions'!$H$93*IF('Assumptions'!$O$93=1,1,'Assumptions'!$D$10)*(1+'Assumptions'!$N$93)^(1-1)</x:f>
        <x:v>139</x:v>
      </x:c>
      <x:c r="J71" s="10" t="n">
        <x:f>H71*I71</x:f>
        <x:v>18765</x:v>
      </x:c>
      <x:c r="K71" s="10" t="n">
        <x:f>J71*'Assumptions'!$T$93</x:f>
        <x:v>18765</x:v>
      </x:c>
      <x:c r="L71" s="10" t="n">
        <x:f>K71*'Assumptions'!$U$93</x:f>
        <x:v>562.9499999999999</x:v>
      </x:c>
      <x:c r="M71" s="10" t="n">
        <x:f>K71*'Assumptions'!$V$93</x:f>
        <x:v>0</x:v>
      </x:c>
      <x:c r="N71" s="10" t="n">
        <x:f>K71-L71-M71</x:f>
        <x:v>18202.05</x:v>
      </x:c>
      <x:c r="O71" s="10" t="n">
        <x:f>H71*'Assumptions'!$P$93*'Assumptions'!$Q$93*'Assumptions'!$D$11*(1+'Assumptions'!$D$13)^(1-1)</x:f>
        <x:v>472.5</x:v>
      </x:c>
      <x:c r="P71" s="10" t="n">
        <x:f>H71*'Assumptions'!$R$93*'Assumptions'!$D$11*(1+'Assumptions'!$D$13)^(1-1)</x:f>
        <x:v>1080</x:v>
      </x:c>
      <x:c r="Q71" s="10" t="n">
        <x:f>J71*'Assumptions'!$S$93</x:f>
        <x:v>12197.25</x:v>
      </x:c>
      <x:c r="R71" s="10" t="n">
        <x:f>H71*'Assumptions'!$Y$93*'Assumptions'!$Z$93*'Assumptions'!$D$11*(1+'Assumptions'!$D$13)^(1-1)</x:f>
        <x:v>810</x:v>
      </x:c>
      <x:c r="S71" s="10" t="n">
        <x:f>IF(I71=0,0,J71*'Assumptions'!$W$93+H71*'Assumptions'!$X$93)</x:f>
        <x:v>584.6850000000001</x:v>
      </x:c>
      <x:c r="T71" s="10" t="n">
        <x:f>N71*'Assumptions'!$AA$93</x:f>
        <x:v>728.082</x:v>
      </x:c>
      <x:c r="U71" s="10" t="n">
        <x:f>'Assumptions'!$AE$93*'Assumptions'!$D$11*(1+'Assumptions'!$D$13)^(1-1)</x:f>
        <x:v>0</x:v>
      </x:c>
      <x:c r="V71" s="10" t="n">
        <x:f>'Assumptions'!$AD$93*'Assumptions'!$D$11</x:f>
        <x:v>0</x:v>
      </x:c>
      <x:c r="W71" s="10" t="n">
        <x:f>H71*('Assumptions'!$P$93+'Assumptions'!$Y$93)</x:f>
        <x:v>40.50000000000001</x:v>
      </x:c>
      <x:c r="X71" s="10" t="n">
        <x:f>N71/'Assumptions'!$J$93*'Assumptions'!$AF$93</x:f>
        <x:v>0</x:v>
      </x:c>
      <x:c r="Y71" s="10" t="n">
        <x:f>P71/'Assumptions'!$J$93</x:f>
        <x:v>120</x:v>
      </x:c>
      <x:c r="Z71" s="10" t="n">
        <x:f>'Assumptions'!$AB$93</x:f>
        <x:v>4</x:v>
      </x:c>
      <x:c r="AA71" s="10" t="n">
        <x:f>Z71*'Assumptions'!$AC$93*'Assumptions'!$D$11*(1+'Assumptions'!$D$13)^(1-1)</x:f>
        <x:v>200</x:v>
      </x:c>
      <x:c r="AB71" s="10" t="n">
        <x:f>F71/1</x:f>
        <x:v>135</x:v>
      </x:c>
      <x:c r="AC71" s="10" t="n">
        <x:f>AB71/'Assumptions'!$AM$93</x:f>
        <x:v>900</x:v>
      </x:c>
      <x:c r="AD71" s="10" t="n">
        <x:f>IF(AB71=0,0,T71/AB71)</x:f>
        <x:v>5.3932</x:v>
      </x:c>
      <x:c r="AE71" s="10" t="n">
        <x:f>AA71*'Assumptions'!$D$21</x:f>
        <x:v>0</x:v>
      </x:c>
    </x:row>
    <x:row r="72" ht="16" customHeight="1">
      <x:c r="A72" s="1"/>
      <x:c r="B72" s="1"/>
      <x:c r="C72" s="1" t="str">
        <x:v>DOT-065</x:v>
      </x:c>
      <x:c r="D72" s="10" t="str">
        <x:v>S’otality cleaning</x:v>
      </x:c>
      <x:c r="E72" s="10" t="n">
        <x:v>1</x:v>
      </x:c>
      <x:c r="F72" s="21" t="n">
        <x:f>'Assumptions'!$I$94*'Assumptions'!$J$94/12*'Assumptions'!$D$9*'Assumptions'!$D$8</x:f>
        <x:v>90</x:v>
      </x:c>
      <x:c r="G72" s="21" t="n">
        <x:f>0</x:f>
        <x:v>0</x:v>
      </x:c>
      <x:c r="H72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72+G72,NA())</x:f>
        <x:v>90</x:v>
      </x:c>
      <x:c r="I72" s="22" t="n">
        <x:f>'Assumptions'!$H$94*IF('Assumptions'!$O$94=1,1,'Assumptions'!$D$10)*(1+'Assumptions'!$N$94)^(1-1)</x:f>
        <x:v>159</x:v>
      </x:c>
      <x:c r="J72" s="10" t="n">
        <x:f>H72*I72</x:f>
        <x:v>14310</x:v>
      </x:c>
      <x:c r="K72" s="10" t="n">
        <x:f>J72*'Assumptions'!$T$94</x:f>
        <x:v>14310</x:v>
      </x:c>
      <x:c r="L72" s="10" t="n">
        <x:f>K72*'Assumptions'!$U$94</x:f>
        <x:v>429.3</x:v>
      </x:c>
      <x:c r="M72" s="10" t="n">
        <x:f>K72*'Assumptions'!$V$94</x:f>
        <x:v>0</x:v>
      </x:c>
      <x:c r="N72" s="10" t="n">
        <x:f>K72-L72-M72</x:f>
        <x:v>13880.7</x:v>
      </x:c>
      <x:c r="O72" s="10" t="n">
        <x:f>H72*'Assumptions'!$P$94*'Assumptions'!$Q$94*'Assumptions'!$D$11*(1+'Assumptions'!$D$13)^(1-1)</x:f>
        <x:v>315</x:v>
      </x:c>
      <x:c r="P72" s="10" t="n">
        <x:f>H72*'Assumptions'!$R$94*'Assumptions'!$D$11*(1+'Assumptions'!$D$13)^(1-1)</x:f>
        <x:v>720</x:v>
      </x:c>
      <x:c r="Q72" s="10" t="n">
        <x:f>J72*'Assumptions'!$S$94</x:f>
        <x:v>9301.5</x:v>
      </x:c>
      <x:c r="R72" s="10" t="n">
        <x:f>H72*'Assumptions'!$Y$94*'Assumptions'!$Z$94*'Assumptions'!$D$11*(1+'Assumptions'!$D$13)^(1-1)</x:f>
        <x:v>540</x:v>
      </x:c>
      <x:c r="S72" s="10" t="n">
        <x:f>IF(I72=0,0,J72*'Assumptions'!$W$94+H72*'Assumptions'!$X$94)</x:f>
        <x:v>441.99</x:v>
      </x:c>
      <x:c r="T72" s="10" t="n">
        <x:f>N72*'Assumptions'!$AA$94</x:f>
        <x:v>555.2280000000001</x:v>
      </x:c>
      <x:c r="U72" s="10" t="n">
        <x:f>'Assumptions'!$AE$94*'Assumptions'!$D$11*(1+'Assumptions'!$D$13)^(1-1)</x:f>
        <x:v>0</x:v>
      </x:c>
      <x:c r="V72" s="10" t="n">
        <x:f>'Assumptions'!$AD$94*'Assumptions'!$D$11</x:f>
        <x:v>0</x:v>
      </x:c>
      <x:c r="W72" s="10" t="n">
        <x:f>H72*('Assumptions'!$P$94+'Assumptions'!$Y$94)</x:f>
        <x:v>27.000000000000004</x:v>
      </x:c>
      <x:c r="X72" s="10" t="n">
        <x:f>N72/'Assumptions'!$J$94*'Assumptions'!$AF$94</x:f>
        <x:v>0</x:v>
      </x:c>
      <x:c r="Y72" s="10" t="n">
        <x:f>P72/'Assumptions'!$J$94</x:f>
        <x:v>80</x:v>
      </x:c>
      <x:c r="Z72" s="10" t="n">
        <x:f>'Assumptions'!$AB$94</x:f>
        <x:v>4</x:v>
      </x:c>
      <x:c r="AA72" s="10" t="n">
        <x:f>Z72*'Assumptions'!$AC$94*'Assumptions'!$D$11*(1+'Assumptions'!$D$13)^(1-1)</x:f>
        <x:v>200</x:v>
      </x:c>
      <x:c r="AB72" s="10" t="n">
        <x:f>F72/1</x:f>
        <x:v>90</x:v>
      </x:c>
      <x:c r="AC72" s="10" t="n">
        <x:f>AB72/'Assumptions'!$AM$94</x:f>
        <x:v>600</x:v>
      </x:c>
      <x:c r="AD72" s="10" t="n">
        <x:f>IF(AB72=0,0,T72/AB72)</x:f>
        <x:v>6.169200000000001</x:v>
      </x:c>
      <x:c r="AE72" s="10" t="n">
        <x:f>AA72*'Assumptions'!$D$21</x:f>
        <x:v>0</x:v>
      </x:c>
    </x:row>
    <x:row r="73" ht="16" customHeight="1">
      <x:c r="A73" s="1"/>
      <x:c r="B73" s="1"/>
      <x:c r="C73" s="1" t="str">
        <x:v>DOT-066</x:v>
      </x:c>
      <x:c r="D73" s="10" t="str">
        <x:v>S’otality cleaning</x:v>
      </x:c>
      <x:c r="E73" s="10" t="n">
        <x:v>1</x:v>
      </x:c>
      <x:c r="F73" s="21" t="n">
        <x:f>'Assumptions'!$I$95*'Assumptions'!$J$95/12*'Assumptions'!$D$9*'Assumptions'!$D$8</x:f>
        <x:v>135</x:v>
      </x:c>
      <x:c r="G73" s="21" t="n">
        <x:f>0</x:f>
        <x:v>0</x:v>
      </x:c>
      <x:c r="H73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73+G73,NA())</x:f>
        <x:v>135</x:v>
      </x:c>
      <x:c r="I73" s="22" t="n">
        <x:f>'Assumptions'!$H$95*IF('Assumptions'!$O$95=1,1,'Assumptions'!$D$10)*(1+'Assumptions'!$N$95)^(1-1)</x:f>
        <x:v>149</x:v>
      </x:c>
      <x:c r="J73" s="10" t="n">
        <x:f>H73*I73</x:f>
        <x:v>20115</x:v>
      </x:c>
      <x:c r="K73" s="10" t="n">
        <x:f>J73*'Assumptions'!$T$95</x:f>
        <x:v>20115</x:v>
      </x:c>
      <x:c r="L73" s="10" t="n">
        <x:f>K73*'Assumptions'!$U$95</x:f>
        <x:v>603.4499999999999</x:v>
      </x:c>
      <x:c r="M73" s="10" t="n">
        <x:f>K73*'Assumptions'!$V$95</x:f>
        <x:v>0</x:v>
      </x:c>
      <x:c r="N73" s="10" t="n">
        <x:f>K73-L73-M73</x:f>
        <x:v>19511.55</x:v>
      </x:c>
      <x:c r="O73" s="10" t="n">
        <x:f>H73*'Assumptions'!$P$95*'Assumptions'!$Q$95*'Assumptions'!$D$11*(1+'Assumptions'!$D$13)^(1-1)</x:f>
        <x:v>472.5</x:v>
      </x:c>
      <x:c r="P73" s="10" t="n">
        <x:f>H73*'Assumptions'!$R$95*'Assumptions'!$D$11*(1+'Assumptions'!$D$13)^(1-1)</x:f>
        <x:v>1080</x:v>
      </x:c>
      <x:c r="Q73" s="10" t="n">
        <x:f>J73*'Assumptions'!$S$95</x:f>
        <x:v>13074.75</x:v>
      </x:c>
      <x:c r="R73" s="10" t="n">
        <x:f>H73*'Assumptions'!$Y$95*'Assumptions'!$Z$95*'Assumptions'!$D$11*(1+'Assumptions'!$D$13)^(1-1)</x:f>
        <x:v>810</x:v>
      </x:c>
      <x:c r="S73" s="10" t="n">
        <x:f>IF(I73=0,0,J73*'Assumptions'!$W$95+H73*'Assumptions'!$X$95)</x:f>
        <x:v>623.835</x:v>
      </x:c>
      <x:c r="T73" s="10" t="n">
        <x:f>N73*'Assumptions'!$AA$95</x:f>
        <x:v>780.462</x:v>
      </x:c>
      <x:c r="U73" s="10" t="n">
        <x:f>'Assumptions'!$AE$95*'Assumptions'!$D$11*(1+'Assumptions'!$D$13)^(1-1)</x:f>
        <x:v>0</x:v>
      </x:c>
      <x:c r="V73" s="10" t="n">
        <x:f>'Assumptions'!$AD$95*'Assumptions'!$D$11</x:f>
        <x:v>0</x:v>
      </x:c>
      <x:c r="W73" s="10" t="n">
        <x:f>H73*('Assumptions'!$P$95+'Assumptions'!$Y$95)</x:f>
        <x:v>40.50000000000001</x:v>
      </x:c>
      <x:c r="X73" s="10" t="n">
        <x:f>N73/'Assumptions'!$J$95*'Assumptions'!$AF$95</x:f>
        <x:v>0</x:v>
      </x:c>
      <x:c r="Y73" s="10" t="n">
        <x:f>P73/'Assumptions'!$J$95</x:f>
        <x:v>120</x:v>
      </x:c>
      <x:c r="Z73" s="10" t="n">
        <x:f>'Assumptions'!$AB$95</x:f>
        <x:v>4</x:v>
      </x:c>
      <x:c r="AA73" s="10" t="n">
        <x:f>Z73*'Assumptions'!$AC$95*'Assumptions'!$D$11*(1+'Assumptions'!$D$13)^(1-1)</x:f>
        <x:v>200</x:v>
      </x:c>
      <x:c r="AB73" s="10" t="n">
        <x:f>F73/1</x:f>
        <x:v>135</x:v>
      </x:c>
      <x:c r="AC73" s="10" t="n">
        <x:f>AB73/'Assumptions'!$AM$95</x:f>
        <x:v>900</x:v>
      </x:c>
      <x:c r="AD73" s="10" t="n">
        <x:f>IF(AB73=0,0,T73/AB73)</x:f>
        <x:v>5.7812</x:v>
      </x:c>
      <x:c r="AE73" s="10" t="n">
        <x:f>AA73*'Assumptions'!$D$21</x:f>
        <x:v>0</x:v>
      </x:c>
    </x:row>
    <x:row r="74" ht="16" customHeight="1">
      <x:c r="A74" s="1"/>
      <x:c r="B74" s="1"/>
      <x:c r="C74" s="1" t="str">
        <x:v>DOT-067</x:v>
      </x:c>
      <x:c r="D74" s="10" t="str">
        <x:v>S’otality cleaning</x:v>
      </x:c>
      <x:c r="E74" s="10" t="n">
        <x:v>1</x:v>
      </x:c>
      <x:c r="F74" s="21" t="n">
        <x:f>'Assumptions'!$I$96*'Assumptions'!$J$96/12*'Assumptions'!$D$9*'Assumptions'!$D$8</x:f>
        <x:v>60</x:v>
      </x:c>
      <x:c r="G74" s="21" t="n">
        <x:f>0</x:f>
        <x:v>0</x:v>
      </x:c>
      <x:c r="H74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74+G74,NA())</x:f>
        <x:v>60</x:v>
      </x:c>
      <x:c r="I74" s="22" t="n">
        <x:f>'Assumptions'!$H$96*IF('Assumptions'!$O$96=1,1,'Assumptions'!$D$10)*(1+'Assumptions'!$N$96)^(1-1)</x:f>
        <x:v>199</x:v>
      </x:c>
      <x:c r="J74" s="10" t="n">
        <x:f>H74*I74</x:f>
        <x:v>11940</x:v>
      </x:c>
      <x:c r="K74" s="10" t="n">
        <x:f>J74*'Assumptions'!$T$96</x:f>
        <x:v>11940</x:v>
      </x:c>
      <x:c r="L74" s="10" t="n">
        <x:f>K74*'Assumptions'!$U$96</x:f>
        <x:v>358.2</x:v>
      </x:c>
      <x:c r="M74" s="10" t="n">
        <x:f>K74*'Assumptions'!$V$96</x:f>
        <x:v>0</x:v>
      </x:c>
      <x:c r="N74" s="10" t="n">
        <x:f>K74-L74-M74</x:f>
        <x:v>11581.8</x:v>
      </x:c>
      <x:c r="O74" s="10" t="n">
        <x:f>H74*'Assumptions'!$P$96*'Assumptions'!$Q$96*'Assumptions'!$D$11*(1+'Assumptions'!$D$13)^(1-1)</x:f>
        <x:v>210</x:v>
      </x:c>
      <x:c r="P74" s="10" t="n">
        <x:f>H74*'Assumptions'!$R$96*'Assumptions'!$D$11*(1+'Assumptions'!$D$13)^(1-1)</x:f>
        <x:v>480</x:v>
      </x:c>
      <x:c r="Q74" s="10" t="n">
        <x:f>J74*'Assumptions'!$S$96</x:f>
        <x:v>7761</x:v>
      </x:c>
      <x:c r="R74" s="10" t="n">
        <x:f>H74*'Assumptions'!$Y$96*'Assumptions'!$Z$96*'Assumptions'!$D$11*(1+'Assumptions'!$D$13)^(1-1)</x:f>
        <x:v>360</x:v>
      </x:c>
      <x:c r="S74" s="10" t="n">
        <x:f>IF(I74=0,0,J74*'Assumptions'!$W$96+H74*'Assumptions'!$X$96)</x:f>
        <x:v>364.26</x:v>
      </x:c>
      <x:c r="T74" s="10" t="n">
        <x:f>N74*'Assumptions'!$AA$96</x:f>
        <x:v>463.272</x:v>
      </x:c>
      <x:c r="U74" s="10" t="n">
        <x:f>'Assumptions'!$AE$96*'Assumptions'!$D$11*(1+'Assumptions'!$D$13)^(1-1)</x:f>
        <x:v>0</x:v>
      </x:c>
      <x:c r="V74" s="10" t="n">
        <x:f>'Assumptions'!$AD$96*'Assumptions'!$D$11</x:f>
        <x:v>0</x:v>
      </x:c>
      <x:c r="W74" s="10" t="n">
        <x:f>H74*('Assumptions'!$P$96+'Assumptions'!$Y$96)</x:f>
        <x:v>18.000000000000004</x:v>
      </x:c>
      <x:c r="X74" s="10" t="n">
        <x:f>N74/'Assumptions'!$J$96*'Assumptions'!$AF$96</x:f>
        <x:v>0</x:v>
      </x:c>
      <x:c r="Y74" s="10" t="n">
        <x:f>P74/'Assumptions'!$J$96</x:f>
        <x:v>53.333333333333336</x:v>
      </x:c>
      <x:c r="Z74" s="10" t="n">
        <x:f>'Assumptions'!$AB$96</x:f>
        <x:v>4</x:v>
      </x:c>
      <x:c r="AA74" s="10" t="n">
        <x:f>Z74*'Assumptions'!$AC$96*'Assumptions'!$D$11*(1+'Assumptions'!$D$13)^(1-1)</x:f>
        <x:v>200</x:v>
      </x:c>
      <x:c r="AB74" s="10" t="n">
        <x:f>F74/1</x:f>
        <x:v>60</x:v>
      </x:c>
      <x:c r="AC74" s="10" t="n">
        <x:f>AB74/'Assumptions'!$AM$96</x:f>
        <x:v>400</x:v>
      </x:c>
      <x:c r="AD74" s="10" t="n">
        <x:f>IF(AB74=0,0,T74/AB74)</x:f>
        <x:v>7.7212</x:v>
      </x:c>
      <x:c r="AE74" s="10" t="n">
        <x:f>AA74*'Assumptions'!$D$21</x:f>
        <x:v>0</x:v>
      </x:c>
    </x:row>
    <x:row r="75" ht="16" customHeight="1">
      <x:c r="A75" s="1"/>
      <x:c r="B75" s="1"/>
      <x:c r="C75" s="1" t="str">
        <x:v>DOT-068</x:v>
      </x:c>
      <x:c r="D75" s="10" t="str">
        <x:v>S’otality cleaning</x:v>
      </x:c>
      <x:c r="E75" s="10" t="n">
        <x:v>1</x:v>
      </x:c>
      <x:c r="F75" s="21" t="n">
        <x:f>'Assumptions'!$I$97*'Assumptions'!$J$97/12*'Assumptions'!$D$9*'Assumptions'!$D$8</x:f>
        <x:v>90</x:v>
      </x:c>
      <x:c r="G75" s="21" t="n">
        <x:f>0</x:f>
        <x:v>0</x:v>
      </x:c>
      <x:c r="H75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75+G75,NA())</x:f>
        <x:v>90</x:v>
      </x:c>
      <x:c r="I75" s="22" t="n">
        <x:f>'Assumptions'!$H$97*IF('Assumptions'!$O$97=1,1,'Assumptions'!$D$10)*(1+'Assumptions'!$N$97)^(1-1)</x:f>
        <x:v>189</x:v>
      </x:c>
      <x:c r="J75" s="10" t="n">
        <x:f>H75*I75</x:f>
        <x:v>17010</x:v>
      </x:c>
      <x:c r="K75" s="10" t="n">
        <x:f>J75*'Assumptions'!$T$97</x:f>
        <x:v>17010</x:v>
      </x:c>
      <x:c r="L75" s="10" t="n">
        <x:f>K75*'Assumptions'!$U$97</x:f>
        <x:v>510.29999999999995</x:v>
      </x:c>
      <x:c r="M75" s="10" t="n">
        <x:f>K75*'Assumptions'!$V$97</x:f>
        <x:v>0</x:v>
      </x:c>
      <x:c r="N75" s="10" t="n">
        <x:f>K75-L75-M75</x:f>
        <x:v>16499.7</x:v>
      </x:c>
      <x:c r="O75" s="10" t="n">
        <x:f>H75*'Assumptions'!$P$97*'Assumptions'!$Q$97*'Assumptions'!$D$11*(1+'Assumptions'!$D$13)^(1-1)</x:f>
        <x:v>315</x:v>
      </x:c>
      <x:c r="P75" s="10" t="n">
        <x:f>H75*'Assumptions'!$R$97*'Assumptions'!$D$11*(1+'Assumptions'!$D$13)^(1-1)</x:f>
        <x:v>720</x:v>
      </x:c>
      <x:c r="Q75" s="10" t="n">
        <x:f>J75*'Assumptions'!$S$97</x:f>
        <x:v>11056.5</x:v>
      </x:c>
      <x:c r="R75" s="10" t="n">
        <x:f>H75*'Assumptions'!$Y$97*'Assumptions'!$Z$97*'Assumptions'!$D$11*(1+'Assumptions'!$D$13)^(1-1)</x:f>
        <x:v>540</x:v>
      </x:c>
      <x:c r="S75" s="10" t="n">
        <x:f>IF(I75=0,0,J75*'Assumptions'!$W$97+H75*'Assumptions'!$X$97)</x:f>
        <x:v>520.29</x:v>
      </x:c>
      <x:c r="T75" s="10" t="n">
        <x:f>N75*'Assumptions'!$AA$97</x:f>
        <x:v>659.988</x:v>
      </x:c>
      <x:c r="U75" s="10" t="n">
        <x:f>'Assumptions'!$AE$97*'Assumptions'!$D$11*(1+'Assumptions'!$D$13)^(1-1)</x:f>
        <x:v>0</x:v>
      </x:c>
      <x:c r="V75" s="10" t="n">
        <x:f>'Assumptions'!$AD$97*'Assumptions'!$D$11</x:f>
        <x:v>0</x:v>
      </x:c>
      <x:c r="W75" s="10" t="n">
        <x:f>H75*('Assumptions'!$P$97+'Assumptions'!$Y$97)</x:f>
        <x:v>27.000000000000004</x:v>
      </x:c>
      <x:c r="X75" s="10" t="n">
        <x:f>N75/'Assumptions'!$J$97*'Assumptions'!$AF$97</x:f>
        <x:v>0</x:v>
      </x:c>
      <x:c r="Y75" s="10" t="n">
        <x:f>P75/'Assumptions'!$J$97</x:f>
        <x:v>80</x:v>
      </x:c>
      <x:c r="Z75" s="10" t="n">
        <x:f>'Assumptions'!$AB$97</x:f>
        <x:v>4</x:v>
      </x:c>
      <x:c r="AA75" s="10" t="n">
        <x:f>Z75*'Assumptions'!$AC$97*'Assumptions'!$D$11*(1+'Assumptions'!$D$13)^(1-1)</x:f>
        <x:v>200</x:v>
      </x:c>
      <x:c r="AB75" s="10" t="n">
        <x:f>F75/1</x:f>
        <x:v>90</x:v>
      </x:c>
      <x:c r="AC75" s="10" t="n">
        <x:f>AB75/'Assumptions'!$AM$97</x:f>
        <x:v>600</x:v>
      </x:c>
      <x:c r="AD75" s="10" t="n">
        <x:f>IF(AB75=0,0,T75/AB75)</x:f>
        <x:v>7.333200000000001</x:v>
      </x:c>
      <x:c r="AE75" s="10" t="n">
        <x:f>AA75*'Assumptions'!$D$21</x:f>
        <x:v>0</x:v>
      </x:c>
    </x:row>
    <x:row r="76" ht="16" customHeight="1">
      <x:c r="A76" s="1"/>
      <x:c r="B76" s="1"/>
      <x:c r="C76" s="1" t="str">
        <x:v>DOT-069</x:v>
      </x:c>
      <x:c r="D76" s="10" t="str">
        <x:v>S’otality cleaning</x:v>
      </x:c>
      <x:c r="E76" s="10" t="n">
        <x:v>1</x:v>
      </x:c>
      <x:c r="F76" s="21" t="n">
        <x:f>'Assumptions'!$I$98*'Assumptions'!$J$98/12*'Assumptions'!$D$9*'Assumptions'!$D$8</x:f>
        <x:v>30</x:v>
      </x:c>
      <x:c r="G76" s="21" t="n">
        <x:f>0</x:f>
        <x:v>0</x:v>
      </x:c>
      <x:c r="H76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76+G76,NA())</x:f>
        <x:v>30</x:v>
      </x:c>
      <x:c r="I76" s="22" t="n">
        <x:f>'Assumptions'!$H$98*IF('Assumptions'!$O$98=1,1,'Assumptions'!$D$10)*(1+'Assumptions'!$N$98)^(1-1)</x:f>
        <x:v>299</x:v>
      </x:c>
      <x:c r="J76" s="10" t="n">
        <x:f>H76*I76</x:f>
        <x:v>8970</x:v>
      </x:c>
      <x:c r="K76" s="10" t="n">
        <x:f>J76*'Assumptions'!$T$98</x:f>
        <x:v>8970</x:v>
      </x:c>
      <x:c r="L76" s="10" t="n">
        <x:f>K76*'Assumptions'!$U$98</x:f>
        <x:v>269.09999999999997</x:v>
      </x:c>
      <x:c r="M76" s="10" t="n">
        <x:f>K76*'Assumptions'!$V$98</x:f>
        <x:v>0</x:v>
      </x:c>
      <x:c r="N76" s="10" t="n">
        <x:f>K76-L76-M76</x:f>
        <x:v>8700.9</x:v>
      </x:c>
      <x:c r="O76" s="10" t="n">
        <x:f>H76*'Assumptions'!$P$98*'Assumptions'!$Q$98*'Assumptions'!$D$11*(1+'Assumptions'!$D$13)^(1-1)</x:f>
        <x:v>105</x:v>
      </x:c>
      <x:c r="P76" s="10" t="n">
        <x:f>H76*'Assumptions'!$R$98*'Assumptions'!$D$11*(1+'Assumptions'!$D$13)^(1-1)</x:f>
        <x:v>240</x:v>
      </x:c>
      <x:c r="Q76" s="10" t="n">
        <x:f>J76*'Assumptions'!$S$98</x:f>
        <x:v>5830.5</x:v>
      </x:c>
      <x:c r="R76" s="10" t="n">
        <x:f>H76*'Assumptions'!$Y$98*'Assumptions'!$Z$98*'Assumptions'!$D$11*(1+'Assumptions'!$D$13)^(1-1)</x:f>
        <x:v>180</x:v>
      </x:c>
      <x:c r="S76" s="10" t="n">
        <x:f>IF(I76=0,0,J76*'Assumptions'!$W$98+H76*'Assumptions'!$X$98)</x:f>
        <x:v>269.13</x:v>
      </x:c>
      <x:c r="T76" s="10" t="n">
        <x:f>N76*'Assumptions'!$AA$98</x:f>
        <x:v>348.036</x:v>
      </x:c>
      <x:c r="U76" s="10" t="n">
        <x:f>'Assumptions'!$AE$98*'Assumptions'!$D$11*(1+'Assumptions'!$D$13)^(1-1)</x:f>
        <x:v>0</x:v>
      </x:c>
      <x:c r="V76" s="10" t="n">
        <x:f>'Assumptions'!$AD$98*'Assumptions'!$D$11</x:f>
        <x:v>0</x:v>
      </x:c>
      <x:c r="W76" s="10" t="n">
        <x:f>H76*('Assumptions'!$P$98+'Assumptions'!$Y$98)</x:f>
        <x:v>9.000000000000002</x:v>
      </x:c>
      <x:c r="X76" s="10" t="n">
        <x:f>N76/'Assumptions'!$J$98*'Assumptions'!$AF$98</x:f>
        <x:v>0</x:v>
      </x:c>
      <x:c r="Y76" s="10" t="n">
        <x:f>P76/'Assumptions'!$J$98</x:f>
        <x:v>26.666666666666668</x:v>
      </x:c>
      <x:c r="Z76" s="10" t="n">
        <x:f>'Assumptions'!$AB$98</x:f>
        <x:v>4</x:v>
      </x:c>
      <x:c r="AA76" s="10" t="n">
        <x:f>Z76*'Assumptions'!$AC$98*'Assumptions'!$D$11*(1+'Assumptions'!$D$13)^(1-1)</x:f>
        <x:v>200</x:v>
      </x:c>
      <x:c r="AB76" s="10" t="n">
        <x:f>F76/1</x:f>
        <x:v>30</x:v>
      </x:c>
      <x:c r="AC76" s="10" t="n">
        <x:f>AB76/'Assumptions'!$AM$98</x:f>
        <x:v>200</x:v>
      </x:c>
      <x:c r="AD76" s="10" t="n">
        <x:f>IF(AB76=0,0,T76/AB76)</x:f>
        <x:v>11.6012</x:v>
      </x:c>
      <x:c r="AE76" s="10" t="n">
        <x:f>AA76*'Assumptions'!$D$21</x:f>
        <x:v>0</x:v>
      </x:c>
    </x:row>
    <x:row r="77" ht="16" customHeight="1">
      <x:c r="A77" s="1"/>
      <x:c r="B77" s="1"/>
      <x:c r="C77" s="1" t="str">
        <x:v>DOT-070</x:v>
      </x:c>
      <x:c r="D77" s="10" t="str">
        <x:v>S’otality laundry</x:v>
      </x:c>
      <x:c r="E77" s="10" t="n">
        <x:v>1</x:v>
      </x:c>
      <x:c r="F77" s="21" t="n">
        <x:f>'Assumptions'!$I$99*'Assumptions'!$J$99/12*'Assumptions'!$D$9*'Assumptions'!$D$8</x:f>
        <x:v>270</x:v>
      </x:c>
      <x:c r="G77" s="21" t="n">
        <x:f>0</x:f>
        <x:v>0</x:v>
      </x:c>
      <x:c r="H77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77+G77,NA())</x:f>
        <x:v>270</x:v>
      </x:c>
      <x:c r="I77" s="22" t="n">
        <x:f>'Assumptions'!$H$99*IF('Assumptions'!$O$99=1,1,'Assumptions'!$D$10)*(1+'Assumptions'!$N$99)^(1-1)</x:f>
        <x:v>60</x:v>
      </x:c>
      <x:c r="J77" s="10" t="n">
        <x:f>H77*I77</x:f>
        <x:v>16200</x:v>
      </x:c>
      <x:c r="K77" s="10" t="n">
        <x:f>J77*'Assumptions'!$T$99</x:f>
        <x:v>16200</x:v>
      </x:c>
      <x:c r="L77" s="10" t="n">
        <x:f>K77*'Assumptions'!$U$99</x:f>
        <x:v>486</x:v>
      </x:c>
      <x:c r="M77" s="10" t="n">
        <x:f>K77*'Assumptions'!$V$99</x:f>
        <x:v>0</x:v>
      </x:c>
      <x:c r="N77" s="10" t="n">
        <x:f>K77-L77-M77</x:f>
        <x:v>15714</x:v>
      </x:c>
      <x:c r="O77" s="10" t="n">
        <x:f>H77*'Assumptions'!$P$99*'Assumptions'!$Q$99*'Assumptions'!$D$11*(1+'Assumptions'!$D$13)^(1-1)</x:f>
        <x:v>945</x:v>
      </x:c>
      <x:c r="P77" s="10" t="n">
        <x:f>H77*'Assumptions'!$R$99*'Assumptions'!$D$11*(1+'Assumptions'!$D$13)^(1-1)</x:f>
        <x:v>0</x:v>
      </x:c>
      <x:c r="Q77" s="10" t="n">
        <x:f>J77*'Assumptions'!$S$99</x:f>
        <x:v>10530</x:v>
      </x:c>
      <x:c r="R77" s="10" t="n">
        <x:f>H77*'Assumptions'!$Y$99*'Assumptions'!$Z$99*'Assumptions'!$D$11*(1+'Assumptions'!$D$13)^(1-1)</x:f>
        <x:v>1620</x:v>
      </x:c>
      <x:c r="S77" s="10" t="n">
        <x:f>IF(I77=0,0,J77*'Assumptions'!$W$99+H77*'Assumptions'!$X$99)</x:f>
        <x:v>550.8</x:v>
      </x:c>
      <x:c r="T77" s="10" t="n">
        <x:f>N77*'Assumptions'!$AA$99</x:f>
        <x:v>628.5600000000001</x:v>
      </x:c>
      <x:c r="U77" s="10" t="n">
        <x:f>'Assumptions'!$AE$99*'Assumptions'!$D$11*(1+'Assumptions'!$D$13)^(1-1)</x:f>
        <x:v>0</x:v>
      </x:c>
      <x:c r="V77" s="10" t="n">
        <x:f>'Assumptions'!$AD$99*'Assumptions'!$D$11</x:f>
        <x:v>0</x:v>
      </x:c>
      <x:c r="W77" s="10" t="n">
        <x:f>H77*('Assumptions'!$P$99+'Assumptions'!$Y$99)</x:f>
        <x:v>81.00000000000001</x:v>
      </x:c>
      <x:c r="X77" s="10" t="n">
        <x:f>N77/'Assumptions'!$J$99*'Assumptions'!$AF$99</x:f>
        <x:v>0</x:v>
      </x:c>
      <x:c r="Y77" s="10" t="n">
        <x:f>P77/'Assumptions'!$J$99</x:f>
        <x:v>0</x:v>
      </x:c>
      <x:c r="Z77" s="10" t="n">
        <x:f>'Assumptions'!$AB$99</x:f>
        <x:v>6</x:v>
      </x:c>
      <x:c r="AA77" s="10" t="n">
        <x:f>Z77*'Assumptions'!$AC$99*'Assumptions'!$D$11*(1+'Assumptions'!$D$13)^(1-1)</x:f>
        <x:v>300</x:v>
      </x:c>
      <x:c r="AB77" s="10" t="n">
        <x:f>F77/1</x:f>
        <x:v>270</x:v>
      </x:c>
      <x:c r="AC77" s="10" t="n">
        <x:f>AB77/'Assumptions'!$AM$99</x:f>
        <x:v>1800</x:v>
      </x:c>
      <x:c r="AD77" s="10" t="n">
        <x:f>IF(AB77=0,0,T77/AB77)</x:f>
        <x:v>2.3280000000000003</x:v>
      </x:c>
      <x:c r="AE77" s="10" t="n">
        <x:f>AA77*'Assumptions'!$D$21</x:f>
        <x:v>0</x:v>
      </x:c>
    </x:row>
    <x:row r="78" ht="16" customHeight="1">
      <x:c r="A78" s="1"/>
      <x:c r="B78" s="1"/>
      <x:c r="C78" s="1" t="str">
        <x:v>DOT-071</x:v>
      </x:c>
      <x:c r="D78" s="10" t="str">
        <x:v>S’otality Personal Chef</x:v>
      </x:c>
      <x:c r="E78" s="10" t="n">
        <x:v>1</x:v>
      </x:c>
      <x:c r="F78" s="21" t="n">
        <x:f>'Assumptions'!$I$100*'Assumptions'!$J$100/12*'Assumptions'!$D$9*'Assumptions'!$D$8</x:f>
        <x:v>30</x:v>
      </x:c>
      <x:c r="G78" s="21" t="n">
        <x:f>0</x:f>
        <x:v>0</x:v>
      </x:c>
      <x:c r="H78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78+G78,NA())</x:f>
        <x:v>30</x:v>
      </x:c>
      <x:c r="I78" s="22" t="n">
        <x:f>'Assumptions'!$H$100*IF('Assumptions'!$O$100=1,1,'Assumptions'!$D$10)*(1+'Assumptions'!$N$100)^(1-1)</x:f>
        <x:v>650</x:v>
      </x:c>
      <x:c r="J78" s="10" t="n">
        <x:f>H78*I78</x:f>
        <x:v>19500</x:v>
      </x:c>
      <x:c r="K78" s="10" t="n">
        <x:f>J78*'Assumptions'!$T$100</x:f>
        <x:v>19500</x:v>
      </x:c>
      <x:c r="L78" s="10" t="n">
        <x:f>K78*'Assumptions'!$U$100</x:f>
        <x:v>585</x:v>
      </x:c>
      <x:c r="M78" s="10" t="n">
        <x:f>K78*'Assumptions'!$V$100</x:f>
        <x:v>0</x:v>
      </x:c>
      <x:c r="N78" s="10" t="n">
        <x:f>K78-L78-M78</x:f>
        <x:v>18915</x:v>
      </x:c>
      <x:c r="O78" s="10" t="n">
        <x:f>H78*'Assumptions'!$P$100*'Assumptions'!$Q$100*'Assumptions'!$D$11*(1+'Assumptions'!$D$13)^(1-1)</x:f>
        <x:v>600</x:v>
      </x:c>
      <x:c r="P78" s="10" t="n">
        <x:f>H78*'Assumptions'!$R$100*'Assumptions'!$D$11*(1+'Assumptions'!$D$13)^(1-1)</x:f>
        <x:v>3000</x:v>
      </x:c>
      <x:c r="Q78" s="10" t="n">
        <x:f>J78*'Assumptions'!$S$100</x:f>
        <x:v>9750</x:v>
      </x:c>
      <x:c r="R78" s="10" t="n">
        <x:f>H78*'Assumptions'!$Y$100*'Assumptions'!$Z$100*'Assumptions'!$D$11*(1+'Assumptions'!$D$13)^(1-1)</x:f>
        <x:v>180</x:v>
      </x:c>
      <x:c r="S78" s="10" t="n">
        <x:f>IF(I78=0,0,J78*'Assumptions'!$W$100+H78*'Assumptions'!$X$100)</x:f>
        <x:v>574.5</x:v>
      </x:c>
      <x:c r="T78" s="10" t="n">
        <x:f>N78*'Assumptions'!$AA$100</x:f>
        <x:v>756.6</x:v>
      </x:c>
      <x:c r="U78" s="10" t="n">
        <x:f>'Assumptions'!$AE$100*'Assumptions'!$D$11*(1+'Assumptions'!$D$13)^(1-1)</x:f>
        <x:v>0</x:v>
      </x:c>
      <x:c r="V78" s="10" t="n">
        <x:f>'Assumptions'!$AD$100*'Assumptions'!$D$11</x:f>
        <x:v>0</x:v>
      </x:c>
      <x:c r="W78" s="10" t="n">
        <x:f>H78*('Assumptions'!$P$100+'Assumptions'!$Y$100)</x:f>
        <x:v>21</x:v>
      </x:c>
      <x:c r="X78" s="10" t="n">
        <x:f>N78/'Assumptions'!$J$100*'Assumptions'!$AF$100</x:f>
        <x:v>0</x:v>
      </x:c>
      <x:c r="Y78" s="10" t="n">
        <x:f>P78/'Assumptions'!$J$100</x:f>
        <x:v>500</x:v>
      </x:c>
      <x:c r="Z78" s="10" t="n">
        <x:f>'Assumptions'!$AB$100</x:f>
        <x:v>12</x:v>
      </x:c>
      <x:c r="AA78" s="10" t="n">
        <x:f>Z78*'Assumptions'!$AC$100*'Assumptions'!$D$11*(1+'Assumptions'!$D$13)^(1-1)</x:f>
        <x:v>600</x:v>
      </x:c>
      <x:c r="AB78" s="10" t="n">
        <x:f>F78/1</x:f>
        <x:v>30</x:v>
      </x:c>
      <x:c r="AC78" s="10" t="n">
        <x:f>AB78/'Assumptions'!$AM$100</x:f>
        <x:v>200</x:v>
      </x:c>
      <x:c r="AD78" s="10" t="n">
        <x:f>IF(AB78=0,0,T78/AB78)</x:f>
        <x:v>25.220000000000002</x:v>
      </x:c>
      <x:c r="AE78" s="10" t="n">
        <x:f>AA78*'Assumptions'!$D$21</x:f>
        <x:v>0</x:v>
      </x:c>
    </x:row>
    <x:row r="79" ht="16" customHeight="1">
      <x:c r="A79" s="1"/>
      <x:c r="B79" s="1"/>
      <x:c r="C79" s="1" t="str">
        <x:v>DOT-072</x:v>
      </x:c>
      <x:c r="D79" s="10" t="str">
        <x:v>S’otality interiors</x:v>
      </x:c>
      <x:c r="E79" s="10" t="n">
        <x:v>1</x:v>
      </x:c>
      <x:c r="F79" s="21" t="n">
        <x:f>'Assumptions'!$I$101*'Assumptions'!$J$101/12*'Assumptions'!$D$9*'Assumptions'!$D$8</x:f>
        <x:v>13.5</x:v>
      </x:c>
      <x:c r="G79" s="21" t="n">
        <x:f>0</x:f>
        <x:v>0</x:v>
      </x:c>
      <x:c r="H79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79+G79,NA())</x:f>
        <x:v>13.5</x:v>
      </x:c>
      <x:c r="I79" s="22" t="n">
        <x:f>'Assumptions'!$H$101*IF('Assumptions'!$O$101=1,1,'Assumptions'!$D$10)*(1+'Assumptions'!$N$101)^(1-1)</x:f>
        <x:v>1500</x:v>
      </x:c>
      <x:c r="J79" s="10" t="n">
        <x:f>H79*I79</x:f>
        <x:v>20250</x:v>
      </x:c>
      <x:c r="K79" s="10" t="n">
        <x:f>J79*'Assumptions'!$T$101</x:f>
        <x:v>20250</x:v>
      </x:c>
      <x:c r="L79" s="10" t="n">
        <x:f>K79*'Assumptions'!$U$101</x:f>
        <x:v>607.5</x:v>
      </x:c>
      <x:c r="M79" s="10" t="n">
        <x:f>K79*'Assumptions'!$V$101</x:f>
        <x:v>0</x:v>
      </x:c>
      <x:c r="N79" s="10" t="n">
        <x:f>K79-L79-M79</x:f>
        <x:v>19642.5</x:v>
      </x:c>
      <x:c r="O79" s="10" t="n">
        <x:f>H79*'Assumptions'!$P$101*'Assumptions'!$Q$101*'Assumptions'!$D$11*(1+'Assumptions'!$D$13)^(1-1)</x:f>
        <x:v>7425</x:v>
      </x:c>
      <x:c r="P79" s="10" t="n">
        <x:f>H79*'Assumptions'!$R$101*'Assumptions'!$D$11*(1+'Assumptions'!$D$13)^(1-1)</x:f>
        <x:v>675</x:v>
      </x:c>
      <x:c r="Q79" s="10" t="n">
        <x:f>J79*'Assumptions'!$S$101</x:f>
        <x:v>0</x:v>
      </x:c>
      <x:c r="R79" s="10" t="n">
        <x:f>H79*'Assumptions'!$Y$101*'Assumptions'!$Z$101*'Assumptions'!$D$11*(1+'Assumptions'!$D$13)^(1-1)</x:f>
        <x:v>101.25</x:v>
      </x:c>
      <x:c r="S79" s="10" t="n">
        <x:f>IF(I79=0,0,J79*'Assumptions'!$W$101+H79*'Assumptions'!$X$101)</x:f>
        <x:v>591.3</x:v>
      </x:c>
      <x:c r="T79" s="10" t="n">
        <x:f>N79*'Assumptions'!$AA$101</x:f>
        <x:v>785.7</x:v>
      </x:c>
      <x:c r="U79" s="10" t="n">
        <x:f>'Assumptions'!$AE$101*'Assumptions'!$D$11*(1+'Assumptions'!$D$13)^(1-1)</x:f>
        <x:v>0</x:v>
      </x:c>
      <x:c r="V79" s="10" t="n">
        <x:f>'Assumptions'!$AD$101*'Assumptions'!$D$11</x:f>
        <x:v>0</x:v>
      </x:c>
      <x:c r="W79" s="10" t="n">
        <x:f>H79*('Assumptions'!$P$101+'Assumptions'!$Y$101)</x:f>
        <x:v>138.375</x:v>
      </x:c>
      <x:c r="X79" s="10" t="n">
        <x:f>N79/'Assumptions'!$J$101*'Assumptions'!$AF$101</x:f>
        <x:v>2182.5</x:v>
      </x:c>
      <x:c r="Y79" s="10" t="n">
        <x:f>P79/'Assumptions'!$J$101</x:f>
        <x:v>75</x:v>
      </x:c>
      <x:c r="Z79" s="10" t="n">
        <x:f>'Assumptions'!$AB$101</x:f>
        <x:v>12</x:v>
      </x:c>
      <x:c r="AA79" s="10" t="n">
        <x:f>Z79*'Assumptions'!$AC$101*'Assumptions'!$D$11*(1+'Assumptions'!$D$13)^(1-1)</x:f>
        <x:v>600</x:v>
      </x:c>
      <x:c r="AB79" s="10" t="n">
        <x:f>F79/1</x:f>
        <x:v>13.5</x:v>
      </x:c>
      <x:c r="AC79" s="10" t="n">
        <x:f>AB79/'Assumptions'!$AM$101</x:f>
        <x:v>67.5</x:v>
      </x:c>
      <x:c r="AD79" s="10" t="n">
        <x:f>IF(AB79=0,0,T79/AB79)</x:f>
        <x:v>58.2</x:v>
      </x:c>
      <x:c r="AE79" s="10" t="n">
        <x:f>AA79*'Assumptions'!$D$21</x:f>
        <x:v>0</x:v>
      </x:c>
    </x:row>
    <x:row r="80" ht="16" customHeight="1">
      <x:c r="A80" s="1"/>
      <x:c r="B80" s="1"/>
      <x:c r="C80" s="1" t="str">
        <x:v>DOT-073</x:v>
      </x:c>
      <x:c r="D80" s="10" t="str">
        <x:v>S’otality interiors</x:v>
      </x:c>
      <x:c r="E80" s="10" t="n">
        <x:v>1</x:v>
      </x:c>
      <x:c r="F80" s="21" t="n">
        <x:f>'Assumptions'!$I$102*'Assumptions'!$J$102/12*'Assumptions'!$D$9*'Assumptions'!$D$8</x:f>
        <x:v>45</x:v>
      </x:c>
      <x:c r="G80" s="21" t="n">
        <x:f>0</x:f>
        <x:v>0</x:v>
      </x:c>
      <x:c r="H80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80+G80,NA())</x:f>
        <x:v>45</x:v>
      </x:c>
      <x:c r="I80" s="22" t="n">
        <x:f>'Assumptions'!$H$102*IF('Assumptions'!$O$102=1,1,'Assumptions'!$D$10)*(1+'Assumptions'!$N$102)^(1-1)</x:f>
        <x:v>300</x:v>
      </x:c>
      <x:c r="J80" s="10" t="n">
        <x:f>H80*I80</x:f>
        <x:v>13500</x:v>
      </x:c>
      <x:c r="K80" s="10" t="n">
        <x:f>J80*'Assumptions'!$T$102</x:f>
        <x:v>13500</x:v>
      </x:c>
      <x:c r="L80" s="10" t="n">
        <x:f>K80*'Assumptions'!$U$102</x:f>
        <x:v>405</x:v>
      </x:c>
      <x:c r="M80" s="10" t="n">
        <x:f>K80*'Assumptions'!$V$102</x:f>
        <x:v>0</x:v>
      </x:c>
      <x:c r="N80" s="10" t="n">
        <x:f>K80-L80-M80</x:f>
        <x:v>13095</x:v>
      </x:c>
      <x:c r="O80" s="10" t="n">
        <x:f>H80*'Assumptions'!$P$102*'Assumptions'!$Q$102*'Assumptions'!$D$11*(1+'Assumptions'!$D$13)^(1-1)</x:f>
        <x:v>393.75</x:v>
      </x:c>
      <x:c r="P80" s="10" t="n">
        <x:f>H80*'Assumptions'!$R$102*'Assumptions'!$D$11*(1+'Assumptions'!$D$13)^(1-1)</x:f>
        <x:v>0</x:v>
      </x:c>
      <x:c r="Q80" s="10" t="n">
        <x:f>J80*'Assumptions'!$S$102</x:f>
        <x:v>8100</x:v>
      </x:c>
      <x:c r="R80" s="10" t="n">
        <x:f>H80*'Assumptions'!$Y$102*'Assumptions'!$Z$102*'Assumptions'!$D$11*(1+'Assumptions'!$D$13)^(1-1)</x:f>
        <x:v>270</x:v>
      </x:c>
      <x:c r="S80" s="10" t="n">
        <x:f>IF(I80=0,0,J80*'Assumptions'!$W$102+H80*'Assumptions'!$X$102)</x:f>
        <x:v>405</x:v>
      </x:c>
      <x:c r="T80" s="10" t="n">
        <x:f>N80*'Assumptions'!$AA$102</x:f>
        <x:v>523.8</x:v>
      </x:c>
      <x:c r="U80" s="10" t="n">
        <x:f>'Assumptions'!$AE$102*'Assumptions'!$D$11*(1+'Assumptions'!$D$13)^(1-1)</x:f>
        <x:v>0</x:v>
      </x:c>
      <x:c r="V80" s="10" t="n">
        <x:f>'Assumptions'!$AD$102*'Assumptions'!$D$11</x:f>
        <x:v>0</x:v>
      </x:c>
      <x:c r="W80" s="10" t="n">
        <x:f>H80*('Assumptions'!$P$102+'Assumptions'!$Y$102)</x:f>
        <x:v>20.25</x:v>
      </x:c>
      <x:c r="X80" s="10" t="n">
        <x:f>N80/'Assumptions'!$J$102*'Assumptions'!$AF$102</x:f>
        <x:v>0</x:v>
      </x:c>
      <x:c r="Y80" s="10" t="n">
        <x:f>P80/'Assumptions'!$J$102</x:f>
        <x:v>0</x:v>
      </x:c>
      <x:c r="Z80" s="10" t="n">
        <x:f>'Assumptions'!$AB$102</x:f>
        <x:v>4</x:v>
      </x:c>
      <x:c r="AA80" s="10" t="n">
        <x:f>Z80*'Assumptions'!$AC$102*'Assumptions'!$D$11*(1+'Assumptions'!$D$13)^(1-1)</x:f>
        <x:v>200</x:v>
      </x:c>
      <x:c r="AB80" s="10" t="n">
        <x:f>F80/1</x:f>
        <x:v>45</x:v>
      </x:c>
      <x:c r="AC80" s="10" t="n">
        <x:f>AB80/'Assumptions'!$AM$102</x:f>
        <x:v>300</x:v>
      </x:c>
      <x:c r="AD80" s="10" t="n">
        <x:f>IF(AB80=0,0,T80/AB80)</x:f>
        <x:v>11.639999999999999</x:v>
      </x:c>
      <x:c r="AE80" s="10" t="n">
        <x:f>AA80*'Assumptions'!$D$21</x:f>
        <x:v>0</x:v>
      </x:c>
    </x:row>
    <x:row r="81" ht="16" customHeight="1">
      <x:c r="A81" s="1"/>
      <x:c r="B81" s="1"/>
      <x:c r="C81" s="1" t="str">
        <x:v>DOT-074</x:v>
      </x:c>
      <x:c r="D81" s="10" t="str">
        <x:v>S’otality interiors</x:v>
      </x:c>
      <x:c r="E81" s="10" t="n">
        <x:v>1</x:v>
      </x:c>
      <x:c r="F81" s="21" t="n">
        <x:f>'Assumptions'!$I$103*'Assumptions'!$J$103/12*'Assumptions'!$D$9*'Assumptions'!$D$8</x:f>
        <x:v>18</x:v>
      </x:c>
      <x:c r="G81" s="21" t="n">
        <x:f>0</x:f>
        <x:v>0</x:v>
      </x:c>
      <x:c r="H81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81+G81,NA())</x:f>
        <x:v>18</x:v>
      </x:c>
      <x:c r="I81" s="22" t="n">
        <x:f>'Assumptions'!$H$103*IF('Assumptions'!$O$103=1,1,'Assumptions'!$D$10)*(1+'Assumptions'!$N$103)^(1-1)</x:f>
        <x:v>1500</x:v>
      </x:c>
      <x:c r="J81" s="10" t="n">
        <x:f>H81*I81</x:f>
        <x:v>27000</x:v>
      </x:c>
      <x:c r="K81" s="10" t="n">
        <x:f>J81*'Assumptions'!$T$103</x:f>
        <x:v>2700</x:v>
      </x:c>
      <x:c r="L81" s="10" t="n">
        <x:f>K81*'Assumptions'!$U$103</x:f>
        <x:v>81</x:v>
      </x:c>
      <x:c r="M81" s="10" t="n">
        <x:f>K81*'Assumptions'!$V$103</x:f>
        <x:v>0</x:v>
      </x:c>
      <x:c r="N81" s="10" t="n">
        <x:f>K81-L81-M81</x:f>
        <x:v>2619</x:v>
      </x:c>
      <x:c r="O81" s="10" t="n">
        <x:f>H81*'Assumptions'!$P$103*'Assumptions'!$Q$103*'Assumptions'!$D$11*(1+'Assumptions'!$D$13)^(1-1)</x:f>
        <x:v>720</x:v>
      </x:c>
      <x:c r="P81" s="10" t="n">
        <x:f>H81*'Assumptions'!$R$103*'Assumptions'!$D$11*(1+'Assumptions'!$D$13)^(1-1)</x:f>
        <x:v>0</x:v>
      </x:c>
      <x:c r="Q81" s="10" t="n">
        <x:f>J81*'Assumptions'!$S$103</x:f>
        <x:v>0</x:v>
      </x:c>
      <x:c r="R81" s="10" t="n">
        <x:f>H81*'Assumptions'!$Y$103*'Assumptions'!$Z$103*'Assumptions'!$D$11*(1+'Assumptions'!$D$13)^(1-1)</x:f>
        <x:v>80.99999999999999</x:v>
      </x:c>
      <x:c r="S81" s="10" t="n">
        <x:f>IF(I81=0,0,J81*'Assumptions'!$W$103+H81*'Assumptions'!$X$103)</x:f>
        <x:v>788.4</x:v>
      </x:c>
      <x:c r="T81" s="10" t="n">
        <x:f>N81*'Assumptions'!$AA$103</x:f>
        <x:v>130.95000000000002</x:v>
      </x:c>
      <x:c r="U81" s="10" t="n">
        <x:f>'Assumptions'!$AE$103*'Assumptions'!$D$11*(1+'Assumptions'!$D$13)^(1-1)</x:f>
        <x:v>0</x:v>
      </x:c>
      <x:c r="V81" s="10" t="n">
        <x:f>'Assumptions'!$AD$103*'Assumptions'!$D$11</x:f>
        <x:v>0</x:v>
      </x:c>
      <x:c r="W81" s="10" t="n">
        <x:f>H81*('Assumptions'!$P$103+'Assumptions'!$Y$103)</x:f>
        <x:v>20.7</x:v>
      </x:c>
      <x:c r="X81" s="10" t="n">
        <x:f>N81/'Assumptions'!$J$103*'Assumptions'!$AF$103</x:f>
        <x:v>0</x:v>
      </x:c>
      <x:c r="Y81" s="10" t="n">
        <x:f>P81/'Assumptions'!$J$103</x:f>
        <x:v>0</x:v>
      </x:c>
      <x:c r="Z81" s="10" t="n">
        <x:f>'Assumptions'!$AB$103</x:f>
        <x:v>4</x:v>
      </x:c>
      <x:c r="AA81" s="10" t="n">
        <x:f>Z81*'Assumptions'!$AC$103*'Assumptions'!$D$11*(1+'Assumptions'!$D$13)^(1-1)</x:f>
        <x:v>200</x:v>
      </x:c>
      <x:c r="AB81" s="10" t="n">
        <x:f>F81/1</x:f>
        <x:v>18</x:v>
      </x:c>
      <x:c r="AC81" s="10" t="n">
        <x:f>AB81/'Assumptions'!$AM$103</x:f>
        <x:v>360</x:v>
      </x:c>
      <x:c r="AD81" s="10" t="n">
        <x:f>IF(AB81=0,0,T81/AB81)</x:f>
        <x:v>7.275000000000001</x:v>
      </x:c>
      <x:c r="AE81" s="10" t="n">
        <x:f>AA81*'Assumptions'!$D$21</x:f>
        <x:v>0</x:v>
      </x:c>
    </x:row>
    <x:row r="82" ht="16" customHeight="1">
      <x:c r="A82" s="1"/>
      <x:c r="B82" s="1"/>
      <x:c r="C82" s="1" t="str">
        <x:v>DOT-075</x:v>
      </x:c>
      <x:c r="D82" s="10" t="str">
        <x:v>S’otality concierge</x:v>
      </x:c>
      <x:c r="E82" s="10" t="n">
        <x:v>1</x:v>
      </x:c>
      <x:c r="F82" s="21" t="n">
        <x:f>'Assumptions'!$I$104*'Assumptions'!$J$104/12*'Assumptions'!$D$9*'Assumptions'!$D$8</x:f>
        <x:v>180</x:v>
      </x:c>
      <x:c r="G82" s="21" t="n">
        <x:f>0</x:f>
        <x:v>0</x:v>
      </x:c>
      <x:c r="H82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82+G82,NA())</x:f>
        <x:v>180</x:v>
      </x:c>
      <x:c r="I82" s="22" t="n">
        <x:f>'Assumptions'!$H$104*IF('Assumptions'!$O$104=1,1,'Assumptions'!$D$10)*(1+'Assumptions'!$N$104)^(1-1)</x:f>
        <x:v>75</x:v>
      </x:c>
      <x:c r="J82" s="10" t="n">
        <x:f>H82*I82</x:f>
        <x:v>13500</x:v>
      </x:c>
      <x:c r="K82" s="10" t="n">
        <x:f>J82*'Assumptions'!$T$104</x:f>
        <x:v>13500</x:v>
      </x:c>
      <x:c r="L82" s="10" t="n">
        <x:f>K82*'Assumptions'!$U$104</x:f>
        <x:v>405</x:v>
      </x:c>
      <x:c r="M82" s="10" t="n">
        <x:f>K82*'Assumptions'!$V$104</x:f>
        <x:v>0</x:v>
      </x:c>
      <x:c r="N82" s="10" t="n">
        <x:f>K82-L82-M82</x:f>
        <x:v>13095</x:v>
      </x:c>
      <x:c r="O82" s="10" t="n">
        <x:f>H82*'Assumptions'!$P$104*'Assumptions'!$Q$104*'Assumptions'!$D$11*(1+'Assumptions'!$D$13)^(1-1)</x:f>
        <x:v>4725</x:v>
      </x:c>
      <x:c r="P82" s="10" t="n">
        <x:f>H82*'Assumptions'!$R$104*'Assumptions'!$D$11*(1+'Assumptions'!$D$13)^(1-1)</x:f>
        <x:v>0</x:v>
      </x:c>
      <x:c r="Q82" s="10" t="n">
        <x:f>J82*'Assumptions'!$S$104</x:f>
        <x:v>0</x:v>
      </x:c>
      <x:c r="R82" s="10" t="n">
        <x:f>H82*'Assumptions'!$Y$104*'Assumptions'!$Z$104*'Assumptions'!$D$11*(1+'Assumptions'!$D$13)^(1-1)</x:f>
        <x:v>1350</x:v>
      </x:c>
      <x:c r="S82" s="10" t="n">
        <x:f>IF(I82=0,0,J82*'Assumptions'!$W$104+H82*'Assumptions'!$X$104)</x:f>
        <x:v>445.5</x:v>
      </x:c>
      <x:c r="T82" s="10" t="n">
        <x:f>N82*'Assumptions'!$AA$104</x:f>
        <x:v>523.8</x:v>
      </x:c>
      <x:c r="U82" s="10" t="n">
        <x:f>'Assumptions'!$AE$104*'Assumptions'!$D$11*(1+'Assumptions'!$D$13)^(1-1)</x:f>
        <x:v>0</x:v>
      </x:c>
      <x:c r="V82" s="10" t="n">
        <x:f>'Assumptions'!$AD$104*'Assumptions'!$D$11</x:f>
        <x:v>0</x:v>
      </x:c>
      <x:c r="W82" s="10" t="n">
        <x:f>H82*('Assumptions'!$P$104+'Assumptions'!$Y$104)</x:f>
        <x:v>180</x:v>
      </x:c>
      <x:c r="X82" s="10" t="n">
        <x:f>N82/'Assumptions'!$J$104*'Assumptions'!$AF$104</x:f>
        <x:v>1455</x:v>
      </x:c>
      <x:c r="Y82" s="10" t="n">
        <x:f>P82/'Assumptions'!$J$104</x:f>
        <x:v>0</x:v>
      </x:c>
      <x:c r="Z82" s="10" t="n">
        <x:f>'Assumptions'!$AB$104</x:f>
        <x:v>6</x:v>
      </x:c>
      <x:c r="AA82" s="10" t="n">
        <x:f>Z82*'Assumptions'!$AC$104*'Assumptions'!$D$11*(1+'Assumptions'!$D$13)^(1-1)</x:f>
        <x:v>300</x:v>
      </x:c>
      <x:c r="AB82" s="10" t="n">
        <x:f>F82/1</x:f>
        <x:v>180</x:v>
      </x:c>
      <x:c r="AC82" s="10" t="n">
        <x:f>AB82/'Assumptions'!$AM$104</x:f>
        <x:v>900</x:v>
      </x:c>
      <x:c r="AD82" s="10" t="n">
        <x:f>IF(AB82=0,0,T82/AB82)</x:f>
        <x:v>2.9099999999999997</x:v>
      </x:c>
      <x:c r="AE82" s="10" t="n">
        <x:f>AA82*'Assumptions'!$D$21</x:f>
        <x:v>0</x:v>
      </x:c>
    </x:row>
    <x:row r="83" ht="16" customHeight="1">
      <x:c r="A83" s="1"/>
      <x:c r="B83" s="1"/>
      <x:c r="C83" s="1" t="str">
        <x:v>DOT-076</x:v>
      </x:c>
      <x:c r="D83" s="10" t="str">
        <x:v>S’otality administration</x:v>
      </x:c>
      <x:c r="E83" s="10" t="n">
        <x:v>1</x:v>
      </x:c>
      <x:c r="F83" s="21" t="n">
        <x:f>'Assumptions'!$I$105*'Assumptions'!$J$105/12*'Assumptions'!$D$9*'Assumptions'!$D$8</x:f>
        <x:v>360</x:v>
      </x:c>
      <x:c r="G83" s="21" t="n">
        <x:f>0</x:f>
        <x:v>0</x:v>
      </x:c>
      <x:c r="H83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83+G83,NA())</x:f>
        <x:v>360</x:v>
      </x:c>
      <x:c r="I83" s="22" t="n">
        <x:f>'Assumptions'!$H$105*IF('Assumptions'!$O$105=1,1,'Assumptions'!$D$10)*(1+'Assumptions'!$N$105)^(1-1)</x:f>
        <x:v>60</x:v>
      </x:c>
      <x:c r="J83" s="10" t="n">
        <x:f>H83*I83</x:f>
        <x:v>21600</x:v>
      </x:c>
      <x:c r="K83" s="10" t="n">
        <x:f>J83*'Assumptions'!$T$105</x:f>
        <x:v>21600</x:v>
      </x:c>
      <x:c r="L83" s="10" t="n">
        <x:f>K83*'Assumptions'!$U$105</x:f>
        <x:v>648</x:v>
      </x:c>
      <x:c r="M83" s="10" t="n">
        <x:f>K83*'Assumptions'!$V$105</x:f>
        <x:v>0</x:v>
      </x:c>
      <x:c r="N83" s="10" t="n">
        <x:f>K83-L83-M83</x:f>
        <x:v>20952</x:v>
      </x:c>
      <x:c r="O83" s="10" t="n">
        <x:f>H83*'Assumptions'!$P$105*'Assumptions'!$Q$105*'Assumptions'!$D$11*(1+'Assumptions'!$D$13)^(1-1)</x:f>
        <x:v>10800</x:v>
      </x:c>
      <x:c r="P83" s="10" t="n">
        <x:f>H83*'Assumptions'!$R$105*'Assumptions'!$D$11*(1+'Assumptions'!$D$13)^(1-1)</x:f>
        <x:v>0</x:v>
      </x:c>
      <x:c r="Q83" s="10" t="n">
        <x:f>J83*'Assumptions'!$S$105</x:f>
        <x:v>0</x:v>
      </x:c>
      <x:c r="R83" s="10" t="n">
        <x:f>H83*'Assumptions'!$Y$105*'Assumptions'!$Z$105*'Assumptions'!$D$11*(1+'Assumptions'!$D$13)^(1-1)</x:f>
        <x:v>2700</x:v>
      </x:c>
      <x:c r="S83" s="10" t="n">
        <x:f>IF(I83=0,0,J83*'Assumptions'!$W$105+H83*'Assumptions'!$X$105)</x:f>
        <x:v>734.4</x:v>
      </x:c>
      <x:c r="T83" s="10" t="n">
        <x:f>N83*'Assumptions'!$AA$105</x:f>
        <x:v>838.08</x:v>
      </x:c>
      <x:c r="U83" s="10" t="n">
        <x:f>'Assumptions'!$AE$105*'Assumptions'!$D$11*(1+'Assumptions'!$D$13)^(1-1)</x:f>
        <x:v>0</x:v>
      </x:c>
      <x:c r="V83" s="10" t="n">
        <x:f>'Assumptions'!$AD$105*'Assumptions'!$D$11</x:f>
        <x:v>0</x:v>
      </x:c>
      <x:c r="W83" s="10" t="n">
        <x:f>H83*('Assumptions'!$P$105+'Assumptions'!$Y$105)</x:f>
        <x:v>450</x:v>
      </x:c>
      <x:c r="X83" s="10" t="n">
        <x:f>N83/'Assumptions'!$J$105*'Assumptions'!$AF$105</x:f>
        <x:v>2328</x:v>
      </x:c>
      <x:c r="Y83" s="10" t="n">
        <x:f>P83/'Assumptions'!$J$105</x:f>
        <x:v>0</x:v>
      </x:c>
      <x:c r="Z83" s="10" t="n">
        <x:f>'Assumptions'!$AB$105</x:f>
        <x:v>4</x:v>
      </x:c>
      <x:c r="AA83" s="10" t="n">
        <x:f>Z83*'Assumptions'!$AC$105*'Assumptions'!$D$11*(1+'Assumptions'!$D$13)^(1-1)</x:f>
        <x:v>200</x:v>
      </x:c>
      <x:c r="AB83" s="10" t="n">
        <x:f>F83/1</x:f>
        <x:v>360</x:v>
      </x:c>
      <x:c r="AC83" s="10" t="n">
        <x:f>AB83/'Assumptions'!$AM$105</x:f>
        <x:v>1800</x:v>
      </x:c>
      <x:c r="AD83" s="10" t="n">
        <x:f>IF(AB83=0,0,T83/AB83)</x:f>
        <x:v>2.3280000000000003</x:v>
      </x:c>
      <x:c r="AE83" s="10" t="n">
        <x:f>AA83*'Assumptions'!$D$21</x:f>
        <x:v>0</x:v>
      </x:c>
    </x:row>
    <x:row r="84" ht="16" customHeight="1">
      <x:c r="A84" s="1"/>
      <x:c r="B84" s="1"/>
      <x:c r="C84" s="1" t="str">
        <x:v>DOT-077</x:v>
      </x:c>
      <x:c r="D84" s="10" t="str">
        <x:v>S’otality bike tours</x:v>
      </x:c>
      <x:c r="E84" s="10" t="n">
        <x:v>1</x:v>
      </x:c>
      <x:c r="F84" s="21" t="n">
        <x:f>'Assumptions'!$I$106*'Assumptions'!$J$106/12*'Assumptions'!$D$9*'Assumptions'!$D$8</x:f>
        <x:v>120</x:v>
      </x:c>
      <x:c r="G84" s="21" t="n">
        <x:f>0</x:f>
        <x:v>0</x:v>
      </x:c>
      <x:c r="H84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84+G84,NA())</x:f>
        <x:v>120</x:v>
      </x:c>
      <x:c r="I84" s="22" t="n">
        <x:f>'Assumptions'!$H$106*IF('Assumptions'!$O$106=1,1,'Assumptions'!$D$10)*(1+'Assumptions'!$N$106)^(1-1)</x:f>
        <x:v>65</x:v>
      </x:c>
      <x:c r="J84" s="10" t="n">
        <x:f>H84*I84</x:f>
        <x:v>7800</x:v>
      </x:c>
      <x:c r="K84" s="10" t="n">
        <x:f>J84*'Assumptions'!$T$106</x:f>
        <x:v>7800</x:v>
      </x:c>
      <x:c r="L84" s="10" t="n">
        <x:f>K84*'Assumptions'!$U$106</x:f>
        <x:v>234</x:v>
      </x:c>
      <x:c r="M84" s="10" t="n">
        <x:f>K84*'Assumptions'!$V$106</x:f>
        <x:v>0</x:v>
      </x:c>
      <x:c r="N84" s="10" t="n">
        <x:f>K84-L84-M84</x:f>
        <x:v>7566</x:v>
      </x:c>
      <x:c r="O84" s="10" t="n">
        <x:f>H84*'Assumptions'!$P$106*'Assumptions'!$Q$106*'Assumptions'!$D$11*(1+'Assumptions'!$D$13)^(1-1)</x:f>
        <x:v>630</x:v>
      </x:c>
      <x:c r="P84" s="10" t="n">
        <x:f>H84*'Assumptions'!$R$106*'Assumptions'!$D$11*(1+'Assumptions'!$D$13)^(1-1)</x:f>
        <x:v>600</x:v>
      </x:c>
      <x:c r="Q84" s="10" t="n">
        <x:f>J84*'Assumptions'!$S$106</x:f>
        <x:v>3510</x:v>
      </x:c>
      <x:c r="R84" s="10" t="n">
        <x:f>H84*'Assumptions'!$Y$106*'Assumptions'!$Z$106*'Assumptions'!$D$11*(1+'Assumptions'!$D$13)^(1-1)</x:f>
        <x:v>720</x:v>
      </x:c>
      <x:c r="S84" s="10" t="n">
        <x:f>IF(I84=0,0,J84*'Assumptions'!$W$106+H84*'Assumptions'!$X$106)</x:f>
        <x:v>262.20000000000005</x:v>
      </x:c>
      <x:c r="T84" s="10" t="n">
        <x:f>N84*'Assumptions'!$AA$106</x:f>
        <x:v>302.64</x:v>
      </x:c>
      <x:c r="U84" s="10" t="n">
        <x:f>'Assumptions'!$AE$106*'Assumptions'!$D$11*(1+'Assumptions'!$D$13)^(1-1)</x:f>
        <x:v>0</x:v>
      </x:c>
      <x:c r="V84" s="10" t="n">
        <x:f>'Assumptions'!$AD$106*'Assumptions'!$D$11</x:f>
        <x:v>0</x:v>
      </x:c>
      <x:c r="W84" s="10" t="n">
        <x:f>H84*('Assumptions'!$P$106+'Assumptions'!$Y$106)</x:f>
        <x:v>42</x:v>
      </x:c>
      <x:c r="X84" s="10" t="n">
        <x:f>N84/'Assumptions'!$J$106*'Assumptions'!$AF$106</x:f>
        <x:v>0</x:v>
      </x:c>
      <x:c r="Y84" s="10" t="n">
        <x:f>P84/'Assumptions'!$J$106</x:f>
        <x:v>100</x:v>
      </x:c>
      <x:c r="Z84" s="10" t="n">
        <x:f>'Assumptions'!$AB$106</x:f>
        <x:v>12</x:v>
      </x:c>
      <x:c r="AA84" s="10" t="n">
        <x:f>Z84*'Assumptions'!$AC$106*'Assumptions'!$D$11*(1+'Assumptions'!$D$13)^(1-1)</x:f>
        <x:v>600</x:v>
      </x:c>
      <x:c r="AB84" s="10" t="n">
        <x:f>F84/1</x:f>
        <x:v>120</x:v>
      </x:c>
      <x:c r="AC84" s="10" t="n">
        <x:f>AB84/'Assumptions'!$AM$106</x:f>
        <x:v>800</x:v>
      </x:c>
      <x:c r="AD84" s="10" t="n">
        <x:f>IF(AB84=0,0,T84/AB84)</x:f>
        <x:v>2.522</x:v>
      </x:c>
      <x:c r="AE84" s="10" t="n">
        <x:f>AA84*'Assumptions'!$D$21</x:f>
        <x:v>0</x:v>
      </x:c>
    </x:row>
    <x:row r="85" ht="16" customHeight="1">
      <x:c r="A85" s="1"/>
      <x:c r="B85" s="1"/>
      <x:c r="C85" s="1" t="str">
        <x:v>DOT-078</x:v>
      </x:c>
      <x:c r="D85" s="10" t="str">
        <x:v>S’otality editorial</x:v>
      </x:c>
      <x:c r="E85" s="10" t="n">
        <x:v>1</x:v>
      </x:c>
      <x:c r="F85" s="21" t="n">
        <x:f>'Assumptions'!$I$107*'Assumptions'!$J$107/12*'Assumptions'!$D$9*'Assumptions'!$D$8</x:f>
        <x:v>6</x:v>
      </x:c>
      <x:c r="G85" s="21" t="n">
        <x:f>0</x:f>
        <x:v>0</x:v>
      </x:c>
      <x:c r="H85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85+G85,NA())</x:f>
        <x:v>6</x:v>
      </x:c>
      <x:c r="I85" s="22" t="n">
        <x:f>'Assumptions'!$H$107*IF('Assumptions'!$O$107=1,1,'Assumptions'!$D$10)*(1+'Assumptions'!$N$107)^(1-1)</x:f>
        <x:v>250</x:v>
      </x:c>
      <x:c r="J85" s="10" t="n">
        <x:f>H85*I85</x:f>
        <x:v>1500</x:v>
      </x:c>
      <x:c r="K85" s="10" t="n">
        <x:f>J85*'Assumptions'!$T$107</x:f>
        <x:v>1500</x:v>
      </x:c>
      <x:c r="L85" s="10" t="n">
        <x:f>K85*'Assumptions'!$U$107</x:f>
        <x:v>45</x:v>
      </x:c>
      <x:c r="M85" s="10" t="n">
        <x:f>K85*'Assumptions'!$V$107</x:f>
        <x:v>0</x:v>
      </x:c>
      <x:c r="N85" s="10" t="n">
        <x:f>K85-L85-M85</x:f>
        <x:v>1455</x:v>
      </x:c>
      <x:c r="O85" s="10" t="n">
        <x:f>H85*'Assumptions'!$P$107*'Assumptions'!$Q$107*'Assumptions'!$D$11*(1+'Assumptions'!$D$13)^(1-1)</x:f>
        <x:v>480</x:v>
      </x:c>
      <x:c r="P85" s="10" t="n">
        <x:f>H85*'Assumptions'!$R$107*'Assumptions'!$D$11*(1+'Assumptions'!$D$13)^(1-1)</x:f>
        <x:v>0</x:v>
      </x:c>
      <x:c r="Q85" s="10" t="n">
        <x:f>J85*'Assumptions'!$S$107</x:f>
        <x:v>0</x:v>
      </x:c>
      <x:c r="R85" s="10" t="n">
        <x:f>H85*'Assumptions'!$Y$107*'Assumptions'!$Z$107*'Assumptions'!$D$11*(1+'Assumptions'!$D$13)^(1-1)</x:f>
        <x:v>90</x:v>
      </x:c>
      <x:c r="S85" s="10" t="n">
        <x:f>IF(I85=0,0,J85*'Assumptions'!$W$107+H85*'Assumptions'!$X$107)</x:f>
        <x:v>45.3</x:v>
      </x:c>
      <x:c r="T85" s="10" t="n">
        <x:f>N85*'Assumptions'!$AA$107</x:f>
        <x:v>116.4</x:v>
      </x:c>
      <x:c r="U85" s="10" t="n">
        <x:f>'Assumptions'!$AE$107*'Assumptions'!$D$11*(1+'Assumptions'!$D$13)^(1-1)</x:f>
        <x:v>0</x:v>
      </x:c>
      <x:c r="V85" s="10" t="n">
        <x:f>'Assumptions'!$AD$107*'Assumptions'!$D$11</x:f>
        <x:v>0</x:v>
      </x:c>
      <x:c r="W85" s="10" t="n">
        <x:f>H85*('Assumptions'!$P$107+'Assumptions'!$Y$107)</x:f>
        <x:v>15</x:v>
      </x:c>
      <x:c r="X85" s="10" t="n">
        <x:f>N85/'Assumptions'!$J$107*'Assumptions'!$AF$107</x:f>
        <x:v>242.5</x:v>
      </x:c>
      <x:c r="Y85" s="10" t="n">
        <x:f>P85/'Assumptions'!$J$107</x:f>
        <x:v>0</x:v>
      </x:c>
      <x:c r="Z85" s="10" t="n">
        <x:f>'Assumptions'!$AB$107</x:f>
        <x:v>20</x:v>
      </x:c>
      <x:c r="AA85" s="10" t="n">
        <x:f>Z85*'Assumptions'!$AC$107*'Assumptions'!$D$11*(1+'Assumptions'!$D$13)^(1-1)</x:f>
        <x:v>1000</x:v>
      </x:c>
      <x:c r="AB85" s="10" t="n">
        <x:f>F85/1</x:f>
        <x:v>6</x:v>
      </x:c>
      <x:c r="AC85" s="10" t="n">
        <x:f>AB85/'Assumptions'!$AM$107</x:f>
        <x:v>60</x:v>
      </x:c>
      <x:c r="AD85" s="10" t="n">
        <x:f>IF(AB85=0,0,T85/AB85)</x:f>
        <x:v>19.400000000000002</x:v>
      </x:c>
      <x:c r="AE85" s="10" t="n">
        <x:f>AA85*'Assumptions'!$D$21</x:f>
        <x:v>0</x:v>
      </x:c>
    </x:row>
    <x:row r="86" ht="16" customHeight="1">
      <x:c r="A86" s="1"/>
      <x:c r="B86" s="1"/>
      <x:c r="C86" s="1" t="str">
        <x:v>DOT-079</x:v>
      </x:c>
      <x:c r="D86" s="10" t="str">
        <x:v>S’otality editorial</x:v>
      </x:c>
      <x:c r="E86" s="10" t="n">
        <x:v>1</x:v>
      </x:c>
      <x:c r="F86" s="21" t="n">
        <x:f>'Assumptions'!$I$108*'Assumptions'!$J$108/12*'Assumptions'!$D$9*'Assumptions'!$D$8</x:f>
        <x:v>2</x:v>
      </x:c>
      <x:c r="G86" s="21" t="n">
        <x:f>0</x:f>
        <x:v>0</x:v>
      </x:c>
      <x:c r="H86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86+G86,NA())</x:f>
        <x:v>2</x:v>
      </x:c>
      <x:c r="I86" s="22" t="n">
        <x:f>'Assumptions'!$H$108*IF('Assumptions'!$O$108=1,1,'Assumptions'!$D$10)*(1+'Assumptions'!$N$108)^(1-1)</x:f>
        <x:v>1000</x:v>
      </x:c>
      <x:c r="J86" s="10" t="n">
        <x:f>H86*I86</x:f>
        <x:v>2000</x:v>
      </x:c>
      <x:c r="K86" s="10" t="n">
        <x:f>J86*'Assumptions'!$T$108</x:f>
        <x:v>2000</x:v>
      </x:c>
      <x:c r="L86" s="10" t="n">
        <x:f>K86*'Assumptions'!$U$108</x:f>
        <x:v>60</x:v>
      </x:c>
      <x:c r="M86" s="10" t="n">
        <x:f>K86*'Assumptions'!$V$108</x:f>
        <x:v>0</x:v>
      </x:c>
      <x:c r="N86" s="10" t="n">
        <x:f>K86-L86-M86</x:f>
        <x:v>1940</x:v>
      </x:c>
      <x:c r="O86" s="10" t="n">
        <x:f>H86*'Assumptions'!$P$108*'Assumptions'!$Q$108*'Assumptions'!$D$11*(1+'Assumptions'!$D$13)^(1-1)</x:f>
        <x:v>640</x:v>
      </x:c>
      <x:c r="P86" s="10" t="n">
        <x:f>H86*'Assumptions'!$R$108*'Assumptions'!$D$11*(1+'Assumptions'!$D$13)^(1-1)</x:f>
        <x:v>200</x:v>
      </x:c>
      <x:c r="Q86" s="10" t="n">
        <x:f>J86*'Assumptions'!$S$108</x:f>
        <x:v>0</x:v>
      </x:c>
      <x:c r="R86" s="10" t="n">
        <x:f>H86*'Assumptions'!$Y$108*'Assumptions'!$Z$108*'Assumptions'!$D$11*(1+'Assumptions'!$D$13)^(1-1)</x:f>
        <x:v>30</x:v>
      </x:c>
      <x:c r="S86" s="10" t="n">
        <x:f>IF(I86=0,0,J86*'Assumptions'!$W$108+H86*'Assumptions'!$X$108)</x:f>
        <x:v>58.6</x:v>
      </x:c>
      <x:c r="T86" s="10" t="n">
        <x:f>N86*'Assumptions'!$AA$108</x:f>
        <x:v>155.20000000000002</x:v>
      </x:c>
      <x:c r="U86" s="10" t="n">
        <x:f>'Assumptions'!$AE$108*'Assumptions'!$D$11*(1+'Assumptions'!$D$13)^(1-1)</x:f>
        <x:v>0</x:v>
      </x:c>
      <x:c r="V86" s="10" t="n">
        <x:f>'Assumptions'!$AD$108*'Assumptions'!$D$11</x:f>
        <x:v>0</x:v>
      </x:c>
      <x:c r="W86" s="10" t="n">
        <x:f>H86*('Assumptions'!$P$108+'Assumptions'!$Y$108)</x:f>
        <x:v>17</x:v>
      </x:c>
      <x:c r="X86" s="10" t="n">
        <x:f>N86/'Assumptions'!$J$108*'Assumptions'!$AF$108</x:f>
        <x:v>323.3333333333333</x:v>
      </x:c>
      <x:c r="Y86" s="10" t="n">
        <x:f>P86/'Assumptions'!$J$108</x:f>
        <x:v>33.333333333333336</x:v>
      </x:c>
      <x:c r="Z86" s="10" t="n">
        <x:f>'Assumptions'!$AB$108</x:f>
        <x:v>10</x:v>
      </x:c>
      <x:c r="AA86" s="10" t="n">
        <x:f>Z86*'Assumptions'!$AC$108*'Assumptions'!$D$11*(1+'Assumptions'!$D$13)^(1-1)</x:f>
        <x:v>500</x:v>
      </x:c>
      <x:c r="AB86" s="10" t="n">
        <x:f>F86/1</x:f>
        <x:v>2</x:v>
      </x:c>
      <x:c r="AC86" s="10" t="n">
        <x:f>AB86/'Assumptions'!$AM$108</x:f>
        <x:v>20</x:v>
      </x:c>
      <x:c r="AD86" s="10" t="n">
        <x:f>IF(AB86=0,0,T86/AB86)</x:f>
        <x:v>77.60000000000001</x:v>
      </x:c>
      <x:c r="AE86" s="10" t="n">
        <x:f>AA86*'Assumptions'!$D$21</x:f>
        <x:v>0</x:v>
      </x:c>
    </x:row>
    <x:row r="87" ht="16" customHeight="1">
      <x:c r="A87" s="1"/>
      <x:c r="B87" s="1"/>
      <x:c r="C87" s="1" t="str">
        <x:v>DOT-080</x:v>
      </x:c>
      <x:c r="D87" s="10" t="str">
        <x:v>Tomato Odyssey</x:v>
      </x:c>
      <x:c r="E87" s="10" t="n">
        <x:v>1</x:v>
      </x:c>
      <x:c r="F87" s="21" t="n">
        <x:f>'Assumptions'!$I$109*'Assumptions'!$J$109/12*'Assumptions'!$D$9*'Assumptions'!$D$8</x:f>
        <x:v>6</x:v>
      </x:c>
      <x:c r="G87" s="21" t="n">
        <x:f>0</x:f>
        <x:v>0</x:v>
      </x:c>
      <x:c r="H87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87+G87,NA())</x:f>
        <x:v>6</x:v>
      </x:c>
      <x:c r="I87" s="22" t="n">
        <x:f>'Assumptions'!$H$109*IF('Assumptions'!$O$109=1,1,'Assumptions'!$D$10)*(1+'Assumptions'!$N$109)^(1-1)</x:f>
        <x:v>250</x:v>
      </x:c>
      <x:c r="J87" s="10" t="n">
        <x:f>H87*I87</x:f>
        <x:v>1500</x:v>
      </x:c>
      <x:c r="K87" s="10" t="n">
        <x:f>J87*'Assumptions'!$T$109</x:f>
        <x:v>1500</x:v>
      </x:c>
      <x:c r="L87" s="10" t="n">
        <x:f>K87*'Assumptions'!$U$109</x:f>
        <x:v>45</x:v>
      </x:c>
      <x:c r="M87" s="10" t="n">
        <x:f>K87*'Assumptions'!$V$109</x:f>
        <x:v>0</x:v>
      </x:c>
      <x:c r="N87" s="10" t="n">
        <x:f>K87-L87-M87</x:f>
        <x:v>1455</x:v>
      </x:c>
      <x:c r="O87" s="10" t="n">
        <x:f>H87*'Assumptions'!$P$109*'Assumptions'!$Q$109*'Assumptions'!$D$11*(1+'Assumptions'!$D$13)^(1-1)</x:f>
        <x:v>480</x:v>
      </x:c>
      <x:c r="P87" s="10" t="n">
        <x:f>H87*'Assumptions'!$R$109*'Assumptions'!$D$11*(1+'Assumptions'!$D$13)^(1-1)</x:f>
        <x:v>0</x:v>
      </x:c>
      <x:c r="Q87" s="10" t="n">
        <x:f>J87*'Assumptions'!$S$109</x:f>
        <x:v>0</x:v>
      </x:c>
      <x:c r="R87" s="10" t="n">
        <x:f>H87*'Assumptions'!$Y$109*'Assumptions'!$Z$109*'Assumptions'!$D$11*(1+'Assumptions'!$D$13)^(1-1)</x:f>
        <x:v>90</x:v>
      </x:c>
      <x:c r="S87" s="10" t="n">
        <x:f>IF(I87=0,0,J87*'Assumptions'!$W$109+H87*'Assumptions'!$X$109)</x:f>
        <x:v>45.3</x:v>
      </x:c>
      <x:c r="T87" s="10" t="n">
        <x:f>N87*'Assumptions'!$AA$109</x:f>
        <x:v>116.4</x:v>
      </x:c>
      <x:c r="U87" s="10" t="n">
        <x:f>'Assumptions'!$AE$109*'Assumptions'!$D$11*(1+'Assumptions'!$D$13)^(1-1)</x:f>
        <x:v>0</x:v>
      </x:c>
      <x:c r="V87" s="10" t="n">
        <x:f>'Assumptions'!$AD$109*'Assumptions'!$D$11</x:f>
        <x:v>0</x:v>
      </x:c>
      <x:c r="W87" s="10" t="n">
        <x:f>H87*('Assumptions'!$P$109+'Assumptions'!$Y$109)</x:f>
        <x:v>15</x:v>
      </x:c>
      <x:c r="X87" s="10" t="n">
        <x:f>N87/'Assumptions'!$J$109*'Assumptions'!$AF$109</x:f>
        <x:v>242.5</x:v>
      </x:c>
      <x:c r="Y87" s="10" t="n">
        <x:f>P87/'Assumptions'!$J$109</x:f>
        <x:v>0</x:v>
      </x:c>
      <x:c r="Z87" s="10" t="n">
        <x:f>'Assumptions'!$AB$109</x:f>
        <x:v>20</x:v>
      </x:c>
      <x:c r="AA87" s="10" t="n">
        <x:f>Z87*'Assumptions'!$AC$109*'Assumptions'!$D$11*(1+'Assumptions'!$D$13)^(1-1)</x:f>
        <x:v>1000</x:v>
      </x:c>
      <x:c r="AB87" s="10" t="n">
        <x:f>F87/1</x:f>
        <x:v>6</x:v>
      </x:c>
      <x:c r="AC87" s="10" t="n">
        <x:f>AB87/'Assumptions'!$AM$109</x:f>
        <x:v>60</x:v>
      </x:c>
      <x:c r="AD87" s="10" t="n">
        <x:f>IF(AB87=0,0,T87/AB87)</x:f>
        <x:v>19.400000000000002</x:v>
      </x:c>
      <x:c r="AE87" s="10" t="n">
        <x:f>AA87*'Assumptions'!$D$21</x:f>
        <x:v>0</x:v>
      </x:c>
    </x:row>
    <x:row r="88" ht="16" customHeight="1">
      <x:c r="A88" s="1"/>
      <x:c r="B88" s="1"/>
      <x:c r="C88" s="1" t="str">
        <x:v>DOT-081</x:v>
      </x:c>
      <x:c r="D88" s="10" t="str">
        <x:v>Tomato Odyssey</x:v>
      </x:c>
      <x:c r="E88" s="10" t="n">
        <x:v>1</x:v>
      </x:c>
      <x:c r="F88" s="21" t="n">
        <x:f>'Assumptions'!$I$110*'Assumptions'!$J$110/12*'Assumptions'!$D$9*'Assumptions'!$D$8</x:f>
        <x:v>2</x:v>
      </x:c>
      <x:c r="G88" s="21" t="n">
        <x:f>0</x:f>
        <x:v>0</x:v>
      </x:c>
      <x:c r="H88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88+G88,NA())</x:f>
        <x:v>2</x:v>
      </x:c>
      <x:c r="I88" s="22" t="n">
        <x:f>'Assumptions'!$H$110*IF('Assumptions'!$O$110=1,1,'Assumptions'!$D$10)*(1+'Assumptions'!$N$110)^(1-1)</x:f>
        <x:v>1000</x:v>
      </x:c>
      <x:c r="J88" s="10" t="n">
        <x:f>H88*I88</x:f>
        <x:v>2000</x:v>
      </x:c>
      <x:c r="K88" s="10" t="n">
        <x:f>J88*'Assumptions'!$T$110</x:f>
        <x:v>2000</x:v>
      </x:c>
      <x:c r="L88" s="10" t="n">
        <x:f>K88*'Assumptions'!$U$110</x:f>
        <x:v>60</x:v>
      </x:c>
      <x:c r="M88" s="10" t="n">
        <x:f>K88*'Assumptions'!$V$110</x:f>
        <x:v>0</x:v>
      </x:c>
      <x:c r="N88" s="10" t="n">
        <x:f>K88-L88-M88</x:f>
        <x:v>1940</x:v>
      </x:c>
      <x:c r="O88" s="10" t="n">
        <x:f>H88*'Assumptions'!$P$110*'Assumptions'!$Q$110*'Assumptions'!$D$11*(1+'Assumptions'!$D$13)^(1-1)</x:f>
        <x:v>640</x:v>
      </x:c>
      <x:c r="P88" s="10" t="n">
        <x:f>H88*'Assumptions'!$R$110*'Assumptions'!$D$11*(1+'Assumptions'!$D$13)^(1-1)</x:f>
        <x:v>200</x:v>
      </x:c>
      <x:c r="Q88" s="10" t="n">
        <x:f>J88*'Assumptions'!$S$110</x:f>
        <x:v>0</x:v>
      </x:c>
      <x:c r="R88" s="10" t="n">
        <x:f>H88*'Assumptions'!$Y$110*'Assumptions'!$Z$110*'Assumptions'!$D$11*(1+'Assumptions'!$D$13)^(1-1)</x:f>
        <x:v>30</x:v>
      </x:c>
      <x:c r="S88" s="10" t="n">
        <x:f>IF(I88=0,0,J88*'Assumptions'!$W$110+H88*'Assumptions'!$X$110)</x:f>
        <x:v>58.6</x:v>
      </x:c>
      <x:c r="T88" s="10" t="n">
        <x:f>N88*'Assumptions'!$AA$110</x:f>
        <x:v>155.20000000000002</x:v>
      </x:c>
      <x:c r="U88" s="10" t="n">
        <x:f>'Assumptions'!$AE$110*'Assumptions'!$D$11*(1+'Assumptions'!$D$13)^(1-1)</x:f>
        <x:v>0</x:v>
      </x:c>
      <x:c r="V88" s="10" t="n">
        <x:f>'Assumptions'!$AD$110*'Assumptions'!$D$11</x:f>
        <x:v>0</x:v>
      </x:c>
      <x:c r="W88" s="10" t="n">
        <x:f>H88*('Assumptions'!$P$110+'Assumptions'!$Y$110)</x:f>
        <x:v>17</x:v>
      </x:c>
      <x:c r="X88" s="10" t="n">
        <x:f>N88/'Assumptions'!$J$110*'Assumptions'!$AF$110</x:f>
        <x:v>323.3333333333333</x:v>
      </x:c>
      <x:c r="Y88" s="10" t="n">
        <x:f>P88/'Assumptions'!$J$110</x:f>
        <x:v>33.333333333333336</x:v>
      </x:c>
      <x:c r="Z88" s="10" t="n">
        <x:f>'Assumptions'!$AB$110</x:f>
        <x:v>10</x:v>
      </x:c>
      <x:c r="AA88" s="10" t="n">
        <x:f>Z88*'Assumptions'!$AC$110*'Assumptions'!$D$11*(1+'Assumptions'!$D$13)^(1-1)</x:f>
        <x:v>500</x:v>
      </x:c>
      <x:c r="AB88" s="10" t="n">
        <x:f>F88/1</x:f>
        <x:v>2</x:v>
      </x:c>
      <x:c r="AC88" s="10" t="n">
        <x:f>AB88/'Assumptions'!$AM$110</x:f>
        <x:v>20</x:v>
      </x:c>
      <x:c r="AD88" s="10" t="n">
        <x:f>IF(AB88=0,0,T88/AB88)</x:f>
        <x:v>77.60000000000001</x:v>
      </x:c>
      <x:c r="AE88" s="10" t="n">
        <x:f>AA88*'Assumptions'!$D$21</x:f>
        <x:v>0</x:v>
      </x:c>
    </x:row>
    <x:row r="89" ht="16" customHeight="1">
      <x:c r="A89" s="1"/>
      <x:c r="B89" s="1"/>
      <x:c r="C89" s="1" t="str">
        <x:v>DOT-082</x:v>
      </x:c>
      <x:c r="D89" s="10" t="str">
        <x:v>Semajes Studio</x:v>
      </x:c>
      <x:c r="E89" s="10" t="n">
        <x:v>1</x:v>
      </x:c>
      <x:c r="F89" s="21" t="n">
        <x:f>'Assumptions'!$I$111*'Assumptions'!$J$111/12*'Assumptions'!$D$9*'Assumptions'!$D$8</x:f>
        <x:v>27</x:v>
      </x:c>
      <x:c r="G89" s="21" t="n">
        <x:f>0</x:f>
        <x:v>0</x:v>
      </x:c>
      <x:c r="H89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89+G89,NA())</x:f>
        <x:v>27</x:v>
      </x:c>
      <x:c r="I89" s="22" t="n">
        <x:f>'Assumptions'!$H$111*IF('Assumptions'!$O$111=1,1,'Assumptions'!$D$10)*(1+'Assumptions'!$N$111)^(1-1)</x:f>
        <x:v>550</x:v>
      </x:c>
      <x:c r="J89" s="10" t="n">
        <x:f>H89*I89</x:f>
        <x:v>14850</x:v>
      </x:c>
      <x:c r="K89" s="10" t="n">
        <x:f>J89*'Assumptions'!$T$111</x:f>
        <x:v>14850</x:v>
      </x:c>
      <x:c r="L89" s="10" t="n">
        <x:f>K89*'Assumptions'!$U$111</x:f>
        <x:v>445.5</x:v>
      </x:c>
      <x:c r="M89" s="10" t="n">
        <x:f>K89*'Assumptions'!$V$111</x:f>
        <x:v>0</x:v>
      </x:c>
      <x:c r="N89" s="10" t="n">
        <x:f>K89-L89-M89</x:f>
        <x:v>14404.5</x:v>
      </x:c>
      <x:c r="O89" s="10" t="n">
        <x:f>H89*'Assumptions'!$P$111*'Assumptions'!$Q$111*'Assumptions'!$D$11*(1+'Assumptions'!$D$13)^(1-1)</x:f>
        <x:v>8100</x:v>
      </x:c>
      <x:c r="P89" s="10" t="n">
        <x:f>H89*'Assumptions'!$R$111*'Assumptions'!$D$11*(1+'Assumptions'!$D$13)^(1-1)</x:f>
        <x:v>2160</x:v>
      </x:c>
      <x:c r="Q89" s="10" t="n">
        <x:f>J89*'Assumptions'!$S$111</x:f>
        <x:v>0</x:v>
      </x:c>
      <x:c r="R89" s="10" t="n">
        <x:f>H89*'Assumptions'!$Y$111*'Assumptions'!$Z$111*'Assumptions'!$D$11*(1+'Assumptions'!$D$13)^(1-1)</x:f>
        <x:v>202.5</x:v>
      </x:c>
      <x:c r="S89" s="10" t="n">
        <x:f>IF(I89=0,0,J89*'Assumptions'!$W$111+H89*'Assumptions'!$X$111)</x:f>
        <x:v>438.75000000000006</x:v>
      </x:c>
      <x:c r="T89" s="10" t="n">
        <x:f>N89*'Assumptions'!$AA$111</x:f>
        <x:v>576.1800000000001</x:v>
      </x:c>
      <x:c r="U89" s="10" t="n">
        <x:f>'Assumptions'!$AE$111*'Assumptions'!$D$11*(1+'Assumptions'!$D$13)^(1-1)</x:f>
        <x:v>0</x:v>
      </x:c>
      <x:c r="V89" s="10" t="n">
        <x:f>'Assumptions'!$AD$111*'Assumptions'!$D$11</x:f>
        <x:v>0</x:v>
      </x:c>
      <x:c r="W89" s="10" t="n">
        <x:f>H89*('Assumptions'!$P$111+'Assumptions'!$Y$111)</x:f>
        <x:v>168.75</x:v>
      </x:c>
      <x:c r="X89" s="10" t="n">
        <x:f>N89/'Assumptions'!$J$111*'Assumptions'!$AF$111</x:f>
        <x:v>1600.5</x:v>
      </x:c>
      <x:c r="Y89" s="10" t="n">
        <x:f>P89/'Assumptions'!$J$111</x:f>
        <x:v>240</x:v>
      </x:c>
      <x:c r="Z89" s="10" t="n">
        <x:f>'Assumptions'!$AB$111</x:f>
        <x:v>6</x:v>
      </x:c>
      <x:c r="AA89" s="10" t="n">
        <x:f>Z89*'Assumptions'!$AC$111*'Assumptions'!$D$11*(1+'Assumptions'!$D$13)^(1-1)</x:f>
        <x:v>300</x:v>
      </x:c>
      <x:c r="AB89" s="10" t="n">
        <x:f>F89/1</x:f>
        <x:v>27</x:v>
      </x:c>
      <x:c r="AC89" s="10" t="n">
        <x:f>AB89/'Assumptions'!$AM$111</x:f>
        <x:v>135</x:v>
      </x:c>
      <x:c r="AD89" s="10" t="n">
        <x:f>IF(AB89=0,0,T89/AB89)</x:f>
        <x:v>21.340000000000003</x:v>
      </x:c>
      <x:c r="AE89" s="10" t="n">
        <x:f>AA89*'Assumptions'!$D$21</x:f>
        <x:v>0</x:v>
      </x:c>
    </x:row>
    <x:row r="90" ht="16" customHeight="1">
      <x:c r="A90" s="1"/>
      <x:c r="B90" s="1"/>
      <x:c r="C90" s="1" t="str">
        <x:v>DOT-083</x:v>
      </x:c>
      <x:c r="D90" s="10" t="str">
        <x:v>Semajes Studio</x:v>
      </x:c>
      <x:c r="E90" s="10" t="n">
        <x:v>1</x:v>
      </x:c>
      <x:c r="F90" s="21" t="n">
        <x:f>'Assumptions'!$I$112*'Assumptions'!$J$112/12*'Assumptions'!$D$9*'Assumptions'!$D$8</x:f>
        <x:v>13.5</x:v>
      </x:c>
      <x:c r="G90" s="21" t="n">
        <x:f>0</x:f>
        <x:v>0</x:v>
      </x:c>
      <x:c r="H90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90+G90,NA())</x:f>
        <x:v>13.5</x:v>
      </x:c>
      <x:c r="I90" s="22" t="n">
        <x:f>'Assumptions'!$H$112*IF('Assumptions'!$O$112=1,1,'Assumptions'!$D$10)*(1+'Assumptions'!$N$112)^(1-1)</x:f>
        <x:v>1200</x:v>
      </x:c>
      <x:c r="J90" s="10" t="n">
        <x:f>H90*I90</x:f>
        <x:v>16200</x:v>
      </x:c>
      <x:c r="K90" s="10" t="n">
        <x:f>J90*'Assumptions'!$T$112</x:f>
        <x:v>16200</x:v>
      </x:c>
      <x:c r="L90" s="10" t="n">
        <x:f>K90*'Assumptions'!$U$112</x:f>
        <x:v>486</x:v>
      </x:c>
      <x:c r="M90" s="10" t="n">
        <x:f>K90*'Assumptions'!$V$112</x:f>
        <x:v>0</x:v>
      </x:c>
      <x:c r="N90" s="10" t="n">
        <x:f>K90-L90-M90</x:f>
        <x:v>15714</x:v>
      </x:c>
      <x:c r="O90" s="10" t="n">
        <x:f>H90*'Assumptions'!$P$112*'Assumptions'!$Q$112*'Assumptions'!$D$11*(1+'Assumptions'!$D$13)^(1-1)</x:f>
        <x:v>6750</x:v>
      </x:c>
      <x:c r="P90" s="10" t="n">
        <x:f>H90*'Assumptions'!$R$112*'Assumptions'!$D$11*(1+'Assumptions'!$D$13)^(1-1)</x:f>
        <x:v>2025</x:v>
      </x:c>
      <x:c r="Q90" s="10" t="n">
        <x:f>J90*'Assumptions'!$S$112</x:f>
        <x:v>0</x:v>
      </x:c>
      <x:c r="R90" s="10" t="n">
        <x:f>H90*'Assumptions'!$Y$112*'Assumptions'!$Z$112*'Assumptions'!$D$11*(1+'Assumptions'!$D$13)^(1-1)</x:f>
        <x:v>101.25</x:v>
      </x:c>
      <x:c r="S90" s="10" t="n">
        <x:f>IF(I90=0,0,J90*'Assumptions'!$W$112+H90*'Assumptions'!$X$112)</x:f>
        <x:v>473.85</x:v>
      </x:c>
      <x:c r="T90" s="10" t="n">
        <x:f>N90*'Assumptions'!$AA$112</x:f>
        <x:v>628.5600000000001</x:v>
      </x:c>
      <x:c r="U90" s="10" t="n">
        <x:f>'Assumptions'!$AE$112*'Assumptions'!$D$11*(1+'Assumptions'!$D$13)^(1-1)</x:f>
        <x:v>0</x:v>
      </x:c>
      <x:c r="V90" s="10" t="n">
        <x:f>'Assumptions'!$AD$112*'Assumptions'!$D$11</x:f>
        <x:v>0</x:v>
      </x:c>
      <x:c r="W90" s="10" t="n">
        <x:f>H90*('Assumptions'!$P$112+'Assumptions'!$Y$112)</x:f>
        <x:v>138.375</x:v>
      </x:c>
      <x:c r="X90" s="10" t="n">
        <x:f>N90/'Assumptions'!$J$112*'Assumptions'!$AF$112</x:f>
        <x:v>1746</x:v>
      </x:c>
      <x:c r="Y90" s="10" t="n">
        <x:f>P90/'Assumptions'!$J$112</x:f>
        <x:v>225</x:v>
      </x:c>
      <x:c r="Z90" s="10" t="n">
        <x:f>'Assumptions'!$AB$112</x:f>
        <x:v>6</x:v>
      </x:c>
      <x:c r="AA90" s="10" t="n">
        <x:f>Z90*'Assumptions'!$AC$112*'Assumptions'!$D$11*(1+'Assumptions'!$D$13)^(1-1)</x:f>
        <x:v>300</x:v>
      </x:c>
      <x:c r="AB90" s="10" t="n">
        <x:f>F90/1</x:f>
        <x:v>13.5</x:v>
      </x:c>
      <x:c r="AC90" s="10" t="n">
        <x:f>AB90/'Assumptions'!$AM$112</x:f>
        <x:v>67.5</x:v>
      </x:c>
      <x:c r="AD90" s="10" t="n">
        <x:f>IF(AB90=0,0,T90/AB90)</x:f>
        <x:v>46.56</x:v>
      </x:c>
      <x:c r="AE90" s="10" t="n">
        <x:f>AA90*'Assumptions'!$D$21</x:f>
        <x:v>0</x:v>
      </x:c>
    </x:row>
    <x:row r="91" ht="16" customHeight="1">
      <x:c r="A91" s="1"/>
      <x:c r="B91" s="1"/>
      <x:c r="C91" s="1" t="str">
        <x:v>DOT-084</x:v>
      </x:c>
      <x:c r="D91" s="10" t="str">
        <x:v>Semajes Studio</x:v>
      </x:c>
      <x:c r="E91" s="10" t="n">
        <x:v>1</x:v>
      </x:c>
      <x:c r="F91" s="21" t="n">
        <x:f>'Assumptions'!$I$113*'Assumptions'!$J$113/12*'Assumptions'!$D$9*'Assumptions'!$D$8</x:f>
        <x:v>90</x:v>
      </x:c>
      <x:c r="G91" s="21" t="n">
        <x:f>0</x:f>
        <x:v>0</x:v>
      </x:c>
      <x:c r="H91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91+G91,NA())</x:f>
        <x:v>90</x:v>
      </x:c>
      <x:c r="I91" s="22" t="n">
        <x:f>'Assumptions'!$H$113*IF('Assumptions'!$O$113=1,1,'Assumptions'!$D$10)*(1+'Assumptions'!$N$113)^(1-1)</x:f>
        <x:v>35</x:v>
      </x:c>
      <x:c r="J91" s="10" t="n">
        <x:f>H91*I91</x:f>
        <x:v>3150</x:v>
      </x:c>
      <x:c r="K91" s="10" t="n">
        <x:f>J91*'Assumptions'!$T$113</x:f>
        <x:v>3150</x:v>
      </x:c>
      <x:c r="L91" s="10" t="n">
        <x:f>K91*'Assumptions'!$U$113</x:f>
        <x:v>94.5</x:v>
      </x:c>
      <x:c r="M91" s="10" t="n">
        <x:f>K91*'Assumptions'!$V$113</x:f>
        <x:v>0</x:v>
      </x:c>
      <x:c r="N91" s="10" t="n">
        <x:f>K91-L91-M91</x:f>
        <x:v>3055.5</x:v>
      </x:c>
      <x:c r="O91" s="10" t="n">
        <x:f>H91*'Assumptions'!$P$113*'Assumptions'!$Q$113*'Assumptions'!$D$11*(1+'Assumptions'!$D$13)^(1-1)</x:f>
        <x:v>450</x:v>
      </x:c>
      <x:c r="P91" s="10" t="n">
        <x:f>H91*'Assumptions'!$R$113*'Assumptions'!$D$11*(1+'Assumptions'!$D$13)^(1-1)</x:f>
        <x:v>0</x:v>
      </x:c>
      <x:c r="Q91" s="10" t="n">
        <x:f>J91*'Assumptions'!$S$113</x:f>
        <x:v>0</x:v>
      </x:c>
      <x:c r="R91" s="10" t="n">
        <x:f>H91*'Assumptions'!$Y$113*'Assumptions'!$Z$113*'Assumptions'!$D$11*(1+'Assumptions'!$D$13)^(1-1)</x:f>
        <x:v>675</x:v>
      </x:c>
      <x:c r="S91" s="10" t="n">
        <x:f>IF(I91=0,0,J91*'Assumptions'!$W$113+H91*'Assumptions'!$X$113)</x:f>
        <x:v>118.35000000000001</x:v>
      </x:c>
      <x:c r="T91" s="10" t="n">
        <x:f>N91*'Assumptions'!$AA$113</x:f>
        <x:v>122.22</x:v>
      </x:c>
      <x:c r="U91" s="10" t="n">
        <x:f>'Assumptions'!$AE$113*'Assumptions'!$D$11*(1+'Assumptions'!$D$13)^(1-1)</x:f>
        <x:v>0</x:v>
      </x:c>
      <x:c r="V91" s="10" t="n">
        <x:f>'Assumptions'!$AD$113*'Assumptions'!$D$11</x:f>
        <x:v>0</x:v>
      </x:c>
      <x:c r="W91" s="10" t="n">
        <x:f>H91*('Assumptions'!$P$113+'Assumptions'!$Y$113)</x:f>
        <x:v>31.499999999999996</x:v>
      </x:c>
      <x:c r="X91" s="10" t="n">
        <x:f>N91/'Assumptions'!$J$113*'Assumptions'!$AF$113</x:f>
        <x:v>339.5</x:v>
      </x:c>
      <x:c r="Y91" s="10" t="n">
        <x:f>P91/'Assumptions'!$J$113</x:f>
        <x:v>0</x:v>
      </x:c>
      <x:c r="Z91" s="10" t="n">
        <x:f>'Assumptions'!$AB$113</x:f>
        <x:v>6</x:v>
      </x:c>
      <x:c r="AA91" s="10" t="n">
        <x:f>Z91*'Assumptions'!$AC$113*'Assumptions'!$D$11*(1+'Assumptions'!$D$13)^(1-1)</x:f>
        <x:v>300</x:v>
      </x:c>
      <x:c r="AB91" s="10" t="n">
        <x:f>F91/1</x:f>
        <x:v>90</x:v>
      </x:c>
      <x:c r="AC91" s="10" t="n">
        <x:f>AB91/'Assumptions'!$AM$113</x:f>
        <x:v>450</x:v>
      </x:c>
      <x:c r="AD91" s="10" t="n">
        <x:f>IF(AB91=0,0,T91/AB91)</x:f>
        <x:v>1.358</x:v>
      </x:c>
      <x:c r="AE91" s="10" t="n">
        <x:f>AA91*'Assumptions'!$D$21</x:f>
        <x:v>0</x:v>
      </x:c>
    </x:row>
    <x:row r="92" ht="16" customHeight="1">
      <x:c r="A92" s="1"/>
      <x:c r="B92" s="1"/>
      <x:c r="C92" s="1" t="str">
        <x:v>DOT-085</x:v>
      </x:c>
      <x:c r="D92" s="10" t="str">
        <x:v>Semajes Studio</x:v>
      </x:c>
      <x:c r="E92" s="10" t="n">
        <x:v>1</x:v>
      </x:c>
      <x:c r="F92" s="21" t="n">
        <x:f>'Assumptions'!$I$114*'Assumptions'!$J$114/12*'Assumptions'!$D$9*'Assumptions'!$D$8</x:f>
        <x:v>27</x:v>
      </x:c>
      <x:c r="G92" s="21" t="n">
        <x:f>0</x:f>
        <x:v>0</x:v>
      </x:c>
      <x:c r="H92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92+G92,NA())</x:f>
        <x:v>27</x:v>
      </x:c>
      <x:c r="I92" s="22" t="n">
        <x:f>'Assumptions'!$H$114*IF('Assumptions'!$O$114=1,1,'Assumptions'!$D$10)*(1+'Assumptions'!$N$114)^(1-1)</x:f>
        <x:v>150</x:v>
      </x:c>
      <x:c r="J92" s="10" t="n">
        <x:f>H92*I92</x:f>
        <x:v>4050</x:v>
      </x:c>
      <x:c r="K92" s="10" t="n">
        <x:f>J92*'Assumptions'!$T$114</x:f>
        <x:v>4050</x:v>
      </x:c>
      <x:c r="L92" s="10" t="n">
        <x:f>K92*'Assumptions'!$U$114</x:f>
        <x:v>121.5</x:v>
      </x:c>
      <x:c r="M92" s="10" t="n">
        <x:f>K92*'Assumptions'!$V$114</x:f>
        <x:v>0</x:v>
      </x:c>
      <x:c r="N92" s="10" t="n">
        <x:f>K92-L92-M92</x:f>
        <x:v>3928.5</x:v>
      </x:c>
      <x:c r="O92" s="10" t="n">
        <x:f>H92*'Assumptions'!$P$114*'Assumptions'!$Q$114*'Assumptions'!$D$11*(1+'Assumptions'!$D$13)^(1-1)</x:f>
        <x:v>337.5</x:v>
      </x:c>
      <x:c r="P92" s="10" t="n">
        <x:f>H92*'Assumptions'!$R$114*'Assumptions'!$D$11*(1+'Assumptions'!$D$13)^(1-1)</x:f>
        <x:v>0</x:v>
      </x:c>
      <x:c r="Q92" s="10" t="n">
        <x:f>J92*'Assumptions'!$S$114</x:f>
        <x:v>0</x:v>
      </x:c>
      <x:c r="R92" s="10" t="n">
        <x:f>H92*'Assumptions'!$Y$114*'Assumptions'!$Z$114*'Assumptions'!$D$11*(1+'Assumptions'!$D$13)^(1-1)</x:f>
        <x:v>202.5</x:v>
      </x:c>
      <x:c r="S92" s="10" t="n">
        <x:f>IF(I92=0,0,J92*'Assumptions'!$W$114+H92*'Assumptions'!$X$114)</x:f>
        <x:v>125.55</x:v>
      </x:c>
      <x:c r="T92" s="10" t="n">
        <x:f>N92*'Assumptions'!$AA$114</x:f>
        <x:v>157.14000000000001</x:v>
      </x:c>
      <x:c r="U92" s="10" t="n">
        <x:f>'Assumptions'!$AE$114*'Assumptions'!$D$11*(1+'Assumptions'!$D$13)^(1-1)</x:f>
        <x:v>0</x:v>
      </x:c>
      <x:c r="V92" s="10" t="n">
        <x:f>'Assumptions'!$AD$114*'Assumptions'!$D$11</x:f>
        <x:v>0</x:v>
      </x:c>
      <x:c r="W92" s="10" t="n">
        <x:f>H92*('Assumptions'!$P$114+'Assumptions'!$Y$114)</x:f>
        <x:v>13.5</x:v>
      </x:c>
      <x:c r="X92" s="10" t="n">
        <x:f>N92/'Assumptions'!$J$114*'Assumptions'!$AF$114</x:f>
        <x:v>436.5</x:v>
      </x:c>
      <x:c r="Y92" s="10" t="n">
        <x:f>P92/'Assumptions'!$J$114</x:f>
        <x:v>0</x:v>
      </x:c>
      <x:c r="Z92" s="10" t="n">
        <x:f>'Assumptions'!$AB$114</x:f>
        <x:v>6</x:v>
      </x:c>
      <x:c r="AA92" s="10" t="n">
        <x:f>Z92*'Assumptions'!$AC$114*'Assumptions'!$D$11*(1+'Assumptions'!$D$13)^(1-1)</x:f>
        <x:v>300</x:v>
      </x:c>
      <x:c r="AB92" s="10" t="n">
        <x:f>F92/1</x:f>
        <x:v>27</x:v>
      </x:c>
      <x:c r="AC92" s="10" t="n">
        <x:f>AB92/'Assumptions'!$AM$114</x:f>
        <x:v>135</x:v>
      </x:c>
      <x:c r="AD92" s="10" t="n">
        <x:f>IF(AB92=0,0,T92/AB92)</x:f>
        <x:v>5.82</x:v>
      </x:c>
      <x:c r="AE92" s="10" t="n">
        <x:f>AA92*'Assumptions'!$D$21</x:f>
        <x:v>0</x:v>
      </x:c>
    </x:row>
    <x:row r="93" ht="16" customHeight="1">
      <x:c r="A93" s="1"/>
      <x:c r="B93" s="1"/>
      <x:c r="C93" s="1" t="str">
        <x:v>DOT-086</x:v>
      </x:c>
      <x:c r="D93" s="10" t="str">
        <x:v>Semajes Studio</x:v>
      </x:c>
      <x:c r="E93" s="10" t="n">
        <x:v>1</x:v>
      </x:c>
      <x:c r="F93" s="21" t="n">
        <x:f>'Assumptions'!$I$115*'Assumptions'!$J$115/12*'Assumptions'!$D$9*'Assumptions'!$D$8</x:f>
        <x:v>13.5</x:v>
      </x:c>
      <x:c r="G93" s="21" t="n">
        <x:f>0</x:f>
        <x:v>0</x:v>
      </x:c>
      <x:c r="H93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93+G93,NA())</x:f>
        <x:v>13.5</x:v>
      </x:c>
      <x:c r="I93" s="22" t="n">
        <x:f>'Assumptions'!$H$115*IF('Assumptions'!$O$115=1,1,'Assumptions'!$D$10)*(1+'Assumptions'!$N$115)^(1-1)</x:f>
        <x:v>500</x:v>
      </x:c>
      <x:c r="J93" s="10" t="n">
        <x:f>H93*I93</x:f>
        <x:v>6750</x:v>
      </x:c>
      <x:c r="K93" s="10" t="n">
        <x:f>J93*'Assumptions'!$T$115</x:f>
        <x:v>6750</x:v>
      </x:c>
      <x:c r="L93" s="10" t="n">
        <x:f>K93*'Assumptions'!$U$115</x:f>
        <x:v>202.5</x:v>
      </x:c>
      <x:c r="M93" s="10" t="n">
        <x:f>K93*'Assumptions'!$V$115</x:f>
        <x:v>0</x:v>
      </x:c>
      <x:c r="N93" s="10" t="n">
        <x:f>K93-L93-M93</x:f>
        <x:v>6547.5</x:v>
      </x:c>
      <x:c r="O93" s="10" t="n">
        <x:f>H93*'Assumptions'!$P$115*'Assumptions'!$Q$115*'Assumptions'!$D$11*(1+'Assumptions'!$D$13)^(1-1)</x:f>
        <x:v>675</x:v>
      </x:c>
      <x:c r="P93" s="10" t="n">
        <x:f>H93*'Assumptions'!$R$115*'Assumptions'!$D$11*(1+'Assumptions'!$D$13)^(1-1)</x:f>
        <x:v>0</x:v>
      </x:c>
      <x:c r="Q93" s="10" t="n">
        <x:f>J93*'Assumptions'!$S$115</x:f>
        <x:v>0</x:v>
      </x:c>
      <x:c r="R93" s="10" t="n">
        <x:f>H93*'Assumptions'!$Y$115*'Assumptions'!$Z$115*'Assumptions'!$D$11*(1+'Assumptions'!$D$13)^(1-1)</x:f>
        <x:v>101.25</x:v>
      </x:c>
      <x:c r="S93" s="10" t="n">
        <x:f>IF(I93=0,0,J93*'Assumptions'!$W$115+H93*'Assumptions'!$X$115)</x:f>
        <x:v>199.8</x:v>
      </x:c>
      <x:c r="T93" s="10" t="n">
        <x:f>N93*'Assumptions'!$AA$115</x:f>
        <x:v>261.9</x:v>
      </x:c>
      <x:c r="U93" s="10" t="n">
        <x:f>'Assumptions'!$AE$115*'Assumptions'!$D$11*(1+'Assumptions'!$D$13)^(1-1)</x:f>
        <x:v>0</x:v>
      </x:c>
      <x:c r="V93" s="10" t="n">
        <x:f>'Assumptions'!$AD$115*'Assumptions'!$D$11</x:f>
        <x:v>0</x:v>
      </x:c>
      <x:c r="W93" s="10" t="n">
        <x:f>H93*('Assumptions'!$P$115+'Assumptions'!$Y$115)</x:f>
        <x:v>16.875</x:v>
      </x:c>
      <x:c r="X93" s="10" t="n">
        <x:f>N93/'Assumptions'!$J$115*'Assumptions'!$AF$115</x:f>
        <x:v>727.5</x:v>
      </x:c>
      <x:c r="Y93" s="10" t="n">
        <x:f>P93/'Assumptions'!$J$115</x:f>
        <x:v>0</x:v>
      </x:c>
      <x:c r="Z93" s="10" t="n">
        <x:f>'Assumptions'!$AB$115</x:f>
        <x:v>6</x:v>
      </x:c>
      <x:c r="AA93" s="10" t="n">
        <x:f>Z93*'Assumptions'!$AC$115*'Assumptions'!$D$11*(1+'Assumptions'!$D$13)^(1-1)</x:f>
        <x:v>300</x:v>
      </x:c>
      <x:c r="AB93" s="10" t="n">
        <x:f>F93/1</x:f>
        <x:v>13.5</x:v>
      </x:c>
      <x:c r="AC93" s="10" t="n">
        <x:f>AB93/'Assumptions'!$AM$115</x:f>
        <x:v>67.5</x:v>
      </x:c>
      <x:c r="AD93" s="10" t="n">
        <x:f>IF(AB93=0,0,T93/AB93)</x:f>
        <x:v>19.4</x:v>
      </x:c>
      <x:c r="AE93" s="10" t="n">
        <x:f>AA93*'Assumptions'!$D$21</x:f>
        <x:v>0</x:v>
      </x:c>
    </x:row>
    <x:row r="94" ht="16" customHeight="1">
      <x:c r="A94" s="1"/>
      <x:c r="B94" s="1"/>
      <x:c r="C94" s="1" t="str">
        <x:v>DOT-087</x:v>
      </x:c>
      <x:c r="D94" s="10" t="str">
        <x:v>Semajes Studio</x:v>
      </x:c>
      <x:c r="E94" s="10" t="n">
        <x:v>1</x:v>
      </x:c>
      <x:c r="F94" s="21" t="n">
        <x:f>'Assumptions'!$I$116*'Assumptions'!$J$116/12*'Assumptions'!$D$9*'Assumptions'!$D$8</x:f>
        <x:v>90</x:v>
      </x:c>
      <x:c r="G94" s="21" t="n">
        <x:f>0</x:f>
        <x:v>0</x:v>
      </x:c>
      <x:c r="H94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94+G94,NA())</x:f>
        <x:v>90</x:v>
      </x:c>
      <x:c r="I94" s="22" t="n">
        <x:f>'Assumptions'!$H$116*IF('Assumptions'!$O$116=1,1,'Assumptions'!$D$10)*(1+'Assumptions'!$N$116)^(1-1)</x:f>
        <x:v>95</x:v>
      </x:c>
      <x:c r="J94" s="10" t="n">
        <x:f>H94*I94</x:f>
        <x:v>8550</x:v>
      </x:c>
      <x:c r="K94" s="10" t="n">
        <x:f>J94*'Assumptions'!$T$116</x:f>
        <x:v>8550</x:v>
      </x:c>
      <x:c r="L94" s="10" t="n">
        <x:f>K94*'Assumptions'!$U$116</x:f>
        <x:v>256.5</x:v>
      </x:c>
      <x:c r="M94" s="10" t="n">
        <x:f>K94*'Assumptions'!$V$116</x:f>
        <x:v>171</x:v>
      </x:c>
      <x:c r="N94" s="10" t="n">
        <x:f>K94-L94-M94</x:f>
        <x:v>8122.5</x:v>
      </x:c>
      <x:c r="O94" s="10" t="n">
        <x:f>H94*'Assumptions'!$P$116*'Assumptions'!$Q$116*'Assumptions'!$D$11*(1+'Assumptions'!$D$13)^(1-1)</x:f>
        <x:v>675</x:v>
      </x:c>
      <x:c r="P94" s="10" t="n">
        <x:f>H94*'Assumptions'!$R$116*'Assumptions'!$D$11*(1+'Assumptions'!$D$13)^(1-1)</x:f>
        <x:v>3150</x:v>
      </x:c>
      <x:c r="Q94" s="10" t="n">
        <x:f>J94*'Assumptions'!$S$116</x:f>
        <x:v>0</x:v>
      </x:c>
      <x:c r="R94" s="10" t="n">
        <x:f>H94*'Assumptions'!$Y$116*'Assumptions'!$Z$116*'Assumptions'!$D$11*(1+'Assumptions'!$D$13)^(1-1)</x:f>
        <x:v>405</x:v>
      </x:c>
      <x:c r="S94" s="10" t="n">
        <x:f>IF(I94=0,0,J94*'Assumptions'!$W$116+H94*'Assumptions'!$X$116)</x:f>
        <x:v>274.95000000000005</x:v>
      </x:c>
      <x:c r="T94" s="10" t="n">
        <x:f>N94*'Assumptions'!$AA$116</x:f>
        <x:v>649.8000000000001</x:v>
      </x:c>
      <x:c r="U94" s="10" t="n">
        <x:f>'Assumptions'!$AE$116*'Assumptions'!$D$11*(1+'Assumptions'!$D$13)^(1-1)</x:f>
        <x:v>0</x:v>
      </x:c>
      <x:c r="V94" s="10" t="n">
        <x:f>'Assumptions'!$AD$116*'Assumptions'!$D$11</x:f>
        <x:v>0</x:v>
      </x:c>
      <x:c r="W94" s="10" t="n">
        <x:f>H94*('Assumptions'!$P$116+'Assumptions'!$Y$116)</x:f>
        <x:v>27</x:v>
      </x:c>
      <x:c r="X94" s="10" t="n">
        <x:f>N94/'Assumptions'!$J$116*'Assumptions'!$AF$116</x:f>
        <x:v>0</x:v>
      </x:c>
      <x:c r="Y94" s="10" t="n">
        <x:f>P94/'Assumptions'!$J$116</x:f>
        <x:v>350</x:v>
      </x:c>
      <x:c r="Z94" s="10" t="n">
        <x:f>'Assumptions'!$AB$116</x:f>
        <x:v>6</x:v>
      </x:c>
      <x:c r="AA94" s="10" t="n">
        <x:f>Z94*'Assumptions'!$AC$116*'Assumptions'!$D$11*(1+'Assumptions'!$D$13)^(1-1)</x:f>
        <x:v>300</x:v>
      </x:c>
      <x:c r="AB94" s="10" t="n">
        <x:f>F94/1</x:f>
        <x:v>90</x:v>
      </x:c>
      <x:c r="AC94" s="10" t="n">
        <x:f>AB94/'Assumptions'!$AM$116</x:f>
        <x:v>3000</x:v>
      </x:c>
      <x:c r="AD94" s="10" t="n">
        <x:f>IF(AB94=0,0,T94/AB94)</x:f>
        <x:v>7.220000000000001</x:v>
      </x:c>
      <x:c r="AE94" s="10" t="n">
        <x:f>AA94*'Assumptions'!$D$21</x:f>
        <x:v>0</x:v>
      </x:c>
    </x:row>
    <x:row r="95" ht="16" customHeight="1">
      <x:c r="A95" s="1"/>
      <x:c r="B95" s="1"/>
      <x:c r="C95" s="1" t="str">
        <x:v>DOT-088</x:v>
      </x:c>
      <x:c r="D95" s="10" t="str">
        <x:v>Semajes Studio</x:v>
      </x:c>
      <x:c r="E95" s="10" t="n">
        <x:v>1</x:v>
      </x:c>
      <x:c r="F95" s="21" t="n">
        <x:f>'Assumptions'!$I$117*'Assumptions'!$J$117/12*'Assumptions'!$D$9*'Assumptions'!$D$8</x:f>
        <x:v>45</x:v>
      </x:c>
      <x:c r="G95" s="21" t="n">
        <x:f>0</x:f>
        <x:v>0</x:v>
      </x:c>
      <x:c r="H95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95+G95,NA())</x:f>
        <x:v>45</x:v>
      </x:c>
      <x:c r="I95" s="22" t="n">
        <x:f>'Assumptions'!$H$117*IF('Assumptions'!$O$117=1,1,'Assumptions'!$D$10)*(1+'Assumptions'!$N$117)^(1-1)</x:f>
        <x:v>250</x:v>
      </x:c>
      <x:c r="J95" s="10" t="n">
        <x:f>H95*I95</x:f>
        <x:v>11250</x:v>
      </x:c>
      <x:c r="K95" s="10" t="n">
        <x:f>J95*'Assumptions'!$T$117</x:f>
        <x:v>11250</x:v>
      </x:c>
      <x:c r="L95" s="10" t="n">
        <x:f>K95*'Assumptions'!$U$117</x:f>
        <x:v>337.5</x:v>
      </x:c>
      <x:c r="M95" s="10" t="n">
        <x:f>K95*'Assumptions'!$V$117</x:f>
        <x:v>225</x:v>
      </x:c>
      <x:c r="N95" s="10" t="n">
        <x:f>K95-L95-M95</x:f>
        <x:v>10687.5</x:v>
      </x:c>
      <x:c r="O95" s="10" t="n">
        <x:f>H95*'Assumptions'!$P$117*'Assumptions'!$Q$117*'Assumptions'!$D$11*(1+'Assumptions'!$D$13)^(1-1)</x:f>
        <x:v>562.5</x:v>
      </x:c>
      <x:c r="P95" s="10" t="n">
        <x:f>H95*'Assumptions'!$R$117*'Assumptions'!$D$11*(1+'Assumptions'!$D$13)^(1-1)</x:f>
        <x:v>4950</x:v>
      </x:c>
      <x:c r="Q95" s="10" t="n">
        <x:f>J95*'Assumptions'!$S$117</x:f>
        <x:v>0</x:v>
      </x:c>
      <x:c r="R95" s="10" t="n">
        <x:f>H95*'Assumptions'!$Y$117*'Assumptions'!$Z$117*'Assumptions'!$D$11*(1+'Assumptions'!$D$13)^(1-1)</x:f>
        <x:v>202.5</x:v>
      </x:c>
      <x:c r="S95" s="10" t="n">
        <x:f>IF(I95=0,0,J95*'Assumptions'!$W$117+H95*'Assumptions'!$X$117)</x:f>
        <x:v>339.75</x:v>
      </x:c>
      <x:c r="T95" s="10" t="n">
        <x:f>N95*'Assumptions'!$AA$117</x:f>
        <x:v>855</x:v>
      </x:c>
      <x:c r="U95" s="10" t="n">
        <x:f>'Assumptions'!$AE$117*'Assumptions'!$D$11*(1+'Assumptions'!$D$13)^(1-1)</x:f>
        <x:v>0</x:v>
      </x:c>
      <x:c r="V95" s="10" t="n">
        <x:f>'Assumptions'!$AD$117*'Assumptions'!$D$11</x:f>
        <x:v>0</x:v>
      </x:c>
      <x:c r="W95" s="10" t="n">
        <x:f>H95*('Assumptions'!$P$117+'Assumptions'!$Y$117)</x:f>
        <x:v>18</x:v>
      </x:c>
      <x:c r="X95" s="10" t="n">
        <x:f>N95/'Assumptions'!$J$117*'Assumptions'!$AF$117</x:f>
        <x:v>0</x:v>
      </x:c>
      <x:c r="Y95" s="10" t="n">
        <x:f>P95/'Assumptions'!$J$117</x:f>
        <x:v>550</x:v>
      </x:c>
      <x:c r="Z95" s="10" t="n">
        <x:f>'Assumptions'!$AB$117</x:f>
        <x:v>6</x:v>
      </x:c>
      <x:c r="AA95" s="10" t="n">
        <x:f>Z95*'Assumptions'!$AC$117*'Assumptions'!$D$11*(1+'Assumptions'!$D$13)^(1-1)</x:f>
        <x:v>300</x:v>
      </x:c>
      <x:c r="AB95" s="10" t="n">
        <x:f>F95/1</x:f>
        <x:v>45</x:v>
      </x:c>
      <x:c r="AC95" s="10" t="n">
        <x:f>AB95/'Assumptions'!$AM$117</x:f>
        <x:v>1500</x:v>
      </x:c>
      <x:c r="AD95" s="10" t="n">
        <x:f>IF(AB95=0,0,T95/AB95)</x:f>
        <x:v>19</x:v>
      </x:c>
      <x:c r="AE95" s="10" t="n">
        <x:f>AA95*'Assumptions'!$D$21</x:f>
        <x:v>0</x:v>
      </x:c>
    </x:row>
    <x:row r="96" ht="16" customHeight="1">
      <x:c r="A96" s="1"/>
      <x:c r="B96" s="1"/>
      <x:c r="C96" s="1" t="str">
        <x:v>DOT-089</x:v>
      </x:c>
      <x:c r="D96" s="10" t="str">
        <x:v>Semajes Studio</x:v>
      </x:c>
      <x:c r="E96" s="10" t="n">
        <x:v>1</x:v>
      </x:c>
      <x:c r="F96" s="21" t="n">
        <x:f>'Assumptions'!$I$118*'Assumptions'!$J$118/12*'Assumptions'!$D$9*'Assumptions'!$D$8</x:f>
        <x:v>18</x:v>
      </x:c>
      <x:c r="G96" s="21" t="n">
        <x:f>0</x:f>
        <x:v>0</x:v>
      </x:c>
      <x:c r="H96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96+G96,NA())</x:f>
        <x:v>18</x:v>
      </x:c>
      <x:c r="I96" s="22" t="n">
        <x:f>'Assumptions'!$H$118*IF('Assumptions'!$O$118=1,1,'Assumptions'!$D$10)*(1+'Assumptions'!$N$118)^(1-1)</x:f>
        <x:v>175</x:v>
      </x:c>
      <x:c r="J96" s="10" t="n">
        <x:f>H96*I96</x:f>
        <x:v>3150</x:v>
      </x:c>
      <x:c r="K96" s="10" t="n">
        <x:f>J96*'Assumptions'!$T$118</x:f>
        <x:v>3150</x:v>
      </x:c>
      <x:c r="L96" s="10" t="n">
        <x:f>K96*'Assumptions'!$U$118</x:f>
        <x:v>94.5</x:v>
      </x:c>
      <x:c r="M96" s="10" t="n">
        <x:f>K96*'Assumptions'!$V$118</x:f>
        <x:v>63</x:v>
      </x:c>
      <x:c r="N96" s="10" t="n">
        <x:f>K96-L96-M96</x:f>
        <x:v>2992.5</x:v>
      </x:c>
      <x:c r="O96" s="10" t="n">
        <x:f>H96*'Assumptions'!$P$118*'Assumptions'!$Q$118*'Assumptions'!$D$11*(1+'Assumptions'!$D$13)^(1-1)</x:f>
        <x:v>450</x:v>
      </x:c>
      <x:c r="P96" s="10" t="n">
        <x:f>H96*'Assumptions'!$R$118*'Assumptions'!$D$11*(1+'Assumptions'!$D$13)^(1-1)</x:f>
        <x:v>1620</x:v>
      </x:c>
      <x:c r="Q96" s="10" t="n">
        <x:f>J96*'Assumptions'!$S$118</x:f>
        <x:v>0</x:v>
      </x:c>
      <x:c r="R96" s="10" t="n">
        <x:f>H96*'Assumptions'!$Y$118*'Assumptions'!$Z$118*'Assumptions'!$D$11*(1+'Assumptions'!$D$13)^(1-1)</x:f>
        <x:v>80.99999999999999</x:v>
      </x:c>
      <x:c r="S96" s="10" t="n">
        <x:f>IF(I96=0,0,J96*'Assumptions'!$W$118+H96*'Assumptions'!$X$118)</x:f>
        <x:v>96.75000000000001</x:v>
      </x:c>
      <x:c r="T96" s="10" t="n">
        <x:f>N96*'Assumptions'!$AA$118</x:f>
        <x:v>239.4</x:v>
      </x:c>
      <x:c r="U96" s="10" t="n">
        <x:f>'Assumptions'!$AE$118*'Assumptions'!$D$11*(1+'Assumptions'!$D$13)^(1-1)</x:f>
        <x:v>0</x:v>
      </x:c>
      <x:c r="V96" s="10" t="n">
        <x:f>'Assumptions'!$AD$118*'Assumptions'!$D$11</x:f>
        <x:v>0</x:v>
      </x:c>
      <x:c r="W96" s="10" t="n">
        <x:f>H96*('Assumptions'!$P$118+'Assumptions'!$Y$118)</x:f>
        <x:v>11.700000000000001</x:v>
      </x:c>
      <x:c r="X96" s="10" t="n">
        <x:f>N96/'Assumptions'!$J$118*'Assumptions'!$AF$118</x:f>
        <x:v>0</x:v>
      </x:c>
      <x:c r="Y96" s="10" t="n">
        <x:f>P96/'Assumptions'!$J$118</x:f>
        <x:v>180</x:v>
      </x:c>
      <x:c r="Z96" s="10" t="n">
        <x:f>'Assumptions'!$AB$118</x:f>
        <x:v>6</x:v>
      </x:c>
      <x:c r="AA96" s="10" t="n">
        <x:f>Z96*'Assumptions'!$AC$118*'Assumptions'!$D$11*(1+'Assumptions'!$D$13)^(1-1)</x:f>
        <x:v>300</x:v>
      </x:c>
      <x:c r="AB96" s="10" t="n">
        <x:f>F96/1</x:f>
        <x:v>18</x:v>
      </x:c>
      <x:c r="AC96" s="10" t="n">
        <x:f>AB96/'Assumptions'!$AM$118</x:f>
        <x:v>600</x:v>
      </x:c>
      <x:c r="AD96" s="10" t="n">
        <x:f>IF(AB96=0,0,T96/AB96)</x:f>
        <x:v>13.3</x:v>
      </x:c>
      <x:c r="AE96" s="10" t="n">
        <x:f>AA96*'Assumptions'!$D$21</x:f>
        <x:v>0</x:v>
      </x:c>
    </x:row>
    <x:row r="97" ht="16" customHeight="1">
      <x:c r="A97" s="1"/>
      <x:c r="B97" s="1"/>
      <x:c r="C97" s="1" t="str">
        <x:v>DOT-090</x:v>
      </x:c>
      <x:c r="D97" s="10" t="str">
        <x:v>Semajes Marketplace</x:v>
      </x:c>
      <x:c r="E97" s="10" t="n">
        <x:v>1</x:v>
      </x:c>
      <x:c r="F97" s="21" t="n">
        <x:f>'Assumptions'!$I$119*'Assumptions'!$J$119/12*'Assumptions'!$D$9*'Assumptions'!$D$8</x:f>
        <x:v>60</x:v>
      </x:c>
      <x:c r="G97" s="21" t="n">
        <x:f>0</x:f>
        <x:v>0</x:v>
      </x:c>
      <x:c r="H97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97+G97,NA())</x:f>
        <x:v>60</x:v>
      </x:c>
      <x:c r="I97" s="22" t="n">
        <x:f>'Assumptions'!$H$119*IF('Assumptions'!$O$119=1,1,'Assumptions'!$D$10)*(1+'Assumptions'!$N$119)^(1-1)</x:f>
        <x:v>600</x:v>
      </x:c>
      <x:c r="J97" s="10" t="n">
        <x:f>H97*I97</x:f>
        <x:v>36000</x:v>
      </x:c>
      <x:c r="K97" s="10" t="n">
        <x:f>J97*'Assumptions'!$T$119</x:f>
        <x:v>5400</x:v>
      </x:c>
      <x:c r="L97" s="10" t="n">
        <x:f>K97*'Assumptions'!$U$119</x:f>
        <x:v>162</x:v>
      </x:c>
      <x:c r="M97" s="10" t="n">
        <x:f>K97*'Assumptions'!$V$119</x:f>
        <x:v>0</x:v>
      </x:c>
      <x:c r="N97" s="10" t="n">
        <x:f>K97-L97-M97</x:f>
        <x:v>5238</x:v>
      </x:c>
      <x:c r="O97" s="10" t="n">
        <x:f>H97*'Assumptions'!$P$119*'Assumptions'!$Q$119*'Assumptions'!$D$11*(1+'Assumptions'!$D$13)^(1-1)</x:f>
        <x:v>525</x:v>
      </x:c>
      <x:c r="P97" s="10" t="n">
        <x:f>H97*'Assumptions'!$R$119*'Assumptions'!$D$11*(1+'Assumptions'!$D$13)^(1-1)</x:f>
        <x:v>0</x:v>
      </x:c>
      <x:c r="Q97" s="10" t="n">
        <x:f>J97*'Assumptions'!$S$119</x:f>
        <x:v>0</x:v>
      </x:c>
      <x:c r="R97" s="10" t="n">
        <x:f>H97*'Assumptions'!$Y$119*'Assumptions'!$Z$119*'Assumptions'!$D$11*(1+'Assumptions'!$D$13)^(1-1)</x:f>
        <x:v>270</x:v>
      </x:c>
      <x:c r="S97" s="10" t="n">
        <x:f>IF(I97=0,0,J97*'Assumptions'!$W$119+H97*'Assumptions'!$X$119)</x:f>
        <x:v>1062</x:v>
      </x:c>
      <x:c r="T97" s="10" t="n">
        <x:f>N97*'Assumptions'!$AA$119</x:f>
        <x:v>261.90000000000003</x:v>
      </x:c>
      <x:c r="U97" s="10" t="n">
        <x:f>'Assumptions'!$AE$119*'Assumptions'!$D$11*(1+'Assumptions'!$D$13)^(1-1)</x:f>
        <x:v>240</x:v>
      </x:c>
      <x:c r="V97" s="10" t="n">
        <x:f>'Assumptions'!$AD$119*'Assumptions'!$D$11</x:f>
        <x:v>0</x:v>
      </x:c>
      <x:c r="W97" s="10" t="n">
        <x:f>H97*('Assumptions'!$P$119+'Assumptions'!$Y$119)</x:f>
        <x:v>24</x:v>
      </x:c>
      <x:c r="X97" s="10" t="n">
        <x:f>N97/'Assumptions'!$J$119*'Assumptions'!$AF$119</x:f>
        <x:v>0</x:v>
      </x:c>
      <x:c r="Y97" s="10" t="n">
        <x:f>P97/'Assumptions'!$J$119</x:f>
        <x:v>0</x:v>
      </x:c>
      <x:c r="Z97" s="10" t="n">
        <x:f>'Assumptions'!$AB$119</x:f>
        <x:v>20</x:v>
      </x:c>
      <x:c r="AA97" s="10" t="n">
        <x:f>Z97*'Assumptions'!$AC$119*'Assumptions'!$D$11*(1+'Assumptions'!$D$13)^(1-1)</x:f>
        <x:v>1000</x:v>
      </x:c>
      <x:c r="AB97" s="10" t="n">
        <x:f>F97/1</x:f>
        <x:v>60</x:v>
      </x:c>
      <x:c r="AC97" s="10" t="n">
        <x:f>AB97/'Assumptions'!$AM$119</x:f>
        <x:v>1200</x:v>
      </x:c>
      <x:c r="AD97" s="10" t="n">
        <x:f>IF(AB97=0,0,T97/AB97)</x:f>
        <x:v>4.365</x:v>
      </x:c>
      <x:c r="AE97" s="10" t="n">
        <x:f>AA97*'Assumptions'!$D$21</x:f>
        <x:v>0</x:v>
      </x:c>
    </x:row>
    <x:row r="98" ht="16" customHeight="1">
      <x:c r="A98" s="1"/>
      <x:c r="B98" s="1"/>
      <x:c r="C98" s="1" t="str">
        <x:v>DOT-091</x:v>
      </x:c>
      <x:c r="D98" s="10" t="str">
        <x:v>Semajes Marketplace</x:v>
      </x:c>
      <x:c r="E98" s="10" t="n">
        <x:v>1</x:v>
      </x:c>
      <x:c r="F98" s="21" t="n">
        <x:f>'Assumptions'!$I$120*'Assumptions'!$J$120/12*'Assumptions'!$D$9*'Assumptions'!$D$8</x:f>
        <x:v>120</x:v>
      </x:c>
      <x:c r="G98" s="21" t="n">
        <x:f>0</x:f>
        <x:v>0</x:v>
      </x:c>
      <x:c r="H98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98+G98,NA())</x:f>
        <x:v>120</x:v>
      </x:c>
      <x:c r="I98" s="22" t="n">
        <x:f>'Assumptions'!$H$120*IF('Assumptions'!$O$120=1,1,'Assumptions'!$D$10)*(1+'Assumptions'!$N$120)^(1-1)</x:f>
        <x:v>75</x:v>
      </x:c>
      <x:c r="J98" s="10" t="n">
        <x:f>H98*I98</x:f>
        <x:v>9000</x:v>
      </x:c>
      <x:c r="K98" s="10" t="n">
        <x:f>J98*'Assumptions'!$T$120</x:f>
        <x:v>1800</x:v>
      </x:c>
      <x:c r="L98" s="10" t="n">
        <x:f>K98*'Assumptions'!$U$120</x:f>
        <x:v>54</x:v>
      </x:c>
      <x:c r="M98" s="10" t="n">
        <x:f>K98*'Assumptions'!$V$120</x:f>
        <x:v>0</x:v>
      </x:c>
      <x:c r="N98" s="10" t="n">
        <x:f>K98-L98-M98</x:f>
        <x:v>1746</x:v>
      </x:c>
      <x:c r="O98" s="10" t="n">
        <x:f>H98*'Assumptions'!$P$120*'Assumptions'!$Q$120*'Assumptions'!$D$11*(1+'Assumptions'!$D$13)^(1-1)</x:f>
        <x:v>420</x:v>
      </x:c>
      <x:c r="P98" s="10" t="n">
        <x:f>H98*'Assumptions'!$R$120*'Assumptions'!$D$11*(1+'Assumptions'!$D$13)^(1-1)</x:f>
        <x:v>0</x:v>
      </x:c>
      <x:c r="Q98" s="10" t="n">
        <x:f>J98*'Assumptions'!$S$120</x:f>
        <x:v>0</x:v>
      </x:c>
      <x:c r="R98" s="10" t="n">
        <x:f>H98*'Assumptions'!$Y$120*'Assumptions'!$Z$120*'Assumptions'!$D$11*(1+'Assumptions'!$D$13)^(1-1)</x:f>
        <x:v>540</x:v>
      </x:c>
      <x:c r="S98" s="10" t="n">
        <x:f>IF(I98=0,0,J98*'Assumptions'!$W$120+H98*'Assumptions'!$X$120)</x:f>
        <x:v>297</x:v>
      </x:c>
      <x:c r="T98" s="10" t="n">
        <x:f>N98*'Assumptions'!$AA$120</x:f>
        <x:v>87.30000000000001</x:v>
      </x:c>
      <x:c r="U98" s="10" t="n">
        <x:f>'Assumptions'!$AE$120*'Assumptions'!$D$11*(1+'Assumptions'!$D$13)^(1-1)</x:f>
        <x:v>0</x:v>
      </x:c>
      <x:c r="V98" s="10" t="n">
        <x:f>'Assumptions'!$AD$120*'Assumptions'!$D$11</x:f>
        <x:v>0</x:v>
      </x:c>
      <x:c r="W98" s="10" t="n">
        <x:f>H98*('Assumptions'!$P$120+'Assumptions'!$Y$120)</x:f>
        <x:v>30</x:v>
      </x:c>
      <x:c r="X98" s="10" t="n">
        <x:f>N98/'Assumptions'!$J$120*'Assumptions'!$AF$120</x:f>
        <x:v>0</x:v>
      </x:c>
      <x:c r="Y98" s="10" t="n">
        <x:f>P98/'Assumptions'!$J$120</x:f>
        <x:v>0</x:v>
      </x:c>
      <x:c r="Z98" s="10" t="n">
        <x:f>'Assumptions'!$AB$120</x:f>
        <x:v>6</x:v>
      </x:c>
      <x:c r="AA98" s="10" t="n">
        <x:f>Z98*'Assumptions'!$AC$120*'Assumptions'!$D$11*(1+'Assumptions'!$D$13)^(1-1)</x:f>
        <x:v>300</x:v>
      </x:c>
      <x:c r="AB98" s="10" t="n">
        <x:f>F98/1</x:f>
        <x:v>120</x:v>
      </x:c>
      <x:c r="AC98" s="10" t="n">
        <x:f>AB98/'Assumptions'!$AM$120</x:f>
        <x:v>2400</x:v>
      </x:c>
      <x:c r="AD98" s="10" t="n">
        <x:f>IF(AB98=0,0,T98/AB98)</x:f>
        <x:v>0.7275000000000001</x:v>
      </x:c>
      <x:c r="AE98" s="10" t="n">
        <x:f>AA98*'Assumptions'!$D$21</x:f>
        <x:v>0</x:v>
      </x:c>
    </x:row>
    <x:row r="99" ht="16" customHeight="1">
      <x:c r="A99" s="1"/>
      <x:c r="B99" s="1"/>
      <x:c r="C99" s="1" t="str">
        <x:v>DOT-092</x:v>
      </x:c>
      <x:c r="D99" s="10" t="str">
        <x:v>Semajes Marketplace</x:v>
      </x:c>
      <x:c r="E99" s="10" t="n">
        <x:v>1</x:v>
      </x:c>
      <x:c r="F99" s="21" t="n">
        <x:f>'Assumptions'!$I$121*'Assumptions'!$J$121/12*'Assumptions'!$D$9*'Assumptions'!$D$8</x:f>
        <x:v>60</x:v>
      </x:c>
      <x:c r="G99" s="21" t="n">
        <x:f>0</x:f>
        <x:v>0</x:v>
      </x:c>
      <x:c r="H99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99+G99,NA())</x:f>
        <x:v>60</x:v>
      </x:c>
      <x:c r="I99" s="22" t="n">
        <x:f>'Assumptions'!$H$121*IF('Assumptions'!$O$121=1,1,'Assumptions'!$D$10)*(1+'Assumptions'!$N$121)^(1-1)</x:f>
        <x:v>250</x:v>
      </x:c>
      <x:c r="J99" s="10" t="n">
        <x:f>H99*I99</x:f>
        <x:v>15000</x:v>
      </x:c>
      <x:c r="K99" s="10" t="n">
        <x:f>J99*'Assumptions'!$T$121</x:f>
        <x:v>3000</x:v>
      </x:c>
      <x:c r="L99" s="10" t="n">
        <x:f>K99*'Assumptions'!$U$121</x:f>
        <x:v>90</x:v>
      </x:c>
      <x:c r="M99" s="10" t="n">
        <x:f>K99*'Assumptions'!$V$121</x:f>
        <x:v>0</x:v>
      </x:c>
      <x:c r="N99" s="10" t="n">
        <x:f>K99-L99-M99</x:f>
        <x:v>2910</x:v>
      </x:c>
      <x:c r="O99" s="10" t="n">
        <x:f>H99*'Assumptions'!$P$121*'Assumptions'!$Q$121*'Assumptions'!$D$11*(1+'Assumptions'!$D$13)^(1-1)</x:f>
        <x:v>315</x:v>
      </x:c>
      <x:c r="P99" s="10" t="n">
        <x:f>H99*'Assumptions'!$R$121*'Assumptions'!$D$11*(1+'Assumptions'!$D$13)^(1-1)</x:f>
        <x:v>0</x:v>
      </x:c>
      <x:c r="Q99" s="10" t="n">
        <x:f>J99*'Assumptions'!$S$121</x:f>
        <x:v>0</x:v>
      </x:c>
      <x:c r="R99" s="10" t="n">
        <x:f>H99*'Assumptions'!$Y$121*'Assumptions'!$Z$121*'Assumptions'!$D$11*(1+'Assumptions'!$D$13)^(1-1)</x:f>
        <x:v>270</x:v>
      </x:c>
      <x:c r="S99" s="10" t="n">
        <x:f>IF(I99=0,0,J99*'Assumptions'!$W$121+H99*'Assumptions'!$X$121)</x:f>
        <x:v>453</x:v>
      </x:c>
      <x:c r="T99" s="10" t="n">
        <x:f>N99*'Assumptions'!$AA$121</x:f>
        <x:v>145.5</x:v>
      </x:c>
      <x:c r="U99" s="10" t="n">
        <x:f>'Assumptions'!$AE$121*'Assumptions'!$D$11*(1+'Assumptions'!$D$13)^(1-1)</x:f>
        <x:v>0</x:v>
      </x:c>
      <x:c r="V99" s="10" t="n">
        <x:f>'Assumptions'!$AD$121*'Assumptions'!$D$11</x:f>
        <x:v>0</x:v>
      </x:c>
      <x:c r="W99" s="10" t="n">
        <x:f>H99*('Assumptions'!$P$121+'Assumptions'!$Y$121)</x:f>
        <x:v>18</x:v>
      </x:c>
      <x:c r="X99" s="10" t="n">
        <x:f>N99/'Assumptions'!$J$121*'Assumptions'!$AF$121</x:f>
        <x:v>0</x:v>
      </x:c>
      <x:c r="Y99" s="10" t="n">
        <x:f>P99/'Assumptions'!$J$121</x:f>
        <x:v>0</x:v>
      </x:c>
      <x:c r="Z99" s="10" t="n">
        <x:f>'Assumptions'!$AB$121</x:f>
        <x:v>6</x:v>
      </x:c>
      <x:c r="AA99" s="10" t="n">
        <x:f>Z99*'Assumptions'!$AC$121*'Assumptions'!$D$11*(1+'Assumptions'!$D$13)^(1-1)</x:f>
        <x:v>300</x:v>
      </x:c>
      <x:c r="AB99" s="10" t="n">
        <x:f>F99/1</x:f>
        <x:v>60</x:v>
      </x:c>
      <x:c r="AC99" s="10" t="n">
        <x:f>AB99/'Assumptions'!$AM$121</x:f>
        <x:v>1200</x:v>
      </x:c>
      <x:c r="AD99" s="10" t="n">
        <x:f>IF(AB99=0,0,T99/AB99)</x:f>
        <x:v>2.425</x:v>
      </x:c>
      <x:c r="AE99" s="10" t="n">
        <x:f>AA99*'Assumptions'!$D$21</x:f>
        <x:v>0</x:v>
      </x:c>
    </x:row>
    <x:row r="100" ht="16" customHeight="1">
      <x:c r="A100" s="1"/>
      <x:c r="B100" s="1"/>
      <x:c r="C100" s="1" t="str">
        <x:v>DOT-093</x:v>
      </x:c>
      <x:c r="D100" s="10" t="str">
        <x:v>Semajes Marketplace</x:v>
      </x:c>
      <x:c r="E100" s="10" t="n">
        <x:v>1</x:v>
      </x:c>
      <x:c r="F100" s="21" t="n">
        <x:f>'Assumptions'!$I$122*'Assumptions'!$J$122/12*'Assumptions'!$D$9*'Assumptions'!$D$8</x:f>
        <x:v>12</x:v>
      </x:c>
      <x:c r="G100" s="21" t="n">
        <x:f>0</x:f>
        <x:v>0</x:v>
      </x:c>
      <x:c r="H100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100+G100,NA())</x:f>
        <x:v>12</x:v>
      </x:c>
      <x:c r="I100" s="22" t="n">
        <x:f>'Assumptions'!$H$122*IF('Assumptions'!$O$122=1,1,'Assumptions'!$D$10)*(1+'Assumptions'!$N$122)^(1-1)</x:f>
        <x:v>500</x:v>
      </x:c>
      <x:c r="J100" s="10" t="n">
        <x:f>H100*I100</x:f>
        <x:v>6000</x:v>
      </x:c>
      <x:c r="K100" s="10" t="n">
        <x:f>J100*'Assumptions'!$T$122</x:f>
        <x:v>900</x:v>
      </x:c>
      <x:c r="L100" s="10" t="n">
        <x:f>K100*'Assumptions'!$U$122</x:f>
        <x:v>27</x:v>
      </x:c>
      <x:c r="M100" s="10" t="n">
        <x:f>K100*'Assumptions'!$V$122</x:f>
        <x:v>0</x:v>
      </x:c>
      <x:c r="N100" s="10" t="n">
        <x:f>K100-L100-M100</x:f>
        <x:v>873</x:v>
      </x:c>
      <x:c r="O100" s="10" t="n">
        <x:f>H100*'Assumptions'!$P$122*'Assumptions'!$Q$122*'Assumptions'!$D$11*(1+'Assumptions'!$D$13)^(1-1)</x:f>
        <x:v>105</x:v>
      </x:c>
      <x:c r="P100" s="10" t="n">
        <x:f>H100*'Assumptions'!$R$122*'Assumptions'!$D$11*(1+'Assumptions'!$D$13)^(1-1)</x:f>
        <x:v>0</x:v>
      </x:c>
      <x:c r="Q100" s="10" t="n">
        <x:f>J100*'Assumptions'!$S$122</x:f>
        <x:v>0</x:v>
      </x:c>
      <x:c r="R100" s="10" t="n">
        <x:f>H100*'Assumptions'!$Y$122*'Assumptions'!$Z$122*'Assumptions'!$D$11*(1+'Assumptions'!$D$13)^(1-1)</x:f>
        <x:v>53.99999999999999</x:v>
      </x:c>
      <x:c r="S100" s="10" t="n">
        <x:f>IF(I100=0,0,J100*'Assumptions'!$W$122+H100*'Assumptions'!$X$122)</x:f>
        <x:v>177.6</x:v>
      </x:c>
      <x:c r="T100" s="10" t="n">
        <x:f>N100*'Assumptions'!$AA$122</x:f>
        <x:v>43.650000000000006</x:v>
      </x:c>
      <x:c r="U100" s="10" t="n">
        <x:f>'Assumptions'!$AE$122*'Assumptions'!$D$11*(1+'Assumptions'!$D$13)^(1-1)</x:f>
        <x:v>0</x:v>
      </x:c>
      <x:c r="V100" s="10" t="n">
        <x:f>'Assumptions'!$AD$122*'Assumptions'!$D$11</x:f>
        <x:v>0</x:v>
      </x:c>
      <x:c r="W100" s="10" t="n">
        <x:f>H100*('Assumptions'!$P$122+'Assumptions'!$Y$122)</x:f>
        <x:v>4.800000000000001</x:v>
      </x:c>
      <x:c r="X100" s="10" t="n">
        <x:f>N100/'Assumptions'!$J$122*'Assumptions'!$AF$122</x:f>
        <x:v>0</x:v>
      </x:c>
      <x:c r="Y100" s="10" t="n">
        <x:f>P100/'Assumptions'!$J$122</x:f>
        <x:v>0</x:v>
      </x:c>
      <x:c r="Z100" s="10" t="n">
        <x:f>'Assumptions'!$AB$122</x:f>
        <x:v>12</x:v>
      </x:c>
      <x:c r="AA100" s="10" t="n">
        <x:f>Z100*'Assumptions'!$AC$122*'Assumptions'!$D$11*(1+'Assumptions'!$D$13)^(1-1)</x:f>
        <x:v>600</x:v>
      </x:c>
      <x:c r="AB100" s="10" t="n">
        <x:f>F100/1</x:f>
        <x:v>12</x:v>
      </x:c>
      <x:c r="AC100" s="10" t="n">
        <x:f>AB100/'Assumptions'!$AM$122</x:f>
        <x:v>240</x:v>
      </x:c>
      <x:c r="AD100" s="10" t="n">
        <x:f>IF(AB100=0,0,T100/AB100)</x:f>
        <x:v>3.6375000000000006</x:v>
      </x:c>
      <x:c r="AE100" s="10" t="n">
        <x:f>AA100*'Assumptions'!$D$21</x:f>
        <x:v>0</x:v>
      </x:c>
    </x:row>
    <x:row r="101" ht="16" customHeight="1">
      <x:c r="A101" s="1"/>
      <x:c r="B101" s="1"/>
      <x:c r="C101" s="1" t="str">
        <x:v>DOT-094</x:v>
      </x:c>
      <x:c r="D101" s="10" t="str">
        <x:v>Semajes premium and media</x:v>
      </x:c>
      <x:c r="E101" s="10" t="n">
        <x:v>1</x:v>
      </x:c>
      <x:c r="F101" s="21" t="n">
        <x:f>'Assumptions'!$I$123*'Assumptions'!$J$123/12*'Assumptions'!$D$9*'Assumptions'!$D$8</x:f>
        <x:v>60</x:v>
      </x:c>
      <x:c r="G101" s="21" t="n">
        <x:f>0</x:f>
        <x:v>0</x:v>
      </x:c>
      <x:c r="H101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101+G101,NA())</x:f>
        <x:v>60</x:v>
      </x:c>
      <x:c r="I101" s="22" t="n">
        <x:f>'Assumptions'!$H$123*IF('Assumptions'!$O$123=1,1,'Assumptions'!$D$10)*(1+'Assumptions'!$N$123)^(1-1)</x:f>
        <x:v>9</x:v>
      </x:c>
      <x:c r="J101" s="10" t="n">
        <x:f>H101*I101</x:f>
        <x:v>540</x:v>
      </x:c>
      <x:c r="K101" s="10" t="n">
        <x:f>J101*'Assumptions'!$T$123</x:f>
        <x:v>540</x:v>
      </x:c>
      <x:c r="L101" s="10" t="n">
        <x:f>K101*'Assumptions'!$U$123</x:f>
        <x:v>16.2</x:v>
      </x:c>
      <x:c r="M101" s="10" t="n">
        <x:f>K101*'Assumptions'!$V$123</x:f>
        <x:v>0</x:v>
      </x:c>
      <x:c r="N101" s="10" t="n">
        <x:f>K101-L101-M101</x:f>
        <x:v>523.8</x:v>
      </x:c>
      <x:c r="O101" s="10" t="n">
        <x:f>H101*'Assumptions'!$P$123*'Assumptions'!$Q$123*'Assumptions'!$D$11*(1+'Assumptions'!$D$13)^(1-1)</x:f>
        <x:v>105</x:v>
      </x:c>
      <x:c r="P101" s="10" t="n">
        <x:f>H101*'Assumptions'!$R$123*'Assumptions'!$D$11*(1+'Assumptions'!$D$13)^(1-1)</x:f>
        <x:v>0</x:v>
      </x:c>
      <x:c r="Q101" s="10" t="n">
        <x:f>J101*'Assumptions'!$S$123</x:f>
        <x:v>0</x:v>
      </x:c>
      <x:c r="R101" s="10" t="n">
        <x:f>H101*'Assumptions'!$Y$123*'Assumptions'!$Z$123*'Assumptions'!$D$11*(1+'Assumptions'!$D$13)^(1-1)</x:f>
        <x:v>270</x:v>
      </x:c>
      <x:c r="S101" s="10" t="n">
        <x:f>IF(I101=0,0,J101*'Assumptions'!$W$123+H101*'Assumptions'!$X$123)</x:f>
        <x:v>33.66</x:v>
      </x:c>
      <x:c r="T101" s="10" t="n">
        <x:f>N101*'Assumptions'!$AA$123</x:f>
        <x:v>26.189999999999998</x:v>
      </x:c>
      <x:c r="U101" s="10" t="n">
        <x:f>'Assumptions'!$AE$123*'Assumptions'!$D$11*(1+'Assumptions'!$D$13)^(1-1)</x:f>
        <x:v>0</x:v>
      </x:c>
      <x:c r="V101" s="10" t="n">
        <x:f>'Assumptions'!$AD$123*'Assumptions'!$D$11</x:f>
        <x:v>0</x:v>
      </x:c>
      <x:c r="W101" s="10" t="n">
        <x:f>H101*('Assumptions'!$P$123+'Assumptions'!$Y$123)</x:f>
        <x:v>12</x:v>
      </x:c>
      <x:c r="X101" s="10" t="n">
        <x:f>N101/'Assumptions'!$J$123*'Assumptions'!$AF$123</x:f>
        <x:v>0</x:v>
      </x:c>
      <x:c r="Y101" s="10" t="n">
        <x:f>P101/'Assumptions'!$J$123</x:f>
        <x:v>0</x:v>
      </x:c>
      <x:c r="Z101" s="10" t="n">
        <x:f>'Assumptions'!$AB$123</x:f>
        <x:v>6</x:v>
      </x:c>
      <x:c r="AA101" s="10" t="n">
        <x:f>Z101*'Assumptions'!$AC$123*'Assumptions'!$D$11*(1+'Assumptions'!$D$13)^(1-1)</x:f>
        <x:v>300</x:v>
      </x:c>
      <x:c r="AB101" s="10" t="n">
        <x:f>F101/'Assumptions'!$J$123</x:f>
        <x:v>10</x:v>
      </x:c>
      <x:c r="AC101" s="10" t="n">
        <x:f>AB101/'Assumptions'!$AM$123</x:f>
        <x:v>200</x:v>
      </x:c>
      <x:c r="AD101" s="10" t="n">
        <x:f>IF(AB101=0,0,T101/AB101)</x:f>
        <x:v>2.6189999999999998</x:v>
      </x:c>
      <x:c r="AE101" s="10" t="n">
        <x:f>AA101*'Assumptions'!$D$21</x:f>
        <x:v>0</x:v>
      </x:c>
    </x:row>
    <x:row r="102" ht="16" customHeight="1">
      <x:c r="A102" s="1"/>
      <x:c r="B102" s="1"/>
      <x:c r="C102" s="1" t="str">
        <x:v>DOT-095</x:v>
      </x:c>
      <x:c r="D102" s="10" t="str">
        <x:v>Semajes premium and media</x:v>
      </x:c>
      <x:c r="E102" s="10" t="n">
        <x:v>1</x:v>
      </x:c>
      <x:c r="F102" s="21" t="n">
        <x:f>'Assumptions'!$I$124*'Assumptions'!$J$124/12*'Assumptions'!$D$9*'Assumptions'!$D$8</x:f>
        <x:v>60</x:v>
      </x:c>
      <x:c r="G102" s="21" t="n">
        <x:f>0</x:f>
        <x:v>0</x:v>
      </x:c>
      <x:c r="H102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102+G102,NA())</x:f>
        <x:v>60</x:v>
      </x:c>
      <x:c r="I102" s="22" t="n">
        <x:f>'Assumptions'!$H$124*IF('Assumptions'!$O$124=1,1,'Assumptions'!$D$10)*(1+'Assumptions'!$N$124)^(1-1)</x:f>
        <x:v>19</x:v>
      </x:c>
      <x:c r="J102" s="10" t="n">
        <x:f>H102*I102</x:f>
        <x:v>1140</x:v>
      </x:c>
      <x:c r="K102" s="10" t="n">
        <x:f>J102*'Assumptions'!$T$124</x:f>
        <x:v>1140</x:v>
      </x:c>
      <x:c r="L102" s="10" t="n">
        <x:f>K102*'Assumptions'!$U$124</x:f>
        <x:v>34.199999999999996</x:v>
      </x:c>
      <x:c r="M102" s="10" t="n">
        <x:f>K102*'Assumptions'!$V$124</x:f>
        <x:v>0</x:v>
      </x:c>
      <x:c r="N102" s="10" t="n">
        <x:f>K102-L102-M102</x:f>
        <x:v>1105.8</x:v>
      </x:c>
      <x:c r="O102" s="10" t="n">
        <x:f>H102*'Assumptions'!$P$124*'Assumptions'!$Q$124*'Assumptions'!$D$11*(1+'Assumptions'!$D$13)^(1-1)</x:f>
        <x:v>210</x:v>
      </x:c>
      <x:c r="P102" s="10" t="n">
        <x:f>H102*'Assumptions'!$R$124*'Assumptions'!$D$11*(1+'Assumptions'!$D$13)^(1-1)</x:f>
        <x:v>0</x:v>
      </x:c>
      <x:c r="Q102" s="10" t="n">
        <x:f>J102*'Assumptions'!$S$124</x:f>
        <x:v>0</x:v>
      </x:c>
      <x:c r="R102" s="10" t="n">
        <x:f>H102*'Assumptions'!$Y$124*'Assumptions'!$Z$124*'Assumptions'!$D$11*(1+'Assumptions'!$D$13)^(1-1)</x:f>
        <x:v>270</x:v>
      </x:c>
      <x:c r="S102" s="10" t="n">
        <x:f>IF(I102=0,0,J102*'Assumptions'!$W$124+H102*'Assumptions'!$X$124)</x:f>
        <x:v>51.06</x:v>
      </x:c>
      <x:c r="T102" s="10" t="n">
        <x:f>N102*'Assumptions'!$AA$124</x:f>
        <x:v>55.29</x:v>
      </x:c>
      <x:c r="U102" s="10" t="n">
        <x:f>'Assumptions'!$AE$124*'Assumptions'!$D$11*(1+'Assumptions'!$D$13)^(1-1)</x:f>
        <x:v>0</x:v>
      </x:c>
      <x:c r="V102" s="10" t="n">
        <x:f>'Assumptions'!$AD$124*'Assumptions'!$D$11</x:f>
        <x:v>0</x:v>
      </x:c>
      <x:c r="W102" s="10" t="n">
        <x:f>H102*('Assumptions'!$P$124+'Assumptions'!$Y$124)</x:f>
        <x:v>15</x:v>
      </x:c>
      <x:c r="X102" s="10" t="n">
        <x:f>N102/'Assumptions'!$J$124*'Assumptions'!$AF$124</x:f>
        <x:v>0</x:v>
      </x:c>
      <x:c r="Y102" s="10" t="n">
        <x:f>P102/'Assumptions'!$J$124</x:f>
        <x:v>0</x:v>
      </x:c>
      <x:c r="Z102" s="10" t="n">
        <x:f>'Assumptions'!$AB$124</x:f>
        <x:v>6</x:v>
      </x:c>
      <x:c r="AA102" s="10" t="n">
        <x:f>Z102*'Assumptions'!$AC$124*'Assumptions'!$D$11*(1+'Assumptions'!$D$13)^(1-1)</x:f>
        <x:v>300</x:v>
      </x:c>
      <x:c r="AB102" s="10" t="n">
        <x:f>F102/'Assumptions'!$J$124</x:f>
        <x:v>10</x:v>
      </x:c>
      <x:c r="AC102" s="10" t="n">
        <x:f>AB102/'Assumptions'!$AM$124</x:f>
        <x:v>200</x:v>
      </x:c>
      <x:c r="AD102" s="10" t="n">
        <x:f>IF(AB102=0,0,T102/AB102)</x:f>
        <x:v>5.529</x:v>
      </x:c>
      <x:c r="AE102" s="10" t="n">
        <x:f>AA102*'Assumptions'!$D$21</x:f>
        <x:v>0</x:v>
      </x:c>
    </x:row>
    <x:row r="103" ht="16" customHeight="1">
      <x:c r="A103" s="1"/>
      <x:c r="B103" s="1"/>
      <x:c r="C103" s="1" t="str">
        <x:v>DOT-096</x:v>
      </x:c>
      <x:c r="D103" s="10" t="str">
        <x:v>Semajes premium and media</x:v>
      </x:c>
      <x:c r="E103" s="10" t="n">
        <x:v>1</x:v>
      </x:c>
      <x:c r="F103" s="21" t="n">
        <x:f>'Assumptions'!$I$125*'Assumptions'!$J$125/12*'Assumptions'!$D$9*'Assumptions'!$D$8</x:f>
        <x:v>30</x:v>
      </x:c>
      <x:c r="G103" s="21" t="n">
        <x:f>0</x:f>
        <x:v>0</x:v>
      </x:c>
      <x:c r="H103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103+G103,NA())</x:f>
        <x:v>30</x:v>
      </x:c>
      <x:c r="I103" s="22" t="n">
        <x:f>'Assumptions'!$H$125*IF('Assumptions'!$O$125=1,1,'Assumptions'!$D$10)*(1+'Assumptions'!$N$125)^(1-1)</x:f>
        <x:v>39</x:v>
      </x:c>
      <x:c r="J103" s="10" t="n">
        <x:f>H103*I103</x:f>
        <x:v>1170</x:v>
      </x:c>
      <x:c r="K103" s="10" t="n">
        <x:f>J103*'Assumptions'!$T$125</x:f>
        <x:v>1170</x:v>
      </x:c>
      <x:c r="L103" s="10" t="n">
        <x:f>K103*'Assumptions'!$U$125</x:f>
        <x:v>35.1</x:v>
      </x:c>
      <x:c r="M103" s="10" t="n">
        <x:f>K103*'Assumptions'!$V$125</x:f>
        <x:v>0</x:v>
      </x:c>
      <x:c r="N103" s="10" t="n">
        <x:f>K103-L103-M103</x:f>
        <x:v>1134.9</x:v>
      </x:c>
      <x:c r="O103" s="10" t="n">
        <x:f>H103*'Assumptions'!$P$125*'Assumptions'!$Q$125*'Assumptions'!$D$11*(1+'Assumptions'!$D$13)^(1-1)</x:f>
        <x:v>210</x:v>
      </x:c>
      <x:c r="P103" s="10" t="n">
        <x:f>H103*'Assumptions'!$R$125*'Assumptions'!$D$11*(1+'Assumptions'!$D$13)^(1-1)</x:f>
        <x:v>0</x:v>
      </x:c>
      <x:c r="Q103" s="10" t="n">
        <x:f>J103*'Assumptions'!$S$125</x:f>
        <x:v>0</x:v>
      </x:c>
      <x:c r="R103" s="10" t="n">
        <x:f>H103*'Assumptions'!$Y$125*'Assumptions'!$Z$125*'Assumptions'!$D$11*(1+'Assumptions'!$D$13)^(1-1)</x:f>
        <x:v>135</x:v>
      </x:c>
      <x:c r="S103" s="10" t="n">
        <x:f>IF(I103=0,0,J103*'Assumptions'!$W$125+H103*'Assumptions'!$X$125)</x:f>
        <x:v>42.93</x:v>
      </x:c>
      <x:c r="T103" s="10" t="n">
        <x:f>N103*'Assumptions'!$AA$125</x:f>
        <x:v>56.745000000000005</x:v>
      </x:c>
      <x:c r="U103" s="10" t="n">
        <x:f>'Assumptions'!$AE$125*'Assumptions'!$D$11*(1+'Assumptions'!$D$13)^(1-1)</x:f>
        <x:v>0</x:v>
      </x:c>
      <x:c r="V103" s="10" t="n">
        <x:f>'Assumptions'!$AD$125*'Assumptions'!$D$11</x:f>
        <x:v>0</x:v>
      </x:c>
      <x:c r="W103" s="10" t="n">
        <x:f>H103*('Assumptions'!$P$125+'Assumptions'!$Y$125)</x:f>
        <x:v>10.5</x:v>
      </x:c>
      <x:c r="X103" s="10" t="n">
        <x:f>N103/'Assumptions'!$J$125*'Assumptions'!$AF$125</x:f>
        <x:v>0</x:v>
      </x:c>
      <x:c r="Y103" s="10" t="n">
        <x:f>P103/'Assumptions'!$J$125</x:f>
        <x:v>0</x:v>
      </x:c>
      <x:c r="Z103" s="10" t="n">
        <x:f>'Assumptions'!$AB$125</x:f>
        <x:v>6</x:v>
      </x:c>
      <x:c r="AA103" s="10" t="n">
        <x:f>Z103*'Assumptions'!$AC$125*'Assumptions'!$D$11*(1+'Assumptions'!$D$13)^(1-1)</x:f>
        <x:v>300</x:v>
      </x:c>
      <x:c r="AB103" s="10" t="n">
        <x:f>F103/'Assumptions'!$J$125</x:f>
        <x:v>5</x:v>
      </x:c>
      <x:c r="AC103" s="10" t="n">
        <x:f>AB103/'Assumptions'!$AM$125</x:f>
        <x:v>100</x:v>
      </x:c>
      <x:c r="AD103" s="10" t="n">
        <x:f>IF(AB103=0,0,T103/AB103)</x:f>
        <x:v>11.349</x:v>
      </x:c>
      <x:c r="AE103" s="10" t="n">
        <x:f>AA103*'Assumptions'!$D$21</x:f>
        <x:v>0</x:v>
      </x:c>
    </x:row>
    <x:row r="104" ht="16" customHeight="1">
      <x:c r="A104" s="1"/>
      <x:c r="B104" s="1"/>
      <x:c r="C104" s="1" t="str">
        <x:v>DOT-097</x:v>
      </x:c>
      <x:c r="D104" s="10" t="str">
        <x:v>Semajes premium and media</x:v>
      </x:c>
      <x:c r="E104" s="10" t="n">
        <x:v>1</x:v>
      </x:c>
      <x:c r="F104" s="21" t="n">
        <x:f>'Assumptions'!$I$126*'Assumptions'!$J$126/12*'Assumptions'!$D$9*'Assumptions'!$D$8</x:f>
        <x:v>18</x:v>
      </x:c>
      <x:c r="G104" s="21" t="n">
        <x:f>0</x:f>
        <x:v>0</x:v>
      </x:c>
      <x:c r="H104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104+G104,NA())</x:f>
        <x:v>18</x:v>
      </x:c>
      <x:c r="I104" s="22" t="n">
        <x:f>'Assumptions'!$H$126*IF('Assumptions'!$O$126=1,1,'Assumptions'!$D$10)*(1+'Assumptions'!$N$126)^(1-1)</x:f>
        <x:v>99</x:v>
      </x:c>
      <x:c r="J104" s="10" t="n">
        <x:f>H104*I104</x:f>
        <x:v>1782</x:v>
      </x:c>
      <x:c r="K104" s="10" t="n">
        <x:f>J104*'Assumptions'!$T$126</x:f>
        <x:v>1782</x:v>
      </x:c>
      <x:c r="L104" s="10" t="n">
        <x:f>K104*'Assumptions'!$U$126</x:f>
        <x:v>53.46</x:v>
      </x:c>
      <x:c r="M104" s="10" t="n">
        <x:f>K104*'Assumptions'!$V$126</x:f>
        <x:v>0</x:v>
      </x:c>
      <x:c r="N104" s="10" t="n">
        <x:f>K104-L104-M104</x:f>
        <x:v>1728.54</x:v>
      </x:c>
      <x:c r="O104" s="10" t="n">
        <x:f>H104*'Assumptions'!$P$126*'Assumptions'!$Q$126*'Assumptions'!$D$11*(1+'Assumptions'!$D$13)^(1-1)</x:f>
        <x:v>630</x:v>
      </x:c>
      <x:c r="P104" s="10" t="n">
        <x:f>H104*'Assumptions'!$R$126*'Assumptions'!$D$11*(1+'Assumptions'!$D$13)^(1-1)</x:f>
        <x:v>0</x:v>
      </x:c>
      <x:c r="Q104" s="10" t="n">
        <x:f>J104*'Assumptions'!$S$126</x:f>
        <x:v>0</x:v>
      </x:c>
      <x:c r="R104" s="10" t="n">
        <x:f>H104*'Assumptions'!$Y$126*'Assumptions'!$Z$126*'Assumptions'!$D$11*(1+'Assumptions'!$D$13)^(1-1)</x:f>
        <x:v>80.99999999999999</x:v>
      </x:c>
      <x:c r="S104" s="10" t="n">
        <x:f>IF(I104=0,0,J104*'Assumptions'!$W$126+H104*'Assumptions'!$X$126)</x:f>
        <x:v>57.078</x:v>
      </x:c>
      <x:c r="T104" s="10" t="n">
        <x:f>N104*'Assumptions'!$AA$126</x:f>
        <x:v>86.427</x:v>
      </x:c>
      <x:c r="U104" s="10" t="n">
        <x:f>'Assumptions'!$AE$126*'Assumptions'!$D$11*(1+'Assumptions'!$D$13)^(1-1)</x:f>
        <x:v>0</x:v>
      </x:c>
      <x:c r="V104" s="10" t="n">
        <x:f>'Assumptions'!$AD$126*'Assumptions'!$D$11</x:f>
        <x:v>0</x:v>
      </x:c>
      <x:c r="W104" s="10" t="n">
        <x:f>H104*('Assumptions'!$P$126+'Assumptions'!$Y$126)</x:f>
        <x:v>20.7</x:v>
      </x:c>
      <x:c r="X104" s="10" t="n">
        <x:f>N104/'Assumptions'!$J$126*'Assumptions'!$AF$126</x:f>
        <x:v>0</x:v>
      </x:c>
      <x:c r="Y104" s="10" t="n">
        <x:f>P104/'Assumptions'!$J$126</x:f>
        <x:v>0</x:v>
      </x:c>
      <x:c r="Z104" s="10" t="n">
        <x:f>'Assumptions'!$AB$126</x:f>
        <x:v>6</x:v>
      </x:c>
      <x:c r="AA104" s="10" t="n">
        <x:f>Z104*'Assumptions'!$AC$126*'Assumptions'!$D$11*(1+'Assumptions'!$D$13)^(1-1)</x:f>
        <x:v>300</x:v>
      </x:c>
      <x:c r="AB104" s="10" t="n">
        <x:f>F104/1</x:f>
        <x:v>18</x:v>
      </x:c>
      <x:c r="AC104" s="10" t="n">
        <x:f>AB104/'Assumptions'!$AM$126</x:f>
        <x:v>360</x:v>
      </x:c>
      <x:c r="AD104" s="10" t="n">
        <x:f>IF(AB104=0,0,T104/AB104)</x:f>
        <x:v>4.801500000000001</x:v>
      </x:c>
      <x:c r="AE104" s="10" t="n">
        <x:f>AA104*'Assumptions'!$D$21</x:f>
        <x:v>0</x:v>
      </x:c>
    </x:row>
    <x:row r="105" ht="16" customHeight="1">
      <x:c r="A105" s="1"/>
      <x:c r="B105" s="1"/>
      <x:c r="C105" s="1" t="str">
        <x:v>DOT-098</x:v>
      </x:c>
      <x:c r="D105" s="10" t="str">
        <x:v>Semajes premium and media</x:v>
      </x:c>
      <x:c r="E105" s="10" t="n">
        <x:v>1</x:v>
      </x:c>
      <x:c r="F105" s="21" t="n">
        <x:f>'Assumptions'!$I$127*'Assumptions'!$J$127/12*'Assumptions'!$D$9*'Assumptions'!$D$8</x:f>
        <x:v>9</x:v>
      </x:c>
      <x:c r="G105" s="21" t="n">
        <x:f>0</x:f>
        <x:v>0</x:v>
      </x:c>
      <x:c r="H105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105+G105,NA())</x:f>
        <x:v>9</x:v>
      </x:c>
      <x:c r="I105" s="22" t="n">
        <x:f>'Assumptions'!$H$127*IF('Assumptions'!$O$127=1,1,'Assumptions'!$D$10)*(1+'Assumptions'!$N$127)^(1-1)</x:f>
        <x:v>249</x:v>
      </x:c>
      <x:c r="J105" s="10" t="n">
        <x:f>H105*I105</x:f>
        <x:v>2241</x:v>
      </x:c>
      <x:c r="K105" s="10" t="n">
        <x:f>J105*'Assumptions'!$T$127</x:f>
        <x:v>2241</x:v>
      </x:c>
      <x:c r="L105" s="10" t="n">
        <x:f>K105*'Assumptions'!$U$127</x:f>
        <x:v>67.23</x:v>
      </x:c>
      <x:c r="M105" s="10" t="n">
        <x:f>K105*'Assumptions'!$V$127</x:f>
        <x:v>0</x:v>
      </x:c>
      <x:c r="N105" s="10" t="n">
        <x:f>K105-L105-M105</x:f>
        <x:v>2173.77</x:v>
      </x:c>
      <x:c r="O105" s="10" t="n">
        <x:f>H105*'Assumptions'!$P$127*'Assumptions'!$Q$127*'Assumptions'!$D$11*(1+'Assumptions'!$D$13)^(1-1)</x:f>
        <x:v>945</x:v>
      </x:c>
      <x:c r="P105" s="10" t="n">
        <x:f>H105*'Assumptions'!$R$127*'Assumptions'!$D$11*(1+'Assumptions'!$D$13)^(1-1)</x:f>
        <x:v>0</x:v>
      </x:c>
      <x:c r="Q105" s="10" t="n">
        <x:f>J105*'Assumptions'!$S$127</x:f>
        <x:v>0</x:v>
      </x:c>
      <x:c r="R105" s="10" t="n">
        <x:f>H105*'Assumptions'!$Y$127*'Assumptions'!$Z$127*'Assumptions'!$D$11*(1+'Assumptions'!$D$13)^(1-1)</x:f>
        <x:v>40.49999999999999</x:v>
      </x:c>
      <x:c r="S105" s="10" t="n">
        <x:f>IF(I105=0,0,J105*'Assumptions'!$W$127+H105*'Assumptions'!$X$127)</x:f>
        <x:v>67.68900000000001</x:v>
      </x:c>
      <x:c r="T105" s="10" t="n">
        <x:f>N105*'Assumptions'!$AA$127</x:f>
        <x:v>108.6885</x:v>
      </x:c>
      <x:c r="U105" s="10" t="n">
        <x:f>'Assumptions'!$AE$127*'Assumptions'!$D$11*(1+'Assumptions'!$D$13)^(1-1)</x:f>
        <x:v>0</x:v>
      </x:c>
      <x:c r="V105" s="10" t="n">
        <x:f>'Assumptions'!$AD$127*'Assumptions'!$D$11</x:f>
        <x:v>0</x:v>
      </x:c>
      <x:c r="W105" s="10" t="n">
        <x:f>H105*('Assumptions'!$P$127+'Assumptions'!$Y$127)</x:f>
        <x:v>28.349999999999998</x:v>
      </x:c>
      <x:c r="X105" s="10" t="n">
        <x:f>N105/'Assumptions'!$J$127*'Assumptions'!$AF$127</x:f>
        <x:v>0</x:v>
      </x:c>
      <x:c r="Y105" s="10" t="n">
        <x:f>P105/'Assumptions'!$J$127</x:f>
        <x:v>0</x:v>
      </x:c>
      <x:c r="Z105" s="10" t="n">
        <x:f>'Assumptions'!$AB$127</x:f>
        <x:v>6</x:v>
      </x:c>
      <x:c r="AA105" s="10" t="n">
        <x:f>Z105*'Assumptions'!$AC$127*'Assumptions'!$D$11*(1+'Assumptions'!$D$13)^(1-1)</x:f>
        <x:v>300</x:v>
      </x:c>
      <x:c r="AB105" s="10" t="n">
        <x:f>F105/1</x:f>
        <x:v>9</x:v>
      </x:c>
      <x:c r="AC105" s="10" t="n">
        <x:f>AB105/'Assumptions'!$AM$127</x:f>
        <x:v>180</x:v>
      </x:c>
      <x:c r="AD105" s="10" t="n">
        <x:f>IF(AB105=0,0,T105/AB105)</x:f>
        <x:v>12.076500000000001</x:v>
      </x:c>
      <x:c r="AE105" s="10" t="n">
        <x:f>AA105*'Assumptions'!$D$21</x:f>
        <x:v>0</x:v>
      </x:c>
    </x:row>
    <x:row r="106" ht="16" customHeight="1">
      <x:c r="A106" s="1"/>
      <x:c r="B106" s="1"/>
      <x:c r="C106" s="1" t="str">
        <x:v>DOT-099</x:v>
      </x:c>
      <x:c r="D106" s="10" t="str">
        <x:v>Semajes premium and media</x:v>
      </x:c>
      <x:c r="E106" s="10" t="n">
        <x:v>1</x:v>
      </x:c>
      <x:c r="F106" s="21" t="n">
        <x:f>'Assumptions'!$I$128*'Assumptions'!$J$128/12*'Assumptions'!$D$9*'Assumptions'!$D$8</x:f>
        <x:v>30</x:v>
      </x:c>
      <x:c r="G106" s="21" t="n">
        <x:f>0</x:f>
        <x:v>0</x:v>
      </x:c>
      <x:c r="H106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106+G106,NA())</x:f>
        <x:v>30</x:v>
      </x:c>
      <x:c r="I106" s="22" t="n">
        <x:f>'Assumptions'!$H$128*IF('Assumptions'!$O$128=1,1,'Assumptions'!$D$10)*(1+'Assumptions'!$N$128)^(1-1)</x:f>
        <x:v>29</x:v>
      </x:c>
      <x:c r="J106" s="10" t="n">
        <x:f>H106*I106</x:f>
        <x:v>870</x:v>
      </x:c>
      <x:c r="K106" s="10" t="n">
        <x:f>J106*'Assumptions'!$T$128</x:f>
        <x:v>870</x:v>
      </x:c>
      <x:c r="L106" s="10" t="n">
        <x:f>K106*'Assumptions'!$U$128</x:f>
        <x:v>26.099999999999998</x:v>
      </x:c>
      <x:c r="M106" s="10" t="n">
        <x:f>K106*'Assumptions'!$V$128</x:f>
        <x:v>0</x:v>
      </x:c>
      <x:c r="N106" s="10" t="n">
        <x:f>K106-L106-M106</x:f>
        <x:v>843.9</x:v>
      </x:c>
      <x:c r="O106" s="10" t="n">
        <x:f>H106*'Assumptions'!$P$128*'Assumptions'!$Q$128*'Assumptions'!$D$11*(1+'Assumptions'!$D$13)^(1-1)</x:f>
        <x:v>157.5</x:v>
      </x:c>
      <x:c r="P106" s="10" t="n">
        <x:f>H106*'Assumptions'!$R$128*'Assumptions'!$D$11*(1+'Assumptions'!$D$13)^(1-1)</x:f>
        <x:v>0</x:v>
      </x:c>
      <x:c r="Q106" s="10" t="n">
        <x:f>J106*'Assumptions'!$S$128</x:f>
        <x:v>0</x:v>
      </x:c>
      <x:c r="R106" s="10" t="n">
        <x:f>H106*'Assumptions'!$Y$128*'Assumptions'!$Z$128*'Assumptions'!$D$11*(1+'Assumptions'!$D$13)^(1-1)</x:f>
        <x:v>135</x:v>
      </x:c>
      <x:c r="S106" s="10" t="n">
        <x:f>IF(I106=0,0,J106*'Assumptions'!$W$128+H106*'Assumptions'!$X$128)</x:f>
        <x:v>34.230000000000004</x:v>
      </x:c>
      <x:c r="T106" s="10" t="n">
        <x:f>N106*'Assumptions'!$AA$128</x:f>
        <x:v>42.195</x:v>
      </x:c>
      <x:c r="U106" s="10" t="n">
        <x:f>'Assumptions'!$AE$128*'Assumptions'!$D$11*(1+'Assumptions'!$D$13)^(1-1)</x:f>
        <x:v>0</x:v>
      </x:c>
      <x:c r="V106" s="10" t="n">
        <x:f>'Assumptions'!$AD$128*'Assumptions'!$D$11</x:f>
        <x:v>0</x:v>
      </x:c>
      <x:c r="W106" s="10" t="n">
        <x:f>H106*('Assumptions'!$P$128+'Assumptions'!$Y$128)</x:f>
        <x:v>9</x:v>
      </x:c>
      <x:c r="X106" s="10" t="n">
        <x:f>N106/'Assumptions'!$J$128*'Assumptions'!$AF$128</x:f>
        <x:v>0</x:v>
      </x:c>
      <x:c r="Y106" s="10" t="n">
        <x:f>P106/'Assumptions'!$J$128</x:f>
        <x:v>0</x:v>
      </x:c>
      <x:c r="Z106" s="10" t="n">
        <x:f>'Assumptions'!$AB$128</x:f>
        <x:v>6</x:v>
      </x:c>
      <x:c r="AA106" s="10" t="n">
        <x:f>Z106*'Assumptions'!$AC$128*'Assumptions'!$D$11*(1+'Assumptions'!$D$13)^(1-1)</x:f>
        <x:v>300</x:v>
      </x:c>
      <x:c r="AB106" s="10" t="n">
        <x:f>F106/1</x:f>
        <x:v>30</x:v>
      </x:c>
      <x:c r="AC106" s="10" t="n">
        <x:f>AB106/'Assumptions'!$AM$128</x:f>
        <x:v>600</x:v>
      </x:c>
      <x:c r="AD106" s="10" t="n">
        <x:f>IF(AB106=0,0,T106/AB106)</x:f>
        <x:v>1.4065</x:v>
      </x:c>
      <x:c r="AE106" s="10" t="n">
        <x:f>AA106*'Assumptions'!$D$21</x:f>
        <x:v>0</x:v>
      </x:c>
    </x:row>
    <x:row r="107" ht="16" customHeight="1">
      <x:c r="A107" s="1"/>
      <x:c r="B107" s="1"/>
      <x:c r="C107" s="1" t="str">
        <x:v>DOT-100</x:v>
      </x:c>
      <x:c r="D107" s="10" t="str">
        <x:v>Semajes courses</x:v>
      </x:c>
      <x:c r="E107" s="10" t="n">
        <x:v>1</x:v>
      </x:c>
      <x:c r="F107" s="21" t="n">
        <x:f>'Assumptions'!$I$129*'Assumptions'!$J$129/12*'Assumptions'!$D$9*'Assumptions'!$D$8</x:f>
        <x:v>180</x:v>
      </x:c>
      <x:c r="G107" s="21" t="n">
        <x:f>0</x:f>
        <x:v>0</x:v>
      </x:c>
      <x:c r="H107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107+G107,NA())</x:f>
        <x:v>180</x:v>
      </x:c>
      <x:c r="I107" s="22" t="n">
        <x:f>'Assumptions'!$H$129*IF('Assumptions'!$O$129=1,1,'Assumptions'!$D$10)*(1+'Assumptions'!$N$129)^(1-1)</x:f>
        <x:v>39</x:v>
      </x:c>
      <x:c r="J107" s="10" t="n">
        <x:f>H107*I107</x:f>
        <x:v>7020</x:v>
      </x:c>
      <x:c r="K107" s="10" t="n">
        <x:f>J107*'Assumptions'!$T$129</x:f>
        <x:v>7020</x:v>
      </x:c>
      <x:c r="L107" s="10" t="n">
        <x:f>K107*'Assumptions'!$U$129</x:f>
        <x:v>210.6</x:v>
      </x:c>
      <x:c r="M107" s="10" t="n">
        <x:f>K107*'Assumptions'!$V$129</x:f>
        <x:v>0</x:v>
      </x:c>
      <x:c r="N107" s="10" t="n">
        <x:f>K107-L107-M107</x:f>
        <x:v>6809.4</x:v>
      </x:c>
      <x:c r="O107" s="10" t="n">
        <x:f>H107*'Assumptions'!$P$129*'Assumptions'!$Q$129*'Assumptions'!$D$11*(1+'Assumptions'!$D$13)^(1-1)</x:f>
        <x:v>945</x:v>
      </x:c>
      <x:c r="P107" s="10" t="n">
        <x:f>H107*'Assumptions'!$R$129*'Assumptions'!$D$11*(1+'Assumptions'!$D$13)^(1-1)</x:f>
        <x:v>0</x:v>
      </x:c>
      <x:c r="Q107" s="10" t="n">
        <x:f>J107*'Assumptions'!$S$129</x:f>
        <x:v>0</x:v>
      </x:c>
      <x:c r="R107" s="10" t="n">
        <x:f>H107*'Assumptions'!$Y$129*'Assumptions'!$Z$129*'Assumptions'!$D$11*(1+'Assumptions'!$D$13)^(1-1)</x:f>
        <x:v>540</x:v>
      </x:c>
      <x:c r="S107" s="10" t="n">
        <x:f>IF(I107=0,0,J107*'Assumptions'!$W$129+H107*'Assumptions'!$X$129)</x:f>
        <x:v>257.58000000000004</x:v>
      </x:c>
      <x:c r="T107" s="10" t="n">
        <x:f>N107*'Assumptions'!$AA$129</x:f>
        <x:v>340.47</x:v>
      </x:c>
      <x:c r="U107" s="10" t="n">
        <x:f>'Assumptions'!$AE$129*'Assumptions'!$D$11*(1+'Assumptions'!$D$13)^(1-1)</x:f>
        <x:v>0</x:v>
      </x:c>
      <x:c r="V107" s="10" t="n">
        <x:f>'Assumptions'!$AD$129*'Assumptions'!$D$11</x:f>
        <x:v>0</x:v>
      </x:c>
      <x:c r="W107" s="10" t="n">
        <x:f>H107*('Assumptions'!$P$129+'Assumptions'!$Y$129)</x:f>
        <x:v>45</x:v>
      </x:c>
      <x:c r="X107" s="10" t="n">
        <x:f>N107/'Assumptions'!$J$129*'Assumptions'!$AF$129</x:f>
        <x:v>0</x:v>
      </x:c>
      <x:c r="Y107" s="10" t="n">
        <x:f>P107/'Assumptions'!$J$129</x:f>
        <x:v>0</x:v>
      </x:c>
      <x:c r="Z107" s="10" t="n">
        <x:f>'Assumptions'!$AB$129</x:f>
        <x:v>30</x:v>
      </x:c>
      <x:c r="AA107" s="10" t="n">
        <x:f>Z107*'Assumptions'!$AC$129*'Assumptions'!$D$11*(1+'Assumptions'!$D$13)^(1-1)</x:f>
        <x:v>1500</x:v>
      </x:c>
      <x:c r="AB107" s="10" t="n">
        <x:f>F107/1</x:f>
        <x:v>180</x:v>
      </x:c>
      <x:c r="AC107" s="10" t="n">
        <x:f>AB107/'Assumptions'!$AM$129</x:f>
        <x:v>3600</x:v>
      </x:c>
      <x:c r="AD107" s="10" t="n">
        <x:f>IF(AB107=0,0,T107/AB107)</x:f>
        <x:v>1.8915000000000002</x:v>
      </x:c>
      <x:c r="AE107" s="10" t="n">
        <x:f>AA107*'Assumptions'!$D$21</x:f>
        <x:v>0</x:v>
      </x:c>
    </x:row>
    <x:row r="108" ht="16" customHeight="1">
      <x:c r="A108" s="1"/>
      <x:c r="B108" s="1"/>
      <x:c r="C108" s="1" t="str">
        <x:v>DOT-101</x:v>
      </x:c>
      <x:c r="D108" s="10" t="str">
        <x:v>Sleepy Face</x:v>
      </x:c>
      <x:c r="E108" s="10" t="n">
        <x:v>1</x:v>
      </x:c>
      <x:c r="F108" s="21" t="n">
        <x:f>'Assumptions'!$I$130*'Assumptions'!$J$130/12*'Assumptions'!$D$9*'Assumptions'!$D$8</x:f>
        <x:v>120</x:v>
      </x:c>
      <x:c r="G108" s="21" t="n">
        <x:f>0</x:f>
        <x:v>0</x:v>
      </x:c>
      <x:c r="H108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108+G108,NA())</x:f>
        <x:v>120</x:v>
      </x:c>
      <x:c r="I108" s="22" t="n">
        <x:f>'Assumptions'!$H$130*IF('Assumptions'!$O$130=1,1,'Assumptions'!$D$10)*(1+'Assumptions'!$N$130)^(1-1)</x:f>
        <x:v>95</x:v>
      </x:c>
      <x:c r="J108" s="10" t="n">
        <x:f>H108*I108</x:f>
        <x:v>11400</x:v>
      </x:c>
      <x:c r="K108" s="10" t="n">
        <x:f>J108*'Assumptions'!$T$130</x:f>
        <x:v>11400</x:v>
      </x:c>
      <x:c r="L108" s="10" t="n">
        <x:f>K108*'Assumptions'!$U$130</x:f>
        <x:v>912</x:v>
      </x:c>
      <x:c r="M108" s="10" t="n">
        <x:f>K108*'Assumptions'!$V$130</x:f>
        <x:v>228</x:v>
      </x:c>
      <x:c r="N108" s="10" t="n">
        <x:f>K108-L108-M108</x:f>
        <x:v>10260</x:v>
      </x:c>
      <x:c r="O108" s="10" t="n">
        <x:f>H108*'Assumptions'!$P$130*'Assumptions'!$Q$130*'Assumptions'!$D$11*(1+'Assumptions'!$D$13)^(1-1)</x:f>
        <x:v>630</x:v>
      </x:c>
      <x:c r="P108" s="10" t="n">
        <x:f>H108*'Assumptions'!$R$130*'Assumptions'!$D$11*(1+'Assumptions'!$D$13)^(1-1)</x:f>
        <x:v>3600</x:v>
      </x:c>
      <x:c r="Q108" s="10" t="n">
        <x:f>J108*'Assumptions'!$S$130</x:f>
        <x:v>0</x:v>
      </x:c>
      <x:c r="R108" s="10" t="n">
        <x:f>H108*'Assumptions'!$Y$130*'Assumptions'!$Z$130*'Assumptions'!$D$11*(1+'Assumptions'!$D$13)^(1-1)</x:f>
        <x:v>540</x:v>
      </x:c>
      <x:c r="S108" s="10" t="n">
        <x:f>IF(I108=0,0,J108*'Assumptions'!$W$130+H108*'Assumptions'!$X$130)</x:f>
        <x:v>366.6</x:v>
      </x:c>
      <x:c r="T108" s="10" t="n">
        <x:f>N108*'Assumptions'!$AA$130</x:f>
        <x:v>820.8000000000001</x:v>
      </x:c>
      <x:c r="U108" s="10" t="n">
        <x:f>'Assumptions'!$AE$130*'Assumptions'!$D$11*(1+'Assumptions'!$D$13)^(1-1)</x:f>
        <x:v>0</x:v>
      </x:c>
      <x:c r="V108" s="10" t="n">
        <x:f>'Assumptions'!$AD$130*'Assumptions'!$D$11</x:f>
        <x:v>200</x:v>
      </x:c>
      <x:c r="W108" s="10" t="n">
        <x:f>H108*('Assumptions'!$P$130+'Assumptions'!$Y$130)</x:f>
        <x:v>36</x:v>
      </x:c>
      <x:c r="X108" s="10" t="n">
        <x:f>N108/'Assumptions'!$J$130*'Assumptions'!$AF$130</x:f>
        <x:v>0</x:v>
      </x:c>
      <x:c r="Y108" s="10" t="n">
        <x:f>P108/'Assumptions'!$J$130</x:f>
        <x:v>600</x:v>
      </x:c>
      <x:c r="Z108" s="10" t="n">
        <x:f>'Assumptions'!$AB$130</x:f>
        <x:v>12</x:v>
      </x:c>
      <x:c r="AA108" s="10" t="n">
        <x:f>Z108*'Assumptions'!$AC$130*'Assumptions'!$D$11*(1+'Assumptions'!$D$13)^(1-1)</x:f>
        <x:v>600</x:v>
      </x:c>
      <x:c r="AB108" s="10" t="n">
        <x:f>F108/1</x:f>
        <x:v>120</x:v>
      </x:c>
      <x:c r="AC108" s="10" t="n">
        <x:f>AB108/'Assumptions'!$AM$130</x:f>
        <x:v>4000</x:v>
      </x:c>
      <x:c r="AD108" s="10" t="n">
        <x:f>IF(AB108=0,0,T108/AB108)</x:f>
        <x:v>6.840000000000001</x:v>
      </x:c>
      <x:c r="AE108" s="10" t="n">
        <x:f>AA108*'Assumptions'!$D$21</x:f>
        <x:v>0</x:v>
      </x:c>
    </x:row>
    <x:row r="109" ht="16" customHeight="1">
      <x:c r="A109" s="1"/>
      <x:c r="B109" s="1"/>
      <x:c r="C109" s="1" t="str">
        <x:v>DOT-102</x:v>
      </x:c>
      <x:c r="D109" s="10" t="str">
        <x:v>Sleepy Face</x:v>
      </x:c>
      <x:c r="E109" s="10" t="n">
        <x:v>1</x:v>
      </x:c>
      <x:c r="F109" s="21" t="n">
        <x:f>'Assumptions'!$I$131*'Assumptions'!$J$131/12*'Assumptions'!$D$9*'Assumptions'!$D$8</x:f>
        <x:v>180</x:v>
      </x:c>
      <x:c r="G109" s="21" t="n">
        <x:f>0</x:f>
        <x:v>0</x:v>
      </x:c>
      <x:c r="H109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109+G109,NA())</x:f>
        <x:v>180</x:v>
      </x:c>
      <x:c r="I109" s="22" t="n">
        <x:f>'Assumptions'!$H$131*IF('Assumptions'!$O$131=1,1,'Assumptions'!$D$10)*(1+'Assumptions'!$N$131)^(1-1)</x:f>
        <x:v>165</x:v>
      </x:c>
      <x:c r="J109" s="10" t="n">
        <x:f>H109*I109</x:f>
        <x:v>29700</x:v>
      </x:c>
      <x:c r="K109" s="10" t="n">
        <x:f>J109*'Assumptions'!$T$131</x:f>
        <x:v>29700</x:v>
      </x:c>
      <x:c r="L109" s="10" t="n">
        <x:f>K109*'Assumptions'!$U$131</x:f>
        <x:v>2376</x:v>
      </x:c>
      <x:c r="M109" s="10" t="n">
        <x:f>K109*'Assumptions'!$V$131</x:f>
        <x:v>594</x:v>
      </x:c>
      <x:c r="N109" s="10" t="n">
        <x:f>K109-L109-M109</x:f>
        <x:v>26730</x:v>
      </x:c>
      <x:c r="O109" s="10" t="n">
        <x:f>H109*'Assumptions'!$P$131*'Assumptions'!$Q$131*'Assumptions'!$D$11*(1+'Assumptions'!$D$13)^(1-1)</x:f>
        <x:v>945</x:v>
      </x:c>
      <x:c r="P109" s="10" t="n">
        <x:f>H109*'Assumptions'!$R$131*'Assumptions'!$D$11*(1+'Assumptions'!$D$13)^(1-1)</x:f>
        <x:v>10800</x:v>
      </x:c>
      <x:c r="Q109" s="10" t="n">
        <x:f>J109*'Assumptions'!$S$131</x:f>
        <x:v>0</x:v>
      </x:c>
      <x:c r="R109" s="10" t="n">
        <x:f>H109*'Assumptions'!$Y$131*'Assumptions'!$Z$131*'Assumptions'!$D$11*(1+'Assumptions'!$D$13)^(1-1)</x:f>
        <x:v>810</x:v>
      </x:c>
      <x:c r="S109" s="10" t="n">
        <x:f>IF(I109=0,0,J109*'Assumptions'!$W$131+H109*'Assumptions'!$X$131)</x:f>
        <x:v>915.3000000000001</x:v>
      </x:c>
      <x:c r="T109" s="10" t="n">
        <x:f>N109*'Assumptions'!$AA$131</x:f>
        <x:v>2138.4</x:v>
      </x:c>
      <x:c r="U109" s="10" t="n">
        <x:f>'Assumptions'!$AE$131*'Assumptions'!$D$11*(1+'Assumptions'!$D$13)^(1-1)</x:f>
        <x:v>0</x:v>
      </x:c>
      <x:c r="V109" s="10" t="n">
        <x:f>'Assumptions'!$AD$131*'Assumptions'!$D$11</x:f>
        <x:v>200</x:v>
      </x:c>
      <x:c r="W109" s="10" t="n">
        <x:f>H109*('Assumptions'!$P$131+'Assumptions'!$Y$131)</x:f>
        <x:v>54</x:v>
      </x:c>
      <x:c r="X109" s="10" t="n">
        <x:f>N109/'Assumptions'!$J$131*'Assumptions'!$AF$131</x:f>
        <x:v>0</x:v>
      </x:c>
      <x:c r="Y109" s="10" t="n">
        <x:f>P109/'Assumptions'!$J$131</x:f>
        <x:v>1800</x:v>
      </x:c>
      <x:c r="Z109" s="10" t="n">
        <x:f>'Assumptions'!$AB$131</x:f>
        <x:v>12</x:v>
      </x:c>
      <x:c r="AA109" s="10" t="n">
        <x:f>Z109*'Assumptions'!$AC$131*'Assumptions'!$D$11*(1+'Assumptions'!$D$13)^(1-1)</x:f>
        <x:v>600</x:v>
      </x:c>
      <x:c r="AB109" s="10" t="n">
        <x:f>F109/1</x:f>
        <x:v>180</x:v>
      </x:c>
      <x:c r="AC109" s="10" t="n">
        <x:f>AB109/'Assumptions'!$AM$131</x:f>
        <x:v>6000</x:v>
      </x:c>
      <x:c r="AD109" s="10" t="n">
        <x:f>IF(AB109=0,0,T109/AB109)</x:f>
        <x:v>11.88</x:v>
      </x:c>
      <x:c r="AE109" s="10" t="n">
        <x:f>AA109*'Assumptions'!$D$21</x:f>
        <x:v>0</x:v>
      </x:c>
    </x:row>
    <x:row r="110" ht="16" customHeight="1">
      <x:c r="A110" s="1"/>
      <x:c r="B110" s="1"/>
      <x:c r="C110" s="1" t="str">
        <x:v>DOT-103</x:v>
      </x:c>
      <x:c r="D110" s="10" t="str">
        <x:v>Sleepy Face</x:v>
      </x:c>
      <x:c r="E110" s="10" t="n">
        <x:v>1</x:v>
      </x:c>
      <x:c r="F110" s="21" t="n">
        <x:f>'Assumptions'!$I$132*'Assumptions'!$J$132/12*'Assumptions'!$D$9*'Assumptions'!$D$8</x:f>
        <x:v>40</x:v>
      </x:c>
      <x:c r="G110" s="21" t="n">
        <x:f>0</x:f>
        <x:v>0</x:v>
      </x:c>
      <x:c r="H110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110+G110,NA())</x:f>
        <x:v>40</x:v>
      </x:c>
      <x:c r="I110" s="22" t="n">
        <x:f>'Assumptions'!$H$132*IF('Assumptions'!$O$132=1,1,'Assumptions'!$D$10)*(1+'Assumptions'!$N$132)^(1-1)</x:f>
        <x:v>225</x:v>
      </x:c>
      <x:c r="J110" s="10" t="n">
        <x:f>H110*I110</x:f>
        <x:v>9000</x:v>
      </x:c>
      <x:c r="K110" s="10" t="n">
        <x:f>J110*'Assumptions'!$T$132</x:f>
        <x:v>9000</x:v>
      </x:c>
      <x:c r="L110" s="10" t="n">
        <x:f>K110*'Assumptions'!$U$132</x:f>
        <x:v>720</x:v>
      </x:c>
      <x:c r="M110" s="10" t="n">
        <x:f>K110*'Assumptions'!$V$132</x:f>
        <x:v>180</x:v>
      </x:c>
      <x:c r="N110" s="10" t="n">
        <x:f>K110-L110-M110</x:f>
        <x:v>8100</x:v>
      </x:c>
      <x:c r="O110" s="10" t="n">
        <x:f>H110*'Assumptions'!$P$132*'Assumptions'!$Q$132*'Assumptions'!$D$11*(1+'Assumptions'!$D$13)^(1-1)</x:f>
        <x:v>210</x:v>
      </x:c>
      <x:c r="P110" s="10" t="n">
        <x:f>H110*'Assumptions'!$R$132*'Assumptions'!$D$11*(1+'Assumptions'!$D$13)^(1-1)</x:f>
        <x:v>3600</x:v>
      </x:c>
      <x:c r="Q110" s="10" t="n">
        <x:f>J110*'Assumptions'!$S$132</x:f>
        <x:v>0</x:v>
      </x:c>
      <x:c r="R110" s="10" t="n">
        <x:f>H110*'Assumptions'!$Y$132*'Assumptions'!$Z$132*'Assumptions'!$D$11*(1+'Assumptions'!$D$13)^(1-1)</x:f>
        <x:v>180</x:v>
      </x:c>
      <x:c r="S110" s="10" t="n">
        <x:f>IF(I110=0,0,J110*'Assumptions'!$W$132+H110*'Assumptions'!$X$132)</x:f>
        <x:v>273</x:v>
      </x:c>
      <x:c r="T110" s="10" t="n">
        <x:f>N110*'Assumptions'!$AA$132</x:f>
        <x:v>648</x:v>
      </x:c>
      <x:c r="U110" s="10" t="n">
        <x:f>'Assumptions'!$AE$132*'Assumptions'!$D$11*(1+'Assumptions'!$D$13)^(1-1)</x:f>
        <x:v>0</x:v>
      </x:c>
      <x:c r="V110" s="10" t="n">
        <x:f>'Assumptions'!$AD$132*'Assumptions'!$D$11</x:f>
        <x:v>200</x:v>
      </x:c>
      <x:c r="W110" s="10" t="n">
        <x:f>H110*('Assumptions'!$P$132+'Assumptions'!$Y$132)</x:f>
        <x:v>12</x:v>
      </x:c>
      <x:c r="X110" s="10" t="n">
        <x:f>N110/'Assumptions'!$J$132*'Assumptions'!$AF$132</x:f>
        <x:v>0</x:v>
      </x:c>
      <x:c r="Y110" s="10" t="n">
        <x:f>P110/'Assumptions'!$J$132</x:f>
        <x:v>600</x:v>
      </x:c>
      <x:c r="Z110" s="10" t="n">
        <x:f>'Assumptions'!$AB$132</x:f>
        <x:v>12</x:v>
      </x:c>
      <x:c r="AA110" s="10" t="n">
        <x:f>Z110*'Assumptions'!$AC$132*'Assumptions'!$D$11*(1+'Assumptions'!$D$13)^(1-1)</x:f>
        <x:v>600</x:v>
      </x:c>
      <x:c r="AB110" s="10" t="n">
        <x:f>F110/1</x:f>
        <x:v>40</x:v>
      </x:c>
      <x:c r="AC110" s="10" t="n">
        <x:f>AB110/'Assumptions'!$AM$132</x:f>
        <x:v>1333.3333333333335</x:v>
      </x:c>
      <x:c r="AD110" s="10" t="n">
        <x:f>IF(AB110=0,0,T110/AB110)</x:f>
        <x:v>16.2</x:v>
      </x:c>
      <x:c r="AE110" s="10" t="n">
        <x:f>AA110*'Assumptions'!$D$21</x:f>
        <x:v>0</x:v>
      </x:c>
    </x:row>
    <x:row r="111" ht="16" customHeight="1">
      <x:c r="A111" s="1"/>
      <x:c r="B111" s="1"/>
      <x:c r="C111" s="1" t="str">
        <x:v>DOT-104</x:v>
      </x:c>
      <x:c r="D111" s="10" t="str">
        <x:v>Sleepy Face</x:v>
      </x:c>
      <x:c r="E111" s="10" t="n">
        <x:v>1</x:v>
      </x:c>
      <x:c r="F111" s="21" t="n">
        <x:f>'Assumptions'!$I$133*'Assumptions'!$J$133/12*'Assumptions'!$D$9*'Assumptions'!$D$8</x:f>
        <x:v>120</x:v>
      </x:c>
      <x:c r="G111" s="21" t="n">
        <x:f>0</x:f>
        <x:v>0</x:v>
      </x:c>
      <x:c r="H111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111+G111,NA())</x:f>
        <x:v>120</x:v>
      </x:c>
      <x:c r="I111" s="22" t="n">
        <x:f>'Assumptions'!$H$133*IF('Assumptions'!$O$133=1,1,'Assumptions'!$D$10)*(1+'Assumptions'!$N$133)^(1-1)</x:f>
        <x:v>95</x:v>
      </x:c>
      <x:c r="J111" s="10" t="n">
        <x:f>H111*I111</x:f>
        <x:v>11400</x:v>
      </x:c>
      <x:c r="K111" s="10" t="n">
        <x:f>J111*'Assumptions'!$T$133</x:f>
        <x:v>11400</x:v>
      </x:c>
      <x:c r="L111" s="10" t="n">
        <x:f>K111*'Assumptions'!$U$133</x:f>
        <x:v>912</x:v>
      </x:c>
      <x:c r="M111" s="10" t="n">
        <x:f>K111*'Assumptions'!$V$133</x:f>
        <x:v>228</x:v>
      </x:c>
      <x:c r="N111" s="10" t="n">
        <x:f>K111-L111-M111</x:f>
        <x:v>10260</x:v>
      </x:c>
      <x:c r="O111" s="10" t="n">
        <x:f>H111*'Assumptions'!$P$133*'Assumptions'!$Q$133*'Assumptions'!$D$11*(1+'Assumptions'!$D$13)^(1-1)</x:f>
        <x:v>630</x:v>
      </x:c>
      <x:c r="P111" s="10" t="n">
        <x:f>H111*'Assumptions'!$R$133*'Assumptions'!$D$11*(1+'Assumptions'!$D$13)^(1-1)</x:f>
        <x:v>4200</x:v>
      </x:c>
      <x:c r="Q111" s="10" t="n">
        <x:f>J111*'Assumptions'!$S$133</x:f>
        <x:v>0</x:v>
      </x:c>
      <x:c r="R111" s="10" t="n">
        <x:f>H111*'Assumptions'!$Y$133*'Assumptions'!$Z$133*'Assumptions'!$D$11*(1+'Assumptions'!$D$13)^(1-1)</x:f>
        <x:v>540</x:v>
      </x:c>
      <x:c r="S111" s="10" t="n">
        <x:f>IF(I111=0,0,J111*'Assumptions'!$W$133+H111*'Assumptions'!$X$133)</x:f>
        <x:v>366.6</x:v>
      </x:c>
      <x:c r="T111" s="10" t="n">
        <x:f>N111*'Assumptions'!$AA$133</x:f>
        <x:v>820.8000000000001</x:v>
      </x:c>
      <x:c r="U111" s="10" t="n">
        <x:f>'Assumptions'!$AE$133*'Assumptions'!$D$11*(1+'Assumptions'!$D$13)^(1-1)</x:f>
        <x:v>0</x:v>
      </x:c>
      <x:c r="V111" s="10" t="n">
        <x:f>'Assumptions'!$AD$133*'Assumptions'!$D$11</x:f>
        <x:v>200</x:v>
      </x:c>
      <x:c r="W111" s="10" t="n">
        <x:f>H111*('Assumptions'!$P$133+'Assumptions'!$Y$133)</x:f>
        <x:v>36</x:v>
      </x:c>
      <x:c r="X111" s="10" t="n">
        <x:f>N111/'Assumptions'!$J$133*'Assumptions'!$AF$133</x:f>
        <x:v>0</x:v>
      </x:c>
      <x:c r="Y111" s="10" t="n">
        <x:f>P111/'Assumptions'!$J$133</x:f>
        <x:v>700</x:v>
      </x:c>
      <x:c r="Z111" s="10" t="n">
        <x:f>'Assumptions'!$AB$133</x:f>
        <x:v>12</x:v>
      </x:c>
      <x:c r="AA111" s="10" t="n">
        <x:f>Z111*'Assumptions'!$AC$133*'Assumptions'!$D$11*(1+'Assumptions'!$D$13)^(1-1)</x:f>
        <x:v>600</x:v>
      </x:c>
      <x:c r="AB111" s="10" t="n">
        <x:f>F111/1</x:f>
        <x:v>120</x:v>
      </x:c>
      <x:c r="AC111" s="10" t="n">
        <x:f>AB111/'Assumptions'!$AM$133</x:f>
        <x:v>4000</x:v>
      </x:c>
      <x:c r="AD111" s="10" t="n">
        <x:f>IF(AB111=0,0,T111/AB111)</x:f>
        <x:v>6.840000000000001</x:v>
      </x:c>
      <x:c r="AE111" s="10" t="n">
        <x:f>AA111*'Assumptions'!$D$21</x:f>
        <x:v>0</x:v>
      </x:c>
    </x:row>
    <x:row r="112" ht="16" customHeight="1">
      <x:c r="A112" s="1"/>
      <x:c r="B112" s="1"/>
      <x:c r="C112" s="1" t="str">
        <x:v>DOT-105</x:v>
      </x:c>
      <x:c r="D112" s="10" t="str">
        <x:v>Sleepy Face</x:v>
      </x:c>
      <x:c r="E112" s="10" t="n">
        <x:v>1</x:v>
      </x:c>
      <x:c r="F112" s="21" t="n">
        <x:f>'Assumptions'!$I$134*'Assumptions'!$J$134/12*'Assumptions'!$D$9*'Assumptions'!$D$8</x:f>
        <x:v>60</x:v>
      </x:c>
      <x:c r="G112" s="21" t="n">
        <x:f>0</x:f>
        <x:v>0</x:v>
      </x:c>
      <x:c r="H112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112+G112,NA())</x:f>
        <x:v>60</x:v>
      </x:c>
      <x:c r="I112" s="22" t="n">
        <x:f>'Assumptions'!$H$134*IF('Assumptions'!$O$134=1,1,'Assumptions'!$D$10)*(1+'Assumptions'!$N$134)^(1-1)</x:f>
        <x:v>175</x:v>
      </x:c>
      <x:c r="J112" s="10" t="n">
        <x:f>H112*I112</x:f>
        <x:v>10500</x:v>
      </x:c>
      <x:c r="K112" s="10" t="n">
        <x:f>J112*'Assumptions'!$T$134</x:f>
        <x:v>10500</x:v>
      </x:c>
      <x:c r="L112" s="10" t="n">
        <x:f>K112*'Assumptions'!$U$134</x:f>
        <x:v>840</x:v>
      </x:c>
      <x:c r="M112" s="10" t="n">
        <x:f>K112*'Assumptions'!$V$134</x:f>
        <x:v>210</x:v>
      </x:c>
      <x:c r="N112" s="10" t="n">
        <x:f>K112-L112-M112</x:f>
        <x:v>9450</x:v>
      </x:c>
      <x:c r="O112" s="10" t="n">
        <x:f>H112*'Assumptions'!$P$134*'Assumptions'!$Q$134*'Assumptions'!$D$11*(1+'Assumptions'!$D$13)^(1-1)</x:f>
        <x:v>315</x:v>
      </x:c>
      <x:c r="P112" s="10" t="n">
        <x:f>H112*'Assumptions'!$R$134*'Assumptions'!$D$11*(1+'Assumptions'!$D$13)^(1-1)</x:f>
        <x:v>3900</x:v>
      </x:c>
      <x:c r="Q112" s="10" t="n">
        <x:f>J112*'Assumptions'!$S$134</x:f>
        <x:v>0</x:v>
      </x:c>
      <x:c r="R112" s="10" t="n">
        <x:f>H112*'Assumptions'!$Y$134*'Assumptions'!$Z$134*'Assumptions'!$D$11*(1+'Assumptions'!$D$13)^(1-1)</x:f>
        <x:v>270</x:v>
      </x:c>
      <x:c r="S112" s="10" t="n">
        <x:f>IF(I112=0,0,J112*'Assumptions'!$W$134+H112*'Assumptions'!$X$134)</x:f>
        <x:v>322.5</x:v>
      </x:c>
      <x:c r="T112" s="10" t="n">
        <x:f>N112*'Assumptions'!$AA$134</x:f>
        <x:v>756</x:v>
      </x:c>
      <x:c r="U112" s="10" t="n">
        <x:f>'Assumptions'!$AE$134*'Assumptions'!$D$11*(1+'Assumptions'!$D$13)^(1-1)</x:f>
        <x:v>0</x:v>
      </x:c>
      <x:c r="V112" s="10" t="n">
        <x:f>'Assumptions'!$AD$134*'Assumptions'!$D$11</x:f>
        <x:v>500</x:v>
      </x:c>
      <x:c r="W112" s="10" t="n">
        <x:f>H112*('Assumptions'!$P$134+'Assumptions'!$Y$134)</x:f>
        <x:v>18</x:v>
      </x:c>
      <x:c r="X112" s="10" t="n">
        <x:f>N112/'Assumptions'!$J$134*'Assumptions'!$AF$134</x:f>
        <x:v>0</x:v>
      </x:c>
      <x:c r="Y112" s="10" t="n">
        <x:f>P112/'Assumptions'!$J$134</x:f>
        <x:v>650</x:v>
      </x:c>
      <x:c r="Z112" s="10" t="n">
        <x:f>'Assumptions'!$AB$134</x:f>
        <x:v>12</x:v>
      </x:c>
      <x:c r="AA112" s="10" t="n">
        <x:f>Z112*'Assumptions'!$AC$134*'Assumptions'!$D$11*(1+'Assumptions'!$D$13)^(1-1)</x:f>
        <x:v>600</x:v>
      </x:c>
      <x:c r="AB112" s="10" t="n">
        <x:f>F112/1</x:f>
        <x:v>60</x:v>
      </x:c>
      <x:c r="AC112" s="10" t="n">
        <x:f>AB112/'Assumptions'!$AM$134</x:f>
        <x:v>2000</x:v>
      </x:c>
      <x:c r="AD112" s="10" t="n">
        <x:f>IF(AB112=0,0,T112/AB112)</x:f>
        <x:v>12.6</x:v>
      </x:c>
      <x:c r="AE112" s="10" t="n">
        <x:f>AA112*'Assumptions'!$D$21</x:f>
        <x:v>0</x:v>
      </x:c>
    </x:row>
    <x:row r="113" ht="16" customHeight="1">
      <x:c r="A113" s="1"/>
      <x:c r="B113" s="1"/>
      <x:c r="C113" s="1" t="str">
        <x:v>DOT-106</x:v>
      </x:c>
      <x:c r="D113" s="10" t="str">
        <x:v>QzoticMusic</x:v>
      </x:c>
      <x:c r="E113" s="10" t="n">
        <x:v>1</x:v>
      </x:c>
      <x:c r="F113" s="21" t="n">
        <x:f>'Assumptions'!$I$135*'Assumptions'!$J$135/12*'Assumptions'!$D$9*'Assumptions'!$D$8</x:f>
        <x:v>300</x:v>
      </x:c>
      <x:c r="G113" s="21" t="n">
        <x:f>0</x:f>
        <x:v>0</x:v>
      </x:c>
      <x:c r="H113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113+G113,NA())</x:f>
        <x:v>300</x:v>
      </x:c>
      <x:c r="I113" s="22" t="n">
        <x:f>'Assumptions'!$H$135*IF('Assumptions'!$O$135=1,1,'Assumptions'!$D$10)*(1+'Assumptions'!$N$135)^(1-1)</x:f>
        <x:v>5</x:v>
      </x:c>
      <x:c r="J113" s="10" t="n">
        <x:f>H113*I113</x:f>
        <x:v>1500</x:v>
      </x:c>
      <x:c r="K113" s="10" t="n">
        <x:f>J113*'Assumptions'!$T$135</x:f>
        <x:v>1500</x:v>
      </x:c>
      <x:c r="L113" s="10" t="n">
        <x:f>K113*'Assumptions'!$U$135</x:f>
        <x:v>45</x:v>
      </x:c>
      <x:c r="M113" s="10" t="n">
        <x:f>K113*'Assumptions'!$V$135</x:f>
        <x:v>0</x:v>
      </x:c>
      <x:c r="N113" s="10" t="n">
        <x:f>K113-L113-M113</x:f>
        <x:v>1455</x:v>
      </x:c>
      <x:c r="O113" s="10" t="n">
        <x:f>H113*'Assumptions'!$P$135*'Assumptions'!$Q$135*'Assumptions'!$D$11*(1+'Assumptions'!$D$13)^(1-1)</x:f>
        <x:v>210</x:v>
      </x:c>
      <x:c r="P113" s="10" t="n">
        <x:f>H113*'Assumptions'!$R$135*'Assumptions'!$D$11*(1+'Assumptions'!$D$13)^(1-1)</x:f>
        <x:v>0</x:v>
      </x:c>
      <x:c r="Q113" s="10" t="n">
        <x:f>J113*'Assumptions'!$S$135</x:f>
        <x:v>0</x:v>
      </x:c>
      <x:c r="R113" s="10" t="n">
        <x:f>H113*'Assumptions'!$Y$135*'Assumptions'!$Z$135*'Assumptions'!$D$11*(1+'Assumptions'!$D$13)^(1-1)</x:f>
        <x:v>900</x:v>
      </x:c>
      <x:c r="S113" s="10" t="n">
        <x:f>IF(I113=0,0,J113*'Assumptions'!$W$135+H113*'Assumptions'!$X$135)</x:f>
        <x:v>133.5</x:v>
      </x:c>
      <x:c r="T113" s="10" t="n">
        <x:f>N113*'Assumptions'!$AA$135</x:f>
        <x:v>72.75</x:v>
      </x:c>
      <x:c r="U113" s="10" t="n">
        <x:f>'Assumptions'!$AE$135*'Assumptions'!$D$11*(1+'Assumptions'!$D$13)^(1-1)</x:f>
        <x:v>0</x:v>
      </x:c>
      <x:c r="V113" s="10" t="n">
        <x:f>'Assumptions'!$AD$135*'Assumptions'!$D$11</x:f>
        <x:v>0</x:v>
      </x:c>
      <x:c r="W113" s="10" t="n">
        <x:f>H113*('Assumptions'!$P$135+'Assumptions'!$Y$135)</x:f>
        <x:v>36</x:v>
      </x:c>
      <x:c r="X113" s="10" t="n">
        <x:f>N113/'Assumptions'!$J$135*'Assumptions'!$AF$135</x:f>
        <x:v>0</x:v>
      </x:c>
      <x:c r="Y113" s="10" t="n">
        <x:f>P113/'Assumptions'!$J$135</x:f>
        <x:v>0</x:v>
      </x:c>
      <x:c r="Z113" s="10" t="n">
        <x:f>'Assumptions'!$AB$135</x:f>
        <x:v>8</x:v>
      </x:c>
      <x:c r="AA113" s="10" t="n">
        <x:f>Z113*'Assumptions'!$AC$135*'Assumptions'!$D$11*(1+'Assumptions'!$D$13)^(1-1)</x:f>
        <x:v>400</x:v>
      </x:c>
      <x:c r="AB113" s="10" t="n">
        <x:f>F113/'Assumptions'!$J$135</x:f>
        <x:v>50</x:v>
      </x:c>
      <x:c r="AC113" s="10" t="n">
        <x:f>AB113/'Assumptions'!$AM$135</x:f>
        <x:v>1000</x:v>
      </x:c>
      <x:c r="AD113" s="10" t="n">
        <x:f>IF(AB113=0,0,T113/AB113)</x:f>
        <x:v>1.455</x:v>
      </x:c>
      <x:c r="AE113" s="10" t="n">
        <x:f>AA113*'Assumptions'!$D$21</x:f>
        <x:v>0</x:v>
      </x:c>
    </x:row>
    <x:row r="114" ht="16" customHeight="1">
      <x:c r="A114" s="1"/>
      <x:c r="B114" s="1"/>
      <x:c r="C114" s="1" t="str">
        <x:v>DOT-107</x:v>
      </x:c>
      <x:c r="D114" s="10" t="str">
        <x:v>QzoticMusic</x:v>
      </x:c>
      <x:c r="E114" s="10" t="n">
        <x:v>1</x:v>
      </x:c>
      <x:c r="F114" s="21" t="n">
        <x:f>'Assumptions'!$I$136*'Assumptions'!$J$136/12*'Assumptions'!$D$9*'Assumptions'!$D$8</x:f>
        <x:v>120</x:v>
      </x:c>
      <x:c r="G114" s="21" t="n">
        <x:f>0</x:f>
        <x:v>0</x:v>
      </x:c>
      <x:c r="H114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114+G114,NA())</x:f>
        <x:v>120</x:v>
      </x:c>
      <x:c r="I114" s="22" t="n">
        <x:f>'Assumptions'!$H$136*IF('Assumptions'!$O$136=1,1,'Assumptions'!$D$10)*(1+'Assumptions'!$N$136)^(1-1)</x:f>
        <x:v>25</x:v>
      </x:c>
      <x:c r="J114" s="10" t="n">
        <x:f>H114*I114</x:f>
        <x:v>3000</x:v>
      </x:c>
      <x:c r="K114" s="10" t="n">
        <x:f>J114*'Assumptions'!$T$136</x:f>
        <x:v>3000</x:v>
      </x:c>
      <x:c r="L114" s="10" t="n">
        <x:f>K114*'Assumptions'!$U$136</x:f>
        <x:v>90</x:v>
      </x:c>
      <x:c r="M114" s="10" t="n">
        <x:f>K114*'Assumptions'!$V$136</x:f>
        <x:v>0</x:v>
      </x:c>
      <x:c r="N114" s="10" t="n">
        <x:f>K114-L114-M114</x:f>
        <x:v>2910</x:v>
      </x:c>
      <x:c r="O114" s="10" t="n">
        <x:f>H114*'Assumptions'!$P$136*'Assumptions'!$Q$136*'Assumptions'!$D$11*(1+'Assumptions'!$D$13)^(1-1)</x:f>
        <x:v>630</x:v>
      </x:c>
      <x:c r="P114" s="10" t="n">
        <x:f>H114*'Assumptions'!$R$136*'Assumptions'!$D$11*(1+'Assumptions'!$D$13)^(1-1)</x:f>
        <x:v>1200</x:v>
      </x:c>
      <x:c r="Q114" s="10" t="n">
        <x:f>J114*'Assumptions'!$S$136</x:f>
        <x:v>0</x:v>
      </x:c>
      <x:c r="R114" s="10" t="n">
        <x:f>H114*'Assumptions'!$Y$136*'Assumptions'!$Z$136*'Assumptions'!$D$11*(1+'Assumptions'!$D$13)^(1-1)</x:f>
        <x:v>1800</x:v>
      </x:c>
      <x:c r="S114" s="10" t="n">
        <x:f>IF(I114=0,0,J114*'Assumptions'!$W$136+H114*'Assumptions'!$X$136)</x:f>
        <x:v>123</x:v>
      </x:c>
      <x:c r="T114" s="10" t="n">
        <x:f>N114*'Assumptions'!$AA$136</x:f>
        <x:v>232.8</x:v>
      </x:c>
      <x:c r="U114" s="10" t="n">
        <x:f>'Assumptions'!$AE$136*'Assumptions'!$D$11*(1+'Assumptions'!$D$13)^(1-1)</x:f>
        <x:v>0</x:v>
      </x:c>
      <x:c r="V114" s="10" t="n">
        <x:f>'Assumptions'!$AD$136*'Assumptions'!$D$11</x:f>
        <x:v>300</x:v>
      </x:c>
      <x:c r="W114" s="10" t="n">
        <x:f>H114*('Assumptions'!$P$136+'Assumptions'!$Y$136)</x:f>
        <x:v>78</x:v>
      </x:c>
      <x:c r="X114" s="10" t="n">
        <x:f>N114/'Assumptions'!$J$136*'Assumptions'!$AF$136</x:f>
        <x:v>485</x:v>
      </x:c>
      <x:c r="Y114" s="10" t="n">
        <x:f>P114/'Assumptions'!$J$136</x:f>
        <x:v>200</x:v>
      </x:c>
      <x:c r="Z114" s="10" t="n">
        <x:f>'Assumptions'!$AB$136</x:f>
        <x:v>20</x:v>
      </x:c>
      <x:c r="AA114" s="10" t="n">
        <x:f>Z114*'Assumptions'!$AC$136*'Assumptions'!$D$11*(1+'Assumptions'!$D$13)^(1-1)</x:f>
        <x:v>1000</x:v>
      </x:c>
      <x:c r="AB114" s="10" t="n">
        <x:f>F114/1</x:f>
        <x:v>120</x:v>
      </x:c>
      <x:c r="AC114" s="10" t="n">
        <x:f>AB114/'Assumptions'!$AM$136</x:f>
        <x:v>1200</x:v>
      </x:c>
      <x:c r="AD114" s="10" t="n">
        <x:f>IF(AB114=0,0,T114/AB114)</x:f>
        <x:v>1.9400000000000002</x:v>
      </x:c>
      <x:c r="AE114" s="10" t="n">
        <x:f>AA114*'Assumptions'!$D$21</x:f>
        <x:v>0</x:v>
      </x:c>
    </x:row>
    <x:row r="115" ht="16" customHeight="1">
      <x:c r="A115" s="1"/>
      <x:c r="B115" s="1"/>
      <x:c r="C115" s="1" t="str">
        <x:v>DOT-108</x:v>
      </x:c>
      <x:c r="D115" s="10" t="str">
        <x:v>QzoticMusic</x:v>
      </x:c>
      <x:c r="E115" s="10" t="n">
        <x:v>1</x:v>
      </x:c>
      <x:c r="F115" s="21" t="n">
        <x:f>'Assumptions'!$I$137*'Assumptions'!$J$137/12*'Assumptions'!$D$9*'Assumptions'!$D$8</x:f>
        <x:v>6</x:v>
      </x:c>
      <x:c r="G115" s="21" t="n">
        <x:f>0</x:f>
        <x:v>0</x:v>
      </x:c>
      <x:c r="H115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115+G115,NA())</x:f>
        <x:v>6</x:v>
      </x:c>
      <x:c r="I115" s="22" t="n">
        <x:f>'Assumptions'!$H$137*IF('Assumptions'!$O$137=1,1,'Assumptions'!$D$10)*(1+'Assumptions'!$N$137)^(1-1)</x:f>
        <x:v>250</x:v>
      </x:c>
      <x:c r="J115" s="10" t="n">
        <x:f>H115*I115</x:f>
        <x:v>1500</x:v>
      </x:c>
      <x:c r="K115" s="10" t="n">
        <x:f>J115*'Assumptions'!$T$137</x:f>
        <x:v>1500</x:v>
      </x:c>
      <x:c r="L115" s="10" t="n">
        <x:f>K115*'Assumptions'!$U$137</x:f>
        <x:v>45</x:v>
      </x:c>
      <x:c r="M115" s="10" t="n">
        <x:f>K115*'Assumptions'!$V$137</x:f>
        <x:v>0</x:v>
      </x:c>
      <x:c r="N115" s="10" t="n">
        <x:f>K115-L115-M115</x:f>
        <x:v>1455</x:v>
      </x:c>
      <x:c r="O115" s="10" t="n">
        <x:f>H115*'Assumptions'!$P$137*'Assumptions'!$Q$137*'Assumptions'!$D$11*(1+'Assumptions'!$D$13)^(1-1)</x:f>
        <x:v>480</x:v>
      </x:c>
      <x:c r="P115" s="10" t="n">
        <x:f>H115*'Assumptions'!$R$137*'Assumptions'!$D$11*(1+'Assumptions'!$D$13)^(1-1)</x:f>
        <x:v>0</x:v>
      </x:c>
      <x:c r="Q115" s="10" t="n">
        <x:f>J115*'Assumptions'!$S$137</x:f>
        <x:v>0</x:v>
      </x:c>
      <x:c r="R115" s="10" t="n">
        <x:f>H115*'Assumptions'!$Y$137*'Assumptions'!$Z$137*'Assumptions'!$D$11*(1+'Assumptions'!$D$13)^(1-1)</x:f>
        <x:v>90</x:v>
      </x:c>
      <x:c r="S115" s="10" t="n">
        <x:f>IF(I115=0,0,J115*'Assumptions'!$W$137+H115*'Assumptions'!$X$137)</x:f>
        <x:v>45.3</x:v>
      </x:c>
      <x:c r="T115" s="10" t="n">
        <x:f>N115*'Assumptions'!$AA$137</x:f>
        <x:v>116.4</x:v>
      </x:c>
      <x:c r="U115" s="10" t="n">
        <x:f>'Assumptions'!$AE$137*'Assumptions'!$D$11*(1+'Assumptions'!$D$13)^(1-1)</x:f>
        <x:v>0</x:v>
      </x:c>
      <x:c r="V115" s="10" t="n">
        <x:f>'Assumptions'!$AD$137*'Assumptions'!$D$11</x:f>
        <x:v>0</x:v>
      </x:c>
      <x:c r="W115" s="10" t="n">
        <x:f>H115*('Assumptions'!$P$137+'Assumptions'!$Y$137)</x:f>
        <x:v>15</x:v>
      </x:c>
      <x:c r="X115" s="10" t="n">
        <x:f>N115/'Assumptions'!$J$137*'Assumptions'!$AF$137</x:f>
        <x:v>242.5</x:v>
      </x:c>
      <x:c r="Y115" s="10" t="n">
        <x:f>P115/'Assumptions'!$J$137</x:f>
        <x:v>0</x:v>
      </x:c>
      <x:c r="Z115" s="10" t="n">
        <x:f>'Assumptions'!$AB$137</x:f>
        <x:v>8</x:v>
      </x:c>
      <x:c r="AA115" s="10" t="n">
        <x:f>Z115*'Assumptions'!$AC$137*'Assumptions'!$D$11*(1+'Assumptions'!$D$13)^(1-1)</x:f>
        <x:v>400</x:v>
      </x:c>
      <x:c r="AB115" s="10" t="n">
        <x:f>F115/1</x:f>
        <x:v>6</x:v>
      </x:c>
      <x:c r="AC115" s="10" t="n">
        <x:f>AB115/'Assumptions'!$AM$137</x:f>
        <x:v>60</x:v>
      </x:c>
      <x:c r="AD115" s="10" t="n">
        <x:f>IF(AB115=0,0,T115/AB115)</x:f>
        <x:v>19.400000000000002</x:v>
      </x:c>
      <x:c r="AE115" s="10" t="n">
        <x:f>AA115*'Assumptions'!$D$21</x:f>
        <x:v>0</x:v>
      </x:c>
    </x:row>
    <x:row r="116" ht="16" customHeight="1">
      <x:c r="A116" s="1"/>
      <x:c r="B116" s="1"/>
      <x:c r="C116" s="1" t="str">
        <x:v>DOT-109</x:v>
      </x:c>
      <x:c r="D116" s="10" t="str">
        <x:v>LesPetitFilms</x:v>
      </x:c>
      <x:c r="E116" s="10" t="n">
        <x:v>1</x:v>
      </x:c>
      <x:c r="F116" s="21" t="n">
        <x:f>'Assumptions'!$I$138*'Assumptions'!$J$138/12*'Assumptions'!$D$9*'Assumptions'!$D$8</x:f>
        <x:v>4</x:v>
      </x:c>
      <x:c r="G116" s="21" t="n">
        <x:f>0</x:f>
        <x:v>0</x:v>
      </x:c>
      <x:c r="H116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116+G116,NA())</x:f>
        <x:v>4</x:v>
      </x:c>
      <x:c r="I116" s="22" t="n">
        <x:f>'Assumptions'!$H$138*IF('Assumptions'!$O$138=1,1,'Assumptions'!$D$10)*(1+'Assumptions'!$N$138)^(1-1)</x:f>
        <x:v>3500</x:v>
      </x:c>
      <x:c r="J116" s="10" t="n">
        <x:f>H116*I116</x:f>
        <x:v>14000</x:v>
      </x:c>
      <x:c r="K116" s="10" t="n">
        <x:f>J116*'Assumptions'!$T$138</x:f>
        <x:v>14000</x:v>
      </x:c>
      <x:c r="L116" s="10" t="n">
        <x:f>K116*'Assumptions'!$U$138</x:f>
        <x:v>420</x:v>
      </x:c>
      <x:c r="M116" s="10" t="n">
        <x:f>K116*'Assumptions'!$V$138</x:f>
        <x:v>0</x:v>
      </x:c>
      <x:c r="N116" s="10" t="n">
        <x:f>K116-L116-M116</x:f>
        <x:v>13580</x:v>
      </x:c>
      <x:c r="O116" s="10" t="n">
        <x:f>H116*'Assumptions'!$P$138*'Assumptions'!$Q$138*'Assumptions'!$D$11*(1+'Assumptions'!$D$13)^(1-1)</x:f>
        <x:v>4500</x:v>
      </x:c>
      <x:c r="P116" s="10" t="n">
        <x:f>H116*'Assumptions'!$R$138*'Assumptions'!$D$11*(1+'Assumptions'!$D$13)^(1-1)</x:f>
        <x:v>1400</x:v>
      </x:c>
      <x:c r="Q116" s="10" t="n">
        <x:f>J116*'Assumptions'!$S$138</x:f>
        <x:v>0</x:v>
      </x:c>
      <x:c r="R116" s="10" t="n">
        <x:f>H116*'Assumptions'!$Y$138*'Assumptions'!$Z$138*'Assumptions'!$D$11*(1+'Assumptions'!$D$13)^(1-1)</x:f>
        <x:v>60</x:v>
      </x:c>
      <x:c r="S116" s="10" t="n">
        <x:f>IF(I116=0,0,J116*'Assumptions'!$W$138+H116*'Assumptions'!$X$138)</x:f>
        <x:v>407.2</x:v>
      </x:c>
      <x:c r="T116" s="10" t="n">
        <x:f>N116*'Assumptions'!$AA$138</x:f>
        <x:v>1086.4</x:v>
      </x:c>
      <x:c r="U116" s="10" t="n">
        <x:f>'Assumptions'!$AE$138*'Assumptions'!$D$11*(1+'Assumptions'!$D$13)^(1-1)</x:f>
        <x:v>0</x:v>
      </x:c>
      <x:c r="V116" s="10" t="n">
        <x:f>'Assumptions'!$AD$138*'Assumptions'!$D$11</x:f>
        <x:v>0</x:v>
      </x:c>
      <x:c r="W116" s="10" t="n">
        <x:f>H116*('Assumptions'!$P$138+'Assumptions'!$Y$138)</x:f>
        <x:v>102</x:v>
      </x:c>
      <x:c r="X116" s="10" t="n">
        <x:f>N116/'Assumptions'!$J$138*'Assumptions'!$AF$138</x:f>
        <x:v>2263.3333333333335</x:v>
      </x:c>
      <x:c r="Y116" s="10" t="n">
        <x:f>P116/'Assumptions'!$J$138</x:f>
        <x:v>233.33333333333334</x:v>
      </x:c>
      <x:c r="Z116" s="10" t="n">
        <x:f>'Assumptions'!$AB$138</x:f>
        <x:v>20</x:v>
      </x:c>
      <x:c r="AA116" s="10" t="n">
        <x:f>Z116*'Assumptions'!$AC$138*'Assumptions'!$D$11*(1+'Assumptions'!$D$13)^(1-1)</x:f>
        <x:v>1000</x:v>
      </x:c>
      <x:c r="AB116" s="10" t="n">
        <x:f>F116/1</x:f>
        <x:v>4</x:v>
      </x:c>
      <x:c r="AC116" s="10" t="n">
        <x:f>AB116/'Assumptions'!$AM$138</x:f>
        <x:v>40</x:v>
      </x:c>
      <x:c r="AD116" s="10" t="n">
        <x:f>IF(AB116=0,0,T116/AB116)</x:f>
        <x:v>271.6</x:v>
      </x:c>
      <x:c r="AE116" s="10" t="n">
        <x:f>AA116*'Assumptions'!$D$21</x:f>
        <x:v>0</x:v>
      </x:c>
    </x:row>
    <x:row r="117" ht="16" customHeight="1">
      <x:c r="A117" s="1"/>
      <x:c r="B117" s="1"/>
      <x:c r="C117" s="1" t="str">
        <x:v>DOT-110</x:v>
      </x:c>
      <x:c r="D117" s="10" t="str">
        <x:v>LesPetitFilms</x:v>
      </x:c>
      <x:c r="E117" s="10" t="n">
        <x:v>1</x:v>
      </x:c>
      <x:c r="F117" s="21" t="n">
        <x:f>'Assumptions'!$I$139*'Assumptions'!$J$139/12*'Assumptions'!$D$9*'Assumptions'!$D$8</x:f>
        <x:v>4</x:v>
      </x:c>
      <x:c r="G117" s="21" t="n">
        <x:f>0</x:f>
        <x:v>0</x:v>
      </x:c>
      <x:c r="H117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117+G117,NA())</x:f>
        <x:v>4</x:v>
      </x:c>
      <x:c r="I117" s="22" t="n">
        <x:f>'Assumptions'!$H$139*IF('Assumptions'!$O$139=1,1,'Assumptions'!$D$10)*(1+'Assumptions'!$N$139)^(1-1)</x:f>
        <x:v>1500</x:v>
      </x:c>
      <x:c r="J117" s="10" t="n">
        <x:f>H117*I117</x:f>
        <x:v>6000</x:v>
      </x:c>
      <x:c r="K117" s="10" t="n">
        <x:f>J117*'Assumptions'!$T$139</x:f>
        <x:v>6000</x:v>
      </x:c>
      <x:c r="L117" s="10" t="n">
        <x:f>K117*'Assumptions'!$U$139</x:f>
        <x:v>180</x:v>
      </x:c>
      <x:c r="M117" s="10" t="n">
        <x:f>K117*'Assumptions'!$V$139</x:f>
        <x:v>0</x:v>
      </x:c>
      <x:c r="N117" s="10" t="n">
        <x:f>K117-L117-M117</x:f>
        <x:v>5820</x:v>
      </x:c>
      <x:c r="O117" s="10" t="n">
        <x:f>H117*'Assumptions'!$P$139*'Assumptions'!$Q$139*'Assumptions'!$D$11*(1+'Assumptions'!$D$13)^(1-1)</x:f>
        <x:v>1800</x:v>
      </x:c>
      <x:c r="P117" s="10" t="n">
        <x:f>H117*'Assumptions'!$R$139*'Assumptions'!$D$11*(1+'Assumptions'!$D$13)^(1-1)</x:f>
        <x:v>800</x:v>
      </x:c>
      <x:c r="Q117" s="10" t="n">
        <x:f>J117*'Assumptions'!$S$139</x:f>
        <x:v>0</x:v>
      </x:c>
      <x:c r="R117" s="10" t="n">
        <x:f>H117*'Assumptions'!$Y$139*'Assumptions'!$Z$139*'Assumptions'!$D$11*(1+'Assumptions'!$D$13)^(1-1)</x:f>
        <x:v>60</x:v>
      </x:c>
      <x:c r="S117" s="10" t="n">
        <x:f>IF(I117=0,0,J117*'Assumptions'!$W$139+H117*'Assumptions'!$X$139)</x:f>
        <x:v>175.2</x:v>
      </x:c>
      <x:c r="T117" s="10" t="n">
        <x:f>N117*'Assumptions'!$AA$139</x:f>
        <x:v>465.6</x:v>
      </x:c>
      <x:c r="U117" s="10" t="n">
        <x:f>'Assumptions'!$AE$139*'Assumptions'!$D$11*(1+'Assumptions'!$D$13)^(1-1)</x:f>
        <x:v>0</x:v>
      </x:c>
      <x:c r="V117" s="10" t="n">
        <x:f>'Assumptions'!$AD$139*'Assumptions'!$D$11</x:f>
        <x:v>0</x:v>
      </x:c>
      <x:c r="W117" s="10" t="n">
        <x:f>H117*('Assumptions'!$P$139+'Assumptions'!$Y$139)</x:f>
        <x:v>42</x:v>
      </x:c>
      <x:c r="X117" s="10" t="n">
        <x:f>N117/'Assumptions'!$J$139*'Assumptions'!$AF$139</x:f>
        <x:v>970</x:v>
      </x:c>
      <x:c r="Y117" s="10" t="n">
        <x:f>P117/'Assumptions'!$J$139</x:f>
        <x:v>133.33333333333334</x:v>
      </x:c>
      <x:c r="Z117" s="10" t="n">
        <x:f>'Assumptions'!$AB$139</x:f>
        <x:v>20</x:v>
      </x:c>
      <x:c r="AA117" s="10" t="n">
        <x:f>Z117*'Assumptions'!$AC$139*'Assumptions'!$D$11*(1+'Assumptions'!$D$13)^(1-1)</x:f>
        <x:v>1000</x:v>
      </x:c>
      <x:c r="AB117" s="10" t="n">
        <x:f>F117/1</x:f>
        <x:v>4</x:v>
      </x:c>
      <x:c r="AC117" s="10" t="n">
        <x:f>AB117/'Assumptions'!$AM$139</x:f>
        <x:v>40</x:v>
      </x:c>
      <x:c r="AD117" s="10" t="n">
        <x:f>IF(AB117=0,0,T117/AB117)</x:f>
        <x:v>116.4</x:v>
      </x:c>
      <x:c r="AE117" s="10" t="n">
        <x:f>AA117*'Assumptions'!$D$21</x:f>
        <x:v>0</x:v>
      </x:c>
    </x:row>
    <x:row r="118" ht="16" customHeight="1">
      <x:c r="A118" s="1"/>
      <x:c r="B118" s="1"/>
      <x:c r="C118" s="1" t="str">
        <x:v>DOT-111</x:v>
      </x:c>
      <x:c r="D118" s="10" t="str">
        <x:v>LesPetitFilms</x:v>
      </x:c>
      <x:c r="E118" s="10" t="n">
        <x:v>1</x:v>
      </x:c>
      <x:c r="F118" s="21" t="n">
        <x:f>'Assumptions'!$I$140*'Assumptions'!$J$140/12*'Assumptions'!$D$9*'Assumptions'!$D$8</x:f>
        <x:v>6</x:v>
      </x:c>
      <x:c r="G118" s="21" t="n">
        <x:f>0</x:f>
        <x:v>0</x:v>
      </x:c>
      <x:c r="H118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118+G118,NA())</x:f>
        <x:v>6</x:v>
      </x:c>
      <x:c r="I118" s="22" t="n">
        <x:f>'Assumptions'!$H$140*IF('Assumptions'!$O$140=1,1,'Assumptions'!$D$10)*(1+'Assumptions'!$N$140)^(1-1)</x:f>
        <x:v>500</x:v>
      </x:c>
      <x:c r="J118" s="10" t="n">
        <x:f>H118*I118</x:f>
        <x:v>3000</x:v>
      </x:c>
      <x:c r="K118" s="10" t="n">
        <x:f>J118*'Assumptions'!$T$140</x:f>
        <x:v>3000</x:v>
      </x:c>
      <x:c r="L118" s="10" t="n">
        <x:f>K118*'Assumptions'!$U$140</x:f>
        <x:v>90</x:v>
      </x:c>
      <x:c r="M118" s="10" t="n">
        <x:f>K118*'Assumptions'!$V$140</x:f>
        <x:v>0</x:v>
      </x:c>
      <x:c r="N118" s="10" t="n">
        <x:f>K118-L118-M118</x:f>
        <x:v>2910</x:v>
      </x:c>
      <x:c r="O118" s="10" t="n">
        <x:f>H118*'Assumptions'!$P$140*'Assumptions'!$Q$140*'Assumptions'!$D$11*(1+'Assumptions'!$D$13)^(1-1)</x:f>
        <x:v>720</x:v>
      </x:c>
      <x:c r="P118" s="10" t="n">
        <x:f>H118*'Assumptions'!$R$140*'Assumptions'!$D$11*(1+'Assumptions'!$D$13)^(1-1)</x:f>
        <x:v>300</x:v>
      </x:c>
      <x:c r="Q118" s="10" t="n">
        <x:f>J118*'Assumptions'!$S$140</x:f>
        <x:v>0</x:v>
      </x:c>
      <x:c r="R118" s="10" t="n">
        <x:f>H118*'Assumptions'!$Y$140*'Assumptions'!$Z$140*'Assumptions'!$D$11*(1+'Assumptions'!$D$13)^(1-1)</x:f>
        <x:v>90</x:v>
      </x:c>
      <x:c r="S118" s="10" t="n">
        <x:f>IF(I118=0,0,J118*'Assumptions'!$W$140+H118*'Assumptions'!$X$140)</x:f>
        <x:v>88.8</x:v>
      </x:c>
      <x:c r="T118" s="10" t="n">
        <x:f>N118*'Assumptions'!$AA$140</x:f>
        <x:v>232.8</x:v>
      </x:c>
      <x:c r="U118" s="10" t="n">
        <x:f>'Assumptions'!$AE$140*'Assumptions'!$D$11*(1+'Assumptions'!$D$13)^(1-1)</x:f>
        <x:v>0</x:v>
      </x:c>
      <x:c r="V118" s="10" t="n">
        <x:f>'Assumptions'!$AD$140*'Assumptions'!$D$11</x:f>
        <x:v>0</x:v>
      </x:c>
      <x:c r="W118" s="10" t="n">
        <x:f>H118*('Assumptions'!$P$140+'Assumptions'!$Y$140)</x:f>
        <x:v>21</x:v>
      </x:c>
      <x:c r="X118" s="10" t="n">
        <x:f>N118/'Assumptions'!$J$140*'Assumptions'!$AF$140</x:f>
        <x:v>485</x:v>
      </x:c>
      <x:c r="Y118" s="10" t="n">
        <x:f>P118/'Assumptions'!$J$140</x:f>
        <x:v>50</x:v>
      </x:c>
      <x:c r="Z118" s="10" t="n">
        <x:f>'Assumptions'!$AB$140</x:f>
        <x:v>20</x:v>
      </x:c>
      <x:c r="AA118" s="10" t="n">
        <x:f>Z118*'Assumptions'!$AC$140*'Assumptions'!$D$11*(1+'Assumptions'!$D$13)^(1-1)</x:f>
        <x:v>1000</x:v>
      </x:c>
      <x:c r="AB118" s="10" t="n">
        <x:f>F118/1</x:f>
        <x:v>6</x:v>
      </x:c>
      <x:c r="AC118" s="10" t="n">
        <x:f>AB118/'Assumptions'!$AM$140</x:f>
        <x:v>60</x:v>
      </x:c>
      <x:c r="AD118" s="10" t="n">
        <x:f>IF(AB118=0,0,T118/AB118)</x:f>
        <x:v>38.800000000000004</x:v>
      </x:c>
      <x:c r="AE118" s="10" t="n">
        <x:f>AA118*'Assumptions'!$D$21</x:f>
        <x:v>0</x:v>
      </x:c>
    </x:row>
    <x:row r="119" ht="16" customHeight="1">
      <x:c r="A119" s="1"/>
      <x:c r="B119" s="1"/>
      <x:c r="C119" s="1" t="str">
        <x:v>DOT-112</x:v>
      </x:c>
      <x:c r="D119" s="10" t="str">
        <x:v>Learn Anglais</x:v>
      </x:c>
      <x:c r="E119" s="10" t="n">
        <x:v>1</x:v>
      </x:c>
      <x:c r="F119" s="21" t="n">
        <x:f>'Assumptions'!$I$141*'Assumptions'!$J$141/12*'Assumptions'!$D$9*'Assumptions'!$D$8</x:f>
        <x:v>450</x:v>
      </x:c>
      <x:c r="G119" s="21" t="n">
        <x:f>0</x:f>
        <x:v>0</x:v>
      </x:c>
      <x:c r="H119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119+G119,NA())</x:f>
        <x:v>450</x:v>
      </x:c>
      <x:c r="I119" s="22" t="n">
        <x:f>'Assumptions'!$H$141*IF('Assumptions'!$O$141=1,1,'Assumptions'!$D$10)*(1+'Assumptions'!$N$141)^(1-1)</x:f>
        <x:v>45</x:v>
      </x:c>
      <x:c r="J119" s="10" t="n">
        <x:f>H119*I119</x:f>
        <x:v>20250</x:v>
      </x:c>
      <x:c r="K119" s="10" t="n">
        <x:f>J119*'Assumptions'!$T$141</x:f>
        <x:v>6750</x:v>
      </x:c>
      <x:c r="L119" s="10" t="n">
        <x:f>K119*'Assumptions'!$U$141</x:f>
        <x:v>202.5</x:v>
      </x:c>
      <x:c r="M119" s="10" t="n">
        <x:f>K119*'Assumptions'!$V$141</x:f>
        <x:v>0</x:v>
      </x:c>
      <x:c r="N119" s="10" t="n">
        <x:f>K119-L119-M119</x:f>
        <x:v>6547.5</x:v>
      </x:c>
      <x:c r="O119" s="10" t="n">
        <x:f>H119*'Assumptions'!$P$141*'Assumptions'!$Q$141*'Assumptions'!$D$11*(1+'Assumptions'!$D$13)^(1-1)</x:f>
        <x:v>1575</x:v>
      </x:c>
      <x:c r="P119" s="10" t="n">
        <x:f>H119*'Assumptions'!$R$141*'Assumptions'!$D$11*(1+'Assumptions'!$D$13)^(1-1)</x:f>
        <x:v>0</x:v>
      </x:c>
      <x:c r="Q119" s="10" t="n">
        <x:f>J119*'Assumptions'!$S$141</x:f>
        <x:v>0</x:v>
      </x:c>
      <x:c r="R119" s="10" t="n">
        <x:f>H119*'Assumptions'!$Y$141*'Assumptions'!$Z$141*'Assumptions'!$D$11*(1+'Assumptions'!$D$13)^(1-1)</x:f>
        <x:v>2025</x:v>
      </x:c>
      <x:c r="S119" s="10" t="n">
        <x:f>IF(I119=0,0,J119*'Assumptions'!$W$141+H119*'Assumptions'!$X$141)</x:f>
        <x:v>722.25</x:v>
      </x:c>
      <x:c r="T119" s="10" t="n">
        <x:f>N119*'Assumptions'!$AA$141</x:f>
        <x:v>327.375</x:v>
      </x:c>
      <x:c r="U119" s="10" t="n">
        <x:f>'Assumptions'!$AE$141*'Assumptions'!$D$11*(1+'Assumptions'!$D$13)^(1-1)</x:f>
        <x:v>0</x:v>
      </x:c>
      <x:c r="V119" s="10" t="n">
        <x:f>'Assumptions'!$AD$141*'Assumptions'!$D$11</x:f>
        <x:v>0</x:v>
      </x:c>
      <x:c r="W119" s="10" t="n">
        <x:f>H119*('Assumptions'!$P$141+'Assumptions'!$Y$141)</x:f>
        <x:v>112.5</x:v>
      </x:c>
      <x:c r="X119" s="10" t="n">
        <x:f>N119/'Assumptions'!$J$141*'Assumptions'!$AF$141</x:f>
        <x:v>0</x:v>
      </x:c>
      <x:c r="Y119" s="10" t="n">
        <x:f>P119/'Assumptions'!$J$141</x:f>
        <x:v>0</x:v>
      </x:c>
      <x:c r="Z119" s="10" t="n">
        <x:f>'Assumptions'!$AB$141</x:f>
        <x:v>16</x:v>
      </x:c>
      <x:c r="AA119" s="10" t="n">
        <x:f>Z119*'Assumptions'!$AC$141*'Assumptions'!$D$11*(1+'Assumptions'!$D$13)^(1-1)</x:f>
        <x:v>800</x:v>
      </x:c>
      <x:c r="AB119" s="10" t="n">
        <x:f>F119/1</x:f>
        <x:v>450</x:v>
      </x:c>
      <x:c r="AC119" s="10" t="n">
        <x:f>AB119/'Assumptions'!$AM$141</x:f>
        <x:v>9000</x:v>
      </x:c>
      <x:c r="AD119" s="10" t="n">
        <x:f>IF(AB119=0,0,T119/AB119)</x:f>
        <x:v>0.7275</x:v>
      </x:c>
      <x:c r="AE119" s="10" t="n">
        <x:f>AA119*'Assumptions'!$D$21</x:f>
        <x:v>0</x:v>
      </x:c>
    </x:row>
    <x:row r="120" ht="16" customHeight="1">
      <x:c r="A120" s="1"/>
      <x:c r="B120" s="1"/>
      <x:c r="C120" s="1" t="str">
        <x:v>DOT-113</x:v>
      </x:c>
      <x:c r="D120" s="10" t="str">
        <x:v>Learn Anglais</x:v>
      </x:c>
      <x:c r="E120" s="10" t="n">
        <x:v>1</x:v>
      </x:c>
      <x:c r="F120" s="21" t="n">
        <x:f>'Assumptions'!$I$142*'Assumptions'!$J$142/12*'Assumptions'!$D$9*'Assumptions'!$D$8</x:f>
        <x:v>270</x:v>
      </x:c>
      <x:c r="G120" s="21" t="n">
        <x:f>0</x:f>
        <x:v>0</x:v>
      </x:c>
      <x:c r="H120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120+G120,NA())</x:f>
        <x:v>270</x:v>
      </x:c>
      <x:c r="I120" s="22" t="n">
        <x:f>'Assumptions'!$H$142*IF('Assumptions'!$O$142=1,1,'Assumptions'!$D$10)*(1+'Assumptions'!$N$142)^(1-1)</x:f>
        <x:v>85</x:v>
      </x:c>
      <x:c r="J120" s="10" t="n">
        <x:f>H120*I120</x:f>
        <x:v>22950</x:v>
      </x:c>
      <x:c r="K120" s="10" t="n">
        <x:f>J120*'Assumptions'!$T$142</x:f>
        <x:v>6885</x:v>
      </x:c>
      <x:c r="L120" s="10" t="n">
        <x:f>K120*'Assumptions'!$U$142</x:f>
        <x:v>206.54999999999998</x:v>
      </x:c>
      <x:c r="M120" s="10" t="n">
        <x:f>K120*'Assumptions'!$V$142</x:f>
        <x:v>0</x:v>
      </x:c>
      <x:c r="N120" s="10" t="n">
        <x:f>K120-L120-M120</x:f>
        <x:v>6678.45</x:v>
      </x:c>
      <x:c r="O120" s="10" t="n">
        <x:f>H120*'Assumptions'!$P$142*'Assumptions'!$Q$142*'Assumptions'!$D$11*(1+'Assumptions'!$D$13)^(1-1)</x:f>
        <x:v>945</x:v>
      </x:c>
      <x:c r="P120" s="10" t="n">
        <x:f>H120*'Assumptions'!$R$142*'Assumptions'!$D$11*(1+'Assumptions'!$D$13)^(1-1)</x:f>
        <x:v>0</x:v>
      </x:c>
      <x:c r="Q120" s="10" t="n">
        <x:f>J120*'Assumptions'!$S$142</x:f>
        <x:v>0</x:v>
      </x:c>
      <x:c r="R120" s="10" t="n">
        <x:f>H120*'Assumptions'!$Y$142*'Assumptions'!$Z$142*'Assumptions'!$D$11*(1+'Assumptions'!$D$13)^(1-1)</x:f>
        <x:v>1215</x:v>
      </x:c>
      <x:c r="S120" s="10" t="n">
        <x:f>IF(I120=0,0,J120*'Assumptions'!$W$142+H120*'Assumptions'!$X$142)</x:f>
        <x:v>746.5500000000001</x:v>
      </x:c>
      <x:c r="T120" s="10" t="n">
        <x:f>N120*'Assumptions'!$AA$142</x:f>
        <x:v>333.9225</x:v>
      </x:c>
      <x:c r="U120" s="10" t="n">
        <x:f>'Assumptions'!$AE$142*'Assumptions'!$D$11*(1+'Assumptions'!$D$13)^(1-1)</x:f>
        <x:v>0</x:v>
      </x:c>
      <x:c r="V120" s="10" t="n">
        <x:f>'Assumptions'!$AD$142*'Assumptions'!$D$11</x:f>
        <x:v>0</x:v>
      </x:c>
      <x:c r="W120" s="10" t="n">
        <x:f>H120*('Assumptions'!$P$142+'Assumptions'!$Y$142)</x:f>
        <x:v>67.5</x:v>
      </x:c>
      <x:c r="X120" s="10" t="n">
        <x:f>N120/'Assumptions'!$J$142*'Assumptions'!$AF$142</x:f>
        <x:v>0</x:v>
      </x:c>
      <x:c r="Y120" s="10" t="n">
        <x:f>P120/'Assumptions'!$J$142</x:f>
        <x:v>0</x:v>
      </x:c>
      <x:c r="Z120" s="10" t="n">
        <x:f>'Assumptions'!$AB$142</x:f>
        <x:v>12</x:v>
      </x:c>
      <x:c r="AA120" s="10" t="n">
        <x:f>Z120*'Assumptions'!$AC$142*'Assumptions'!$D$11*(1+'Assumptions'!$D$13)^(1-1)</x:f>
        <x:v>600</x:v>
      </x:c>
      <x:c r="AB120" s="10" t="n">
        <x:f>F120/1</x:f>
        <x:v>270</x:v>
      </x:c>
      <x:c r="AC120" s="10" t="n">
        <x:f>AB120/'Assumptions'!$AM$142</x:f>
        <x:v>5400</x:v>
      </x:c>
      <x:c r="AD120" s="10" t="n">
        <x:f>IF(AB120=0,0,T120/AB120)</x:f>
        <x:v>1.23675</x:v>
      </x:c>
      <x:c r="AE120" s="10" t="n">
        <x:f>AA120*'Assumptions'!$D$21</x:f>
        <x:v>0</x:v>
      </x:c>
    </x:row>
    <x:row r="121" ht="16" customHeight="1">
      <x:c r="A121" s="1"/>
      <x:c r="B121" s="1"/>
      <x:c r="C121" s="1" t="str">
        <x:v>DOT-114</x:v>
      </x:c>
      <x:c r="D121" s="10" t="str">
        <x:v>Learn Anglais</x:v>
      </x:c>
      <x:c r="E121" s="10" t="n">
        <x:v>1</x:v>
      </x:c>
      <x:c r="F121" s="21" t="n">
        <x:f>'Assumptions'!$I$143*'Assumptions'!$J$143/12*'Assumptions'!$D$9*'Assumptions'!$D$8</x:f>
        <x:v>180</x:v>
      </x:c>
      <x:c r="G121" s="21" t="n">
        <x:f>0</x:f>
        <x:v>0</x:v>
      </x:c>
      <x:c r="H121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121+G121,NA())</x:f>
        <x:v>180</x:v>
      </x:c>
      <x:c r="I121" s="22" t="n">
        <x:f>'Assumptions'!$H$143*IF('Assumptions'!$O$143=1,1,'Assumptions'!$D$10)*(1+'Assumptions'!$N$143)^(1-1)</x:f>
        <x:v>29</x:v>
      </x:c>
      <x:c r="J121" s="10" t="n">
        <x:f>H121*I121</x:f>
        <x:v>5220</x:v>
      </x:c>
      <x:c r="K121" s="10" t="n">
        <x:f>J121*'Assumptions'!$T$143</x:f>
        <x:v>5220</x:v>
      </x:c>
      <x:c r="L121" s="10" t="n">
        <x:f>K121*'Assumptions'!$U$143</x:f>
        <x:v>156.6</x:v>
      </x:c>
      <x:c r="M121" s="10" t="n">
        <x:f>K121*'Assumptions'!$V$143</x:f>
        <x:v>0</x:v>
      </x:c>
      <x:c r="N121" s="10" t="n">
        <x:f>K121-L121-M121</x:f>
        <x:v>5063.4</x:v>
      </x:c>
      <x:c r="O121" s="10" t="n">
        <x:f>H121*'Assumptions'!$P$143*'Assumptions'!$Q$143*'Assumptions'!$D$11*(1+'Assumptions'!$D$13)^(1-1)</x:f>
        <x:v>945</x:v>
      </x:c>
      <x:c r="P121" s="10" t="n">
        <x:f>H121*'Assumptions'!$R$143*'Assumptions'!$D$11*(1+'Assumptions'!$D$13)^(1-1)</x:f>
        <x:v>0</x:v>
      </x:c>
      <x:c r="Q121" s="10" t="n">
        <x:f>J121*'Assumptions'!$S$143</x:f>
        <x:v>0</x:v>
      </x:c>
      <x:c r="R121" s="10" t="n">
        <x:f>H121*'Assumptions'!$Y$143*'Assumptions'!$Z$143*'Assumptions'!$D$11*(1+'Assumptions'!$D$13)^(1-1)</x:f>
        <x:v>540</x:v>
      </x:c>
      <x:c r="S121" s="10" t="n">
        <x:f>IF(I121=0,0,J121*'Assumptions'!$W$143+H121*'Assumptions'!$X$143)</x:f>
        <x:v>205.38</x:v>
      </x:c>
      <x:c r="T121" s="10" t="n">
        <x:f>N121*'Assumptions'!$AA$143</x:f>
        <x:v>253.17</x:v>
      </x:c>
      <x:c r="U121" s="10" t="n">
        <x:f>'Assumptions'!$AE$143*'Assumptions'!$D$11*(1+'Assumptions'!$D$13)^(1-1)</x:f>
        <x:v>0</x:v>
      </x:c>
      <x:c r="V121" s="10" t="n">
        <x:f>'Assumptions'!$AD$143*'Assumptions'!$D$11</x:f>
        <x:v>0</x:v>
      </x:c>
      <x:c r="W121" s="10" t="n">
        <x:f>H121*('Assumptions'!$P$143+'Assumptions'!$Y$143)</x:f>
        <x:v>45</x:v>
      </x:c>
      <x:c r="X121" s="10" t="n">
        <x:f>N121/'Assumptions'!$J$143*'Assumptions'!$AF$143</x:f>
        <x:v>0</x:v>
      </x:c>
      <x:c r="Y121" s="10" t="n">
        <x:f>P121/'Assumptions'!$J$143</x:f>
        <x:v>0</x:v>
      </x:c>
      <x:c r="Z121" s="10" t="n">
        <x:f>'Assumptions'!$AB$143</x:f>
        <x:v>30</x:v>
      </x:c>
      <x:c r="AA121" s="10" t="n">
        <x:f>Z121*'Assumptions'!$AC$143*'Assumptions'!$D$11*(1+'Assumptions'!$D$13)^(1-1)</x:f>
        <x:v>1500</x:v>
      </x:c>
      <x:c r="AB121" s="10" t="n">
        <x:f>F121/1</x:f>
        <x:v>180</x:v>
      </x:c>
      <x:c r="AC121" s="10" t="n">
        <x:f>AB121/'Assumptions'!$AM$143</x:f>
        <x:v>3600</x:v>
      </x:c>
      <x:c r="AD121" s="10" t="n">
        <x:f>IF(AB121=0,0,T121/AB121)</x:f>
        <x:v>1.4064999999999999</x:v>
      </x:c>
      <x:c r="AE121" s="10" t="n">
        <x:f>AA121*'Assumptions'!$D$21</x:f>
        <x:v>0</x:v>
      </x:c>
    </x:row>
    <x:row r="122" ht="16" customHeight="1">
      <x:c r="A122" s="1"/>
      <x:c r="B122" s="1"/>
      <x:c r="C122" s="1" t="str">
        <x:v>DOT-115</x:v>
      </x:c>
      <x:c r="D122" s="10" t="str">
        <x:v>Learn Anglais</x:v>
      </x:c>
      <x:c r="E122" s="10" t="n">
        <x:v>1</x:v>
      </x:c>
      <x:c r="F122" s="21" t="n">
        <x:f>'Assumptions'!$I$144*'Assumptions'!$J$144/12*'Assumptions'!$D$9*'Assumptions'!$D$8</x:f>
        <x:v>120</x:v>
      </x:c>
      <x:c r="G122" s="21" t="n">
        <x:f>0</x:f>
        <x:v>0</x:v>
      </x:c>
      <x:c r="H122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122+G122,NA())</x:f>
        <x:v>120</x:v>
      </x:c>
      <x:c r="I122" s="22" t="n">
        <x:f>'Assumptions'!$H$144*IF('Assumptions'!$O$144=1,1,'Assumptions'!$D$10)*(1+'Assumptions'!$N$144)^(1-1)</x:f>
        <x:v>45</x:v>
      </x:c>
      <x:c r="J122" s="10" t="n">
        <x:f>H122*I122</x:f>
        <x:v>5400</x:v>
      </x:c>
      <x:c r="K122" s="10" t="n">
        <x:f>J122*'Assumptions'!$T$144</x:f>
        <x:v>1800</x:v>
      </x:c>
      <x:c r="L122" s="10" t="n">
        <x:f>K122*'Assumptions'!$U$144</x:f>
        <x:v>54</x:v>
      </x:c>
      <x:c r="M122" s="10" t="n">
        <x:f>K122*'Assumptions'!$V$144</x:f>
        <x:v>0</x:v>
      </x:c>
      <x:c r="N122" s="10" t="n">
        <x:f>K122-L122-M122</x:f>
        <x:v>1746</x:v>
      </x:c>
      <x:c r="O122" s="10" t="n">
        <x:f>H122*'Assumptions'!$P$144*'Assumptions'!$Q$144*'Assumptions'!$D$11*(1+'Assumptions'!$D$13)^(1-1)</x:f>
        <x:v>630</x:v>
      </x:c>
      <x:c r="P122" s="10" t="n">
        <x:f>H122*'Assumptions'!$R$144*'Assumptions'!$D$11*(1+'Assumptions'!$D$13)^(1-1)</x:f>
        <x:v>0</x:v>
      </x:c>
      <x:c r="Q122" s="10" t="n">
        <x:f>J122*'Assumptions'!$S$144</x:f>
        <x:v>0</x:v>
      </x:c>
      <x:c r="R122" s="10" t="n">
        <x:f>H122*'Assumptions'!$Y$144*'Assumptions'!$Z$144*'Assumptions'!$D$11*(1+'Assumptions'!$D$13)^(1-1)</x:f>
        <x:v>540</x:v>
      </x:c>
      <x:c r="S122" s="10" t="n">
        <x:f>IF(I122=0,0,J122*'Assumptions'!$W$144+H122*'Assumptions'!$X$144)</x:f>
        <x:v>192.6</x:v>
      </x:c>
      <x:c r="T122" s="10" t="n">
        <x:f>N122*'Assumptions'!$AA$144</x:f>
        <x:v>87.30000000000001</x:v>
      </x:c>
      <x:c r="U122" s="10" t="n">
        <x:f>'Assumptions'!$AE$144*'Assumptions'!$D$11*(1+'Assumptions'!$D$13)^(1-1)</x:f>
        <x:v>0</x:v>
      </x:c>
      <x:c r="V122" s="10" t="n">
        <x:f>'Assumptions'!$AD$144*'Assumptions'!$D$11</x:f>
        <x:v>0</x:v>
      </x:c>
      <x:c r="W122" s="10" t="n">
        <x:f>H122*('Assumptions'!$P$144+'Assumptions'!$Y$144)</x:f>
        <x:v>36</x:v>
      </x:c>
      <x:c r="X122" s="10" t="n">
        <x:f>N122/'Assumptions'!$J$144*'Assumptions'!$AF$144</x:f>
        <x:v>0</x:v>
      </x:c>
      <x:c r="Y122" s="10" t="n">
        <x:f>P122/'Assumptions'!$J$144</x:f>
        <x:v>0</x:v>
      </x:c>
      <x:c r="Z122" s="10" t="n">
        <x:f>'Assumptions'!$AB$144</x:f>
        <x:v>24</x:v>
      </x:c>
      <x:c r="AA122" s="10" t="n">
        <x:f>Z122*'Assumptions'!$AC$144*'Assumptions'!$D$11*(1+'Assumptions'!$D$13)^(1-1)</x:f>
        <x:v>1200</x:v>
      </x:c>
      <x:c r="AB122" s="10" t="n">
        <x:f>F122/1</x:f>
        <x:v>120</x:v>
      </x:c>
      <x:c r="AC122" s="10" t="n">
        <x:f>AB122/'Assumptions'!$AM$144</x:f>
        <x:v>2400</x:v>
      </x:c>
      <x:c r="AD122" s="10" t="n">
        <x:f>IF(AB122=0,0,T122/AB122)</x:f>
        <x:v>0.7275000000000001</x:v>
      </x:c>
      <x:c r="AE122" s="10" t="n">
        <x:f>AA122*'Assumptions'!$D$21</x:f>
        <x:v>0</x:v>
      </x:c>
    </x:row>
    <x:row r="123" ht="16" customHeight="1">
      <x:c r="A123" s="1"/>
      <x:c r="B123" s="1"/>
      <x:c r="C123" s="1" t="str">
        <x:v>DOT-116</x:v>
      </x:c>
      <x:c r="D123" s="10" t="str">
        <x:v>Fiefé</x:v>
      </x:c>
      <x:c r="E123" s="10" t="n">
        <x:v>1</x:v>
      </x:c>
      <x:c r="F123" s="21" t="n">
        <x:f>'Assumptions'!$I$145*'Assumptions'!$J$145/12*'Assumptions'!$D$9*'Assumptions'!$D$8</x:f>
        <x:v>24</x:v>
      </x:c>
      <x:c r="G123" s="21" t="n">
        <x:f>0</x:f>
        <x:v>0</x:v>
      </x:c>
      <x:c r="H123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123+G123,NA())</x:f>
        <x:v>24</x:v>
      </x:c>
      <x:c r="I123" s="22" t="n">
        <x:f>'Assumptions'!$H$145*IF('Assumptions'!$O$145=1,1,'Assumptions'!$D$10)*(1+'Assumptions'!$N$145)^(1-1)</x:f>
        <x:v>450</x:v>
      </x:c>
      <x:c r="J123" s="10" t="n">
        <x:f>H123*I123</x:f>
        <x:v>10800</x:v>
      </x:c>
      <x:c r="K123" s="10" t="n">
        <x:f>J123*'Assumptions'!$T$145</x:f>
        <x:v>10800</x:v>
      </x:c>
      <x:c r="L123" s="10" t="n">
        <x:f>K123*'Assumptions'!$U$145</x:f>
        <x:v>324</x:v>
      </x:c>
      <x:c r="M123" s="10" t="n">
        <x:f>K123*'Assumptions'!$V$145</x:f>
        <x:v>216</x:v>
      </x:c>
      <x:c r="N123" s="10" t="n">
        <x:f>K123-L123-M123</x:f>
        <x:v>10260</x:v>
      </x:c>
      <x:c r="O123" s="10" t="n">
        <x:f>H123*'Assumptions'!$P$145*'Assumptions'!$Q$145*'Assumptions'!$D$11*(1+'Assumptions'!$D$13)^(1-1)</x:f>
        <x:v>600</x:v>
      </x:c>
      <x:c r="P123" s="10" t="n">
        <x:f>H123*'Assumptions'!$R$145*'Assumptions'!$D$11*(1+'Assumptions'!$D$13)^(1-1)</x:f>
        <x:v>6000</x:v>
      </x:c>
      <x:c r="Q123" s="10" t="n">
        <x:f>J123*'Assumptions'!$S$145</x:f>
        <x:v>0</x:v>
      </x:c>
      <x:c r="R123" s="10" t="n">
        <x:f>H123*'Assumptions'!$Y$145*'Assumptions'!$Z$145*'Assumptions'!$D$11*(1+'Assumptions'!$D$13)^(1-1)</x:f>
        <x:v>107.99999999999999</x:v>
      </x:c>
      <x:c r="S123" s="10" t="n">
        <x:f>IF(I123=0,0,J123*'Assumptions'!$W$145+H123*'Assumptions'!$X$145)</x:f>
        <x:v>320.4</x:v>
      </x:c>
      <x:c r="T123" s="10" t="n">
        <x:f>N123*'Assumptions'!$AA$145</x:f>
        <x:v>820.8000000000001</x:v>
      </x:c>
      <x:c r="U123" s="10" t="n">
        <x:f>'Assumptions'!$AE$145*'Assumptions'!$D$11*(1+'Assumptions'!$D$13)^(1-1)</x:f>
        <x:v>0</x:v>
      </x:c>
      <x:c r="V123" s="10" t="n">
        <x:f>'Assumptions'!$AD$145*'Assumptions'!$D$11</x:f>
        <x:v>300</x:v>
      </x:c>
      <x:c r="W123" s="10" t="n">
        <x:f>H123*('Assumptions'!$P$145+'Assumptions'!$Y$145)</x:f>
        <x:v>15.600000000000001</x:v>
      </x:c>
      <x:c r="X123" s="10" t="n">
        <x:f>N123/'Assumptions'!$J$145*'Assumptions'!$AF$145</x:f>
        <x:v>0</x:v>
      </x:c>
      <x:c r="Y123" s="10" t="n">
        <x:f>P123/'Assumptions'!$J$145</x:f>
        <x:v>1000</x:v>
      </x:c>
      <x:c r="Z123" s="10" t="n">
        <x:f>'Assumptions'!$AB$145</x:f>
        <x:v>30</x:v>
      </x:c>
      <x:c r="AA123" s="10" t="n">
        <x:f>Z123*'Assumptions'!$AC$145*'Assumptions'!$D$11*(1+'Assumptions'!$D$13)^(1-1)</x:f>
        <x:v>1500</x:v>
      </x:c>
      <x:c r="AB123" s="10" t="n">
        <x:f>F123/1</x:f>
        <x:v>24</x:v>
      </x:c>
      <x:c r="AC123" s="10" t="n">
        <x:f>AB123/'Assumptions'!$AM$145</x:f>
        <x:v>800</x:v>
      </x:c>
      <x:c r="AD123" s="10" t="n">
        <x:f>IF(AB123=0,0,T123/AB123)</x:f>
        <x:v>34.2</x:v>
      </x:c>
      <x:c r="AE123" s="10" t="n">
        <x:f>AA123*'Assumptions'!$D$21</x:f>
        <x:v>0</x:v>
      </x:c>
    </x:row>
    <x:row r="124" ht="16" customHeight="1">
      <x:c r="A124" s="1"/>
      <x:c r="B124" s="1"/>
      <x:c r="C124" s="1" t="str">
        <x:v>DOT-117</x:v>
      </x:c>
      <x:c r="D124" s="10" t="str">
        <x:v>Fiefé</x:v>
      </x:c>
      <x:c r="E124" s="10" t="n">
        <x:v>1</x:v>
      </x:c>
      <x:c r="F124" s="21" t="n">
        <x:f>'Assumptions'!$I$146*'Assumptions'!$J$146/12*'Assumptions'!$D$9*'Assumptions'!$D$8</x:f>
        <x:v>30</x:v>
      </x:c>
      <x:c r="G124" s="21" t="n">
        <x:f>0</x:f>
        <x:v>0</x:v>
      </x:c>
      <x:c r="H124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124+G124,NA())</x:f>
        <x:v>30</x:v>
      </x:c>
      <x:c r="I124" s="22" t="n">
        <x:f>'Assumptions'!$H$146*IF('Assumptions'!$O$146=1,1,'Assumptions'!$D$10)*(1+'Assumptions'!$N$146)^(1-1)</x:f>
        <x:v>175</x:v>
      </x:c>
      <x:c r="J124" s="10" t="n">
        <x:f>H124*I124</x:f>
        <x:v>5250</x:v>
      </x:c>
      <x:c r="K124" s="10" t="n">
        <x:f>J124*'Assumptions'!$T$146</x:f>
        <x:v>5250</x:v>
      </x:c>
      <x:c r="L124" s="10" t="n">
        <x:f>K124*'Assumptions'!$U$146</x:f>
        <x:v>157.5</x:v>
      </x:c>
      <x:c r="M124" s="10" t="n">
        <x:f>K124*'Assumptions'!$V$146</x:f>
        <x:v>105</x:v>
      </x:c>
      <x:c r="N124" s="10" t="n">
        <x:f>K124-L124-M124</x:f>
        <x:v>4987.5</x:v>
      </x:c>
      <x:c r="O124" s="10" t="n">
        <x:f>H124*'Assumptions'!$P$146*'Assumptions'!$Q$146*'Assumptions'!$D$11*(1+'Assumptions'!$D$13)^(1-1)</x:f>
        <x:v>337.5</x:v>
      </x:c>
      <x:c r="P124" s="10" t="n">
        <x:f>H124*'Assumptions'!$R$146*'Assumptions'!$D$11*(1+'Assumptions'!$D$13)^(1-1)</x:f>
        <x:v>2400</x:v>
      </x:c>
      <x:c r="Q124" s="10" t="n">
        <x:f>J124*'Assumptions'!$S$146</x:f>
        <x:v>0</x:v>
      </x:c>
      <x:c r="R124" s="10" t="n">
        <x:f>H124*'Assumptions'!$Y$146*'Assumptions'!$Z$146*'Assumptions'!$D$11*(1+'Assumptions'!$D$13)^(1-1)</x:f>
        <x:v>135</x:v>
      </x:c>
      <x:c r="S124" s="10" t="n">
        <x:f>IF(I124=0,0,J124*'Assumptions'!$W$146+H124*'Assumptions'!$X$146)</x:f>
        <x:v>161.25</x:v>
      </x:c>
      <x:c r="T124" s="10" t="n">
        <x:f>N124*'Assumptions'!$AA$146</x:f>
        <x:v>399</x:v>
      </x:c>
      <x:c r="U124" s="10" t="n">
        <x:f>'Assumptions'!$AE$146*'Assumptions'!$D$11*(1+'Assumptions'!$D$13)^(1-1)</x:f>
        <x:v>0</x:v>
      </x:c>
      <x:c r="V124" s="10" t="n">
        <x:f>'Assumptions'!$AD$146*'Assumptions'!$D$11</x:f>
        <x:v>150</x:v>
      </x:c>
      <x:c r="W124" s="10" t="n">
        <x:f>H124*('Assumptions'!$P$146+'Assumptions'!$Y$146)</x:f>
        <x:v>12</x:v>
      </x:c>
      <x:c r="X124" s="10" t="n">
        <x:f>N124/'Assumptions'!$J$146*'Assumptions'!$AF$146</x:f>
        <x:v>0</x:v>
      </x:c>
      <x:c r="Y124" s="10" t="n">
        <x:f>P124/'Assumptions'!$J$146</x:f>
        <x:v>400</x:v>
      </x:c>
      <x:c r="Z124" s="10" t="n">
        <x:f>'Assumptions'!$AB$146</x:f>
        <x:v>12</x:v>
      </x:c>
      <x:c r="AA124" s="10" t="n">
        <x:f>Z124*'Assumptions'!$AC$146*'Assumptions'!$D$11*(1+'Assumptions'!$D$13)^(1-1)</x:f>
        <x:v>600</x:v>
      </x:c>
      <x:c r="AB124" s="10" t="n">
        <x:f>F124/1</x:f>
        <x:v>30</x:v>
      </x:c>
      <x:c r="AC124" s="10" t="n">
        <x:f>AB124/'Assumptions'!$AM$146</x:f>
        <x:v>1000</x:v>
      </x:c>
      <x:c r="AD124" s="10" t="n">
        <x:f>IF(AB124=0,0,T124/AB124)</x:f>
        <x:v>13.3</x:v>
      </x:c>
      <x:c r="AE124" s="10" t="n">
        <x:f>AA124*'Assumptions'!$D$21</x:f>
        <x:v>0</x:v>
      </x:c>
    </x:row>
    <x:row r="125" ht="16" customHeight="1">
      <x:c r="A125" s="1"/>
      <x:c r="B125" s="1"/>
      <x:c r="C125" s="1" t="str">
        <x:v>DOT-118</x:v>
      </x:c>
      <x:c r="D125" s="10" t="str">
        <x:v>Fiefé Design</x:v>
      </x:c>
      <x:c r="E125" s="10" t="n">
        <x:v>1</x:v>
      </x:c>
      <x:c r="F125" s="21" t="n">
        <x:f>'Assumptions'!$I$147*'Assumptions'!$J$147/12*'Assumptions'!$D$9*'Assumptions'!$D$8</x:f>
        <x:v>4</x:v>
      </x:c>
      <x:c r="G125" s="21" t="n">
        <x:f>0</x:f>
        <x:v>0</x:v>
      </x:c>
      <x:c r="H125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125+G125,NA())</x:f>
        <x:v>4</x:v>
      </x:c>
      <x:c r="I125" s="22" t="n">
        <x:f>'Assumptions'!$H$147*IF('Assumptions'!$O$147=1,1,'Assumptions'!$D$10)*(1+'Assumptions'!$N$147)^(1-1)</x:f>
        <x:v>2500</x:v>
      </x:c>
      <x:c r="J125" s="10" t="n">
        <x:f>H125*I125</x:f>
        <x:v>10000</x:v>
      </x:c>
      <x:c r="K125" s="10" t="n">
        <x:f>J125*'Assumptions'!$T$147</x:f>
        <x:v>10000</x:v>
      </x:c>
      <x:c r="L125" s="10" t="n">
        <x:f>K125*'Assumptions'!$U$147</x:f>
        <x:v>300</x:v>
      </x:c>
      <x:c r="M125" s="10" t="n">
        <x:f>K125*'Assumptions'!$V$147</x:f>
        <x:v>200</x:v>
      </x:c>
      <x:c r="N125" s="10" t="n">
        <x:f>K125-L125-M125</x:f>
        <x:v>9500</x:v>
      </x:c>
      <x:c r="O125" s="10" t="n">
        <x:f>H125*'Assumptions'!$P$147*'Assumptions'!$Q$147*'Assumptions'!$D$11*(1+'Assumptions'!$D$13)^(1-1)</x:f>
        <x:v>1920</x:v>
      </x:c>
      <x:c r="P125" s="10" t="n">
        <x:f>H125*'Assumptions'!$R$147*'Assumptions'!$D$11*(1+'Assumptions'!$D$13)^(1-1)</x:f>
        <x:v>3600</x:v>
      </x:c>
      <x:c r="Q125" s="10" t="n">
        <x:f>J125*'Assumptions'!$S$147</x:f>
        <x:v>0</x:v>
      </x:c>
      <x:c r="R125" s="10" t="n">
        <x:f>H125*'Assumptions'!$Y$147*'Assumptions'!$Z$147*'Assumptions'!$D$11*(1+'Assumptions'!$D$13)^(1-1)</x:f>
        <x:v>18</x:v>
      </x:c>
      <x:c r="S125" s="10" t="n">
        <x:f>IF(I125=0,0,J125*'Assumptions'!$W$147+H125*'Assumptions'!$X$147)</x:f>
        <x:v>291.2</x:v>
      </x:c>
      <x:c r="T125" s="10" t="n">
        <x:f>N125*'Assumptions'!$AA$147</x:f>
        <x:v>760</x:v>
      </x:c>
      <x:c r="U125" s="10" t="n">
        <x:f>'Assumptions'!$AE$147*'Assumptions'!$D$11*(1+'Assumptions'!$D$13)^(1-1)</x:f>
        <x:v>0</x:v>
      </x:c>
      <x:c r="V125" s="10" t="n">
        <x:f>'Assumptions'!$AD$147*'Assumptions'!$D$11</x:f>
        <x:v>500</x:v>
      </x:c>
      <x:c r="W125" s="10" t="n">
        <x:f>H125*('Assumptions'!$P$147+'Assumptions'!$Y$147)</x:f>
        <x:v>32.6</x:v>
      </x:c>
      <x:c r="X125" s="10" t="n">
        <x:f>N125/'Assumptions'!$J$147*'Assumptions'!$AF$147</x:f>
        <x:v>0</x:v>
      </x:c>
      <x:c r="Y125" s="10" t="n">
        <x:f>P125/'Assumptions'!$J$147</x:f>
        <x:v>600</x:v>
      </x:c>
      <x:c r="Z125" s="10" t="n">
        <x:f>'Assumptions'!$AB$147</x:f>
        <x:v>30</x:v>
      </x:c>
      <x:c r="AA125" s="10" t="n">
        <x:f>Z125*'Assumptions'!$AC$147*'Assumptions'!$D$11*(1+'Assumptions'!$D$13)^(1-1)</x:f>
        <x:v>1500</x:v>
      </x:c>
      <x:c r="AB125" s="10" t="n">
        <x:f>F125/1</x:f>
        <x:v>4</x:v>
      </x:c>
      <x:c r="AC125" s="10" t="n">
        <x:f>AB125/'Assumptions'!$AM$147</x:f>
        <x:v>133.33333333333334</x:v>
      </x:c>
      <x:c r="AD125" s="10" t="n">
        <x:f>IF(AB125=0,0,T125/AB125)</x:f>
        <x:v>190</x:v>
      </x:c>
      <x:c r="AE125" s="10" t="n">
        <x:f>AA125*'Assumptions'!$D$21</x:f>
        <x:v>0</x:v>
      </x:c>
    </x:row>
    <x:row r="126" ht="16" customHeight="1">
      <x:c r="A126" s="1"/>
      <x:c r="B126" s="1"/>
      <x:c r="C126" s="1" t="str">
        <x:v>DOT-119</x:v>
      </x:c>
      <x:c r="D126" s="10" t="str">
        <x:v>OsezArt</x:v>
      </x:c>
      <x:c r="E126" s="10" t="n">
        <x:v>1</x:v>
      </x:c>
      <x:c r="F126" s="21" t="n">
        <x:f>'Assumptions'!$I$148*'Assumptions'!$J$148/12*'Assumptions'!$D$9*'Assumptions'!$D$8</x:f>
        <x:v>6</x:v>
      </x:c>
      <x:c r="G126" s="21" t="n">
        <x:f>0</x:f>
        <x:v>0</x:v>
      </x:c>
      <x:c r="H126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126+G126,NA())</x:f>
        <x:v>6</x:v>
      </x:c>
      <x:c r="I126" s="22" t="n">
        <x:f>'Assumptions'!$H$148*IF('Assumptions'!$O$148=1,1,'Assumptions'!$D$10)*(1+'Assumptions'!$N$148)^(1-1)</x:f>
        <x:v>5000</x:v>
      </x:c>
      <x:c r="J126" s="10" t="n">
        <x:f>H126*I126</x:f>
        <x:v>30000</x:v>
      </x:c>
      <x:c r="K126" s="10" t="n">
        <x:f>J126*'Assumptions'!$T$148</x:f>
        <x:v>6000</x:v>
      </x:c>
      <x:c r="L126" s="10" t="n">
        <x:f>K126*'Assumptions'!$U$148</x:f>
        <x:v>180</x:v>
      </x:c>
      <x:c r="M126" s="10" t="n">
        <x:f>K126*'Assumptions'!$V$148</x:f>
        <x:v>0</x:v>
      </x:c>
      <x:c r="N126" s="10" t="n">
        <x:f>K126-L126-M126</x:f>
        <x:v>5820</x:v>
      </x:c>
      <x:c r="O126" s="10" t="n">
        <x:f>H126*'Assumptions'!$P$148*'Assumptions'!$Q$148*'Assumptions'!$D$11*(1+'Assumptions'!$D$13)^(1-1)</x:f>
        <x:v>1440</x:v>
      </x:c>
      <x:c r="P126" s="10" t="n">
        <x:f>H126*'Assumptions'!$R$148*'Assumptions'!$D$11*(1+'Assumptions'!$D$13)^(1-1)</x:f>
        <x:v>0</x:v>
      </x:c>
      <x:c r="Q126" s="10" t="n">
        <x:f>J126*'Assumptions'!$S$148</x:f>
        <x:v>0</x:v>
      </x:c>
      <x:c r="R126" s="10" t="n">
        <x:f>H126*'Assumptions'!$Y$148*'Assumptions'!$Z$148*'Assumptions'!$D$11*(1+'Assumptions'!$D$13)^(1-1)</x:f>
        <x:v>26.999999999999996</x:v>
      </x:c>
      <x:c r="S126" s="10" t="n">
        <x:f>IF(I126=0,0,J126*'Assumptions'!$W$148+H126*'Assumptions'!$X$148)</x:f>
        <x:v>871.8</x:v>
      </x:c>
      <x:c r="T126" s="10" t="n">
        <x:f>N126*'Assumptions'!$AA$148</x:f>
        <x:v>291</x:v>
      </x:c>
      <x:c r="U126" s="10" t="n">
        <x:f>'Assumptions'!$AE$148*'Assumptions'!$D$11*(1+'Assumptions'!$D$13)^(1-1)</x:f>
        <x:v>0</x:v>
      </x:c>
      <x:c r="V126" s="10" t="n">
        <x:f>'Assumptions'!$AD$148*'Assumptions'!$D$11</x:f>
        <x:v>0</x:v>
      </x:c>
      <x:c r="W126" s="10" t="n">
        <x:f>H126*('Assumptions'!$P$148+'Assumptions'!$Y$148)</x:f>
        <x:v>24.900000000000002</x:v>
      </x:c>
      <x:c r="X126" s="10" t="n">
        <x:f>N126/'Assumptions'!$J$148*'Assumptions'!$AF$148</x:f>
        <x:v>0</x:v>
      </x:c>
      <x:c r="Y126" s="10" t="n">
        <x:f>P126/'Assumptions'!$J$148</x:f>
        <x:v>0</x:v>
      </x:c>
      <x:c r="Z126" s="10" t="n">
        <x:f>'Assumptions'!$AB$148</x:f>
        <x:v>40</x:v>
      </x:c>
      <x:c r="AA126" s="10" t="n">
        <x:f>Z126*'Assumptions'!$AC$148*'Assumptions'!$D$11*(1+'Assumptions'!$D$13)^(1-1)</x:f>
        <x:v>2000</x:v>
      </x:c>
      <x:c r="AB126" s="10" t="n">
        <x:f>F126/1</x:f>
        <x:v>6</x:v>
      </x:c>
      <x:c r="AC126" s="10" t="n">
        <x:f>AB126/'Assumptions'!$AM$148</x:f>
        <x:v>120</x:v>
      </x:c>
      <x:c r="AD126" s="10" t="n">
        <x:f>IF(AB126=0,0,T126/AB126)</x:f>
        <x:v>48.5</x:v>
      </x:c>
      <x:c r="AE126" s="10" t="n">
        <x:f>AA126*'Assumptions'!$D$21</x:f>
        <x:v>0</x:v>
      </x:c>
    </x:row>
    <x:row r="127" ht="16" customHeight="1">
      <x:c r="A127" s="1"/>
      <x:c r="B127" s="1"/>
      <x:c r="C127" s="1" t="str">
        <x:v>DOT-120</x:v>
      </x:c>
      <x:c r="D127" s="10" t="str">
        <x:v>OsezArt</x:v>
      </x:c>
      <x:c r="E127" s="10" t="n">
        <x:v>1</x:v>
      </x:c>
      <x:c r="F127" s="21" t="n">
        <x:f>'Assumptions'!$I$149*'Assumptions'!$J$149/12*'Assumptions'!$D$9*'Assumptions'!$D$8</x:f>
        <x:v>4.5</x:v>
      </x:c>
      <x:c r="G127" s="21" t="n">
        <x:f>0</x:f>
        <x:v>0</x:v>
      </x:c>
      <x:c r="H127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127+G127,NA())</x:f>
        <x:v>4.5</x:v>
      </x:c>
      <x:c r="I127" s="22" t="n">
        <x:f>'Assumptions'!$H$149*IF('Assumptions'!$O$149=1,1,'Assumptions'!$D$10)*(1+'Assumptions'!$N$149)^(1-1)</x:f>
        <x:v>5000</x:v>
      </x:c>
      <x:c r="J127" s="10" t="n">
        <x:f>H127*I127</x:f>
        <x:v>22500</x:v>
      </x:c>
      <x:c r="K127" s="10" t="n">
        <x:f>J127*'Assumptions'!$T$149</x:f>
        <x:v>22500</x:v>
      </x:c>
      <x:c r="L127" s="10" t="n">
        <x:f>K127*'Assumptions'!$U$149</x:f>
        <x:v>675</x:v>
      </x:c>
      <x:c r="M127" s="10" t="n">
        <x:f>K127*'Assumptions'!$V$149</x:f>
        <x:v>0</x:v>
      </x:c>
      <x:c r="N127" s="10" t="n">
        <x:f>K127-L127-M127</x:f>
        <x:v>21825</x:v>
      </x:c>
      <x:c r="O127" s="10" t="n">
        <x:f>H127*'Assumptions'!$P$149*'Assumptions'!$Q$149*'Assumptions'!$D$11*(1+'Assumptions'!$D$13)^(1-1)</x:f>
        <x:v>8775</x:v>
      </x:c>
      <x:c r="P127" s="10" t="n">
        <x:f>H127*'Assumptions'!$R$149*'Assumptions'!$D$11*(1+'Assumptions'!$D$13)^(1-1)</x:f>
        <x:v>1125</x:v>
      </x:c>
      <x:c r="Q127" s="10" t="n">
        <x:f>J127*'Assumptions'!$S$149</x:f>
        <x:v>0</x:v>
      </x:c>
      <x:c r="R127" s="10" t="n">
        <x:f>H127*'Assumptions'!$Y$149*'Assumptions'!$Z$149*'Assumptions'!$D$11*(1+'Assumptions'!$D$13)^(1-1)</x:f>
        <x:v>33.75</x:v>
      </x:c>
      <x:c r="S127" s="10" t="n">
        <x:f>IF(I127=0,0,J127*'Assumptions'!$W$149+H127*'Assumptions'!$X$149)</x:f>
        <x:v>653.85</x:v>
      </x:c>
      <x:c r="T127" s="10" t="n">
        <x:f>N127*'Assumptions'!$AA$149</x:f>
        <x:v>873</x:v>
      </x:c>
      <x:c r="U127" s="10" t="n">
        <x:f>'Assumptions'!$AE$149*'Assumptions'!$D$11*(1+'Assumptions'!$D$13)^(1-1)</x:f>
        <x:v>0</x:v>
      </x:c>
      <x:c r="V127" s="10" t="n">
        <x:f>'Assumptions'!$AD$149*'Assumptions'!$D$11</x:f>
        <x:v>0</x:v>
      </x:c>
      <x:c r="W127" s="10" t="n">
        <x:f>H127*('Assumptions'!$P$149+'Assumptions'!$Y$149)</x:f>
        <x:v>136.125</x:v>
      </x:c>
      <x:c r="X127" s="10" t="n">
        <x:f>N127/'Assumptions'!$J$149*'Assumptions'!$AF$149</x:f>
        <x:v>2425</x:v>
      </x:c>
      <x:c r="Y127" s="10" t="n">
        <x:f>P127/'Assumptions'!$J$149</x:f>
        <x:v>125</x:v>
      </x:c>
      <x:c r="Z127" s="10" t="n">
        <x:f>'Assumptions'!$AB$149</x:f>
        <x:v>60</x:v>
      </x:c>
      <x:c r="AA127" s="10" t="n">
        <x:f>Z127*'Assumptions'!$AC$149*'Assumptions'!$D$11*(1+'Assumptions'!$D$13)^(1-1)</x:f>
        <x:v>3000</x:v>
      </x:c>
      <x:c r="AB127" s="10" t="n">
        <x:f>F127/1</x:f>
        <x:v>4.5</x:v>
      </x:c>
      <x:c r="AC127" s="10" t="n">
        <x:f>AB127/'Assumptions'!$AM$149</x:f>
        <x:v>22.5</x:v>
      </x:c>
      <x:c r="AD127" s="10" t="n">
        <x:f>IF(AB127=0,0,T127/AB127)</x:f>
        <x:v>194</x:v>
      </x:c>
      <x:c r="AE127" s="10" t="n">
        <x:f>AA127*'Assumptions'!$D$21</x:f>
        <x:v>0</x:v>
      </x:c>
    </x:row>
    <x:row r="128" ht="16" customHeight="1">
      <x:c r="A128" s="1"/>
      <x:c r="B128" s="1"/>
      <x:c r="C128" s="1" t="str">
        <x:v>DOT-121</x:v>
      </x:c>
      <x:c r="D128" s="10" t="str">
        <x:v>OsezArt</x:v>
      </x:c>
      <x:c r="E128" s="10" t="n">
        <x:v>1</x:v>
      </x:c>
      <x:c r="F128" s="21" t="n">
        <x:f>'Assumptions'!$I$150*'Assumptions'!$J$150/12*'Assumptions'!$D$9*'Assumptions'!$D$8</x:f>
        <x:v>3</x:v>
      </x:c>
      <x:c r="G128" s="21" t="n">
        <x:f>0</x:f>
        <x:v>0</x:v>
      </x:c>
      <x:c r="H128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128+G128,NA())</x:f>
        <x:v>3</x:v>
      </x:c>
      <x:c r="I128" s="22" t="n">
        <x:f>'Assumptions'!$H$150*IF('Assumptions'!$O$150=1,1,'Assumptions'!$D$10)*(1+'Assumptions'!$N$150)^(1-1)</x:f>
        <x:v>3000</x:v>
      </x:c>
      <x:c r="J128" s="10" t="n">
        <x:f>H128*I128</x:f>
        <x:v>9000</x:v>
      </x:c>
      <x:c r="K128" s="10" t="n">
        <x:f>J128*'Assumptions'!$T$150</x:f>
        <x:v>9000</x:v>
      </x:c>
      <x:c r="L128" s="10" t="n">
        <x:f>K128*'Assumptions'!$U$150</x:f>
        <x:v>270</x:v>
      </x:c>
      <x:c r="M128" s="10" t="n">
        <x:f>K128*'Assumptions'!$V$150</x:f>
        <x:v>0</x:v>
      </x:c>
      <x:c r="N128" s="10" t="n">
        <x:f>K128-L128-M128</x:f>
        <x:v>8730</x:v>
      </x:c>
      <x:c r="O128" s="10" t="n">
        <x:f>H128*'Assumptions'!$P$150*'Assumptions'!$Q$150*'Assumptions'!$D$11*(1+'Assumptions'!$D$13)^(1-1)</x:f>
        <x:v>3510</x:v>
      </x:c>
      <x:c r="P128" s="10" t="n">
        <x:f>H128*'Assumptions'!$R$150*'Assumptions'!$D$11*(1+'Assumptions'!$D$13)^(1-1)</x:f>
        <x:v>600</x:v>
      </x:c>
      <x:c r="Q128" s="10" t="n">
        <x:f>J128*'Assumptions'!$S$150</x:f>
        <x:v>0</x:v>
      </x:c>
      <x:c r="R128" s="10" t="n">
        <x:f>H128*'Assumptions'!$Y$150*'Assumptions'!$Z$150*'Assumptions'!$D$11*(1+'Assumptions'!$D$13)^(1-1)</x:f>
        <x:v>22.5</x:v>
      </x:c>
      <x:c r="S128" s="10" t="n">
        <x:f>IF(I128=0,0,J128*'Assumptions'!$W$150+H128*'Assumptions'!$X$150)</x:f>
        <x:v>261.9</x:v>
      </x:c>
      <x:c r="T128" s="10" t="n">
        <x:f>N128*'Assumptions'!$AA$150</x:f>
        <x:v>349.2</x:v>
      </x:c>
      <x:c r="U128" s="10" t="n">
        <x:f>'Assumptions'!$AE$150*'Assumptions'!$D$11*(1+'Assumptions'!$D$13)^(1-1)</x:f>
        <x:v>0</x:v>
      </x:c>
      <x:c r="V128" s="10" t="n">
        <x:f>'Assumptions'!$AD$150*'Assumptions'!$D$11</x:f>
        <x:v>0</x:v>
      </x:c>
      <x:c r="W128" s="10" t="n">
        <x:f>H128*('Assumptions'!$P$150+'Assumptions'!$Y$150)</x:f>
        <x:v>54.75</x:v>
      </x:c>
      <x:c r="X128" s="10" t="n">
        <x:f>N128/'Assumptions'!$J$150*'Assumptions'!$AF$150</x:f>
        <x:v>1455</x:v>
      </x:c>
      <x:c r="Y128" s="10" t="n">
        <x:f>P128/'Assumptions'!$J$150</x:f>
        <x:v>100</x:v>
      </x:c>
      <x:c r="Z128" s="10" t="n">
        <x:f>'Assumptions'!$AB$150</x:f>
        <x:v>24</x:v>
      </x:c>
      <x:c r="AA128" s="10" t="n">
        <x:f>Z128*'Assumptions'!$AC$150*'Assumptions'!$D$11*(1+'Assumptions'!$D$13)^(1-1)</x:f>
        <x:v>1200</x:v>
      </x:c>
      <x:c r="AB128" s="10" t="n">
        <x:f>F128/1</x:f>
        <x:v>3</x:v>
      </x:c>
      <x:c r="AC128" s="10" t="n">
        <x:f>AB128/'Assumptions'!$AM$150</x:f>
        <x:v>15</x:v>
      </x:c>
      <x:c r="AD128" s="10" t="n">
        <x:f>IF(AB128=0,0,T128/AB128)</x:f>
        <x:v>116.39999999999999</x:v>
      </x:c>
      <x:c r="AE128" s="10" t="n">
        <x:f>AA128*'Assumptions'!$D$21</x:f>
        <x:v>0</x:v>
      </x:c>
    </x:row>
    <x:row r="129" ht="16" customHeight="1">
      <x:c r="A129" s="1"/>
      <x:c r="B129" s="1"/>
      <x:c r="C129" s="1" t="str">
        <x:v>DOT-122</x:v>
      </x:c>
      <x:c r="D129" s="10" t="str">
        <x:v>OsezArt</x:v>
      </x:c>
      <x:c r="E129" s="10" t="n">
        <x:v>1</x:v>
      </x:c>
      <x:c r="F129" s="21" t="n">
        <x:f>'Assumptions'!$I$151*'Assumptions'!$J$151/12*'Assumptions'!$D$9*'Assumptions'!$D$8</x:f>
        <x:v>1</x:v>
      </x:c>
      <x:c r="G129" s="21" t="n">
        <x:f>0</x:f>
        <x:v>0</x:v>
      </x:c>
      <x:c r="H129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129+G129,NA())</x:f>
        <x:v>1</x:v>
      </x:c>
      <x:c r="I129" s="22" t="n">
        <x:f>'Assumptions'!$H$151*IF('Assumptions'!$O$151=1,1,'Assumptions'!$D$10)*(1+'Assumptions'!$N$151)^(1-1)</x:f>
        <x:v>10000</x:v>
      </x:c>
      <x:c r="J129" s="10" t="n">
        <x:f>H129*I129</x:f>
        <x:v>10000</x:v>
      </x:c>
      <x:c r="K129" s="10" t="n">
        <x:f>J129*'Assumptions'!$T$151</x:f>
        <x:v>10000</x:v>
      </x:c>
      <x:c r="L129" s="10" t="n">
        <x:f>K129*'Assumptions'!$U$151</x:f>
        <x:v>300</x:v>
      </x:c>
      <x:c r="M129" s="10" t="n">
        <x:f>K129*'Assumptions'!$V$151</x:f>
        <x:v>0</x:v>
      </x:c>
      <x:c r="N129" s="10" t="n">
        <x:f>K129-L129-M129</x:f>
        <x:v>9700</x:v>
      </x:c>
      <x:c r="O129" s="10" t="n">
        <x:f>H129*'Assumptions'!$P$151*'Assumptions'!$Q$151*'Assumptions'!$D$11*(1+'Assumptions'!$D$13)^(1-1)</x:f>
        <x:v>3900</x:v>
      </x:c>
      <x:c r="P129" s="10" t="n">
        <x:f>H129*'Assumptions'!$R$151*'Assumptions'!$D$11*(1+'Assumptions'!$D$13)^(1-1)</x:f>
        <x:v>500</x:v>
      </x:c>
      <x:c r="Q129" s="10" t="n">
        <x:f>J129*'Assumptions'!$S$151</x:f>
        <x:v>0</x:v>
      </x:c>
      <x:c r="R129" s="10" t="n">
        <x:f>H129*'Assumptions'!$Y$151*'Assumptions'!$Z$151*'Assumptions'!$D$11*(1+'Assumptions'!$D$13)^(1-1)</x:f>
        <x:v>7.5</x:v>
      </x:c>
      <x:c r="S129" s="10" t="n">
        <x:f>IF(I129=0,0,J129*'Assumptions'!$W$151+H129*'Assumptions'!$X$151)</x:f>
        <x:v>290.3</x:v>
      </x:c>
      <x:c r="T129" s="10" t="n">
        <x:f>N129*'Assumptions'!$AA$151</x:f>
        <x:v>388</x:v>
      </x:c>
      <x:c r="U129" s="10" t="n">
        <x:f>'Assumptions'!$AE$151*'Assumptions'!$D$11*(1+'Assumptions'!$D$13)^(1-1)</x:f>
        <x:v>0</x:v>
      </x:c>
      <x:c r="V129" s="10" t="n">
        <x:f>'Assumptions'!$AD$151*'Assumptions'!$D$11</x:f>
        <x:v>0</x:v>
      </x:c>
      <x:c r="W129" s="10" t="n">
        <x:f>H129*('Assumptions'!$P$151+'Assumptions'!$Y$151)</x:f>
        <x:v>60.25</x:v>
      </x:c>
      <x:c r="X129" s="10" t="n">
        <x:f>N129/'Assumptions'!$J$151*'Assumptions'!$AF$151</x:f>
        <x:v>1616.6666666666667</x:v>
      </x:c>
      <x:c r="Y129" s="10" t="n">
        <x:f>P129/'Assumptions'!$J$151</x:f>
        <x:v>83.33333333333333</x:v>
      </x:c>
      <x:c r="Z129" s="10" t="n">
        <x:f>'Assumptions'!$AB$151</x:f>
        <x:v>40</x:v>
      </x:c>
      <x:c r="AA129" s="10" t="n">
        <x:f>Z129*'Assumptions'!$AC$151*'Assumptions'!$D$11*(1+'Assumptions'!$D$13)^(1-1)</x:f>
        <x:v>2000</x:v>
      </x:c>
      <x:c r="AB129" s="10" t="n">
        <x:f>F129/1</x:f>
        <x:v>1</x:v>
      </x:c>
      <x:c r="AC129" s="10" t="n">
        <x:f>AB129/'Assumptions'!$AM$151</x:f>
        <x:v>5</x:v>
      </x:c>
      <x:c r="AD129" s="10" t="n">
        <x:f>IF(AB129=0,0,T129/AB129)</x:f>
        <x:v>388</x:v>
      </x:c>
      <x:c r="AE129" s="10" t="n">
        <x:f>AA129*'Assumptions'!$D$21</x:f>
        <x:v>0</x:v>
      </x:c>
    </x:row>
    <x:row r="130" ht="16" customHeight="1">
      <x:c r="A130" s="1"/>
      <x:c r="B130" s="1"/>
      <x:c r="C130" s="1" t="str">
        <x:v>DOT-123</x:v>
      </x:c>
      <x:c r="D130" s="10" t="str">
        <x:v>FinBot research</x:v>
      </x:c>
      <x:c r="E130" s="10" t="n">
        <x:v>1</x:v>
      </x:c>
      <x:c r="F130" s="21" t="n">
        <x:f>'Assumptions'!$I$152*'Assumptions'!$J$152/12*'Assumptions'!$D$9*'Assumptions'!$D$8</x:f>
        <x:v>60</x:v>
      </x:c>
      <x:c r="G130" s="21" t="n">
        <x:f>0</x:f>
        <x:v>0</x:v>
      </x:c>
      <x:c r="H130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130+G130,NA())</x:f>
        <x:v>60</x:v>
      </x:c>
      <x:c r="I130" s="22" t="n">
        <x:f>'Assumptions'!$H$152*IF('Assumptions'!$O$152=1,1,'Assumptions'!$D$10)*(1+'Assumptions'!$N$152)^(1-1)</x:f>
        <x:v>29</x:v>
      </x:c>
      <x:c r="J130" s="10" t="n">
        <x:f>H130*I130</x:f>
        <x:v>1740</x:v>
      </x:c>
      <x:c r="K130" s="10" t="n">
        <x:f>J130*'Assumptions'!$T$152</x:f>
        <x:v>1740</x:v>
      </x:c>
      <x:c r="L130" s="10" t="n">
        <x:f>K130*'Assumptions'!$U$152</x:f>
        <x:v>52.199999999999996</x:v>
      </x:c>
      <x:c r="M130" s="10" t="n">
        <x:f>K130*'Assumptions'!$V$152</x:f>
        <x:v>0</x:v>
      </x:c>
      <x:c r="N130" s="10" t="n">
        <x:f>K130-L130-M130</x:f>
        <x:v>1687.8</x:v>
      </x:c>
      <x:c r="O130" s="10" t="n">
        <x:f>H130*'Assumptions'!$P$152*'Assumptions'!$Q$152*'Assumptions'!$D$11*(1+'Assumptions'!$D$13)^(1-1)</x:f>
        <x:v>540</x:v>
      </x:c>
      <x:c r="P130" s="10" t="n">
        <x:f>H130*'Assumptions'!$R$152*'Assumptions'!$D$11*(1+'Assumptions'!$D$13)^(1-1)</x:f>
        <x:v>0</x:v>
      </x:c>
      <x:c r="Q130" s="10" t="n">
        <x:f>J130*'Assumptions'!$S$152</x:f>
        <x:v>0</x:v>
      </x:c>
      <x:c r="R130" s="10" t="n">
        <x:f>H130*'Assumptions'!$Y$152*'Assumptions'!$Z$152*'Assumptions'!$D$11*(1+'Assumptions'!$D$13)^(1-1)</x:f>
        <x:v>180</x:v>
      </x:c>
      <x:c r="S130" s="10" t="n">
        <x:f>IF(I130=0,0,J130*'Assumptions'!$W$152+H130*'Assumptions'!$X$152)</x:f>
        <x:v>68.46000000000001</x:v>
      </x:c>
      <x:c r="T130" s="10" t="n">
        <x:f>N130*'Assumptions'!$AA$152</x:f>
        <x:v>84.39</x:v>
      </x:c>
      <x:c r="U130" s="10" t="n">
        <x:f>'Assumptions'!$AE$152*'Assumptions'!$D$11*(1+'Assumptions'!$D$13)^(1-1)</x:f>
        <x:v>240</x:v>
      </x:c>
      <x:c r="V130" s="10" t="n">
        <x:f>'Assumptions'!$AD$152*'Assumptions'!$D$11</x:f>
        <x:v>0</x:v>
      </x:c>
      <x:c r="W130" s="10" t="n">
        <x:f>H130*('Assumptions'!$P$152+'Assumptions'!$Y$152)</x:f>
        <x:v>18.000000000000004</x:v>
      </x:c>
      <x:c r="X130" s="10" t="n">
        <x:f>N130/'Assumptions'!$J$152*'Assumptions'!$AF$152</x:f>
        <x:v>0</x:v>
      </x:c>
      <x:c r="Y130" s="10" t="n">
        <x:f>P130/'Assumptions'!$J$152</x:f>
        <x:v>0</x:v>
      </x:c>
      <x:c r="Z130" s="10" t="n">
        <x:f>'Assumptions'!$AB$152</x:f>
        <x:v>40</x:v>
      </x:c>
      <x:c r="AA130" s="10" t="n">
        <x:f>Z130*'Assumptions'!$AC$152*'Assumptions'!$D$11*(1+'Assumptions'!$D$13)^(1-1)</x:f>
        <x:v>2000</x:v>
      </x:c>
      <x:c r="AB130" s="10" t="n">
        <x:f>F130/'Assumptions'!$J$152</x:f>
        <x:v>10</x:v>
      </x:c>
      <x:c r="AC130" s="10" t="n">
        <x:f>AB130/'Assumptions'!$AM$152</x:f>
        <x:v>200</x:v>
      </x:c>
      <x:c r="AD130" s="10" t="n">
        <x:f>IF(AB130=0,0,T130/AB130)</x:f>
        <x:v>8.439</x:v>
      </x:c>
      <x:c r="AE130" s="10" t="n">
        <x:f>AA130*'Assumptions'!$D$21</x:f>
        <x:v>0</x:v>
      </x:c>
    </x:row>
    <x:row r="131" ht="16" customHeight="1">
      <x:c r="A131" s="1"/>
      <x:c r="B131" s="1"/>
      <x:c r="C131" s="1" t="str">
        <x:v>DOT-124</x:v>
      </x:c>
      <x:c r="D131" s="10" t="str">
        <x:v>Functional Analysis</x:v>
      </x:c>
      <x:c r="E131" s="10" t="n">
        <x:v>1</x:v>
      </x:c>
      <x:c r="F131" s="21" t="n">
        <x:f>'Assumptions'!$I$153*'Assumptions'!$J$153/12*'Assumptions'!$D$9*'Assumptions'!$D$8</x:f>
        <x:v>120</x:v>
      </x:c>
      <x:c r="G131" s="21" t="n">
        <x:f>0</x:f>
        <x:v>0</x:v>
      </x:c>
      <x:c r="H131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131+G131,NA())</x:f>
        <x:v>120</x:v>
      </x:c>
      <x:c r="I131" s="22" t="n">
        <x:f>'Assumptions'!$H$153*IF('Assumptions'!$O$153=1,1,'Assumptions'!$D$10)*(1+'Assumptions'!$N$153)^(1-1)</x:f>
        <x:v>19</x:v>
      </x:c>
      <x:c r="J131" s="10" t="n">
        <x:f>H131*I131</x:f>
        <x:v>2280</x:v>
      </x:c>
      <x:c r="K131" s="10" t="n">
        <x:f>J131*'Assumptions'!$T$153</x:f>
        <x:v>2280</x:v>
      </x:c>
      <x:c r="L131" s="10" t="n">
        <x:f>K131*'Assumptions'!$U$153</x:f>
        <x:v>68.39999999999999</x:v>
      </x:c>
      <x:c r="M131" s="10" t="n">
        <x:f>K131*'Assumptions'!$V$153</x:f>
        <x:v>0</x:v>
      </x:c>
      <x:c r="N131" s="10" t="n">
        <x:f>K131-L131-M131</x:f>
        <x:v>2211.6</x:v>
      </x:c>
      <x:c r="O131" s="10" t="n">
        <x:f>H131*'Assumptions'!$P$153*'Assumptions'!$Q$153*'Assumptions'!$D$11*(1+'Assumptions'!$D$13)^(1-1)</x:f>
        <x:v>420</x:v>
      </x:c>
      <x:c r="P131" s="10" t="n">
        <x:f>H131*'Assumptions'!$R$153*'Assumptions'!$D$11*(1+'Assumptions'!$D$13)^(1-1)</x:f>
        <x:v>0</x:v>
      </x:c>
      <x:c r="Q131" s="10" t="n">
        <x:f>J131*'Assumptions'!$S$153</x:f>
        <x:v>0</x:v>
      </x:c>
      <x:c r="R131" s="10" t="n">
        <x:f>H131*'Assumptions'!$Y$153*'Assumptions'!$Z$153*'Assumptions'!$D$11*(1+'Assumptions'!$D$13)^(1-1)</x:f>
        <x:v>360</x:v>
      </x:c>
      <x:c r="S131" s="10" t="n">
        <x:f>IF(I131=0,0,J131*'Assumptions'!$W$153+H131*'Assumptions'!$X$153)</x:f>
        <x:v>102.12</x:v>
      </x:c>
      <x:c r="T131" s="10" t="n">
        <x:f>N131*'Assumptions'!$AA$153</x:f>
        <x:v>110.58</x:v>
      </x:c>
      <x:c r="U131" s="10" t="n">
        <x:f>'Assumptions'!$AE$153*'Assumptions'!$D$11*(1+'Assumptions'!$D$13)^(1-1)</x:f>
        <x:v>0</x:v>
      </x:c>
      <x:c r="V131" s="10" t="n">
        <x:f>'Assumptions'!$AD$153*'Assumptions'!$D$11</x:f>
        <x:v>0</x:v>
      </x:c>
      <x:c r="W131" s="10" t="n">
        <x:f>H131*('Assumptions'!$P$153+'Assumptions'!$Y$153)</x:f>
        <x:v>24</x:v>
      </x:c>
      <x:c r="X131" s="10" t="n">
        <x:f>N131/'Assumptions'!$J$153*'Assumptions'!$AF$153</x:f>
        <x:v>0</x:v>
      </x:c>
      <x:c r="Y131" s="10" t="n">
        <x:f>P131/'Assumptions'!$J$153</x:f>
        <x:v>0</x:v>
      </x:c>
      <x:c r="Z131" s="10" t="n">
        <x:f>'Assumptions'!$AB$153</x:f>
        <x:v>20</x:v>
      </x:c>
      <x:c r="AA131" s="10" t="n">
        <x:f>Z131*'Assumptions'!$AC$153*'Assumptions'!$D$11*(1+'Assumptions'!$D$13)^(1-1)</x:f>
        <x:v>1000</x:v>
      </x:c>
      <x:c r="AB131" s="10" t="n">
        <x:f>F131/1</x:f>
        <x:v>120</x:v>
      </x:c>
      <x:c r="AC131" s="10" t="n">
        <x:f>AB131/'Assumptions'!$AM$153</x:f>
        <x:v>2400</x:v>
      </x:c>
      <x:c r="AD131" s="10" t="n">
        <x:f>IF(AB131=0,0,T131/AB131)</x:f>
        <x:v>0.9215</x:v>
      </x:c>
      <x:c r="AE131" s="10" t="n">
        <x:f>AA131*'Assumptions'!$D$21</x:f>
        <x:v>0</x:v>
      </x:c>
    </x:row>
    <x:row r="132" ht="16" customHeight="1">
      <x:c r="A132" s="1"/>
      <x:c r="B132" s="1"/>
      <x:c r="C132" s="1" t="str">
        <x:v>DOT-125</x:v>
      </x:c>
      <x:c r="D132" s="10" t="str">
        <x:v>Functional Analysis</x:v>
      </x:c>
      <x:c r="E132" s="10" t="n">
        <x:v>1</x:v>
      </x:c>
      <x:c r="F132" s="21" t="n">
        <x:f>'Assumptions'!$I$154*'Assumptions'!$J$154/12*'Assumptions'!$D$9*'Assumptions'!$D$8</x:f>
        <x:v>18</x:v>
      </x:c>
      <x:c r="G132" s="21" t="n">
        <x:f>0</x:f>
        <x:v>0</x:v>
      </x:c>
      <x:c r="H132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132+G132,NA())</x:f>
        <x:v>18</x:v>
      </x:c>
      <x:c r="I132" s="22" t="n">
        <x:f>'Assumptions'!$H$154*IF('Assumptions'!$O$154=1,1,'Assumptions'!$D$10)*(1+'Assumptions'!$N$154)^(1-1)</x:f>
        <x:v>99</x:v>
      </x:c>
      <x:c r="J132" s="10" t="n">
        <x:f>H132*I132</x:f>
        <x:v>1782</x:v>
      </x:c>
      <x:c r="K132" s="10" t="n">
        <x:f>J132*'Assumptions'!$T$154</x:f>
        <x:v>1782</x:v>
      </x:c>
      <x:c r="L132" s="10" t="n">
        <x:f>K132*'Assumptions'!$U$154</x:f>
        <x:v>53.46</x:v>
      </x:c>
      <x:c r="M132" s="10" t="n">
        <x:f>K132*'Assumptions'!$V$154</x:f>
        <x:v>0</x:v>
      </x:c>
      <x:c r="N132" s="10" t="n">
        <x:f>K132-L132-M132</x:f>
        <x:v>1728.54</x:v>
      </x:c>
      <x:c r="O132" s="10" t="n">
        <x:f>H132*'Assumptions'!$P$154*'Assumptions'!$Q$154*'Assumptions'!$D$11*(1+'Assumptions'!$D$13)^(1-1)</x:f>
        <x:v>720</x:v>
      </x:c>
      <x:c r="P132" s="10" t="n">
        <x:f>H132*'Assumptions'!$R$154*'Assumptions'!$D$11*(1+'Assumptions'!$D$13)^(1-1)</x:f>
        <x:v>0</x:v>
      </x:c>
      <x:c r="Q132" s="10" t="n">
        <x:f>J132*'Assumptions'!$S$154</x:f>
        <x:v>0</x:v>
      </x:c>
      <x:c r="R132" s="10" t="n">
        <x:f>H132*'Assumptions'!$Y$154*'Assumptions'!$Z$154*'Assumptions'!$D$11*(1+'Assumptions'!$D$13)^(1-1)</x:f>
        <x:v>135</x:v>
      </x:c>
      <x:c r="S132" s="10" t="n">
        <x:f>IF(I132=0,0,J132*'Assumptions'!$W$154+H132*'Assumptions'!$X$154)</x:f>
        <x:v>57.078</x:v>
      </x:c>
      <x:c r="T132" s="10" t="n">
        <x:f>N132*'Assumptions'!$AA$154</x:f>
        <x:v>69.1416</x:v>
      </x:c>
      <x:c r="U132" s="10" t="n">
        <x:f>'Assumptions'!$AE$154*'Assumptions'!$D$11*(1+'Assumptions'!$D$13)^(1-1)</x:f>
        <x:v>0</x:v>
      </x:c>
      <x:c r="V132" s="10" t="n">
        <x:f>'Assumptions'!$AD$154*'Assumptions'!$D$11</x:f>
        <x:v>0</x:v>
      </x:c>
      <x:c r="W132" s="10" t="n">
        <x:f>H132*('Assumptions'!$P$154+'Assumptions'!$Y$154)</x:f>
        <x:v>22.5</x:v>
      </x:c>
      <x:c r="X132" s="10" t="n">
        <x:f>N132/'Assumptions'!$J$154*'Assumptions'!$AF$154</x:f>
        <x:v>288.09</x:v>
      </x:c>
      <x:c r="Y132" s="10" t="n">
        <x:f>P132/'Assumptions'!$J$154</x:f>
        <x:v>0</x:v>
      </x:c>
      <x:c r="Z132" s="10" t="n">
        <x:f>'Assumptions'!$AB$154</x:f>
        <x:v>12</x:v>
      </x:c>
      <x:c r="AA132" s="10" t="n">
        <x:f>Z132*'Assumptions'!$AC$154*'Assumptions'!$D$11*(1+'Assumptions'!$D$13)^(1-1)</x:f>
        <x:v>600</x:v>
      </x:c>
      <x:c r="AB132" s="10" t="n">
        <x:f>F132/1</x:f>
        <x:v>18</x:v>
      </x:c>
      <x:c r="AC132" s="10" t="n">
        <x:f>AB132/'Assumptions'!$AM$154</x:f>
        <x:v>90</x:v>
      </x:c>
      <x:c r="AD132" s="10" t="n">
        <x:f>IF(AB132=0,0,T132/AB132)</x:f>
        <x:v>3.8411999999999997</x:v>
      </x:c>
      <x:c r="AE132" s="10" t="n">
        <x:f>AA132*'Assumptions'!$D$21</x:f>
        <x:v>0</x:v>
      </x:c>
    </x:row>
    <x:row r="133" ht="16" customHeight="1">
      <x:c r="A133" s="1"/>
      <x:c r="B133" s="1"/>
      <x:c r="C133" s="1" t="str">
        <x:v>DOT-126</x:v>
      </x:c>
      <x:c r="D133" s="10" t="str">
        <x:v>Independent candy game</x:v>
      </x:c>
      <x:c r="E133" s="10" t="n">
        <x:v>1</x:v>
      </x:c>
      <x:c r="F133" s="21" t="n">
        <x:f>'Assumptions'!$I$155*'Assumptions'!$J$155/12*'Assumptions'!$D$9*'Assumptions'!$D$8</x:f>
        <x:v>300</x:v>
      </x:c>
      <x:c r="G133" s="21" t="n">
        <x:f>0</x:f>
        <x:v>0</x:v>
      </x:c>
      <x:c r="H133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133+G133,NA())</x:f>
        <x:v>300</x:v>
      </x:c>
      <x:c r="I133" s="22" t="n">
        <x:f>'Assumptions'!$H$155*IF('Assumptions'!$O$155=1,1,'Assumptions'!$D$10)*(1+'Assumptions'!$N$155)^(1-1)</x:f>
        <x:v>4.99</x:v>
      </x:c>
      <x:c r="J133" s="10" t="n">
        <x:f>H133*I133</x:f>
        <x:v>1497</x:v>
      </x:c>
      <x:c r="K133" s="10" t="n">
        <x:f>J133*'Assumptions'!$T$155</x:f>
        <x:v>1497</x:v>
      </x:c>
      <x:c r="L133" s="10" t="n">
        <x:f>K133*'Assumptions'!$U$155</x:f>
        <x:v>44.91</x:v>
      </x:c>
      <x:c r="M133" s="10" t="n">
        <x:f>K133*'Assumptions'!$V$155</x:f>
        <x:v>0</x:v>
      </x:c>
      <x:c r="N133" s="10" t="n">
        <x:f>K133-L133-M133</x:f>
        <x:v>1452.09</x:v>
      </x:c>
      <x:c r="O133" s="10" t="n">
        <x:f>H133*'Assumptions'!$P$155*'Assumptions'!$Q$155*'Assumptions'!$D$11*(1+'Assumptions'!$D$13)^(1-1)</x:f>
        <x:v>210</x:v>
      </x:c>
      <x:c r="P133" s="10" t="n">
        <x:f>H133*'Assumptions'!$R$155*'Assumptions'!$D$11*(1+'Assumptions'!$D$13)^(1-1)</x:f>
        <x:v>0</x:v>
      </x:c>
      <x:c r="Q133" s="10" t="n">
        <x:f>J133*'Assumptions'!$S$155</x:f>
        <x:v>0</x:v>
      </x:c>
      <x:c r="R133" s="10" t="n">
        <x:f>H133*'Assumptions'!$Y$155*'Assumptions'!$Z$155*'Assumptions'!$D$11*(1+'Assumptions'!$D$13)^(1-1)</x:f>
        <x:v>900</x:v>
      </x:c>
      <x:c r="S133" s="10" t="n">
        <x:f>IF(I133=0,0,J133*'Assumptions'!$W$155+H133*'Assumptions'!$X$155)</x:f>
        <x:v>133.413</x:v>
      </x:c>
      <x:c r="T133" s="10" t="n">
        <x:f>N133*'Assumptions'!$AA$155</x:f>
        <x:v>72.6045</x:v>
      </x:c>
      <x:c r="U133" s="10" t="n">
        <x:f>'Assumptions'!$AE$155*'Assumptions'!$D$11*(1+'Assumptions'!$D$13)^(1-1)</x:f>
        <x:v>0</x:v>
      </x:c>
      <x:c r="V133" s="10" t="n">
        <x:f>'Assumptions'!$AD$155*'Assumptions'!$D$11</x:f>
        <x:v>0</x:v>
      </x:c>
      <x:c r="W133" s="10" t="n">
        <x:f>H133*('Assumptions'!$P$155+'Assumptions'!$Y$155)</x:f>
        <x:v>36</x:v>
      </x:c>
      <x:c r="X133" s="10" t="n">
        <x:f>N133/'Assumptions'!$J$155*'Assumptions'!$AF$155</x:f>
        <x:v>0</x:v>
      </x:c>
      <x:c r="Y133" s="10" t="n">
        <x:f>P133/'Assumptions'!$J$155</x:f>
        <x:v>0</x:v>
      </x:c>
      <x:c r="Z133" s="10" t="n">
        <x:f>'Assumptions'!$AB$155</x:f>
        <x:v>40</x:v>
      </x:c>
      <x:c r="AA133" s="10" t="n">
        <x:f>Z133*'Assumptions'!$AC$155*'Assumptions'!$D$11*(1+'Assumptions'!$D$13)^(1-1)</x:f>
        <x:v>2000</x:v>
      </x:c>
      <x:c r="AB133" s="10" t="n">
        <x:f>F133/1</x:f>
        <x:v>300</x:v>
      </x:c>
      <x:c r="AC133" s="10" t="n">
        <x:f>AB133/'Assumptions'!$AM$155</x:f>
        <x:v>6000</x:v>
      </x:c>
      <x:c r="AD133" s="10" t="n">
        <x:f>IF(AB133=0,0,T133/AB133)</x:f>
        <x:v>0.242015</x:v>
      </x:c>
      <x:c r="AE133" s="10" t="n">
        <x:f>AA133*'Assumptions'!$D$21</x:f>
        <x:v>0</x:v>
      </x:c>
    </x:row>
    <x:row r="134" ht="16" customHeight="1">
      <x:c r="A134" s="1"/>
      <x:c r="B134" s="1"/>
      <x:c r="C134" s="1" t="str">
        <x:v>DOT-127</x:v>
      </x:c>
      <x:c r="D134" s="10" t="str">
        <x:v>Learn Anglais</x:v>
      </x:c>
      <x:c r="E134" s="10" t="n">
        <x:v>1</x:v>
      </x:c>
      <x:c r="F134" s="21" t="n">
        <x:f>'Assumptions'!$I$156*'Assumptions'!$J$156/12*'Assumptions'!$D$9*'Assumptions'!$D$8</x:f>
        <x:v>225</x:v>
      </x:c>
      <x:c r="G134" s="21" t="n">
        <x:f>0</x:f>
        <x:v>0</x:v>
      </x:c>
      <x:c r="H134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134+G134,NA())</x:f>
        <x:v>225</x:v>
      </x:c>
      <x:c r="I134" s="22" t="n">
        <x:f>'Assumptions'!$H$156*IF('Assumptions'!$O$156=1,1,'Assumptions'!$D$10)*(1+'Assumptions'!$N$156)^(1-1)</x:f>
        <x:v>24</x:v>
      </x:c>
      <x:c r="J134" s="10" t="n">
        <x:f>H134*I134</x:f>
        <x:v>5400</x:v>
      </x:c>
      <x:c r="K134" s="10" t="n">
        <x:f>J134*'Assumptions'!$T$156</x:f>
        <x:v>1800</x:v>
      </x:c>
      <x:c r="L134" s="10" t="n">
        <x:f>K134*'Assumptions'!$U$156</x:f>
        <x:v>54</x:v>
      </x:c>
      <x:c r="M134" s="10" t="n">
        <x:f>K134*'Assumptions'!$V$156</x:f>
        <x:v>0</x:v>
      </x:c>
      <x:c r="N134" s="10" t="n">
        <x:f>K134-L134-M134</x:f>
        <x:v>1746</x:v>
      </x:c>
      <x:c r="O134" s="10" t="n">
        <x:f>H134*'Assumptions'!$P$156*'Assumptions'!$Q$156*'Assumptions'!$D$11*(1+'Assumptions'!$D$13)^(1-1)</x:f>
        <x:v>787.5</x:v>
      </x:c>
      <x:c r="P134" s="10" t="n">
        <x:f>H134*'Assumptions'!$R$156*'Assumptions'!$D$11*(1+'Assumptions'!$D$13)^(1-1)</x:f>
        <x:v>0</x:v>
      </x:c>
      <x:c r="Q134" s="10" t="n">
        <x:f>J134*'Assumptions'!$S$156</x:f>
        <x:v>0</x:v>
      </x:c>
      <x:c r="R134" s="10" t="n">
        <x:f>H134*'Assumptions'!$Y$156*'Assumptions'!$Z$156*'Assumptions'!$D$11*(1+'Assumptions'!$D$13)^(1-1)</x:f>
        <x:v>1012.5</x:v>
      </x:c>
      <x:c r="S134" s="10" t="n">
        <x:f>IF(I134=0,0,J134*'Assumptions'!$W$156+H134*'Assumptions'!$X$156)</x:f>
        <x:v>224.1</x:v>
      </x:c>
      <x:c r="T134" s="10" t="n">
        <x:f>N134*'Assumptions'!$AA$156</x:f>
        <x:v>87.30000000000001</x:v>
      </x:c>
      <x:c r="U134" s="10" t="n">
        <x:f>'Assumptions'!$AE$156*'Assumptions'!$D$11*(1+'Assumptions'!$D$13)^(1-1)</x:f>
        <x:v>0</x:v>
      </x:c>
      <x:c r="V134" s="10" t="n">
        <x:f>'Assumptions'!$AD$156*'Assumptions'!$D$11</x:f>
        <x:v>0</x:v>
      </x:c>
      <x:c r="W134" s="10" t="n">
        <x:f>H134*('Assumptions'!$P$156+'Assumptions'!$Y$156)</x:f>
        <x:v>56.25</x:v>
      </x:c>
      <x:c r="X134" s="10" t="n">
        <x:f>N134/'Assumptions'!$J$156*'Assumptions'!$AF$156</x:f>
        <x:v>0</x:v>
      </x:c>
      <x:c r="Y134" s="10" t="n">
        <x:f>P134/'Assumptions'!$J$156</x:f>
        <x:v>0</x:v>
      </x:c>
      <x:c r="Z134" s="10" t="n">
        <x:f>'Assumptions'!$AB$156</x:f>
        <x:v>4</x:v>
      </x:c>
      <x:c r="AA134" s="10" t="n">
        <x:f>Z134*'Assumptions'!$AC$156*'Assumptions'!$D$11*(1+'Assumptions'!$D$13)^(1-1)</x:f>
        <x:v>200</x:v>
      </x:c>
      <x:c r="AB134" s="10" t="n">
        <x:f>F134/1</x:f>
        <x:v>225</x:v>
      </x:c>
      <x:c r="AC134" s="10" t="n">
        <x:f>AB134/'Assumptions'!$AM$156</x:f>
        <x:v>4500</x:v>
      </x:c>
      <x:c r="AD134" s="10" t="n">
        <x:f>IF(AB134=0,0,T134/AB134)</x:f>
        <x:v>0.38800000000000007</x:v>
      </x:c>
      <x:c r="AE134" s="10" t="n">
        <x:f>AA134*'Assumptions'!$D$21</x:f>
        <x:v>0</x:v>
      </x:c>
    </x:row>
    <x:row r="135" ht="16" customHeight="1">
      <x:c r="A135" s="1"/>
      <x:c r="B135" s="1"/>
      <x:c r="C135" s="1" t="str">
        <x:v>DOT-128</x:v>
      </x:c>
      <x:c r="D135" s="10" t="str">
        <x:v>Learn Anglais</x:v>
      </x:c>
      <x:c r="E135" s="10" t="n">
        <x:v>1</x:v>
      </x:c>
      <x:c r="F135" s="21" t="n">
        <x:f>'Assumptions'!$I$157*'Assumptions'!$J$157/12*'Assumptions'!$D$9*'Assumptions'!$D$8</x:f>
        <x:v>90</x:v>
      </x:c>
      <x:c r="G135" s="21" t="n">
        <x:f>0</x:f>
        <x:v>0</x:v>
      </x:c>
      <x:c r="H135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135+G135,NA())</x:f>
        <x:v>90</x:v>
      </x:c>
      <x:c r="I135" s="22" t="n">
        <x:f>'Assumptions'!$H$157*IF('Assumptions'!$O$157=1,1,'Assumptions'!$D$10)*(1+'Assumptions'!$N$157)^(1-1)</x:f>
        <x:v>165</x:v>
      </x:c>
      <x:c r="J135" s="10" t="n">
        <x:f>H135*I135</x:f>
        <x:v>14850</x:v>
      </x:c>
      <x:c r="K135" s="10" t="n">
        <x:f>J135*'Assumptions'!$T$157</x:f>
        <x:v>4455</x:v>
      </x:c>
      <x:c r="L135" s="10" t="n">
        <x:f>K135*'Assumptions'!$U$157</x:f>
        <x:v>133.65</x:v>
      </x:c>
      <x:c r="M135" s="10" t="n">
        <x:f>K135*'Assumptions'!$V$157</x:f>
        <x:v>0</x:v>
      </x:c>
      <x:c r="N135" s="10" t="n">
        <x:f>K135-L135-M135</x:f>
        <x:v>4321.35</x:v>
      </x:c>
      <x:c r="O135" s="10" t="n">
        <x:f>H135*'Assumptions'!$P$157*'Assumptions'!$Q$157*'Assumptions'!$D$11*(1+'Assumptions'!$D$13)^(1-1)</x:f>
        <x:v>315</x:v>
      </x:c>
      <x:c r="P135" s="10" t="n">
        <x:f>H135*'Assumptions'!$R$157*'Assumptions'!$D$11*(1+'Assumptions'!$D$13)^(1-1)</x:f>
        <x:v>0</x:v>
      </x:c>
      <x:c r="Q135" s="10" t="n">
        <x:f>J135*'Assumptions'!$S$157</x:f>
        <x:v>0</x:v>
      </x:c>
      <x:c r="R135" s="10" t="n">
        <x:f>H135*'Assumptions'!$Y$157*'Assumptions'!$Z$157*'Assumptions'!$D$11*(1+'Assumptions'!$D$13)^(1-1)</x:f>
        <x:v>405</x:v>
      </x:c>
      <x:c r="S135" s="10" t="n">
        <x:f>IF(I135=0,0,J135*'Assumptions'!$W$157+H135*'Assumptions'!$X$157)</x:f>
        <x:v>457.65000000000003</x:v>
      </x:c>
      <x:c r="T135" s="10" t="n">
        <x:f>N135*'Assumptions'!$AA$157</x:f>
        <x:v>216.06750000000002</x:v>
      </x:c>
      <x:c r="U135" s="10" t="n">
        <x:f>'Assumptions'!$AE$157*'Assumptions'!$D$11*(1+'Assumptions'!$D$13)^(1-1)</x:f>
        <x:v>0</x:v>
      </x:c>
      <x:c r="V135" s="10" t="n">
        <x:f>'Assumptions'!$AD$157*'Assumptions'!$D$11</x:f>
        <x:v>0</x:v>
      </x:c>
      <x:c r="W135" s="10" t="n">
        <x:f>H135*('Assumptions'!$P$157+'Assumptions'!$Y$157)</x:f>
        <x:v>22.5</x:v>
      </x:c>
      <x:c r="X135" s="10" t="n">
        <x:f>N135/'Assumptions'!$J$157*'Assumptions'!$AF$157</x:f>
        <x:v>0</x:v>
      </x:c>
      <x:c r="Y135" s="10" t="n">
        <x:f>P135/'Assumptions'!$J$157</x:f>
        <x:v>0</x:v>
      </x:c>
      <x:c r="Z135" s="10" t="n">
        <x:f>'Assumptions'!$AB$157</x:f>
        <x:v>4</x:v>
      </x:c>
      <x:c r="AA135" s="10" t="n">
        <x:f>Z135*'Assumptions'!$AC$157*'Assumptions'!$D$11*(1+'Assumptions'!$D$13)^(1-1)</x:f>
        <x:v>200</x:v>
      </x:c>
      <x:c r="AB135" s="10" t="n">
        <x:f>F135/1</x:f>
        <x:v>90</x:v>
      </x:c>
      <x:c r="AC135" s="10" t="n">
        <x:f>AB135/'Assumptions'!$AM$157</x:f>
        <x:v>1800</x:v>
      </x:c>
      <x:c r="AD135" s="10" t="n">
        <x:f>IF(AB135=0,0,T135/AB135)</x:f>
        <x:v>2.4007500000000004</x:v>
      </x:c>
      <x:c r="AE135" s="10" t="n">
        <x:f>AA135*'Assumptions'!$D$21</x:f>
        <x:v>0</x:v>
      </x:c>
    </x:row>
    <x:row r="136" ht="16" customHeight="1">
      <x:c r="A136" s="1"/>
      <x:c r="B136" s="1"/>
      <x:c r="C136" s="1" t="str">
        <x:v>DOT-001</x:v>
      </x:c>
      <x:c r="D136" s="10" t="str">
        <x:v>ETV courses</x:v>
      </x:c>
      <x:c r="E136" s="10" t="n">
        <x:v>2</x:v>
      </x:c>
      <x:c r="F136" s="21" t="n">
        <x:f>'Assumptions'!$I$30*(1-'Assumptions'!$K$30)*(1+'Assumptions'!$L$30)*'Assumptions'!$D$9*'Assumptions'!$D$8</x:f>
        <x:v>206.99999999999997</x:v>
      </x:c>
      <x:c r="G136" s="21" t="n">
        <x:f>H8*'Assumptions'!$K$30</x:f>
        <x:v>60</x:v>
      </x:c>
      <x:c r="H136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136+G136,NA())</x:f>
        <x:v>267</x:v>
      </x:c>
      <x:c r="I136" s="22" t="n">
        <x:f>'Assumptions'!$H$30*IF('Assumptions'!$O$30=1,1,'Assumptions'!$D$10)*(1+'Assumptions'!$N$30)^(2-1)</x:f>
        <x:v>29</x:v>
      </x:c>
      <x:c r="J136" s="10" t="n">
        <x:f>H136*I136</x:f>
        <x:v>7743</x:v>
      </x:c>
      <x:c r="K136" s="10" t="n">
        <x:f>J136*'Assumptions'!$T$30</x:f>
        <x:v>7743</x:v>
      </x:c>
      <x:c r="L136" s="10" t="n">
        <x:f>K136*'Assumptions'!$U$30</x:f>
        <x:v>232.29</x:v>
      </x:c>
      <x:c r="M136" s="10" t="n">
        <x:f>K136*'Assumptions'!$V$30</x:f>
        <x:v>0</x:v>
      </x:c>
      <x:c r="N136" s="10" t="n">
        <x:f>K136-L136-M136</x:f>
        <x:v>7510.71</x:v>
      </x:c>
      <x:c r="O136" s="10" t="n">
        <x:f>H136*'Assumptions'!$P$30*'Assumptions'!$Q$30*'Assumptions'!$D$11*(1+'Assumptions'!$D$13)^(2-1)</x:f>
        <x:v>1443.8025</x:v>
      </x:c>
      <x:c r="P136" s="10" t="n">
        <x:f>H136*'Assumptions'!$R$30*'Assumptions'!$D$11*(1+'Assumptions'!$D$13)^(2-1)</x:f>
        <x:v>0</x:v>
      </x:c>
      <x:c r="Q136" s="10" t="n">
        <x:f>J136*'Assumptions'!$S$30</x:f>
        <x:v>0</x:v>
      </x:c>
      <x:c r="R136" s="10" t="n">
        <x:f>H136*'Assumptions'!$Y$30*'Assumptions'!$Z$30*'Assumptions'!$D$11*(1+'Assumptions'!$D$13)^(2-1)</x:f>
        <x:v>825.0300000000001</x:v>
      </x:c>
      <x:c r="S136" s="10" t="n">
        <x:f>IF(I136=0,0,J136*'Assumptions'!$W$30+H136*'Assumptions'!$X$30)</x:f>
        <x:v>304.64700000000005</x:v>
      </x:c>
      <x:c r="T136" s="10" t="n">
        <x:f>N136*'Assumptions'!$AA$30</x:f>
        <x:v>375.5355</x:v>
      </x:c>
      <x:c r="U136" s="10" t="n">
        <x:f>'Assumptions'!$AE$30*'Assumptions'!$D$11*(1+'Assumptions'!$D$13)^(2-1)</x:f>
        <x:v>0</x:v>
      </x:c>
      <x:c r="V136" s="10" t="n">
        <x:f>0</x:f>
        <x:v>0</x:v>
      </x:c>
      <x:c r="W136" s="10" t="n">
        <x:f>H136*('Assumptions'!$P$30+'Assumptions'!$Y$30)</x:f>
        <x:v>66.75</x:v>
      </x:c>
      <x:c r="X136" s="10" t="n">
        <x:f>N136/12*'Assumptions'!$AF$30</x:f>
        <x:v>0</x:v>
      </x:c>
      <x:c r="Y136" s="10" t="n">
        <x:f>P136/12</x:f>
        <x:v>0</x:v>
      </x:c>
      <x:c r="Z136" s="10" t="n">
        <x:f>0</x:f>
        <x:v>0</x:v>
      </x:c>
      <x:c r="AA136" s="10" t="n">
        <x:f>Z136*'Assumptions'!$AC$30*'Assumptions'!$D$11*(1+'Assumptions'!$D$13)^(2-1)</x:f>
        <x:v>0</x:v>
      </x:c>
      <x:c r="AB136" s="10" t="n">
        <x:f>F136/1</x:f>
        <x:v>206.99999999999997</x:v>
      </x:c>
      <x:c r="AC136" s="10" t="n">
        <x:f>AB136/'Assumptions'!$AM$30</x:f>
        <x:v>4139.999999999999</x:v>
      </x:c>
      <x:c r="AD136" s="10" t="n">
        <x:f>IF(AB136=0,0,T136/AB136)</x:f>
        <x:v>1.8141811594202901</x:v>
      </x:c>
      <x:c r="AE136" s="10" t="n">
        <x:f>AA136*'Assumptions'!$D$21</x:f>
        <x:v>0</x:v>
      </x:c>
    </x:row>
    <x:row r="137" ht="16" customHeight="1">
      <x:c r="A137" s="1"/>
      <x:c r="B137" s="1"/>
      <x:c r="C137" s="1" t="str">
        <x:v>DOT-002</x:v>
      </x:c>
      <x:c r="D137" s="10" t="str">
        <x:v>ETV courses</x:v>
      </x:c>
      <x:c r="E137" s="10" t="n">
        <x:v>2</x:v>
      </x:c>
      <x:c r="F137" s="21" t="n">
        <x:f>'Assumptions'!$I$31*(1-'Assumptions'!$K$31)*(1+'Assumptions'!$L$31)*'Assumptions'!$D$9*'Assumptions'!$D$8</x:f>
        <x:v>327.75</x:v>
      </x:c>
      <x:c r="G137" s="21" t="n">
        <x:f>H9*'Assumptions'!$K$31</x:f>
        <x:v>95</x:v>
      </x:c>
      <x:c r="H137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137+G137,NA())</x:f>
        <x:v>422.75</x:v>
      </x:c>
      <x:c r="I137" s="22" t="n">
        <x:f>'Assumptions'!$H$31*IF('Assumptions'!$O$31=1,1,'Assumptions'!$D$10)*(1+'Assumptions'!$N$31)^(2-1)</x:f>
        <x:v>39.78</x:v>
      </x:c>
      <x:c r="J137" s="10" t="n">
        <x:f>H137*I137</x:f>
        <x:v>16816.995</x:v>
      </x:c>
      <x:c r="K137" s="10" t="n">
        <x:f>J137*'Assumptions'!$T$31</x:f>
        <x:v>16816.995</x:v>
      </x:c>
      <x:c r="L137" s="10" t="n">
        <x:f>K137*'Assumptions'!$U$31</x:f>
        <x:v>504.50985</x:v>
      </x:c>
      <x:c r="M137" s="10" t="n">
        <x:f>K137*'Assumptions'!$V$31</x:f>
        <x:v>0</x:v>
      </x:c>
      <x:c r="N137" s="10" t="n">
        <x:f>K137-L137-M137</x:f>
        <x:v>16312.485149999999</x:v>
      </x:c>
      <x:c r="O137" s="10" t="n">
        <x:f>H137*'Assumptions'!$P$31*'Assumptions'!$Q$31*'Assumptions'!$D$11*(1+'Assumptions'!$D$13)^(2-1)</x:f>
        <x:v>2286.020625</x:v>
      </x:c>
      <x:c r="P137" s="10" t="n">
        <x:f>H137*'Assumptions'!$R$31*'Assumptions'!$D$11*(1+'Assumptions'!$D$13)^(2-1)</x:f>
        <x:v>0</x:v>
      </x:c>
      <x:c r="Q137" s="10" t="n">
        <x:f>J137*'Assumptions'!$S$31</x:f>
        <x:v>0</x:v>
      </x:c>
      <x:c r="R137" s="10" t="n">
        <x:f>H137*'Assumptions'!$Y$31*'Assumptions'!$Z$31*'Assumptions'!$D$11*(1+'Assumptions'!$D$13)^(2-1)</x:f>
        <x:v>1306.2975000000004</x:v>
      </x:c>
      <x:c r="S137" s="10" t="n">
        <x:f>IF(I137=0,0,J137*'Assumptions'!$W$31+H137*'Assumptions'!$X$31)</x:f>
        <x:v>614.517855</x:v>
      </x:c>
      <x:c r="T137" s="10" t="n">
        <x:f>N137*'Assumptions'!$AA$31</x:f>
        <x:v>815.6242575</x:v>
      </x:c>
      <x:c r="U137" s="10" t="n">
        <x:f>'Assumptions'!$AE$31*'Assumptions'!$D$11*(1+'Assumptions'!$D$13)^(2-1)</x:f>
        <x:v>0</x:v>
      </x:c>
      <x:c r="V137" s="10" t="n">
        <x:f>0</x:f>
        <x:v>0</x:v>
      </x:c>
      <x:c r="W137" s="10" t="n">
        <x:f>H137*('Assumptions'!$P$31+'Assumptions'!$Y$31)</x:f>
        <x:v>105.6875</x:v>
      </x:c>
      <x:c r="X137" s="10" t="n">
        <x:f>N137/12*'Assumptions'!$AF$31</x:f>
        <x:v>0</x:v>
      </x:c>
      <x:c r="Y137" s="10" t="n">
        <x:f>P137/12</x:f>
        <x:v>0</x:v>
      </x:c>
      <x:c r="Z137" s="10" t="n">
        <x:f>0</x:f>
        <x:v>0</x:v>
      </x:c>
      <x:c r="AA137" s="10" t="n">
        <x:f>Z137*'Assumptions'!$AC$31*'Assumptions'!$D$11*(1+'Assumptions'!$D$13)^(2-1)</x:f>
        <x:v>0</x:v>
      </x:c>
      <x:c r="AB137" s="10" t="n">
        <x:f>F137/1</x:f>
        <x:v>327.75</x:v>
      </x:c>
      <x:c r="AC137" s="10" t="n">
        <x:f>AB137/'Assumptions'!$AM$31</x:f>
        <x:v>6555</x:v>
      </x:c>
      <x:c r="AD137" s="10" t="n">
        <x:f>IF(AB137=0,0,T137/AB137)</x:f>
        <x:v>2.4885560869565215</x:v>
      </x:c>
      <x:c r="AE137" s="10" t="n">
        <x:f>AA137*'Assumptions'!$D$21</x:f>
        <x:v>0</x:v>
      </x:c>
    </x:row>
    <x:row r="138" ht="16" customHeight="1">
      <x:c r="A138" s="1"/>
      <x:c r="B138" s="1"/>
      <x:c r="C138" s="1" t="str">
        <x:v>DOT-003</x:v>
      </x:c>
      <x:c r="D138" s="10" t="str">
        <x:v>ETV services</x:v>
      </x:c>
      <x:c r="E138" s="10" t="n">
        <x:v>2</x:v>
      </x:c>
      <x:c r="F138" s="21" t="n">
        <x:f>'Assumptions'!$I$32*(1-'Assumptions'!$K$32)*(1+'Assumptions'!$L$32)*'Assumptions'!$D$9*'Assumptions'!$D$8</x:f>
        <x:v>6.6000000000000005</x:v>
      </x:c>
      <x:c r="G138" s="21" t="n">
        <x:f>H10*'Assumptions'!$K$32</x:f>
        <x:v>6</x:v>
      </x:c>
      <x:c r="H138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138+G138,NA())</x:f>
        <x:v>12.600000000000001</x:v>
      </x:c>
      <x:c r="I138" s="22" t="n">
        <x:f>'Assumptions'!$H$32*IF('Assumptions'!$O$32=1,1,'Assumptions'!$D$10)*(1+'Assumptions'!$N$32)^(2-1)</x:f>
        <x:v>1785</x:v>
      </x:c>
      <x:c r="J138" s="10" t="n">
        <x:f>H138*I138</x:f>
        <x:v>22491.000000000004</x:v>
      </x:c>
      <x:c r="K138" s="10" t="n">
        <x:f>J138*'Assumptions'!$T$32</x:f>
        <x:v>22491.000000000004</x:v>
      </x:c>
      <x:c r="L138" s="10" t="n">
        <x:f>K138*'Assumptions'!$U$32</x:f>
        <x:v>674.7300000000001</x:v>
      </x:c>
      <x:c r="M138" s="10" t="n">
        <x:f>K138*'Assumptions'!$V$32</x:f>
        <x:v>0</x:v>
      </x:c>
      <x:c r="N138" s="10" t="n">
        <x:f>K138-L138-M138</x:f>
        <x:v>21816.270000000004</x:v>
      </x:c>
      <x:c r="O138" s="10" t="n">
        <x:f>H138*'Assumptions'!$P$32*'Assumptions'!$Q$32*'Assumptions'!$D$11*(1+'Assumptions'!$D$13)^(2-1)</x:f>
        <x:v>11680.200000000003</x:v>
      </x:c>
      <x:c r="P138" s="10" t="n">
        <x:f>H138*'Assumptions'!$R$32*'Assumptions'!$D$11*(1+'Assumptions'!$D$13)^(2-1)</x:f>
        <x:v>324.45000000000005</x:v>
      </x:c>
      <x:c r="Q138" s="10" t="n">
        <x:f>J138*'Assumptions'!$S$32</x:f>
        <x:v>0</x:v>
      </x:c>
      <x:c r="R138" s="10" t="n">
        <x:f>H138*'Assumptions'!$Y$32*'Assumptions'!$Z$32*'Assumptions'!$D$11*(1+'Assumptions'!$D$13)^(2-1)</x:f>
        <x:v>97.33500000000002</x:v>
      </x:c>
      <x:c r="S138" s="10" t="n">
        <x:f>IF(I138=0,0,J138*'Assumptions'!$W$32+H138*'Assumptions'!$X$32)</x:f>
        <x:v>656.0190000000001</x:v>
      </x:c>
      <x:c r="T138" s="10" t="n">
        <x:f>N138*'Assumptions'!$AA$32</x:f>
        <x:v>872.6508000000002</x:v>
      </x:c>
      <x:c r="U138" s="10" t="n">
        <x:f>'Assumptions'!$AE$32*'Assumptions'!$D$11*(1+'Assumptions'!$D$13)^(2-1)</x:f>
        <x:v>0</x:v>
      </x:c>
      <x:c r="V138" s="10" t="n">
        <x:f>0</x:f>
        <x:v>0</x:v>
      </x:c>
      <x:c r="W138" s="10" t="n">
        <x:f>H138*('Assumptions'!$P$32+'Assumptions'!$Y$32)</x:f>
        <x:v>255.15000000000003</x:v>
      </x:c>
      <x:c r="X138" s="10" t="n">
        <x:f>N138/12*'Assumptions'!$AF$32</x:f>
        <x:v>1818.0225000000003</x:v>
      </x:c>
      <x:c r="Y138" s="10" t="n">
        <x:f>P138/12</x:f>
        <x:v>27.037500000000005</x:v>
      </x:c>
      <x:c r="Z138" s="10" t="n">
        <x:f>0</x:f>
        <x:v>0</x:v>
      </x:c>
      <x:c r="AA138" s="10" t="n">
        <x:f>Z138*'Assumptions'!$AC$32*'Assumptions'!$D$11*(1+'Assumptions'!$D$13)^(2-1)</x:f>
        <x:v>0</x:v>
      </x:c>
      <x:c r="AB138" s="10" t="n">
        <x:f>F138/1</x:f>
        <x:v>6.6000000000000005</x:v>
      </x:c>
      <x:c r="AC138" s="10" t="n">
        <x:f>AB138/'Assumptions'!$AM$32</x:f>
        <x:v>33</x:v>
      </x:c>
      <x:c r="AD138" s="10" t="n">
        <x:f>IF(AB138=0,0,T138/AB138)</x:f>
        <x:v>132.2198181818182</x:v>
      </x:c>
      <x:c r="AE138" s="10" t="n">
        <x:f>AA138*'Assumptions'!$D$21</x:f>
        <x:v>0</x:v>
      </x:c>
    </x:row>
    <x:row r="139" ht="16" customHeight="1">
      <x:c r="A139" s="1"/>
      <x:c r="B139" s="1"/>
      <x:c r="C139" s="1" t="str">
        <x:v>DOT-004</x:v>
      </x:c>
      <x:c r="D139" s="10" t="str">
        <x:v>ETV services</x:v>
      </x:c>
      <x:c r="E139" s="10" t="n">
        <x:v>2</x:v>
      </x:c>
      <x:c r="F139" s="21" t="n">
        <x:f>'Assumptions'!$I$33*(1-'Assumptions'!$K$33)*(1+'Assumptions'!$L$33)*'Assumptions'!$D$9*'Assumptions'!$D$8</x:f>
        <x:v>4.4</x:v>
      </x:c>
      <x:c r="G139" s="21" t="n">
        <x:f>H11*'Assumptions'!$K$33</x:f>
        <x:v>4</x:v>
      </x:c>
      <x:c r="H139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139+G139,NA())</x:f>
        <x:v>8.4</x:v>
      </x:c>
      <x:c r="I139" s="22" t="n">
        <x:f>'Assumptions'!$H$33*IF('Assumptions'!$O$33=1,1,'Assumptions'!$D$10)*(1+'Assumptions'!$N$33)^(2-1)</x:f>
        <x:v>2550</x:v>
      </x:c>
      <x:c r="J139" s="10" t="n">
        <x:f>H139*I139</x:f>
        <x:v>21420</x:v>
      </x:c>
      <x:c r="K139" s="10" t="n">
        <x:f>J139*'Assumptions'!$T$33</x:f>
        <x:v>21420</x:v>
      </x:c>
      <x:c r="L139" s="10" t="n">
        <x:f>K139*'Assumptions'!$U$33</x:f>
        <x:v>642.6</x:v>
      </x:c>
      <x:c r="M139" s="10" t="n">
        <x:f>K139*'Assumptions'!$V$33</x:f>
        <x:v>0</x:v>
      </x:c>
      <x:c r="N139" s="10" t="n">
        <x:f>K139-L139-M139</x:f>
        <x:v>20777.4</x:v>
      </x:c>
      <x:c r="O139" s="10" t="n">
        <x:f>H139*'Assumptions'!$P$33*'Assumptions'!$Q$33*'Assumptions'!$D$11*(1+'Assumptions'!$D$13)^(2-1)</x:f>
        <x:v>11680.2</x:v>
      </x:c>
      <x:c r="P139" s="10" t="n">
        <x:f>H139*'Assumptions'!$R$33*'Assumptions'!$D$11*(1+'Assumptions'!$D$13)^(2-1)</x:f>
        <x:v>216.3</x:v>
      </x:c>
      <x:c r="Q139" s="10" t="n">
        <x:f>J139*'Assumptions'!$S$33</x:f>
        <x:v>0</x:v>
      </x:c>
      <x:c r="R139" s="10" t="n">
        <x:f>H139*'Assumptions'!$Y$33*'Assumptions'!$Z$33*'Assumptions'!$D$11*(1+'Assumptions'!$D$13)^(2-1)</x:f>
        <x:v>64.89</x:v>
      </x:c>
      <x:c r="S139" s="10" t="n">
        <x:f>IF(I139=0,0,J139*'Assumptions'!$W$33+H139*'Assumptions'!$X$33)</x:f>
        <x:v>623.7</x:v>
      </x:c>
      <x:c r="T139" s="10" t="n">
        <x:f>N139*'Assumptions'!$AA$33</x:f>
        <x:v>831.0960000000001</x:v>
      </x:c>
      <x:c r="U139" s="10" t="n">
        <x:f>'Assumptions'!$AE$33*'Assumptions'!$D$11*(1+'Assumptions'!$D$13)^(2-1)</x:f>
        <x:v>0</x:v>
      </x:c>
      <x:c r="V139" s="10" t="n">
        <x:f>0</x:f>
        <x:v>0</x:v>
      </x:c>
      <x:c r="W139" s="10" t="n">
        <x:f>H139*('Assumptions'!$P$33+'Assumptions'!$Y$33)</x:f>
        <x:v>254.10000000000002</x:v>
      </x:c>
      <x:c r="X139" s="10" t="n">
        <x:f>N139/12*'Assumptions'!$AF$33</x:f>
        <x:v>1731.45</x:v>
      </x:c>
      <x:c r="Y139" s="10" t="n">
        <x:f>P139/12</x:f>
        <x:v>18.025000000000002</x:v>
      </x:c>
      <x:c r="Z139" s="10" t="n">
        <x:f>0</x:f>
        <x:v>0</x:v>
      </x:c>
      <x:c r="AA139" s="10" t="n">
        <x:f>Z139*'Assumptions'!$AC$33*'Assumptions'!$D$11*(1+'Assumptions'!$D$13)^(2-1)</x:f>
        <x:v>0</x:v>
      </x:c>
      <x:c r="AB139" s="10" t="n">
        <x:f>F139/1</x:f>
        <x:v>4.4</x:v>
      </x:c>
      <x:c r="AC139" s="10" t="n">
        <x:f>AB139/'Assumptions'!$AM$33</x:f>
        <x:v>22</x:v>
      </x:c>
      <x:c r="AD139" s="10" t="n">
        <x:f>IF(AB139=0,0,T139/AB139)</x:f>
        <x:v>188.88545454545456</x:v>
      </x:c>
      <x:c r="AE139" s="10" t="n">
        <x:f>AA139*'Assumptions'!$D$21</x:f>
        <x:v>0</x:v>
      </x:c>
    </x:row>
    <x:row r="140" ht="16" customHeight="1">
      <x:c r="A140" s="1"/>
      <x:c r="B140" s="1"/>
      <x:c r="C140" s="1" t="str">
        <x:v>DOT-005</x:v>
      </x:c>
      <x:c r="D140" s="10" t="str">
        <x:v>ETV services</x:v>
      </x:c>
      <x:c r="E140" s="10" t="n">
        <x:v>2</x:v>
      </x:c>
      <x:c r="F140" s="21" t="n">
        <x:f>'Assumptions'!$I$34*(1-'Assumptions'!$K$34)*(1+'Assumptions'!$L$34)*'Assumptions'!$D$9*'Assumptions'!$D$8</x:f>
        <x:v>4.4</x:v>
      </x:c>
      <x:c r="G140" s="21" t="n">
        <x:f>H12*'Assumptions'!$K$34</x:f>
        <x:v>4</x:v>
      </x:c>
      <x:c r="H140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140+G140,NA())</x:f>
        <x:v>8.4</x:v>
      </x:c>
      <x:c r="I140" s="22" t="n">
        <x:f>'Assumptions'!$H$34*IF('Assumptions'!$O$34=1,1,'Assumptions'!$D$10)*(1+'Assumptions'!$N$34)^(2-1)</x:f>
        <x:v>1530</x:v>
      </x:c>
      <x:c r="J140" s="10" t="n">
        <x:f>H140*I140</x:f>
        <x:v>12852</x:v>
      </x:c>
      <x:c r="K140" s="10" t="n">
        <x:f>J140*'Assumptions'!$T$34</x:f>
        <x:v>12852</x:v>
      </x:c>
      <x:c r="L140" s="10" t="n">
        <x:f>K140*'Assumptions'!$U$34</x:f>
        <x:v>385.56</x:v>
      </x:c>
      <x:c r="M140" s="10" t="n">
        <x:f>K140*'Assumptions'!$V$34</x:f>
        <x:v>0</x:v>
      </x:c>
      <x:c r="N140" s="10" t="n">
        <x:f>K140-L140-M140</x:f>
        <x:v>12466.44</x:v>
      </x:c>
      <x:c r="O140" s="10" t="n">
        <x:f>H140*'Assumptions'!$P$34*'Assumptions'!$Q$34*'Assumptions'!$D$11*(1+'Assumptions'!$D$13)^(2-1)</x:f>
        <x:v>7008.120000000001</x:v>
      </x:c>
      <x:c r="P140" s="10" t="n">
        <x:f>H140*'Assumptions'!$R$34*'Assumptions'!$D$11*(1+'Assumptions'!$D$13)^(2-1)</x:f>
        <x:v>216.3</x:v>
      </x:c>
      <x:c r="Q140" s="10" t="n">
        <x:f>J140*'Assumptions'!$S$34</x:f>
        <x:v>0</x:v>
      </x:c>
      <x:c r="R140" s="10" t="n">
        <x:f>H140*'Assumptions'!$Y$34*'Assumptions'!$Z$34*'Assumptions'!$D$11*(1+'Assumptions'!$D$13)^(2-1)</x:f>
        <x:v>64.89</x:v>
      </x:c>
      <x:c r="S140" s="10" t="n">
        <x:f>IF(I140=0,0,J140*'Assumptions'!$W$34+H140*'Assumptions'!$X$34)</x:f>
        <x:v>375.228</x:v>
      </x:c>
      <x:c r="T140" s="10" t="n">
        <x:f>N140*'Assumptions'!$AA$34</x:f>
        <x:v>498.65760000000006</x:v>
      </x:c>
      <x:c r="U140" s="10" t="n">
        <x:f>'Assumptions'!$AE$34*'Assumptions'!$D$11*(1+'Assumptions'!$D$13)^(2-1)</x:f>
        <x:v>0</x:v>
      </x:c>
      <x:c r="V140" s="10" t="n">
        <x:f>0</x:f>
        <x:v>0</x:v>
      </x:c>
      <x:c r="W140" s="10" t="n">
        <x:f>H140*('Assumptions'!$P$34+'Assumptions'!$Y$34)</x:f>
        <x:v>153.3</x:v>
      </x:c>
      <x:c r="X140" s="10" t="n">
        <x:f>N140/12*'Assumptions'!$AF$34</x:f>
        <x:v>1038.8700000000001</x:v>
      </x:c>
      <x:c r="Y140" s="10" t="n">
        <x:f>P140/12</x:f>
        <x:v>18.025000000000002</x:v>
      </x:c>
      <x:c r="Z140" s="10" t="n">
        <x:f>0</x:f>
        <x:v>0</x:v>
      </x:c>
      <x:c r="AA140" s="10" t="n">
        <x:f>Z140*'Assumptions'!$AC$34*'Assumptions'!$D$11*(1+'Assumptions'!$D$13)^(2-1)</x:f>
        <x:v>0</x:v>
      </x:c>
      <x:c r="AB140" s="10" t="n">
        <x:f>F140/1</x:f>
        <x:v>4.4</x:v>
      </x:c>
      <x:c r="AC140" s="10" t="n">
        <x:f>AB140/'Assumptions'!$AM$34</x:f>
        <x:v>22</x:v>
      </x:c>
      <x:c r="AD140" s="10" t="n">
        <x:f>IF(AB140=0,0,T140/AB140)</x:f>
        <x:v>113.33127272727273</x:v>
      </x:c>
      <x:c r="AE140" s="10" t="n">
        <x:f>AA140*'Assumptions'!$D$21</x:f>
        <x:v>0</x:v>
      </x:c>
    </x:row>
    <x:row r="141" ht="16" customHeight="1">
      <x:c r="A141" s="1"/>
      <x:c r="B141" s="1"/>
      <x:c r="C141" s="1" t="str">
        <x:v>DOT-006</x:v>
      </x:c>
      <x:c r="D141" s="10" t="str">
        <x:v>ETV services</x:v>
      </x:c>
      <x:c r="E141" s="10" t="n">
        <x:v>2</x:v>
      </x:c>
      <x:c r="F141" s="21" t="n">
        <x:f>'Assumptions'!$I$35*(1-'Assumptions'!$K$35)*(1+'Assumptions'!$L$35)*'Assumptions'!$D$9*'Assumptions'!$D$8</x:f>
        <x:v>6.6000000000000005</x:v>
      </x:c>
      <x:c r="G141" s="21" t="n">
        <x:f>H13*'Assumptions'!$K$35</x:f>
        <x:v>6</x:v>
      </x:c>
      <x:c r="H141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141+G141,NA())</x:f>
        <x:v>12.600000000000001</x:v>
      </x:c>
      <x:c r="I141" s="22" t="n">
        <x:f>'Assumptions'!$H$35*IF('Assumptions'!$O$35=1,1,'Assumptions'!$D$10)*(1+'Assumptions'!$N$35)^(2-1)</x:f>
        <x:v>765</x:v>
      </x:c>
      <x:c r="J141" s="10" t="n">
        <x:f>H141*I141</x:f>
        <x:v>9639.000000000002</x:v>
      </x:c>
      <x:c r="K141" s="10" t="n">
        <x:f>J141*'Assumptions'!$T$35</x:f>
        <x:v>9639.000000000002</x:v>
      </x:c>
      <x:c r="L141" s="10" t="n">
        <x:f>K141*'Assumptions'!$U$35</x:f>
        <x:v>289.17</x:v>
      </x:c>
      <x:c r="M141" s="10" t="n">
        <x:f>K141*'Assumptions'!$V$35</x:f>
        <x:v>0</x:v>
      </x:c>
      <x:c r="N141" s="10" t="n">
        <x:f>K141-L141-M141</x:f>
        <x:v>9349.830000000002</x:v>
      </x:c>
      <x:c r="O141" s="10" t="n">
        <x:f>H141*'Assumptions'!$P$35*'Assumptions'!$Q$35*'Assumptions'!$D$11*(1+'Assumptions'!$D$13)^(2-1)</x:f>
        <x:v>4672.080000000001</x:v>
      </x:c>
      <x:c r="P141" s="10" t="n">
        <x:f>H141*'Assumptions'!$R$35*'Assumptions'!$D$11*(1+'Assumptions'!$D$13)^(2-1)</x:f>
        <x:v>324.45000000000005</x:v>
      </x:c>
      <x:c r="Q141" s="10" t="n">
        <x:f>J141*'Assumptions'!$S$35</x:f>
        <x:v>0</x:v>
      </x:c>
      <x:c r="R141" s="10" t="n">
        <x:f>H141*'Assumptions'!$Y$35*'Assumptions'!$Z$35*'Assumptions'!$D$11*(1+'Assumptions'!$D$13)^(2-1)</x:f>
        <x:v>97.33500000000002</x:v>
      </x:c>
      <x:c r="S141" s="10" t="n">
        <x:f>IF(I141=0,0,J141*'Assumptions'!$W$35+H141*'Assumptions'!$X$35)</x:f>
        <x:v>283.31100000000004</x:v>
      </x:c>
      <x:c r="T141" s="10" t="n">
        <x:f>N141*'Assumptions'!$AA$35</x:f>
        <x:v>373.99320000000006</x:v>
      </x:c>
      <x:c r="U141" s="10" t="n">
        <x:f>'Assumptions'!$AE$35*'Assumptions'!$D$11*(1+'Assumptions'!$D$13)^(2-1)</x:f>
        <x:v>0</x:v>
      </x:c>
      <x:c r="V141" s="10" t="n">
        <x:f>0</x:f>
        <x:v>0</x:v>
      </x:c>
      <x:c r="W141" s="10" t="n">
        <x:f>H141*('Assumptions'!$P$35+'Assumptions'!$Y$35)</x:f>
        <x:v>103.95000000000002</x:v>
      </x:c>
      <x:c r="X141" s="10" t="n">
        <x:f>N141/12*'Assumptions'!$AF$35</x:f>
        <x:v>779.1525000000001</x:v>
      </x:c>
      <x:c r="Y141" s="10" t="n">
        <x:f>P141/12</x:f>
        <x:v>27.037500000000005</x:v>
      </x:c>
      <x:c r="Z141" s="10" t="n">
        <x:f>0</x:f>
        <x:v>0</x:v>
      </x:c>
      <x:c r="AA141" s="10" t="n">
        <x:f>Z141*'Assumptions'!$AC$35*'Assumptions'!$D$11*(1+'Assumptions'!$D$13)^(2-1)</x:f>
        <x:v>0</x:v>
      </x:c>
      <x:c r="AB141" s="10" t="n">
        <x:f>F141/1</x:f>
        <x:v>6.6000000000000005</x:v>
      </x:c>
      <x:c r="AC141" s="10" t="n">
        <x:f>AB141/'Assumptions'!$AM$35</x:f>
        <x:v>33</x:v>
      </x:c>
      <x:c r="AD141" s="10" t="n">
        <x:f>IF(AB141=0,0,T141/AB141)</x:f>
        <x:v>56.66563636363637</x:v>
      </x:c>
      <x:c r="AE141" s="10" t="n">
        <x:f>AA141*'Assumptions'!$D$21</x:f>
        <x:v>0</x:v>
      </x:c>
    </x:row>
    <x:row r="142" ht="16" customHeight="1">
      <x:c r="A142" s="1"/>
      <x:c r="B142" s="1"/>
      <x:c r="C142" s="1" t="str">
        <x:v>DOT-007</x:v>
      </x:c>
      <x:c r="D142" s="10" t="str">
        <x:v>BPA professional services</x:v>
      </x:c>
      <x:c r="E142" s="10" t="n">
        <x:v>2</x:v>
      </x:c>
      <x:c r="F142" s="21" t="n">
        <x:f>'Assumptions'!$I$36*(1-'Assumptions'!$K$36)*(1+'Assumptions'!$L$36)*'Assumptions'!$D$9*'Assumptions'!$D$8</x:f>
        <x:v>26.400000000000002</x:v>
      </x:c>
      <x:c r="G142" s="21" t="n">
        <x:f>H14*'Assumptions'!$K$36</x:f>
        <x:v>18</x:v>
      </x:c>
      <x:c r="H142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142+G142,NA())</x:f>
        <x:v>44.400000000000006</x:v>
      </x:c>
      <x:c r="I142" s="22" t="n">
        <x:f>'Assumptions'!$H$36*IF('Assumptions'!$O$36=1,1,'Assumptions'!$D$10)*(1+'Assumptions'!$N$36)^(2-1)</x:f>
        <x:v>250</x:v>
      </x:c>
      <x:c r="J142" s="10" t="n">
        <x:f>H142*I142</x:f>
        <x:v>11100.000000000002</x:v>
      </x:c>
      <x:c r="K142" s="10" t="n">
        <x:f>J142*'Assumptions'!$T$36</x:f>
        <x:v>11100.000000000002</x:v>
      </x:c>
      <x:c r="L142" s="10" t="n">
        <x:f>K142*'Assumptions'!$U$36</x:f>
        <x:v>333.00000000000006</x:v>
      </x:c>
      <x:c r="M142" s="10" t="n">
        <x:f>K142*'Assumptions'!$V$36</x:f>
        <x:v>0</x:v>
      </x:c>
      <x:c r="N142" s="10" t="n">
        <x:f>K142-L142-M142</x:f>
        <x:v>10767.000000000002</x:v>
      </x:c>
      <x:c r="O142" s="10" t="n">
        <x:f>H142*'Assumptions'!$P$36*'Assumptions'!$Q$36*'Assumptions'!$D$11*(1+'Assumptions'!$D$13)^(2-1)</x:f>
        <x:v>2285.6853600000004</x:v>
      </x:c>
      <x:c r="P142" s="10" t="n">
        <x:f>H142*'Assumptions'!$R$36*'Assumptions'!$D$11*(1+'Assumptions'!$D$13)^(2-1)</x:f>
        <x:v>457.32000000000005</x:v>
      </x:c>
      <x:c r="Q142" s="10" t="n">
        <x:f>J142*'Assumptions'!$S$36</x:f>
        <x:v>0</x:v>
      </x:c>
      <x:c r="R142" s="10" t="n">
        <x:f>H142*'Assumptions'!$Y$36*'Assumptions'!$Z$36*'Assumptions'!$D$11*(1+'Assumptions'!$D$13)^(2-1)</x:f>
        <x:v>342.99000000000007</x:v>
      </x:c>
      <x:c r="S142" s="10" t="n">
        <x:f>IF(I142=0,0,J142*'Assumptions'!$W$36+H142*'Assumptions'!$X$36)</x:f>
        <x:v>335.2200000000001</x:v>
      </x:c>
      <x:c r="T142" s="10" t="n">
        <x:f>N142*'Assumptions'!$AA$36</x:f>
        <x:v>430.68000000000006</x:v>
      </x:c>
      <x:c r="U142" s="10" t="n">
        <x:f>'Assumptions'!$AE$36*'Assumptions'!$D$11*(1+'Assumptions'!$D$13)^(2-1)</x:f>
        <x:v>0</x:v>
      </x:c>
      <x:c r="V142" s="10" t="n">
        <x:f>0</x:f>
        <x:v>0</x:v>
      </x:c>
      <x:c r="W142" s="10" t="n">
        <x:f>H142*('Assumptions'!$P$36+'Assumptions'!$Y$36)</x:f>
        <x:v>48.08520000000001</x:v>
      </x:c>
      <x:c r="X142" s="10" t="n">
        <x:f>N142/12*'Assumptions'!$AF$36</x:f>
        <x:v>897.2500000000001</x:v>
      </x:c>
      <x:c r="Y142" s="10" t="n">
        <x:f>P142/12</x:f>
        <x:v>38.11000000000001</x:v>
      </x:c>
      <x:c r="Z142" s="10" t="n">
        <x:f>0</x:f>
        <x:v>0</x:v>
      </x:c>
      <x:c r="AA142" s="10" t="n">
        <x:f>Z142*'Assumptions'!$AC$36*'Assumptions'!$D$11*(1+'Assumptions'!$D$13)^(2-1)</x:f>
        <x:v>0</x:v>
      </x:c>
      <x:c r="AB142" s="10" t="n">
        <x:f>F142/1</x:f>
        <x:v>26.400000000000002</x:v>
      </x:c>
      <x:c r="AC142" s="10" t="n">
        <x:f>AB142/'Assumptions'!$AM$36</x:f>
        <x:v>132</x:v>
      </x:c>
      <x:c r="AD142" s="10" t="n">
        <x:f>IF(AB142=0,0,T142/AB142)</x:f>
        <x:v>16.313636363636366</x:v>
      </x:c>
      <x:c r="AE142" s="10" t="n">
        <x:f>AA142*'Assumptions'!$D$21</x:f>
        <x:v>0</x:v>
      </x:c>
    </x:row>
    <x:row r="143" ht="16" customHeight="1">
      <x:c r="A143" s="1"/>
      <x:c r="B143" s="1"/>
      <x:c r="C143" s="1" t="str">
        <x:v>DOT-008</x:v>
      </x:c>
      <x:c r="D143" s="10" t="str">
        <x:v>BPA professional services</x:v>
      </x:c>
      <x:c r="E143" s="10" t="n">
        <x:v>2</x:v>
      </x:c>
      <x:c r="F143" s="21" t="n">
        <x:f>'Assumptions'!$I$37*(1-'Assumptions'!$K$37)*(1+'Assumptions'!$L$37)*'Assumptions'!$D$9*'Assumptions'!$D$8</x:f>
        <x:v>9.9</x:v>
      </x:c>
      <x:c r="G143" s="21" t="n">
        <x:f>H15*'Assumptions'!$K$37</x:f>
        <x:v>6.75</x:v>
      </x:c>
      <x:c r="H143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143+G143,NA())</x:f>
        <x:v>16.65</x:v>
      </x:c>
      <x:c r="I143" s="22" t="n">
        <x:f>'Assumptions'!$H$37*IF('Assumptions'!$O$37=1,1,'Assumptions'!$D$10)*(1+'Assumptions'!$N$37)^(2-1)</x:f>
        <x:v>600</x:v>
      </x:c>
      <x:c r="J143" s="10" t="n">
        <x:f>H143*I143</x:f>
        <x:v>9990</x:v>
      </x:c>
      <x:c r="K143" s="10" t="n">
        <x:f>J143*'Assumptions'!$T$37</x:f>
        <x:v>9990</x:v>
      </x:c>
      <x:c r="L143" s="10" t="n">
        <x:f>K143*'Assumptions'!$U$37</x:f>
        <x:v>299.7</x:v>
      </x:c>
      <x:c r="M143" s="10" t="n">
        <x:f>K143*'Assumptions'!$V$37</x:f>
        <x:v>0</x:v>
      </x:c>
      <x:c r="N143" s="10" t="n">
        <x:f>K143-L143-M143</x:f>
        <x:v>9690.3</x:v>
      </x:c>
      <x:c r="O143" s="10" t="n">
        <x:f>H143*'Assumptions'!$P$37*'Assumptions'!$Q$37*'Assumptions'!$D$11*(1+'Assumptions'!$D$13)^(2-1)</x:f>
        <x:v>4115.879999999999</x:v>
      </x:c>
      <x:c r="P143" s="10" t="n">
        <x:f>H143*'Assumptions'!$R$37*'Assumptions'!$D$11*(1+'Assumptions'!$D$13)^(2-1)</x:f>
        <x:v>171.495</x:v>
      </x:c>
      <x:c r="Q143" s="10" t="n">
        <x:f>J143*'Assumptions'!$S$37</x:f>
        <x:v>0</x:v>
      </x:c>
      <x:c r="R143" s="10" t="n">
        <x:f>H143*'Assumptions'!$Y$37*'Assumptions'!$Z$37*'Assumptions'!$D$11*(1+'Assumptions'!$D$13)^(2-1)</x:f>
        <x:v>128.62124999999997</x:v>
      </x:c>
      <x:c r="S143" s="10" t="n">
        <x:f>IF(I143=0,0,J143*'Assumptions'!$W$37+H143*'Assumptions'!$X$37)</x:f>
        <x:v>294.70500000000004</x:v>
      </x:c>
      <x:c r="T143" s="10" t="n">
        <x:f>N143*'Assumptions'!$AA$37</x:f>
        <x:v>387.61199999999997</x:v>
      </x:c>
      <x:c r="U143" s="10" t="n">
        <x:f>'Assumptions'!$AE$37*'Assumptions'!$D$11*(1+'Assumptions'!$D$13)^(2-1)</x:f>
        <x:v>0</x:v>
      </x:c>
      <x:c r="V143" s="10" t="n">
        <x:f>0</x:f>
        <x:v>0</x:v>
      </x:c>
      <x:c r="W143" s="10" t="n">
        <x:f>H143*('Assumptions'!$P$37+'Assumptions'!$Y$37)</x:f>
        <x:v>70.76249999999999</x:v>
      </x:c>
      <x:c r="X143" s="10" t="n">
        <x:f>N143/12*'Assumptions'!$AF$37</x:f>
        <x:v>807.525</x:v>
      </x:c>
      <x:c r="Y143" s="10" t="n">
        <x:f>P143/12</x:f>
        <x:v>14.29125</x:v>
      </x:c>
      <x:c r="Z143" s="10" t="n">
        <x:f>0</x:f>
        <x:v>0</x:v>
      </x:c>
      <x:c r="AA143" s="10" t="n">
        <x:f>Z143*'Assumptions'!$AC$37*'Assumptions'!$D$11*(1+'Assumptions'!$D$13)^(2-1)</x:f>
        <x:v>0</x:v>
      </x:c>
      <x:c r="AB143" s="10" t="n">
        <x:f>F143/1</x:f>
        <x:v>9.9</x:v>
      </x:c>
      <x:c r="AC143" s="10" t="n">
        <x:f>AB143/'Assumptions'!$AM$37</x:f>
        <x:v>49.5</x:v>
      </x:c>
      <x:c r="AD143" s="10" t="n">
        <x:f>IF(AB143=0,0,T143/AB143)</x:f>
        <x:v>39.15272727272727</x:v>
      </x:c>
      <x:c r="AE143" s="10" t="n">
        <x:f>AA143*'Assumptions'!$D$21</x:f>
        <x:v>0</x:v>
      </x:c>
    </x:row>
    <x:row r="144" ht="16" customHeight="1">
      <x:c r="A144" s="1"/>
      <x:c r="B144" s="1"/>
      <x:c r="C144" s="1" t="str">
        <x:v>DOT-009</x:v>
      </x:c>
      <x:c r="D144" s="10" t="str">
        <x:v>BPA professional services</x:v>
      </x:c>
      <x:c r="E144" s="10" t="n">
        <x:v>2</x:v>
      </x:c>
      <x:c r="F144" s="21" t="n">
        <x:f>'Assumptions'!$I$38*(1-'Assumptions'!$K$38)*(1+'Assumptions'!$L$38)*'Assumptions'!$D$9*'Assumptions'!$D$8</x:f>
        <x:v>6.6000000000000005</x:v>
      </x:c>
      <x:c r="G144" s="21" t="n">
        <x:f>H16*'Assumptions'!$K$38</x:f>
        <x:v>4.5</x:v>
      </x:c>
      <x:c r="H144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144+G144,NA())</x:f>
        <x:v>11.100000000000001</x:v>
      </x:c>
      <x:c r="I144" s="22" t="n">
        <x:f>'Assumptions'!$H$38*IF('Assumptions'!$O$38=1,1,'Assumptions'!$D$10)*(1+'Assumptions'!$N$38)^(2-1)</x:f>
        <x:v>900</x:v>
      </x:c>
      <x:c r="J144" s="10" t="n">
        <x:f>H144*I144</x:f>
        <x:v>9990.000000000002</x:v>
      </x:c>
      <x:c r="K144" s="10" t="n">
        <x:f>J144*'Assumptions'!$T$38</x:f>
        <x:v>9990.000000000002</x:v>
      </x:c>
      <x:c r="L144" s="10" t="n">
        <x:f>K144*'Assumptions'!$U$38</x:f>
        <x:v>299.70000000000005</x:v>
      </x:c>
      <x:c r="M144" s="10" t="n">
        <x:f>K144*'Assumptions'!$V$38</x:f>
        <x:v>0</x:v>
      </x:c>
      <x:c r="N144" s="10" t="n">
        <x:f>K144-L144-M144</x:f>
        <x:v>9690.300000000001</x:v>
      </x:c>
      <x:c r="O144" s="10" t="n">
        <x:f>H144*'Assumptions'!$P$38*'Assumptions'!$Q$38*'Assumptions'!$D$11*(1+'Assumptions'!$D$13)^(2-1)</x:f>
        <x:v>4115.880000000001</x:v>
      </x:c>
      <x:c r="P144" s="10" t="n">
        <x:f>H144*'Assumptions'!$R$38*'Assumptions'!$D$11*(1+'Assumptions'!$D$13)^(2-1)</x:f>
        <x:v>114.33000000000001</x:v>
      </x:c>
      <x:c r="Q144" s="10" t="n">
        <x:f>J144*'Assumptions'!$S$38</x:f>
        <x:v>0</x:v>
      </x:c>
      <x:c r="R144" s="10" t="n">
        <x:f>H144*'Assumptions'!$Y$38*'Assumptions'!$Z$38*'Assumptions'!$D$11*(1+'Assumptions'!$D$13)^(2-1)</x:f>
        <x:v>85.74750000000002</x:v>
      </x:c>
      <x:c r="S144" s="10" t="n">
        <x:f>IF(I144=0,0,J144*'Assumptions'!$W$38+H144*'Assumptions'!$X$38)</x:f>
        <x:v>293.0400000000001</x:v>
      </x:c>
      <x:c r="T144" s="10" t="n">
        <x:f>N144*'Assumptions'!$AA$38</x:f>
        <x:v>387.6120000000001</x:v>
      </x:c>
      <x:c r="U144" s="10" t="n">
        <x:f>'Assumptions'!$AE$38*'Assumptions'!$D$11*(1+'Assumptions'!$D$13)^(2-1)</x:f>
        <x:v>0</x:v>
      </x:c>
      <x:c r="V144" s="10" t="n">
        <x:f>0</x:f>
        <x:v>0</x:v>
      </x:c>
      <x:c r="W144" s="10" t="n">
        <x:f>H144*('Assumptions'!$P$38+'Assumptions'!$Y$38)</x:f>
        <x:v>69.37500000000001</x:v>
      </x:c>
      <x:c r="X144" s="10" t="n">
        <x:f>N144/12*'Assumptions'!$AF$38</x:f>
        <x:v>807.5250000000001</x:v>
      </x:c>
      <x:c r="Y144" s="10" t="n">
        <x:f>P144/12</x:f>
        <x:v>9.527500000000002</x:v>
      </x:c>
      <x:c r="Z144" s="10" t="n">
        <x:f>0</x:f>
        <x:v>0</x:v>
      </x:c>
      <x:c r="AA144" s="10" t="n">
        <x:f>Z144*'Assumptions'!$AC$38*'Assumptions'!$D$11*(1+'Assumptions'!$D$13)^(2-1)</x:f>
        <x:v>0</x:v>
      </x:c>
      <x:c r="AB144" s="10" t="n">
        <x:f>F144/1</x:f>
        <x:v>6.6000000000000005</x:v>
      </x:c>
      <x:c r="AC144" s="10" t="n">
        <x:f>AB144/'Assumptions'!$AM$38</x:f>
        <x:v>33</x:v>
      </x:c>
      <x:c r="AD144" s="10" t="n">
        <x:f>IF(AB144=0,0,T144/AB144)</x:f>
        <x:v>58.729090909090914</x:v>
      </x:c>
      <x:c r="AE144" s="10" t="n">
        <x:f>AA144*'Assumptions'!$D$21</x:f>
        <x:v>0</x:v>
      </x:c>
    </x:row>
    <x:row r="145" ht="16" customHeight="1">
      <x:c r="A145" s="1"/>
      <x:c r="B145" s="1"/>
      <x:c r="C145" s="1" t="str">
        <x:v>DOT-010</x:v>
      </x:c>
      <x:c r="D145" s="10" t="str">
        <x:v>BPA professional services</x:v>
      </x:c>
      <x:c r="E145" s="10" t="n">
        <x:v>2</x:v>
      </x:c>
      <x:c r="F145" s="21" t="n">
        <x:f>'Assumptions'!$I$39*(1-'Assumptions'!$K$39)*(1+'Assumptions'!$L$39)*'Assumptions'!$D$9*'Assumptions'!$D$8</x:f>
        <x:v>6.6000000000000005</x:v>
      </x:c>
      <x:c r="G145" s="21" t="n">
        <x:f>H17*'Assumptions'!$K$39</x:f>
        <x:v>4.5</x:v>
      </x:c>
      <x:c r="H145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145+G145,NA())</x:f>
        <x:v>11.100000000000001</x:v>
      </x:c>
      <x:c r="I145" s="22" t="n">
        <x:f>'Assumptions'!$H$39*IF('Assumptions'!$O$39=1,1,'Assumptions'!$D$10)*(1+'Assumptions'!$N$39)^(2-1)</x:f>
        <x:v>1800</x:v>
      </x:c>
      <x:c r="J145" s="10" t="n">
        <x:f>H145*I145</x:f>
        <x:v>19980.000000000004</x:v>
      </x:c>
      <x:c r="K145" s="10" t="n">
        <x:f>J145*'Assumptions'!$T$39</x:f>
        <x:v>19980.000000000004</x:v>
      </x:c>
      <x:c r="L145" s="10" t="n">
        <x:f>K145*'Assumptions'!$U$39</x:f>
        <x:v>599.4000000000001</x:v>
      </x:c>
      <x:c r="M145" s="10" t="n">
        <x:f>K145*'Assumptions'!$V$39</x:f>
        <x:v>0</x:v>
      </x:c>
      <x:c r="N145" s="10" t="n">
        <x:f>K145-L145-M145</x:f>
        <x:v>19380.600000000002</x:v>
      </x:c>
      <x:c r="O145" s="10" t="n">
        <x:f>H145*'Assumptions'!$P$39*'Assumptions'!$Q$39*'Assumptions'!$D$11*(1+'Assumptions'!$D$13)^(2-1)</x:f>
        <x:v>8231.760000000002</x:v>
      </x:c>
      <x:c r="P145" s="10" t="n">
        <x:f>H145*'Assumptions'!$R$39*'Assumptions'!$D$11*(1+'Assumptions'!$D$13)^(2-1)</x:f>
        <x:v>114.33000000000001</x:v>
      </x:c>
      <x:c r="Q145" s="10" t="n">
        <x:f>J145*'Assumptions'!$S$39</x:f>
        <x:v>0</x:v>
      </x:c>
      <x:c r="R145" s="10" t="n">
        <x:f>H145*'Assumptions'!$Y$39*'Assumptions'!$Z$39*'Assumptions'!$D$11*(1+'Assumptions'!$D$13)^(2-1)</x:f>
        <x:v>85.74750000000002</x:v>
      </x:c>
      <x:c r="S145" s="10" t="n">
        <x:f>IF(I145=0,0,J145*'Assumptions'!$W$39+H145*'Assumptions'!$X$39)</x:f>
        <x:v>582.7500000000002</x:v>
      </x:c>
      <x:c r="T145" s="10" t="n">
        <x:f>N145*'Assumptions'!$AA$39</x:f>
        <x:v>775.2240000000002</x:v>
      </x:c>
      <x:c r="U145" s="10" t="n">
        <x:f>'Assumptions'!$AE$39*'Assumptions'!$D$11*(1+'Assumptions'!$D$13)^(2-1)</x:f>
        <x:v>0</x:v>
      </x:c>
      <x:c r="V145" s="10" t="n">
        <x:f>0</x:f>
        <x:v>0</x:v>
      </x:c>
      <x:c r="W145" s="10" t="n">
        <x:f>H145*('Assumptions'!$P$39+'Assumptions'!$Y$39)</x:f>
        <x:v>135.97500000000002</x:v>
      </x:c>
      <x:c r="X145" s="10" t="n">
        <x:f>N145/12*'Assumptions'!$AF$39</x:f>
        <x:v>1615.0500000000002</x:v>
      </x:c>
      <x:c r="Y145" s="10" t="n">
        <x:f>P145/12</x:f>
        <x:v>9.527500000000002</x:v>
      </x:c>
      <x:c r="Z145" s="10" t="n">
        <x:f>0</x:f>
        <x:v>0</x:v>
      </x:c>
      <x:c r="AA145" s="10" t="n">
        <x:f>Z145*'Assumptions'!$AC$39*'Assumptions'!$D$11*(1+'Assumptions'!$D$13)^(2-1)</x:f>
        <x:v>0</x:v>
      </x:c>
      <x:c r="AB145" s="10" t="n">
        <x:f>F145/1</x:f>
        <x:v>6.6000000000000005</x:v>
      </x:c>
      <x:c r="AC145" s="10" t="n">
        <x:f>AB145/'Assumptions'!$AM$39</x:f>
        <x:v>33</x:v>
      </x:c>
      <x:c r="AD145" s="10" t="n">
        <x:f>IF(AB145=0,0,T145/AB145)</x:f>
        <x:v>117.45818181818183</x:v>
      </x:c>
      <x:c r="AE145" s="10" t="n">
        <x:f>AA145*'Assumptions'!$D$21</x:f>
        <x:v>0</x:v>
      </x:c>
    </x:row>
    <x:row r="146" ht="16" customHeight="1">
      <x:c r="A146" s="1"/>
      <x:c r="B146" s="1"/>
      <x:c r="C146" s="1" t="str">
        <x:v>DOT-011</x:v>
      </x:c>
      <x:c r="D146" s="10" t="str">
        <x:v>BPA professional services</x:v>
      </x:c>
      <x:c r="E146" s="10" t="n">
        <x:v>2</x:v>
      </x:c>
      <x:c r="F146" s="21" t="n">
        <x:f>'Assumptions'!$I$40*(1-'Assumptions'!$K$40)*(1+'Assumptions'!$L$40)*'Assumptions'!$D$9*'Assumptions'!$D$8</x:f>
        <x:v>19.8</x:v>
      </x:c>
      <x:c r="G146" s="21" t="n">
        <x:f>H18*'Assumptions'!$K$40</x:f>
        <x:v>13.5</x:v>
      </x:c>
      <x:c r="H146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146+G146,NA())</x:f>
        <x:v>33.3</x:v>
      </x:c>
      <x:c r="I146" s="22" t="n">
        <x:f>'Assumptions'!$H$40*IF('Assumptions'!$O$40=1,1,'Assumptions'!$D$10)*(1+'Assumptions'!$N$40)^(2-1)</x:f>
        <x:v>600</x:v>
      </x:c>
      <x:c r="J146" s="10" t="n">
        <x:f>H146*I146</x:f>
        <x:v>19980</x:v>
      </x:c>
      <x:c r="K146" s="10" t="n">
        <x:f>J146*'Assumptions'!$T$40</x:f>
        <x:v>19980</x:v>
      </x:c>
      <x:c r="L146" s="10" t="n">
        <x:f>K146*'Assumptions'!$U$40</x:f>
        <x:v>599.4</x:v>
      </x:c>
      <x:c r="M146" s="10" t="n">
        <x:f>K146*'Assumptions'!$V$40</x:f>
        <x:v>0</x:v>
      </x:c>
      <x:c r="N146" s="10" t="n">
        <x:f>K146-L146-M146</x:f>
        <x:v>19380.6</x:v>
      </x:c>
      <x:c r="O146" s="10" t="n">
        <x:f>H146*'Assumptions'!$P$40*'Assumptions'!$Q$40*'Assumptions'!$D$11*(1+'Assumptions'!$D$13)^(2-1)</x:f>
        <x:v>8231.759999999998</x:v>
      </x:c>
      <x:c r="P146" s="10" t="n">
        <x:f>H146*'Assumptions'!$R$40*'Assumptions'!$D$11*(1+'Assumptions'!$D$13)^(2-1)</x:f>
        <x:v>342.99</x:v>
      </x:c>
      <x:c r="Q146" s="10" t="n">
        <x:f>J146*'Assumptions'!$S$40</x:f>
        <x:v>0</x:v>
      </x:c>
      <x:c r="R146" s="10" t="n">
        <x:f>H146*'Assumptions'!$Y$40*'Assumptions'!$Z$40*'Assumptions'!$D$11*(1+'Assumptions'!$D$13)^(2-1)</x:f>
        <x:v>257.24249999999995</x:v>
      </x:c>
      <x:c r="S146" s="10" t="n">
        <x:f>IF(I146=0,0,J146*'Assumptions'!$W$40+H146*'Assumptions'!$X$40)</x:f>
        <x:v>589.4100000000001</x:v>
      </x:c>
      <x:c r="T146" s="10" t="n">
        <x:f>N146*'Assumptions'!$AA$40</x:f>
        <x:v>775.2239999999999</x:v>
      </x:c>
      <x:c r="U146" s="10" t="n">
        <x:f>'Assumptions'!$AE$40*'Assumptions'!$D$11*(1+'Assumptions'!$D$13)^(2-1)</x:f>
        <x:v>0</x:v>
      </x:c>
      <x:c r="V146" s="10" t="n">
        <x:f>0</x:f>
        <x:v>0</x:v>
      </x:c>
      <x:c r="W146" s="10" t="n">
        <x:f>H146*('Assumptions'!$P$40+'Assumptions'!$Y$40)</x:f>
        <x:v>141.52499999999998</x:v>
      </x:c>
      <x:c r="X146" s="10" t="n">
        <x:f>N146/12*'Assumptions'!$AF$40</x:f>
        <x:v>1615.05</x:v>
      </x:c>
      <x:c r="Y146" s="10" t="n">
        <x:f>P146/12</x:f>
        <x:v>28.5825</x:v>
      </x:c>
      <x:c r="Z146" s="10" t="n">
        <x:f>0</x:f>
        <x:v>0</x:v>
      </x:c>
      <x:c r="AA146" s="10" t="n">
        <x:f>Z146*'Assumptions'!$AC$40*'Assumptions'!$D$11*(1+'Assumptions'!$D$13)^(2-1)</x:f>
        <x:v>0</x:v>
      </x:c>
      <x:c r="AB146" s="10" t="n">
        <x:f>F146/12</x:f>
        <x:v>1.6500000000000001</x:v>
      </x:c>
      <x:c r="AC146" s="10" t="n">
        <x:f>AB146/'Assumptions'!$AM$40</x:f>
        <x:v>8.25</x:v>
      </x:c>
      <x:c r="AD146" s="10" t="n">
        <x:f>IF(AB146=0,0,T146/AB146)</x:f>
        <x:v>469.8327272727272</x:v>
      </x:c>
      <x:c r="AE146" s="10" t="n">
        <x:f>AA146*'Assumptions'!$D$21</x:f>
        <x:v>0</x:v>
      </x:c>
    </x:row>
    <x:row r="147" ht="16" customHeight="1">
      <x:c r="A147" s="1"/>
      <x:c r="B147" s="1"/>
      <x:c r="C147" s="1" t="str">
        <x:v>DOT-012</x:v>
      </x:c>
      <x:c r="D147" s="10" t="str">
        <x:v>BPA professional services</x:v>
      </x:c>
      <x:c r="E147" s="10" t="n">
        <x:v>2</x:v>
      </x:c>
      <x:c r="F147" s="21" t="n">
        <x:f>'Assumptions'!$I$41*(1-'Assumptions'!$K$41)*(1+'Assumptions'!$L$41)*'Assumptions'!$D$9*'Assumptions'!$D$8</x:f>
        <x:v>13.200000000000001</x:v>
      </x:c>
      <x:c r="G147" s="21" t="n">
        <x:f>H19*'Assumptions'!$K$41</x:f>
        <x:v>9</x:v>
      </x:c>
      <x:c r="H147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147+G147,NA())</x:f>
        <x:v>22.200000000000003</x:v>
      </x:c>
      <x:c r="I147" s="22" t="n">
        <x:f>'Assumptions'!$H$41*IF('Assumptions'!$O$41=1,1,'Assumptions'!$D$10)*(1+'Assumptions'!$N$41)^(2-1)</x:f>
        <x:v>1080</x:v>
      </x:c>
      <x:c r="J147" s="10" t="n">
        <x:f>H147*I147</x:f>
        <x:v>23976.000000000004</x:v>
      </x:c>
      <x:c r="K147" s="10" t="n">
        <x:f>J147*'Assumptions'!$T$41</x:f>
        <x:v>23976.000000000004</x:v>
      </x:c>
      <x:c r="L147" s="10" t="n">
        <x:f>K147*'Assumptions'!$U$41</x:f>
        <x:v>719.2800000000001</x:v>
      </x:c>
      <x:c r="M147" s="10" t="n">
        <x:f>K147*'Assumptions'!$V$41</x:f>
        <x:v>0</x:v>
      </x:c>
      <x:c r="N147" s="10" t="n">
        <x:f>K147-L147-M147</x:f>
        <x:v>23256.720000000005</x:v>
      </x:c>
      <x:c r="O147" s="10" t="n">
        <x:f>H147*'Assumptions'!$P$41*'Assumptions'!$Q$41*'Assumptions'!$D$11*(1+'Assumptions'!$D$13)^(2-1)</x:f>
        <x:v>10975.680000000002</x:v>
      </x:c>
      <x:c r="P147" s="10" t="n">
        <x:f>H147*'Assumptions'!$R$41*'Assumptions'!$D$11*(1+'Assumptions'!$D$13)^(2-1)</x:f>
        <x:v>228.66000000000003</x:v>
      </x:c>
      <x:c r="Q147" s="10" t="n">
        <x:f>J147*'Assumptions'!$S$41</x:f>
        <x:v>0</x:v>
      </x:c>
      <x:c r="R147" s="10" t="n">
        <x:f>H147*'Assumptions'!$Y$41*'Assumptions'!$Z$41*'Assumptions'!$D$11*(1+'Assumptions'!$D$13)^(2-1)</x:f>
        <x:v>171.49500000000003</x:v>
      </x:c>
      <x:c r="S147" s="10" t="n">
        <x:f>IF(I147=0,0,J147*'Assumptions'!$W$41+H147*'Assumptions'!$X$41)</x:f>
        <x:v>701.964</x:v>
      </x:c>
      <x:c r="T147" s="10" t="n">
        <x:f>N147*'Assumptions'!$AA$41</x:f>
        <x:v>930.2688000000002</x:v>
      </x:c>
      <x:c r="U147" s="10" t="n">
        <x:f>'Assumptions'!$AE$41*'Assumptions'!$D$11*(1+'Assumptions'!$D$13)^(2-1)</x:f>
        <x:v>0</x:v>
      </x:c>
      <x:c r="V147" s="10" t="n">
        <x:f>0</x:f>
        <x:v>0</x:v>
      </x:c>
      <x:c r="W147" s="10" t="n">
        <x:f>H147*('Assumptions'!$P$41+'Assumptions'!$Y$41)</x:f>
        <x:v>183.15000000000003</x:v>
      </x:c>
      <x:c r="X147" s="10" t="n">
        <x:f>N147/12*'Assumptions'!$AF$41</x:f>
        <x:v>1938.0600000000004</x:v>
      </x:c>
      <x:c r="Y147" s="10" t="n">
        <x:f>P147/12</x:f>
        <x:v>19.055000000000003</x:v>
      </x:c>
      <x:c r="Z147" s="10" t="n">
        <x:f>0</x:f>
        <x:v>0</x:v>
      </x:c>
      <x:c r="AA147" s="10" t="n">
        <x:f>Z147*'Assumptions'!$AC$41*'Assumptions'!$D$11*(1+'Assumptions'!$D$13)^(2-1)</x:f>
        <x:v>0</x:v>
      </x:c>
      <x:c r="AB147" s="10" t="n">
        <x:f>F147/12</x:f>
        <x:v>1.1</x:v>
      </x:c>
      <x:c r="AC147" s="10" t="n">
        <x:f>AB147/'Assumptions'!$AM$41</x:f>
        <x:v>5.5</x:v>
      </x:c>
      <x:c r="AD147" s="10" t="n">
        <x:f>IF(AB147=0,0,T147/AB147)</x:f>
        <x:v>845.6989090909092</x:v>
      </x:c>
      <x:c r="AE147" s="10" t="n">
        <x:f>AA147*'Assumptions'!$D$21</x:f>
        <x:v>0</x:v>
      </x:c>
    </x:row>
    <x:row r="148" ht="16" customHeight="1">
      <x:c r="A148" s="1"/>
      <x:c r="B148" s="1"/>
      <x:c r="C148" s="1" t="str">
        <x:v>DOT-013</x:v>
      </x:c>
      <x:c r="D148" s="10" t="str">
        <x:v>BPA professional services</x:v>
      </x:c>
      <x:c r="E148" s="10" t="n">
        <x:v>2</x:v>
      </x:c>
      <x:c r="F148" s="21" t="n">
        <x:f>'Assumptions'!$I$42*(1-'Assumptions'!$K$42)*(1+'Assumptions'!$L$42)*'Assumptions'!$D$9*'Assumptions'!$D$8</x:f>
        <x:v>9.9</x:v>
      </x:c>
      <x:c r="G148" s="21" t="n">
        <x:f>H20*'Assumptions'!$K$42</x:f>
        <x:v>6.75</x:v>
      </x:c>
      <x:c r="H148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148+G148,NA())</x:f>
        <x:v>16.65</x:v>
      </x:c>
      <x:c r="I148" s="22" t="n">
        <x:f>'Assumptions'!$H$42*IF('Assumptions'!$O$42=1,1,'Assumptions'!$D$10)*(1+'Assumptions'!$N$42)^(2-1)</x:f>
        <x:v>2160</x:v>
      </x:c>
      <x:c r="J148" s="10" t="n">
        <x:f>H148*I148</x:f>
        <x:v>35964</x:v>
      </x:c>
      <x:c r="K148" s="10" t="n">
        <x:f>J148*'Assumptions'!$T$42</x:f>
        <x:v>35964</x:v>
      </x:c>
      <x:c r="L148" s="10" t="n">
        <x:f>K148*'Assumptions'!$U$42</x:f>
        <x:v>1078.92</x:v>
      </x:c>
      <x:c r="M148" s="10" t="n">
        <x:f>K148*'Assumptions'!$V$42</x:f>
        <x:v>0</x:v>
      </x:c>
      <x:c r="N148" s="10" t="n">
        <x:f>K148-L148-M148</x:f>
        <x:v>34885.08</x:v>
      </x:c>
      <x:c r="O148" s="10" t="n">
        <x:f>H148*'Assumptions'!$P$42*'Assumptions'!$Q$42*'Assumptions'!$D$11*(1+'Assumptions'!$D$13)^(2-1)</x:f>
        <x:v>16463.519999999997</x:v>
      </x:c>
      <x:c r="P148" s="10" t="n">
        <x:f>H148*'Assumptions'!$R$42*'Assumptions'!$D$11*(1+'Assumptions'!$D$13)^(2-1)</x:f>
        <x:v>171.495</x:v>
      </x:c>
      <x:c r="Q148" s="10" t="n">
        <x:f>J148*'Assumptions'!$S$42</x:f>
        <x:v>0</x:v>
      </x:c>
      <x:c r="R148" s="10" t="n">
        <x:f>H148*'Assumptions'!$Y$42*'Assumptions'!$Z$42*'Assumptions'!$D$11*(1+'Assumptions'!$D$13)^(2-1)</x:f>
        <x:v>128.62124999999997</x:v>
      </x:c>
      <x:c r="S148" s="10" t="n">
        <x:f>IF(I148=0,0,J148*'Assumptions'!$W$42+H148*'Assumptions'!$X$42)</x:f>
        <x:v>1047.951</x:v>
      </x:c>
      <x:c r="T148" s="10" t="n">
        <x:f>N148*'Assumptions'!$AA$42</x:f>
        <x:v>1395.4032000000002</x:v>
      </x:c>
      <x:c r="U148" s="10" t="n">
        <x:f>'Assumptions'!$AE$42*'Assumptions'!$D$11*(1+'Assumptions'!$D$13)^(2-1)</x:f>
        <x:v>0</x:v>
      </x:c>
      <x:c r="V148" s="10" t="n">
        <x:f>0</x:f>
        <x:v>0</x:v>
      </x:c>
      <x:c r="W148" s="10" t="n">
        <x:f>H148*('Assumptions'!$P$42+'Assumptions'!$Y$42)</x:f>
        <x:v>270.5625</x:v>
      </x:c>
      <x:c r="X148" s="10" t="n">
        <x:f>N148/12*'Assumptions'!$AF$42</x:f>
        <x:v>2907.09</x:v>
      </x:c>
      <x:c r="Y148" s="10" t="n">
        <x:f>P148/12</x:f>
        <x:v>14.29125</x:v>
      </x:c>
      <x:c r="Z148" s="10" t="n">
        <x:f>0</x:f>
        <x:v>0</x:v>
      </x:c>
      <x:c r="AA148" s="10" t="n">
        <x:f>Z148*'Assumptions'!$AC$42*'Assumptions'!$D$11*(1+'Assumptions'!$D$13)^(2-1)</x:f>
        <x:v>0</x:v>
      </x:c>
      <x:c r="AB148" s="10" t="n">
        <x:f>F148/12</x:f>
        <x:v>0.8250000000000001</x:v>
      </x:c>
      <x:c r="AC148" s="10" t="n">
        <x:f>AB148/'Assumptions'!$AM$42</x:f>
        <x:v>4.125</x:v>
      </x:c>
      <x:c r="AD148" s="10" t="n">
        <x:f>IF(AB148=0,0,T148/AB148)</x:f>
        <x:v>1691.3978181818184</x:v>
      </x:c>
      <x:c r="AE148" s="10" t="n">
        <x:f>AA148*'Assumptions'!$D$21</x:f>
        <x:v>0</x:v>
      </x:c>
    </x:row>
    <x:row r="149" ht="16" customHeight="1">
      <x:c r="A149" s="1"/>
      <x:c r="B149" s="1"/>
      <x:c r="C149" s="1" t="str">
        <x:v>DOT-014</x:v>
      </x:c>
      <x:c r="D149" s="10" t="str">
        <x:v>BPA professional services</x:v>
      </x:c>
      <x:c r="E149" s="10" t="n">
        <x:v>2</x:v>
      </x:c>
      <x:c r="F149" s="21" t="n">
        <x:f>'Assumptions'!$I$43*(1-'Assumptions'!$K$43)*(1+'Assumptions'!$L$43)*'Assumptions'!$D$9*'Assumptions'!$D$8</x:f>
        <x:v>6.6000000000000005</x:v>
      </x:c>
      <x:c r="G149" s="21" t="n">
        <x:f>H21*'Assumptions'!$K$43</x:f>
        <x:v>4.5</x:v>
      </x:c>
      <x:c r="H149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149+G149,NA())</x:f>
        <x:v>11.100000000000001</x:v>
      </x:c>
      <x:c r="I149" s="22" t="n">
        <x:f>'Assumptions'!$H$43*IF('Assumptions'!$O$43=1,1,'Assumptions'!$D$10)*(1+'Assumptions'!$N$43)^(2-1)</x:f>
        <x:v>3000</x:v>
      </x:c>
      <x:c r="J149" s="10" t="n">
        <x:f>H149*I149</x:f>
        <x:v>33300.00000000001</x:v>
      </x:c>
      <x:c r="K149" s="10" t="n">
        <x:f>J149*'Assumptions'!$T$43</x:f>
        <x:v>33300.00000000001</x:v>
      </x:c>
      <x:c r="L149" s="10" t="n">
        <x:f>K149*'Assumptions'!$U$43</x:f>
        <x:v>999.0000000000002</x:v>
      </x:c>
      <x:c r="M149" s="10" t="n">
        <x:f>K149*'Assumptions'!$V$43</x:f>
        <x:v>0</x:v>
      </x:c>
      <x:c r="N149" s="10" t="n">
        <x:f>K149-L149-M149</x:f>
        <x:v>32301.000000000007</x:v>
      </x:c>
      <x:c r="O149" s="10" t="n">
        <x:f>H149*'Assumptions'!$P$43*'Assumptions'!$Q$43*'Assumptions'!$D$11*(1+'Assumptions'!$D$13)^(2-1)</x:f>
        <x:v>13719.600000000002</x:v>
      </x:c>
      <x:c r="P149" s="10" t="n">
        <x:f>H149*'Assumptions'!$R$43*'Assumptions'!$D$11*(1+'Assumptions'!$D$13)^(2-1)</x:f>
        <x:v>114.33000000000001</x:v>
      </x:c>
      <x:c r="Q149" s="10" t="n">
        <x:f>J149*'Assumptions'!$S$43</x:f>
        <x:v>0</x:v>
      </x:c>
      <x:c r="R149" s="10" t="n">
        <x:f>H149*'Assumptions'!$Y$43*'Assumptions'!$Z$43*'Assumptions'!$D$11*(1+'Assumptions'!$D$13)^(2-1)</x:f>
        <x:v>85.74750000000002</x:v>
      </x:c>
      <x:c r="S149" s="10" t="n">
        <x:f>IF(I149=0,0,J149*'Assumptions'!$W$43+H149*'Assumptions'!$X$43)</x:f>
        <x:v>969.0300000000003</x:v>
      </x:c>
      <x:c r="T149" s="10" t="n">
        <x:f>N149*'Assumptions'!$AA$43</x:f>
        <x:v>1292.0400000000004</x:v>
      </x:c>
      <x:c r="U149" s="10" t="n">
        <x:f>'Assumptions'!$AE$43*'Assumptions'!$D$11*(1+'Assumptions'!$D$13)^(2-1)</x:f>
        <x:v>0</x:v>
      </x:c>
      <x:c r="V149" s="10" t="n">
        <x:f>0</x:f>
        <x:v>0</x:v>
      </x:c>
      <x:c r="W149" s="10" t="n">
        <x:f>H149*('Assumptions'!$P$43+'Assumptions'!$Y$43)</x:f>
        <x:v>224.77500000000003</x:v>
      </x:c>
      <x:c r="X149" s="10" t="n">
        <x:f>N149/12*'Assumptions'!$AF$43</x:f>
        <x:v>2691.7500000000005</x:v>
      </x:c>
      <x:c r="Y149" s="10" t="n">
        <x:f>P149/12</x:f>
        <x:v>9.527500000000002</x:v>
      </x:c>
      <x:c r="Z149" s="10" t="n">
        <x:f>0</x:f>
        <x:v>0</x:v>
      </x:c>
      <x:c r="AA149" s="10" t="n">
        <x:f>Z149*'Assumptions'!$AC$43*'Assumptions'!$D$11*(1+'Assumptions'!$D$13)^(2-1)</x:f>
        <x:v>0</x:v>
      </x:c>
      <x:c r="AB149" s="10" t="n">
        <x:f>F149/12</x:f>
        <x:v>0.55</x:v>
      </x:c>
      <x:c r="AC149" s="10" t="n">
        <x:f>AB149/'Assumptions'!$AM$43</x:f>
        <x:v>2.75</x:v>
      </x:c>
      <x:c r="AD149" s="10" t="n">
        <x:f>IF(AB149=0,0,T149/AB149)</x:f>
        <x:v>2349.163636363637</x:v>
      </x:c>
      <x:c r="AE149" s="10" t="n">
        <x:f>AA149*'Assumptions'!$D$21</x:f>
        <x:v>0</x:v>
      </x:c>
    </x:row>
    <x:row r="150" ht="16" customHeight="1">
      <x:c r="A150" s="1"/>
      <x:c r="B150" s="1"/>
      <x:c r="C150" s="1" t="str">
        <x:v>DOT-015</x:v>
      </x:c>
      <x:c r="D150" s="10" t="str">
        <x:v>BPA professional services</x:v>
      </x:c>
      <x:c r="E150" s="10" t="n">
        <x:v>2</x:v>
      </x:c>
      <x:c r="F150" s="21" t="n">
        <x:f>'Assumptions'!$I$44*(1-'Assumptions'!$K$44)*(1+'Assumptions'!$L$44)*'Assumptions'!$D$9*'Assumptions'!$D$8</x:f>
        <x:v>5.5</x:v>
      </x:c>
      <x:c r="G150" s="21" t="n">
        <x:f>H22*'Assumptions'!$K$44</x:f>
        <x:v>3.75</x:v>
      </x:c>
      <x:c r="H150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150+G150,NA())</x:f>
        <x:v>9.25</x:v>
      </x:c>
      <x:c r="I150" s="22" t="n">
        <x:f>'Assumptions'!$H$44*IF('Assumptions'!$O$44=1,1,'Assumptions'!$D$10)*(1+'Assumptions'!$N$44)^(2-1)</x:f>
        <x:v>1200</x:v>
      </x:c>
      <x:c r="J150" s="10" t="n">
        <x:f>H150*I150</x:f>
        <x:v>11100</x:v>
      </x:c>
      <x:c r="K150" s="10" t="n">
        <x:f>J150*'Assumptions'!$T$44</x:f>
        <x:v>11100</x:v>
      </x:c>
      <x:c r="L150" s="10" t="n">
        <x:f>K150*'Assumptions'!$U$44</x:f>
        <x:v>333</x:v>
      </x:c>
      <x:c r="M150" s="10" t="n">
        <x:f>K150*'Assumptions'!$V$44</x:f>
        <x:v>0</x:v>
      </x:c>
      <x:c r="N150" s="10" t="n">
        <x:f>K150-L150-M150</x:f>
        <x:v>10767</x:v>
      </x:c>
      <x:c r="O150" s="10" t="n">
        <x:f>H150*'Assumptions'!$P$44*'Assumptions'!$Q$44*'Assumptions'!$D$11*(1+'Assumptions'!$D$13)^(2-1)</x:f>
        <x:v>5716.5</x:v>
      </x:c>
      <x:c r="P150" s="10" t="n">
        <x:f>H150*'Assumptions'!$R$44*'Assumptions'!$D$11*(1+'Assumptions'!$D$13)^(2-1)</x:f>
        <x:v>95.275</x:v>
      </x:c>
      <x:c r="Q150" s="10" t="n">
        <x:f>J150*'Assumptions'!$S$44</x:f>
        <x:v>0</x:v>
      </x:c>
      <x:c r="R150" s="10" t="n">
        <x:f>H150*'Assumptions'!$Y$44*'Assumptions'!$Z$44*'Assumptions'!$D$11*(1+'Assumptions'!$D$13)^(2-1)</x:f>
        <x:v>71.45625</x:v>
      </x:c>
      <x:c r="S150" s="10" t="n">
        <x:f>IF(I150=0,0,J150*'Assumptions'!$W$44+H150*'Assumptions'!$X$44)</x:f>
        <x:v>324.675</x:v>
      </x:c>
      <x:c r="T150" s="10" t="n">
        <x:f>N150*'Assumptions'!$AA$44</x:f>
        <x:v>430.68</x:v>
      </x:c>
      <x:c r="U150" s="10" t="n">
        <x:f>'Assumptions'!$AE$44*'Assumptions'!$D$11*(1+'Assumptions'!$D$13)^(2-1)</x:f>
        <x:v>0</x:v>
      </x:c>
      <x:c r="V150" s="10" t="n">
        <x:f>0</x:f>
        <x:v>0</x:v>
      </x:c>
      <x:c r="W150" s="10" t="n">
        <x:f>H150*('Assumptions'!$P$44+'Assumptions'!$Y$44)</x:f>
        <x:v>94.8125</x:v>
      </x:c>
      <x:c r="X150" s="10" t="n">
        <x:f>N150/12*'Assumptions'!$AF$44</x:f>
        <x:v>897.25</x:v>
      </x:c>
      <x:c r="Y150" s="10" t="n">
        <x:f>P150/12</x:f>
        <x:v>7.939583333333334</x:v>
      </x:c>
      <x:c r="Z150" s="10" t="n">
        <x:f>0</x:f>
        <x:v>0</x:v>
      </x:c>
      <x:c r="AA150" s="10" t="n">
        <x:f>Z150*'Assumptions'!$AC$44*'Assumptions'!$D$11*(1+'Assumptions'!$D$13)^(2-1)</x:f>
        <x:v>0</x:v>
      </x:c>
      <x:c r="AB150" s="10" t="n">
        <x:f>F150/1</x:f>
        <x:v>5.5</x:v>
      </x:c>
      <x:c r="AC150" s="10" t="n">
        <x:f>AB150/'Assumptions'!$AM$44</x:f>
        <x:v>27.5</x:v>
      </x:c>
      <x:c r="AD150" s="10" t="n">
        <x:f>IF(AB150=0,0,T150/AB150)</x:f>
        <x:v>78.30545454545455</x:v>
      </x:c>
      <x:c r="AE150" s="10" t="n">
        <x:f>AA150*'Assumptions'!$D$21</x:f>
        <x:v>0</x:v>
      </x:c>
    </x:row>
    <x:row r="151" ht="16" customHeight="1">
      <x:c r="A151" s="1"/>
      <x:c r="B151" s="1"/>
      <x:c r="C151" s="1" t="str">
        <x:v>DOT-016</x:v>
      </x:c>
      <x:c r="D151" s="10" t="str">
        <x:v>BPA professional services</x:v>
      </x:c>
      <x:c r="E151" s="10" t="n">
        <x:v>2</x:v>
      </x:c>
      <x:c r="F151" s="21" t="n">
        <x:f>'Assumptions'!$I$45*(1-'Assumptions'!$K$45)*(1+'Assumptions'!$L$45)*'Assumptions'!$D$9*'Assumptions'!$D$8</x:f>
        <x:v>3.3000000000000003</x:v>
      </x:c>
      <x:c r="G151" s="21" t="n">
        <x:f>H23*'Assumptions'!$K$45</x:f>
        <x:v>2.25</x:v>
      </x:c>
      <x:c r="H151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151+G151,NA())</x:f>
        <x:v>5.550000000000001</x:v>
      </x:c>
      <x:c r="I151" s="22" t="n">
        <x:f>'Assumptions'!$H$45*IF('Assumptions'!$O$45=1,1,'Assumptions'!$D$10)*(1+'Assumptions'!$N$45)^(2-1)</x:f>
        <x:v>1800</x:v>
      </x:c>
      <x:c r="J151" s="10" t="n">
        <x:f>H151*I151</x:f>
        <x:v>9990.000000000002</x:v>
      </x:c>
      <x:c r="K151" s="10" t="n">
        <x:f>J151*'Assumptions'!$T$45</x:f>
        <x:v>9990.000000000002</x:v>
      </x:c>
      <x:c r="L151" s="10" t="n">
        <x:f>K151*'Assumptions'!$U$45</x:f>
        <x:v>299.70000000000005</x:v>
      </x:c>
      <x:c r="M151" s="10" t="n">
        <x:f>K151*'Assumptions'!$V$45</x:f>
        <x:v>0</x:v>
      </x:c>
      <x:c r="N151" s="10" t="n">
        <x:f>K151-L151-M151</x:f>
        <x:v>9690.300000000001</x:v>
      </x:c>
      <x:c r="O151" s="10" t="n">
        <x:f>H151*'Assumptions'!$P$45*'Assumptions'!$Q$45*'Assumptions'!$D$11*(1+'Assumptions'!$D$13)^(2-1)</x:f>
        <x:v>1714.9500000000003</x:v>
      </x:c>
      <x:c r="P151" s="10" t="n">
        <x:f>H151*'Assumptions'!$R$45*'Assumptions'!$D$11*(1+'Assumptions'!$D$13)^(2-1)</x:f>
        <x:v>57.165000000000006</x:v>
      </x:c>
      <x:c r="Q151" s="10" t="n">
        <x:f>J151*'Assumptions'!$S$45</x:f>
        <x:v>0</x:v>
      </x:c>
      <x:c r="R151" s="10" t="n">
        <x:f>H151*'Assumptions'!$Y$45*'Assumptions'!$Z$45*'Assumptions'!$D$11*(1+'Assumptions'!$D$13)^(2-1)</x:f>
        <x:v>42.87375000000001</x:v>
      </x:c>
      <x:c r="S151" s="10" t="n">
        <x:f>IF(I151=0,0,J151*'Assumptions'!$W$45+H151*'Assumptions'!$X$45)</x:f>
        <x:v>291.3750000000001</x:v>
      </x:c>
      <x:c r="T151" s="10" t="n">
        <x:f>N151*'Assumptions'!$AA$45</x:f>
        <x:v>387.6120000000001</x:v>
      </x:c>
      <x:c r="U151" s="10" t="n">
        <x:f>'Assumptions'!$AE$45*'Assumptions'!$D$11*(1+'Assumptions'!$D$13)^(2-1)</x:f>
        <x:v>0</x:v>
      </x:c>
      <x:c r="V151" s="10" t="n">
        <x:f>0</x:f>
        <x:v>0</x:v>
      </x:c>
      <x:c r="W151" s="10" t="n">
        <x:f>H151*('Assumptions'!$P$45+'Assumptions'!$Y$45)</x:f>
        <x:v>29.137500000000003</x:v>
      </x:c>
      <x:c r="X151" s="10" t="n">
        <x:f>N151/12*'Assumptions'!$AF$45</x:f>
        <x:v>807.5250000000001</x:v>
      </x:c>
      <x:c r="Y151" s="10" t="n">
        <x:f>P151/12</x:f>
        <x:v>4.763750000000001</x:v>
      </x:c>
      <x:c r="Z151" s="10" t="n">
        <x:f>0</x:f>
        <x:v>0</x:v>
      </x:c>
      <x:c r="AA151" s="10" t="n">
        <x:f>Z151*'Assumptions'!$AC$45*'Assumptions'!$D$11*(1+'Assumptions'!$D$13)^(2-1)</x:f>
        <x:v>0</x:v>
      </x:c>
      <x:c r="AB151" s="10" t="n">
        <x:f>F151/1</x:f>
        <x:v>3.3000000000000003</x:v>
      </x:c>
      <x:c r="AC151" s="10" t="n">
        <x:f>AB151/'Assumptions'!$AM$45</x:f>
        <x:v>16.5</x:v>
      </x:c>
      <x:c r="AD151" s="10" t="n">
        <x:f>IF(AB151=0,0,T151/AB151)</x:f>
        <x:v>117.45818181818183</x:v>
      </x:c>
      <x:c r="AE151" s="10" t="n">
        <x:f>AA151*'Assumptions'!$D$21</x:f>
        <x:v>0</x:v>
      </x:c>
    </x:row>
    <x:row r="152" ht="16" customHeight="1">
      <x:c r="A152" s="1"/>
      <x:c r="B152" s="1"/>
      <x:c r="C152" s="1" t="str">
        <x:v>DOT-017</x:v>
      </x:c>
      <x:c r="D152" s="10" t="str">
        <x:v>BPA professional services</x:v>
      </x:c>
      <x:c r="E152" s="10" t="n">
        <x:v>2</x:v>
      </x:c>
      <x:c r="F152" s="21" t="n">
        <x:f>'Assumptions'!$I$46*(1-'Assumptions'!$K$46)*(1+'Assumptions'!$L$46)*'Assumptions'!$D$9*'Assumptions'!$D$8</x:f>
        <x:v>3.3000000000000003</x:v>
      </x:c>
      <x:c r="G152" s="21" t="n">
        <x:f>H24*'Assumptions'!$K$46</x:f>
        <x:v>2.25</x:v>
      </x:c>
      <x:c r="H152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152+G152,NA())</x:f>
        <x:v>5.550000000000001</x:v>
      </x:c>
      <x:c r="I152" s="22" t="n">
        <x:f>'Assumptions'!$H$46*IF('Assumptions'!$O$46=1,1,'Assumptions'!$D$10)*(1+'Assumptions'!$N$46)^(2-1)</x:f>
        <x:v>1500</x:v>
      </x:c>
      <x:c r="J152" s="10" t="n">
        <x:f>H152*I152</x:f>
        <x:v>8325.000000000002</x:v>
      </x:c>
      <x:c r="K152" s="10" t="n">
        <x:f>J152*'Assumptions'!$T$46</x:f>
        <x:v>8325.000000000002</x:v>
      </x:c>
      <x:c r="L152" s="10" t="n">
        <x:f>K152*'Assumptions'!$U$46</x:f>
        <x:v>249.75000000000006</x:v>
      </x:c>
      <x:c r="M152" s="10" t="n">
        <x:f>K152*'Assumptions'!$V$46</x:f>
        <x:v>0</x:v>
      </x:c>
      <x:c r="N152" s="10" t="n">
        <x:f>K152-L152-M152</x:f>
        <x:v>8075.250000000002</x:v>
      </x:c>
      <x:c r="O152" s="10" t="n">
        <x:f>H152*'Assumptions'!$P$46*'Assumptions'!$Q$46*'Assumptions'!$D$11*(1+'Assumptions'!$D$13)^(2-1)</x:f>
        <x:v>2057.9400000000005</x:v>
      </x:c>
      <x:c r="P152" s="10" t="n">
        <x:f>H152*'Assumptions'!$R$46*'Assumptions'!$D$11*(1+'Assumptions'!$D$13)^(2-1)</x:f>
        <x:v>57.165000000000006</x:v>
      </x:c>
      <x:c r="Q152" s="10" t="n">
        <x:f>J152*'Assumptions'!$S$46</x:f>
        <x:v>0</x:v>
      </x:c>
      <x:c r="R152" s="10" t="n">
        <x:f>H152*'Assumptions'!$Y$46*'Assumptions'!$Z$46*'Assumptions'!$D$11*(1+'Assumptions'!$D$13)^(2-1)</x:f>
        <x:v>42.87375000000001</x:v>
      </x:c>
      <x:c r="S152" s="10" t="n">
        <x:f>IF(I152=0,0,J152*'Assumptions'!$W$46+H152*'Assumptions'!$X$46)</x:f>
        <x:v>243.09000000000006</x:v>
      </x:c>
      <x:c r="T152" s="10" t="n">
        <x:f>N152*'Assumptions'!$AA$46</x:f>
        <x:v>323.0100000000001</x:v>
      </x:c>
      <x:c r="U152" s="10" t="n">
        <x:f>'Assumptions'!$AE$46*'Assumptions'!$D$11*(1+'Assumptions'!$D$13)^(2-1)</x:f>
        <x:v>0</x:v>
      </x:c>
      <x:c r="V152" s="10" t="n">
        <x:f>0</x:f>
        <x:v>0</x:v>
      </x:c>
      <x:c r="W152" s="10" t="n">
        <x:f>H152*('Assumptions'!$P$46+'Assumptions'!$Y$46)</x:f>
        <x:v>34.68750000000001</x:v>
      </x:c>
      <x:c r="X152" s="10" t="n">
        <x:f>N152/12*'Assumptions'!$AF$46</x:f>
        <x:v>672.9375000000001</x:v>
      </x:c>
      <x:c r="Y152" s="10" t="n">
        <x:f>P152/12</x:f>
        <x:v>4.763750000000001</x:v>
      </x:c>
      <x:c r="Z152" s="10" t="n">
        <x:f>0</x:f>
        <x:v>0</x:v>
      </x:c>
      <x:c r="AA152" s="10" t="n">
        <x:f>Z152*'Assumptions'!$AC$46*'Assumptions'!$D$11*(1+'Assumptions'!$D$13)^(2-1)</x:f>
        <x:v>0</x:v>
      </x:c>
      <x:c r="AB152" s="10" t="n">
        <x:f>F152/1</x:f>
        <x:v>3.3000000000000003</x:v>
      </x:c>
      <x:c r="AC152" s="10" t="n">
        <x:f>AB152/'Assumptions'!$AM$46</x:f>
        <x:v>16.5</x:v>
      </x:c>
      <x:c r="AD152" s="10" t="n">
        <x:f>IF(AB152=0,0,T152/AB152)</x:f>
        <x:v>97.8818181818182</x:v>
      </x:c>
      <x:c r="AE152" s="10" t="n">
        <x:f>AA152*'Assumptions'!$D$21</x:f>
        <x:v>0</x:v>
      </x:c>
    </x:row>
    <x:row r="153" ht="16" customHeight="1">
      <x:c r="A153" s="1"/>
      <x:c r="B153" s="1"/>
      <x:c r="C153" s="1" t="str">
        <x:v>DOT-018</x:v>
      </x:c>
      <x:c r="D153" s="10" t="str">
        <x:v>BPA professional services</x:v>
      </x:c>
      <x:c r="E153" s="10" t="n">
        <x:v>2</x:v>
      </x:c>
      <x:c r="F153" s="21" t="n">
        <x:f>'Assumptions'!$I$47*(1-'Assumptions'!$K$47)*(1+'Assumptions'!$L$47)*'Assumptions'!$D$9*'Assumptions'!$D$8</x:f>
        <x:v>4.4</x:v>
      </x:c>
      <x:c r="G153" s="21" t="n">
        <x:f>H25*'Assumptions'!$K$47</x:f>
        <x:v>3</x:v>
      </x:c>
      <x:c r="H153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153+G153,NA())</x:f>
        <x:v>7.4</x:v>
      </x:c>
      <x:c r="I153" s="22" t="n">
        <x:f>'Assumptions'!$H$47*IF('Assumptions'!$O$47=1,1,'Assumptions'!$D$10)*(1+'Assumptions'!$N$47)^(2-1)</x:f>
        <x:v>1200</x:v>
      </x:c>
      <x:c r="J153" s="10" t="n">
        <x:f>H153*I153</x:f>
        <x:v>8880</x:v>
      </x:c>
      <x:c r="K153" s="10" t="n">
        <x:f>J153*'Assumptions'!$T$47</x:f>
        <x:v>8880</x:v>
      </x:c>
      <x:c r="L153" s="10" t="n">
        <x:f>K153*'Assumptions'!$U$47</x:f>
        <x:v>266.4</x:v>
      </x:c>
      <x:c r="M153" s="10" t="n">
        <x:f>K153*'Assumptions'!$V$47</x:f>
        <x:v>0</x:v>
      </x:c>
      <x:c r="N153" s="10" t="n">
        <x:f>K153-L153-M153</x:f>
        <x:v>8613.6</x:v>
      </x:c>
      <x:c r="O153" s="10" t="n">
        <x:f>H153*'Assumptions'!$P$47*'Assumptions'!$Q$47*'Assumptions'!$D$11*(1+'Assumptions'!$D$13)^(2-1)</x:f>
        <x:v>1829.28</x:v>
      </x:c>
      <x:c r="P153" s="10" t="n">
        <x:f>H153*'Assumptions'!$R$47*'Assumptions'!$D$11*(1+'Assumptions'!$D$13)^(2-1)</x:f>
        <x:v>76.22</x:v>
      </x:c>
      <x:c r="Q153" s="10" t="n">
        <x:f>J153*'Assumptions'!$S$47</x:f>
        <x:v>0</x:v>
      </x:c>
      <x:c r="R153" s="10" t="n">
        <x:f>H153*'Assumptions'!$Y$47*'Assumptions'!$Z$47*'Assumptions'!$D$11*(1+'Assumptions'!$D$13)^(2-1)</x:f>
        <x:v>57.165</x:v>
      </x:c>
      <x:c r="S153" s="10" t="n">
        <x:f>IF(I153=0,0,J153*'Assumptions'!$W$47+H153*'Assumptions'!$X$47)</x:f>
        <x:v>259.74000000000007</x:v>
      </x:c>
      <x:c r="T153" s="10" t="n">
        <x:f>N153*'Assumptions'!$AA$47</x:f>
        <x:v>344.54400000000004</x:v>
      </x:c>
      <x:c r="U153" s="10" t="n">
        <x:f>'Assumptions'!$AE$47*'Assumptions'!$D$11*(1+'Assumptions'!$D$13)^(2-1)</x:f>
        <x:v>0</x:v>
      </x:c>
      <x:c r="V153" s="10" t="n">
        <x:f>0</x:f>
        <x:v>0</x:v>
      </x:c>
      <x:c r="W153" s="10" t="n">
        <x:f>H153*('Assumptions'!$P$47+'Assumptions'!$Y$47)</x:f>
        <x:v>31.450000000000003</x:v>
      </x:c>
      <x:c r="X153" s="10" t="n">
        <x:f>N153/12*'Assumptions'!$AF$47</x:f>
        <x:v>717.8000000000001</x:v>
      </x:c>
      <x:c r="Y153" s="10" t="n">
        <x:f>P153/12</x:f>
        <x:v>6.351666666666667</x:v>
      </x:c>
      <x:c r="Z153" s="10" t="n">
        <x:f>0</x:f>
        <x:v>0</x:v>
      </x:c>
      <x:c r="AA153" s="10" t="n">
        <x:f>Z153*'Assumptions'!$AC$47*'Assumptions'!$D$11*(1+'Assumptions'!$D$13)^(2-1)</x:f>
        <x:v>0</x:v>
      </x:c>
      <x:c r="AB153" s="10" t="n">
        <x:f>F153/1</x:f>
        <x:v>4.4</x:v>
      </x:c>
      <x:c r="AC153" s="10" t="n">
        <x:f>AB153/'Assumptions'!$AM$47</x:f>
        <x:v>22</x:v>
      </x:c>
      <x:c r="AD153" s="10" t="n">
        <x:f>IF(AB153=0,0,T153/AB153)</x:f>
        <x:v>78.30545454545455</x:v>
      </x:c>
      <x:c r="AE153" s="10" t="n">
        <x:f>AA153*'Assumptions'!$D$21</x:f>
        <x:v>0</x:v>
      </x:c>
    </x:row>
    <x:row r="154" ht="16" customHeight="1">
      <x:c r="A154" s="1"/>
      <x:c r="B154" s="1"/>
      <x:c r="C154" s="1" t="str">
        <x:v>DOT-019</x:v>
      </x:c>
      <x:c r="D154" s="10" t="str">
        <x:v>BPA professional services</x:v>
      </x:c>
      <x:c r="E154" s="10" t="n">
        <x:v>2</x:v>
      </x:c>
      <x:c r="F154" s="21" t="n">
        <x:f>'Assumptions'!$I$48*(1-'Assumptions'!$K$48)*(1+'Assumptions'!$L$48)*'Assumptions'!$D$9*'Assumptions'!$D$8</x:f>
        <x:v>2.2</x:v>
      </x:c>
      <x:c r="G154" s="21" t="n">
        <x:f>H26*'Assumptions'!$K$48</x:f>
        <x:v>1.5</x:v>
      </x:c>
      <x:c r="H154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154+G154,NA())</x:f>
        <x:v>3.7</x:v>
      </x:c>
      <x:c r="I154" s="22" t="n">
        <x:f>'Assumptions'!$H$48*IF('Assumptions'!$O$48=1,1,'Assumptions'!$D$10)*(1+'Assumptions'!$N$48)^(2-1)</x:f>
        <x:v>3000</x:v>
      </x:c>
      <x:c r="J154" s="10" t="n">
        <x:f>H154*I154</x:f>
        <x:v>11100</x:v>
      </x:c>
      <x:c r="K154" s="10" t="n">
        <x:f>J154*'Assumptions'!$T$48</x:f>
        <x:v>11100</x:v>
      </x:c>
      <x:c r="L154" s="10" t="n">
        <x:f>K154*'Assumptions'!$U$48</x:f>
        <x:v>333</x:v>
      </x:c>
      <x:c r="M154" s="10" t="n">
        <x:f>K154*'Assumptions'!$V$48</x:f>
        <x:v>0</x:v>
      </x:c>
      <x:c r="N154" s="10" t="n">
        <x:f>K154-L154-M154</x:f>
        <x:v>10767</x:v>
      </x:c>
      <x:c r="O154" s="10" t="n">
        <x:f>H154*'Assumptions'!$P$48*'Assumptions'!$Q$48*'Assumptions'!$D$11*(1+'Assumptions'!$D$13)^(2-1)</x:f>
        <x:v>2743.9200000000005</x:v>
      </x:c>
      <x:c r="P154" s="10" t="n">
        <x:f>H154*'Assumptions'!$R$48*'Assumptions'!$D$11*(1+'Assumptions'!$D$13)^(2-1)</x:f>
        <x:v>38.11</x:v>
      </x:c>
      <x:c r="Q154" s="10" t="n">
        <x:f>J154*'Assumptions'!$S$48</x:f>
        <x:v>0</x:v>
      </x:c>
      <x:c r="R154" s="10" t="n">
        <x:f>H154*'Assumptions'!$Y$48*'Assumptions'!$Z$48*'Assumptions'!$D$11*(1+'Assumptions'!$D$13)^(2-1)</x:f>
        <x:v>28.5825</x:v>
      </x:c>
      <x:c r="S154" s="10" t="n">
        <x:f>IF(I154=0,0,J154*'Assumptions'!$W$48+H154*'Assumptions'!$X$48)</x:f>
        <x:v>323.01000000000005</x:v>
      </x:c>
      <x:c r="T154" s="10" t="n">
        <x:f>N154*'Assumptions'!$AA$48</x:f>
        <x:v>430.68</x:v>
      </x:c>
      <x:c r="U154" s="10" t="n">
        <x:f>'Assumptions'!$AE$48*'Assumptions'!$D$11*(1+'Assumptions'!$D$13)^(2-1)</x:f>
        <x:v>0</x:v>
      </x:c>
      <x:c r="V154" s="10" t="n">
        <x:f>0</x:f>
        <x:v>0</x:v>
      </x:c>
      <x:c r="W154" s="10" t="n">
        <x:f>H154*('Assumptions'!$P$48+'Assumptions'!$Y$48)</x:f>
        <x:v>45.325</x:v>
      </x:c>
      <x:c r="X154" s="10" t="n">
        <x:f>N154/12*'Assumptions'!$AF$48</x:f>
        <x:v>897.25</x:v>
      </x:c>
      <x:c r="Y154" s="10" t="n">
        <x:f>P154/12</x:f>
        <x:v>3.1758333333333333</x:v>
      </x:c>
      <x:c r="Z154" s="10" t="n">
        <x:f>0</x:f>
        <x:v>0</x:v>
      </x:c>
      <x:c r="AA154" s="10" t="n">
        <x:f>Z154*'Assumptions'!$AC$48*'Assumptions'!$D$11*(1+'Assumptions'!$D$13)^(2-1)</x:f>
        <x:v>0</x:v>
      </x:c>
      <x:c r="AB154" s="10" t="n">
        <x:f>F154/1</x:f>
        <x:v>2.2</x:v>
      </x:c>
      <x:c r="AC154" s="10" t="n">
        <x:f>AB154/'Assumptions'!$AM$48</x:f>
        <x:v>11</x:v>
      </x:c>
      <x:c r="AD154" s="10" t="n">
        <x:f>IF(AB154=0,0,T154/AB154)</x:f>
        <x:v>195.76363636363635</x:v>
      </x:c>
      <x:c r="AE154" s="10" t="n">
        <x:f>AA154*'Assumptions'!$D$21</x:f>
        <x:v>0</x:v>
      </x:c>
    </x:row>
    <x:row r="155" ht="16" customHeight="1">
      <x:c r="A155" s="1"/>
      <x:c r="B155" s="1"/>
      <x:c r="C155" s="1" t="str">
        <x:v>DOT-020</x:v>
      </x:c>
      <x:c r="D155" s="10" t="str">
        <x:v>BPA professional services</x:v>
      </x:c>
      <x:c r="E155" s="10" t="n">
        <x:v>2</x:v>
      </x:c>
      <x:c r="F155" s="21" t="n">
        <x:f>'Assumptions'!$I$49*(1-'Assumptions'!$K$49)*(1+'Assumptions'!$L$49)*'Assumptions'!$D$9*'Assumptions'!$D$8</x:f>
        <x:v>3.3000000000000003</x:v>
      </x:c>
      <x:c r="G155" s="21" t="n">
        <x:f>H27*'Assumptions'!$K$49</x:f>
        <x:v>2.25</x:v>
      </x:c>
      <x:c r="H155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155+G155,NA())</x:f>
        <x:v>5.550000000000001</x:v>
      </x:c>
      <x:c r="I155" s="22" t="n">
        <x:f>'Assumptions'!$H$49*IF('Assumptions'!$O$49=1,1,'Assumptions'!$D$10)*(1+'Assumptions'!$N$49)^(2-1)</x:f>
        <x:v>1800</x:v>
      </x:c>
      <x:c r="J155" s="10" t="n">
        <x:f>H155*I155</x:f>
        <x:v>9990.000000000002</x:v>
      </x:c>
      <x:c r="K155" s="10" t="n">
        <x:f>J155*'Assumptions'!$T$49</x:f>
        <x:v>9990.000000000002</x:v>
      </x:c>
      <x:c r="L155" s="10" t="n">
        <x:f>K155*'Assumptions'!$U$49</x:f>
        <x:v>299.70000000000005</x:v>
      </x:c>
      <x:c r="M155" s="10" t="n">
        <x:f>K155*'Assumptions'!$V$49</x:f>
        <x:v>0</x:v>
      </x:c>
      <x:c r="N155" s="10" t="n">
        <x:f>K155-L155-M155</x:f>
        <x:v>9690.300000000001</x:v>
      </x:c>
      <x:c r="O155" s="10" t="n">
        <x:f>H155*'Assumptions'!$P$49*'Assumptions'!$Q$49*'Assumptions'!$D$11*(1+'Assumptions'!$D$13)^(2-1)</x:f>
        <x:v>2057.9400000000005</x:v>
      </x:c>
      <x:c r="P155" s="10" t="n">
        <x:f>H155*'Assumptions'!$R$49*'Assumptions'!$D$11*(1+'Assumptions'!$D$13)^(2-1)</x:f>
        <x:v>57.165000000000006</x:v>
      </x:c>
      <x:c r="Q155" s="10" t="n">
        <x:f>J155*'Assumptions'!$S$49</x:f>
        <x:v>0</x:v>
      </x:c>
      <x:c r="R155" s="10" t="n">
        <x:f>H155*'Assumptions'!$Y$49*'Assumptions'!$Z$49*'Assumptions'!$D$11*(1+'Assumptions'!$D$13)^(2-1)</x:f>
        <x:v>42.87375000000001</x:v>
      </x:c>
      <x:c r="S155" s="10" t="n">
        <x:f>IF(I155=0,0,J155*'Assumptions'!$W$49+H155*'Assumptions'!$X$49)</x:f>
        <x:v>291.3750000000001</x:v>
      </x:c>
      <x:c r="T155" s="10" t="n">
        <x:f>N155*'Assumptions'!$AA$49</x:f>
        <x:v>387.6120000000001</x:v>
      </x:c>
      <x:c r="U155" s="10" t="n">
        <x:f>'Assumptions'!$AE$49*'Assumptions'!$D$11*(1+'Assumptions'!$D$13)^(2-1)</x:f>
        <x:v>0</x:v>
      </x:c>
      <x:c r="V155" s="10" t="n">
        <x:f>0</x:f>
        <x:v>0</x:v>
      </x:c>
      <x:c r="W155" s="10" t="n">
        <x:f>H155*('Assumptions'!$P$49+'Assumptions'!$Y$49)</x:f>
        <x:v>34.68750000000001</x:v>
      </x:c>
      <x:c r="X155" s="10" t="n">
        <x:f>N155/12*'Assumptions'!$AF$49</x:f>
        <x:v>807.5250000000001</x:v>
      </x:c>
      <x:c r="Y155" s="10" t="n">
        <x:f>P155/12</x:f>
        <x:v>4.763750000000001</x:v>
      </x:c>
      <x:c r="Z155" s="10" t="n">
        <x:f>0</x:f>
        <x:v>0</x:v>
      </x:c>
      <x:c r="AA155" s="10" t="n">
        <x:f>Z155*'Assumptions'!$AC$49*'Assumptions'!$D$11*(1+'Assumptions'!$D$13)^(2-1)</x:f>
        <x:v>0</x:v>
      </x:c>
      <x:c r="AB155" s="10" t="n">
        <x:f>F155/1</x:f>
        <x:v>3.3000000000000003</x:v>
      </x:c>
      <x:c r="AC155" s="10" t="n">
        <x:f>AB155/'Assumptions'!$AM$49</x:f>
        <x:v>16.5</x:v>
      </x:c>
      <x:c r="AD155" s="10" t="n">
        <x:f>IF(AB155=0,0,T155/AB155)</x:f>
        <x:v>117.45818181818183</x:v>
      </x:c>
      <x:c r="AE155" s="10" t="n">
        <x:f>AA155*'Assumptions'!$D$21</x:f>
        <x:v>0</x:v>
      </x:c>
    </x:row>
    <x:row r="156" ht="16" customHeight="1">
      <x:c r="A156" s="1"/>
      <x:c r="B156" s="1"/>
      <x:c r="C156" s="1" t="str">
        <x:v>DOT-021</x:v>
      </x:c>
      <x:c r="D156" s="10" t="str">
        <x:v>BPA professional services</x:v>
      </x:c>
      <x:c r="E156" s="10" t="n">
        <x:v>2</x:v>
      </x:c>
      <x:c r="F156" s="21" t="n">
        <x:f>'Assumptions'!$I$50*(1-'Assumptions'!$K$50)*(1+'Assumptions'!$L$50)*'Assumptions'!$D$9*'Assumptions'!$D$8</x:f>
        <x:v>2.2</x:v>
      </x:c>
      <x:c r="G156" s="21" t="n">
        <x:f>H28*'Assumptions'!$K$50</x:f>
        <x:v>1.5</x:v>
      </x:c>
      <x:c r="H156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156+G156,NA())</x:f>
        <x:v>3.7</x:v>
      </x:c>
      <x:c r="I156" s="22" t="n">
        <x:f>'Assumptions'!$H$50*IF('Assumptions'!$O$50=1,1,'Assumptions'!$D$10)*(1+'Assumptions'!$N$50)^(2-1)</x:f>
        <x:v>4200</x:v>
      </x:c>
      <x:c r="J156" s="10" t="n">
        <x:f>H156*I156</x:f>
        <x:v>15540</x:v>
      </x:c>
      <x:c r="K156" s="10" t="n">
        <x:f>J156*'Assumptions'!$T$50</x:f>
        <x:v>15540</x:v>
      </x:c>
      <x:c r="L156" s="10" t="n">
        <x:f>K156*'Assumptions'!$U$50</x:f>
        <x:v>466.2</x:v>
      </x:c>
      <x:c r="M156" s="10" t="n">
        <x:f>K156*'Assumptions'!$V$50</x:f>
        <x:v>0</x:v>
      </x:c>
      <x:c r="N156" s="10" t="n">
        <x:f>K156-L156-M156</x:f>
        <x:v>15073.8</x:v>
      </x:c>
      <x:c r="O156" s="10" t="n">
        <x:f>H156*'Assumptions'!$P$50*'Assumptions'!$Q$50*'Assumptions'!$D$11*(1+'Assumptions'!$D$13)^(2-1)</x:f>
        <x:v>2743.9200000000005</x:v>
      </x:c>
      <x:c r="P156" s="10" t="n">
        <x:f>H156*'Assumptions'!$R$50*'Assumptions'!$D$11*(1+'Assumptions'!$D$13)^(2-1)</x:f>
        <x:v>38.11</x:v>
      </x:c>
      <x:c r="Q156" s="10" t="n">
        <x:f>J156*'Assumptions'!$S$50</x:f>
        <x:v>0</x:v>
      </x:c>
      <x:c r="R156" s="10" t="n">
        <x:f>H156*'Assumptions'!$Y$50*'Assumptions'!$Z$50*'Assumptions'!$D$11*(1+'Assumptions'!$D$13)^(2-1)</x:f>
        <x:v>28.5825</x:v>
      </x:c>
      <x:c r="S156" s="10" t="n">
        <x:f>IF(I156=0,0,J156*'Assumptions'!$W$50+H156*'Assumptions'!$X$50)</x:f>
        <x:v>451.77000000000004</x:v>
      </x:c>
      <x:c r="T156" s="10" t="n">
        <x:f>N156*'Assumptions'!$AA$50</x:f>
        <x:v>602.952</x:v>
      </x:c>
      <x:c r="U156" s="10" t="n">
        <x:f>'Assumptions'!$AE$50*'Assumptions'!$D$11*(1+'Assumptions'!$D$13)^(2-1)</x:f>
        <x:v>0</x:v>
      </x:c>
      <x:c r="V156" s="10" t="n">
        <x:f>0</x:f>
        <x:v>0</x:v>
      </x:c>
      <x:c r="W156" s="10" t="n">
        <x:f>H156*('Assumptions'!$P$50+'Assumptions'!$Y$50)</x:f>
        <x:v>45.325</x:v>
      </x:c>
      <x:c r="X156" s="10" t="n">
        <x:f>N156/12*'Assumptions'!$AF$50</x:f>
        <x:v>1256.1499999999999</x:v>
      </x:c>
      <x:c r="Y156" s="10" t="n">
        <x:f>P156/12</x:f>
        <x:v>3.1758333333333333</x:v>
      </x:c>
      <x:c r="Z156" s="10" t="n">
        <x:f>0</x:f>
        <x:v>0</x:v>
      </x:c>
      <x:c r="AA156" s="10" t="n">
        <x:f>Z156*'Assumptions'!$AC$50*'Assumptions'!$D$11*(1+'Assumptions'!$D$13)^(2-1)</x:f>
        <x:v>0</x:v>
      </x:c>
      <x:c r="AB156" s="10" t="n">
        <x:f>F156/1</x:f>
        <x:v>2.2</x:v>
      </x:c>
      <x:c r="AC156" s="10" t="n">
        <x:f>AB156/'Assumptions'!$AM$50</x:f>
        <x:v>11</x:v>
      </x:c>
      <x:c r="AD156" s="10" t="n">
        <x:f>IF(AB156=0,0,T156/AB156)</x:f>
        <x:v>274.0690909090909</x:v>
      </x:c>
      <x:c r="AE156" s="10" t="n">
        <x:f>AA156*'Assumptions'!$D$21</x:f>
        <x:v>0</x:v>
      </x:c>
    </x:row>
    <x:row r="157" ht="16" customHeight="1">
      <x:c r="A157" s="1"/>
      <x:c r="B157" s="1"/>
      <x:c r="C157" s="1" t="str">
        <x:v>DOT-022</x:v>
      </x:c>
      <x:c r="D157" s="10" t="str">
        <x:v>BPA professional services</x:v>
      </x:c>
      <x:c r="E157" s="10" t="n">
        <x:v>2</x:v>
      </x:c>
      <x:c r="F157" s="21" t="n">
        <x:f>'Assumptions'!$I$51*(1-'Assumptions'!$K$51)*(1+'Assumptions'!$L$51)*'Assumptions'!$D$9*'Assumptions'!$D$8</x:f>
        <x:v>8.8</x:v>
      </x:c>
      <x:c r="G157" s="21" t="n">
        <x:f>H29*'Assumptions'!$K$51</x:f>
        <x:v>6</x:v>
      </x:c>
      <x:c r="H157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157+G157,NA())</x:f>
        <x:v>14.8</x:v>
      </x:c>
      <x:c r="I157" s="22" t="n">
        <x:f>'Assumptions'!$H$51*IF('Assumptions'!$O$51=1,1,'Assumptions'!$D$10)*(1+'Assumptions'!$N$51)^(2-1)</x:f>
        <x:v>900</x:v>
      </x:c>
      <x:c r="J157" s="10" t="n">
        <x:f>H157*I157</x:f>
        <x:v>13320</x:v>
      </x:c>
      <x:c r="K157" s="10" t="n">
        <x:f>J157*'Assumptions'!$T$51</x:f>
        <x:v>13320</x:v>
      </x:c>
      <x:c r="L157" s="10" t="n">
        <x:f>K157*'Assumptions'!$U$51</x:f>
        <x:v>399.59999999999997</x:v>
      </x:c>
      <x:c r="M157" s="10" t="n">
        <x:f>K157*'Assumptions'!$V$51</x:f>
        <x:v>0</x:v>
      </x:c>
      <x:c r="N157" s="10" t="n">
        <x:f>K157-L157-M157</x:f>
        <x:v>12920.4</x:v>
      </x:c>
      <x:c r="O157" s="10" t="n">
        <x:f>H157*'Assumptions'!$P$51*'Assumptions'!$Q$51*'Assumptions'!$D$11*(1+'Assumptions'!$D$13)^(2-1)</x:f>
        <x:v>2743.9200000000005</x:v>
      </x:c>
      <x:c r="P157" s="10" t="n">
        <x:f>H157*'Assumptions'!$R$51*'Assumptions'!$D$11*(1+'Assumptions'!$D$13)^(2-1)</x:f>
        <x:v>152.44</x:v>
      </x:c>
      <x:c r="Q157" s="10" t="n">
        <x:f>J157*'Assumptions'!$S$51</x:f>
        <x:v>0</x:v>
      </x:c>
      <x:c r="R157" s="10" t="n">
        <x:f>H157*'Assumptions'!$Y$51*'Assumptions'!$Z$51*'Assumptions'!$D$11*(1+'Assumptions'!$D$13)^(2-1)</x:f>
        <x:v>114.33</x:v>
      </x:c>
      <x:c r="S157" s="10" t="n">
        <x:f>IF(I157=0,0,J157*'Assumptions'!$W$51+H157*'Assumptions'!$X$51)</x:f>
        <x:v>390.72</x:v>
      </x:c>
      <x:c r="T157" s="10" t="n">
        <x:f>N157*'Assumptions'!$AA$51</x:f>
        <x:v>516.816</x:v>
      </x:c>
      <x:c r="U157" s="10" t="n">
        <x:f>'Assumptions'!$AE$51*'Assumptions'!$D$11*(1+'Assumptions'!$D$13)^(2-1)</x:f>
        <x:v>0</x:v>
      </x:c>
      <x:c r="V157" s="10" t="n">
        <x:f>0</x:f>
        <x:v>0</x:v>
      </x:c>
      <x:c r="W157" s="10" t="n">
        <x:f>H157*('Assumptions'!$P$51+'Assumptions'!$Y$51)</x:f>
        <x:v>48.1</x:v>
      </x:c>
      <x:c r="X157" s="10" t="n">
        <x:f>N157/12*'Assumptions'!$AF$51</x:f>
        <x:v>1076.7</x:v>
      </x:c>
      <x:c r="Y157" s="10" t="n">
        <x:f>P157/12</x:f>
        <x:v>12.703333333333333</x:v>
      </x:c>
      <x:c r="Z157" s="10" t="n">
        <x:f>0</x:f>
        <x:v>0</x:v>
      </x:c>
      <x:c r="AA157" s="10" t="n">
        <x:f>Z157*'Assumptions'!$AC$51*'Assumptions'!$D$11*(1+'Assumptions'!$D$13)^(2-1)</x:f>
        <x:v>0</x:v>
      </x:c>
      <x:c r="AB157" s="10" t="n">
        <x:f>F157/1</x:f>
        <x:v>8.8</x:v>
      </x:c>
      <x:c r="AC157" s="10" t="n">
        <x:f>AB157/'Assumptions'!$AM$51</x:f>
        <x:v>44</x:v>
      </x:c>
      <x:c r="AD157" s="10" t="n">
        <x:f>IF(AB157=0,0,T157/AB157)</x:f>
        <x:v>58.72909090909091</x:v>
      </x:c>
      <x:c r="AE157" s="10" t="n">
        <x:f>AA157*'Assumptions'!$D$21</x:f>
        <x:v>0</x:v>
      </x:c>
    </x:row>
    <x:row r="158" ht="16" customHeight="1">
      <x:c r="A158" s="1"/>
      <x:c r="B158" s="1"/>
      <x:c r="C158" s="1" t="str">
        <x:v>DOT-023</x:v>
      </x:c>
      <x:c r="D158" s="10" t="str">
        <x:v>BPA professional services</x:v>
      </x:c>
      <x:c r="E158" s="10" t="n">
        <x:v>2</x:v>
      </x:c>
      <x:c r="F158" s="21" t="n">
        <x:f>'Assumptions'!$I$52*(1-'Assumptions'!$K$52)*(1+'Assumptions'!$L$52)*'Assumptions'!$D$9*'Assumptions'!$D$8</x:f>
        <x:v>5.5</x:v>
      </x:c>
      <x:c r="G158" s="21" t="n">
        <x:f>H30*'Assumptions'!$K$52</x:f>
        <x:v>3.75</x:v>
      </x:c>
      <x:c r="H158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158+G158,NA())</x:f>
        <x:v>9.25</x:v>
      </x:c>
      <x:c r="I158" s="22" t="n">
        <x:f>'Assumptions'!$H$52*IF('Assumptions'!$O$52=1,1,'Assumptions'!$D$10)*(1+'Assumptions'!$N$52)^(2-1)</x:f>
        <x:v>1800</x:v>
      </x:c>
      <x:c r="J158" s="10" t="n">
        <x:f>H158*I158</x:f>
        <x:v>16650</x:v>
      </x:c>
      <x:c r="K158" s="10" t="n">
        <x:f>J158*'Assumptions'!$T$52</x:f>
        <x:v>16650</x:v>
      </x:c>
      <x:c r="L158" s="10" t="n">
        <x:f>K158*'Assumptions'!$U$52</x:f>
        <x:v>499.5</x:v>
      </x:c>
      <x:c r="M158" s="10" t="n">
        <x:f>K158*'Assumptions'!$V$52</x:f>
        <x:v>0</x:v>
      </x:c>
      <x:c r="N158" s="10" t="n">
        <x:f>K158-L158-M158</x:f>
        <x:v>16150.5</x:v>
      </x:c>
      <x:c r="O158" s="10" t="n">
        <x:f>H158*'Assumptions'!$P$52*'Assumptions'!$Q$52*'Assumptions'!$D$11*(1+'Assumptions'!$D$13)^(2-1)</x:f>
        <x:v>3429.9</x:v>
      </x:c>
      <x:c r="P158" s="10" t="n">
        <x:f>H158*'Assumptions'!$R$52*'Assumptions'!$D$11*(1+'Assumptions'!$D$13)^(2-1)</x:f>
        <x:v>95.275</x:v>
      </x:c>
      <x:c r="Q158" s="10" t="n">
        <x:f>J158*'Assumptions'!$S$52</x:f>
        <x:v>0</x:v>
      </x:c>
      <x:c r="R158" s="10" t="n">
        <x:f>H158*'Assumptions'!$Y$52*'Assumptions'!$Z$52*'Assumptions'!$D$11*(1+'Assumptions'!$D$13)^(2-1)</x:f>
        <x:v>71.45625</x:v>
      </x:c>
      <x:c r="S158" s="10" t="n">
        <x:f>IF(I158=0,0,J158*'Assumptions'!$W$52+H158*'Assumptions'!$X$52)</x:f>
        <x:v>485.625</x:v>
      </x:c>
      <x:c r="T158" s="10" t="n">
        <x:f>N158*'Assumptions'!$AA$52</x:f>
        <x:v>646.02</x:v>
      </x:c>
      <x:c r="U158" s="10" t="n">
        <x:f>'Assumptions'!$AE$52*'Assumptions'!$D$11*(1+'Assumptions'!$D$13)^(2-1)</x:f>
        <x:v>0</x:v>
      </x:c>
      <x:c r="V158" s="10" t="n">
        <x:f>0</x:f>
        <x:v>0</x:v>
      </x:c>
      <x:c r="W158" s="10" t="n">
        <x:f>H158*('Assumptions'!$P$52+'Assumptions'!$Y$52)</x:f>
        <x:v>57.8125</x:v>
      </x:c>
      <x:c r="X158" s="10" t="n">
        <x:f>N158/12*'Assumptions'!$AF$52</x:f>
        <x:v>1345.875</x:v>
      </x:c>
      <x:c r="Y158" s="10" t="n">
        <x:f>P158/12</x:f>
        <x:v>7.939583333333334</x:v>
      </x:c>
      <x:c r="Z158" s="10" t="n">
        <x:f>0</x:f>
        <x:v>0</x:v>
      </x:c>
      <x:c r="AA158" s="10" t="n">
        <x:f>Z158*'Assumptions'!$AC$52*'Assumptions'!$D$11*(1+'Assumptions'!$D$13)^(2-1)</x:f>
        <x:v>0</x:v>
      </x:c>
      <x:c r="AB158" s="10" t="n">
        <x:f>F158/1</x:f>
        <x:v>5.5</x:v>
      </x:c>
      <x:c r="AC158" s="10" t="n">
        <x:f>AB158/'Assumptions'!$AM$52</x:f>
        <x:v>27.5</x:v>
      </x:c>
      <x:c r="AD158" s="10" t="n">
        <x:f>IF(AB158=0,0,T158/AB158)</x:f>
        <x:v>117.45818181818181</x:v>
      </x:c>
      <x:c r="AE158" s="10" t="n">
        <x:f>AA158*'Assumptions'!$D$21</x:f>
        <x:v>0</x:v>
      </x:c>
    </x:row>
    <x:row r="159" ht="16" customHeight="1">
      <x:c r="A159" s="1"/>
      <x:c r="B159" s="1"/>
      <x:c r="C159" s="1" t="str">
        <x:v>DOT-024</x:v>
      </x:c>
      <x:c r="D159" s="10" t="str">
        <x:v>BPA professional services</x:v>
      </x:c>
      <x:c r="E159" s="10" t="n">
        <x:v>2</x:v>
      </x:c>
      <x:c r="F159" s="21" t="n">
        <x:f>'Assumptions'!$I$53*(1-'Assumptions'!$K$53)*(1+'Assumptions'!$L$53)*'Assumptions'!$D$9*'Assumptions'!$D$8</x:f>
        <x:v>27.500000000000004</x:v>
      </x:c>
      <x:c r="G159" s="21" t="n">
        <x:f>H31*'Assumptions'!$K$53</x:f>
        <x:v>12.5</x:v>
      </x:c>
      <x:c r="H159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159+G159,NA())</x:f>
        <x:v>40</x:v>
      </x:c>
      <x:c r="I159" s="22" t="n">
        <x:f>'Assumptions'!$H$53*IF('Assumptions'!$O$53=1,1,'Assumptions'!$D$10)*(1+'Assumptions'!$N$53)^(2-1)</x:f>
        <x:v>540</x:v>
      </x:c>
      <x:c r="J159" s="10" t="n">
        <x:f>H159*I159</x:f>
        <x:v>21600</x:v>
      </x:c>
      <x:c r="K159" s="10" t="n">
        <x:f>J159*'Assumptions'!$T$53</x:f>
        <x:v>21600</x:v>
      </x:c>
      <x:c r="L159" s="10" t="n">
        <x:f>K159*'Assumptions'!$U$53</x:f>
        <x:v>648</x:v>
      </x:c>
      <x:c r="M159" s="10" t="n">
        <x:f>K159*'Assumptions'!$V$53</x:f>
        <x:v>0</x:v>
      </x:c>
      <x:c r="N159" s="10" t="n">
        <x:f>K159-L159-M159</x:f>
        <x:v>20952</x:v>
      </x:c>
      <x:c r="O159" s="10" t="n">
        <x:f>H159*'Assumptions'!$P$53*'Assumptions'!$Q$53*'Assumptions'!$D$11*(1+'Assumptions'!$D$13)^(2-1)</x:f>
        <x:v>4944</x:v>
      </x:c>
      <x:c r="P159" s="10" t="n">
        <x:f>H159*'Assumptions'!$R$53*'Assumptions'!$D$11*(1+'Assumptions'!$D$13)^(2-1)</x:f>
        <x:v>412</x:v>
      </x:c>
      <x:c r="Q159" s="10" t="n">
        <x:f>J159*'Assumptions'!$S$53</x:f>
        <x:v>0</x:v>
      </x:c>
      <x:c r="R159" s="10" t="n">
        <x:f>H159*'Assumptions'!$Y$53*'Assumptions'!$Z$53*'Assumptions'!$D$11*(1+'Assumptions'!$D$13)^(2-1)</x:f>
        <x:v>309</x:v>
      </x:c>
      <x:c r="S159" s="10" t="n">
        <x:f>IF(I159=0,0,J159*'Assumptions'!$W$53+H159*'Assumptions'!$X$53)</x:f>
        <x:v>638.4</x:v>
      </x:c>
      <x:c r="T159" s="10" t="n">
        <x:f>N159*'Assumptions'!$AA$53</x:f>
        <x:v>838.08</x:v>
      </x:c>
      <x:c r="U159" s="10" t="n">
        <x:f>'Assumptions'!$AE$53*'Assumptions'!$D$11*(1+'Assumptions'!$D$13)^(2-1)</x:f>
        <x:v>0</x:v>
      </x:c>
      <x:c r="V159" s="10" t="n">
        <x:f>0</x:f>
        <x:v>0</x:v>
      </x:c>
      <x:c r="W159" s="10" t="n">
        <x:f>H159*('Assumptions'!$P$53+'Assumptions'!$Y$53)</x:f>
        <x:v>90</x:v>
      </x:c>
      <x:c r="X159" s="10" t="n">
        <x:f>N159/12*'Assumptions'!$AF$53</x:f>
        <x:v>1746</x:v>
      </x:c>
      <x:c r="Y159" s="10" t="n">
        <x:f>P159/12</x:f>
        <x:v>34.333333333333336</x:v>
      </x:c>
      <x:c r="Z159" s="10" t="n">
        <x:f>0</x:f>
        <x:v>0</x:v>
      </x:c>
      <x:c r="AA159" s="10" t="n">
        <x:f>Z159*'Assumptions'!$AC$53*'Assumptions'!$D$11*(1+'Assumptions'!$D$13)^(2-1)</x:f>
        <x:v>0</x:v>
      </x:c>
      <x:c r="AB159" s="10" t="n">
        <x:f>F159/1</x:f>
        <x:v>27.500000000000004</x:v>
      </x:c>
      <x:c r="AC159" s="10" t="n">
        <x:f>AB159/'Assumptions'!$AM$53</x:f>
        <x:v>137.5</x:v>
      </x:c>
      <x:c r="AD159" s="10" t="n">
        <x:f>IF(AB159=0,0,T159/AB159)</x:f>
        <x:v>30.47563636363636</x:v>
      </x:c>
      <x:c r="AE159" s="10" t="n">
        <x:f>AA159*'Assumptions'!$D$21</x:f>
        <x:v>0</x:v>
      </x:c>
    </x:row>
    <x:row r="160" ht="16" customHeight="1">
      <x:c r="A160" s="1"/>
      <x:c r="B160" s="1"/>
      <x:c r="C160" s="1" t="str">
        <x:v>DOT-025</x:v>
      </x:c>
      <x:c r="D160" s="10" t="str">
        <x:v>BPA professional services</x:v>
      </x:c>
      <x:c r="E160" s="10" t="n">
        <x:v>2</x:v>
      </x:c>
      <x:c r="F160" s="21" t="n">
        <x:f>'Assumptions'!$I$54*(1-'Assumptions'!$K$54)*(1+'Assumptions'!$L$54)*'Assumptions'!$D$9*'Assumptions'!$D$8</x:f>
        <x:v>11</x:v>
      </x:c>
      <x:c r="G160" s="21" t="n">
        <x:f>H32*'Assumptions'!$K$54</x:f>
        <x:v>5</x:v>
      </x:c>
      <x:c r="H160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160+G160,NA())</x:f>
        <x:v>16</x:v>
      </x:c>
      <x:c r="I160" s="22" t="n">
        <x:f>'Assumptions'!$H$54*IF('Assumptions'!$O$54=1,1,'Assumptions'!$D$10)*(1+'Assumptions'!$N$54)^(2-1)</x:f>
        <x:v>1020</x:v>
      </x:c>
      <x:c r="J160" s="10" t="n">
        <x:f>H160*I160</x:f>
        <x:v>16320</x:v>
      </x:c>
      <x:c r="K160" s="10" t="n">
        <x:f>J160*'Assumptions'!$T$54</x:f>
        <x:v>16320</x:v>
      </x:c>
      <x:c r="L160" s="10" t="n">
        <x:f>K160*'Assumptions'!$U$54</x:f>
        <x:v>489.59999999999997</x:v>
      </x:c>
      <x:c r="M160" s="10" t="n">
        <x:f>K160*'Assumptions'!$V$54</x:f>
        <x:v>0</x:v>
      </x:c>
      <x:c r="N160" s="10" t="n">
        <x:f>K160-L160-M160</x:f>
        <x:v>15830.4</x:v>
      </x:c>
      <x:c r="O160" s="10" t="n">
        <x:f>H160*'Assumptions'!$P$54*'Assumptions'!$Q$54*'Assumptions'!$D$11*(1+'Assumptions'!$D$13)^(2-1)</x:f>
        <x:v>4944</x:v>
      </x:c>
      <x:c r="P160" s="10" t="n">
        <x:f>H160*'Assumptions'!$R$54*'Assumptions'!$D$11*(1+'Assumptions'!$D$13)^(2-1)</x:f>
        <x:v>164.8</x:v>
      </x:c>
      <x:c r="Q160" s="10" t="n">
        <x:f>J160*'Assumptions'!$S$54</x:f>
        <x:v>0</x:v>
      </x:c>
      <x:c r="R160" s="10" t="n">
        <x:f>H160*'Assumptions'!$Y$54*'Assumptions'!$Z$54*'Assumptions'!$D$11*(1+'Assumptions'!$D$13)^(2-1)</x:f>
        <x:v>123.60000000000001</x:v>
      </x:c>
      <x:c r="S160" s="10" t="n">
        <x:f>IF(I160=0,0,J160*'Assumptions'!$W$54+H160*'Assumptions'!$X$54)</x:f>
        <x:v>478.08000000000004</x:v>
      </x:c>
      <x:c r="T160" s="10" t="n">
        <x:f>N160*'Assumptions'!$AA$54</x:f>
        <x:v>633.216</x:v>
      </x:c>
      <x:c r="U160" s="10" t="n">
        <x:f>'Assumptions'!$AE$54*'Assumptions'!$D$11*(1+'Assumptions'!$D$13)^(2-1)</x:f>
        <x:v>0</x:v>
      </x:c>
      <x:c r="V160" s="10" t="n">
        <x:f>0</x:f>
        <x:v>0</x:v>
      </x:c>
      <x:c r="W160" s="10" t="n">
        <x:f>H160*('Assumptions'!$P$54+'Assumptions'!$Y$54)</x:f>
        <x:v>84</x:v>
      </x:c>
      <x:c r="X160" s="10" t="n">
        <x:f>N160/12*'Assumptions'!$AF$54</x:f>
        <x:v>1319.2</x:v>
      </x:c>
      <x:c r="Y160" s="10" t="n">
        <x:f>P160/12</x:f>
        <x:v>13.733333333333334</x:v>
      </x:c>
      <x:c r="Z160" s="10" t="n">
        <x:f>0</x:f>
        <x:v>0</x:v>
      </x:c>
      <x:c r="AA160" s="10" t="n">
        <x:f>Z160*'Assumptions'!$AC$54*'Assumptions'!$D$11*(1+'Assumptions'!$D$13)^(2-1)</x:f>
        <x:v>0</x:v>
      </x:c>
      <x:c r="AB160" s="10" t="n">
        <x:f>F160/1</x:f>
        <x:v>11</x:v>
      </x:c>
      <x:c r="AC160" s="10" t="n">
        <x:f>AB160/'Assumptions'!$AM$54</x:f>
        <x:v>55</x:v>
      </x:c>
      <x:c r="AD160" s="10" t="n">
        <x:f>IF(AB160=0,0,T160/AB160)</x:f>
        <x:v>57.56509090909091</x:v>
      </x:c>
      <x:c r="AE160" s="10" t="n">
        <x:f>AA160*'Assumptions'!$D$21</x:f>
        <x:v>0</x:v>
      </x:c>
    </x:row>
    <x:row r="161" ht="16" customHeight="1">
      <x:c r="A161" s="1"/>
      <x:c r="B161" s="1"/>
      <x:c r="C161" s="1" t="str">
        <x:v>DOT-026</x:v>
      </x:c>
      <x:c r="D161" s="10" t="str">
        <x:v>BPA professional services</x:v>
      </x:c>
      <x:c r="E161" s="10" t="n">
        <x:v>2</x:v>
      </x:c>
      <x:c r="F161" s="21" t="n">
        <x:f>'Assumptions'!$I$55*(1-'Assumptions'!$K$55)*(1+'Assumptions'!$L$55)*'Assumptions'!$D$9*'Assumptions'!$D$8</x:f>
        <x:v>4.4</x:v>
      </x:c>
      <x:c r="G161" s="21" t="n">
        <x:f>H33*'Assumptions'!$K$55</x:f>
        <x:v>2</x:v>
      </x:c>
      <x:c r="H161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161+G161,NA())</x:f>
        <x:v>6.4</x:v>
      </x:c>
      <x:c r="I161" s="22" t="n">
        <x:f>'Assumptions'!$H$55*IF('Assumptions'!$O$55=1,1,'Assumptions'!$D$10)*(1+'Assumptions'!$N$55)^(2-1)</x:f>
        <x:v>1800</x:v>
      </x:c>
      <x:c r="J161" s="10" t="n">
        <x:f>H161*I161</x:f>
        <x:v>11520</x:v>
      </x:c>
      <x:c r="K161" s="10" t="n">
        <x:f>J161*'Assumptions'!$T$55</x:f>
        <x:v>11520</x:v>
      </x:c>
      <x:c r="L161" s="10" t="n">
        <x:f>K161*'Assumptions'!$U$55</x:f>
        <x:v>345.59999999999997</x:v>
      </x:c>
      <x:c r="M161" s="10" t="n">
        <x:f>K161*'Assumptions'!$V$55</x:f>
        <x:v>0</x:v>
      </x:c>
      <x:c r="N161" s="10" t="n">
        <x:f>K161-L161-M161</x:f>
        <x:v>11174.4</x:v>
      </x:c>
      <x:c r="O161" s="10" t="n">
        <x:f>H161*'Assumptions'!$P$55*'Assumptions'!$Q$55*'Assumptions'!$D$11*(1+'Assumptions'!$D$13)^(2-1)</x:f>
        <x:v>3955.2000000000003</x:v>
      </x:c>
      <x:c r="P161" s="10" t="n">
        <x:f>H161*'Assumptions'!$R$55*'Assumptions'!$D$11*(1+'Assumptions'!$D$13)^(2-1)</x:f>
        <x:v>65.92</x:v>
      </x:c>
      <x:c r="Q161" s="10" t="n">
        <x:f>J161*'Assumptions'!$S$55</x:f>
        <x:v>0</x:v>
      </x:c>
      <x:c r="R161" s="10" t="n">
        <x:f>H161*'Assumptions'!$Y$55*'Assumptions'!$Z$55*'Assumptions'!$D$11*(1+'Assumptions'!$D$13)^(2-1)</x:f>
        <x:v>49.44</x:v>
      </x:c>
      <x:c r="S161" s="10" t="n">
        <x:f>IF(I161=0,0,J161*'Assumptions'!$W$55+H161*'Assumptions'!$X$55)</x:f>
        <x:v>336.00000000000006</x:v>
      </x:c>
      <x:c r="T161" s="10" t="n">
        <x:f>N161*'Assumptions'!$AA$55</x:f>
        <x:v>446.976</x:v>
      </x:c>
      <x:c r="U161" s="10" t="n">
        <x:f>'Assumptions'!$AE$55*'Assumptions'!$D$11*(1+'Assumptions'!$D$13)^(2-1)</x:f>
        <x:v>0</x:v>
      </x:c>
      <x:c r="V161" s="10" t="n">
        <x:f>0</x:f>
        <x:v>0</x:v>
      </x:c>
      <x:c r="W161" s="10" t="n">
        <x:f>H161*('Assumptions'!$P$55+'Assumptions'!$Y$55)</x:f>
        <x:v>65.60000000000001</x:v>
      </x:c>
      <x:c r="X161" s="10" t="n">
        <x:f>N161/12*'Assumptions'!$AF$55</x:f>
        <x:v>931.1999999999999</x:v>
      </x:c>
      <x:c r="Y161" s="10" t="n">
        <x:f>P161/12</x:f>
        <x:v>5.493333333333333</x:v>
      </x:c>
      <x:c r="Z161" s="10" t="n">
        <x:f>0</x:f>
        <x:v>0</x:v>
      </x:c>
      <x:c r="AA161" s="10" t="n">
        <x:f>Z161*'Assumptions'!$AC$55*'Assumptions'!$D$11*(1+'Assumptions'!$D$13)^(2-1)</x:f>
        <x:v>0</x:v>
      </x:c>
      <x:c r="AB161" s="10" t="n">
        <x:f>F161/1</x:f>
        <x:v>4.4</x:v>
      </x:c>
      <x:c r="AC161" s="10" t="n">
        <x:f>AB161/'Assumptions'!$AM$55</x:f>
        <x:v>22</x:v>
      </x:c>
      <x:c r="AD161" s="10" t="n">
        <x:f>IF(AB161=0,0,T161/AB161)</x:f>
        <x:v>101.58545454545454</x:v>
      </x:c>
      <x:c r="AE161" s="10" t="n">
        <x:f>AA161*'Assumptions'!$D$21</x:f>
        <x:v>0</x:v>
      </x:c>
    </x:row>
    <x:row r="162" ht="16" customHeight="1">
      <x:c r="A162" s="1"/>
      <x:c r="B162" s="1"/>
      <x:c r="C162" s="1" t="str">
        <x:v>DOT-027</x:v>
      </x:c>
      <x:c r="D162" s="10" t="str">
        <x:v>BPA professional services</x:v>
      </x:c>
      <x:c r="E162" s="10" t="n">
        <x:v>2</x:v>
      </x:c>
      <x:c r="F162" s="21" t="n">
        <x:f>'Assumptions'!$I$56*(1-'Assumptions'!$K$56)*(1+'Assumptions'!$L$56)*'Assumptions'!$D$9*'Assumptions'!$D$8</x:f>
        <x:v>4.4</x:v>
      </x:c>
      <x:c r="G162" s="21" t="n">
        <x:f>H34*'Assumptions'!$K$56</x:f>
        <x:v>2</x:v>
      </x:c>
      <x:c r="H162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162+G162,NA())</x:f>
        <x:v>6.4</x:v>
      </x:c>
      <x:c r="I162" s="22" t="n">
        <x:f>'Assumptions'!$H$56*IF('Assumptions'!$O$56=1,1,'Assumptions'!$D$10)*(1+'Assumptions'!$N$56)^(2-1)</x:f>
        <x:v>1800</x:v>
      </x:c>
      <x:c r="J162" s="10" t="n">
        <x:f>H162*I162</x:f>
        <x:v>11520</x:v>
      </x:c>
      <x:c r="K162" s="10" t="n">
        <x:f>J162*'Assumptions'!$T$56</x:f>
        <x:v>11520</x:v>
      </x:c>
      <x:c r="L162" s="10" t="n">
        <x:f>K162*'Assumptions'!$U$56</x:f>
        <x:v>345.59999999999997</x:v>
      </x:c>
      <x:c r="M162" s="10" t="n">
        <x:f>K162*'Assumptions'!$V$56</x:f>
        <x:v>0</x:v>
      </x:c>
      <x:c r="N162" s="10" t="n">
        <x:f>K162-L162-M162</x:f>
        <x:v>11174.4</x:v>
      </x:c>
      <x:c r="O162" s="10" t="n">
        <x:f>H162*'Assumptions'!$P$56*'Assumptions'!$Q$56*'Assumptions'!$D$11*(1+'Assumptions'!$D$13)^(2-1)</x:f>
        <x:v>3955.2000000000003</x:v>
      </x:c>
      <x:c r="P162" s="10" t="n">
        <x:f>H162*'Assumptions'!$R$56*'Assumptions'!$D$11*(1+'Assumptions'!$D$13)^(2-1)</x:f>
        <x:v>65.92</x:v>
      </x:c>
      <x:c r="Q162" s="10" t="n">
        <x:f>J162*'Assumptions'!$S$56</x:f>
        <x:v>0</x:v>
      </x:c>
      <x:c r="R162" s="10" t="n">
        <x:f>H162*'Assumptions'!$Y$56*'Assumptions'!$Z$56*'Assumptions'!$D$11*(1+'Assumptions'!$D$13)^(2-1)</x:f>
        <x:v>49.44</x:v>
      </x:c>
      <x:c r="S162" s="10" t="n">
        <x:f>IF(I162=0,0,J162*'Assumptions'!$W$56+H162*'Assumptions'!$X$56)</x:f>
        <x:v>336.00000000000006</x:v>
      </x:c>
      <x:c r="T162" s="10" t="n">
        <x:f>N162*'Assumptions'!$AA$56</x:f>
        <x:v>446.976</x:v>
      </x:c>
      <x:c r="U162" s="10" t="n">
        <x:f>'Assumptions'!$AE$56*'Assumptions'!$D$11*(1+'Assumptions'!$D$13)^(2-1)</x:f>
        <x:v>0</x:v>
      </x:c>
      <x:c r="V162" s="10" t="n">
        <x:f>0</x:f>
        <x:v>0</x:v>
      </x:c>
      <x:c r="W162" s="10" t="n">
        <x:f>H162*('Assumptions'!$P$56+'Assumptions'!$Y$56)</x:f>
        <x:v>65.60000000000001</x:v>
      </x:c>
      <x:c r="X162" s="10" t="n">
        <x:f>N162/12*'Assumptions'!$AF$56</x:f>
        <x:v>931.1999999999999</x:v>
      </x:c>
      <x:c r="Y162" s="10" t="n">
        <x:f>P162/12</x:f>
        <x:v>5.493333333333333</x:v>
      </x:c>
      <x:c r="Z162" s="10" t="n">
        <x:f>0</x:f>
        <x:v>0</x:v>
      </x:c>
      <x:c r="AA162" s="10" t="n">
        <x:f>Z162*'Assumptions'!$AC$56*'Assumptions'!$D$11*(1+'Assumptions'!$D$13)^(2-1)</x:f>
        <x:v>0</x:v>
      </x:c>
      <x:c r="AB162" s="10" t="n">
        <x:f>F162/1</x:f>
        <x:v>4.4</x:v>
      </x:c>
      <x:c r="AC162" s="10" t="n">
        <x:f>AB162/'Assumptions'!$AM$56</x:f>
        <x:v>22</x:v>
      </x:c>
      <x:c r="AD162" s="10" t="n">
        <x:f>IF(AB162=0,0,T162/AB162)</x:f>
        <x:v>101.58545454545454</x:v>
      </x:c>
      <x:c r="AE162" s="10" t="n">
        <x:f>AA162*'Assumptions'!$D$21</x:f>
        <x:v>0</x:v>
      </x:c>
    </x:row>
    <x:row r="163" ht="16" customHeight="1">
      <x:c r="A163" s="1"/>
      <x:c r="B163" s="1"/>
      <x:c r="C163" s="1" t="str">
        <x:v>DOT-028</x:v>
      </x:c>
      <x:c r="D163" s="10" t="str">
        <x:v>BPA professional services</x:v>
      </x:c>
      <x:c r="E163" s="10" t="n">
        <x:v>2</x:v>
      </x:c>
      <x:c r="F163" s="21" t="n">
        <x:f>'Assumptions'!$I$57*(1-'Assumptions'!$K$57)*(1+'Assumptions'!$L$57)*'Assumptions'!$D$9*'Assumptions'!$D$8</x:f>
        <x:v>2.2</x:v>
      </x:c>
      <x:c r="G163" s="21" t="n">
        <x:f>H35*'Assumptions'!$K$57</x:f>
        <x:v>1</x:v>
      </x:c>
      <x:c r="H163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163+G163,NA())</x:f>
        <x:v>3.2</x:v>
      </x:c>
      <x:c r="I163" s="22" t="n">
        <x:f>'Assumptions'!$H$57*IF('Assumptions'!$O$57=1,1,'Assumptions'!$D$10)*(1+'Assumptions'!$N$57)^(2-1)</x:f>
        <x:v>1800</x:v>
      </x:c>
      <x:c r="J163" s="10" t="n">
        <x:f>H163*I163</x:f>
        <x:v>5760</x:v>
      </x:c>
      <x:c r="K163" s="10" t="n">
        <x:f>J163*'Assumptions'!$T$57</x:f>
        <x:v>5760</x:v>
      </x:c>
      <x:c r="L163" s="10" t="n">
        <x:f>K163*'Assumptions'!$U$57</x:f>
        <x:v>172.79999999999998</x:v>
      </x:c>
      <x:c r="M163" s="10" t="n">
        <x:f>K163*'Assumptions'!$V$57</x:f>
        <x:v>0</x:v>
      </x:c>
      <x:c r="N163" s="10" t="n">
        <x:f>K163-L163-M163</x:f>
        <x:v>5587.2</x:v>
      </x:c>
      <x:c r="O163" s="10" t="n">
        <x:f>H163*'Assumptions'!$P$57*'Assumptions'!$Q$57*'Assumptions'!$D$11*(1+'Assumptions'!$D$13)^(2-1)</x:f>
        <x:v>2373.1200000000003</x:v>
      </x:c>
      <x:c r="P163" s="10" t="n">
        <x:f>H163*'Assumptions'!$R$57*'Assumptions'!$D$11*(1+'Assumptions'!$D$13)^(2-1)</x:f>
        <x:v>32.96</x:v>
      </x:c>
      <x:c r="Q163" s="10" t="n">
        <x:f>J163*'Assumptions'!$S$57</x:f>
        <x:v>0</x:v>
      </x:c>
      <x:c r="R163" s="10" t="n">
        <x:f>H163*'Assumptions'!$Y$57*'Assumptions'!$Z$57*'Assumptions'!$D$11*(1+'Assumptions'!$D$13)^(2-1)</x:f>
        <x:v>24.72</x:v>
      </x:c>
      <x:c r="S163" s="10" t="n">
        <x:f>IF(I163=0,0,J163*'Assumptions'!$W$57+H163*'Assumptions'!$X$57)</x:f>
        <x:v>168.00000000000003</x:v>
      </x:c>
      <x:c r="T163" s="10" t="n">
        <x:f>N163*'Assumptions'!$AA$57</x:f>
        <x:v>223.488</x:v>
      </x:c>
      <x:c r="U163" s="10" t="n">
        <x:f>'Assumptions'!$AE$57*'Assumptions'!$D$11*(1+'Assumptions'!$D$13)^(2-1)</x:f>
        <x:v>0</x:v>
      </x:c>
      <x:c r="V163" s="10" t="n">
        <x:f>0</x:f>
        <x:v>0</x:v>
      </x:c>
      <x:c r="W163" s="10" t="n">
        <x:f>H163*('Assumptions'!$P$57+'Assumptions'!$Y$57)</x:f>
        <x:v>39.2</x:v>
      </x:c>
      <x:c r="X163" s="10" t="n">
        <x:f>N163/12*'Assumptions'!$AF$57</x:f>
        <x:v>465.59999999999997</x:v>
      </x:c>
      <x:c r="Y163" s="10" t="n">
        <x:f>P163/12</x:f>
        <x:v>2.7466666666666666</x:v>
      </x:c>
      <x:c r="Z163" s="10" t="n">
        <x:f>0</x:f>
        <x:v>0</x:v>
      </x:c>
      <x:c r="AA163" s="10" t="n">
        <x:f>Z163*'Assumptions'!$AC$57*'Assumptions'!$D$11*(1+'Assumptions'!$D$13)^(2-1)</x:f>
        <x:v>0</x:v>
      </x:c>
      <x:c r="AB163" s="10" t="n">
        <x:f>F163/1</x:f>
        <x:v>2.2</x:v>
      </x:c>
      <x:c r="AC163" s="10" t="n">
        <x:f>AB163/'Assumptions'!$AM$57</x:f>
        <x:v>11</x:v>
      </x:c>
      <x:c r="AD163" s="10" t="n">
        <x:f>IF(AB163=0,0,T163/AB163)</x:f>
        <x:v>101.58545454545454</x:v>
      </x:c>
      <x:c r="AE163" s="10" t="n">
        <x:f>AA163*'Assumptions'!$D$21</x:f>
        <x:v>0</x:v>
      </x:c>
    </x:row>
    <x:row r="164" ht="16" customHeight="1">
      <x:c r="A164" s="1"/>
      <x:c r="B164" s="1"/>
      <x:c r="C164" s="1" t="str">
        <x:v>DOT-029</x:v>
      </x:c>
      <x:c r="D164" s="10" t="str">
        <x:v>BPA professional services</x:v>
      </x:c>
      <x:c r="E164" s="10" t="n">
        <x:v>2</x:v>
      </x:c>
      <x:c r="F164" s="21" t="n">
        <x:f>'Assumptions'!$I$58*(1-'Assumptions'!$K$58)*(1+'Assumptions'!$L$58)*'Assumptions'!$D$9*'Assumptions'!$D$8</x:f>
        <x:v>22</x:v>
      </x:c>
      <x:c r="G164" s="21" t="n">
        <x:f>H36*'Assumptions'!$K$58</x:f>
        <x:v>10</x:v>
      </x:c>
      <x:c r="H164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164+G164,NA())</x:f>
        <x:v>32</x:v>
      </x:c>
      <x:c r="I164" s="22" t="n">
        <x:f>'Assumptions'!$H$58*IF('Assumptions'!$O$58=1,1,'Assumptions'!$D$10)*(1+'Assumptions'!$N$58)^(2-1)</x:f>
        <x:v>180</x:v>
      </x:c>
      <x:c r="J164" s="10" t="n">
        <x:f>H164*I164</x:f>
        <x:v>5760</x:v>
      </x:c>
      <x:c r="K164" s="10" t="n">
        <x:f>J164*'Assumptions'!$T$58</x:f>
        <x:v>5760</x:v>
      </x:c>
      <x:c r="L164" s="10" t="n">
        <x:f>K164*'Assumptions'!$U$58</x:f>
        <x:v>172.79999999999998</x:v>
      </x:c>
      <x:c r="M164" s="10" t="n">
        <x:f>K164*'Assumptions'!$V$58</x:f>
        <x:v>0</x:v>
      </x:c>
      <x:c r="N164" s="10" t="n">
        <x:f>K164-L164-M164</x:f>
        <x:v>5587.2</x:v>
      </x:c>
      <x:c r="O164" s="10" t="n">
        <x:f>H164*'Assumptions'!$P$58*'Assumptions'!$Q$58*'Assumptions'!$D$11*(1+'Assumptions'!$D$13)^(2-1)</x:f>
        <x:v>1977.6000000000001</x:v>
      </x:c>
      <x:c r="P164" s="10" t="n">
        <x:f>H164*'Assumptions'!$R$58*'Assumptions'!$D$11*(1+'Assumptions'!$D$13)^(2-1)</x:f>
        <x:v>329.6</x:v>
      </x:c>
      <x:c r="Q164" s="10" t="n">
        <x:f>J164*'Assumptions'!$S$58</x:f>
        <x:v>0</x:v>
      </x:c>
      <x:c r="R164" s="10" t="n">
        <x:f>H164*'Assumptions'!$Y$58*'Assumptions'!$Z$58*'Assumptions'!$D$11*(1+'Assumptions'!$D$13)^(2-1)</x:f>
        <x:v>247.20000000000002</x:v>
      </x:c>
      <x:c r="S164" s="10" t="n">
        <x:f>IF(I164=0,0,J164*'Assumptions'!$W$58+H164*'Assumptions'!$X$58)</x:f>
        <x:v>176.64000000000001</x:v>
      </x:c>
      <x:c r="T164" s="10" t="n">
        <x:f>N164*'Assumptions'!$AA$58</x:f>
        <x:v>223.488</x:v>
      </x:c>
      <x:c r="U164" s="10" t="n">
        <x:f>'Assumptions'!$AE$58*'Assumptions'!$D$11*(1+'Assumptions'!$D$13)^(2-1)</x:f>
        <x:v>0</x:v>
      </x:c>
      <x:c r="V164" s="10" t="n">
        <x:f>0</x:f>
        <x:v>0</x:v>
      </x:c>
      <x:c r="W164" s="10" t="n">
        <x:f>H164*('Assumptions'!$P$58+'Assumptions'!$Y$58)</x:f>
        <x:v>40</x:v>
      </x:c>
      <x:c r="X164" s="10" t="n">
        <x:f>N164/12*'Assumptions'!$AF$58</x:f>
        <x:v>465.59999999999997</x:v>
      </x:c>
      <x:c r="Y164" s="10" t="n">
        <x:f>P164/12</x:f>
        <x:v>27.46666666666667</x:v>
      </x:c>
      <x:c r="Z164" s="10" t="n">
        <x:f>0</x:f>
        <x:v>0</x:v>
      </x:c>
      <x:c r="AA164" s="10" t="n">
        <x:f>Z164*'Assumptions'!$AC$58*'Assumptions'!$D$11*(1+'Assumptions'!$D$13)^(2-1)</x:f>
        <x:v>0</x:v>
      </x:c>
      <x:c r="AB164" s="10" t="n">
        <x:f>F164/1</x:f>
        <x:v>22</x:v>
      </x:c>
      <x:c r="AC164" s="10" t="n">
        <x:f>AB164/'Assumptions'!$AM$58</x:f>
        <x:v>110</x:v>
      </x:c>
      <x:c r="AD164" s="10" t="n">
        <x:f>IF(AB164=0,0,T164/AB164)</x:f>
        <x:v>10.158545454545454</x:v>
      </x:c>
      <x:c r="AE164" s="10" t="n">
        <x:f>AA164*'Assumptions'!$D$21</x:f>
        <x:v>0</x:v>
      </x:c>
    </x:row>
    <x:row r="165" ht="16" customHeight="1">
      <x:c r="A165" s="1"/>
      <x:c r="B165" s="1"/>
      <x:c r="C165" s="1" t="str">
        <x:v>DOT-030</x:v>
      </x:c>
      <x:c r="D165" s="10" t="str">
        <x:v>BPA professional services</x:v>
      </x:c>
      <x:c r="E165" s="10" t="n">
        <x:v>2</x:v>
      </x:c>
      <x:c r="F165" s="21" t="n">
        <x:f>'Assumptions'!$I$59*(1-'Assumptions'!$K$59)*(1+'Assumptions'!$L$59)*'Assumptions'!$D$9*'Assumptions'!$D$8</x:f>
        <x:v>4.4</x:v>
      </x:c>
      <x:c r="G165" s="21" t="n">
        <x:f>H37*'Assumptions'!$K$59</x:f>
        <x:v>2</x:v>
      </x:c>
      <x:c r="H165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165+G165,NA())</x:f>
        <x:v>6.4</x:v>
      </x:c>
      <x:c r="I165" s="22" t="n">
        <x:f>'Assumptions'!$H$59*IF('Assumptions'!$O$59=1,1,'Assumptions'!$D$10)*(1+'Assumptions'!$N$59)^(2-1)</x:f>
        <x:v>510</x:v>
      </x:c>
      <x:c r="J165" s="10" t="n">
        <x:f>H165*I165</x:f>
        <x:v>3264</x:v>
      </x:c>
      <x:c r="K165" s="10" t="n">
        <x:f>J165*'Assumptions'!$T$59</x:f>
        <x:v>3264</x:v>
      </x:c>
      <x:c r="L165" s="10" t="n">
        <x:f>K165*'Assumptions'!$U$59</x:f>
        <x:v>97.92</x:v>
      </x:c>
      <x:c r="M165" s="10" t="n">
        <x:f>K165*'Assumptions'!$V$59</x:f>
        <x:v>0</x:v>
      </x:c>
      <x:c r="N165" s="10" t="n">
        <x:f>K165-L165-M165</x:f>
        <x:v>3166.08</x:v>
      </x:c>
      <x:c r="O165" s="10" t="n">
        <x:f>H165*'Assumptions'!$P$59*'Assumptions'!$Q$59*'Assumptions'!$D$11*(1+'Assumptions'!$D$13)^(2-1)</x:f>
        <x:v>1186.5600000000002</x:v>
      </x:c>
      <x:c r="P165" s="10" t="n">
        <x:f>H165*'Assumptions'!$R$59*'Assumptions'!$D$11*(1+'Assumptions'!$D$13)^(2-1)</x:f>
        <x:v>65.92</x:v>
      </x:c>
      <x:c r="Q165" s="10" t="n">
        <x:f>J165*'Assumptions'!$S$59</x:f>
        <x:v>0</x:v>
      </x:c>
      <x:c r="R165" s="10" t="n">
        <x:f>H165*'Assumptions'!$Y$59*'Assumptions'!$Z$59*'Assumptions'!$D$11*(1+'Assumptions'!$D$13)^(2-1)</x:f>
        <x:v>49.44</x:v>
      </x:c>
      <x:c r="S165" s="10" t="n">
        <x:f>IF(I165=0,0,J165*'Assumptions'!$W$59+H165*'Assumptions'!$X$59)</x:f>
        <x:v>96.57600000000001</x:v>
      </x:c>
      <x:c r="T165" s="10" t="n">
        <x:f>N165*'Assumptions'!$AA$59</x:f>
        <x:v>126.6432</x:v>
      </x:c>
      <x:c r="U165" s="10" t="n">
        <x:f>'Assumptions'!$AE$59*'Assumptions'!$D$11*(1+'Assumptions'!$D$13)^(2-1)</x:f>
        <x:v>0</x:v>
      </x:c>
      <x:c r="V165" s="10" t="n">
        <x:f>0</x:f>
        <x:v>0</x:v>
      </x:c>
      <x:c r="W165" s="10" t="n">
        <x:f>H165*('Assumptions'!$P$59+'Assumptions'!$Y$59)</x:f>
        <x:v>20.8</x:v>
      </x:c>
      <x:c r="X165" s="10" t="n">
        <x:f>N165/12*'Assumptions'!$AF$59</x:f>
        <x:v>263.84</x:v>
      </x:c>
      <x:c r="Y165" s="10" t="n">
        <x:f>P165/12</x:f>
        <x:v>5.493333333333333</x:v>
      </x:c>
      <x:c r="Z165" s="10" t="n">
        <x:f>0</x:f>
        <x:v>0</x:v>
      </x:c>
      <x:c r="AA165" s="10" t="n">
        <x:f>Z165*'Assumptions'!$AC$59*'Assumptions'!$D$11*(1+'Assumptions'!$D$13)^(2-1)</x:f>
        <x:v>0</x:v>
      </x:c>
      <x:c r="AB165" s="10" t="n">
        <x:f>F165/1</x:f>
        <x:v>4.4</x:v>
      </x:c>
      <x:c r="AC165" s="10" t="n">
        <x:f>AB165/'Assumptions'!$AM$59</x:f>
        <x:v>22</x:v>
      </x:c>
      <x:c r="AD165" s="10" t="n">
        <x:f>IF(AB165=0,0,T165/AB165)</x:f>
        <x:v>28.78254545454545</x:v>
      </x:c>
      <x:c r="AE165" s="10" t="n">
        <x:f>AA165*'Assumptions'!$D$21</x:f>
        <x:v>0</x:v>
      </x:c>
    </x:row>
    <x:row r="166" ht="16" customHeight="1">
      <x:c r="A166" s="1"/>
      <x:c r="B166" s="1"/>
      <x:c r="C166" s="1" t="str">
        <x:v>DOT-031</x:v>
      </x:c>
      <x:c r="D166" s="10" t="str">
        <x:v>BPA professional services</x:v>
      </x:c>
      <x:c r="E166" s="10" t="n">
        <x:v>2</x:v>
      </x:c>
      <x:c r="F166" s="21" t="n">
        <x:f>'Assumptions'!$I$60*(1-'Assumptions'!$K$60)*(1+'Assumptions'!$L$60)*'Assumptions'!$D$9*'Assumptions'!$D$8</x:f>
        <x:v>2.2</x:v>
      </x:c>
      <x:c r="G166" s="21" t="n">
        <x:f>H38*'Assumptions'!$K$60</x:f>
        <x:v>1.5</x:v>
      </x:c>
      <x:c r="H166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166+G166,NA())</x:f>
        <x:v>3.7</x:v>
      </x:c>
      <x:c r="I166" s="22" t="n">
        <x:f>'Assumptions'!$H$60*IF('Assumptions'!$O$60=1,1,'Assumptions'!$D$10)*(1+'Assumptions'!$N$60)^(2-1)</x:f>
        <x:v>5100</x:v>
      </x:c>
      <x:c r="J166" s="10" t="n">
        <x:f>H166*I166</x:f>
        <x:v>18870</x:v>
      </x:c>
      <x:c r="K166" s="10" t="n">
        <x:f>J166*'Assumptions'!$T$60</x:f>
        <x:v>18870</x:v>
      </x:c>
      <x:c r="L166" s="10" t="n">
        <x:f>K166*'Assumptions'!$U$60</x:f>
        <x:v>566.1</x:v>
      </x:c>
      <x:c r="M166" s="10" t="n">
        <x:f>K166*'Assumptions'!$V$60</x:f>
        <x:v>0</x:v>
      </x:c>
      <x:c r="N166" s="10" t="n">
        <x:f>K166-L166-M166</x:f>
        <x:v>18303.9</x:v>
      </x:c>
      <x:c r="O166" s="10" t="n">
        <x:f>H166*'Assumptions'!$P$60*'Assumptions'!$Q$60*'Assumptions'!$D$11*(1+'Assumptions'!$D$13)^(2-1)</x:f>
        <x:v>9146.4</x:v>
      </x:c>
      <x:c r="P166" s="10" t="n">
        <x:f>H166*'Assumptions'!$R$60*'Assumptions'!$D$11*(1+'Assumptions'!$D$13)^(2-1)</x:f>
        <x:v>38.11</x:v>
      </x:c>
      <x:c r="Q166" s="10" t="n">
        <x:f>J166*'Assumptions'!$S$60</x:f>
        <x:v>0</x:v>
      </x:c>
      <x:c r="R166" s="10" t="n">
        <x:f>H166*'Assumptions'!$Y$60*'Assumptions'!$Z$60*'Assumptions'!$D$11*(1+'Assumptions'!$D$13)^(2-1)</x:f>
        <x:v>28.5825</x:v>
      </x:c>
      <x:c r="S166" s="10" t="n">
        <x:f>IF(I166=0,0,J166*'Assumptions'!$W$60+H166*'Assumptions'!$X$60)</x:f>
        <x:v>548.34</x:v>
      </x:c>
      <x:c r="T166" s="10" t="n">
        <x:f>N166*'Assumptions'!$AA$60</x:f>
        <x:v>732.1560000000001</x:v>
      </x:c>
      <x:c r="U166" s="10" t="n">
        <x:f>'Assumptions'!$AE$60*'Assumptions'!$D$11*(1+'Assumptions'!$D$13)^(2-1)</x:f>
        <x:v>0</x:v>
      </x:c>
      <x:c r="V166" s="10" t="n">
        <x:f>0</x:f>
        <x:v>0</x:v>
      </x:c>
      <x:c r="W166" s="10" t="n">
        <x:f>H166*('Assumptions'!$P$60+'Assumptions'!$Y$60)</x:f>
        <x:v>148.925</x:v>
      </x:c>
      <x:c r="X166" s="10" t="n">
        <x:f>N166/12*'Assumptions'!$AF$60</x:f>
        <x:v>1525.325</x:v>
      </x:c>
      <x:c r="Y166" s="10" t="n">
        <x:f>P166/12</x:f>
        <x:v>3.1758333333333333</x:v>
      </x:c>
      <x:c r="Z166" s="10" t="n">
        <x:f>0</x:f>
        <x:v>0</x:v>
      </x:c>
      <x:c r="AA166" s="10" t="n">
        <x:f>Z166*'Assumptions'!$AC$60*'Assumptions'!$D$11*(1+'Assumptions'!$D$13)^(2-1)</x:f>
        <x:v>0</x:v>
      </x:c>
      <x:c r="AB166" s="10" t="n">
        <x:f>F166/1</x:f>
        <x:v>2.2</x:v>
      </x:c>
      <x:c r="AC166" s="10" t="n">
        <x:f>AB166/'Assumptions'!$AM$60</x:f>
        <x:v>11</x:v>
      </x:c>
      <x:c r="AD166" s="10" t="n">
        <x:f>IF(AB166=0,0,T166/AB166)</x:f>
        <x:v>332.79818181818183</x:v>
      </x:c>
      <x:c r="AE166" s="10" t="n">
        <x:f>AA166*'Assumptions'!$D$21</x:f>
        <x:v>0</x:v>
      </x:c>
    </x:row>
    <x:row r="167" ht="16" customHeight="1">
      <x:c r="A167" s="1"/>
      <x:c r="B167" s="1"/>
      <x:c r="C167" s="1" t="str">
        <x:v>DOT-032</x:v>
      </x:c>
      <x:c r="D167" s="10" t="str">
        <x:v>BPA professional services</x:v>
      </x:c>
      <x:c r="E167" s="10" t="n">
        <x:v>2</x:v>
      </x:c>
      <x:c r="F167" s="21" t="n">
        <x:f>'Assumptions'!$I$61*(1-'Assumptions'!$K$61)*(1+'Assumptions'!$L$61)*'Assumptions'!$D$9*'Assumptions'!$D$8</x:f>
        <x:v>1.1</x:v>
      </x:c>
      <x:c r="G167" s="21" t="n">
        <x:f>H39*'Assumptions'!$K$61</x:f>
        <x:v>0.75</x:v>
      </x:c>
      <x:c r="H167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167+G167,NA())</x:f>
        <x:v>1.85</x:v>
      </x:c>
      <x:c r="I167" s="22" t="n">
        <x:f>'Assumptions'!$H$61*IF('Assumptions'!$O$61=1,1,'Assumptions'!$D$10)*(1+'Assumptions'!$N$61)^(2-1)</x:f>
        <x:v>7650</x:v>
      </x:c>
      <x:c r="J167" s="10" t="n">
        <x:f>H167*I167</x:f>
        <x:v>14152.5</x:v>
      </x:c>
      <x:c r="K167" s="10" t="n">
        <x:f>J167*'Assumptions'!$T$61</x:f>
        <x:v>14152.5</x:v>
      </x:c>
      <x:c r="L167" s="10" t="n">
        <x:f>K167*'Assumptions'!$U$61</x:f>
        <x:v>424.575</x:v>
      </x:c>
      <x:c r="M167" s="10" t="n">
        <x:f>K167*'Assumptions'!$V$61</x:f>
        <x:v>0</x:v>
      </x:c>
      <x:c r="N167" s="10" t="n">
        <x:f>K167-L167-M167</x:f>
        <x:v>13727.925</x:v>
      </x:c>
      <x:c r="O167" s="10" t="n">
        <x:f>H167*'Assumptions'!$P$61*'Assumptions'!$Q$61*'Assumptions'!$D$11*(1+'Assumptions'!$D$13)^(2-1)</x:f>
        <x:v>6859.8</x:v>
      </x:c>
      <x:c r="P167" s="10" t="n">
        <x:f>H167*'Assumptions'!$R$61*'Assumptions'!$D$11*(1+'Assumptions'!$D$13)^(2-1)</x:f>
        <x:v>19.055</x:v>
      </x:c>
      <x:c r="Q167" s="10" t="n">
        <x:f>J167*'Assumptions'!$S$61</x:f>
        <x:v>0</x:v>
      </x:c>
      <x:c r="R167" s="10" t="n">
        <x:f>H167*'Assumptions'!$Y$61*'Assumptions'!$Z$61*'Assumptions'!$D$11*(1+'Assumptions'!$D$13)^(2-1)</x:f>
        <x:v>14.29125</x:v>
      </x:c>
      <x:c r="S167" s="10" t="n">
        <x:f>IF(I167=0,0,J167*'Assumptions'!$W$61+H167*'Assumptions'!$X$61)</x:f>
        <x:v>410.9775</x:v>
      </x:c>
      <x:c r="T167" s="10" t="n">
        <x:f>N167*'Assumptions'!$AA$61</x:f>
        <x:v>549.117</x:v>
      </x:c>
      <x:c r="U167" s="10" t="n">
        <x:f>'Assumptions'!$AE$61*'Assumptions'!$D$11*(1+'Assumptions'!$D$13)^(2-1)</x:f>
        <x:v>0</x:v>
      </x:c>
      <x:c r="V167" s="10" t="n">
        <x:f>0</x:f>
        <x:v>0</x:v>
      </x:c>
      <x:c r="W167" s="10" t="n">
        <x:f>H167*('Assumptions'!$P$61+'Assumptions'!$Y$61)</x:f>
        <x:v>111.4625</x:v>
      </x:c>
      <x:c r="X167" s="10" t="n">
        <x:f>N167/12*'Assumptions'!$AF$61</x:f>
        <x:v>1143.9937499999999</x:v>
      </x:c>
      <x:c r="Y167" s="10" t="n">
        <x:f>P167/12</x:f>
        <x:v>1.5879166666666666</x:v>
      </x:c>
      <x:c r="Z167" s="10" t="n">
        <x:f>0</x:f>
        <x:v>0</x:v>
      </x:c>
      <x:c r="AA167" s="10" t="n">
        <x:f>Z167*'Assumptions'!$AC$61*'Assumptions'!$D$11*(1+'Assumptions'!$D$13)^(2-1)</x:f>
        <x:v>0</x:v>
      </x:c>
      <x:c r="AB167" s="10" t="n">
        <x:f>F167/1</x:f>
        <x:v>1.1</x:v>
      </x:c>
      <x:c r="AC167" s="10" t="n">
        <x:f>AB167/'Assumptions'!$AM$61</x:f>
        <x:v>5.5</x:v>
      </x:c>
      <x:c r="AD167" s="10" t="n">
        <x:f>IF(AB167=0,0,T167/AB167)</x:f>
        <x:v>499.19727272727266</x:v>
      </x:c>
      <x:c r="AE167" s="10" t="n">
        <x:f>AA167*'Assumptions'!$D$21</x:f>
        <x:v>0</x:v>
      </x:c>
    </x:row>
    <x:row r="168" ht="16" customHeight="1">
      <x:c r="A168" s="1"/>
      <x:c r="B168" s="1"/>
      <x:c r="C168" s="1" t="str">
        <x:v>DOT-033</x:v>
      </x:c>
      <x:c r="D168" s="10" t="str">
        <x:v>CornerFlow</x:v>
      </x:c>
      <x:c r="E168" s="10" t="n">
        <x:v>2</x:v>
      </x:c>
      <x:c r="F168" s="21" t="n">
        <x:f>'Assumptions'!$I$62*(1-'Assumptions'!$K$62)*(1+'Assumptions'!$L$62)*'Assumptions'!$D$9*'Assumptions'!$D$8</x:f>
        <x:v>43.20000000000001</x:v>
      </x:c>
      <x:c r="G168" s="21" t="n">
        <x:f>H40*'Assumptions'!$K$62</x:f>
        <x:v>42</x:v>
      </x:c>
      <x:c r="H168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168+G168,NA())</x:f>
        <x:v>85.20000000000002</x:v>
      </x:c>
      <x:c r="I168" s="22" t="n">
        <x:f>'Assumptions'!$H$62*IF('Assumptions'!$O$62=1,1,'Assumptions'!$D$10)*(1+'Assumptions'!$N$62)^(2-1)</x:f>
        <x:v>49.980000000000004</x:v>
      </x:c>
      <x:c r="J168" s="10" t="n">
        <x:f>H168*I168</x:f>
        <x:v>4258.296000000001</x:v>
      </x:c>
      <x:c r="K168" s="10" t="n">
        <x:f>J168*'Assumptions'!$T$62</x:f>
        <x:v>4258.296000000001</x:v>
      </x:c>
      <x:c r="L168" s="10" t="n">
        <x:f>K168*'Assumptions'!$U$62</x:f>
        <x:v>127.74888000000003</x:v>
      </x:c>
      <x:c r="M168" s="10" t="n">
        <x:f>K168*'Assumptions'!$V$62</x:f>
        <x:v>0</x:v>
      </x:c>
      <x:c r="N168" s="10" t="n">
        <x:f>K168-L168-M168</x:f>
        <x:v>4130.547120000001</x:v>
      </x:c>
      <x:c r="O168" s="10" t="n">
        <x:f>H168*'Assumptions'!$P$62*'Assumptions'!$Q$62*'Assumptions'!$D$11*(1+'Assumptions'!$D$13)^(2-1)</x:f>
        <x:v>460.71900000000016</x:v>
      </x:c>
      <x:c r="P168" s="10" t="n">
        <x:f>H168*'Assumptions'!$R$62*'Assumptions'!$D$11*(1+'Assumptions'!$D$13)^(2-1)</x:f>
        <x:v>0</x:v>
      </x:c>
      <x:c r="Q168" s="10" t="n">
        <x:f>J168*'Assumptions'!$S$62</x:f>
        <x:v>0</x:v>
      </x:c>
      <x:c r="R168" s="10" t="n">
        <x:f>H168*'Assumptions'!$Y$62*'Assumptions'!$Z$62*'Assumptions'!$D$11*(1+'Assumptions'!$D$13)^(2-1)</x:f>
        <x:v>394.9020000000001</x:v>
      </x:c>
      <x:c r="S168" s="10" t="n">
        <x:f>IF(I168=0,0,J168*'Assumptions'!$W$62+H168*'Assumptions'!$X$62)</x:f>
        <x:v>149.05058400000004</x:v>
      </x:c>
      <x:c r="T168" s="10" t="n">
        <x:f>N168*'Assumptions'!$AA$62</x:f>
        <x:v>206.52735600000005</x:v>
      </x:c>
      <x:c r="U168" s="10" t="n">
        <x:f>'Assumptions'!$AE$62*'Assumptions'!$D$11*(1+'Assumptions'!$D$13)^(2-1)</x:f>
        <x:v>123.60000000000001</x:v>
      </x:c>
      <x:c r="V168" s="10" t="n">
        <x:f>0</x:f>
        <x:v>0</x:v>
      </x:c>
      <x:c r="W168" s="10" t="n">
        <x:f>H168*('Assumptions'!$P$62+'Assumptions'!$Y$62)</x:f>
        <x:v>25.560000000000006</x:v>
      </x:c>
      <x:c r="X168" s="10" t="n">
        <x:f>N168/12*'Assumptions'!$AF$62</x:f>
        <x:v>0</x:v>
      </x:c>
      <x:c r="Y168" s="10" t="n">
        <x:f>P168/12</x:f>
        <x:v>0</x:v>
      </x:c>
      <x:c r="Z168" s="10" t="n">
        <x:f>0</x:f>
        <x:v>0</x:v>
      </x:c>
      <x:c r="AA168" s="10" t="n">
        <x:f>Z168*'Assumptions'!$AC$62*'Assumptions'!$D$11*(1+'Assumptions'!$D$13)^(2-1)</x:f>
        <x:v>0</x:v>
      </x:c>
      <x:c r="AB168" s="10" t="n">
        <x:f>F168/12</x:f>
        <x:v>3.600000000000001</x:v>
      </x:c>
      <x:c r="AC168" s="10" t="n">
        <x:f>AB168/'Assumptions'!$AM$62</x:f>
        <x:v>72.00000000000001</x:v>
      </x:c>
      <x:c r="AD168" s="10" t="n">
        <x:f>IF(AB168=0,0,T168/AB168)</x:f>
        <x:v>57.36871</x:v>
      </x:c>
      <x:c r="AE168" s="10" t="n">
        <x:f>AA168*'Assumptions'!$D$21</x:f>
        <x:v>0</x:v>
      </x:c>
    </x:row>
    <x:row r="169" ht="16" customHeight="1">
      <x:c r="A169" s="1"/>
      <x:c r="B169" s="1"/>
      <x:c r="C169" s="1" t="str">
        <x:v>DOT-034</x:v>
      </x:c>
      <x:c r="D169" s="10" t="str">
        <x:v>CornerFlow</x:v>
      </x:c>
      <x:c r="E169" s="10" t="n">
        <x:v>2</x:v>
      </x:c>
      <x:c r="F169" s="21" t="n">
        <x:f>'Assumptions'!$I$63*(1-'Assumptions'!$K$63)*(1+'Assumptions'!$L$63)*'Assumptions'!$D$9*'Assumptions'!$D$8</x:f>
        <x:v>11</x:v>
      </x:c>
      <x:c r="G169" s="21" t="n">
        <x:f>H41*'Assumptions'!$K$63</x:f>
        <x:v>5</x:v>
      </x:c>
      <x:c r="H169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169+G169,NA())</x:f>
        <x:v>16</x:v>
      </x:c>
      <x:c r="I169" s="22" t="n">
        <x:f>'Assumptions'!$H$63*IF('Assumptions'!$O$63=1,1,'Assumptions'!$D$10)*(1+'Assumptions'!$N$63)^(2-1)</x:f>
        <x:v>202.98</x:v>
      </x:c>
      <x:c r="J169" s="10" t="n">
        <x:f>H169*I169</x:f>
        <x:v>3247.68</x:v>
      </x:c>
      <x:c r="K169" s="10" t="n">
        <x:f>J169*'Assumptions'!$T$63</x:f>
        <x:v>3247.68</x:v>
      </x:c>
      <x:c r="L169" s="10" t="n">
        <x:f>K169*'Assumptions'!$U$63</x:f>
        <x:v>97.43039999999999</x:v>
      </x:c>
      <x:c r="M169" s="10" t="n">
        <x:f>K169*'Assumptions'!$V$63</x:f>
        <x:v>0</x:v>
      </x:c>
      <x:c r="N169" s="10" t="n">
        <x:f>K169-L169-M169</x:f>
        <x:v>3150.2495999999996</x:v>
      </x:c>
      <x:c r="O169" s="10" t="n">
        <x:f>H169*'Assumptions'!$P$63*'Assumptions'!$Q$63*'Assumptions'!$D$11*(1+'Assumptions'!$D$13)^(2-1)</x:f>
        <x:v>1318.4</x:v>
      </x:c>
      <x:c r="P169" s="10" t="n">
        <x:f>H169*'Assumptions'!$R$63*'Assumptions'!$D$11*(1+'Assumptions'!$D$13)^(2-1)</x:f>
        <x:v>0</x:v>
      </x:c>
      <x:c r="Q169" s="10" t="n">
        <x:f>J169*'Assumptions'!$S$63</x:f>
        <x:v>0</x:v>
      </x:c>
      <x:c r="R169" s="10" t="n">
        <x:f>H169*'Assumptions'!$Y$63*'Assumptions'!$Z$63*'Assumptions'!$D$11*(1+'Assumptions'!$D$13)^(2-1)</x:f>
        <x:v>123.60000000000001</x:v>
      </x:c>
      <x:c r="S169" s="10" t="n">
        <x:f>IF(I169=0,0,J169*'Assumptions'!$W$63+H169*'Assumptions'!$X$63)</x:f>
        <x:v>98.98272</x:v>
      </x:c>
      <x:c r="T169" s="10" t="n">
        <x:f>N169*'Assumptions'!$AA$63</x:f>
        <x:v>126.00998399999999</x:v>
      </x:c>
      <x:c r="U169" s="10" t="n">
        <x:f>'Assumptions'!$AE$63*'Assumptions'!$D$11*(1+'Assumptions'!$D$13)^(2-1)</x:f>
        <x:v>0</x:v>
      </x:c>
      <x:c r="V169" s="10" t="n">
        <x:f>0</x:f>
        <x:v>0</x:v>
      </x:c>
      <x:c r="W169" s="10" t="n">
        <x:f>H169*('Assumptions'!$P$63+'Assumptions'!$Y$63)</x:f>
        <x:v>36</x:v>
      </x:c>
      <x:c r="X169" s="10" t="n">
        <x:f>N169/12*'Assumptions'!$AF$63</x:f>
        <x:v>262.52079999999995</x:v>
      </x:c>
      <x:c r="Y169" s="10" t="n">
        <x:f>P169/12</x:f>
        <x:v>0</x:v>
      </x:c>
      <x:c r="Z169" s="10" t="n">
        <x:f>0</x:f>
        <x:v>0</x:v>
      </x:c>
      <x:c r="AA169" s="10" t="n">
        <x:f>Z169*'Assumptions'!$AC$63*'Assumptions'!$D$11*(1+'Assumptions'!$D$13)^(2-1)</x:f>
        <x:v>0</x:v>
      </x:c>
      <x:c r="AB169" s="10" t="n">
        <x:f>F169/1</x:f>
        <x:v>11</x:v>
      </x:c>
      <x:c r="AC169" s="10" t="n">
        <x:f>AB169/'Assumptions'!$AM$63</x:f>
        <x:v>55</x:v>
      </x:c>
      <x:c r="AD169" s="10" t="n">
        <x:f>IF(AB169=0,0,T169/AB169)</x:f>
        <x:v>11.45545309090909</x:v>
      </x:c>
      <x:c r="AE169" s="10" t="n">
        <x:f>AA169*'Assumptions'!$D$21</x:f>
        <x:v>0</x:v>
      </x:c>
    </x:row>
    <x:row r="170" ht="16" customHeight="1">
      <x:c r="A170" s="1"/>
      <x:c r="B170" s="1"/>
      <x:c r="C170" s="1" t="str">
        <x:v>DOT-035</x:v>
      </x:c>
      <x:c r="D170" s="10" t="str">
        <x:v>Spindle</x:v>
      </x:c>
      <x:c r="E170" s="10" t="n">
        <x:v>2</x:v>
      </x:c>
      <x:c r="F170" s="21" t="n">
        <x:f>'Assumptions'!$I$64*(1-'Assumptions'!$K$64)*(1+'Assumptions'!$L$64)*'Assumptions'!$D$9*'Assumptions'!$D$8</x:f>
        <x:v>43.20000000000001</x:v>
      </x:c>
      <x:c r="G170" s="21" t="n">
        <x:f>H42*'Assumptions'!$K$64</x:f>
        <x:v>42</x:v>
      </x:c>
      <x:c r="H170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170+G170,NA())</x:f>
        <x:v>85.20000000000002</x:v>
      </x:c>
      <x:c r="I170" s="22" t="n">
        <x:f>'Assumptions'!$H$64*IF('Assumptions'!$O$64=1,1,'Assumptions'!$D$10)*(1+'Assumptions'!$N$64)^(2-1)</x:f>
        <x:v>49.980000000000004</x:v>
      </x:c>
      <x:c r="J170" s="10" t="n">
        <x:f>H170*I170</x:f>
        <x:v>4258.296000000001</x:v>
      </x:c>
      <x:c r="K170" s="10" t="n">
        <x:f>J170*'Assumptions'!$T$64</x:f>
        <x:v>4258.296000000001</x:v>
      </x:c>
      <x:c r="L170" s="10" t="n">
        <x:f>K170*'Assumptions'!$U$64</x:f>
        <x:v>127.74888000000003</x:v>
      </x:c>
      <x:c r="M170" s="10" t="n">
        <x:f>K170*'Assumptions'!$V$64</x:f>
        <x:v>0</x:v>
      </x:c>
      <x:c r="N170" s="10" t="n">
        <x:f>K170-L170-M170</x:f>
        <x:v>4130.547120000001</x:v>
      </x:c>
      <x:c r="O170" s="10" t="n">
        <x:f>H170*'Assumptions'!$P$64*'Assumptions'!$Q$64*'Assumptions'!$D$11*(1+'Assumptions'!$D$13)^(2-1)</x:f>
        <x:v>460.71900000000016</x:v>
      </x:c>
      <x:c r="P170" s="10" t="n">
        <x:f>H170*'Assumptions'!$R$64*'Assumptions'!$D$11*(1+'Assumptions'!$D$13)^(2-1)</x:f>
        <x:v>0</x:v>
      </x:c>
      <x:c r="Q170" s="10" t="n">
        <x:f>J170*'Assumptions'!$S$64</x:f>
        <x:v>0</x:v>
      </x:c>
      <x:c r="R170" s="10" t="n">
        <x:f>H170*'Assumptions'!$Y$64*'Assumptions'!$Z$64*'Assumptions'!$D$11*(1+'Assumptions'!$D$13)^(2-1)</x:f>
        <x:v>394.9020000000001</x:v>
      </x:c>
      <x:c r="S170" s="10" t="n">
        <x:f>IF(I170=0,0,J170*'Assumptions'!$W$64+H170*'Assumptions'!$X$64)</x:f>
        <x:v>149.05058400000004</x:v>
      </x:c>
      <x:c r="T170" s="10" t="n">
        <x:f>N170*'Assumptions'!$AA$64</x:f>
        <x:v>206.52735600000005</x:v>
      </x:c>
      <x:c r="U170" s="10" t="n">
        <x:f>'Assumptions'!$AE$64*'Assumptions'!$D$11*(1+'Assumptions'!$D$13)^(2-1)</x:f>
        <x:v>123.60000000000001</x:v>
      </x:c>
      <x:c r="V170" s="10" t="n">
        <x:f>0</x:f>
        <x:v>0</x:v>
      </x:c>
      <x:c r="W170" s="10" t="n">
        <x:f>H170*('Assumptions'!$P$64+'Assumptions'!$Y$64)</x:f>
        <x:v>25.560000000000006</x:v>
      </x:c>
      <x:c r="X170" s="10" t="n">
        <x:f>N170/12*'Assumptions'!$AF$64</x:f>
        <x:v>0</x:v>
      </x:c>
      <x:c r="Y170" s="10" t="n">
        <x:f>P170/12</x:f>
        <x:v>0</x:v>
      </x:c>
      <x:c r="Z170" s="10" t="n">
        <x:f>0</x:f>
        <x:v>0</x:v>
      </x:c>
      <x:c r="AA170" s="10" t="n">
        <x:f>Z170*'Assumptions'!$AC$64*'Assumptions'!$D$11*(1+'Assumptions'!$D$13)^(2-1)</x:f>
        <x:v>0</x:v>
      </x:c>
      <x:c r="AB170" s="10" t="n">
        <x:f>F170/12</x:f>
        <x:v>3.600000000000001</x:v>
      </x:c>
      <x:c r="AC170" s="10" t="n">
        <x:f>AB170/'Assumptions'!$AM$64</x:f>
        <x:v>72.00000000000001</x:v>
      </x:c>
      <x:c r="AD170" s="10" t="n">
        <x:f>IF(AB170=0,0,T170/AB170)</x:f>
        <x:v>57.36871</x:v>
      </x:c>
      <x:c r="AE170" s="10" t="n">
        <x:f>AA170*'Assumptions'!$D$21</x:f>
        <x:v>0</x:v>
      </x:c>
    </x:row>
    <x:row r="171" ht="16" customHeight="1">
      <x:c r="A171" s="1"/>
      <x:c r="B171" s="1"/>
      <x:c r="C171" s="1" t="str">
        <x:v>DOT-036</x:v>
      </x:c>
      <x:c r="D171" s="10" t="str">
        <x:v>Spindle</x:v>
      </x:c>
      <x:c r="E171" s="10" t="n">
        <x:v>2</x:v>
      </x:c>
      <x:c r="F171" s="21" t="n">
        <x:f>'Assumptions'!$I$65*(1-'Assumptions'!$K$65)*(1+'Assumptions'!$L$65)*'Assumptions'!$D$9*'Assumptions'!$D$8</x:f>
        <x:v>11</x:v>
      </x:c>
      <x:c r="G171" s="21" t="n">
        <x:f>H43*'Assumptions'!$K$65</x:f>
        <x:v>5</x:v>
      </x:c>
      <x:c r="H171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171+G171,NA())</x:f>
        <x:v>16</x:v>
      </x:c>
      <x:c r="I171" s="22" t="n">
        <x:f>'Assumptions'!$H$65*IF('Assumptions'!$O$65=1,1,'Assumptions'!$D$10)*(1+'Assumptions'!$N$65)^(2-1)</x:f>
        <x:v>202.98</x:v>
      </x:c>
      <x:c r="J171" s="10" t="n">
        <x:f>H171*I171</x:f>
        <x:v>3247.68</x:v>
      </x:c>
      <x:c r="K171" s="10" t="n">
        <x:f>J171*'Assumptions'!$T$65</x:f>
        <x:v>3247.68</x:v>
      </x:c>
      <x:c r="L171" s="10" t="n">
        <x:f>K171*'Assumptions'!$U$65</x:f>
        <x:v>97.43039999999999</x:v>
      </x:c>
      <x:c r="M171" s="10" t="n">
        <x:f>K171*'Assumptions'!$V$65</x:f>
        <x:v>0</x:v>
      </x:c>
      <x:c r="N171" s="10" t="n">
        <x:f>K171-L171-M171</x:f>
        <x:v>3150.2495999999996</x:v>
      </x:c>
      <x:c r="O171" s="10" t="n">
        <x:f>H171*'Assumptions'!$P$65*'Assumptions'!$Q$65*'Assumptions'!$D$11*(1+'Assumptions'!$D$13)^(2-1)</x:f>
        <x:v>1318.4</x:v>
      </x:c>
      <x:c r="P171" s="10" t="n">
        <x:f>H171*'Assumptions'!$R$65*'Assumptions'!$D$11*(1+'Assumptions'!$D$13)^(2-1)</x:f>
        <x:v>0</x:v>
      </x:c>
      <x:c r="Q171" s="10" t="n">
        <x:f>J171*'Assumptions'!$S$65</x:f>
        <x:v>0</x:v>
      </x:c>
      <x:c r="R171" s="10" t="n">
        <x:f>H171*'Assumptions'!$Y$65*'Assumptions'!$Z$65*'Assumptions'!$D$11*(1+'Assumptions'!$D$13)^(2-1)</x:f>
        <x:v>123.60000000000001</x:v>
      </x:c>
      <x:c r="S171" s="10" t="n">
        <x:f>IF(I171=0,0,J171*'Assumptions'!$W$65+H171*'Assumptions'!$X$65)</x:f>
        <x:v>98.98272</x:v>
      </x:c>
      <x:c r="T171" s="10" t="n">
        <x:f>N171*'Assumptions'!$AA$65</x:f>
        <x:v>126.00998399999999</x:v>
      </x:c>
      <x:c r="U171" s="10" t="n">
        <x:f>'Assumptions'!$AE$65*'Assumptions'!$D$11*(1+'Assumptions'!$D$13)^(2-1)</x:f>
        <x:v>0</x:v>
      </x:c>
      <x:c r="V171" s="10" t="n">
        <x:f>0</x:f>
        <x:v>0</x:v>
      </x:c>
      <x:c r="W171" s="10" t="n">
        <x:f>H171*('Assumptions'!$P$65+'Assumptions'!$Y$65)</x:f>
        <x:v>36</x:v>
      </x:c>
      <x:c r="X171" s="10" t="n">
        <x:f>N171/12*'Assumptions'!$AF$65</x:f>
        <x:v>262.52079999999995</x:v>
      </x:c>
      <x:c r="Y171" s="10" t="n">
        <x:f>P171/12</x:f>
        <x:v>0</x:v>
      </x:c>
      <x:c r="Z171" s="10" t="n">
        <x:f>0</x:f>
        <x:v>0</x:v>
      </x:c>
      <x:c r="AA171" s="10" t="n">
        <x:f>Z171*'Assumptions'!$AC$65*'Assumptions'!$D$11*(1+'Assumptions'!$D$13)^(2-1)</x:f>
        <x:v>0</x:v>
      </x:c>
      <x:c r="AB171" s="10" t="n">
        <x:f>F171/1</x:f>
        <x:v>11</x:v>
      </x:c>
      <x:c r="AC171" s="10" t="n">
        <x:f>AB171/'Assumptions'!$AM$65</x:f>
        <x:v>55</x:v>
      </x:c>
      <x:c r="AD171" s="10" t="n">
        <x:f>IF(AB171=0,0,T171/AB171)</x:f>
        <x:v>11.45545309090909</x:v>
      </x:c>
      <x:c r="AE171" s="10" t="n">
        <x:f>AA171*'Assumptions'!$D$21</x:f>
        <x:v>0</x:v>
      </x:c>
    </x:row>
    <x:row r="172" ht="16" customHeight="1">
      <x:c r="A172" s="1"/>
      <x:c r="B172" s="1"/>
      <x:c r="C172" s="1" t="str">
        <x:v>DOT-037</x:v>
      </x:c>
      <x:c r="D172" s="10" t="str">
        <x:v>Maison Contour</x:v>
      </x:c>
      <x:c r="E172" s="10" t="n">
        <x:v>2</x:v>
      </x:c>
      <x:c r="F172" s="21" t="n">
        <x:f>'Assumptions'!$I$66*(1-'Assumptions'!$K$66)*(1+'Assumptions'!$L$66)*'Assumptions'!$D$9*'Assumptions'!$D$8</x:f>
        <x:v>43.20000000000001</x:v>
      </x:c>
      <x:c r="G172" s="21" t="n">
        <x:f>H44*'Assumptions'!$K$66</x:f>
        <x:v>42</x:v>
      </x:c>
      <x:c r="H172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172+G172,NA())</x:f>
        <x:v>85.20000000000002</x:v>
      </x:c>
      <x:c r="I172" s="22" t="n">
        <x:f>'Assumptions'!$H$66*IF('Assumptions'!$O$66=1,1,'Assumptions'!$D$10)*(1+'Assumptions'!$N$66)^(2-1)</x:f>
        <x:v>80.58</x:v>
      </x:c>
      <x:c r="J172" s="10" t="n">
        <x:f>H172*I172</x:f>
        <x:v>6865.416000000001</x:v>
      </x:c>
      <x:c r="K172" s="10" t="n">
        <x:f>J172*'Assumptions'!$T$66</x:f>
        <x:v>6865.416000000001</x:v>
      </x:c>
      <x:c r="L172" s="10" t="n">
        <x:f>K172*'Assumptions'!$U$66</x:f>
        <x:v>205.96248000000003</x:v>
      </x:c>
      <x:c r="M172" s="10" t="n">
        <x:f>K172*'Assumptions'!$V$66</x:f>
        <x:v>0</x:v>
      </x:c>
      <x:c r="N172" s="10" t="n">
        <x:f>K172-L172-M172</x:f>
        <x:v>6659.453520000001</x:v>
      </x:c>
      <x:c r="O172" s="10" t="n">
        <x:f>H172*'Assumptions'!$P$66*'Assumptions'!$Q$66*'Assumptions'!$D$11*(1+'Assumptions'!$D$13)^(2-1)</x:f>
        <x:v>460.71900000000016</x:v>
      </x:c>
      <x:c r="P172" s="10" t="n">
        <x:f>H172*'Assumptions'!$R$66*'Assumptions'!$D$11*(1+'Assumptions'!$D$13)^(2-1)</x:f>
        <x:v>0</x:v>
      </x:c>
      <x:c r="Q172" s="10" t="n">
        <x:f>J172*'Assumptions'!$S$66</x:f>
        <x:v>0</x:v>
      </x:c>
      <x:c r="R172" s="10" t="n">
        <x:f>H172*'Assumptions'!$Y$66*'Assumptions'!$Z$66*'Assumptions'!$D$11*(1+'Assumptions'!$D$13)^(2-1)</x:f>
        <x:v>394.9020000000001</x:v>
      </x:c>
      <x:c r="S172" s="10" t="n">
        <x:f>IF(I172=0,0,J172*'Assumptions'!$W$66+H172*'Assumptions'!$X$66)</x:f>
        <x:v>224.65706400000005</x:v>
      </x:c>
      <x:c r="T172" s="10" t="n">
        <x:f>N172*'Assumptions'!$AA$66</x:f>
        <x:v>332.9726760000001</x:v>
      </x:c>
      <x:c r="U172" s="10" t="n">
        <x:f>'Assumptions'!$AE$66*'Assumptions'!$D$11*(1+'Assumptions'!$D$13)^(2-1)</x:f>
        <x:v>123.60000000000001</x:v>
      </x:c>
      <x:c r="V172" s="10" t="n">
        <x:f>0</x:f>
        <x:v>0</x:v>
      </x:c>
      <x:c r="W172" s="10" t="n">
        <x:f>H172*('Assumptions'!$P$66+'Assumptions'!$Y$66)</x:f>
        <x:v>25.560000000000006</x:v>
      </x:c>
      <x:c r="X172" s="10" t="n">
        <x:f>N172/12*'Assumptions'!$AF$66</x:f>
        <x:v>0</x:v>
      </x:c>
      <x:c r="Y172" s="10" t="n">
        <x:f>P172/12</x:f>
        <x:v>0</x:v>
      </x:c>
      <x:c r="Z172" s="10" t="n">
        <x:f>0</x:f>
        <x:v>0</x:v>
      </x:c>
      <x:c r="AA172" s="10" t="n">
        <x:f>Z172*'Assumptions'!$AC$66*'Assumptions'!$D$11*(1+'Assumptions'!$D$13)^(2-1)</x:f>
        <x:v>0</x:v>
      </x:c>
      <x:c r="AB172" s="10" t="n">
        <x:f>F172/12</x:f>
        <x:v>3.600000000000001</x:v>
      </x:c>
      <x:c r="AC172" s="10" t="n">
        <x:f>AB172/'Assumptions'!$AM$66</x:f>
        <x:v>72.00000000000001</x:v>
      </x:c>
      <x:c r="AD172" s="10" t="n">
        <x:f>IF(AB172=0,0,T172/AB172)</x:f>
        <x:v>92.49241</x:v>
      </x:c>
      <x:c r="AE172" s="10" t="n">
        <x:f>AA172*'Assumptions'!$D$21</x:f>
        <x:v>0</x:v>
      </x:c>
    </x:row>
    <x:row r="173" ht="16" customHeight="1">
      <x:c r="A173" s="1"/>
      <x:c r="B173" s="1"/>
      <x:c r="C173" s="1" t="str">
        <x:v>DOT-038</x:v>
      </x:c>
      <x:c r="D173" s="10" t="str">
        <x:v>Maison Contour</x:v>
      </x:c>
      <x:c r="E173" s="10" t="n">
        <x:v>2</x:v>
      </x:c>
      <x:c r="F173" s="21" t="n">
        <x:f>'Assumptions'!$I$67*(1-'Assumptions'!$K$67)*(1+'Assumptions'!$L$67)*'Assumptions'!$D$9*'Assumptions'!$D$8</x:f>
        <x:v>11</x:v>
      </x:c>
      <x:c r="G173" s="21" t="n">
        <x:f>H45*'Assumptions'!$K$67</x:f>
        <x:v>5</x:v>
      </x:c>
      <x:c r="H173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173+G173,NA())</x:f>
        <x:v>16</x:v>
      </x:c>
      <x:c r="I173" s="22" t="n">
        <x:f>'Assumptions'!$H$67*IF('Assumptions'!$O$67=1,1,'Assumptions'!$D$10)*(1+'Assumptions'!$N$67)^(2-1)</x:f>
        <x:v>202.98</x:v>
      </x:c>
      <x:c r="J173" s="10" t="n">
        <x:f>H173*I173</x:f>
        <x:v>3247.68</x:v>
      </x:c>
      <x:c r="K173" s="10" t="n">
        <x:f>J173*'Assumptions'!$T$67</x:f>
        <x:v>3247.68</x:v>
      </x:c>
      <x:c r="L173" s="10" t="n">
        <x:f>K173*'Assumptions'!$U$67</x:f>
        <x:v>97.43039999999999</x:v>
      </x:c>
      <x:c r="M173" s="10" t="n">
        <x:f>K173*'Assumptions'!$V$67</x:f>
        <x:v>0</x:v>
      </x:c>
      <x:c r="N173" s="10" t="n">
        <x:f>K173-L173-M173</x:f>
        <x:v>3150.2495999999996</x:v>
      </x:c>
      <x:c r="O173" s="10" t="n">
        <x:f>H173*'Assumptions'!$P$67*'Assumptions'!$Q$67*'Assumptions'!$D$11*(1+'Assumptions'!$D$13)^(2-1)</x:f>
        <x:v>1318.4</x:v>
      </x:c>
      <x:c r="P173" s="10" t="n">
        <x:f>H173*'Assumptions'!$R$67*'Assumptions'!$D$11*(1+'Assumptions'!$D$13)^(2-1)</x:f>
        <x:v>0</x:v>
      </x:c>
      <x:c r="Q173" s="10" t="n">
        <x:f>J173*'Assumptions'!$S$67</x:f>
        <x:v>0</x:v>
      </x:c>
      <x:c r="R173" s="10" t="n">
        <x:f>H173*'Assumptions'!$Y$67*'Assumptions'!$Z$67*'Assumptions'!$D$11*(1+'Assumptions'!$D$13)^(2-1)</x:f>
        <x:v>123.60000000000001</x:v>
      </x:c>
      <x:c r="S173" s="10" t="n">
        <x:f>IF(I173=0,0,J173*'Assumptions'!$W$67+H173*'Assumptions'!$X$67)</x:f>
        <x:v>98.98272</x:v>
      </x:c>
      <x:c r="T173" s="10" t="n">
        <x:f>N173*'Assumptions'!$AA$67</x:f>
        <x:v>126.00998399999999</x:v>
      </x:c>
      <x:c r="U173" s="10" t="n">
        <x:f>'Assumptions'!$AE$67*'Assumptions'!$D$11*(1+'Assumptions'!$D$13)^(2-1)</x:f>
        <x:v>0</x:v>
      </x:c>
      <x:c r="V173" s="10" t="n">
        <x:f>0</x:f>
        <x:v>0</x:v>
      </x:c>
      <x:c r="W173" s="10" t="n">
        <x:f>H173*('Assumptions'!$P$67+'Assumptions'!$Y$67)</x:f>
        <x:v>36</x:v>
      </x:c>
      <x:c r="X173" s="10" t="n">
        <x:f>N173/12*'Assumptions'!$AF$67</x:f>
        <x:v>262.52079999999995</x:v>
      </x:c>
      <x:c r="Y173" s="10" t="n">
        <x:f>P173/12</x:f>
        <x:v>0</x:v>
      </x:c>
      <x:c r="Z173" s="10" t="n">
        <x:f>0</x:f>
        <x:v>0</x:v>
      </x:c>
      <x:c r="AA173" s="10" t="n">
        <x:f>Z173*'Assumptions'!$AC$67*'Assumptions'!$D$11*(1+'Assumptions'!$D$13)^(2-1)</x:f>
        <x:v>0</x:v>
      </x:c>
      <x:c r="AB173" s="10" t="n">
        <x:f>F173/1</x:f>
        <x:v>11</x:v>
      </x:c>
      <x:c r="AC173" s="10" t="n">
        <x:f>AB173/'Assumptions'!$AM$67</x:f>
        <x:v>55</x:v>
      </x:c>
      <x:c r="AD173" s="10" t="n">
        <x:f>IF(AB173=0,0,T173/AB173)</x:f>
        <x:v>11.45545309090909</x:v>
      </x:c>
      <x:c r="AE173" s="10" t="n">
        <x:f>AA173*'Assumptions'!$D$21</x:f>
        <x:v>0</x:v>
      </x:c>
    </x:row>
    <x:row r="174" ht="16" customHeight="1">
      <x:c r="A174" s="1"/>
      <x:c r="B174" s="1"/>
      <x:c r="C174" s="1" t="str">
        <x:v>DOT-039</x:v>
      </x:c>
      <x:c r="D174" s="10" t="str">
        <x:v>DishLoom US</x:v>
      </x:c>
      <x:c r="E174" s="10" t="n">
        <x:v>2</x:v>
      </x:c>
      <x:c r="F174" s="21" t="n">
        <x:f>'Assumptions'!$I$68*(1-'Assumptions'!$K$68)*(1+'Assumptions'!$L$68)*'Assumptions'!$D$9*'Assumptions'!$D$8</x:f>
        <x:v>43.20000000000001</x:v>
      </x:c>
      <x:c r="G174" s="21" t="n">
        <x:f>H46*'Assumptions'!$K$68</x:f>
        <x:v>42</x:v>
      </x:c>
      <x:c r="H174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174+G174,NA())</x:f>
        <x:v>85.20000000000002</x:v>
      </x:c>
      <x:c r="I174" s="22" t="n">
        <x:f>'Assumptions'!$H$68*IF('Assumptions'!$O$68=1,1,'Assumptions'!$D$10)*(1+'Assumptions'!$N$68)^(2-1)</x:f>
        <x:v>39.78</x:v>
      </x:c>
      <x:c r="J174" s="10" t="n">
        <x:f>H174*I174</x:f>
        <x:v>3389.2560000000008</x:v>
      </x:c>
      <x:c r="K174" s="10" t="n">
        <x:f>J174*'Assumptions'!$T$68</x:f>
        <x:v>3389.2560000000008</x:v>
      </x:c>
      <x:c r="L174" s="10" t="n">
        <x:f>K174*'Assumptions'!$U$68</x:f>
        <x:v>101.67768000000002</x:v>
      </x:c>
      <x:c r="M174" s="10" t="n">
        <x:f>K174*'Assumptions'!$V$68</x:f>
        <x:v>0</x:v>
      </x:c>
      <x:c r="N174" s="10" t="n">
        <x:f>K174-L174-M174</x:f>
        <x:v>3287.5783200000005</x:v>
      </x:c>
      <x:c r="O174" s="10" t="n">
        <x:f>H174*'Assumptions'!$P$68*'Assumptions'!$Q$68*'Assumptions'!$D$11*(1+'Assumptions'!$D$13)^(2-1)</x:f>
        <x:v>460.71900000000016</x:v>
      </x:c>
      <x:c r="P174" s="10" t="n">
        <x:f>H174*'Assumptions'!$R$68*'Assumptions'!$D$11*(1+'Assumptions'!$D$13)^(2-1)</x:f>
        <x:v>0</x:v>
      </x:c>
      <x:c r="Q174" s="10" t="n">
        <x:f>J174*'Assumptions'!$S$68</x:f>
        <x:v>0</x:v>
      </x:c>
      <x:c r="R174" s="10" t="n">
        <x:f>H174*'Assumptions'!$Y$68*'Assumptions'!$Z$68*'Assumptions'!$D$11*(1+'Assumptions'!$D$13)^(2-1)</x:f>
        <x:v>394.9020000000001</x:v>
      </x:c>
      <x:c r="S174" s="10" t="n">
        <x:f>IF(I174=0,0,J174*'Assumptions'!$W$68+H174*'Assumptions'!$X$68)</x:f>
        <x:v>123.84842400000002</x:v>
      </x:c>
      <x:c r="T174" s="10" t="n">
        <x:f>N174*'Assumptions'!$AA$68</x:f>
        <x:v>164.37891600000003</x:v>
      </x:c>
      <x:c r="U174" s="10" t="n">
        <x:f>'Assumptions'!$AE$68*'Assumptions'!$D$11*(1+'Assumptions'!$D$13)^(2-1)</x:f>
        <x:v>123.60000000000001</x:v>
      </x:c>
      <x:c r="V174" s="10" t="n">
        <x:f>0</x:f>
        <x:v>0</x:v>
      </x:c>
      <x:c r="W174" s="10" t="n">
        <x:f>H174*('Assumptions'!$P$68+'Assumptions'!$Y$68)</x:f>
        <x:v>25.560000000000006</x:v>
      </x:c>
      <x:c r="X174" s="10" t="n">
        <x:f>N174/12*'Assumptions'!$AF$68</x:f>
        <x:v>0</x:v>
      </x:c>
      <x:c r="Y174" s="10" t="n">
        <x:f>P174/12</x:f>
        <x:v>0</x:v>
      </x:c>
      <x:c r="Z174" s="10" t="n">
        <x:f>0</x:f>
        <x:v>0</x:v>
      </x:c>
      <x:c r="AA174" s="10" t="n">
        <x:f>Z174*'Assumptions'!$AC$68*'Assumptions'!$D$11*(1+'Assumptions'!$D$13)^(2-1)</x:f>
        <x:v>0</x:v>
      </x:c>
      <x:c r="AB174" s="10" t="n">
        <x:f>F174/12</x:f>
        <x:v>3.600000000000001</x:v>
      </x:c>
      <x:c r="AC174" s="10" t="n">
        <x:f>AB174/'Assumptions'!$AM$68</x:f>
        <x:v>72.00000000000001</x:v>
      </x:c>
      <x:c r="AD174" s="10" t="n">
        <x:f>IF(AB174=0,0,T174/AB174)</x:f>
        <x:v>45.66081</x:v>
      </x:c>
      <x:c r="AE174" s="10" t="n">
        <x:f>AA174*'Assumptions'!$D$21</x:f>
        <x:v>0</x:v>
      </x:c>
    </x:row>
    <x:row r="175" ht="16" customHeight="1">
      <x:c r="A175" s="1"/>
      <x:c r="B175" s="1"/>
      <x:c r="C175" s="1" t="str">
        <x:v>DOT-040</x:v>
      </x:c>
      <x:c r="D175" s="10" t="str">
        <x:v>DishLoom US</x:v>
      </x:c>
      <x:c r="E175" s="10" t="n">
        <x:v>2</x:v>
      </x:c>
      <x:c r="F175" s="21" t="n">
        <x:f>'Assumptions'!$I$69*(1-'Assumptions'!$K$69)*(1+'Assumptions'!$L$69)*'Assumptions'!$D$9*'Assumptions'!$D$8</x:f>
        <x:v>86.40000000000002</x:v>
      </x:c>
      <x:c r="G175" s="21" t="n">
        <x:f>H47*'Assumptions'!$K$69</x:f>
        <x:v>84</x:v>
      </x:c>
      <x:c r="H175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175+G175,NA())</x:f>
        <x:v>170.40000000000003</x:v>
      </x:c>
      <x:c r="I175" s="22" t="n">
        <x:f>'Assumptions'!$H$69*IF('Assumptions'!$O$69=1,1,'Assumptions'!$D$10)*(1+'Assumptions'!$N$69)^(2-1)</x:f>
        <x:v>9.18</x:v>
      </x:c>
      <x:c r="J175" s="10" t="n">
        <x:f>H175*I175</x:f>
        <x:v>1564.2720000000002</x:v>
      </x:c>
      <x:c r="K175" s="10" t="n">
        <x:f>J175*'Assumptions'!$T$69</x:f>
        <x:v>1564.2720000000002</x:v>
      </x:c>
      <x:c r="L175" s="10" t="n">
        <x:f>K175*'Assumptions'!$U$69</x:f>
        <x:v>46.928160000000005</x:v>
      </x:c>
      <x:c r="M175" s="10" t="n">
        <x:f>K175*'Assumptions'!$V$69</x:f>
        <x:v>0</x:v>
      </x:c>
      <x:c r="N175" s="10" t="n">
        <x:f>K175-L175-M175</x:f>
        <x:v>1517.3438400000002</x:v>
      </x:c>
      <x:c r="O175" s="10" t="n">
        <x:f>H175*'Assumptions'!$P$69*'Assumptions'!$Q$69*'Assumptions'!$D$11*(1+'Assumptions'!$D$13)^(2-1)</x:f>
        <x:v>307.1460000000001</x:v>
      </x:c>
      <x:c r="P175" s="10" t="n">
        <x:f>H175*'Assumptions'!$R$69*'Assumptions'!$D$11*(1+'Assumptions'!$D$13)^(2-1)</x:f>
        <x:v>0</x:v>
      </x:c>
      <x:c r="Q175" s="10" t="n">
        <x:f>J175*'Assumptions'!$S$69</x:f>
        <x:v>0</x:v>
      </x:c>
      <x:c r="R175" s="10" t="n">
        <x:f>H175*'Assumptions'!$Y$69*'Assumptions'!$Z$69*'Assumptions'!$D$11*(1+'Assumptions'!$D$13)^(2-1)</x:f>
        <x:v>789.8040000000002</x:v>
      </x:c>
      <x:c r="S175" s="10" t="n">
        <x:f>IF(I175=0,0,J175*'Assumptions'!$W$69+H175*'Assumptions'!$X$69)</x:f>
        <x:v>96.48388800000002</x:v>
      </x:c>
      <x:c r="T175" s="10" t="n">
        <x:f>N175*'Assumptions'!$AA$69</x:f>
        <x:v>75.86719200000002</x:v>
      </x:c>
      <x:c r="U175" s="10" t="n">
        <x:f>'Assumptions'!$AE$69*'Assumptions'!$D$11*(1+'Assumptions'!$D$13)^(2-1)</x:f>
        <x:v>0</x:v>
      </x:c>
      <x:c r="V175" s="10" t="n">
        <x:f>0</x:f>
        <x:v>0</x:v>
      </x:c>
      <x:c r="W175" s="10" t="n">
        <x:f>H175*('Assumptions'!$P$69+'Assumptions'!$Y$69)</x:f>
        <x:v>34.080000000000005</x:v>
      </x:c>
      <x:c r="X175" s="10" t="n">
        <x:f>N175/12*'Assumptions'!$AF$69</x:f>
        <x:v>0</x:v>
      </x:c>
      <x:c r="Y175" s="10" t="n">
        <x:f>P175/12</x:f>
        <x:v>0</x:v>
      </x:c>
      <x:c r="Z175" s="10" t="n">
        <x:f>0</x:f>
        <x:v>0</x:v>
      </x:c>
      <x:c r="AA175" s="10" t="n">
        <x:f>Z175*'Assumptions'!$AC$69*'Assumptions'!$D$11*(1+'Assumptions'!$D$13)^(2-1)</x:f>
        <x:v>0</x:v>
      </x:c>
      <x:c r="AB175" s="10" t="n">
        <x:f>F175/1</x:f>
        <x:v>86.40000000000002</x:v>
      </x:c>
      <x:c r="AC175" s="10" t="n">
        <x:f>AB175/'Assumptions'!$AM$69</x:f>
        <x:v>1728.0000000000002</x:v>
      </x:c>
      <x:c r="AD175" s="10" t="n">
        <x:f>IF(AB175=0,0,T175/AB175)</x:f>
        <x:v>0.8780924999999999</x:v>
      </x:c>
      <x:c r="AE175" s="10" t="n">
        <x:f>AA175*'Assumptions'!$D$21</x:f>
        <x:v>0</x:v>
      </x:c>
    </x:row>
    <x:row r="176" ht="16" customHeight="1">
      <x:c r="A176" s="1"/>
      <x:c r="B176" s="1"/>
      <x:c r="C176" s="1" t="str">
        <x:v>DOT-041</x:v>
      </x:c>
      <x:c r="D176" s="10" t="str">
        <x:v>DishLoom US</x:v>
      </x:c>
      <x:c r="E176" s="10" t="n">
        <x:v>2</x:v>
      </x:c>
      <x:c r="F176" s="21" t="n">
        <x:f>'Assumptions'!$I$70*(1-'Assumptions'!$K$70)*(1+'Assumptions'!$L$70)*'Assumptions'!$D$9*'Assumptions'!$D$8</x:f>
        <x:v>108.00000000000001</x:v>
      </x:c>
      <x:c r="G176" s="21" t="n">
        <x:f>H48*'Assumptions'!$K$70</x:f>
        <x:v>105</x:v>
      </x:c>
      <x:c r="H176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176+G176,NA())</x:f>
        <x:v>213</x:v>
      </x:c>
      <x:c r="I176" s="22" t="n">
        <x:f>'Assumptions'!$H$70*IF('Assumptions'!$O$70=1,1,'Assumptions'!$D$10)*(1+'Assumptions'!$N$70)^(2-1)</x:f>
        <x:v>102</x:v>
      </x:c>
      <x:c r="J176" s="10" t="n">
        <x:f>H176*I176</x:f>
        <x:v>21726</x:v>
      </x:c>
      <x:c r="K176" s="10" t="n">
        <x:f>J176*'Assumptions'!$T$70</x:f>
        <x:v>3258.9</x:v>
      </x:c>
      <x:c r="L176" s="10" t="n">
        <x:f>K176*'Assumptions'!$U$70</x:f>
        <x:v>97.767</x:v>
      </x:c>
      <x:c r="M176" s="10" t="n">
        <x:f>K176*'Assumptions'!$V$70</x:f>
        <x:v>0</x:v>
      </x:c>
      <x:c r="N176" s="10" t="n">
        <x:f>K176-L176-M176</x:f>
        <x:v>3161.1330000000003</x:v>
      </x:c>
      <x:c r="O176" s="10" t="n">
        <x:f>H176*'Assumptions'!$P$70*'Assumptions'!$Q$70*'Assumptions'!$D$11*(1+'Assumptions'!$D$13)^(2-1)</x:f>
        <x:v>767.865</x:v>
      </x:c>
      <x:c r="P176" s="10" t="n">
        <x:f>H176*'Assumptions'!$R$70*'Assumptions'!$D$11*(1+'Assumptions'!$D$13)^(2-1)</x:f>
        <x:v>0</x:v>
      </x:c>
      <x:c r="Q176" s="10" t="n">
        <x:f>J176*'Assumptions'!$S$70</x:f>
        <x:v>0</x:v>
      </x:c>
      <x:c r="R176" s="10" t="n">
        <x:f>H176*'Assumptions'!$Y$70*'Assumptions'!$Z$70*'Assumptions'!$D$11*(1+'Assumptions'!$D$13)^(2-1)</x:f>
        <x:v>987.255</x:v>
      </x:c>
      <x:c r="S176" s="10" t="n">
        <x:f>IF(I176=0,0,J176*'Assumptions'!$W$70+H176*'Assumptions'!$X$70)</x:f>
        <x:v>693.9540000000001</x:v>
      </x:c>
      <x:c r="T176" s="10" t="n">
        <x:f>N176*'Assumptions'!$AA$70</x:f>
        <x:v>158.05665000000002</x:v>
      </x:c>
      <x:c r="U176" s="10" t="n">
        <x:f>'Assumptions'!$AE$70*'Assumptions'!$D$11*(1+'Assumptions'!$D$13)^(2-1)</x:f>
        <x:v>0</x:v>
      </x:c>
      <x:c r="V176" s="10" t="n">
        <x:f>0</x:f>
        <x:v>0</x:v>
      </x:c>
      <x:c r="W176" s="10" t="n">
        <x:f>H176*('Assumptions'!$P$70+'Assumptions'!$Y$70)</x:f>
        <x:v>53.25</x:v>
      </x:c>
      <x:c r="X176" s="10" t="n">
        <x:f>N176/12*'Assumptions'!$AF$70</x:f>
        <x:v>0</x:v>
      </x:c>
      <x:c r="Y176" s="10" t="n">
        <x:f>P176/12</x:f>
        <x:v>0</x:v>
      </x:c>
      <x:c r="Z176" s="10" t="n">
        <x:f>0</x:f>
        <x:v>0</x:v>
      </x:c>
      <x:c r="AA176" s="10" t="n">
        <x:f>Z176*'Assumptions'!$AC$70*'Assumptions'!$D$11*(1+'Assumptions'!$D$13)^(2-1)</x:f>
        <x:v>0</x:v>
      </x:c>
      <x:c r="AB176" s="10" t="n">
        <x:f>F176/1</x:f>
        <x:v>108.00000000000001</x:v>
      </x:c>
      <x:c r="AC176" s="10" t="n">
        <x:f>AB176/'Assumptions'!$AM$70</x:f>
        <x:v>2160</x:v>
      </x:c>
      <x:c r="AD176" s="10" t="n">
        <x:f>IF(AB176=0,0,T176/AB176)</x:f>
        <x:v>1.4634875</x:v>
      </x:c>
      <x:c r="AE176" s="10" t="n">
        <x:f>AA176*'Assumptions'!$D$21</x:f>
        <x:v>0</x:v>
      </x:c>
    </x:row>
    <x:row r="177" ht="16" customHeight="1">
      <x:c r="A177" s="1"/>
      <x:c r="B177" s="1"/>
      <x:c r="C177" s="1" t="str">
        <x:v>DOT-042</x:v>
      </x:c>
      <x:c r="D177" s="10" t="str">
        <x:v>Is Makes Travel Easy</x:v>
      </x:c>
      <x:c r="E177" s="10" t="n">
        <x:v>2</x:v>
      </x:c>
      <x:c r="F177" s="21" t="n">
        <x:f>'Assumptions'!$I$71*(1-'Assumptions'!$K$71)*(1+'Assumptions'!$L$71)*'Assumptions'!$D$9*'Assumptions'!$D$8</x:f>
        <x:v>129.60000000000002</x:v>
      </x:c>
      <x:c r="G177" s="21" t="n">
        <x:f>H49*'Assumptions'!$K$71</x:f>
        <x:v>189</x:v>
      </x:c>
      <x:c r="H177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177+G177,NA())</x:f>
        <x:v>318.6</x:v>
      </x:c>
      <x:c r="I177" s="22" t="n">
        <x:f>'Assumptions'!$H$71*IF('Assumptions'!$O$71=1,1,'Assumptions'!$D$10)*(1+'Assumptions'!$N$71)^(2-1)</x:f>
        <x:v>29.580000000000002</x:v>
      </x:c>
      <x:c r="J177" s="10" t="n">
        <x:f>H177*I177</x:f>
        <x:v>9424.188000000002</x:v>
      </x:c>
      <x:c r="K177" s="10" t="n">
        <x:f>J177*'Assumptions'!$T$71</x:f>
        <x:v>9424.188000000002</x:v>
      </x:c>
      <x:c r="L177" s="10" t="n">
        <x:f>K177*'Assumptions'!$U$71</x:f>
        <x:v>282.72564000000006</x:v>
      </x:c>
      <x:c r="M177" s="10" t="n">
        <x:f>K177*'Assumptions'!$V$71</x:f>
        <x:v>0</x:v>
      </x:c>
      <x:c r="N177" s="10" t="n">
        <x:f>K177-L177-M177</x:f>
        <x:v>9141.462360000001</x:v>
      </x:c>
      <x:c r="O177" s="10" t="n">
        <x:f>H177*'Assumptions'!$P$71*'Assumptions'!$Q$71*'Assumptions'!$D$11*(1+'Assumptions'!$D$13)^(2-1)</x:f>
        <x:v>1148.553</x:v>
      </x:c>
      <x:c r="P177" s="10" t="n">
        <x:f>H177*'Assumptions'!$R$71*'Assumptions'!$D$11*(1+'Assumptions'!$D$13)^(2-1)</x:f>
        <x:v>0</x:v>
      </x:c>
      <x:c r="Q177" s="10" t="n">
        <x:f>J177*'Assumptions'!$S$71</x:f>
        <x:v>0</x:v>
      </x:c>
      <x:c r="R177" s="10" t="n">
        <x:f>H177*'Assumptions'!$Y$71*'Assumptions'!$Z$71*'Assumptions'!$D$11*(1+'Assumptions'!$D$13)^(2-1)</x:f>
        <x:v>1476.711</x:v>
      </x:c>
      <x:c r="S177" s="10" t="n">
        <x:f>IF(I177=0,0,J177*'Assumptions'!$W$71+H177*'Assumptions'!$X$71)</x:f>
        <x:v>368.8814520000001</x:v>
      </x:c>
      <x:c r="T177" s="10" t="n">
        <x:f>N177*'Assumptions'!$AA$71</x:f>
        <x:v>457.0731180000001</x:v>
      </x:c>
      <x:c r="U177" s="10" t="n">
        <x:f>'Assumptions'!$AE$71*'Assumptions'!$D$11*(1+'Assumptions'!$D$13)^(2-1)</x:f>
        <x:v>247.20000000000002</x:v>
      </x:c>
      <x:c r="V177" s="10" t="n">
        <x:f>0</x:f>
        <x:v>0</x:v>
      </x:c>
      <x:c r="W177" s="10" t="n">
        <x:f>H177*('Assumptions'!$P$71+'Assumptions'!$Y$71)</x:f>
        <x:v>79.65</x:v>
      </x:c>
      <x:c r="X177" s="10" t="n">
        <x:f>N177/12*'Assumptions'!$AF$71</x:f>
        <x:v>0</x:v>
      </x:c>
      <x:c r="Y177" s="10" t="n">
        <x:f>P177/12</x:f>
        <x:v>0</x:v>
      </x:c>
      <x:c r="Z177" s="10" t="n">
        <x:f>0</x:f>
        <x:v>0</x:v>
      </x:c>
      <x:c r="AA177" s="10" t="n">
        <x:f>Z177*'Assumptions'!$AC$71*'Assumptions'!$D$11*(1+'Assumptions'!$D$13)^(2-1)</x:f>
        <x:v>0</x:v>
      </x:c>
      <x:c r="AB177" s="10" t="n">
        <x:f>F177/1</x:f>
        <x:v>129.60000000000002</x:v>
      </x:c>
      <x:c r="AC177" s="10" t="n">
        <x:f>AB177/'Assumptions'!$AM$71</x:f>
        <x:v>2592.0000000000005</x:v>
      </x:c>
      <x:c r="AD177" s="10" t="n">
        <x:f>IF(AB177=0,0,T177/AB177)</x:f>
        <x:v>3.52679875</x:v>
      </x:c>
      <x:c r="AE177" s="10" t="n">
        <x:f>AA177*'Assumptions'!$D$21</x:f>
        <x:v>0</x:v>
      </x:c>
    </x:row>
    <x:row r="178" ht="16" customHeight="1">
      <x:c r="A178" s="1"/>
      <x:c r="B178" s="1"/>
      <x:c r="C178" s="1" t="str">
        <x:v>DOT-043</x:v>
      </x:c>
      <x:c r="D178" s="10" t="str">
        <x:v>Is Makes Travel Easy</x:v>
      </x:c>
      <x:c r="E178" s="10" t="n">
        <x:v>2</x:v>
      </x:c>
      <x:c r="F178" s="21" t="n">
        <x:f>'Assumptions'!$I$72*(1-'Assumptions'!$K$72)*(1+'Assumptions'!$L$72)*'Assumptions'!$D$9*'Assumptions'!$D$8</x:f>
        <x:v>64.80000000000001</x:v>
      </x:c>
      <x:c r="G178" s="21" t="n">
        <x:f>H50*'Assumptions'!$K$72</x:f>
        <x:v>94.5</x:v>
      </x:c>
      <x:c r="H178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178+G178,NA())</x:f>
        <x:v>159.3</x:v>
      </x:c>
      <x:c r="I178" s="22" t="n">
        <x:f>'Assumptions'!$H$72*IF('Assumptions'!$O$72=1,1,'Assumptions'!$D$10)*(1+'Assumptions'!$N$72)^(2-1)</x:f>
        <x:v>19.38</x:v>
      </x:c>
      <x:c r="J178" s="10" t="n">
        <x:f>H178*I178</x:f>
        <x:v>3087.234</x:v>
      </x:c>
      <x:c r="K178" s="10" t="n">
        <x:f>J178*'Assumptions'!$T$72</x:f>
        <x:v>3087.234</x:v>
      </x:c>
      <x:c r="L178" s="10" t="n">
        <x:f>K178*'Assumptions'!$U$72</x:f>
        <x:v>92.61702</x:v>
      </x:c>
      <x:c r="M178" s="10" t="n">
        <x:f>K178*'Assumptions'!$V$72</x:f>
        <x:v>0</x:v>
      </x:c>
      <x:c r="N178" s="10" t="n">
        <x:f>K178-L178-M178</x:f>
        <x:v>2994.61698</x:v>
      </x:c>
      <x:c r="O178" s="10" t="n">
        <x:f>H178*'Assumptions'!$P$72*'Assumptions'!$Q$72*'Assumptions'!$D$11*(1+'Assumptions'!$D$13)^(2-1)</x:f>
        <x:v>574.2765</x:v>
      </x:c>
      <x:c r="P178" s="10" t="n">
        <x:f>H178*'Assumptions'!$R$72*'Assumptions'!$D$11*(1+'Assumptions'!$D$13)^(2-1)</x:f>
        <x:v>0</x:v>
      </x:c>
      <x:c r="Q178" s="10" t="n">
        <x:f>J178*'Assumptions'!$S$72</x:f>
        <x:v>0</x:v>
      </x:c>
      <x:c r="R178" s="10" t="n">
        <x:f>H178*'Assumptions'!$Y$72*'Assumptions'!$Z$72*'Assumptions'!$D$11*(1+'Assumptions'!$D$13)^(2-1)</x:f>
        <x:v>738.3555</x:v>
      </x:c>
      <x:c r="S178" s="10" t="n">
        <x:f>IF(I178=0,0,J178*'Assumptions'!$W$72+H178*'Assumptions'!$X$72)</x:f>
        <x:v>137.319786</x:v>
      </x:c>
      <x:c r="T178" s="10" t="n">
        <x:f>N178*'Assumptions'!$AA$72</x:f>
        <x:v>149.730849</x:v>
      </x:c>
      <x:c r="U178" s="10" t="n">
        <x:f>'Assumptions'!$AE$72*'Assumptions'!$D$11*(1+'Assumptions'!$D$13)^(2-1)</x:f>
        <x:v>0</x:v>
      </x:c>
      <x:c r="V178" s="10" t="n">
        <x:f>0</x:f>
        <x:v>0</x:v>
      </x:c>
      <x:c r="W178" s="10" t="n">
        <x:f>H178*('Assumptions'!$P$72+'Assumptions'!$Y$72)</x:f>
        <x:v>39.825</x:v>
      </x:c>
      <x:c r="X178" s="10" t="n">
        <x:f>N178/12*'Assumptions'!$AF$72</x:f>
        <x:v>0</x:v>
      </x:c>
      <x:c r="Y178" s="10" t="n">
        <x:f>P178/12</x:f>
        <x:v>0</x:v>
      </x:c>
      <x:c r="Z178" s="10" t="n">
        <x:f>0</x:f>
        <x:v>0</x:v>
      </x:c>
      <x:c r="AA178" s="10" t="n">
        <x:f>Z178*'Assumptions'!$AC$72*'Assumptions'!$D$11*(1+'Assumptions'!$D$13)^(2-1)</x:f>
        <x:v>0</x:v>
      </x:c>
      <x:c r="AB178" s="10" t="n">
        <x:f>F178/12</x:f>
        <x:v>5.400000000000001</x:v>
      </x:c>
      <x:c r="AC178" s="10" t="n">
        <x:f>AB178/'Assumptions'!$AM$72</x:f>
        <x:v>108.00000000000001</x:v>
      </x:c>
      <x:c r="AD178" s="10" t="n">
        <x:f>IF(AB178=0,0,T178/AB178)</x:f>
        <x:v>27.727934999999995</x:v>
      </x:c>
      <x:c r="AE178" s="10" t="n">
        <x:f>AA178*'Assumptions'!$D$21</x:f>
        <x:v>0</x:v>
      </x:c>
    </x:row>
    <x:row r="179" ht="16" customHeight="1">
      <x:c r="A179" s="1"/>
      <x:c r="B179" s="1"/>
      <x:c r="C179" s="1" t="str">
        <x:v>DOT-044</x:v>
      </x:c>
      <x:c r="D179" s="10" t="str">
        <x:v>Is Makes Travel Easy</x:v>
      </x:c>
      <x:c r="E179" s="10" t="n">
        <x:v>2</x:v>
      </x:c>
      <x:c r="F179" s="21" t="n">
        <x:f>'Assumptions'!$I$73*(1-'Assumptions'!$K$73)*(1+'Assumptions'!$L$73)*'Assumptions'!$D$9*'Assumptions'!$D$8</x:f>
        <x:v>34.32000000000001</x:v>
      </x:c>
      <x:c r="G179" s="21" t="n">
        <x:f>H51*'Assumptions'!$K$73</x:f>
        <x:v>12.6</x:v>
      </x:c>
      <x:c r="H179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179+G179,NA())</x:f>
        <x:v>46.92000000000001</x:v>
      </x:c>
      <x:c r="I179" s="22" t="n">
        <x:f>'Assumptions'!$H$73*IF('Assumptions'!$O$73=1,1,'Assumptions'!$D$10)*(1+'Assumptions'!$N$73)^(2-1)</x:f>
        <x:v>49.980000000000004</x:v>
      </x:c>
      <x:c r="J179" s="10" t="n">
        <x:f>H179*I179</x:f>
        <x:v>2345.0616000000005</x:v>
      </x:c>
      <x:c r="K179" s="10" t="n">
        <x:f>J179*'Assumptions'!$T$73</x:f>
        <x:v>2345.0616000000005</x:v>
      </x:c>
      <x:c r="L179" s="10" t="n">
        <x:f>K179*'Assumptions'!$U$73</x:f>
        <x:v>70.351848</x:v>
      </x:c>
      <x:c r="M179" s="10" t="n">
        <x:f>K179*'Assumptions'!$V$73</x:f>
        <x:v>0</x:v>
      </x:c>
      <x:c r="N179" s="10" t="n">
        <x:f>K179-L179-M179</x:f>
        <x:v>2274.7097520000007</x:v>
      </x:c>
      <x:c r="O179" s="10" t="n">
        <x:f>H179*'Assumptions'!$P$73*'Assumptions'!$Q$73*'Assumptions'!$D$11*(1+'Assumptions'!$D$13)^(2-1)</x:f>
        <x:v>422.8665000000001</x:v>
      </x:c>
      <x:c r="P179" s="10" t="n">
        <x:f>H179*'Assumptions'!$R$73*'Assumptions'!$D$11*(1+'Assumptions'!$D$13)^(2-1)</x:f>
        <x:v>0</x:v>
      </x:c>
      <x:c r="Q179" s="10" t="n">
        <x:f>J179*'Assumptions'!$S$73</x:f>
        <x:v>0</x:v>
      </x:c>
      <x:c r="R179" s="10" t="n">
        <x:f>H179*'Assumptions'!$Y$73*'Assumptions'!$Z$73*'Assumptions'!$D$11*(1+'Assumptions'!$D$13)^(2-1)</x:f>
        <x:v>724.9140000000002</x:v>
      </x:c>
      <x:c r="S179" s="10" t="n">
        <x:f>IF(I179=0,0,J179*'Assumptions'!$W$73+H179*'Assumptions'!$X$73)</x:f>
        <x:v>82.08278640000002</x:v>
      </x:c>
      <x:c r="T179" s="10" t="n">
        <x:f>N179*'Assumptions'!$AA$73</x:f>
        <x:v>181.97678016000006</x:v>
      </x:c>
      <x:c r="U179" s="10" t="n">
        <x:f>'Assumptions'!$AE$73*'Assumptions'!$D$11*(1+'Assumptions'!$D$13)^(2-1)</x:f>
        <x:v>0</x:v>
      </x:c>
      <x:c r="V179" s="10" t="n">
        <x:f>0</x:f>
        <x:v>0</x:v>
      </x:c>
      <x:c r="W179" s="10" t="n">
        <x:f>H179*('Assumptions'!$P$73+'Assumptions'!$Y$73)</x:f>
        <x:v>35.190000000000005</x:v>
      </x:c>
      <x:c r="X179" s="10" t="n">
        <x:f>N179/12*'Assumptions'!$AF$73</x:f>
        <x:v>189.55914600000006</x:v>
      </x:c>
      <x:c r="Y179" s="10" t="n">
        <x:f>P179/12</x:f>
        <x:v>0</x:v>
      </x:c>
      <x:c r="Z179" s="10" t="n">
        <x:f>0</x:f>
        <x:v>0</x:v>
      </x:c>
      <x:c r="AA179" s="10" t="n">
        <x:f>Z179*'Assumptions'!$AC$73*'Assumptions'!$D$11*(1+'Assumptions'!$D$13)^(2-1)</x:f>
        <x:v>0</x:v>
      </x:c>
      <x:c r="AB179" s="10" t="n">
        <x:f>F179/1</x:f>
        <x:v>34.32000000000001</x:v>
      </x:c>
      <x:c r="AC179" s="10" t="n">
        <x:f>AB179/'Assumptions'!$AM$73</x:f>
        <x:v>343.20000000000005</x:v>
      </x:c>
      <x:c r="AD179" s="10" t="n">
        <x:f>IF(AB179=0,0,T179/AB179)</x:f>
        <x:v>5.3023537342657345</x:v>
      </x:c>
      <x:c r="AE179" s="10" t="n">
        <x:f>AA179*'Assumptions'!$D$21</x:f>
        <x:v>0</x:v>
      </x:c>
    </x:row>
    <x:row r="180" ht="16" customHeight="1">
      <x:c r="A180" s="1"/>
      <x:c r="B180" s="1"/>
      <x:c r="C180" s="1" t="str">
        <x:v>DOT-045</x:v>
      </x:c>
      <x:c r="D180" s="10" t="str">
        <x:v>Is Makes Travel Easy</x:v>
      </x:c>
      <x:c r="E180" s="10" t="n">
        <x:v>2</x:v>
      </x:c>
      <x:c r="F180" s="21" t="n">
        <x:f>'Assumptions'!$I$74*(1-'Assumptions'!$K$74)*(1+'Assumptions'!$L$74)*'Assumptions'!$D$9*'Assumptions'!$D$8</x:f>
        <x:v>86.40000000000002</x:v>
      </x:c>
      <x:c r="G180" s="21" t="n">
        <x:f>H52*'Assumptions'!$K$74</x:f>
        <x:v>125.99999999999999</x:v>
      </x:c>
      <x:c r="H180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180+G180,NA())</x:f>
        <x:v>212.4</x:v>
      </x:c>
      <x:c r="I180" s="22" t="n">
        <x:f>'Assumptions'!$H$74*IF('Assumptions'!$O$74=1,1,'Assumptions'!$D$10)*(1+'Assumptions'!$N$74)^(2-1)</x:f>
        <x:v>153</x:v>
      </x:c>
      <x:c r="J180" s="10" t="n">
        <x:f>H180*I180</x:f>
        <x:v>32497.2</x:v>
      </x:c>
      <x:c r="K180" s="10" t="n">
        <x:f>J180*'Assumptions'!$T$74</x:f>
        <x:v>3249.7200000000003</x:v>
      </x:c>
      <x:c r="L180" s="10" t="n">
        <x:f>K180*'Assumptions'!$U$74</x:f>
        <x:v>97.4916</x:v>
      </x:c>
      <x:c r="M180" s="10" t="n">
        <x:f>K180*'Assumptions'!$V$74</x:f>
        <x:v>0</x:v>
      </x:c>
      <x:c r="N180" s="10" t="n">
        <x:f>K180-L180-M180</x:f>
        <x:v>3152.2284000000004</x:v>
      </x:c>
      <x:c r="O180" s="10" t="n">
        <x:f>H180*'Assumptions'!$P$74*'Assumptions'!$Q$74*'Assumptions'!$D$11*(1+'Assumptions'!$D$13)^(2-1)</x:f>
        <x:v>765.7020000000001</x:v>
      </x:c>
      <x:c r="P180" s="10" t="n">
        <x:f>H180*'Assumptions'!$R$74*'Assumptions'!$D$11*(1+'Assumptions'!$D$13)^(2-1)</x:f>
        <x:v>0</x:v>
      </x:c>
      <x:c r="Q180" s="10" t="n">
        <x:f>J180*'Assumptions'!$S$74</x:f>
        <x:v>0</x:v>
      </x:c>
      <x:c r="R180" s="10" t="n">
        <x:f>H180*'Assumptions'!$Y$74*'Assumptions'!$Z$74*'Assumptions'!$D$11*(1+'Assumptions'!$D$13)^(2-1)</x:f>
        <x:v>984.4739999999999</x:v>
      </x:c>
      <x:c r="S180" s="10" t="n">
        <x:f>IF(I180=0,0,J180*'Assumptions'!$W$74+H180*'Assumptions'!$X$74)</x:f>
        <x:v>1006.1388000000001</x:v>
      </x:c>
      <x:c r="T180" s="10" t="n">
        <x:f>N180*'Assumptions'!$AA$74</x:f>
        <x:v>157.61142000000004</x:v>
      </x:c>
      <x:c r="U180" s="10" t="n">
        <x:f>'Assumptions'!$AE$74*'Assumptions'!$D$11*(1+'Assumptions'!$D$13)^(2-1)</x:f>
        <x:v>0</x:v>
      </x:c>
      <x:c r="V180" s="10" t="n">
        <x:f>0</x:f>
        <x:v>0</x:v>
      </x:c>
      <x:c r="W180" s="10" t="n">
        <x:f>H180*('Assumptions'!$P$74+'Assumptions'!$Y$74)</x:f>
        <x:v>53.1</x:v>
      </x:c>
      <x:c r="X180" s="10" t="n">
        <x:f>N180/12*'Assumptions'!$AF$74</x:f>
        <x:v>0</x:v>
      </x:c>
      <x:c r="Y180" s="10" t="n">
        <x:f>P180/12</x:f>
        <x:v>0</x:v>
      </x:c>
      <x:c r="Z180" s="10" t="n">
        <x:f>0</x:f>
        <x:v>0</x:v>
      </x:c>
      <x:c r="AA180" s="10" t="n">
        <x:f>Z180*'Assumptions'!$AC$74*'Assumptions'!$D$11*(1+'Assumptions'!$D$13)^(2-1)</x:f>
        <x:v>0</x:v>
      </x:c>
      <x:c r="AB180" s="10" t="n">
        <x:f>F180/1</x:f>
        <x:v>86.40000000000002</x:v>
      </x:c>
      <x:c r="AC180" s="10" t="n">
        <x:f>AB180/'Assumptions'!$AM$74</x:f>
        <x:v>1728.0000000000002</x:v>
      </x:c>
      <x:c r="AD180" s="10" t="n">
        <x:f>IF(AB180=0,0,T180/AB180)</x:f>
        <x:v>1.82420625</x:v>
      </x:c>
      <x:c r="AE180" s="10" t="n">
        <x:f>AA180*'Assumptions'!$D$21</x:f>
        <x:v>0</x:v>
      </x:c>
    </x:row>
    <x:row r="181" ht="16" customHeight="1">
      <x:c r="A181" s="1"/>
      <x:c r="B181" s="1"/>
      <x:c r="C181" s="1" t="str">
        <x:v>DOT-046</x:v>
      </x:c>
      <x:c r="D181" s="10" t="str">
        <x:v>Turbo Tax - Made Easy!</x:v>
      </x:c>
      <x:c r="E181" s="10" t="n">
        <x:v>2</x:v>
      </x:c>
      <x:c r="F181" s="21" t="n">
        <x:f>'Assumptions'!$I$75*(1-'Assumptions'!$K$75)*(1+'Assumptions'!$L$75)*'Assumptions'!$D$9*'Assumptions'!$D$8</x:f>
        <x:v>258.75</x:v>
      </x:c>
      <x:c r="G181" s="21" t="n">
        <x:f>H53*'Assumptions'!$K$75</x:f>
        <x:v>62.5</x:v>
      </x:c>
      <x:c r="H181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181+G181,NA())</x:f>
        <x:v>321.25</x:v>
      </x:c>
      <x:c r="I181" s="22" t="n">
        <x:f>'Assumptions'!$H$75*IF('Assumptions'!$O$75=1,1,'Assumptions'!$D$10)*(1+'Assumptions'!$N$75)^(2-1)</x:f>
        <x:v>149</x:v>
      </x:c>
      <x:c r="J181" s="10" t="n">
        <x:f>H181*I181</x:f>
        <x:v>47866.25</x:v>
      </x:c>
      <x:c r="K181" s="10" t="n">
        <x:f>J181*'Assumptions'!$T$75</x:f>
        <x:v>47866.25</x:v>
      </x:c>
      <x:c r="L181" s="10" t="n">
        <x:f>K181*'Assumptions'!$U$75</x:f>
        <x:v>1435.9875</x:v>
      </x:c>
      <x:c r="M181" s="10" t="n">
        <x:f>K181*'Assumptions'!$V$75</x:f>
        <x:v>0</x:v>
      </x:c>
      <x:c r="N181" s="10" t="n">
        <x:f>K181-L181-M181</x:f>
        <x:v>46430.2625</x:v>
      </x:c>
      <x:c r="O181" s="10" t="n">
        <x:f>H181*'Assumptions'!$P$75*'Assumptions'!$Q$75*'Assumptions'!$D$11*(1+'Assumptions'!$D$13)^(2-1)</x:f>
        <x:v>1737.159375</x:v>
      </x:c>
      <x:c r="P181" s="10" t="n">
        <x:f>H181*'Assumptions'!$R$75*'Assumptions'!$D$11*(1+'Assumptions'!$D$13)^(2-1)</x:f>
        <x:v>0</x:v>
      </x:c>
      <x:c r="Q181" s="10" t="n">
        <x:f>J181*'Assumptions'!$S$75</x:f>
        <x:v>0</x:v>
      </x:c>
      <x:c r="R181" s="10" t="n">
        <x:f>H181*'Assumptions'!$Y$75*'Assumptions'!$Z$75*'Assumptions'!$D$11*(1+'Assumptions'!$D$13)^(2-1)</x:f>
        <x:v>992.6625</x:v>
      </x:c>
      <x:c r="S181" s="10" t="n">
        <x:f>IF(I181=0,0,J181*'Assumptions'!$W$75+H181*'Assumptions'!$X$75)</x:f>
        <x:v>1484.4962500000001</x:v>
      </x:c>
      <x:c r="T181" s="10" t="n">
        <x:f>N181*'Assumptions'!$AA$75</x:f>
        <x:v>2321.513125</x:v>
      </x:c>
      <x:c r="U181" s="10" t="n">
        <x:f>'Assumptions'!$AE$75*'Assumptions'!$D$11*(1+'Assumptions'!$D$13)^(2-1)</x:f>
        <x:v>0</x:v>
      </x:c>
      <x:c r="V181" s="10" t="n">
        <x:f>0</x:f>
        <x:v>0</x:v>
      </x:c>
      <x:c r="W181" s="10" t="n">
        <x:f>H181*('Assumptions'!$P$75+'Assumptions'!$Y$75)</x:f>
        <x:v>80.3125</x:v>
      </x:c>
      <x:c r="X181" s="10" t="n">
        <x:f>N181/12*'Assumptions'!$AF$75</x:f>
        <x:v>0</x:v>
      </x:c>
      <x:c r="Y181" s="10" t="n">
        <x:f>P181/12</x:f>
        <x:v>0</x:v>
      </x:c>
      <x:c r="Z181" s="10" t="n">
        <x:f>0</x:f>
        <x:v>0</x:v>
      </x:c>
      <x:c r="AA181" s="10" t="n">
        <x:f>Z181*'Assumptions'!$AC$75*'Assumptions'!$D$11*(1+'Assumptions'!$D$13)^(2-1)</x:f>
        <x:v>0</x:v>
      </x:c>
      <x:c r="AB181" s="10" t="n">
        <x:f>F181/1</x:f>
        <x:v>258.75</x:v>
      </x:c>
      <x:c r="AC181" s="10" t="n">
        <x:f>AB181/'Assumptions'!$AM$75</x:f>
        <x:v>5175</x:v>
      </x:c>
      <x:c r="AD181" s="10" t="n">
        <x:f>IF(AB181=0,0,T181/AB181)</x:f>
        <x:v>8.972031400966184</x:v>
      </x:c>
      <x:c r="AE181" s="10" t="n">
        <x:f>AA181*'Assumptions'!$D$21</x:f>
        <x:v>0</x:v>
      </x:c>
    </x:row>
    <x:row r="182" ht="16" customHeight="1">
      <x:c r="A182" s="1"/>
      <x:c r="B182" s="1"/>
      <x:c r="C182" s="1" t="str">
        <x:v>DOT-047</x:v>
      </x:c>
      <x:c r="D182" s="10" t="str">
        <x:v>LavaLearning adult</x:v>
      </x:c>
      <x:c r="E182" s="10" t="n">
        <x:v>2</x:v>
      </x:c>
      <x:c r="F182" s="21" t="n">
        <x:f>'Assumptions'!$I$76*(1-'Assumptions'!$K$76)*(1+'Assumptions'!$L$76)*'Assumptions'!$D$9*'Assumptions'!$D$8</x:f>
        <x:v>172.5</x:v>
      </x:c>
      <x:c r="G182" s="21" t="n">
        <x:f>H54*'Assumptions'!$K$76</x:f>
        <x:v>37.5</x:v>
      </x:c>
      <x:c r="H182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182+G182,NA())</x:f>
        <x:v>210</x:v>
      </x:c>
      <x:c r="I182" s="22" t="n">
        <x:f>'Assumptions'!$H$76*IF('Assumptions'!$O$76=1,1,'Assumptions'!$D$10)*(1+'Assumptions'!$N$76)^(2-1)</x:f>
        <x:v>79</x:v>
      </x:c>
      <x:c r="J182" s="10" t="n">
        <x:f>H182*I182</x:f>
        <x:v>16590</x:v>
      </x:c>
      <x:c r="K182" s="10" t="n">
        <x:f>J182*'Assumptions'!$T$76</x:f>
        <x:v>16590</x:v>
      </x:c>
      <x:c r="L182" s="10" t="n">
        <x:f>K182*'Assumptions'!$U$76</x:f>
        <x:v>497.7</x:v>
      </x:c>
      <x:c r="M182" s="10" t="n">
        <x:f>K182*'Assumptions'!$V$76</x:f>
        <x:v>0</x:v>
      </x:c>
      <x:c r="N182" s="10" t="n">
        <x:f>K182-L182-M182</x:f>
        <x:v>16092.3</x:v>
      </x:c>
      <x:c r="O182" s="10" t="n">
        <x:f>H182*'Assumptions'!$P$76*'Assumptions'!$Q$76*'Assumptions'!$D$11*(1+'Assumptions'!$D$13)^(2-1)</x:f>
        <x:v>1135.575</x:v>
      </x:c>
      <x:c r="P182" s="10" t="n">
        <x:f>H182*'Assumptions'!$R$76*'Assumptions'!$D$11*(1+'Assumptions'!$D$13)^(2-1)</x:f>
        <x:v>0</x:v>
      </x:c>
      <x:c r="Q182" s="10" t="n">
        <x:f>J182*'Assumptions'!$S$76</x:f>
        <x:v>0</x:v>
      </x:c>
      <x:c r="R182" s="10" t="n">
        <x:f>H182*'Assumptions'!$Y$76*'Assumptions'!$Z$76*'Assumptions'!$D$11*(1+'Assumptions'!$D$13)^(2-1)</x:f>
        <x:v>648.9</x:v>
      </x:c>
      <x:c r="S182" s="10" t="n">
        <x:f>IF(I182=0,0,J182*'Assumptions'!$W$76+H182*'Assumptions'!$X$76)</x:f>
        <x:v>544.11</x:v>
      </x:c>
      <x:c r="T182" s="10" t="n">
        <x:f>N182*'Assumptions'!$AA$76</x:f>
        <x:v>804.615</x:v>
      </x:c>
      <x:c r="U182" s="10" t="n">
        <x:f>'Assumptions'!$AE$76*'Assumptions'!$D$11*(1+'Assumptions'!$D$13)^(2-1)</x:f>
        <x:v>0</x:v>
      </x:c>
      <x:c r="V182" s="10" t="n">
        <x:f>0</x:f>
        <x:v>0</x:v>
      </x:c>
      <x:c r="W182" s="10" t="n">
        <x:f>H182*('Assumptions'!$P$76+'Assumptions'!$Y$76)</x:f>
        <x:v>52.5</x:v>
      </x:c>
      <x:c r="X182" s="10" t="n">
        <x:f>N182/12*'Assumptions'!$AF$76</x:f>
        <x:v>0</x:v>
      </x:c>
      <x:c r="Y182" s="10" t="n">
        <x:f>P182/12</x:f>
        <x:v>0</x:v>
      </x:c>
      <x:c r="Z182" s="10" t="n">
        <x:f>0</x:f>
        <x:v>0</x:v>
      </x:c>
      <x:c r="AA182" s="10" t="n">
        <x:f>Z182*'Assumptions'!$AC$76*'Assumptions'!$D$11*(1+'Assumptions'!$D$13)^(2-1)</x:f>
        <x:v>0</x:v>
      </x:c>
      <x:c r="AB182" s="10" t="n">
        <x:f>F182/1</x:f>
        <x:v>172.5</x:v>
      </x:c>
      <x:c r="AC182" s="10" t="n">
        <x:f>AB182/'Assumptions'!$AM$76</x:f>
        <x:v>3450</x:v>
      </x:c>
      <x:c r="AD182" s="10" t="n">
        <x:f>IF(AB182=0,0,T182/AB182)</x:f>
        <x:v>4.664434782608696</x:v>
      </x:c>
      <x:c r="AE182" s="10" t="n">
        <x:f>AA182*'Assumptions'!$D$21</x:f>
        <x:v>0</x:v>
      </x:c>
    </x:row>
    <x:row r="183" ht="16" customHeight="1">
      <x:c r="A183" s="1"/>
      <x:c r="B183" s="1"/>
      <x:c r="C183" s="1" t="str">
        <x:v>DOT-048</x:v>
      </x:c>
      <x:c r="D183" s="10" t="str">
        <x:v>Turbo Tax - Made Easy!</x:v>
      </x:c>
      <x:c r="E183" s="10" t="n">
        <x:v>2</x:v>
      </x:c>
      <x:c r="F183" s="21" t="n">
        <x:f>'Assumptions'!$I$77*(1-'Assumptions'!$K$77)*(1+'Assumptions'!$L$77)*'Assumptions'!$D$9*'Assumptions'!$D$8</x:f>
        <x:v>517.5</x:v>
      </x:c>
      <x:c r="G183" s="21" t="n">
        <x:f>H55*'Assumptions'!$K$77</x:f>
        <x:v>125</x:v>
      </x:c>
      <x:c r="H183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183+G183,NA())</x:f>
        <x:v>642.5</x:v>
      </x:c>
      <x:c r="I183" s="22" t="n">
        <x:f>'Assumptions'!$H$77*IF('Assumptions'!$O$77=1,1,'Assumptions'!$D$10)*(1+'Assumptions'!$N$77)^(2-1)</x:f>
        <x:v>19.38</x:v>
      </x:c>
      <x:c r="J183" s="10" t="n">
        <x:f>H183*I183</x:f>
        <x:v>12451.65</x:v>
      </x:c>
      <x:c r="K183" s="10" t="n">
        <x:f>J183*'Assumptions'!$T$77</x:f>
        <x:v>12451.65</x:v>
      </x:c>
      <x:c r="L183" s="10" t="n">
        <x:f>K183*'Assumptions'!$U$77</x:f>
        <x:v>373.54949999999997</x:v>
      </x:c>
      <x:c r="M183" s="10" t="n">
        <x:f>K183*'Assumptions'!$V$77</x:f>
        <x:v>0</x:v>
      </x:c>
      <x:c r="N183" s="10" t="n">
        <x:f>K183-L183-M183</x:f>
        <x:v>12078.1005</x:v>
      </x:c>
      <x:c r="O183" s="10" t="n">
        <x:f>H183*'Assumptions'!$P$77*'Assumptions'!$Q$77*'Assumptions'!$D$11*(1+'Assumptions'!$D$13)^(2-1)</x:f>
        <x:v>3474.31875</x:v>
      </x:c>
      <x:c r="P183" s="10" t="n">
        <x:f>H183*'Assumptions'!$R$77*'Assumptions'!$D$11*(1+'Assumptions'!$D$13)^(2-1)</x:f>
        <x:v>0</x:v>
      </x:c>
      <x:c r="Q183" s="10" t="n">
        <x:f>J183*'Assumptions'!$S$77</x:f>
        <x:v>0</x:v>
      </x:c>
      <x:c r="R183" s="10" t="n">
        <x:f>H183*'Assumptions'!$Y$77*'Assumptions'!$Z$77*'Assumptions'!$D$11*(1+'Assumptions'!$D$13)^(2-1)</x:f>
        <x:v>1985.325</x:v>
      </x:c>
      <x:c r="S183" s="10" t="n">
        <x:f>IF(I183=0,0,J183*'Assumptions'!$W$77+H183*'Assumptions'!$X$77)</x:f>
        <x:v>553.84785</x:v>
      </x:c>
      <x:c r="T183" s="10" t="n">
        <x:f>N183*'Assumptions'!$AA$77</x:f>
        <x:v>603.905025</x:v>
      </x:c>
      <x:c r="U183" s="10" t="n">
        <x:f>'Assumptions'!$AE$77*'Assumptions'!$D$11*(1+'Assumptions'!$D$13)^(2-1)</x:f>
        <x:v>0</x:v>
      </x:c>
      <x:c r="V183" s="10" t="n">
        <x:f>0</x:f>
        <x:v>0</x:v>
      </x:c>
      <x:c r="W183" s="10" t="n">
        <x:f>H183*('Assumptions'!$P$77+'Assumptions'!$Y$77)</x:f>
        <x:v>160.625</x:v>
      </x:c>
      <x:c r="X183" s="10" t="n">
        <x:f>N183/12*'Assumptions'!$AF$77</x:f>
        <x:v>0</x:v>
      </x:c>
      <x:c r="Y183" s="10" t="n">
        <x:f>P183/12</x:f>
        <x:v>0</x:v>
      </x:c>
      <x:c r="Z183" s="10" t="n">
        <x:f>0</x:f>
        <x:v>0</x:v>
      </x:c>
      <x:c r="AA183" s="10" t="n">
        <x:f>Z183*'Assumptions'!$AC$77*'Assumptions'!$D$11*(1+'Assumptions'!$D$13)^(2-1)</x:f>
        <x:v>0</x:v>
      </x:c>
      <x:c r="AB183" s="10" t="n">
        <x:f>F183/1</x:f>
        <x:v>517.5</x:v>
      </x:c>
      <x:c r="AC183" s="10" t="n">
        <x:f>AB183/'Assumptions'!$AM$77</x:f>
        <x:v>10350</x:v>
      </x:c>
      <x:c r="AD183" s="10" t="n">
        <x:f>IF(AB183=0,0,T183/AB183)</x:f>
        <x:v>1.1669662318840581</x:v>
      </x:c>
      <x:c r="AE183" s="10" t="n">
        <x:f>AA183*'Assumptions'!$D$21</x:f>
        <x:v>0</x:v>
      </x:c>
    </x:row>
    <x:row r="184" ht="16" customHeight="1">
      <x:c r="A184" s="1"/>
      <x:c r="B184" s="1"/>
      <x:c r="C184" s="1" t="str">
        <x:v>DOT-049</x:v>
      </x:c>
      <x:c r="D184" s="10" t="str">
        <x:v>Turbo Tax - Made Easy!</x:v>
      </x:c>
      <x:c r="E184" s="10" t="n">
        <x:v>2</x:v>
      </x:c>
      <x:c r="F184" s="21" t="n">
        <x:f>'Assumptions'!$I$78*(1-'Assumptions'!$K$78)*(1+'Assumptions'!$L$78)*'Assumptions'!$D$9*'Assumptions'!$D$8</x:f>
        <x:v>172.5</x:v>
      </x:c>
      <x:c r="G184" s="21" t="n">
        <x:f>H56*'Assumptions'!$K$78</x:f>
        <x:v>25</x:v>
      </x:c>
      <x:c r="H184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184+G184,NA())</x:f>
        <x:v>197.5</x:v>
      </x:c>
      <x:c r="I184" s="22" t="n">
        <x:f>'Assumptions'!$H$78*IF('Assumptions'!$O$78=1,1,'Assumptions'!$D$10)*(1+'Assumptions'!$N$78)^(2-1)</x:f>
        <x:v>19.38</x:v>
      </x:c>
      <x:c r="J184" s="10" t="n">
        <x:f>H184*I184</x:f>
        <x:v>3827.5499999999997</x:v>
      </x:c>
      <x:c r="K184" s="10" t="n">
        <x:f>J184*'Assumptions'!$T$78</x:f>
        <x:v>3827.5499999999997</x:v>
      </x:c>
      <x:c r="L184" s="10" t="n">
        <x:f>K184*'Assumptions'!$U$78</x:f>
        <x:v>114.82649999999998</x:v>
      </x:c>
      <x:c r="M184" s="10" t="n">
        <x:f>K184*'Assumptions'!$V$78</x:f>
        <x:v>0</x:v>
      </x:c>
      <x:c r="N184" s="10" t="n">
        <x:f>K184-L184-M184</x:f>
        <x:v>3712.7234999999996</x:v>
      </x:c>
      <x:c r="O184" s="10" t="n">
        <x:f>H184*'Assumptions'!$P$78*'Assumptions'!$Q$78*'Assumptions'!$D$11*(1+'Assumptions'!$D$13)^(2-1)</x:f>
        <x:v>1067.98125</x:v>
      </x:c>
      <x:c r="P184" s="10" t="n">
        <x:f>H184*'Assumptions'!$R$78*'Assumptions'!$D$11*(1+'Assumptions'!$D$13)^(2-1)</x:f>
        <x:v>0</x:v>
      </x:c>
      <x:c r="Q184" s="10" t="n">
        <x:f>J184*'Assumptions'!$S$78</x:f>
        <x:v>0</x:v>
      </x:c>
      <x:c r="R184" s="10" t="n">
        <x:f>H184*'Assumptions'!$Y$78*'Assumptions'!$Z$78*'Assumptions'!$D$11*(1+'Assumptions'!$D$13)^(2-1)</x:f>
        <x:v>610.275</x:v>
      </x:c>
      <x:c r="S184" s="10" t="n">
        <x:f>IF(I184=0,0,J184*'Assumptions'!$W$78+H184*'Assumptions'!$X$78)</x:f>
        <x:v>170.24894999999998</x:v>
      </x:c>
      <x:c r="T184" s="10" t="n">
        <x:f>N184*'Assumptions'!$AA$78</x:f>
        <x:v>185.63617499999998</x:v>
      </x:c>
      <x:c r="U184" s="10" t="n">
        <x:f>'Assumptions'!$AE$78*'Assumptions'!$D$11*(1+'Assumptions'!$D$13)^(2-1)</x:f>
        <x:v>0</x:v>
      </x:c>
      <x:c r="V184" s="10" t="n">
        <x:f>0</x:f>
        <x:v>0</x:v>
      </x:c>
      <x:c r="W184" s="10" t="n">
        <x:f>H184*('Assumptions'!$P$78+'Assumptions'!$Y$78)</x:f>
        <x:v>49.375</x:v>
      </x:c>
      <x:c r="X184" s="10" t="n">
        <x:f>N184/12*'Assumptions'!$AF$78</x:f>
        <x:v>0</x:v>
      </x:c>
      <x:c r="Y184" s="10" t="n">
        <x:f>P184/12</x:f>
        <x:v>0</x:v>
      </x:c>
      <x:c r="Z184" s="10" t="n">
        <x:f>0</x:f>
        <x:v>0</x:v>
      </x:c>
      <x:c r="AA184" s="10" t="n">
        <x:f>Z184*'Assumptions'!$AC$78*'Assumptions'!$D$11*(1+'Assumptions'!$D$13)^(2-1)</x:f>
        <x:v>0</x:v>
      </x:c>
      <x:c r="AB184" s="10" t="n">
        <x:f>F184/1</x:f>
        <x:v>172.5</x:v>
      </x:c>
      <x:c r="AC184" s="10" t="n">
        <x:f>AB184/'Assumptions'!$AM$78</x:f>
        <x:v>3450</x:v>
      </x:c>
      <x:c r="AD184" s="10" t="n">
        <x:f>IF(AB184=0,0,T184/AB184)</x:f>
        <x:v>1.0761517391304347</x:v>
      </x:c>
      <x:c r="AE184" s="10" t="n">
        <x:f>AA184*'Assumptions'!$D$21</x:f>
        <x:v>0</x:v>
      </x:c>
    </x:row>
    <x:row r="185" ht="16" customHeight="1">
      <x:c r="A185" s="1"/>
      <x:c r="B185" s="1"/>
      <x:c r="C185" s="1" t="str">
        <x:v>DOT-050</x:v>
      </x:c>
      <x:c r="D185" s="10" t="str">
        <x:v>LavaLearning adult</x:v>
      </x:c>
      <x:c r="E185" s="10" t="n">
        <x:v>2</x:v>
      </x:c>
      <x:c r="F185" s="21" t="n">
        <x:f>'Assumptions'!$I$79*(1-'Assumptions'!$K$79)*(1+'Assumptions'!$L$79)*'Assumptions'!$D$9*'Assumptions'!$D$8</x:f>
        <x:v>517.5</x:v>
      </x:c>
      <x:c r="G185" s="21" t="n">
        <x:f>H57*'Assumptions'!$K$79</x:f>
        <x:v>112.5</x:v>
      </x:c>
      <x:c r="H185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185+G185,NA())</x:f>
        <x:v>630</x:v>
      </x:c>
      <x:c r="I185" s="22" t="n">
        <x:f>'Assumptions'!$H$79*IF('Assumptions'!$O$79=1,1,'Assumptions'!$D$10)*(1+'Assumptions'!$N$79)^(2-1)</x:f>
        <x:v>19.38</x:v>
      </x:c>
      <x:c r="J185" s="10" t="n">
        <x:f>H185*I185</x:f>
        <x:v>12209.4</x:v>
      </x:c>
      <x:c r="K185" s="10" t="n">
        <x:f>J185*'Assumptions'!$T$79</x:f>
        <x:v>12209.4</x:v>
      </x:c>
      <x:c r="L185" s="10" t="n">
        <x:f>K185*'Assumptions'!$U$79</x:f>
        <x:v>366.282</x:v>
      </x:c>
      <x:c r="M185" s="10" t="n">
        <x:f>K185*'Assumptions'!$V$79</x:f>
        <x:v>0</x:v>
      </x:c>
      <x:c r="N185" s="10" t="n">
        <x:f>K185-L185-M185</x:f>
        <x:v>11843.118</x:v>
      </x:c>
      <x:c r="O185" s="10" t="n">
        <x:f>H185*'Assumptions'!$P$79*'Assumptions'!$Q$79*'Assumptions'!$D$11*(1+'Assumptions'!$D$13)^(2-1)</x:f>
        <x:v>3406.725</x:v>
      </x:c>
      <x:c r="P185" s="10" t="n">
        <x:f>H185*'Assumptions'!$R$79*'Assumptions'!$D$11*(1+'Assumptions'!$D$13)^(2-1)</x:f>
        <x:v>0</x:v>
      </x:c>
      <x:c r="Q185" s="10" t="n">
        <x:f>J185*'Assumptions'!$S$79</x:f>
        <x:v>0</x:v>
      </x:c>
      <x:c r="R185" s="10" t="n">
        <x:f>H185*'Assumptions'!$Y$79*'Assumptions'!$Z$79*'Assumptions'!$D$11*(1+'Assumptions'!$D$13)^(2-1)</x:f>
        <x:v>1946.7</x:v>
      </x:c>
      <x:c r="S185" s="10" t="n">
        <x:f>IF(I185=0,0,J185*'Assumptions'!$W$79+H185*'Assumptions'!$X$79)</x:f>
        <x:v>543.0726</x:v>
      </x:c>
      <x:c r="T185" s="10" t="n">
        <x:f>N185*'Assumptions'!$AA$79</x:f>
        <x:v>592.1559000000001</x:v>
      </x:c>
      <x:c r="U185" s="10" t="n">
        <x:f>'Assumptions'!$AE$79*'Assumptions'!$D$11*(1+'Assumptions'!$D$13)^(2-1)</x:f>
        <x:v>0</x:v>
      </x:c>
      <x:c r="V185" s="10" t="n">
        <x:f>0</x:f>
        <x:v>0</x:v>
      </x:c>
      <x:c r="W185" s="10" t="n">
        <x:f>H185*('Assumptions'!$P$79+'Assumptions'!$Y$79)</x:f>
        <x:v>157.5</x:v>
      </x:c>
      <x:c r="X185" s="10" t="n">
        <x:f>N185/12*'Assumptions'!$AF$79</x:f>
        <x:v>0</x:v>
      </x:c>
      <x:c r="Y185" s="10" t="n">
        <x:f>P185/12</x:f>
        <x:v>0</x:v>
      </x:c>
      <x:c r="Z185" s="10" t="n">
        <x:f>0</x:f>
        <x:v>0</x:v>
      </x:c>
      <x:c r="AA185" s="10" t="n">
        <x:f>Z185*'Assumptions'!$AC$79*'Assumptions'!$D$11*(1+'Assumptions'!$D$13)^(2-1)</x:f>
        <x:v>0</x:v>
      </x:c>
      <x:c r="AB185" s="10" t="n">
        <x:f>F185/1</x:f>
        <x:v>517.5</x:v>
      </x:c>
      <x:c r="AC185" s="10" t="n">
        <x:f>AB185/'Assumptions'!$AM$79</x:f>
        <x:v>10350</x:v>
      </x:c>
      <x:c r="AD185" s="10" t="n">
        <x:f>IF(AB185=0,0,T185/AB185)</x:f>
        <x:v>1.1442626086956524</x:v>
      </x:c>
      <x:c r="AE185" s="10" t="n">
        <x:f>AA185*'Assumptions'!$D$21</x:f>
        <x:v>0</x:v>
      </x:c>
    </x:row>
    <x:row r="186" ht="16" customHeight="1">
      <x:c r="A186" s="1"/>
      <x:c r="B186" s="1"/>
      <x:c r="C186" s="1" t="str">
        <x:v>DOT-051</x:v>
      </x:c>
      <x:c r="D186" s="10" t="str">
        <x:v>LavaLearning adult</x:v>
      </x:c>
      <x:c r="E186" s="10" t="n">
        <x:v>2</x:v>
      </x:c>
      <x:c r="F186" s="21" t="n">
        <x:f>'Assumptions'!$I$80*(1-'Assumptions'!$K$80)*(1+'Assumptions'!$L$80)*'Assumptions'!$D$9*'Assumptions'!$D$8</x:f>
        <x:v>103.49999999999999</x:v>
      </x:c>
      <x:c r="G186" s="21" t="n">
        <x:f>H58*'Assumptions'!$K$80</x:f>
        <x:v>15</x:v>
      </x:c>
      <x:c r="H186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186+G186,NA())</x:f>
        <x:v>118.49999999999999</x:v>
      </x:c>
      <x:c r="I186" s="22" t="n">
        <x:f>'Assumptions'!$H$80*IF('Assumptions'!$O$80=1,1,'Assumptions'!$D$10)*(1+'Assumptions'!$N$80)^(2-1)</x:f>
        <x:v>29.580000000000002</x:v>
      </x:c>
      <x:c r="J186" s="10" t="n">
        <x:f>H186*I186</x:f>
        <x:v>3505.23</x:v>
      </x:c>
      <x:c r="K186" s="10" t="n">
        <x:f>J186*'Assumptions'!$T$80</x:f>
        <x:v>3505.23</x:v>
      </x:c>
      <x:c r="L186" s="10" t="n">
        <x:f>K186*'Assumptions'!$U$80</x:f>
        <x:v>105.1569</x:v>
      </x:c>
      <x:c r="M186" s="10" t="n">
        <x:f>K186*'Assumptions'!$V$80</x:f>
        <x:v>0</x:v>
      </x:c>
      <x:c r="N186" s="10" t="n">
        <x:f>K186-L186-M186</x:f>
        <x:v>3400.0731</x:v>
      </x:c>
      <x:c r="O186" s="10" t="n">
        <x:f>H186*'Assumptions'!$P$80*'Assumptions'!$Q$80*'Assumptions'!$D$11*(1+'Assumptions'!$D$13)^(2-1)</x:f>
        <x:v>640.78875</x:v>
      </x:c>
      <x:c r="P186" s="10" t="n">
        <x:f>H186*'Assumptions'!$R$80*'Assumptions'!$D$11*(1+'Assumptions'!$D$13)^(2-1)</x:f>
        <x:v>0</x:v>
      </x:c>
      <x:c r="Q186" s="10" t="n">
        <x:f>J186*'Assumptions'!$S$80</x:f>
        <x:v>0</x:v>
      </x:c>
      <x:c r="R186" s="10" t="n">
        <x:f>H186*'Assumptions'!$Y$80*'Assumptions'!$Z$80*'Assumptions'!$D$11*(1+'Assumptions'!$D$13)^(2-1)</x:f>
        <x:v>366.165</x:v>
      </x:c>
      <x:c r="S186" s="10" t="n">
        <x:f>IF(I186=0,0,J186*'Assumptions'!$W$80+H186*'Assumptions'!$X$80)</x:f>
        <x:v>137.20167</x:v>
      </x:c>
      <x:c r="T186" s="10" t="n">
        <x:f>N186*'Assumptions'!$AA$80</x:f>
        <x:v>170.003655</x:v>
      </x:c>
      <x:c r="U186" s="10" t="n">
        <x:f>'Assumptions'!$AE$80*'Assumptions'!$D$11*(1+'Assumptions'!$D$13)^(2-1)</x:f>
        <x:v>0</x:v>
      </x:c>
      <x:c r="V186" s="10" t="n">
        <x:f>0</x:f>
        <x:v>0</x:v>
      </x:c>
      <x:c r="W186" s="10" t="n">
        <x:f>H186*('Assumptions'!$P$80+'Assumptions'!$Y$80)</x:f>
        <x:v>29.624999999999996</x:v>
      </x:c>
      <x:c r="X186" s="10" t="n">
        <x:f>N186/12*'Assumptions'!$AF$80</x:f>
        <x:v>0</x:v>
      </x:c>
      <x:c r="Y186" s="10" t="n">
        <x:f>P186/12</x:f>
        <x:v>0</x:v>
      </x:c>
      <x:c r="Z186" s="10" t="n">
        <x:f>0</x:f>
        <x:v>0</x:v>
      </x:c>
      <x:c r="AA186" s="10" t="n">
        <x:f>Z186*'Assumptions'!$AC$80*'Assumptions'!$D$11*(1+'Assumptions'!$D$13)^(2-1)</x:f>
        <x:v>0</x:v>
      </x:c>
      <x:c r="AB186" s="10" t="n">
        <x:f>F186/1</x:f>
        <x:v>103.49999999999999</x:v>
      </x:c>
      <x:c r="AC186" s="10" t="n">
        <x:f>AB186/'Assumptions'!$AM$80</x:f>
        <x:v>2069.9999999999995</x:v>
      </x:c>
      <x:c r="AD186" s="10" t="n">
        <x:f>IF(AB186=0,0,T186/AB186)</x:f>
        <x:v>1.6425473913043482</x:v>
      </x:c>
      <x:c r="AE186" s="10" t="n">
        <x:f>AA186*'Assumptions'!$D$21</x:f>
        <x:v>0</x:v>
      </x:c>
    </x:row>
    <x:row r="187" ht="16" customHeight="1">
      <x:c r="A187" s="1"/>
      <x:c r="B187" s="1"/>
      <x:c r="C187" s="1" t="str">
        <x:v>DOT-052</x:v>
      </x:c>
      <x:c r="D187" s="10" t="str">
        <x:v>LavaLearning Model Life</x:v>
      </x:c>
      <x:c r="E187" s="10" t="n">
        <x:v>2</x:v>
      </x:c>
      <x:c r="F187" s="21" t="n">
        <x:f>'Assumptions'!$I$81*(1-'Assumptions'!$K$81)*(1+'Assumptions'!$L$81)*'Assumptions'!$D$9*'Assumptions'!$D$8</x:f>
        <x:v>0</x:v>
      </x:c>
      <x:c r="G187" s="21" t="n">
        <x:f>H59*'Assumptions'!$K$81</x:f>
        <x:v>0</x:v>
      </x:c>
      <x:c r="H187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187+G187,NA())</x:f>
        <x:v>0</x:v>
      </x:c>
      <x:c r="I187" s="22" t="n">
        <x:f>'Assumptions'!$H$81*IF('Assumptions'!$O$81=1,1,'Assumptions'!$D$10)*(1+'Assumptions'!$N$81)^(2-1)</x:f>
        <x:v>0</x:v>
      </x:c>
      <x:c r="J187" s="10" t="n">
        <x:f>H187*I187</x:f>
        <x:v>0</x:v>
      </x:c>
      <x:c r="K187" s="10" t="n">
        <x:f>J187*'Assumptions'!$T$81</x:f>
        <x:v>0</x:v>
      </x:c>
      <x:c r="L187" s="10" t="n">
        <x:f>K187*'Assumptions'!$U$81</x:f>
        <x:v>0</x:v>
      </x:c>
      <x:c r="M187" s="10" t="n">
        <x:f>K187*'Assumptions'!$V$81</x:f>
        <x:v>0</x:v>
      </x:c>
      <x:c r="N187" s="10" t="n">
        <x:f>K187-L187-M187</x:f>
        <x:v>0</x:v>
      </x:c>
      <x:c r="O187" s="10" t="n">
        <x:f>H187*'Assumptions'!$P$81*'Assumptions'!$Q$81*'Assumptions'!$D$11*(1+'Assumptions'!$D$13)^(2-1)</x:f>
        <x:v>0</x:v>
      </x:c>
      <x:c r="P187" s="10" t="n">
        <x:f>H187*'Assumptions'!$R$81*'Assumptions'!$D$11*(1+'Assumptions'!$D$13)^(2-1)</x:f>
        <x:v>0</x:v>
      </x:c>
      <x:c r="Q187" s="10" t="n">
        <x:f>J187*'Assumptions'!$S$81</x:f>
        <x:v>0</x:v>
      </x:c>
      <x:c r="R187" s="10" t="n">
        <x:f>H187*'Assumptions'!$Y$81*'Assumptions'!$Z$81*'Assumptions'!$D$11*(1+'Assumptions'!$D$13)^(2-1)</x:f>
        <x:v>0</x:v>
      </x:c>
      <x:c r="S187" s="10" t="n">
        <x:f>IF(I187=0,0,J187*'Assumptions'!$W$81+H187*'Assumptions'!$X$81)</x:f>
        <x:v>0</x:v>
      </x:c>
      <x:c r="T187" s="10" t="n">
        <x:f>N187*'Assumptions'!$AA$81</x:f>
        <x:v>0</x:v>
      </x:c>
      <x:c r="U187" s="10" t="n">
        <x:f>'Assumptions'!$AE$81*'Assumptions'!$D$11*(1+'Assumptions'!$D$13)^(2-1)</x:f>
        <x:v>0</x:v>
      </x:c>
      <x:c r="V187" s="10" t="n">
        <x:f>0</x:f>
        <x:v>0</x:v>
      </x:c>
      <x:c r="W187" s="10" t="n">
        <x:f>H187*('Assumptions'!$P$81+'Assumptions'!$Y$81)</x:f>
        <x:v>0</x:v>
      </x:c>
      <x:c r="X187" s="10" t="n">
        <x:f>N187/12*'Assumptions'!$AF$81</x:f>
        <x:v>0</x:v>
      </x:c>
      <x:c r="Y187" s="10" t="n">
        <x:f>P187/12</x:f>
        <x:v>0</x:v>
      </x:c>
      <x:c r="Z187" s="10" t="n">
        <x:f>0</x:f>
        <x:v>0</x:v>
      </x:c>
      <x:c r="AA187" s="10" t="n">
        <x:f>Z187*'Assumptions'!$AC$81*'Assumptions'!$D$11*(1+'Assumptions'!$D$13)^(2-1)</x:f>
        <x:v>0</x:v>
      </x:c>
      <x:c r="AB187" s="10" t="n">
        <x:f>F187/1</x:f>
        <x:v>0</x:v>
      </x:c>
      <x:c r="AC187" s="10" t="n">
        <x:f>AB187/'Assumptions'!$AM$81</x:f>
        <x:v>0</x:v>
      </x:c>
      <x:c r="AD187" s="10" t="n">
        <x:f>IF(AB187=0,0,T187/AB187)</x:f>
        <x:v>0</x:v>
      </x:c>
      <x:c r="AE187" s="10" t="n">
        <x:f>AA187*'Assumptions'!$D$21</x:f>
        <x:v>0</x:v>
      </x:c>
    </x:row>
    <x:row r="188" ht="16" customHeight="1">
      <x:c r="A188" s="1"/>
      <x:c r="B188" s="1"/>
      <x:c r="C188" s="1" t="str">
        <x:v>DOT-053</x:v>
      </x:c>
      <x:c r="D188" s="10" t="str">
        <x:v>LavaLearning Kids</x:v>
      </x:c>
      <x:c r="E188" s="10" t="n">
        <x:v>2</x:v>
      </x:c>
      <x:c r="F188" s="21" t="n">
        <x:f>'Assumptions'!$I$82*(1-'Assumptions'!$K$82)*(1+'Assumptions'!$L$82)*'Assumptions'!$D$9*'Assumptions'!$D$8</x:f>
        <x:v>517.5</x:v>
      </x:c>
      <x:c r="G188" s="21" t="n">
        <x:f>H60*'Assumptions'!$K$82</x:f>
        <x:v>75</x:v>
      </x:c>
      <x:c r="H188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188+G188,NA())</x:f>
        <x:v>592.5</x:v>
      </x:c>
      <x:c r="I188" s="22" t="n">
        <x:f>'Assumptions'!$H$82*IF('Assumptions'!$O$82=1,1,'Assumptions'!$D$10)*(1+'Assumptions'!$N$82)^(2-1)</x:f>
        <x:v>19.38</x:v>
      </x:c>
      <x:c r="J188" s="10" t="n">
        <x:f>H188*I188</x:f>
        <x:v>11482.65</x:v>
      </x:c>
      <x:c r="K188" s="10" t="n">
        <x:f>J188*'Assumptions'!$T$82</x:f>
        <x:v>11482.65</x:v>
      </x:c>
      <x:c r="L188" s="10" t="n">
        <x:f>K188*'Assumptions'!$U$82</x:f>
        <x:v>344.4795</x:v>
      </x:c>
      <x:c r="M188" s="10" t="n">
        <x:f>K188*'Assumptions'!$V$82</x:f>
        <x:v>0</x:v>
      </x:c>
      <x:c r="N188" s="10" t="n">
        <x:f>K188-L188-M188</x:f>
        <x:v>11138.1705</x:v>
      </x:c>
      <x:c r="O188" s="10" t="n">
        <x:f>H188*'Assumptions'!$P$82*'Assumptions'!$Q$82*'Assumptions'!$D$11*(1+'Assumptions'!$D$13)^(2-1)</x:f>
        <x:v>3203.94375</x:v>
      </x:c>
      <x:c r="P188" s="10" t="n">
        <x:f>H188*'Assumptions'!$R$82*'Assumptions'!$D$11*(1+'Assumptions'!$D$13)^(2-1)</x:f>
        <x:v>0</x:v>
      </x:c>
      <x:c r="Q188" s="10" t="n">
        <x:f>J188*'Assumptions'!$S$82</x:f>
        <x:v>0</x:v>
      </x:c>
      <x:c r="R188" s="10" t="n">
        <x:f>H188*'Assumptions'!$Y$82*'Assumptions'!$Z$82*'Assumptions'!$D$11*(1+'Assumptions'!$D$13)^(2-1)</x:f>
        <x:v>1830.825</x:v>
      </x:c>
      <x:c r="S188" s="10" t="n">
        <x:f>IF(I188=0,0,J188*'Assumptions'!$W$82+H188*'Assumptions'!$X$82)</x:f>
        <x:v>510.74685</x:v>
      </x:c>
      <x:c r="T188" s="10" t="n">
        <x:f>N188*'Assumptions'!$AA$82</x:f>
        <x:v>556.908525</x:v>
      </x:c>
      <x:c r="U188" s="10" t="n">
        <x:f>'Assumptions'!$AE$82*'Assumptions'!$D$11*(1+'Assumptions'!$D$13)^(2-1)</x:f>
        <x:v>247.20000000000002</x:v>
      </x:c>
      <x:c r="V188" s="10" t="n">
        <x:f>0</x:f>
        <x:v>0</x:v>
      </x:c>
      <x:c r="W188" s="10" t="n">
        <x:f>H188*('Assumptions'!$P$82+'Assumptions'!$Y$82)</x:f>
        <x:v>148.125</x:v>
      </x:c>
      <x:c r="X188" s="10" t="n">
        <x:f>N188/12*'Assumptions'!$AF$82</x:f>
        <x:v>0</x:v>
      </x:c>
      <x:c r="Y188" s="10" t="n">
        <x:f>P188/12</x:f>
        <x:v>0</x:v>
      </x:c>
      <x:c r="Z188" s="10" t="n">
        <x:f>0</x:f>
        <x:v>0</x:v>
      </x:c>
      <x:c r="AA188" s="10" t="n">
        <x:f>Z188*'Assumptions'!$AC$82*'Assumptions'!$D$11*(1+'Assumptions'!$D$13)^(2-1)</x:f>
        <x:v>0</x:v>
      </x:c>
      <x:c r="AB188" s="10" t="n">
        <x:f>F188/1</x:f>
        <x:v>517.5</x:v>
      </x:c>
      <x:c r="AC188" s="10" t="n">
        <x:f>AB188/'Assumptions'!$AM$82</x:f>
        <x:v>10350</x:v>
      </x:c>
      <x:c r="AD188" s="10" t="n">
        <x:f>IF(AB188=0,0,T188/AB188)</x:f>
        <x:v>1.076151739130435</x:v>
      </x:c>
      <x:c r="AE188" s="10" t="n">
        <x:f>AA188*'Assumptions'!$D$21</x:f>
        <x:v>0</x:v>
      </x:c>
    </x:row>
    <x:row r="189" ht="16" customHeight="1">
      <x:c r="A189" s="1"/>
      <x:c r="B189" s="1"/>
      <x:c r="C189" s="1" t="str">
        <x:v>DOT-054</x:v>
      </x:c>
      <x:c r="D189" s="10" t="str">
        <x:v>VraiSkill adult</x:v>
      </x:c>
      <x:c r="E189" s="10" t="n">
        <x:v>2</x:v>
      </x:c>
      <x:c r="F189" s="21" t="n">
        <x:f>'Assumptions'!$I$83*(1-'Assumptions'!$K$83)*(1+'Assumptions'!$L$83)*'Assumptions'!$D$9*'Assumptions'!$D$8</x:f>
        <x:v>1035</x:v>
      </x:c>
      <x:c r="G189" s="21" t="n">
        <x:f>H61*'Assumptions'!$K$83</x:f>
        <x:v>225</x:v>
      </x:c>
      <x:c r="H189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189+G189,NA())</x:f>
        <x:v>1260</x:v>
      </x:c>
      <x:c r="I189" s="22" t="n">
        <x:f>'Assumptions'!$H$83*IF('Assumptions'!$O$83=1,1,'Assumptions'!$D$10)*(1+'Assumptions'!$N$83)^(2-1)</x:f>
        <x:v>10.1898</x:v>
      </x:c>
      <x:c r="J189" s="10" t="n">
        <x:f>H189*I189</x:f>
        <x:v>12839.148</x:v>
      </x:c>
      <x:c r="K189" s="10" t="n">
        <x:f>J189*'Assumptions'!$T$83</x:f>
        <x:v>12839.148</x:v>
      </x:c>
      <x:c r="L189" s="10" t="n">
        <x:f>K189*'Assumptions'!$U$83</x:f>
        <x:v>385.17443999999995</x:v>
      </x:c>
      <x:c r="M189" s="10" t="n">
        <x:f>K189*'Assumptions'!$V$83</x:f>
        <x:v>0</x:v>
      </x:c>
      <x:c r="N189" s="10" t="n">
        <x:f>K189-L189-M189</x:f>
        <x:v>12453.973559999999</x:v>
      </x:c>
      <x:c r="O189" s="10" t="n">
        <x:f>H189*'Assumptions'!$P$83*'Assumptions'!$Q$83*'Assumptions'!$D$11*(1+'Assumptions'!$D$13)^(2-1)</x:f>
        <x:v>6813.45</x:v>
      </x:c>
      <x:c r="P189" s="10" t="n">
        <x:f>H189*'Assumptions'!$R$83*'Assumptions'!$D$11*(1+'Assumptions'!$D$13)^(2-1)</x:f>
        <x:v>0</x:v>
      </x:c>
      <x:c r="Q189" s="10" t="n">
        <x:f>J189*'Assumptions'!$S$83</x:f>
        <x:v>0</x:v>
      </x:c>
      <x:c r="R189" s="10" t="n">
        <x:f>H189*'Assumptions'!$Y$83*'Assumptions'!$Z$83*'Assumptions'!$D$11*(1+'Assumptions'!$D$13)^(2-1)</x:f>
        <x:v>3893.4</x:v>
      </x:c>
      <x:c r="S189" s="10" t="n">
        <x:f>IF(I189=0,0,J189*'Assumptions'!$W$83+H189*'Assumptions'!$X$83)</x:f>
        <x:v>750.335292</x:v>
      </x:c>
      <x:c r="T189" s="10" t="n">
        <x:f>N189*'Assumptions'!$AA$83</x:f>
        <x:v>622.698678</x:v>
      </x:c>
      <x:c r="U189" s="10" t="n">
        <x:f>'Assumptions'!$AE$83*'Assumptions'!$D$11*(1+'Assumptions'!$D$13)^(2-1)</x:f>
        <x:v>247.20000000000002</x:v>
      </x:c>
      <x:c r="V189" s="10" t="n">
        <x:f>0</x:f>
        <x:v>0</x:v>
      </x:c>
      <x:c r="W189" s="10" t="n">
        <x:f>H189*('Assumptions'!$P$83+'Assumptions'!$Y$83)</x:f>
        <x:v>315</x:v>
      </x:c>
      <x:c r="X189" s="10" t="n">
        <x:f>N189/12*'Assumptions'!$AF$83</x:f>
        <x:v>0</x:v>
      </x:c>
      <x:c r="Y189" s="10" t="n">
        <x:f>P189/12</x:f>
        <x:v>0</x:v>
      </x:c>
      <x:c r="Z189" s="10" t="n">
        <x:f>0</x:f>
        <x:v>0</x:v>
      </x:c>
      <x:c r="AA189" s="10" t="n">
        <x:f>Z189*'Assumptions'!$AC$83*'Assumptions'!$D$11*(1+'Assumptions'!$D$13)^(2-1)</x:f>
        <x:v>0</x:v>
      </x:c>
      <x:c r="AB189" s="10" t="n">
        <x:f>F189/1</x:f>
        <x:v>1035</x:v>
      </x:c>
      <x:c r="AC189" s="10" t="n">
        <x:f>AB189/'Assumptions'!$AM$83</x:f>
        <x:v>20700</x:v>
      </x:c>
      <x:c r="AD189" s="10" t="n">
        <x:f>IF(AB189=0,0,T189/AB189)</x:f>
        <x:v>0.6016412347826087</x:v>
      </x:c>
      <x:c r="AE189" s="10" t="n">
        <x:f>AA189*'Assumptions'!$D$21</x:f>
        <x:v>0</x:v>
      </x:c>
    </x:row>
    <x:row r="190" ht="16" customHeight="1">
      <x:c r="A190" s="1"/>
      <x:c r="B190" s="1"/>
      <x:c r="C190" s="1" t="str">
        <x:v>DOT-055</x:v>
      </x:c>
      <x:c r="D190" s="10" t="str">
        <x:v>VraiSkill adult</x:v>
      </x:c>
      <x:c r="E190" s="10" t="n">
        <x:v>2</x:v>
      </x:c>
      <x:c r="F190" s="21" t="n">
        <x:f>'Assumptions'!$I$84*(1-'Assumptions'!$K$84)*(1+'Assumptions'!$L$84)*'Assumptions'!$D$9*'Assumptions'!$D$8</x:f>
        <x:v>345</x:v>
      </x:c>
      <x:c r="G190" s="21" t="n">
        <x:f>H62*'Assumptions'!$K$84</x:f>
        <x:v>75</x:v>
      </x:c>
      <x:c r="H190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190+G190,NA())</x:f>
        <x:v>420</x:v>
      </x:c>
      <x:c r="I190" s="22" t="n">
        <x:f>'Assumptions'!$H$84*IF('Assumptions'!$O$84=1,1,'Assumptions'!$D$10)*(1+'Assumptions'!$N$84)^(2-1)</x:f>
        <x:v>24.48</x:v>
      </x:c>
      <x:c r="J190" s="10" t="n">
        <x:f>H190*I190</x:f>
        <x:v>10281.6</x:v>
      </x:c>
      <x:c r="K190" s="10" t="n">
        <x:f>J190*'Assumptions'!$T$84</x:f>
        <x:v>10281.6</x:v>
      </x:c>
      <x:c r="L190" s="10" t="n">
        <x:f>K190*'Assumptions'!$U$84</x:f>
        <x:v>308.448</x:v>
      </x:c>
      <x:c r="M190" s="10" t="n">
        <x:f>K190*'Assumptions'!$V$84</x:f>
        <x:v>0</x:v>
      </x:c>
      <x:c r="N190" s="10" t="n">
        <x:f>K190-L190-M190</x:f>
        <x:v>9973.152</x:v>
      </x:c>
      <x:c r="O190" s="10" t="n">
        <x:f>H190*'Assumptions'!$P$84*'Assumptions'!$Q$84*'Assumptions'!$D$11*(1+'Assumptions'!$D$13)^(2-1)</x:f>
        <x:v>2271.15</x:v>
      </x:c>
      <x:c r="P190" s="10" t="n">
        <x:f>H190*'Assumptions'!$R$84*'Assumptions'!$D$11*(1+'Assumptions'!$D$13)^(2-1)</x:f>
        <x:v>0</x:v>
      </x:c>
      <x:c r="Q190" s="10" t="n">
        <x:f>J190*'Assumptions'!$S$84</x:f>
        <x:v>0</x:v>
      </x:c>
      <x:c r="R190" s="10" t="n">
        <x:f>H190*'Assumptions'!$Y$84*'Assumptions'!$Z$84*'Assumptions'!$D$11*(1+'Assumptions'!$D$13)^(2-1)</x:f>
        <x:v>1297.8</x:v>
      </x:c>
      <x:c r="S190" s="10" t="n">
        <x:f>IF(I190=0,0,J190*'Assumptions'!$W$84+H190*'Assumptions'!$X$84)</x:f>
        <x:v>424.1664</x:v>
      </x:c>
      <x:c r="T190" s="10" t="n">
        <x:f>N190*'Assumptions'!$AA$84</x:f>
        <x:v>498.6576</x:v>
      </x:c>
      <x:c r="U190" s="10" t="n">
        <x:f>'Assumptions'!$AE$84*'Assumptions'!$D$11*(1+'Assumptions'!$D$13)^(2-1)</x:f>
        <x:v>0</x:v>
      </x:c>
      <x:c r="V190" s="10" t="n">
        <x:f>0</x:f>
        <x:v>0</x:v>
      </x:c>
      <x:c r="W190" s="10" t="n">
        <x:f>H190*('Assumptions'!$P$84+'Assumptions'!$Y$84)</x:f>
        <x:v>105</x:v>
      </x:c>
      <x:c r="X190" s="10" t="n">
        <x:f>N190/12*'Assumptions'!$AF$84</x:f>
        <x:v>0</x:v>
      </x:c>
      <x:c r="Y190" s="10" t="n">
        <x:f>P190/12</x:f>
        <x:v>0</x:v>
      </x:c>
      <x:c r="Z190" s="10" t="n">
        <x:f>0</x:f>
        <x:v>0</x:v>
      </x:c>
      <x:c r="AA190" s="10" t="n">
        <x:f>Z190*'Assumptions'!$AC$84*'Assumptions'!$D$11*(1+'Assumptions'!$D$13)^(2-1)</x:f>
        <x:v>0</x:v>
      </x:c>
      <x:c r="AB190" s="10" t="n">
        <x:f>F190/1</x:f>
        <x:v>345</x:v>
      </x:c>
      <x:c r="AC190" s="10" t="n">
        <x:f>AB190/'Assumptions'!$AM$84</x:f>
        <x:v>6900</x:v>
      </x:c>
      <x:c r="AD190" s="10" t="n">
        <x:f>IF(AB190=0,0,T190/AB190)</x:f>
        <x:v>1.445384347826087</x:v>
      </x:c>
      <x:c r="AE190" s="10" t="n">
        <x:f>AA190*'Assumptions'!$D$21</x:f>
        <x:v>0</x:v>
      </x:c>
    </x:row>
    <x:row r="191" ht="16" customHeight="1">
      <x:c r="A191" s="1"/>
      <x:c r="B191" s="1"/>
      <x:c r="C191" s="1" t="str">
        <x:v>DOT-056</x:v>
      </x:c>
      <x:c r="D191" s="10" t="str">
        <x:v>VraiSkill teen</x:v>
      </x:c>
      <x:c r="E191" s="10" t="n">
        <x:v>2</x:v>
      </x:c>
      <x:c r="F191" s="21" t="n">
        <x:f>'Assumptions'!$I$85*(1-'Assumptions'!$K$85)*(1+'Assumptions'!$L$85)*'Assumptions'!$D$9*'Assumptions'!$D$8</x:f>
        <x:v>345</x:v>
      </x:c>
      <x:c r="G191" s="21" t="n">
        <x:f>H63*'Assumptions'!$K$85</x:f>
        <x:v>50</x:v>
      </x:c>
      <x:c r="H191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191+G191,NA())</x:f>
        <x:v>395</x:v>
      </x:c>
      <x:c r="I191" s="22" t="n">
        <x:f>'Assumptions'!$H$85*IF('Assumptions'!$O$85=1,1,'Assumptions'!$D$10)*(1+'Assumptions'!$N$85)^(2-1)</x:f>
        <x:v>24.48</x:v>
      </x:c>
      <x:c r="J191" s="10" t="n">
        <x:f>H191*I191</x:f>
        <x:v>9669.6</x:v>
      </x:c>
      <x:c r="K191" s="10" t="n">
        <x:f>J191*'Assumptions'!$T$85</x:f>
        <x:v>9669.6</x:v>
      </x:c>
      <x:c r="L191" s="10" t="n">
        <x:f>K191*'Assumptions'!$U$85</x:f>
        <x:v>290.088</x:v>
      </x:c>
      <x:c r="M191" s="10" t="n">
        <x:f>K191*'Assumptions'!$V$85</x:f>
        <x:v>0</x:v>
      </x:c>
      <x:c r="N191" s="10" t="n">
        <x:f>K191-L191-M191</x:f>
        <x:v>9379.512</x:v>
      </x:c>
      <x:c r="O191" s="10" t="n">
        <x:f>H191*'Assumptions'!$P$85*'Assumptions'!$Q$85*'Assumptions'!$D$11*(1+'Assumptions'!$D$13)^(2-1)</x:f>
        <x:v>2135.9625</x:v>
      </x:c>
      <x:c r="P191" s="10" t="n">
        <x:f>H191*'Assumptions'!$R$85*'Assumptions'!$D$11*(1+'Assumptions'!$D$13)^(2-1)</x:f>
        <x:v>0</x:v>
      </x:c>
      <x:c r="Q191" s="10" t="n">
        <x:f>J191*'Assumptions'!$S$85</x:f>
        <x:v>0</x:v>
      </x:c>
      <x:c r="R191" s="10" t="n">
        <x:f>H191*'Assumptions'!$Y$85*'Assumptions'!$Z$85*'Assumptions'!$D$11*(1+'Assumptions'!$D$13)^(2-1)</x:f>
        <x:v>1220.55</x:v>
      </x:c>
      <x:c r="S191" s="10" t="n">
        <x:f>IF(I191=0,0,J191*'Assumptions'!$W$85+H191*'Assumptions'!$X$85)</x:f>
        <x:v>398.9184</x:v>
      </x:c>
      <x:c r="T191" s="10" t="n">
        <x:f>N191*'Assumptions'!$AA$85</x:f>
        <x:v>468.97560000000004</x:v>
      </x:c>
      <x:c r="U191" s="10" t="n">
        <x:f>'Assumptions'!$AE$85*'Assumptions'!$D$11*(1+'Assumptions'!$D$13)^(2-1)</x:f>
        <x:v>247.20000000000002</x:v>
      </x:c>
      <x:c r="V191" s="10" t="n">
        <x:f>0</x:f>
        <x:v>0</x:v>
      </x:c>
      <x:c r="W191" s="10" t="n">
        <x:f>H191*('Assumptions'!$P$85+'Assumptions'!$Y$85)</x:f>
        <x:v>98.75</x:v>
      </x:c>
      <x:c r="X191" s="10" t="n">
        <x:f>N191/12*'Assumptions'!$AF$85</x:f>
        <x:v>0</x:v>
      </x:c>
      <x:c r="Y191" s="10" t="n">
        <x:f>P191/12</x:f>
        <x:v>0</x:v>
      </x:c>
      <x:c r="Z191" s="10" t="n">
        <x:f>0</x:f>
        <x:v>0</x:v>
      </x:c>
      <x:c r="AA191" s="10" t="n">
        <x:f>Z191*'Assumptions'!$AC$85*'Assumptions'!$D$11*(1+'Assumptions'!$D$13)^(2-1)</x:f>
        <x:v>0</x:v>
      </x:c>
      <x:c r="AB191" s="10" t="n">
        <x:f>F191/1</x:f>
        <x:v>345</x:v>
      </x:c>
      <x:c r="AC191" s="10" t="n">
        <x:f>AB191/'Assumptions'!$AM$85</x:f>
        <x:v>6900</x:v>
      </x:c>
      <x:c r="AD191" s="10" t="n">
        <x:f>IF(AB191=0,0,T191/AB191)</x:f>
        <x:v>1.3593495652173915</x:v>
      </x:c>
      <x:c r="AE191" s="10" t="n">
        <x:f>AA191*'Assumptions'!$D$21</x:f>
        <x:v>0</x:v>
      </x:c>
    </x:row>
    <x:row r="192" ht="16" customHeight="1">
      <x:c r="A192" s="1"/>
      <x:c r="B192" s="1"/>
      <x:c r="C192" s="1" t="str">
        <x:v>DOT-057</x:v>
      </x:c>
      <x:c r="D192" s="10" t="str">
        <x:v>VraiSkill Model Life</x:v>
      </x:c>
      <x:c r="E192" s="10" t="n">
        <x:v>2</x:v>
      </x:c>
      <x:c r="F192" s="21" t="n">
        <x:f>'Assumptions'!$I$86*(1-'Assumptions'!$K$86)*(1+'Assumptions'!$L$86)*'Assumptions'!$D$9*'Assumptions'!$D$8</x:f>
        <x:v>0</x:v>
      </x:c>
      <x:c r="G192" s="21" t="n">
        <x:f>H64*'Assumptions'!$K$86</x:f>
        <x:v>0</x:v>
      </x:c>
      <x:c r="H192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192+G192,NA())</x:f>
        <x:v>0</x:v>
      </x:c>
      <x:c r="I192" s="22" t="n">
        <x:f>'Assumptions'!$H$86*IF('Assumptions'!$O$86=1,1,'Assumptions'!$D$10)*(1+'Assumptions'!$N$86)^(2-1)</x:f>
        <x:v>0</x:v>
      </x:c>
      <x:c r="J192" s="10" t="n">
        <x:f>H192*I192</x:f>
        <x:v>0</x:v>
      </x:c>
      <x:c r="K192" s="10" t="n">
        <x:f>J192*'Assumptions'!$T$86</x:f>
        <x:v>0</x:v>
      </x:c>
      <x:c r="L192" s="10" t="n">
        <x:f>K192*'Assumptions'!$U$86</x:f>
        <x:v>0</x:v>
      </x:c>
      <x:c r="M192" s="10" t="n">
        <x:f>K192*'Assumptions'!$V$86</x:f>
        <x:v>0</x:v>
      </x:c>
      <x:c r="N192" s="10" t="n">
        <x:f>K192-L192-M192</x:f>
        <x:v>0</x:v>
      </x:c>
      <x:c r="O192" s="10" t="n">
        <x:f>H192*'Assumptions'!$P$86*'Assumptions'!$Q$86*'Assumptions'!$D$11*(1+'Assumptions'!$D$13)^(2-1)</x:f>
        <x:v>0</x:v>
      </x:c>
      <x:c r="P192" s="10" t="n">
        <x:f>H192*'Assumptions'!$R$86*'Assumptions'!$D$11*(1+'Assumptions'!$D$13)^(2-1)</x:f>
        <x:v>0</x:v>
      </x:c>
      <x:c r="Q192" s="10" t="n">
        <x:f>J192*'Assumptions'!$S$86</x:f>
        <x:v>0</x:v>
      </x:c>
      <x:c r="R192" s="10" t="n">
        <x:f>H192*'Assumptions'!$Y$86*'Assumptions'!$Z$86*'Assumptions'!$D$11*(1+'Assumptions'!$D$13)^(2-1)</x:f>
        <x:v>0</x:v>
      </x:c>
      <x:c r="S192" s="10" t="n">
        <x:f>IF(I192=0,0,J192*'Assumptions'!$W$86+H192*'Assumptions'!$X$86)</x:f>
        <x:v>0</x:v>
      </x:c>
      <x:c r="T192" s="10" t="n">
        <x:f>N192*'Assumptions'!$AA$86</x:f>
        <x:v>0</x:v>
      </x:c>
      <x:c r="U192" s="10" t="n">
        <x:f>'Assumptions'!$AE$86*'Assumptions'!$D$11*(1+'Assumptions'!$D$13)^(2-1)</x:f>
        <x:v>0</x:v>
      </x:c>
      <x:c r="V192" s="10" t="n">
        <x:f>0</x:f>
        <x:v>0</x:v>
      </x:c>
      <x:c r="W192" s="10" t="n">
        <x:f>H192*('Assumptions'!$P$86+'Assumptions'!$Y$86)</x:f>
        <x:v>0</x:v>
      </x:c>
      <x:c r="X192" s="10" t="n">
        <x:f>N192/12*'Assumptions'!$AF$86</x:f>
        <x:v>0</x:v>
      </x:c>
      <x:c r="Y192" s="10" t="n">
        <x:f>P192/12</x:f>
        <x:v>0</x:v>
      </x:c>
      <x:c r="Z192" s="10" t="n">
        <x:f>0</x:f>
        <x:v>0</x:v>
      </x:c>
      <x:c r="AA192" s="10" t="n">
        <x:f>Z192*'Assumptions'!$AC$86*'Assumptions'!$D$11*(1+'Assumptions'!$D$13)^(2-1)</x:f>
        <x:v>0</x:v>
      </x:c>
      <x:c r="AB192" s="10" t="n">
        <x:f>F192/1</x:f>
        <x:v>0</x:v>
      </x:c>
      <x:c r="AC192" s="10" t="n">
        <x:f>AB192/'Assumptions'!$AM$86</x:f>
        <x:v>0</x:v>
      </x:c>
      <x:c r="AD192" s="10" t="n">
        <x:f>IF(AB192=0,0,T192/AB192)</x:f>
        <x:v>0</x:v>
      </x:c>
      <x:c r="AE192" s="10" t="n">
        <x:f>AA192*'Assumptions'!$D$21</x:f>
        <x:v>0</x:v>
      </x:c>
    </x:row>
    <x:row r="193" ht="16" customHeight="1">
      <x:c r="A193" s="1"/>
      <x:c r="B193" s="1"/>
      <x:c r="C193" s="1" t="str">
        <x:v>DOT-058</x:v>
      </x:c>
      <x:c r="D193" s="10" t="str">
        <x:v>Model Life</x:v>
      </x:c>
      <x:c r="E193" s="10" t="n">
        <x:v>2</x:v>
      </x:c>
      <x:c r="F193" s="21" t="n">
        <x:f>'Assumptions'!$I$87*(1-'Assumptions'!$K$87)*(1+'Assumptions'!$L$87)*'Assumptions'!$D$9*'Assumptions'!$D$8</x:f>
        <x:v>172.80000000000004</x:v>
      </x:c>
      <x:c r="G193" s="21" t="n">
        <x:f>H65*'Assumptions'!$K$87</x:f>
        <x:v>168</x:v>
      </x:c>
      <x:c r="H193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193+G193,NA())</x:f>
        <x:v>340.80000000000007</x:v>
      </x:c>
      <x:c r="I193" s="22" t="n">
        <x:f>'Assumptions'!$H$87*IF('Assumptions'!$O$87=1,1,'Assumptions'!$D$10)*(1+'Assumptions'!$N$87)^(2-1)</x:f>
        <x:v>15.3</x:v>
      </x:c>
      <x:c r="J193" s="10" t="n">
        <x:f>H193*I193</x:f>
        <x:v>5214.240000000002</x:v>
      </x:c>
      <x:c r="K193" s="10" t="n">
        <x:f>J193*'Assumptions'!$T$87</x:f>
        <x:v>5214.240000000002</x:v>
      </x:c>
      <x:c r="L193" s="10" t="n">
        <x:f>K193*'Assumptions'!$U$87</x:f>
        <x:v>156.42720000000006</x:v>
      </x:c>
      <x:c r="M193" s="10" t="n">
        <x:f>K193*'Assumptions'!$V$87</x:f>
        <x:v>0</x:v>
      </x:c>
      <x:c r="N193" s="10" t="n">
        <x:f>K193-L193-M193</x:f>
        <x:v>5057.8128000000015</x:v>
      </x:c>
      <x:c r="O193" s="10" t="n">
        <x:f>H193*'Assumptions'!$P$87*'Assumptions'!$Q$87*'Assumptions'!$D$11*(1+'Assumptions'!$D$13)^(2-1)</x:f>
        <x:v>1228.5840000000003</x:v>
      </x:c>
      <x:c r="P193" s="10" t="n">
        <x:f>H193*'Assumptions'!$R$87*'Assumptions'!$D$11*(1+'Assumptions'!$D$13)^(2-1)</x:f>
        <x:v>0</x:v>
      </x:c>
      <x:c r="Q193" s="10" t="n">
        <x:f>J193*'Assumptions'!$S$87</x:f>
        <x:v>0</x:v>
      </x:c>
      <x:c r="R193" s="10" t="n">
        <x:f>H193*'Assumptions'!$Y$87*'Assumptions'!$Z$87*'Assumptions'!$D$11*(1+'Assumptions'!$D$13)^(2-1)</x:f>
        <x:v>1579.6080000000004</x:v>
      </x:c>
      <x:c r="S193" s="10" t="n">
        <x:f>IF(I193=0,0,J193*'Assumptions'!$W$87+H193*'Assumptions'!$X$87)</x:f>
        <x:v>253.45296000000008</x:v>
      </x:c>
      <x:c r="T193" s="10" t="n">
        <x:f>N193*'Assumptions'!$AA$87</x:f>
        <x:v>252.89064000000008</x:v>
      </x:c>
      <x:c r="U193" s="10" t="n">
        <x:f>'Assumptions'!$AE$87*'Assumptions'!$D$11*(1+'Assumptions'!$D$13)^(2-1)</x:f>
        <x:v>61.800000000000004</x:v>
      </x:c>
      <x:c r="V193" s="10" t="n">
        <x:f>0</x:f>
        <x:v>0</x:v>
      </x:c>
      <x:c r="W193" s="10" t="n">
        <x:f>H193*('Assumptions'!$P$87+'Assumptions'!$Y$87)</x:f>
        <x:v>85.20000000000002</x:v>
      </x:c>
      <x:c r="X193" s="10" t="n">
        <x:f>N193/12*'Assumptions'!$AF$87</x:f>
        <x:v>0</x:v>
      </x:c>
      <x:c r="Y193" s="10" t="n">
        <x:f>P193/12</x:f>
        <x:v>0</x:v>
      </x:c>
      <x:c r="Z193" s="10" t="n">
        <x:f>0</x:f>
        <x:v>0</x:v>
      </x:c>
      <x:c r="AA193" s="10" t="n">
        <x:f>Z193*'Assumptions'!$AC$87*'Assumptions'!$D$11*(1+'Assumptions'!$D$13)^(2-1)</x:f>
        <x:v>0</x:v>
      </x:c>
      <x:c r="AB193" s="10" t="n">
        <x:f>F193/12</x:f>
        <x:v>14.400000000000004</x:v>
      </x:c>
      <x:c r="AC193" s="10" t="n">
        <x:f>AB193/'Assumptions'!$AM$87</x:f>
        <x:v>288.00000000000006</x:v>
      </x:c>
      <x:c r="AD193" s="10" t="n">
        <x:f>IF(AB193=0,0,T193/AB193)</x:f>
        <x:v>17.56185</x:v>
      </x:c>
      <x:c r="AE193" s="10" t="n">
        <x:f>AA193*'Assumptions'!$D$21</x:f>
        <x:v>0</x:v>
      </x:c>
    </x:row>
    <x:row r="194" ht="16" customHeight="1">
      <x:c r="A194" s="1"/>
      <x:c r="B194" s="1"/>
      <x:c r="C194" s="1" t="str">
        <x:v>DOT-059</x:v>
      </x:c>
      <x:c r="D194" s="10" t="str">
        <x:v>Model Life</x:v>
      </x:c>
      <x:c r="E194" s="10" t="n">
        <x:v>2</x:v>
      </x:c>
      <x:c r="F194" s="21" t="n">
        <x:f>'Assumptions'!$I$88*(1-'Assumptions'!$K$88)*(1+'Assumptions'!$L$88)*'Assumptions'!$D$9*'Assumptions'!$D$8</x:f>
        <x:v>43.20000000000001</x:v>
      </x:c>
      <x:c r="G194" s="21" t="n">
        <x:f>H66*'Assumptions'!$K$88</x:f>
        <x:v>42</x:v>
      </x:c>
      <x:c r="H194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194+G194,NA())</x:f>
        <x:v>85.20000000000002</x:v>
      </x:c>
      <x:c r="I194" s="22" t="n">
        <x:f>'Assumptions'!$H$88*IF('Assumptions'!$O$88=1,1,'Assumptions'!$D$10)*(1+'Assumptions'!$N$88)^(2-1)</x:f>
        <x:v>80.58</x:v>
      </x:c>
      <x:c r="J194" s="10" t="n">
        <x:f>H194*I194</x:f>
        <x:v>6865.416000000001</x:v>
      </x:c>
      <x:c r="K194" s="10" t="n">
        <x:f>J194*'Assumptions'!$T$88</x:f>
        <x:v>6865.416000000001</x:v>
      </x:c>
      <x:c r="L194" s="10" t="n">
        <x:f>K194*'Assumptions'!$U$88</x:f>
        <x:v>205.96248000000003</x:v>
      </x:c>
      <x:c r="M194" s="10" t="n">
        <x:f>K194*'Assumptions'!$V$88</x:f>
        <x:v>0</x:v>
      </x:c>
      <x:c r="N194" s="10" t="n">
        <x:f>K194-L194-M194</x:f>
        <x:v>6659.453520000001</x:v>
      </x:c>
      <x:c r="O194" s="10" t="n">
        <x:f>H194*'Assumptions'!$P$88*'Assumptions'!$Q$88*'Assumptions'!$D$11*(1+'Assumptions'!$D$13)^(2-1)</x:f>
        <x:v>307.1460000000001</x:v>
      </x:c>
      <x:c r="P194" s="10" t="n">
        <x:f>H194*'Assumptions'!$R$88*'Assumptions'!$D$11*(1+'Assumptions'!$D$13)^(2-1)</x:f>
        <x:v>0</x:v>
      </x:c>
      <x:c r="Q194" s="10" t="n">
        <x:f>J194*'Assumptions'!$S$88</x:f>
        <x:v>0</x:v>
      </x:c>
      <x:c r="R194" s="10" t="n">
        <x:f>H194*'Assumptions'!$Y$88*'Assumptions'!$Z$88*'Assumptions'!$D$11*(1+'Assumptions'!$D$13)^(2-1)</x:f>
        <x:v>394.9020000000001</x:v>
      </x:c>
      <x:c r="S194" s="10" t="n">
        <x:f>IF(I194=0,0,J194*'Assumptions'!$W$88+H194*'Assumptions'!$X$88)</x:f>
        <x:v>224.65706400000005</x:v>
      </x:c>
      <x:c r="T194" s="10" t="n">
        <x:f>N194*'Assumptions'!$AA$88</x:f>
        <x:v>332.9726760000001</x:v>
      </x:c>
      <x:c r="U194" s="10" t="n">
        <x:f>'Assumptions'!$AE$88*'Assumptions'!$D$11*(1+'Assumptions'!$D$13)^(2-1)</x:f>
        <x:v>61.800000000000004</x:v>
      </x:c>
      <x:c r="V194" s="10" t="n">
        <x:f>0</x:f>
        <x:v>0</x:v>
      </x:c>
      <x:c r="W194" s="10" t="n">
        <x:f>H194*('Assumptions'!$P$88+'Assumptions'!$Y$88)</x:f>
        <x:v>21.300000000000004</x:v>
      </x:c>
      <x:c r="X194" s="10" t="n">
        <x:f>N194/12*'Assumptions'!$AF$88</x:f>
        <x:v>0</x:v>
      </x:c>
      <x:c r="Y194" s="10" t="n">
        <x:f>P194/12</x:f>
        <x:v>0</x:v>
      </x:c>
      <x:c r="Z194" s="10" t="n">
        <x:f>0</x:f>
        <x:v>0</x:v>
      </x:c>
      <x:c r="AA194" s="10" t="n">
        <x:f>Z194*'Assumptions'!$AC$88*'Assumptions'!$D$11*(1+'Assumptions'!$D$13)^(2-1)</x:f>
        <x:v>0</x:v>
      </x:c>
      <x:c r="AB194" s="10" t="n">
        <x:f>F194/12</x:f>
        <x:v>3.600000000000001</x:v>
      </x:c>
      <x:c r="AC194" s="10" t="n">
        <x:f>AB194/'Assumptions'!$AM$88</x:f>
        <x:v>72.00000000000001</x:v>
      </x:c>
      <x:c r="AD194" s="10" t="n">
        <x:f>IF(AB194=0,0,T194/AB194)</x:f>
        <x:v>92.49241</x:v>
      </x:c>
      <x:c r="AE194" s="10" t="n">
        <x:f>AA194*'Assumptions'!$D$21</x:f>
        <x:v>0</x:v>
      </x:c>
    </x:row>
    <x:row r="195" ht="16" customHeight="1">
      <x:c r="A195" s="1"/>
      <x:c r="B195" s="1"/>
      <x:c r="C195" s="1" t="str">
        <x:v>DOT-060</x:v>
      </x:c>
      <x:c r="D195" s="10" t="str">
        <x:v>Model Life</x:v>
      </x:c>
      <x:c r="E195" s="10" t="n">
        <x:v>2</x:v>
      </x:c>
      <x:c r="F195" s="21" t="n">
        <x:f>'Assumptions'!$I$89*(1-'Assumptions'!$K$89)*(1+'Assumptions'!$L$89)*'Assumptions'!$D$9*'Assumptions'!$D$8</x:f>
        <x:v>43.20000000000001</x:v>
      </x:c>
      <x:c r="G195" s="21" t="n">
        <x:f>H67*'Assumptions'!$K$89</x:f>
        <x:v>42</x:v>
      </x:c>
      <x:c r="H195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195+G195,NA())</x:f>
        <x:v>85.20000000000002</x:v>
      </x:c>
      <x:c r="I195" s="22" t="n">
        <x:f>'Assumptions'!$H$89*IF('Assumptions'!$O$89=1,1,'Assumptions'!$D$10)*(1+'Assumptions'!$N$89)^(2-1)</x:f>
        <x:v>60.18</x:v>
      </x:c>
      <x:c r="J195" s="10" t="n">
        <x:f>H195*I195</x:f>
        <x:v>5127.336000000001</x:v>
      </x:c>
      <x:c r="K195" s="10" t="n">
        <x:f>J195*'Assumptions'!$T$89</x:f>
        <x:v>5127.336000000001</x:v>
      </x:c>
      <x:c r="L195" s="10" t="n">
        <x:f>K195*'Assumptions'!$U$89</x:f>
        <x:v>153.82008000000002</x:v>
      </x:c>
      <x:c r="M195" s="10" t="n">
        <x:f>K195*'Assumptions'!$V$89</x:f>
        <x:v>0</x:v>
      </x:c>
      <x:c r="N195" s="10" t="n">
        <x:f>K195-L195-M195</x:f>
        <x:v>4973.515920000001</x:v>
      </x:c>
      <x:c r="O195" s="10" t="n">
        <x:f>H195*'Assumptions'!$P$89*'Assumptions'!$Q$89*'Assumptions'!$D$11*(1+'Assumptions'!$D$13)^(2-1)</x:f>
        <x:v>307.1460000000001</x:v>
      </x:c>
      <x:c r="P195" s="10" t="n">
        <x:f>H195*'Assumptions'!$R$89*'Assumptions'!$D$11*(1+'Assumptions'!$D$13)^(2-1)</x:f>
        <x:v>0</x:v>
      </x:c>
      <x:c r="Q195" s="10" t="n">
        <x:f>J195*'Assumptions'!$S$89</x:f>
        <x:v>0</x:v>
      </x:c>
      <x:c r="R195" s="10" t="n">
        <x:f>H195*'Assumptions'!$Y$89*'Assumptions'!$Z$89*'Assumptions'!$D$11*(1+'Assumptions'!$D$13)^(2-1)</x:f>
        <x:v>394.9020000000001</x:v>
      </x:c>
      <x:c r="S195" s="10" t="n">
        <x:f>IF(I195=0,0,J195*'Assumptions'!$W$89+H195*'Assumptions'!$X$89)</x:f>
        <x:v>174.25274400000004</x:v>
      </x:c>
      <x:c r="T195" s="10" t="n">
        <x:f>N195*'Assumptions'!$AA$89</x:f>
        <x:v>248.67579600000005</x:v>
      </x:c>
      <x:c r="U195" s="10" t="n">
        <x:f>'Assumptions'!$AE$89*'Assumptions'!$D$11*(1+'Assumptions'!$D$13)^(2-1)</x:f>
        <x:v>61.800000000000004</x:v>
      </x:c>
      <x:c r="V195" s="10" t="n">
        <x:f>0</x:f>
        <x:v>0</x:v>
      </x:c>
      <x:c r="W195" s="10" t="n">
        <x:f>H195*('Assumptions'!$P$89+'Assumptions'!$Y$89)</x:f>
        <x:v>21.300000000000004</x:v>
      </x:c>
      <x:c r="X195" s="10" t="n">
        <x:f>N195/12*'Assumptions'!$AF$89</x:f>
        <x:v>0</x:v>
      </x:c>
      <x:c r="Y195" s="10" t="n">
        <x:f>P195/12</x:f>
        <x:v>0</x:v>
      </x:c>
      <x:c r="Z195" s="10" t="n">
        <x:f>0</x:f>
        <x:v>0</x:v>
      </x:c>
      <x:c r="AA195" s="10" t="n">
        <x:f>Z195*'Assumptions'!$AC$89*'Assumptions'!$D$11*(1+'Assumptions'!$D$13)^(2-1)</x:f>
        <x:v>0</x:v>
      </x:c>
      <x:c r="AB195" s="10" t="n">
        <x:f>F195/12</x:f>
        <x:v>3.600000000000001</x:v>
      </x:c>
      <x:c r="AC195" s="10" t="n">
        <x:f>AB195/'Assumptions'!$AM$89</x:f>
        <x:v>72.00000000000001</x:v>
      </x:c>
      <x:c r="AD195" s="10" t="n">
        <x:f>IF(AB195=0,0,T195/AB195)</x:f>
        <x:v>69.07660999999999</x:v>
      </x:c>
      <x:c r="AE195" s="10" t="n">
        <x:f>AA195*'Assumptions'!$D$21</x:f>
        <x:v>0</x:v>
      </x:c>
    </x:row>
    <x:row r="196" ht="16" customHeight="1">
      <x:c r="A196" s="1"/>
      <x:c r="B196" s="1"/>
      <x:c r="C196" s="1" t="str">
        <x:v>DOT-061</x:v>
      </x:c>
      <x:c r="D196" s="10" t="str">
        <x:v>Model Life</x:v>
      </x:c>
      <x:c r="E196" s="10" t="n">
        <x:v>2</x:v>
      </x:c>
      <x:c r="F196" s="21" t="n">
        <x:f>'Assumptions'!$I$90*(1-'Assumptions'!$K$90)*(1+'Assumptions'!$L$90)*'Assumptions'!$D$9*'Assumptions'!$D$8</x:f>
        <x:v>21.600000000000005</x:v>
      </x:c>
      <x:c r="G196" s="21" t="n">
        <x:f>H68*'Assumptions'!$K$90</x:f>
        <x:v>21</x:v>
      </x:c>
      <x:c r="H196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196+G196,NA())</x:f>
        <x:v>42.60000000000001</x:v>
      </x:c>
      <x:c r="I196" s="22" t="n">
        <x:f>'Assumptions'!$H$90*IF('Assumptions'!$O$90=1,1,'Assumptions'!$D$10)*(1+'Assumptions'!$N$90)^(2-1)</x:f>
        <x:v>100.98</x:v>
      </x:c>
      <x:c r="J196" s="10" t="n">
        <x:f>H196*I196</x:f>
        <x:v>4301.748000000001</x:v>
      </x:c>
      <x:c r="K196" s="10" t="n">
        <x:f>J196*'Assumptions'!$T$90</x:f>
        <x:v>4301.748000000001</x:v>
      </x:c>
      <x:c r="L196" s="10" t="n">
        <x:f>K196*'Assumptions'!$U$90</x:f>
        <x:v>129.05244000000005</x:v>
      </x:c>
      <x:c r="M196" s="10" t="n">
        <x:f>K196*'Assumptions'!$V$90</x:f>
        <x:v>0</x:v>
      </x:c>
      <x:c r="N196" s="10" t="n">
        <x:f>K196-L196-M196</x:f>
        <x:v>4172.695560000001</x:v>
      </x:c>
      <x:c r="O196" s="10" t="n">
        <x:f>H196*'Assumptions'!$P$90*'Assumptions'!$Q$90*'Assumptions'!$D$11*(1+'Assumptions'!$D$13)^(2-1)</x:f>
        <x:v>153.57300000000004</x:v>
      </x:c>
      <x:c r="P196" s="10" t="n">
        <x:f>H196*'Assumptions'!$R$90*'Assumptions'!$D$11*(1+'Assumptions'!$D$13)^(2-1)</x:f>
        <x:v>0</x:v>
      </x:c>
      <x:c r="Q196" s="10" t="n">
        <x:f>J196*'Assumptions'!$S$90</x:f>
        <x:v>0</x:v>
      </x:c>
      <x:c r="R196" s="10" t="n">
        <x:f>H196*'Assumptions'!$Y$90*'Assumptions'!$Z$90*'Assumptions'!$D$11*(1+'Assumptions'!$D$13)^(2-1)</x:f>
        <x:v>197.45100000000005</x:v>
      </x:c>
      <x:c r="S196" s="10" t="n">
        <x:f>IF(I196=0,0,J196*'Assumptions'!$W$90+H196*'Assumptions'!$X$90)</x:f>
        <x:v>137.53069200000004</x:v>
      </x:c>
      <x:c r="T196" s="10" t="n">
        <x:f>N196*'Assumptions'!$AA$90</x:f>
        <x:v>208.63477800000007</x:v>
      </x:c>
      <x:c r="U196" s="10" t="n">
        <x:f>'Assumptions'!$AE$90*'Assumptions'!$D$11*(1+'Assumptions'!$D$13)^(2-1)</x:f>
        <x:v>61.800000000000004</x:v>
      </x:c>
      <x:c r="V196" s="10" t="n">
        <x:f>0</x:f>
        <x:v>0</x:v>
      </x:c>
      <x:c r="W196" s="10" t="n">
        <x:f>H196*('Assumptions'!$P$90+'Assumptions'!$Y$90)</x:f>
        <x:v>10.650000000000002</x:v>
      </x:c>
      <x:c r="X196" s="10" t="n">
        <x:f>N196/12*'Assumptions'!$AF$90</x:f>
        <x:v>0</x:v>
      </x:c>
      <x:c r="Y196" s="10" t="n">
        <x:f>P196/12</x:f>
        <x:v>0</x:v>
      </x:c>
      <x:c r="Z196" s="10" t="n">
        <x:f>0</x:f>
        <x:v>0</x:v>
      </x:c>
      <x:c r="AA196" s="10" t="n">
        <x:f>Z196*'Assumptions'!$AC$90*'Assumptions'!$D$11*(1+'Assumptions'!$D$13)^(2-1)</x:f>
        <x:v>0</x:v>
      </x:c>
      <x:c r="AB196" s="10" t="n">
        <x:f>F196/12</x:f>
        <x:v>1.8000000000000005</x:v>
      </x:c>
      <x:c r="AC196" s="10" t="n">
        <x:f>AB196/'Assumptions'!$AM$90</x:f>
        <x:v>36.00000000000001</x:v>
      </x:c>
      <x:c r="AD196" s="10" t="n">
        <x:f>IF(AB196=0,0,T196/AB196)</x:f>
        <x:v>115.90821000000001</x:v>
      </x:c>
      <x:c r="AE196" s="10" t="n">
        <x:f>AA196*'Assumptions'!$D$21</x:f>
        <x:v>0</x:v>
      </x:c>
    </x:row>
    <x:row r="197" ht="16" customHeight="1">
      <x:c r="A197" s="1"/>
      <x:c r="B197" s="1"/>
      <x:c r="C197" s="1" t="str">
        <x:v>DOT-062</x:v>
      </x:c>
      <x:c r="D197" s="10" t="str">
        <x:v>Model Life</x:v>
      </x:c>
      <x:c r="E197" s="10" t="n">
        <x:v>2</x:v>
      </x:c>
      <x:c r="F197" s="21" t="n">
        <x:f>'Assumptions'!$I$91*(1-'Assumptions'!$K$91)*(1+'Assumptions'!$L$91)*'Assumptions'!$D$9*'Assumptions'!$D$8</x:f>
        <x:v>21.600000000000005</x:v>
      </x:c>
      <x:c r="G197" s="21" t="n">
        <x:f>H69*'Assumptions'!$K$91</x:f>
        <x:v>21</x:v>
      </x:c>
      <x:c r="H197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197+G197,NA())</x:f>
        <x:v>42.60000000000001</x:v>
      </x:c>
      <x:c r="I197" s="22" t="n">
        <x:f>'Assumptions'!$H$91*IF('Assumptions'!$O$91=1,1,'Assumptions'!$D$10)*(1+'Assumptions'!$N$91)^(2-1)</x:f>
        <x:v>49.980000000000004</x:v>
      </x:c>
      <x:c r="J197" s="10" t="n">
        <x:f>H197*I197</x:f>
        <x:v>2129.1480000000006</x:v>
      </x:c>
      <x:c r="K197" s="10" t="n">
        <x:f>J197*'Assumptions'!$T$91</x:f>
        <x:v>2129.1480000000006</x:v>
      </x:c>
      <x:c r="L197" s="10" t="n">
        <x:f>K197*'Assumptions'!$U$91</x:f>
        <x:v>63.874440000000014</x:v>
      </x:c>
      <x:c r="M197" s="10" t="n">
        <x:f>K197*'Assumptions'!$V$91</x:f>
        <x:v>0</x:v>
      </x:c>
      <x:c r="N197" s="10" t="n">
        <x:f>K197-L197-M197</x:f>
        <x:v>2065.2735600000005</x:v>
      </x:c>
      <x:c r="O197" s="10" t="n">
        <x:f>H197*'Assumptions'!$P$91*'Assumptions'!$Q$91*'Assumptions'!$D$11*(1+'Assumptions'!$D$13)^(2-1)</x:f>
        <x:v>153.57300000000004</x:v>
      </x:c>
      <x:c r="P197" s="10" t="n">
        <x:f>H197*'Assumptions'!$R$91*'Assumptions'!$D$11*(1+'Assumptions'!$D$13)^(2-1)</x:f>
        <x:v>0</x:v>
      </x:c>
      <x:c r="Q197" s="10" t="n">
        <x:f>J197*'Assumptions'!$S$91</x:f>
        <x:v>0</x:v>
      </x:c>
      <x:c r="R197" s="10" t="n">
        <x:f>H197*'Assumptions'!$Y$91*'Assumptions'!$Z$91*'Assumptions'!$D$11*(1+'Assumptions'!$D$13)^(2-1)</x:f>
        <x:v>197.45100000000005</x:v>
      </x:c>
      <x:c r="S197" s="10" t="n">
        <x:f>IF(I197=0,0,J197*'Assumptions'!$W$91+H197*'Assumptions'!$X$91)</x:f>
        <x:v>74.52529200000002</x:v>
      </x:c>
      <x:c r="T197" s="10" t="n">
        <x:f>N197*'Assumptions'!$AA$91</x:f>
        <x:v>103.26367800000003</x:v>
      </x:c>
      <x:c r="U197" s="10" t="n">
        <x:f>'Assumptions'!$AE$91*'Assumptions'!$D$11*(1+'Assumptions'!$D$13)^(2-1)</x:f>
        <x:v>61.800000000000004</x:v>
      </x:c>
      <x:c r="V197" s="10" t="n">
        <x:f>0</x:f>
        <x:v>0</x:v>
      </x:c>
      <x:c r="W197" s="10" t="n">
        <x:f>H197*('Assumptions'!$P$91+'Assumptions'!$Y$91)</x:f>
        <x:v>10.650000000000002</x:v>
      </x:c>
      <x:c r="X197" s="10" t="n">
        <x:f>N197/12*'Assumptions'!$AF$91</x:f>
        <x:v>0</x:v>
      </x:c>
      <x:c r="Y197" s="10" t="n">
        <x:f>P197/12</x:f>
        <x:v>0</x:v>
      </x:c>
      <x:c r="Z197" s="10" t="n">
        <x:f>0</x:f>
        <x:v>0</x:v>
      </x:c>
      <x:c r="AA197" s="10" t="n">
        <x:f>Z197*'Assumptions'!$AC$91*'Assumptions'!$D$11*(1+'Assumptions'!$D$13)^(2-1)</x:f>
        <x:v>0</x:v>
      </x:c>
      <x:c r="AB197" s="10" t="n">
        <x:f>F197/12</x:f>
        <x:v>1.8000000000000005</x:v>
      </x:c>
      <x:c r="AC197" s="10" t="n">
        <x:f>AB197/'Assumptions'!$AM$91</x:f>
        <x:v>36.00000000000001</x:v>
      </x:c>
      <x:c r="AD197" s="10" t="n">
        <x:f>IF(AB197=0,0,T197/AB197)</x:f>
        <x:v>57.36871</x:v>
      </x:c>
      <x:c r="AE197" s="10" t="n">
        <x:f>AA197*'Assumptions'!$D$21</x:f>
        <x:v>0</x:v>
      </x:c>
    </x:row>
    <x:row r="198" ht="16" customHeight="1">
      <x:c r="A198" s="1"/>
      <x:c r="B198" s="1"/>
      <x:c r="C198" s="1" t="str">
        <x:v>DOT-063</x:v>
      </x:c>
      <x:c r="D198" s="10" t="str">
        <x:v>S’otality cleaning</x:v>
      </x:c>
      <x:c r="E198" s="10" t="n">
        <x:v>2</x:v>
      </x:c>
      <x:c r="F198" s="21" t="n">
        <x:f>'Assumptions'!$I$92*(1-'Assumptions'!$K$92)*(1+'Assumptions'!$L$92)*'Assumptions'!$D$9*'Assumptions'!$D$8</x:f>
        <x:v>52.800000000000004</x:v>
      </x:c>
      <x:c r="G198" s="21" t="n">
        <x:f>H70*'Assumptions'!$K$92</x:f>
        <x:v>54</x:v>
      </x:c>
      <x:c r="H198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198+G198,NA())</x:f>
        <x:v>106.80000000000001</x:v>
      </x:c>
      <x:c r="I198" s="22" t="n">
        <x:f>'Assumptions'!$H$92*IF('Assumptions'!$O$92=1,1,'Assumptions'!$D$10)*(1+'Assumptions'!$N$92)^(2-1)</x:f>
        <x:v>151.98</x:v>
      </x:c>
      <x:c r="J198" s="10" t="n">
        <x:f>H198*I198</x:f>
        <x:v>16231.464</x:v>
      </x:c>
      <x:c r="K198" s="10" t="n">
        <x:f>J198*'Assumptions'!$T$92</x:f>
        <x:v>16231.464</x:v>
      </x:c>
      <x:c r="L198" s="10" t="n">
        <x:f>K198*'Assumptions'!$U$92</x:f>
        <x:v>486.94392</x:v>
      </x:c>
      <x:c r="M198" s="10" t="n">
        <x:f>K198*'Assumptions'!$V$92</x:f>
        <x:v>0</x:v>
      </x:c>
      <x:c r="N198" s="10" t="n">
        <x:f>K198-L198-M198</x:f>
        <x:v>15744.52008</x:v>
      </x:c>
      <x:c r="O198" s="10" t="n">
        <x:f>H198*'Assumptions'!$P$92*'Assumptions'!$Q$92*'Assumptions'!$D$11*(1+'Assumptions'!$D$13)^(2-1)</x:f>
        <x:v>385.01400000000007</x:v>
      </x:c>
      <x:c r="P198" s="10" t="n">
        <x:f>H198*'Assumptions'!$R$92*'Assumptions'!$D$11*(1+'Assumptions'!$D$13)^(2-1)</x:f>
        <x:v>880.0320000000002</x:v>
      </x:c>
      <x:c r="Q198" s="10" t="n">
        <x:f>J198*'Assumptions'!$S$92</x:f>
        <x:v>10550.4516</x:v>
      </x:c>
      <x:c r="R198" s="10" t="n">
        <x:f>H198*'Assumptions'!$Y$92*'Assumptions'!$Z$92*'Assumptions'!$D$11*(1+'Assumptions'!$D$13)^(2-1)</x:f>
        <x:v>660.0240000000001</x:v>
      </x:c>
      <x:c r="S198" s="10" t="n">
        <x:f>IF(I198=0,0,J198*'Assumptions'!$W$92+H198*'Assumptions'!$X$92)</x:f>
        <x:v>502.75245600000005</x:v>
      </x:c>
      <x:c r="T198" s="10" t="n">
        <x:f>N198*'Assumptions'!$AA$92</x:f>
        <x:v>629.7808032</x:v>
      </x:c>
      <x:c r="U198" s="10" t="n">
        <x:f>'Assumptions'!$AE$92*'Assumptions'!$D$11*(1+'Assumptions'!$D$13)^(2-1)</x:f>
        <x:v>0</x:v>
      </x:c>
      <x:c r="V198" s="10" t="n">
        <x:f>0</x:f>
        <x:v>0</x:v>
      </x:c>
      <x:c r="W198" s="10" t="n">
        <x:f>H198*('Assumptions'!$P$92+'Assumptions'!$Y$92)</x:f>
        <x:v>32.040000000000006</x:v>
      </x:c>
      <x:c r="X198" s="10" t="n">
        <x:f>N198/12*'Assumptions'!$AF$92</x:f>
        <x:v>0</x:v>
      </x:c>
      <x:c r="Y198" s="10" t="n">
        <x:f>P198/12</x:f>
        <x:v>73.33600000000001</x:v>
      </x:c>
      <x:c r="Z198" s="10" t="n">
        <x:f>0</x:f>
        <x:v>0</x:v>
      </x:c>
      <x:c r="AA198" s="10" t="n">
        <x:f>Z198*'Assumptions'!$AC$92*'Assumptions'!$D$11*(1+'Assumptions'!$D$13)^(2-1)</x:f>
        <x:v>0</x:v>
      </x:c>
      <x:c r="AB198" s="10" t="n">
        <x:f>F198/1</x:f>
        <x:v>52.800000000000004</x:v>
      </x:c>
      <x:c r="AC198" s="10" t="n">
        <x:f>AB198/'Assumptions'!$AM$92</x:f>
        <x:v>352.00000000000006</x:v>
      </x:c>
      <x:c r="AD198" s="10" t="n">
        <x:f>IF(AB198=0,0,T198/AB198)</x:f>
        <x:v>11.927666727272728</x:v>
      </x:c>
      <x:c r="AE198" s="10" t="n">
        <x:f>AA198*'Assumptions'!$D$21</x:f>
        <x:v>0</x:v>
      </x:c>
    </x:row>
    <x:row r="199" ht="16" customHeight="1">
      <x:c r="A199" s="1"/>
      <x:c r="B199" s="1"/>
      <x:c r="C199" s="1" t="str">
        <x:v>DOT-064</x:v>
      </x:c>
      <x:c r="D199" s="10" t="str">
        <x:v>S’otality cleaning</x:v>
      </x:c>
      <x:c r="E199" s="10" t="n">
        <x:v>2</x:v>
      </x:c>
      <x:c r="F199" s="21" t="n">
        <x:f>'Assumptions'!$I$93*(1-'Assumptions'!$K$93)*(1+'Assumptions'!$L$93)*'Assumptions'!$D$9*'Assumptions'!$D$8</x:f>
        <x:v>79.2</x:v>
      </x:c>
      <x:c r="G199" s="21" t="n">
        <x:f>H71*'Assumptions'!$K$93</x:f>
        <x:v>81</x:v>
      </x:c>
      <x:c r="H199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199+G199,NA())</x:f>
        <x:v>160.2</x:v>
      </x:c>
      <x:c r="I199" s="22" t="n">
        <x:f>'Assumptions'!$H$93*IF('Assumptions'!$O$93=1,1,'Assumptions'!$D$10)*(1+'Assumptions'!$N$93)^(2-1)</x:f>
        <x:v>141.78</x:v>
      </x:c>
      <x:c r="J199" s="10" t="n">
        <x:f>H199*I199</x:f>
        <x:v>22713.156</x:v>
      </x:c>
      <x:c r="K199" s="10" t="n">
        <x:f>J199*'Assumptions'!$T$93</x:f>
        <x:v>22713.156</x:v>
      </x:c>
      <x:c r="L199" s="10" t="n">
        <x:f>K199*'Assumptions'!$U$93</x:f>
        <x:v>681.39468</x:v>
      </x:c>
      <x:c r="M199" s="10" t="n">
        <x:f>K199*'Assumptions'!$V$93</x:f>
        <x:v>0</x:v>
      </x:c>
      <x:c r="N199" s="10" t="n">
        <x:f>K199-L199-M199</x:f>
        <x:v>22031.761319999998</x:v>
      </x:c>
      <x:c r="O199" s="10" t="n">
        <x:f>H199*'Assumptions'!$P$93*'Assumptions'!$Q$93*'Assumptions'!$D$11*(1+'Assumptions'!$D$13)^(2-1)</x:f>
        <x:v>577.521</x:v>
      </x:c>
      <x:c r="P199" s="10" t="n">
        <x:f>H199*'Assumptions'!$R$93*'Assumptions'!$D$11*(1+'Assumptions'!$D$13)^(2-1)</x:f>
        <x:v>1320.048</x:v>
      </x:c>
      <x:c r="Q199" s="10" t="n">
        <x:f>J199*'Assumptions'!$S$93</x:f>
        <x:v>14763.5514</x:v>
      </x:c>
      <x:c r="R199" s="10" t="n">
        <x:f>H199*'Assumptions'!$Y$93*'Assumptions'!$Z$93*'Assumptions'!$D$11*(1+'Assumptions'!$D$13)^(2-1)</x:f>
        <x:v>990.036</x:v>
      </x:c>
      <x:c r="S199" s="10" t="n">
        <x:f>IF(I199=0,0,J199*'Assumptions'!$W$93+H199*'Assumptions'!$X$93)</x:f>
        <x:v>706.7415239999999</x:v>
      </x:c>
      <x:c r="T199" s="10" t="n">
        <x:f>N199*'Assumptions'!$AA$93</x:f>
        <x:v>881.2704527999999</x:v>
      </x:c>
      <x:c r="U199" s="10" t="n">
        <x:f>'Assumptions'!$AE$93*'Assumptions'!$D$11*(1+'Assumptions'!$D$13)^(2-1)</x:f>
        <x:v>0</x:v>
      </x:c>
      <x:c r="V199" s="10" t="n">
        <x:f>0</x:f>
        <x:v>0</x:v>
      </x:c>
      <x:c r="W199" s="10" t="n">
        <x:f>H199*('Assumptions'!$P$93+'Assumptions'!$Y$93)</x:f>
        <x:v>48.06</x:v>
      </x:c>
      <x:c r="X199" s="10" t="n">
        <x:f>N199/12*'Assumptions'!$AF$93</x:f>
        <x:v>0</x:v>
      </x:c>
      <x:c r="Y199" s="10" t="n">
        <x:f>P199/12</x:f>
        <x:v>110.004</x:v>
      </x:c>
      <x:c r="Z199" s="10" t="n">
        <x:f>0</x:f>
        <x:v>0</x:v>
      </x:c>
      <x:c r="AA199" s="10" t="n">
        <x:f>Z199*'Assumptions'!$AC$93*'Assumptions'!$D$11*(1+'Assumptions'!$D$13)^(2-1)</x:f>
        <x:v>0</x:v>
      </x:c>
      <x:c r="AB199" s="10" t="n">
        <x:f>F199/1</x:f>
        <x:v>79.2</x:v>
      </x:c>
      <x:c r="AC199" s="10" t="n">
        <x:f>AB199/'Assumptions'!$AM$93</x:f>
        <x:v>528</x:v>
      </x:c>
      <x:c r="AD199" s="10" t="n">
        <x:f>IF(AB199=0,0,T199/AB199)</x:f>
        <x:v>11.12715218181818</x:v>
      </x:c>
      <x:c r="AE199" s="10" t="n">
        <x:f>AA199*'Assumptions'!$D$21</x:f>
        <x:v>0</x:v>
      </x:c>
    </x:row>
    <x:row r="200" ht="16" customHeight="1">
      <x:c r="A200" s="1"/>
      <x:c r="B200" s="1"/>
      <x:c r="C200" s="1" t="str">
        <x:v>DOT-065</x:v>
      </x:c>
      <x:c r="D200" s="10" t="str">
        <x:v>S’otality cleaning</x:v>
      </x:c>
      <x:c r="E200" s="10" t="n">
        <x:v>2</x:v>
      </x:c>
      <x:c r="F200" s="21" t="n">
        <x:f>'Assumptions'!$I$94*(1-'Assumptions'!$K$94)*(1+'Assumptions'!$L$94)*'Assumptions'!$D$9*'Assumptions'!$D$8</x:f>
        <x:v>52.800000000000004</x:v>
      </x:c>
      <x:c r="G200" s="21" t="n">
        <x:f>H72*'Assumptions'!$K$94</x:f>
        <x:v>54</x:v>
      </x:c>
      <x:c r="H200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200+G200,NA())</x:f>
        <x:v>106.80000000000001</x:v>
      </x:c>
      <x:c r="I200" s="22" t="n">
        <x:f>'Assumptions'!$H$94*IF('Assumptions'!$O$94=1,1,'Assumptions'!$D$10)*(1+'Assumptions'!$N$94)^(2-1)</x:f>
        <x:v>162.18</x:v>
      </x:c>
      <x:c r="J200" s="10" t="n">
        <x:f>H200*I200</x:f>
        <x:v>17320.824000000004</x:v>
      </x:c>
      <x:c r="K200" s="10" t="n">
        <x:f>J200*'Assumptions'!$T$94</x:f>
        <x:v>17320.824000000004</x:v>
      </x:c>
      <x:c r="L200" s="10" t="n">
        <x:f>K200*'Assumptions'!$U$94</x:f>
        <x:v>519.6247200000001</x:v>
      </x:c>
      <x:c r="M200" s="10" t="n">
        <x:f>K200*'Assumptions'!$V$94</x:f>
        <x:v>0</x:v>
      </x:c>
      <x:c r="N200" s="10" t="n">
        <x:f>K200-L200-M200</x:f>
        <x:v>16801.199280000004</x:v>
      </x:c>
      <x:c r="O200" s="10" t="n">
        <x:f>H200*'Assumptions'!$P$94*'Assumptions'!$Q$94*'Assumptions'!$D$11*(1+'Assumptions'!$D$13)^(2-1)</x:f>
        <x:v>385.01400000000007</x:v>
      </x:c>
      <x:c r="P200" s="10" t="n">
        <x:f>H200*'Assumptions'!$R$94*'Assumptions'!$D$11*(1+'Assumptions'!$D$13)^(2-1)</x:f>
        <x:v>880.0320000000002</x:v>
      </x:c>
      <x:c r="Q200" s="10" t="n">
        <x:f>J200*'Assumptions'!$S$94</x:f>
        <x:v>11258.535600000003</x:v>
      </x:c>
      <x:c r="R200" s="10" t="n">
        <x:f>H200*'Assumptions'!$Y$94*'Assumptions'!$Z$94*'Assumptions'!$D$11*(1+'Assumptions'!$D$13)^(2-1)</x:f>
        <x:v>660.0240000000001</x:v>
      </x:c>
      <x:c r="S200" s="10" t="n">
        <x:f>IF(I200=0,0,J200*'Assumptions'!$W$94+H200*'Assumptions'!$X$94)</x:f>
        <x:v>534.3438960000001</x:v>
      </x:c>
      <x:c r="T200" s="10" t="n">
        <x:f>N200*'Assumptions'!$AA$94</x:f>
        <x:v>672.0479712000002</x:v>
      </x:c>
      <x:c r="U200" s="10" t="n">
        <x:f>'Assumptions'!$AE$94*'Assumptions'!$D$11*(1+'Assumptions'!$D$13)^(2-1)</x:f>
        <x:v>0</x:v>
      </x:c>
      <x:c r="V200" s="10" t="n">
        <x:f>0</x:f>
        <x:v>0</x:v>
      </x:c>
      <x:c r="W200" s="10" t="n">
        <x:f>H200*('Assumptions'!$P$94+'Assumptions'!$Y$94)</x:f>
        <x:v>32.040000000000006</x:v>
      </x:c>
      <x:c r="X200" s="10" t="n">
        <x:f>N200/12*'Assumptions'!$AF$94</x:f>
        <x:v>0</x:v>
      </x:c>
      <x:c r="Y200" s="10" t="n">
        <x:f>P200/12</x:f>
        <x:v>73.33600000000001</x:v>
      </x:c>
      <x:c r="Z200" s="10" t="n">
        <x:f>0</x:f>
        <x:v>0</x:v>
      </x:c>
      <x:c r="AA200" s="10" t="n">
        <x:f>Z200*'Assumptions'!$AC$94*'Assumptions'!$D$11*(1+'Assumptions'!$D$13)^(2-1)</x:f>
        <x:v>0</x:v>
      </x:c>
      <x:c r="AB200" s="10" t="n">
        <x:f>F200/1</x:f>
        <x:v>52.800000000000004</x:v>
      </x:c>
      <x:c r="AC200" s="10" t="n">
        <x:f>AB200/'Assumptions'!$AM$94</x:f>
        <x:v>352.00000000000006</x:v>
      </x:c>
      <x:c r="AD200" s="10" t="n">
        <x:f>IF(AB200=0,0,T200/AB200)</x:f>
        <x:v>12.728181272727277</x:v>
      </x:c>
      <x:c r="AE200" s="10" t="n">
        <x:f>AA200*'Assumptions'!$D$21</x:f>
        <x:v>0</x:v>
      </x:c>
    </x:row>
    <x:row r="201" ht="16" customHeight="1">
      <x:c r="A201" s="1"/>
      <x:c r="B201" s="1"/>
      <x:c r="C201" s="1" t="str">
        <x:v>DOT-066</x:v>
      </x:c>
      <x:c r="D201" s="10" t="str">
        <x:v>S’otality cleaning</x:v>
      </x:c>
      <x:c r="E201" s="10" t="n">
        <x:v>2</x:v>
      </x:c>
      <x:c r="F201" s="21" t="n">
        <x:f>'Assumptions'!$I$95*(1-'Assumptions'!$K$95)*(1+'Assumptions'!$L$95)*'Assumptions'!$D$9*'Assumptions'!$D$8</x:f>
        <x:v>79.2</x:v>
      </x:c>
      <x:c r="G201" s="21" t="n">
        <x:f>H73*'Assumptions'!$K$95</x:f>
        <x:v>81</x:v>
      </x:c>
      <x:c r="H201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201+G201,NA())</x:f>
        <x:v>160.2</x:v>
      </x:c>
      <x:c r="I201" s="22" t="n">
        <x:f>'Assumptions'!$H$95*IF('Assumptions'!$O$95=1,1,'Assumptions'!$D$10)*(1+'Assumptions'!$N$95)^(2-1)</x:f>
        <x:v>151.98</x:v>
      </x:c>
      <x:c r="J201" s="10" t="n">
        <x:f>H201*I201</x:f>
        <x:v>24347.195999999996</x:v>
      </x:c>
      <x:c r="K201" s="10" t="n">
        <x:f>J201*'Assumptions'!$T$95</x:f>
        <x:v>24347.195999999996</x:v>
      </x:c>
      <x:c r="L201" s="10" t="n">
        <x:f>K201*'Assumptions'!$U$95</x:f>
        <x:v>730.4158799999999</x:v>
      </x:c>
      <x:c r="M201" s="10" t="n">
        <x:f>K201*'Assumptions'!$V$95</x:f>
        <x:v>0</x:v>
      </x:c>
      <x:c r="N201" s="10" t="n">
        <x:f>K201-L201-M201</x:f>
        <x:v>23616.780119999996</x:v>
      </x:c>
      <x:c r="O201" s="10" t="n">
        <x:f>H201*'Assumptions'!$P$95*'Assumptions'!$Q$95*'Assumptions'!$D$11*(1+'Assumptions'!$D$13)^(2-1)</x:f>
        <x:v>577.521</x:v>
      </x:c>
      <x:c r="P201" s="10" t="n">
        <x:f>H201*'Assumptions'!$R$95*'Assumptions'!$D$11*(1+'Assumptions'!$D$13)^(2-1)</x:f>
        <x:v>1320.048</x:v>
      </x:c>
      <x:c r="Q201" s="10" t="n">
        <x:f>J201*'Assumptions'!$S$95</x:f>
        <x:v>15825.677399999999</x:v>
      </x:c>
      <x:c r="R201" s="10" t="n">
        <x:f>H201*'Assumptions'!$Y$95*'Assumptions'!$Z$95*'Assumptions'!$D$11*(1+'Assumptions'!$D$13)^(2-1)</x:f>
        <x:v>990.036</x:v>
      </x:c>
      <x:c r="S201" s="10" t="n">
        <x:f>IF(I201=0,0,J201*'Assumptions'!$W$95+H201*'Assumptions'!$X$95)</x:f>
        <x:v>754.1286839999999</x:v>
      </x:c>
      <x:c r="T201" s="10" t="n">
        <x:f>N201*'Assumptions'!$AA$95</x:f>
        <x:v>944.6712047999998</x:v>
      </x:c>
      <x:c r="U201" s="10" t="n">
        <x:f>'Assumptions'!$AE$95*'Assumptions'!$D$11*(1+'Assumptions'!$D$13)^(2-1)</x:f>
        <x:v>0</x:v>
      </x:c>
      <x:c r="V201" s="10" t="n">
        <x:f>0</x:f>
        <x:v>0</x:v>
      </x:c>
      <x:c r="W201" s="10" t="n">
        <x:f>H201*('Assumptions'!$P$95+'Assumptions'!$Y$95)</x:f>
        <x:v>48.06</x:v>
      </x:c>
      <x:c r="X201" s="10" t="n">
        <x:f>N201/12*'Assumptions'!$AF$95</x:f>
        <x:v>0</x:v>
      </x:c>
      <x:c r="Y201" s="10" t="n">
        <x:f>P201/12</x:f>
        <x:v>110.004</x:v>
      </x:c>
      <x:c r="Z201" s="10" t="n">
        <x:f>0</x:f>
        <x:v>0</x:v>
      </x:c>
      <x:c r="AA201" s="10" t="n">
        <x:f>Z201*'Assumptions'!$AC$95*'Assumptions'!$D$11*(1+'Assumptions'!$D$13)^(2-1)</x:f>
        <x:v>0</x:v>
      </x:c>
      <x:c r="AB201" s="10" t="n">
        <x:f>F201/1</x:f>
        <x:v>79.2</x:v>
      </x:c>
      <x:c r="AC201" s="10" t="n">
        <x:f>AB201/'Assumptions'!$AM$95</x:f>
        <x:v>528</x:v>
      </x:c>
      <x:c r="AD201" s="10" t="n">
        <x:f>IF(AB201=0,0,T201/AB201)</x:f>
        <x:v>11.927666727272724</x:v>
      </x:c>
      <x:c r="AE201" s="10" t="n">
        <x:f>AA201*'Assumptions'!$D$21</x:f>
        <x:v>0</x:v>
      </x:c>
    </x:row>
    <x:row r="202" ht="16" customHeight="1">
      <x:c r="A202" s="1"/>
      <x:c r="B202" s="1"/>
      <x:c r="C202" s="1" t="str">
        <x:v>DOT-067</x:v>
      </x:c>
      <x:c r="D202" s="10" t="str">
        <x:v>S’otality cleaning</x:v>
      </x:c>
      <x:c r="E202" s="10" t="n">
        <x:v>2</x:v>
      </x:c>
      <x:c r="F202" s="21" t="n">
        <x:f>'Assumptions'!$I$96*(1-'Assumptions'!$K$96)*(1+'Assumptions'!$L$96)*'Assumptions'!$D$9*'Assumptions'!$D$8</x:f>
        <x:v>35.2</x:v>
      </x:c>
      <x:c r="G202" s="21" t="n">
        <x:f>H74*'Assumptions'!$K$96</x:f>
        <x:v>36</x:v>
      </x:c>
      <x:c r="H202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202+G202,NA())</x:f>
        <x:v>71.2</x:v>
      </x:c>
      <x:c r="I202" s="22" t="n">
        <x:f>'Assumptions'!$H$96*IF('Assumptions'!$O$96=1,1,'Assumptions'!$D$10)*(1+'Assumptions'!$N$96)^(2-1)</x:f>
        <x:v>202.98</x:v>
      </x:c>
      <x:c r="J202" s="10" t="n">
        <x:f>H202*I202</x:f>
        <x:v>14452.176</x:v>
      </x:c>
      <x:c r="K202" s="10" t="n">
        <x:f>J202*'Assumptions'!$T$96</x:f>
        <x:v>14452.176</x:v>
      </x:c>
      <x:c r="L202" s="10" t="n">
        <x:f>K202*'Assumptions'!$U$96</x:f>
        <x:v>433.56528</x:v>
      </x:c>
      <x:c r="M202" s="10" t="n">
        <x:f>K202*'Assumptions'!$V$96</x:f>
        <x:v>0</x:v>
      </x:c>
      <x:c r="N202" s="10" t="n">
        <x:f>K202-L202-M202</x:f>
        <x:v>14018.610719999999</x:v>
      </x:c>
      <x:c r="O202" s="10" t="n">
        <x:f>H202*'Assumptions'!$P$96*'Assumptions'!$Q$96*'Assumptions'!$D$11*(1+'Assumptions'!$D$13)^(2-1)</x:f>
        <x:v>256.67600000000004</x:v>
      </x:c>
      <x:c r="P202" s="10" t="n">
        <x:f>H202*'Assumptions'!$R$96*'Assumptions'!$D$11*(1+'Assumptions'!$D$13)^(2-1)</x:f>
        <x:v>586.688</x:v>
      </x:c>
      <x:c r="Q202" s="10" t="n">
        <x:f>J202*'Assumptions'!$S$96</x:f>
        <x:v>9393.9144</x:v>
      </x:c>
      <x:c r="R202" s="10" t="n">
        <x:f>H202*'Assumptions'!$Y$96*'Assumptions'!$Z$96*'Assumptions'!$D$11*(1+'Assumptions'!$D$13)^(2-1)</x:f>
        <x:v>440.0160000000001</x:v>
      </x:c>
      <x:c r="S202" s="10" t="n">
        <x:f>IF(I202=0,0,J202*'Assumptions'!$W$96+H202*'Assumptions'!$X$96)</x:f>
        <x:v>440.47310400000003</x:v>
      </x:c>
      <x:c r="T202" s="10" t="n">
        <x:f>N202*'Assumptions'!$AA$96</x:f>
        <x:v>560.7444287999999</x:v>
      </x:c>
      <x:c r="U202" s="10" t="n">
        <x:f>'Assumptions'!$AE$96*'Assumptions'!$D$11*(1+'Assumptions'!$D$13)^(2-1)</x:f>
        <x:v>0</x:v>
      </x:c>
      <x:c r="V202" s="10" t="n">
        <x:f>0</x:f>
        <x:v>0</x:v>
      </x:c>
      <x:c r="W202" s="10" t="n">
        <x:f>H202*('Assumptions'!$P$96+'Assumptions'!$Y$96)</x:f>
        <x:v>21.360000000000003</x:v>
      </x:c>
      <x:c r="X202" s="10" t="n">
        <x:f>N202/12*'Assumptions'!$AF$96</x:f>
        <x:v>0</x:v>
      </x:c>
      <x:c r="Y202" s="10" t="n">
        <x:f>P202/12</x:f>
        <x:v>48.89066666666667</x:v>
      </x:c>
      <x:c r="Z202" s="10" t="n">
        <x:f>0</x:f>
        <x:v>0</x:v>
      </x:c>
      <x:c r="AA202" s="10" t="n">
        <x:f>Z202*'Assumptions'!$AC$96*'Assumptions'!$D$11*(1+'Assumptions'!$D$13)^(2-1)</x:f>
        <x:v>0</x:v>
      </x:c>
      <x:c r="AB202" s="10" t="n">
        <x:f>F202/1</x:f>
        <x:v>35.2</x:v>
      </x:c>
      <x:c r="AC202" s="10" t="n">
        <x:f>AB202/'Assumptions'!$AM$96</x:f>
        <x:v>234.66666666666669</x:v>
      </x:c>
      <x:c r="AD202" s="10" t="n">
        <x:f>IF(AB202=0,0,T202/AB202)</x:f>
        <x:v>15.93023945454545</x:v>
      </x:c>
      <x:c r="AE202" s="10" t="n">
        <x:f>AA202*'Assumptions'!$D$21</x:f>
        <x:v>0</x:v>
      </x:c>
    </x:row>
    <x:row r="203" ht="16" customHeight="1">
      <x:c r="A203" s="1"/>
      <x:c r="B203" s="1"/>
      <x:c r="C203" s="1" t="str">
        <x:v>DOT-068</x:v>
      </x:c>
      <x:c r="D203" s="10" t="str">
        <x:v>S’otality cleaning</x:v>
      </x:c>
      <x:c r="E203" s="10" t="n">
        <x:v>2</x:v>
      </x:c>
      <x:c r="F203" s="21" t="n">
        <x:f>'Assumptions'!$I$97*(1-'Assumptions'!$K$97)*(1+'Assumptions'!$L$97)*'Assumptions'!$D$9*'Assumptions'!$D$8</x:f>
        <x:v>52.800000000000004</x:v>
      </x:c>
      <x:c r="G203" s="21" t="n">
        <x:f>H75*'Assumptions'!$K$97</x:f>
        <x:v>54</x:v>
      </x:c>
      <x:c r="H203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203+G203,NA())</x:f>
        <x:v>106.80000000000001</x:v>
      </x:c>
      <x:c r="I203" s="22" t="n">
        <x:f>'Assumptions'!$H$97*IF('Assumptions'!$O$97=1,1,'Assumptions'!$D$10)*(1+'Assumptions'!$N$97)^(2-1)</x:f>
        <x:v>192.78</x:v>
      </x:c>
      <x:c r="J203" s="10" t="n">
        <x:f>H203*I203</x:f>
        <x:v>20588.904000000002</x:v>
      </x:c>
      <x:c r="K203" s="10" t="n">
        <x:f>J203*'Assumptions'!$T$97</x:f>
        <x:v>20588.904000000002</x:v>
      </x:c>
      <x:c r="L203" s="10" t="n">
        <x:f>K203*'Assumptions'!$U$97</x:f>
        <x:v>617.6671200000001</x:v>
      </x:c>
      <x:c r="M203" s="10" t="n">
        <x:f>K203*'Assumptions'!$V$97</x:f>
        <x:v>0</x:v>
      </x:c>
      <x:c r="N203" s="10" t="n">
        <x:f>K203-L203-M203</x:f>
        <x:v>19971.236880000004</x:v>
      </x:c>
      <x:c r="O203" s="10" t="n">
        <x:f>H203*'Assumptions'!$P$97*'Assumptions'!$Q$97*'Assumptions'!$D$11*(1+'Assumptions'!$D$13)^(2-1)</x:f>
        <x:v>385.01400000000007</x:v>
      </x:c>
      <x:c r="P203" s="10" t="n">
        <x:f>H203*'Assumptions'!$R$97*'Assumptions'!$D$11*(1+'Assumptions'!$D$13)^(2-1)</x:f>
        <x:v>880.0320000000002</x:v>
      </x:c>
      <x:c r="Q203" s="10" t="n">
        <x:f>J203*'Assumptions'!$S$97</x:f>
        <x:v>13382.787600000001</x:v>
      </x:c>
      <x:c r="R203" s="10" t="n">
        <x:f>H203*'Assumptions'!$Y$97*'Assumptions'!$Z$97*'Assumptions'!$D$11*(1+'Assumptions'!$D$13)^(2-1)</x:f>
        <x:v>660.0240000000001</x:v>
      </x:c>
      <x:c r="S203" s="10" t="n">
        <x:f>IF(I203=0,0,J203*'Assumptions'!$W$97+H203*'Assumptions'!$X$97)</x:f>
        <x:v>629.1182160000001</x:v>
      </x:c>
      <x:c r="T203" s="10" t="n">
        <x:f>N203*'Assumptions'!$AA$97</x:f>
        <x:v>798.8494752000001</x:v>
      </x:c>
      <x:c r="U203" s="10" t="n">
        <x:f>'Assumptions'!$AE$97*'Assumptions'!$D$11*(1+'Assumptions'!$D$13)^(2-1)</x:f>
        <x:v>0</x:v>
      </x:c>
      <x:c r="V203" s="10" t="n">
        <x:f>0</x:f>
        <x:v>0</x:v>
      </x:c>
      <x:c r="W203" s="10" t="n">
        <x:f>H203*('Assumptions'!$P$97+'Assumptions'!$Y$97)</x:f>
        <x:v>32.040000000000006</x:v>
      </x:c>
      <x:c r="X203" s="10" t="n">
        <x:f>N203/12*'Assumptions'!$AF$97</x:f>
        <x:v>0</x:v>
      </x:c>
      <x:c r="Y203" s="10" t="n">
        <x:f>P203/12</x:f>
        <x:v>73.33600000000001</x:v>
      </x:c>
      <x:c r="Z203" s="10" t="n">
        <x:f>0</x:f>
        <x:v>0</x:v>
      </x:c>
      <x:c r="AA203" s="10" t="n">
        <x:f>Z203*'Assumptions'!$AC$97*'Assumptions'!$D$11*(1+'Assumptions'!$D$13)^(2-1)</x:f>
        <x:v>0</x:v>
      </x:c>
      <x:c r="AB203" s="10" t="n">
        <x:f>F203/1</x:f>
        <x:v>52.800000000000004</x:v>
      </x:c>
      <x:c r="AC203" s="10" t="n">
        <x:f>AB203/'Assumptions'!$AM$97</x:f>
        <x:v>352.00000000000006</x:v>
      </x:c>
      <x:c r="AD203" s="10" t="n">
        <x:f>IF(AB203=0,0,T203/AB203)</x:f>
        <x:v>15.12972490909091</x:v>
      </x:c>
      <x:c r="AE203" s="10" t="n">
        <x:f>AA203*'Assumptions'!$D$21</x:f>
        <x:v>0</x:v>
      </x:c>
    </x:row>
    <x:row r="204" ht="16" customHeight="1">
      <x:c r="A204" s="1"/>
      <x:c r="B204" s="1"/>
      <x:c r="C204" s="1" t="str">
        <x:v>DOT-069</x:v>
      </x:c>
      <x:c r="D204" s="10" t="str">
        <x:v>S’otality cleaning</x:v>
      </x:c>
      <x:c r="E204" s="10" t="n">
        <x:v>2</x:v>
      </x:c>
      <x:c r="F204" s="21" t="n">
        <x:f>'Assumptions'!$I$98*(1-'Assumptions'!$K$98)*(1+'Assumptions'!$L$98)*'Assumptions'!$D$9*'Assumptions'!$D$8</x:f>
        <x:v>17.6</x:v>
      </x:c>
      <x:c r="G204" s="21" t="n">
        <x:f>H76*'Assumptions'!$K$98</x:f>
        <x:v>18</x:v>
      </x:c>
      <x:c r="H204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204+G204,NA())</x:f>
        <x:v>35.6</x:v>
      </x:c>
      <x:c r="I204" s="22" t="n">
        <x:f>'Assumptions'!$H$98*IF('Assumptions'!$O$98=1,1,'Assumptions'!$D$10)*(1+'Assumptions'!$N$98)^(2-1)</x:f>
        <x:v>304.98</x:v>
      </x:c>
      <x:c r="J204" s="10" t="n">
        <x:f>H204*I204</x:f>
        <x:v>10857.288</x:v>
      </x:c>
      <x:c r="K204" s="10" t="n">
        <x:f>J204*'Assumptions'!$T$98</x:f>
        <x:v>10857.288</x:v>
      </x:c>
      <x:c r="L204" s="10" t="n">
        <x:f>K204*'Assumptions'!$U$98</x:f>
        <x:v>325.71864</x:v>
      </x:c>
      <x:c r="M204" s="10" t="n">
        <x:f>K204*'Assumptions'!$V$98</x:f>
        <x:v>0</x:v>
      </x:c>
      <x:c r="N204" s="10" t="n">
        <x:f>K204-L204-M204</x:f>
        <x:v>10531.569360000001</x:v>
      </x:c>
      <x:c r="O204" s="10" t="n">
        <x:f>H204*'Assumptions'!$P$98*'Assumptions'!$Q$98*'Assumptions'!$D$11*(1+'Assumptions'!$D$13)^(2-1)</x:f>
        <x:v>128.33800000000002</x:v>
      </x:c>
      <x:c r="P204" s="10" t="n">
        <x:f>H204*'Assumptions'!$R$98*'Assumptions'!$D$11*(1+'Assumptions'!$D$13)^(2-1)</x:f>
        <x:v>293.344</x:v>
      </x:c>
      <x:c r="Q204" s="10" t="n">
        <x:f>J204*'Assumptions'!$S$98</x:f>
        <x:v>7057.2372000000005</x:v>
      </x:c>
      <x:c r="R204" s="10" t="n">
        <x:f>H204*'Assumptions'!$Y$98*'Assumptions'!$Z$98*'Assumptions'!$D$11*(1+'Assumptions'!$D$13)^(2-1)</x:f>
        <x:v>220.00800000000004</x:v>
      </x:c>
      <x:c r="S204" s="10" t="n">
        <x:f>IF(I204=0,0,J204*'Assumptions'!$W$98+H204*'Assumptions'!$X$98)</x:f>
        <x:v>325.541352</x:v>
      </x:c>
      <x:c r="T204" s="10" t="n">
        <x:f>N204*'Assumptions'!$AA$98</x:f>
        <x:v>421.26277440000007</x:v>
      </x:c>
      <x:c r="U204" s="10" t="n">
        <x:f>'Assumptions'!$AE$98*'Assumptions'!$D$11*(1+'Assumptions'!$D$13)^(2-1)</x:f>
        <x:v>0</x:v>
      </x:c>
      <x:c r="V204" s="10" t="n">
        <x:f>0</x:f>
        <x:v>0</x:v>
      </x:c>
      <x:c r="W204" s="10" t="n">
        <x:f>H204*('Assumptions'!$P$98+'Assumptions'!$Y$98)</x:f>
        <x:v>10.680000000000001</x:v>
      </x:c>
      <x:c r="X204" s="10" t="n">
        <x:f>N204/12*'Assumptions'!$AF$98</x:f>
        <x:v>0</x:v>
      </x:c>
      <x:c r="Y204" s="10" t="n">
        <x:f>P204/12</x:f>
        <x:v>24.445333333333334</x:v>
      </x:c>
      <x:c r="Z204" s="10" t="n">
        <x:f>0</x:f>
        <x:v>0</x:v>
      </x:c>
      <x:c r="AA204" s="10" t="n">
        <x:f>Z204*'Assumptions'!$AC$98*'Assumptions'!$D$11*(1+'Assumptions'!$D$13)^(2-1)</x:f>
        <x:v>0</x:v>
      </x:c>
      <x:c r="AB204" s="10" t="n">
        <x:f>F204/1</x:f>
        <x:v>17.6</x:v>
      </x:c>
      <x:c r="AC204" s="10" t="n">
        <x:f>AB204/'Assumptions'!$AM$98</x:f>
        <x:v>117.33333333333334</x:v>
      </x:c>
      <x:c r="AD204" s="10" t="n">
        <x:f>IF(AB204=0,0,T204/AB204)</x:f>
        <x:v>23.93538490909091</x:v>
      </x:c>
      <x:c r="AE204" s="10" t="n">
        <x:f>AA204*'Assumptions'!$D$21</x:f>
        <x:v>0</x:v>
      </x:c>
    </x:row>
    <x:row r="205" ht="16" customHeight="1">
      <x:c r="A205" s="1"/>
      <x:c r="B205" s="1"/>
      <x:c r="C205" s="1" t="str">
        <x:v>DOT-070</x:v>
      </x:c>
      <x:c r="D205" s="10" t="str">
        <x:v>S’otality laundry</x:v>
      </x:c>
      <x:c r="E205" s="10" t="n">
        <x:v>2</x:v>
      </x:c>
      <x:c r="F205" s="21" t="n">
        <x:f>'Assumptions'!$I$99*(1-'Assumptions'!$K$99)*(1+'Assumptions'!$L$99)*'Assumptions'!$D$9*'Assumptions'!$D$8</x:f>
        <x:v>158.4</x:v>
      </x:c>
      <x:c r="G205" s="21" t="n">
        <x:f>H77*'Assumptions'!$K$99</x:f>
        <x:v>162</x:v>
      </x:c>
      <x:c r="H205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205+G205,NA())</x:f>
        <x:v>320.4</x:v>
      </x:c>
      <x:c r="I205" s="22" t="n">
        <x:f>'Assumptions'!$H$99*IF('Assumptions'!$O$99=1,1,'Assumptions'!$D$10)*(1+'Assumptions'!$N$99)^(2-1)</x:f>
        <x:v>61.2</x:v>
      </x:c>
      <x:c r="J205" s="10" t="n">
        <x:f>H205*I205</x:f>
        <x:v>19608.48</x:v>
      </x:c>
      <x:c r="K205" s="10" t="n">
        <x:f>J205*'Assumptions'!$T$99</x:f>
        <x:v>19608.48</x:v>
      </x:c>
      <x:c r="L205" s="10" t="n">
        <x:f>K205*'Assumptions'!$U$99</x:f>
        <x:v>588.2543999999999</x:v>
      </x:c>
      <x:c r="M205" s="10" t="n">
        <x:f>K205*'Assumptions'!$V$99</x:f>
        <x:v>0</x:v>
      </x:c>
      <x:c r="N205" s="10" t="n">
        <x:f>K205-L205-M205</x:f>
        <x:v>19020.225599999998</x:v>
      </x:c>
      <x:c r="O205" s="10" t="n">
        <x:f>H205*'Assumptions'!$P$99*'Assumptions'!$Q$99*'Assumptions'!$D$11*(1+'Assumptions'!$D$13)^(2-1)</x:f>
        <x:v>1155.042</x:v>
      </x:c>
      <x:c r="P205" s="10" t="n">
        <x:f>H205*'Assumptions'!$R$99*'Assumptions'!$D$11*(1+'Assumptions'!$D$13)^(2-1)</x:f>
        <x:v>0</x:v>
      </x:c>
      <x:c r="Q205" s="10" t="n">
        <x:f>J205*'Assumptions'!$S$99</x:f>
        <x:v>12745.512</x:v>
      </x:c>
      <x:c r="R205" s="10" t="n">
        <x:f>H205*'Assumptions'!$Y$99*'Assumptions'!$Z$99*'Assumptions'!$D$11*(1+'Assumptions'!$D$13)^(2-1)</x:f>
        <x:v>1980.072</x:v>
      </x:c>
      <x:c r="S205" s="10" t="n">
        <x:f>IF(I205=0,0,J205*'Assumptions'!$W$99+H205*'Assumptions'!$X$99)</x:f>
        <x:v>664.76592</x:v>
      </x:c>
      <x:c r="T205" s="10" t="n">
        <x:f>N205*'Assumptions'!$AA$99</x:f>
        <x:v>760.8090239999999</x:v>
      </x:c>
      <x:c r="U205" s="10" t="n">
        <x:f>'Assumptions'!$AE$99*'Assumptions'!$D$11*(1+'Assumptions'!$D$13)^(2-1)</x:f>
        <x:v>0</x:v>
      </x:c>
      <x:c r="V205" s="10" t="n">
        <x:f>0</x:f>
        <x:v>0</x:v>
      </x:c>
      <x:c r="W205" s="10" t="n">
        <x:f>H205*('Assumptions'!$P$99+'Assumptions'!$Y$99)</x:f>
        <x:v>96.12</x:v>
      </x:c>
      <x:c r="X205" s="10" t="n">
        <x:f>N205/12*'Assumptions'!$AF$99</x:f>
        <x:v>0</x:v>
      </x:c>
      <x:c r="Y205" s="10" t="n">
        <x:f>P205/12</x:f>
        <x:v>0</x:v>
      </x:c>
      <x:c r="Z205" s="10" t="n">
        <x:f>0</x:f>
        <x:v>0</x:v>
      </x:c>
      <x:c r="AA205" s="10" t="n">
        <x:f>Z205*'Assumptions'!$AC$99*'Assumptions'!$D$11*(1+'Assumptions'!$D$13)^(2-1)</x:f>
        <x:v>0</x:v>
      </x:c>
      <x:c r="AB205" s="10" t="n">
        <x:f>F205/1</x:f>
        <x:v>158.4</x:v>
      </x:c>
      <x:c r="AC205" s="10" t="n">
        <x:f>AB205/'Assumptions'!$AM$99</x:f>
        <x:v>1056</x:v>
      </x:c>
      <x:c r="AD205" s="10" t="n">
        <x:f>IF(AB205=0,0,T205/AB205)</x:f>
        <x:v>4.8030872727272715</x:v>
      </x:c>
      <x:c r="AE205" s="10" t="n">
        <x:f>AA205*'Assumptions'!$D$21</x:f>
        <x:v>0</x:v>
      </x:c>
    </x:row>
    <x:row r="206" ht="16" customHeight="1">
      <x:c r="A206" s="1"/>
      <x:c r="B206" s="1"/>
      <x:c r="C206" s="1" t="str">
        <x:v>DOT-071</x:v>
      </x:c>
      <x:c r="D206" s="10" t="str">
        <x:v>S’otality Personal Chef</x:v>
      </x:c>
      <x:c r="E206" s="10" t="n">
        <x:v>2</x:v>
      </x:c>
      <x:c r="F206" s="21" t="n">
        <x:f>'Assumptions'!$I$100*(1-'Assumptions'!$K$100)*(1+'Assumptions'!$L$100)*'Assumptions'!$D$9*'Assumptions'!$D$8</x:f>
        <x:v>26.400000000000002</x:v>
      </x:c>
      <x:c r="G206" s="21" t="n">
        <x:f>H78*'Assumptions'!$K$100</x:f>
        <x:v>18</x:v>
      </x:c>
      <x:c r="H206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206+G206,NA())</x:f>
        <x:v>44.400000000000006</x:v>
      </x:c>
      <x:c r="I206" s="22" t="n">
        <x:f>'Assumptions'!$H$100*IF('Assumptions'!$O$100=1,1,'Assumptions'!$D$10)*(1+'Assumptions'!$N$100)^(2-1)</x:f>
        <x:v>663</x:v>
      </x:c>
      <x:c r="J206" s="10" t="n">
        <x:f>H206*I206</x:f>
        <x:v>29437.200000000004</x:v>
      </x:c>
      <x:c r="K206" s="10" t="n">
        <x:f>J206*'Assumptions'!$T$100</x:f>
        <x:v>29437.200000000004</x:v>
      </x:c>
      <x:c r="L206" s="10" t="n">
        <x:f>K206*'Assumptions'!$U$100</x:f>
        <x:v>883.1160000000001</x:v>
      </x:c>
      <x:c r="M206" s="10" t="n">
        <x:f>K206*'Assumptions'!$V$100</x:f>
        <x:v>0</x:v>
      </x:c>
      <x:c r="N206" s="10" t="n">
        <x:f>K206-L206-M206</x:f>
        <x:v>28554.084000000003</x:v>
      </x:c>
      <x:c r="O206" s="10" t="n">
        <x:f>H206*'Assumptions'!$P$100*'Assumptions'!$Q$100*'Assumptions'!$D$11*(1+'Assumptions'!$D$13)^(2-1)</x:f>
        <x:v>914.6400000000001</x:v>
      </x:c>
      <x:c r="P206" s="10" t="n">
        <x:f>H206*'Assumptions'!$R$100*'Assumptions'!$D$11*(1+'Assumptions'!$D$13)^(2-1)</x:f>
        <x:v>4573.200000000001</x:v>
      </x:c>
      <x:c r="Q206" s="10" t="n">
        <x:f>J206*'Assumptions'!$S$100</x:f>
        <x:v>14718.600000000002</x:v>
      </x:c>
      <x:c r="R206" s="10" t="n">
        <x:f>H206*'Assumptions'!$Y$100*'Assumptions'!$Z$100*'Assumptions'!$D$11*(1+'Assumptions'!$D$13)^(2-1)</x:f>
        <x:v>274.39200000000005</x:v>
      </x:c>
      <x:c r="S206" s="10" t="n">
        <x:f>IF(I206=0,0,J206*'Assumptions'!$W$100+H206*'Assumptions'!$X$100)</x:f>
        <x:v>866.9988000000002</x:v>
      </x:c>
      <x:c r="T206" s="10" t="n">
        <x:f>N206*'Assumptions'!$AA$100</x:f>
        <x:v>1142.1633600000002</x:v>
      </x:c>
      <x:c r="U206" s="10" t="n">
        <x:f>'Assumptions'!$AE$100*'Assumptions'!$D$11*(1+'Assumptions'!$D$13)^(2-1)</x:f>
        <x:v>0</x:v>
      </x:c>
      <x:c r="V206" s="10" t="n">
        <x:f>0</x:f>
        <x:v>0</x:v>
      </x:c>
      <x:c r="W206" s="10" t="n">
        <x:f>H206*('Assumptions'!$P$100+'Assumptions'!$Y$100)</x:f>
        <x:v>31.080000000000002</x:v>
      </x:c>
      <x:c r="X206" s="10" t="n">
        <x:f>N206/12*'Assumptions'!$AF$100</x:f>
        <x:v>0</x:v>
      </x:c>
      <x:c r="Y206" s="10" t="n">
        <x:f>P206/12</x:f>
        <x:v>381.1000000000001</x:v>
      </x:c>
      <x:c r="Z206" s="10" t="n">
        <x:f>0</x:f>
        <x:v>0</x:v>
      </x:c>
      <x:c r="AA206" s="10" t="n">
        <x:f>Z206*'Assumptions'!$AC$100*'Assumptions'!$D$11*(1+'Assumptions'!$D$13)^(2-1)</x:f>
        <x:v>0</x:v>
      </x:c>
      <x:c r="AB206" s="10" t="n">
        <x:f>F206/1</x:f>
        <x:v>26.400000000000002</x:v>
      </x:c>
      <x:c r="AC206" s="10" t="n">
        <x:f>AB206/'Assumptions'!$AM$100</x:f>
        <x:v>176.00000000000003</x:v>
      </x:c>
      <x:c r="AD206" s="10" t="n">
        <x:f>IF(AB206=0,0,T206/AB206)</x:f>
        <x:v>43.26376363636364</x:v>
      </x:c>
      <x:c r="AE206" s="10" t="n">
        <x:f>AA206*'Assumptions'!$D$21</x:f>
        <x:v>0</x:v>
      </x:c>
    </x:row>
    <x:row r="207" ht="16" customHeight="1">
      <x:c r="A207" s="1"/>
      <x:c r="B207" s="1"/>
      <x:c r="C207" s="1" t="str">
        <x:v>DOT-072</x:v>
      </x:c>
      <x:c r="D207" s="10" t="str">
        <x:v>S’otality interiors</x:v>
      </x:c>
      <x:c r="E207" s="10" t="n">
        <x:v>2</x:v>
      </x:c>
      <x:c r="F207" s="21" t="n">
        <x:f>'Assumptions'!$I$101*(1-'Assumptions'!$K$101)*(1+'Assumptions'!$L$101)*'Assumptions'!$D$9*'Assumptions'!$D$8</x:f>
        <x:v>9.9</x:v>
      </x:c>
      <x:c r="G207" s="21" t="n">
        <x:f>H79*'Assumptions'!$K$101</x:f>
        <x:v>6.75</x:v>
      </x:c>
      <x:c r="H207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207+G207,NA())</x:f>
        <x:v>16.65</x:v>
      </x:c>
      <x:c r="I207" s="22" t="n">
        <x:f>'Assumptions'!$H$101*IF('Assumptions'!$O$101=1,1,'Assumptions'!$D$10)*(1+'Assumptions'!$N$101)^(2-1)</x:f>
        <x:v>1530</x:v>
      </x:c>
      <x:c r="J207" s="10" t="n">
        <x:f>H207*I207</x:f>
        <x:v>25474.499999999996</x:v>
      </x:c>
      <x:c r="K207" s="10" t="n">
        <x:f>J207*'Assumptions'!$T$101</x:f>
        <x:v>25474.499999999996</x:v>
      </x:c>
      <x:c r="L207" s="10" t="n">
        <x:f>K207*'Assumptions'!$U$101</x:f>
        <x:v>764.2349999999999</x:v>
      </x:c>
      <x:c r="M207" s="10" t="n">
        <x:f>K207*'Assumptions'!$V$101</x:f>
        <x:v>0</x:v>
      </x:c>
      <x:c r="N207" s="10" t="n">
        <x:f>K207-L207-M207</x:f>
        <x:v>24710.264999999996</x:v>
      </x:c>
      <x:c r="O207" s="10" t="n">
        <x:f>H207*'Assumptions'!$P$101*'Assumptions'!$Q$101*'Assumptions'!$D$11*(1+'Assumptions'!$D$13)^(2-1)</x:f>
        <x:v>9432.225</x:v>
      </x:c>
      <x:c r="P207" s="10" t="n">
        <x:f>H207*'Assumptions'!$R$101*'Assumptions'!$D$11*(1+'Assumptions'!$D$13)^(2-1)</x:f>
        <x:v>857.4749999999999</x:v>
      </x:c>
      <x:c r="Q207" s="10" t="n">
        <x:f>J207*'Assumptions'!$S$101</x:f>
        <x:v>0</x:v>
      </x:c>
      <x:c r="R207" s="10" t="n">
        <x:f>H207*'Assumptions'!$Y$101*'Assumptions'!$Z$101*'Assumptions'!$D$11*(1+'Assumptions'!$D$13)^(2-1)</x:f>
        <x:v>128.62124999999997</x:v>
      </x:c>
      <x:c r="S207" s="10" t="n">
        <x:f>IF(I207=0,0,J207*'Assumptions'!$W$101+H207*'Assumptions'!$X$101)</x:f>
        <x:v>743.7555</x:v>
      </x:c>
      <x:c r="T207" s="10" t="n">
        <x:f>N207*'Assumptions'!$AA$101</x:f>
        <x:v>988.4105999999998</x:v>
      </x:c>
      <x:c r="U207" s="10" t="n">
        <x:f>'Assumptions'!$AE$101*'Assumptions'!$D$11*(1+'Assumptions'!$D$13)^(2-1)</x:f>
        <x:v>0</x:v>
      </x:c>
      <x:c r="V207" s="10" t="n">
        <x:f>0</x:f>
        <x:v>0</x:v>
      </x:c>
      <x:c r="W207" s="10" t="n">
        <x:f>H207*('Assumptions'!$P$101+'Assumptions'!$Y$101)</x:f>
        <x:v>170.6625</x:v>
      </x:c>
      <x:c r="X207" s="10" t="n">
        <x:f>N207/12*'Assumptions'!$AF$101</x:f>
        <x:v>2059.18875</x:v>
      </x:c>
      <x:c r="Y207" s="10" t="n">
        <x:f>P207/12</x:f>
        <x:v>71.45625</x:v>
      </x:c>
      <x:c r="Z207" s="10" t="n">
        <x:f>0</x:f>
        <x:v>0</x:v>
      </x:c>
      <x:c r="AA207" s="10" t="n">
        <x:f>Z207*'Assumptions'!$AC$101*'Assumptions'!$D$11*(1+'Assumptions'!$D$13)^(2-1)</x:f>
        <x:v>0</x:v>
      </x:c>
      <x:c r="AB207" s="10" t="n">
        <x:f>F207/1</x:f>
        <x:v>9.9</x:v>
      </x:c>
      <x:c r="AC207" s="10" t="n">
        <x:f>AB207/'Assumptions'!$AM$101</x:f>
        <x:v>49.5</x:v>
      </x:c>
      <x:c r="AD207" s="10" t="n">
        <x:f>IF(AB207=0,0,T207/AB207)</x:f>
        <x:v>99.83945454545453</x:v>
      </x:c>
      <x:c r="AE207" s="10" t="n">
        <x:f>AA207*'Assumptions'!$D$21</x:f>
        <x:v>0</x:v>
      </x:c>
    </x:row>
    <x:row r="208" ht="16" customHeight="1">
      <x:c r="A208" s="1"/>
      <x:c r="B208" s="1"/>
      <x:c r="C208" s="1" t="str">
        <x:v>DOT-073</x:v>
      </x:c>
      <x:c r="D208" s="10" t="str">
        <x:v>S’otality interiors</x:v>
      </x:c>
      <x:c r="E208" s="10" t="n">
        <x:v>2</x:v>
      </x:c>
      <x:c r="F208" s="21" t="n">
        <x:f>'Assumptions'!$I$102*(1-'Assumptions'!$K$102)*(1+'Assumptions'!$L$102)*'Assumptions'!$D$9*'Assumptions'!$D$8</x:f>
        <x:v>26.400000000000002</x:v>
      </x:c>
      <x:c r="G208" s="21" t="n">
        <x:f>H80*'Assumptions'!$K$102</x:f>
        <x:v>27</x:v>
      </x:c>
      <x:c r="H208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208+G208,NA())</x:f>
        <x:v>53.400000000000006</x:v>
      </x:c>
      <x:c r="I208" s="22" t="n">
        <x:f>'Assumptions'!$H$102*IF('Assumptions'!$O$102=1,1,'Assumptions'!$D$10)*(1+'Assumptions'!$N$102)^(2-1)</x:f>
        <x:v>306</x:v>
      </x:c>
      <x:c r="J208" s="10" t="n">
        <x:f>H208*I208</x:f>
        <x:v>16340.400000000001</x:v>
      </x:c>
      <x:c r="K208" s="10" t="n">
        <x:f>J208*'Assumptions'!$T$102</x:f>
        <x:v>16340.400000000001</x:v>
      </x:c>
      <x:c r="L208" s="10" t="n">
        <x:f>K208*'Assumptions'!$U$102</x:f>
        <x:v>490.21200000000005</x:v>
      </x:c>
      <x:c r="M208" s="10" t="n">
        <x:f>K208*'Assumptions'!$V$102</x:f>
        <x:v>0</x:v>
      </x:c>
      <x:c r="N208" s="10" t="n">
        <x:f>K208-L208-M208</x:f>
        <x:v>15850.188000000002</x:v>
      </x:c>
      <x:c r="O208" s="10" t="n">
        <x:f>H208*'Assumptions'!$P$102*'Assumptions'!$Q$102*'Assumptions'!$D$11*(1+'Assumptions'!$D$13)^(2-1)</x:f>
        <x:v>481.2675000000001</x:v>
      </x:c>
      <x:c r="P208" s="10" t="n">
        <x:f>H208*'Assumptions'!$R$102*'Assumptions'!$D$11*(1+'Assumptions'!$D$13)^(2-1)</x:f>
        <x:v>0</x:v>
      </x:c>
      <x:c r="Q208" s="10" t="n">
        <x:f>J208*'Assumptions'!$S$102</x:f>
        <x:v>9804.24</x:v>
      </x:c>
      <x:c r="R208" s="10" t="n">
        <x:f>H208*'Assumptions'!$Y$102*'Assumptions'!$Z$102*'Assumptions'!$D$11*(1+'Assumptions'!$D$13)^(2-1)</x:f>
        <x:v>330.01200000000006</x:v>
      </x:c>
      <x:c r="S208" s="10" t="n">
        <x:f>IF(I208=0,0,J208*'Assumptions'!$W$102+H208*'Assumptions'!$X$102)</x:f>
        <x:v>489.89160000000004</x:v>
      </x:c>
      <x:c r="T208" s="10" t="n">
        <x:f>N208*'Assumptions'!$AA$102</x:f>
        <x:v>634.0075200000001</x:v>
      </x:c>
      <x:c r="U208" s="10" t="n">
        <x:f>'Assumptions'!$AE$102*'Assumptions'!$D$11*(1+'Assumptions'!$D$13)^(2-1)</x:f>
        <x:v>0</x:v>
      </x:c>
      <x:c r="V208" s="10" t="n">
        <x:f>0</x:f>
        <x:v>0</x:v>
      </x:c>
      <x:c r="W208" s="10" t="n">
        <x:f>H208*('Assumptions'!$P$102+'Assumptions'!$Y$102)</x:f>
        <x:v>24.030000000000005</x:v>
      </x:c>
      <x:c r="X208" s="10" t="n">
        <x:f>N208/12*'Assumptions'!$AF$102</x:f>
        <x:v>0</x:v>
      </x:c>
      <x:c r="Y208" s="10" t="n">
        <x:f>P208/12</x:f>
        <x:v>0</x:v>
      </x:c>
      <x:c r="Z208" s="10" t="n">
        <x:f>0</x:f>
        <x:v>0</x:v>
      </x:c>
      <x:c r="AA208" s="10" t="n">
        <x:f>Z208*'Assumptions'!$AC$102*'Assumptions'!$D$11*(1+'Assumptions'!$D$13)^(2-1)</x:f>
        <x:v>0</x:v>
      </x:c>
      <x:c r="AB208" s="10" t="n">
        <x:f>F208/1</x:f>
        <x:v>26.400000000000002</x:v>
      </x:c>
      <x:c r="AC208" s="10" t="n">
        <x:f>AB208/'Assumptions'!$AM$102</x:f>
        <x:v>176.00000000000003</x:v>
      </x:c>
      <x:c r="AD208" s="10" t="n">
        <x:f>IF(AB208=0,0,T208/AB208)</x:f>
        <x:v>24.015436363636365</x:v>
      </x:c>
      <x:c r="AE208" s="10" t="n">
        <x:f>AA208*'Assumptions'!$D$21</x:f>
        <x:v>0</x:v>
      </x:c>
    </x:row>
    <x:row r="209" ht="16" customHeight="1">
      <x:c r="A209" s="1"/>
      <x:c r="B209" s="1"/>
      <x:c r="C209" s="1" t="str">
        <x:v>DOT-074</x:v>
      </x:c>
      <x:c r="D209" s="10" t="str">
        <x:v>S’otality interiors</x:v>
      </x:c>
      <x:c r="E209" s="10" t="n">
        <x:v>2</x:v>
      </x:c>
      <x:c r="F209" s="21" t="n">
        <x:f>'Assumptions'!$I$103*(1-'Assumptions'!$K$103)*(1+'Assumptions'!$L$103)*'Assumptions'!$D$9*'Assumptions'!$D$8</x:f>
        <x:v>8.64</x:v>
      </x:c>
      <x:c r="G209" s="21" t="n">
        <x:f>H81*'Assumptions'!$K$103</x:f>
        <x:v>12.6</x:v>
      </x:c>
      <x:c r="H209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209+G209,NA())</x:f>
        <x:v>21.240000000000002</x:v>
      </x:c>
      <x:c r="I209" s="22" t="n">
        <x:f>'Assumptions'!$H$103*IF('Assumptions'!$O$103=1,1,'Assumptions'!$D$10)*(1+'Assumptions'!$N$103)^(2-1)</x:f>
        <x:v>1530</x:v>
      </x:c>
      <x:c r="J209" s="10" t="n">
        <x:f>H209*I209</x:f>
        <x:v>32497.200000000004</x:v>
      </x:c>
      <x:c r="K209" s="10" t="n">
        <x:f>J209*'Assumptions'!$T$103</x:f>
        <x:v>3249.7200000000007</x:v>
      </x:c>
      <x:c r="L209" s="10" t="n">
        <x:f>K209*'Assumptions'!$U$103</x:f>
        <x:v>97.49160000000002</x:v>
      </x:c>
      <x:c r="M209" s="10" t="n">
        <x:f>K209*'Assumptions'!$V$103</x:f>
        <x:v>0</x:v>
      </x:c>
      <x:c r="N209" s="10" t="n">
        <x:f>K209-L209-M209</x:f>
        <x:v>3152.228400000001</x:v>
      </x:c>
      <x:c r="O209" s="10" t="n">
        <x:f>H209*'Assumptions'!$P$103*'Assumptions'!$Q$103*'Assumptions'!$D$11*(1+'Assumptions'!$D$13)^(2-1)</x:f>
        <x:v>875.0880000000002</x:v>
      </x:c>
      <x:c r="P209" s="10" t="n">
        <x:f>H209*'Assumptions'!$R$103*'Assumptions'!$D$11*(1+'Assumptions'!$D$13)^(2-1)</x:f>
        <x:v>0</x:v>
      </x:c>
      <x:c r="Q209" s="10" t="n">
        <x:f>J209*'Assumptions'!$S$103</x:f>
        <x:v>0</x:v>
      </x:c>
      <x:c r="R209" s="10" t="n">
        <x:f>H209*'Assumptions'!$Y$103*'Assumptions'!$Z$103*'Assumptions'!$D$11*(1+'Assumptions'!$D$13)^(2-1)</x:f>
        <x:v>98.44740000000002</x:v>
      </x:c>
      <x:c r="S209" s="10" t="n">
        <x:f>IF(I209=0,0,J209*'Assumptions'!$W$103+H209*'Assumptions'!$X$103)</x:f>
        <x:v>948.7908000000001</x:v>
      </x:c>
      <x:c r="T209" s="10" t="n">
        <x:f>N209*'Assumptions'!$AA$103</x:f>
        <x:v>157.61142000000007</x:v>
      </x:c>
      <x:c r="U209" s="10" t="n">
        <x:f>'Assumptions'!$AE$103*'Assumptions'!$D$11*(1+'Assumptions'!$D$13)^(2-1)</x:f>
        <x:v>0</x:v>
      </x:c>
      <x:c r="V209" s="10" t="n">
        <x:f>0</x:f>
        <x:v>0</x:v>
      </x:c>
      <x:c r="W209" s="10" t="n">
        <x:f>H209*('Assumptions'!$P$103+'Assumptions'!$Y$103)</x:f>
        <x:v>24.426000000000002</x:v>
      </x:c>
      <x:c r="X209" s="10" t="n">
        <x:f>N209/12*'Assumptions'!$AF$103</x:f>
        <x:v>0</x:v>
      </x:c>
      <x:c r="Y209" s="10" t="n">
        <x:f>P209/12</x:f>
        <x:v>0</x:v>
      </x:c>
      <x:c r="Z209" s="10" t="n">
        <x:f>0</x:f>
        <x:v>0</x:v>
      </x:c>
      <x:c r="AA209" s="10" t="n">
        <x:f>Z209*'Assumptions'!$AC$103*'Assumptions'!$D$11*(1+'Assumptions'!$D$13)^(2-1)</x:f>
        <x:v>0</x:v>
      </x:c>
      <x:c r="AB209" s="10" t="n">
        <x:f>F209/1</x:f>
        <x:v>8.64</x:v>
      </x:c>
      <x:c r="AC209" s="10" t="n">
        <x:f>AB209/'Assumptions'!$AM$103</x:f>
        <x:v>172.8</x:v>
      </x:c>
      <x:c r="AD209" s="10" t="n">
        <x:f>IF(AB209=0,0,T209/AB209)</x:f>
        <x:v>18.242062500000007</x:v>
      </x:c>
      <x:c r="AE209" s="10" t="n">
        <x:f>AA209*'Assumptions'!$D$21</x:f>
        <x:v>0</x:v>
      </x:c>
    </x:row>
    <x:row r="210" ht="16" customHeight="1">
      <x:c r="A210" s="1"/>
      <x:c r="B210" s="1"/>
      <x:c r="C210" s="1" t="str">
        <x:v>DOT-075</x:v>
      </x:c>
      <x:c r="D210" s="10" t="str">
        <x:v>S’otality concierge</x:v>
      </x:c>
      <x:c r="E210" s="10" t="n">
        <x:v>2</x:v>
      </x:c>
      <x:c r="F210" s="21" t="n">
        <x:f>'Assumptions'!$I$104*(1-'Assumptions'!$K$104)*(1+'Assumptions'!$L$104)*'Assumptions'!$D$9*'Assumptions'!$D$8</x:f>
        <x:v>132</x:v>
      </x:c>
      <x:c r="G210" s="21" t="n">
        <x:f>H82*'Assumptions'!$K$104</x:f>
        <x:v>90</x:v>
      </x:c>
      <x:c r="H210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210+G210,NA())</x:f>
        <x:v>222</x:v>
      </x:c>
      <x:c r="I210" s="22" t="n">
        <x:f>'Assumptions'!$H$104*IF('Assumptions'!$O$104=1,1,'Assumptions'!$D$10)*(1+'Assumptions'!$N$104)^(2-1)</x:f>
        <x:v>76.5</x:v>
      </x:c>
      <x:c r="J210" s="10" t="n">
        <x:f>H210*I210</x:f>
        <x:v>16983</x:v>
      </x:c>
      <x:c r="K210" s="10" t="n">
        <x:f>J210*'Assumptions'!$T$104</x:f>
        <x:v>16983</x:v>
      </x:c>
      <x:c r="L210" s="10" t="n">
        <x:f>K210*'Assumptions'!$U$104</x:f>
        <x:v>509.49</x:v>
      </x:c>
      <x:c r="M210" s="10" t="n">
        <x:f>K210*'Assumptions'!$V$104</x:f>
        <x:v>0</x:v>
      </x:c>
      <x:c r="N210" s="10" t="n">
        <x:f>K210-L210-M210</x:f>
        <x:v>16473.51</x:v>
      </x:c>
      <x:c r="O210" s="10" t="n">
        <x:f>H210*'Assumptions'!$P$104*'Assumptions'!$Q$104*'Assumptions'!$D$11*(1+'Assumptions'!$D$13)^(2-1)</x:f>
        <x:v>6002.325</x:v>
      </x:c>
      <x:c r="P210" s="10" t="n">
        <x:f>H210*'Assumptions'!$R$104*'Assumptions'!$D$11*(1+'Assumptions'!$D$13)^(2-1)</x:f>
        <x:v>0</x:v>
      </x:c>
      <x:c r="Q210" s="10" t="n">
        <x:f>J210*'Assumptions'!$S$104</x:f>
        <x:v>0</x:v>
      </x:c>
      <x:c r="R210" s="10" t="n">
        <x:f>H210*'Assumptions'!$Y$104*'Assumptions'!$Z$104*'Assumptions'!$D$11*(1+'Assumptions'!$D$13)^(2-1)</x:f>
        <x:v>1714.95</x:v>
      </x:c>
      <x:c r="S210" s="10" t="n">
        <x:f>IF(I210=0,0,J210*'Assumptions'!$W$104+H210*'Assumptions'!$X$104)</x:f>
        <x:v>559.107</x:v>
      </x:c>
      <x:c r="T210" s="10" t="n">
        <x:f>N210*'Assumptions'!$AA$104</x:f>
        <x:v>658.9404</x:v>
      </x:c>
      <x:c r="U210" s="10" t="n">
        <x:f>'Assumptions'!$AE$104*'Assumptions'!$D$11*(1+'Assumptions'!$D$13)^(2-1)</x:f>
        <x:v>0</x:v>
      </x:c>
      <x:c r="V210" s="10" t="n">
        <x:f>0</x:f>
        <x:v>0</x:v>
      </x:c>
      <x:c r="W210" s="10" t="n">
        <x:f>H210*('Assumptions'!$P$104+'Assumptions'!$Y$104)</x:f>
        <x:v>222</x:v>
      </x:c>
      <x:c r="X210" s="10" t="n">
        <x:f>N210/12*'Assumptions'!$AF$104</x:f>
        <x:v>1372.7924999999998</x:v>
      </x:c>
      <x:c r="Y210" s="10" t="n">
        <x:f>P210/12</x:f>
        <x:v>0</x:v>
      </x:c>
      <x:c r="Z210" s="10" t="n">
        <x:f>0</x:f>
        <x:v>0</x:v>
      </x:c>
      <x:c r="AA210" s="10" t="n">
        <x:f>Z210*'Assumptions'!$AC$104*'Assumptions'!$D$11*(1+'Assumptions'!$D$13)^(2-1)</x:f>
        <x:v>0</x:v>
      </x:c>
      <x:c r="AB210" s="10" t="n">
        <x:f>F210/1</x:f>
        <x:v>132</x:v>
      </x:c>
      <x:c r="AC210" s="10" t="n">
        <x:f>AB210/'Assumptions'!$AM$104</x:f>
        <x:v>660</x:v>
      </x:c>
      <x:c r="AD210" s="10" t="n">
        <x:f>IF(AB210=0,0,T210/AB210)</x:f>
        <x:v>4.991972727272727</x:v>
      </x:c>
      <x:c r="AE210" s="10" t="n">
        <x:f>AA210*'Assumptions'!$D$21</x:f>
        <x:v>0</x:v>
      </x:c>
    </x:row>
    <x:row r="211" ht="16" customHeight="1">
      <x:c r="A211" s="1"/>
      <x:c r="B211" s="1"/>
      <x:c r="C211" s="1" t="str">
        <x:v>DOT-076</x:v>
      </x:c>
      <x:c r="D211" s="10" t="str">
        <x:v>S’otality administration</x:v>
      </x:c>
      <x:c r="E211" s="10" t="n">
        <x:v>2</x:v>
      </x:c>
      <x:c r="F211" s="21" t="n">
        <x:f>'Assumptions'!$I$105*(1-'Assumptions'!$K$105)*(1+'Assumptions'!$L$105)*'Assumptions'!$D$9*'Assumptions'!$D$8</x:f>
        <x:v>264</x:v>
      </x:c>
      <x:c r="G211" s="21" t="n">
        <x:f>H83*'Assumptions'!$K$105</x:f>
        <x:v>180</x:v>
      </x:c>
      <x:c r="H211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211+G211,NA())</x:f>
        <x:v>444</x:v>
      </x:c>
      <x:c r="I211" s="22" t="n">
        <x:f>'Assumptions'!$H$105*IF('Assumptions'!$O$105=1,1,'Assumptions'!$D$10)*(1+'Assumptions'!$N$105)^(2-1)</x:f>
        <x:v>61.2</x:v>
      </x:c>
      <x:c r="J211" s="10" t="n">
        <x:f>H211*I211</x:f>
        <x:v>27172.800000000003</x:v>
      </x:c>
      <x:c r="K211" s="10" t="n">
        <x:f>J211*'Assumptions'!$T$105</x:f>
        <x:v>27172.800000000003</x:v>
      </x:c>
      <x:c r="L211" s="10" t="n">
        <x:f>K211*'Assumptions'!$U$105</x:f>
        <x:v>815.1840000000001</x:v>
      </x:c>
      <x:c r="M211" s="10" t="n">
        <x:f>K211*'Assumptions'!$V$105</x:f>
        <x:v>0</x:v>
      </x:c>
      <x:c r="N211" s="10" t="n">
        <x:f>K211-L211-M211</x:f>
        <x:v>26357.616</x:v>
      </x:c>
      <x:c r="O211" s="10" t="n">
        <x:f>H211*'Assumptions'!$P$105*'Assumptions'!$Q$105*'Assumptions'!$D$11*(1+'Assumptions'!$D$13)^(2-1)</x:f>
        <x:v>13719.6</x:v>
      </x:c>
      <x:c r="P211" s="10" t="n">
        <x:f>H211*'Assumptions'!$R$105*'Assumptions'!$D$11*(1+'Assumptions'!$D$13)^(2-1)</x:f>
        <x:v>0</x:v>
      </x:c>
      <x:c r="Q211" s="10" t="n">
        <x:f>J211*'Assumptions'!$S$105</x:f>
        <x:v>0</x:v>
      </x:c>
      <x:c r="R211" s="10" t="n">
        <x:f>H211*'Assumptions'!$Y$105*'Assumptions'!$Z$105*'Assumptions'!$D$11*(1+'Assumptions'!$D$13)^(2-1)</x:f>
        <x:v>3429.9</x:v>
      </x:c>
      <x:c r="S211" s="10" t="n">
        <x:f>IF(I211=0,0,J211*'Assumptions'!$W$105+H211*'Assumptions'!$X$105)</x:f>
        <x:v>921.2112000000002</x:v>
      </x:c>
      <x:c r="T211" s="10" t="n">
        <x:f>N211*'Assumptions'!$AA$105</x:f>
        <x:v>1054.30464</x:v>
      </x:c>
      <x:c r="U211" s="10" t="n">
        <x:f>'Assumptions'!$AE$105*'Assumptions'!$D$11*(1+'Assumptions'!$D$13)^(2-1)</x:f>
        <x:v>0</x:v>
      </x:c>
      <x:c r="V211" s="10" t="n">
        <x:f>0</x:f>
        <x:v>0</x:v>
      </x:c>
      <x:c r="W211" s="10" t="n">
        <x:f>H211*('Assumptions'!$P$105+'Assumptions'!$Y$105)</x:f>
        <x:v>555</x:v>
      </x:c>
      <x:c r="X211" s="10" t="n">
        <x:f>N211/12*'Assumptions'!$AF$105</x:f>
        <x:v>2196.4680000000003</x:v>
      </x:c>
      <x:c r="Y211" s="10" t="n">
        <x:f>P211/12</x:f>
        <x:v>0</x:v>
      </x:c>
      <x:c r="Z211" s="10" t="n">
        <x:f>0</x:f>
        <x:v>0</x:v>
      </x:c>
      <x:c r="AA211" s="10" t="n">
        <x:f>Z211*'Assumptions'!$AC$105*'Assumptions'!$D$11*(1+'Assumptions'!$D$13)^(2-1)</x:f>
        <x:v>0</x:v>
      </x:c>
      <x:c r="AB211" s="10" t="n">
        <x:f>F211/1</x:f>
        <x:v>264</x:v>
      </x:c>
      <x:c r="AC211" s="10" t="n">
        <x:f>AB211/'Assumptions'!$AM$105</x:f>
        <x:v>1320</x:v>
      </x:c>
      <x:c r="AD211" s="10" t="n">
        <x:f>IF(AB211=0,0,T211/AB211)</x:f>
        <x:v>3.993578181818182</x:v>
      </x:c>
      <x:c r="AE211" s="10" t="n">
        <x:f>AA211*'Assumptions'!$D$21</x:f>
        <x:v>0</x:v>
      </x:c>
    </x:row>
    <x:row r="212" ht="16" customHeight="1">
      <x:c r="A212" s="1"/>
      <x:c r="B212" s="1"/>
      <x:c r="C212" s="1" t="str">
        <x:v>DOT-077</x:v>
      </x:c>
      <x:c r="D212" s="10" t="str">
        <x:v>S’otality bike tours</x:v>
      </x:c>
      <x:c r="E212" s="10" t="n">
        <x:v>2</x:v>
      </x:c>
      <x:c r="F212" s="21" t="n">
        <x:f>'Assumptions'!$I$106*(1-'Assumptions'!$K$106)*(1+'Assumptions'!$L$106)*'Assumptions'!$D$9*'Assumptions'!$D$8</x:f>
        <x:v>105.60000000000001</x:v>
      </x:c>
      <x:c r="G212" s="21" t="n">
        <x:f>H84*'Assumptions'!$K$106</x:f>
        <x:v>72</x:v>
      </x:c>
      <x:c r="H212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212+G212,NA())</x:f>
        <x:v>177.60000000000002</x:v>
      </x:c>
      <x:c r="I212" s="22" t="n">
        <x:f>'Assumptions'!$H$106*IF('Assumptions'!$O$106=1,1,'Assumptions'!$D$10)*(1+'Assumptions'!$N$106)^(2-1)</x:f>
        <x:v>66.3</x:v>
      </x:c>
      <x:c r="J212" s="10" t="n">
        <x:f>H212*I212</x:f>
        <x:v>11774.880000000001</x:v>
      </x:c>
      <x:c r="K212" s="10" t="n">
        <x:f>J212*'Assumptions'!$T$106</x:f>
        <x:v>11774.880000000001</x:v>
      </x:c>
      <x:c r="L212" s="10" t="n">
        <x:f>K212*'Assumptions'!$U$106</x:f>
        <x:v>353.2464</x:v>
      </x:c>
      <x:c r="M212" s="10" t="n">
        <x:f>K212*'Assumptions'!$V$106</x:f>
        <x:v>0</x:v>
      </x:c>
      <x:c r="N212" s="10" t="n">
        <x:f>K212-L212-M212</x:f>
        <x:v>11421.633600000001</x:v>
      </x:c>
      <x:c r="O212" s="10" t="n">
        <x:f>H212*'Assumptions'!$P$106*'Assumptions'!$Q$106*'Assumptions'!$D$11*(1+'Assumptions'!$D$13)^(2-1)</x:f>
        <x:v>960.3720000000001</x:v>
      </x:c>
      <x:c r="P212" s="10" t="n">
        <x:f>H212*'Assumptions'!$R$106*'Assumptions'!$D$11*(1+'Assumptions'!$D$13)^(2-1)</x:f>
        <x:v>914.6400000000001</x:v>
      </x:c>
      <x:c r="Q212" s="10" t="n">
        <x:f>J212*'Assumptions'!$S$106</x:f>
        <x:v>5298.696000000001</x:v>
      </x:c>
      <x:c r="R212" s="10" t="n">
        <x:f>H212*'Assumptions'!$Y$106*'Assumptions'!$Z$106*'Assumptions'!$D$11*(1+'Assumptions'!$D$13)^(2-1)</x:f>
        <x:v>1097.5680000000002</x:v>
      </x:c>
      <x:c r="S212" s="10" t="n">
        <x:f>IF(I212=0,0,J212*'Assumptions'!$W$106+H212*'Assumptions'!$X$106)</x:f>
        <x:v>394.7515200000001</x:v>
      </x:c>
      <x:c r="T212" s="10" t="n">
        <x:f>N212*'Assumptions'!$AA$106</x:f>
        <x:v>456.86534400000005</x:v>
      </x:c>
      <x:c r="U212" s="10" t="n">
        <x:f>'Assumptions'!$AE$106*'Assumptions'!$D$11*(1+'Assumptions'!$D$13)^(2-1)</x:f>
        <x:v>0</x:v>
      </x:c>
      <x:c r="V212" s="10" t="n">
        <x:f>0</x:f>
        <x:v>0</x:v>
      </x:c>
      <x:c r="W212" s="10" t="n">
        <x:f>H212*('Assumptions'!$P$106+'Assumptions'!$Y$106)</x:f>
        <x:v>62.160000000000004</x:v>
      </x:c>
      <x:c r="X212" s="10" t="n">
        <x:f>N212/12*'Assumptions'!$AF$106</x:f>
        <x:v>0</x:v>
      </x:c>
      <x:c r="Y212" s="10" t="n">
        <x:f>P212/12</x:f>
        <x:v>76.22000000000001</x:v>
      </x:c>
      <x:c r="Z212" s="10" t="n">
        <x:f>0</x:f>
        <x:v>0</x:v>
      </x:c>
      <x:c r="AA212" s="10" t="n">
        <x:f>Z212*'Assumptions'!$AC$106*'Assumptions'!$D$11*(1+'Assumptions'!$D$13)^(2-1)</x:f>
        <x:v>0</x:v>
      </x:c>
      <x:c r="AB212" s="10" t="n">
        <x:f>F212/1</x:f>
        <x:v>105.60000000000001</x:v>
      </x:c>
      <x:c r="AC212" s="10" t="n">
        <x:f>AB212/'Assumptions'!$AM$106</x:f>
        <x:v>704.0000000000001</x:v>
      </x:c>
      <x:c r="AD212" s="10" t="n">
        <x:f>IF(AB212=0,0,T212/AB212)</x:f>
        <x:v>4.3263763636363635</x:v>
      </x:c>
      <x:c r="AE212" s="10" t="n">
        <x:f>AA212*'Assumptions'!$D$21</x:f>
        <x:v>0</x:v>
      </x:c>
    </x:row>
    <x:row r="213" ht="16" customHeight="1">
      <x:c r="A213" s="1"/>
      <x:c r="B213" s="1"/>
      <x:c r="C213" s="1" t="str">
        <x:v>DOT-078</x:v>
      </x:c>
      <x:c r="D213" s="10" t="str">
        <x:v>S’otality editorial</x:v>
      </x:c>
      <x:c r="E213" s="10" t="n">
        <x:v>2</x:v>
      </x:c>
      <x:c r="F213" s="21" t="n">
        <x:f>'Assumptions'!$I$107*(1-'Assumptions'!$K$107)*(1+'Assumptions'!$L$107)*'Assumptions'!$D$9*'Assumptions'!$D$8</x:f>
        <x:v>8.580000000000002</x:v>
      </x:c>
      <x:c r="G213" s="21" t="n">
        <x:f>H85*'Assumptions'!$K$107</x:f>
        <x:v>2.0999999999999996</x:v>
      </x:c>
      <x:c r="H213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213+G213,NA())</x:f>
        <x:v>10.680000000000001</x:v>
      </x:c>
      <x:c r="I213" s="22" t="n">
        <x:f>'Assumptions'!$H$107*IF('Assumptions'!$O$107=1,1,'Assumptions'!$D$10)*(1+'Assumptions'!$N$107)^(2-1)</x:f>
        <x:v>255</x:v>
      </x:c>
      <x:c r="J213" s="10" t="n">
        <x:f>H213*I213</x:f>
        <x:v>2723.4000000000005</x:v>
      </x:c>
      <x:c r="K213" s="10" t="n">
        <x:f>J213*'Assumptions'!$T$107</x:f>
        <x:v>2723.4000000000005</x:v>
      </x:c>
      <x:c r="L213" s="10" t="n">
        <x:f>K213*'Assumptions'!$U$107</x:f>
        <x:v>81.70200000000001</x:v>
      </x:c>
      <x:c r="M213" s="10" t="n">
        <x:f>K213*'Assumptions'!$V$107</x:f>
        <x:v>0</x:v>
      </x:c>
      <x:c r="N213" s="10" t="n">
        <x:f>K213-L213-M213</x:f>
        <x:v>2641.6980000000003</x:v>
      </x:c>
      <x:c r="O213" s="10" t="n">
        <x:f>H213*'Assumptions'!$P$107*'Assumptions'!$Q$107*'Assumptions'!$D$11*(1+'Assumptions'!$D$13)^(2-1)</x:f>
        <x:v>880.0320000000002</x:v>
      </x:c>
      <x:c r="P213" s="10" t="n">
        <x:f>H213*'Assumptions'!$R$107*'Assumptions'!$D$11*(1+'Assumptions'!$D$13)^(2-1)</x:f>
        <x:v>0</x:v>
      </x:c>
      <x:c r="Q213" s="10" t="n">
        <x:f>J213*'Assumptions'!$S$107</x:f>
        <x:v>0</x:v>
      </x:c>
      <x:c r="R213" s="10" t="n">
        <x:f>H213*'Assumptions'!$Y$107*'Assumptions'!$Z$107*'Assumptions'!$D$11*(1+'Assumptions'!$D$13)^(2-1)</x:f>
        <x:v>165.00600000000003</x:v>
      </x:c>
      <x:c r="S213" s="10" t="n">
        <x:f>IF(I213=0,0,J213*'Assumptions'!$W$107+H213*'Assumptions'!$X$107)</x:f>
        <x:v>82.18260000000001</x:v>
      </x:c>
      <x:c r="T213" s="10" t="n">
        <x:f>N213*'Assumptions'!$AA$107</x:f>
        <x:v>211.33584000000002</x:v>
      </x:c>
      <x:c r="U213" s="10" t="n">
        <x:f>'Assumptions'!$AE$107*'Assumptions'!$D$11*(1+'Assumptions'!$D$13)^(2-1)</x:f>
        <x:v>0</x:v>
      </x:c>
      <x:c r="V213" s="10" t="n">
        <x:f>0</x:f>
        <x:v>0</x:v>
      </x:c>
      <x:c r="W213" s="10" t="n">
        <x:f>H213*('Assumptions'!$P$107+'Assumptions'!$Y$107)</x:f>
        <x:v>26.700000000000003</x:v>
      </x:c>
      <x:c r="X213" s="10" t="n">
        <x:f>N213/12*'Assumptions'!$AF$107</x:f>
        <x:v>220.14150000000004</x:v>
      </x:c>
      <x:c r="Y213" s="10" t="n">
        <x:f>P213/12</x:f>
        <x:v>0</x:v>
      </x:c>
      <x:c r="Z213" s="10" t="n">
        <x:f>0</x:f>
        <x:v>0</x:v>
      </x:c>
      <x:c r="AA213" s="10" t="n">
        <x:f>Z213*'Assumptions'!$AC$107*'Assumptions'!$D$11*(1+'Assumptions'!$D$13)^(2-1)</x:f>
        <x:v>0</x:v>
      </x:c>
      <x:c r="AB213" s="10" t="n">
        <x:f>F213/1</x:f>
        <x:v>8.580000000000002</x:v>
      </x:c>
      <x:c r="AC213" s="10" t="n">
        <x:f>AB213/'Assumptions'!$AM$107</x:f>
        <x:v>85.80000000000001</x:v>
      </x:c>
      <x:c r="AD213" s="10" t="n">
        <x:f>IF(AB213=0,0,T213/AB213)</x:f>
        <x:v>24.63121678321678</x:v>
      </x:c>
      <x:c r="AE213" s="10" t="n">
        <x:f>AA213*'Assumptions'!$D$21</x:f>
        <x:v>0</x:v>
      </x:c>
    </x:row>
    <x:row r="214" ht="16" customHeight="1">
      <x:c r="A214" s="1"/>
      <x:c r="B214" s="1"/>
      <x:c r="C214" s="1" t="str">
        <x:v>DOT-079</x:v>
      </x:c>
      <x:c r="D214" s="10" t="str">
        <x:v>S’otality editorial</x:v>
      </x:c>
      <x:c r="E214" s="10" t="n">
        <x:v>2</x:v>
      </x:c>
      <x:c r="F214" s="21" t="n">
        <x:f>'Assumptions'!$I$108*(1-'Assumptions'!$K$108)*(1+'Assumptions'!$L$108)*'Assumptions'!$D$9*'Assumptions'!$D$8</x:f>
        <x:v>2.8600000000000003</x:v>
      </x:c>
      <x:c r="G214" s="21" t="n">
        <x:f>H86*'Assumptions'!$K$108</x:f>
        <x:v>0.7</x:v>
      </x:c>
      <x:c r="H214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214+G214,NA())</x:f>
        <x:v>3.5600000000000005</x:v>
      </x:c>
      <x:c r="I214" s="22" t="n">
        <x:f>'Assumptions'!$H$108*IF('Assumptions'!$O$108=1,1,'Assumptions'!$D$10)*(1+'Assumptions'!$N$108)^(2-1)</x:f>
        <x:v>1020</x:v>
      </x:c>
      <x:c r="J214" s="10" t="n">
        <x:f>H214*I214</x:f>
        <x:v>3631.2000000000007</x:v>
      </x:c>
      <x:c r="K214" s="10" t="n">
        <x:f>J214*'Assumptions'!$T$108</x:f>
        <x:v>3631.2000000000007</x:v>
      </x:c>
      <x:c r="L214" s="10" t="n">
        <x:f>K214*'Assumptions'!$U$108</x:f>
        <x:v>108.93600000000002</x:v>
      </x:c>
      <x:c r="M214" s="10" t="n">
        <x:f>K214*'Assumptions'!$V$108</x:f>
        <x:v>0</x:v>
      </x:c>
      <x:c r="N214" s="10" t="n">
        <x:f>K214-L214-M214</x:f>
        <x:v>3522.2640000000006</x:v>
      </x:c>
      <x:c r="O214" s="10" t="n">
        <x:f>H214*'Assumptions'!$P$108*'Assumptions'!$Q$108*'Assumptions'!$D$11*(1+'Assumptions'!$D$13)^(2-1)</x:f>
        <x:v>1173.3760000000002</x:v>
      </x:c>
      <x:c r="P214" s="10" t="n">
        <x:f>H214*'Assumptions'!$R$108*'Assumptions'!$D$11*(1+'Assumptions'!$D$13)^(2-1)</x:f>
        <x:v>366.68000000000006</x:v>
      </x:c>
      <x:c r="Q214" s="10" t="n">
        <x:f>J214*'Assumptions'!$S$108</x:f>
        <x:v>0</x:v>
      </x:c>
      <x:c r="R214" s="10" t="n">
        <x:f>H214*'Assumptions'!$Y$108*'Assumptions'!$Z$108*'Assumptions'!$D$11*(1+'Assumptions'!$D$13)^(2-1)</x:f>
        <x:v>55.00200000000001</x:v>
      </x:c>
      <x:c r="S214" s="10" t="n">
        <x:f>IF(I214=0,0,J214*'Assumptions'!$W$108+H214*'Assumptions'!$X$108)</x:f>
        <x:v>106.37280000000003</x:v>
      </x:c>
      <x:c r="T214" s="10" t="n">
        <x:f>N214*'Assumptions'!$AA$108</x:f>
        <x:v>281.78112000000004</x:v>
      </x:c>
      <x:c r="U214" s="10" t="n">
        <x:f>'Assumptions'!$AE$108*'Assumptions'!$D$11*(1+'Assumptions'!$D$13)^(2-1)</x:f>
        <x:v>0</x:v>
      </x:c>
      <x:c r="V214" s="10" t="n">
        <x:f>0</x:f>
        <x:v>0</x:v>
      </x:c>
      <x:c r="W214" s="10" t="n">
        <x:f>H214*('Assumptions'!$P$108+'Assumptions'!$Y$108)</x:f>
        <x:v>30.260000000000005</x:v>
      </x:c>
      <x:c r="X214" s="10" t="n">
        <x:f>N214/12*'Assumptions'!$AF$108</x:f>
        <x:v>293.52200000000005</x:v>
      </x:c>
      <x:c r="Y214" s="10" t="n">
        <x:f>P214/12</x:f>
        <x:v>30.556666666666672</x:v>
      </x:c>
      <x:c r="Z214" s="10" t="n">
        <x:f>0</x:f>
        <x:v>0</x:v>
      </x:c>
      <x:c r="AA214" s="10" t="n">
        <x:f>Z214*'Assumptions'!$AC$108*'Assumptions'!$D$11*(1+'Assumptions'!$D$13)^(2-1)</x:f>
        <x:v>0</x:v>
      </x:c>
      <x:c r="AB214" s="10" t="n">
        <x:f>F214/1</x:f>
        <x:v>2.8600000000000003</x:v>
      </x:c>
      <x:c r="AC214" s="10" t="n">
        <x:f>AB214/'Assumptions'!$AM$108</x:f>
        <x:v>28.6</x:v>
      </x:c>
      <x:c r="AD214" s="10" t="n">
        <x:f>IF(AB214=0,0,T214/AB214)</x:f>
        <x:v>98.52486713286714</x:v>
      </x:c>
      <x:c r="AE214" s="10" t="n">
        <x:f>AA214*'Assumptions'!$D$21</x:f>
        <x:v>0</x:v>
      </x:c>
    </x:row>
    <x:row r="215" ht="16" customHeight="1">
      <x:c r="A215" s="1"/>
      <x:c r="B215" s="1"/>
      <x:c r="C215" s="1" t="str">
        <x:v>DOT-080</x:v>
      </x:c>
      <x:c r="D215" s="10" t="str">
        <x:v>Tomato Odyssey</x:v>
      </x:c>
      <x:c r="E215" s="10" t="n">
        <x:v>2</x:v>
      </x:c>
      <x:c r="F215" s="21" t="n">
        <x:f>'Assumptions'!$I$109*(1-'Assumptions'!$K$109)*(1+'Assumptions'!$L$109)*'Assumptions'!$D$9*'Assumptions'!$D$8</x:f>
        <x:v>8.580000000000002</x:v>
      </x:c>
      <x:c r="G215" s="21" t="n">
        <x:f>H87*'Assumptions'!$K$109</x:f>
        <x:v>2.0999999999999996</x:v>
      </x:c>
      <x:c r="H215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215+G215,NA())</x:f>
        <x:v>10.680000000000001</x:v>
      </x:c>
      <x:c r="I215" s="22" t="n">
        <x:f>'Assumptions'!$H$109*IF('Assumptions'!$O$109=1,1,'Assumptions'!$D$10)*(1+'Assumptions'!$N$109)^(2-1)</x:f>
        <x:v>255</x:v>
      </x:c>
      <x:c r="J215" s="10" t="n">
        <x:f>H215*I215</x:f>
        <x:v>2723.4000000000005</x:v>
      </x:c>
      <x:c r="K215" s="10" t="n">
        <x:f>J215*'Assumptions'!$T$109</x:f>
        <x:v>2723.4000000000005</x:v>
      </x:c>
      <x:c r="L215" s="10" t="n">
        <x:f>K215*'Assumptions'!$U$109</x:f>
        <x:v>81.70200000000001</x:v>
      </x:c>
      <x:c r="M215" s="10" t="n">
        <x:f>K215*'Assumptions'!$V$109</x:f>
        <x:v>0</x:v>
      </x:c>
      <x:c r="N215" s="10" t="n">
        <x:f>K215-L215-M215</x:f>
        <x:v>2641.6980000000003</x:v>
      </x:c>
      <x:c r="O215" s="10" t="n">
        <x:f>H215*'Assumptions'!$P$109*'Assumptions'!$Q$109*'Assumptions'!$D$11*(1+'Assumptions'!$D$13)^(2-1)</x:f>
        <x:v>880.0320000000002</x:v>
      </x:c>
      <x:c r="P215" s="10" t="n">
        <x:f>H215*'Assumptions'!$R$109*'Assumptions'!$D$11*(1+'Assumptions'!$D$13)^(2-1)</x:f>
        <x:v>0</x:v>
      </x:c>
      <x:c r="Q215" s="10" t="n">
        <x:f>J215*'Assumptions'!$S$109</x:f>
        <x:v>0</x:v>
      </x:c>
      <x:c r="R215" s="10" t="n">
        <x:f>H215*'Assumptions'!$Y$109*'Assumptions'!$Z$109*'Assumptions'!$D$11*(1+'Assumptions'!$D$13)^(2-1)</x:f>
        <x:v>165.00600000000003</x:v>
      </x:c>
      <x:c r="S215" s="10" t="n">
        <x:f>IF(I215=0,0,J215*'Assumptions'!$W$109+H215*'Assumptions'!$X$109)</x:f>
        <x:v>82.18260000000001</x:v>
      </x:c>
      <x:c r="T215" s="10" t="n">
        <x:f>N215*'Assumptions'!$AA$109</x:f>
        <x:v>211.33584000000002</x:v>
      </x:c>
      <x:c r="U215" s="10" t="n">
        <x:f>'Assumptions'!$AE$109*'Assumptions'!$D$11*(1+'Assumptions'!$D$13)^(2-1)</x:f>
        <x:v>0</x:v>
      </x:c>
      <x:c r="V215" s="10" t="n">
        <x:f>0</x:f>
        <x:v>0</x:v>
      </x:c>
      <x:c r="W215" s="10" t="n">
        <x:f>H215*('Assumptions'!$P$109+'Assumptions'!$Y$109)</x:f>
        <x:v>26.700000000000003</x:v>
      </x:c>
      <x:c r="X215" s="10" t="n">
        <x:f>N215/12*'Assumptions'!$AF$109</x:f>
        <x:v>220.14150000000004</x:v>
      </x:c>
      <x:c r="Y215" s="10" t="n">
        <x:f>P215/12</x:f>
        <x:v>0</x:v>
      </x:c>
      <x:c r="Z215" s="10" t="n">
        <x:f>0</x:f>
        <x:v>0</x:v>
      </x:c>
      <x:c r="AA215" s="10" t="n">
        <x:f>Z215*'Assumptions'!$AC$109*'Assumptions'!$D$11*(1+'Assumptions'!$D$13)^(2-1)</x:f>
        <x:v>0</x:v>
      </x:c>
      <x:c r="AB215" s="10" t="n">
        <x:f>F215/1</x:f>
        <x:v>8.580000000000002</x:v>
      </x:c>
      <x:c r="AC215" s="10" t="n">
        <x:f>AB215/'Assumptions'!$AM$109</x:f>
        <x:v>85.80000000000001</x:v>
      </x:c>
      <x:c r="AD215" s="10" t="n">
        <x:f>IF(AB215=0,0,T215/AB215)</x:f>
        <x:v>24.63121678321678</x:v>
      </x:c>
      <x:c r="AE215" s="10" t="n">
        <x:f>AA215*'Assumptions'!$D$21</x:f>
        <x:v>0</x:v>
      </x:c>
    </x:row>
    <x:row r="216" ht="16" customHeight="1">
      <x:c r="A216" s="1"/>
      <x:c r="B216" s="1"/>
      <x:c r="C216" s="1" t="str">
        <x:v>DOT-081</x:v>
      </x:c>
      <x:c r="D216" s="10" t="str">
        <x:v>Tomato Odyssey</x:v>
      </x:c>
      <x:c r="E216" s="10" t="n">
        <x:v>2</x:v>
      </x:c>
      <x:c r="F216" s="21" t="n">
        <x:f>'Assumptions'!$I$110*(1-'Assumptions'!$K$110)*(1+'Assumptions'!$L$110)*'Assumptions'!$D$9*'Assumptions'!$D$8</x:f>
        <x:v>2.8600000000000003</x:v>
      </x:c>
      <x:c r="G216" s="21" t="n">
        <x:f>H88*'Assumptions'!$K$110</x:f>
        <x:v>0.7</x:v>
      </x:c>
      <x:c r="H216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216+G216,NA())</x:f>
        <x:v>3.5600000000000005</x:v>
      </x:c>
      <x:c r="I216" s="22" t="n">
        <x:f>'Assumptions'!$H$110*IF('Assumptions'!$O$110=1,1,'Assumptions'!$D$10)*(1+'Assumptions'!$N$110)^(2-1)</x:f>
        <x:v>1020</x:v>
      </x:c>
      <x:c r="J216" s="10" t="n">
        <x:f>H216*I216</x:f>
        <x:v>3631.2000000000007</x:v>
      </x:c>
      <x:c r="K216" s="10" t="n">
        <x:f>J216*'Assumptions'!$T$110</x:f>
        <x:v>3631.2000000000007</x:v>
      </x:c>
      <x:c r="L216" s="10" t="n">
        <x:f>K216*'Assumptions'!$U$110</x:f>
        <x:v>108.93600000000002</x:v>
      </x:c>
      <x:c r="M216" s="10" t="n">
        <x:f>K216*'Assumptions'!$V$110</x:f>
        <x:v>0</x:v>
      </x:c>
      <x:c r="N216" s="10" t="n">
        <x:f>K216-L216-M216</x:f>
        <x:v>3522.2640000000006</x:v>
      </x:c>
      <x:c r="O216" s="10" t="n">
        <x:f>H216*'Assumptions'!$P$110*'Assumptions'!$Q$110*'Assumptions'!$D$11*(1+'Assumptions'!$D$13)^(2-1)</x:f>
        <x:v>1173.3760000000002</x:v>
      </x:c>
      <x:c r="P216" s="10" t="n">
        <x:f>H216*'Assumptions'!$R$110*'Assumptions'!$D$11*(1+'Assumptions'!$D$13)^(2-1)</x:f>
        <x:v>366.68000000000006</x:v>
      </x:c>
      <x:c r="Q216" s="10" t="n">
        <x:f>J216*'Assumptions'!$S$110</x:f>
        <x:v>0</x:v>
      </x:c>
      <x:c r="R216" s="10" t="n">
        <x:f>H216*'Assumptions'!$Y$110*'Assumptions'!$Z$110*'Assumptions'!$D$11*(1+'Assumptions'!$D$13)^(2-1)</x:f>
        <x:v>55.00200000000001</x:v>
      </x:c>
      <x:c r="S216" s="10" t="n">
        <x:f>IF(I216=0,0,J216*'Assumptions'!$W$110+H216*'Assumptions'!$X$110)</x:f>
        <x:v>106.37280000000003</x:v>
      </x:c>
      <x:c r="T216" s="10" t="n">
        <x:f>N216*'Assumptions'!$AA$110</x:f>
        <x:v>281.78112000000004</x:v>
      </x:c>
      <x:c r="U216" s="10" t="n">
        <x:f>'Assumptions'!$AE$110*'Assumptions'!$D$11*(1+'Assumptions'!$D$13)^(2-1)</x:f>
        <x:v>0</x:v>
      </x:c>
      <x:c r="V216" s="10" t="n">
        <x:f>0</x:f>
        <x:v>0</x:v>
      </x:c>
      <x:c r="W216" s="10" t="n">
        <x:f>H216*('Assumptions'!$P$110+'Assumptions'!$Y$110)</x:f>
        <x:v>30.260000000000005</x:v>
      </x:c>
      <x:c r="X216" s="10" t="n">
        <x:f>N216/12*'Assumptions'!$AF$110</x:f>
        <x:v>293.52200000000005</x:v>
      </x:c>
      <x:c r="Y216" s="10" t="n">
        <x:f>P216/12</x:f>
        <x:v>30.556666666666672</x:v>
      </x:c>
      <x:c r="Z216" s="10" t="n">
        <x:f>0</x:f>
        <x:v>0</x:v>
      </x:c>
      <x:c r="AA216" s="10" t="n">
        <x:f>Z216*'Assumptions'!$AC$110*'Assumptions'!$D$11*(1+'Assumptions'!$D$13)^(2-1)</x:f>
        <x:v>0</x:v>
      </x:c>
      <x:c r="AB216" s="10" t="n">
        <x:f>F216/1</x:f>
        <x:v>2.8600000000000003</x:v>
      </x:c>
      <x:c r="AC216" s="10" t="n">
        <x:f>AB216/'Assumptions'!$AM$110</x:f>
        <x:v>28.6</x:v>
      </x:c>
      <x:c r="AD216" s="10" t="n">
        <x:f>IF(AB216=0,0,T216/AB216)</x:f>
        <x:v>98.52486713286714</x:v>
      </x:c>
      <x:c r="AE216" s="10" t="n">
        <x:f>AA216*'Assumptions'!$D$21</x:f>
        <x:v>0</x:v>
      </x:c>
    </x:row>
    <x:row r="217" ht="16" customHeight="1">
      <x:c r="A217" s="1"/>
      <x:c r="B217" s="1"/>
      <x:c r="C217" s="1" t="str">
        <x:v>DOT-082</x:v>
      </x:c>
      <x:c r="D217" s="10" t="str">
        <x:v>Semajes Studio</x:v>
      </x:c>
      <x:c r="E217" s="10" t="n">
        <x:v>2</x:v>
      </x:c>
      <x:c r="F217" s="21" t="n">
        <x:f>'Assumptions'!$I$111*(1-'Assumptions'!$K$111)*(1+'Assumptions'!$L$111)*'Assumptions'!$D$9*'Assumptions'!$D$8</x:f>
        <x:v>19.8</x:v>
      </x:c>
      <x:c r="G217" s="21" t="n">
        <x:f>H89*'Assumptions'!$K$111</x:f>
        <x:v>13.5</x:v>
      </x:c>
      <x:c r="H217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217+G217,NA())</x:f>
        <x:v>33.3</x:v>
      </x:c>
      <x:c r="I217" s="22" t="n">
        <x:f>'Assumptions'!$H$111*IF('Assumptions'!$O$111=1,1,'Assumptions'!$D$10)*(1+'Assumptions'!$N$111)^(2-1)</x:f>
        <x:v>561</x:v>
      </x:c>
      <x:c r="J217" s="10" t="n">
        <x:f>H217*I217</x:f>
        <x:v>18681.3</x:v>
      </x:c>
      <x:c r="K217" s="10" t="n">
        <x:f>J217*'Assumptions'!$T$111</x:f>
        <x:v>18681.3</x:v>
      </x:c>
      <x:c r="L217" s="10" t="n">
        <x:f>K217*'Assumptions'!$U$111</x:f>
        <x:v>560.439</x:v>
      </x:c>
      <x:c r="M217" s="10" t="n">
        <x:f>K217*'Assumptions'!$V$111</x:f>
        <x:v>0</x:v>
      </x:c>
      <x:c r="N217" s="10" t="n">
        <x:f>K217-L217-M217</x:f>
        <x:v>18120.861</x:v>
      </x:c>
      <x:c r="O217" s="10" t="n">
        <x:f>H217*'Assumptions'!$P$111*'Assumptions'!$Q$111*'Assumptions'!$D$11*(1+'Assumptions'!$D$13)^(2-1)</x:f>
        <x:v>10289.7</x:v>
      </x:c>
      <x:c r="P217" s="10" t="n">
        <x:f>H217*'Assumptions'!$R$111*'Assumptions'!$D$11*(1+'Assumptions'!$D$13)^(2-1)</x:f>
        <x:v>2743.92</x:v>
      </x:c>
      <x:c r="Q217" s="10" t="n">
        <x:f>J217*'Assumptions'!$S$111</x:f>
        <x:v>0</x:v>
      </x:c>
      <x:c r="R217" s="10" t="n">
        <x:f>H217*'Assumptions'!$Y$111*'Assumptions'!$Z$111*'Assumptions'!$D$11*(1+'Assumptions'!$D$13)^(2-1)</x:f>
        <x:v>257.24249999999995</x:v>
      </x:c>
      <x:c r="S217" s="10" t="n">
        <x:f>IF(I217=0,0,J217*'Assumptions'!$W$111+H217*'Assumptions'!$X$111)</x:f>
        <x:v>551.7477</x:v>
      </x:c>
      <x:c r="T217" s="10" t="n">
        <x:f>N217*'Assumptions'!$AA$111</x:f>
        <x:v>724.8344400000001</x:v>
      </x:c>
      <x:c r="U217" s="10" t="n">
        <x:f>'Assumptions'!$AE$111*'Assumptions'!$D$11*(1+'Assumptions'!$D$13)^(2-1)</x:f>
        <x:v>0</x:v>
      </x:c>
      <x:c r="V217" s="10" t="n">
        <x:f>0</x:f>
        <x:v>0</x:v>
      </x:c>
      <x:c r="W217" s="10" t="n">
        <x:f>H217*('Assumptions'!$P$111+'Assumptions'!$Y$111)</x:f>
        <x:v>208.12499999999997</x:v>
      </x:c>
      <x:c r="X217" s="10" t="n">
        <x:f>N217/12*'Assumptions'!$AF$111</x:f>
        <x:v>1510.07175</x:v>
      </x:c>
      <x:c r="Y217" s="10" t="n">
        <x:f>P217/12</x:f>
        <x:v>228.66</x:v>
      </x:c>
      <x:c r="Z217" s="10" t="n">
        <x:f>0</x:f>
        <x:v>0</x:v>
      </x:c>
      <x:c r="AA217" s="10" t="n">
        <x:f>Z217*'Assumptions'!$AC$111*'Assumptions'!$D$11*(1+'Assumptions'!$D$13)^(2-1)</x:f>
        <x:v>0</x:v>
      </x:c>
      <x:c r="AB217" s="10" t="n">
        <x:f>F217/1</x:f>
        <x:v>19.8</x:v>
      </x:c>
      <x:c r="AC217" s="10" t="n">
        <x:f>AB217/'Assumptions'!$AM$111</x:f>
        <x:v>99</x:v>
      </x:c>
      <x:c r="AD217" s="10" t="n">
        <x:f>IF(AB217=0,0,T217/AB217)</x:f>
        <x:v>36.607800000000005</x:v>
      </x:c>
      <x:c r="AE217" s="10" t="n">
        <x:f>AA217*'Assumptions'!$D$21</x:f>
        <x:v>0</x:v>
      </x:c>
    </x:row>
    <x:row r="218" ht="16" customHeight="1">
      <x:c r="A218" s="1"/>
      <x:c r="B218" s="1"/>
      <x:c r="C218" s="1" t="str">
        <x:v>DOT-083</x:v>
      </x:c>
      <x:c r="D218" s="10" t="str">
        <x:v>Semajes Studio</x:v>
      </x:c>
      <x:c r="E218" s="10" t="n">
        <x:v>2</x:v>
      </x:c>
      <x:c r="F218" s="21" t="n">
        <x:f>'Assumptions'!$I$112*(1-'Assumptions'!$K$112)*(1+'Assumptions'!$L$112)*'Assumptions'!$D$9*'Assumptions'!$D$8</x:f>
        <x:v>9.9</x:v>
      </x:c>
      <x:c r="G218" s="21" t="n">
        <x:f>H90*'Assumptions'!$K$112</x:f>
        <x:v>6.75</x:v>
      </x:c>
      <x:c r="H218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218+G218,NA())</x:f>
        <x:v>16.65</x:v>
      </x:c>
      <x:c r="I218" s="22" t="n">
        <x:f>'Assumptions'!$H$112*IF('Assumptions'!$O$112=1,1,'Assumptions'!$D$10)*(1+'Assumptions'!$N$112)^(2-1)</x:f>
        <x:v>1224</x:v>
      </x:c>
      <x:c r="J218" s="10" t="n">
        <x:f>H218*I218</x:f>
        <x:v>20379.6</x:v>
      </x:c>
      <x:c r="K218" s="10" t="n">
        <x:f>J218*'Assumptions'!$T$112</x:f>
        <x:v>20379.6</x:v>
      </x:c>
      <x:c r="L218" s="10" t="n">
        <x:f>K218*'Assumptions'!$U$112</x:f>
        <x:v>611.3879999999999</x:v>
      </x:c>
      <x:c r="M218" s="10" t="n">
        <x:f>K218*'Assumptions'!$V$112</x:f>
        <x:v>0</x:v>
      </x:c>
      <x:c r="N218" s="10" t="n">
        <x:f>K218-L218-M218</x:f>
        <x:v>19768.212</x:v>
      </x:c>
      <x:c r="O218" s="10" t="n">
        <x:f>H218*'Assumptions'!$P$112*'Assumptions'!$Q$112*'Assumptions'!$D$11*(1+'Assumptions'!$D$13)^(2-1)</x:f>
        <x:v>8574.75</x:v>
      </x:c>
      <x:c r="P218" s="10" t="n">
        <x:f>H218*'Assumptions'!$R$112*'Assumptions'!$D$11*(1+'Assumptions'!$D$13)^(2-1)</x:f>
        <x:v>2572.425</x:v>
      </x:c>
      <x:c r="Q218" s="10" t="n">
        <x:f>J218*'Assumptions'!$S$112</x:f>
        <x:v>0</x:v>
      </x:c>
      <x:c r="R218" s="10" t="n">
        <x:f>H218*'Assumptions'!$Y$112*'Assumptions'!$Z$112*'Assumptions'!$D$11*(1+'Assumptions'!$D$13)^(2-1)</x:f>
        <x:v>128.62124999999997</x:v>
      </x:c>
      <x:c r="S218" s="10" t="n">
        <x:f>IF(I218=0,0,J218*'Assumptions'!$W$112+H218*'Assumptions'!$X$112)</x:f>
        <x:v>596.0033999999999</x:v>
      </x:c>
      <x:c r="T218" s="10" t="n">
        <x:f>N218*'Assumptions'!$AA$112</x:f>
        <x:v>790.72848</x:v>
      </x:c>
      <x:c r="U218" s="10" t="n">
        <x:f>'Assumptions'!$AE$112*'Assumptions'!$D$11*(1+'Assumptions'!$D$13)^(2-1)</x:f>
        <x:v>0</x:v>
      </x:c>
      <x:c r="V218" s="10" t="n">
        <x:f>0</x:f>
        <x:v>0</x:v>
      </x:c>
      <x:c r="W218" s="10" t="n">
        <x:f>H218*('Assumptions'!$P$112+'Assumptions'!$Y$112)</x:f>
        <x:v>170.6625</x:v>
      </x:c>
      <x:c r="X218" s="10" t="n">
        <x:f>N218/12*'Assumptions'!$AF$112</x:f>
        <x:v>1647.3509999999999</x:v>
      </x:c>
      <x:c r="Y218" s="10" t="n">
        <x:f>P218/12</x:f>
        <x:v>214.36875</x:v>
      </x:c>
      <x:c r="Z218" s="10" t="n">
        <x:f>0</x:f>
        <x:v>0</x:v>
      </x:c>
      <x:c r="AA218" s="10" t="n">
        <x:f>Z218*'Assumptions'!$AC$112*'Assumptions'!$D$11*(1+'Assumptions'!$D$13)^(2-1)</x:f>
        <x:v>0</x:v>
      </x:c>
      <x:c r="AB218" s="10" t="n">
        <x:f>F218/1</x:f>
        <x:v>9.9</x:v>
      </x:c>
      <x:c r="AC218" s="10" t="n">
        <x:f>AB218/'Assumptions'!$AM$112</x:f>
        <x:v>49.5</x:v>
      </x:c>
      <x:c r="AD218" s="10" t="n">
        <x:f>IF(AB218=0,0,T218/AB218)</x:f>
        <x:v>79.87156363636363</x:v>
      </x:c>
      <x:c r="AE218" s="10" t="n">
        <x:f>AA218*'Assumptions'!$D$21</x:f>
        <x:v>0</x:v>
      </x:c>
    </x:row>
    <x:row r="219" ht="16" customHeight="1">
      <x:c r="A219" s="1"/>
      <x:c r="B219" s="1"/>
      <x:c r="C219" s="1" t="str">
        <x:v>DOT-084</x:v>
      </x:c>
      <x:c r="D219" s="10" t="str">
        <x:v>Semajes Studio</x:v>
      </x:c>
      <x:c r="E219" s="10" t="n">
        <x:v>2</x:v>
      </x:c>
      <x:c r="F219" s="21" t="n">
        <x:f>'Assumptions'!$I$113*(1-'Assumptions'!$K$113)*(1+'Assumptions'!$L$113)*'Assumptions'!$D$9*'Assumptions'!$D$8</x:f>
        <x:v>66</x:v>
      </x:c>
      <x:c r="G219" s="21" t="n">
        <x:f>H91*'Assumptions'!$K$113</x:f>
        <x:v>45</x:v>
      </x:c>
      <x:c r="H219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219+G219,NA())</x:f>
        <x:v>111</x:v>
      </x:c>
      <x:c r="I219" s="22" t="n">
        <x:f>'Assumptions'!$H$113*IF('Assumptions'!$O$113=1,1,'Assumptions'!$D$10)*(1+'Assumptions'!$N$113)^(2-1)</x:f>
        <x:v>35.7</x:v>
      </x:c>
      <x:c r="J219" s="10" t="n">
        <x:f>H219*I219</x:f>
        <x:v>3962.7000000000003</x:v>
      </x:c>
      <x:c r="K219" s="10" t="n">
        <x:f>J219*'Assumptions'!$T$113</x:f>
        <x:v>3962.7000000000003</x:v>
      </x:c>
      <x:c r="L219" s="10" t="n">
        <x:f>K219*'Assumptions'!$U$113</x:f>
        <x:v>118.881</x:v>
      </x:c>
      <x:c r="M219" s="10" t="n">
        <x:f>K219*'Assumptions'!$V$113</x:f>
        <x:v>0</x:v>
      </x:c>
      <x:c r="N219" s="10" t="n">
        <x:f>K219-L219-M219</x:f>
        <x:v>3843.8190000000004</x:v>
      </x:c>
      <x:c r="O219" s="10" t="n">
        <x:f>H219*'Assumptions'!$P$113*'Assumptions'!$Q$113*'Assumptions'!$D$11*(1+'Assumptions'!$D$13)^(2-1)</x:f>
        <x:v>571.6500000000001</x:v>
      </x:c>
      <x:c r="P219" s="10" t="n">
        <x:f>H219*'Assumptions'!$R$113*'Assumptions'!$D$11*(1+'Assumptions'!$D$13)^(2-1)</x:f>
        <x:v>0</x:v>
      </x:c>
      <x:c r="Q219" s="10" t="n">
        <x:f>J219*'Assumptions'!$S$113</x:f>
        <x:v>0</x:v>
      </x:c>
      <x:c r="R219" s="10" t="n">
        <x:f>H219*'Assumptions'!$Y$113*'Assumptions'!$Z$113*'Assumptions'!$D$11*(1+'Assumptions'!$D$13)^(2-1)</x:f>
        <x:v>857.475</x:v>
      </x:c>
      <x:c r="S219" s="10" t="n">
        <x:f>IF(I219=0,0,J219*'Assumptions'!$W$113+H219*'Assumptions'!$X$113)</x:f>
        <x:v>148.2183</x:v>
      </x:c>
      <x:c r="T219" s="10" t="n">
        <x:f>N219*'Assumptions'!$AA$113</x:f>
        <x:v>153.75276000000002</x:v>
      </x:c>
      <x:c r="U219" s="10" t="n">
        <x:f>'Assumptions'!$AE$113*'Assumptions'!$D$11*(1+'Assumptions'!$D$13)^(2-1)</x:f>
        <x:v>0</x:v>
      </x:c>
      <x:c r="V219" s="10" t="n">
        <x:f>0</x:f>
        <x:v>0</x:v>
      </x:c>
      <x:c r="W219" s="10" t="n">
        <x:f>H219*('Assumptions'!$P$113+'Assumptions'!$Y$113)</x:f>
        <x:v>38.849999999999994</x:v>
      </x:c>
      <x:c r="X219" s="10" t="n">
        <x:f>N219/12*'Assumptions'!$AF$113</x:f>
        <x:v>320.31825000000003</x:v>
      </x:c>
      <x:c r="Y219" s="10" t="n">
        <x:f>P219/12</x:f>
        <x:v>0</x:v>
      </x:c>
      <x:c r="Z219" s="10" t="n">
        <x:f>0</x:f>
        <x:v>0</x:v>
      </x:c>
      <x:c r="AA219" s="10" t="n">
        <x:f>Z219*'Assumptions'!$AC$113*'Assumptions'!$D$11*(1+'Assumptions'!$D$13)^(2-1)</x:f>
        <x:v>0</x:v>
      </x:c>
      <x:c r="AB219" s="10" t="n">
        <x:f>F219/1</x:f>
        <x:v>66</x:v>
      </x:c>
      <x:c r="AC219" s="10" t="n">
        <x:f>AB219/'Assumptions'!$AM$113</x:f>
        <x:v>330</x:v>
      </x:c>
      <x:c r="AD219" s="10" t="n">
        <x:f>IF(AB219=0,0,T219/AB219)</x:f>
        <x:v>2.3295872727272733</x:v>
      </x:c>
      <x:c r="AE219" s="10" t="n">
        <x:f>AA219*'Assumptions'!$D$21</x:f>
        <x:v>0</x:v>
      </x:c>
    </x:row>
    <x:row r="220" ht="16" customHeight="1">
      <x:c r="A220" s="1"/>
      <x:c r="B220" s="1"/>
      <x:c r="C220" s="1" t="str">
        <x:v>DOT-085</x:v>
      </x:c>
      <x:c r="D220" s="10" t="str">
        <x:v>Semajes Studio</x:v>
      </x:c>
      <x:c r="E220" s="10" t="n">
        <x:v>2</x:v>
      </x:c>
      <x:c r="F220" s="21" t="n">
        <x:f>'Assumptions'!$I$114*(1-'Assumptions'!$K$114)*(1+'Assumptions'!$L$114)*'Assumptions'!$D$9*'Assumptions'!$D$8</x:f>
        <x:v>19.8</x:v>
      </x:c>
      <x:c r="G220" s="21" t="n">
        <x:f>H92*'Assumptions'!$K$114</x:f>
        <x:v>13.5</x:v>
      </x:c>
      <x:c r="H220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220+G220,NA())</x:f>
        <x:v>33.3</x:v>
      </x:c>
      <x:c r="I220" s="22" t="n">
        <x:f>'Assumptions'!$H$114*IF('Assumptions'!$O$114=1,1,'Assumptions'!$D$10)*(1+'Assumptions'!$N$114)^(2-1)</x:f>
        <x:v>153</x:v>
      </x:c>
      <x:c r="J220" s="10" t="n">
        <x:f>H220*I220</x:f>
        <x:v>5094.9</x:v>
      </x:c>
      <x:c r="K220" s="10" t="n">
        <x:f>J220*'Assumptions'!$T$114</x:f>
        <x:v>5094.9</x:v>
      </x:c>
      <x:c r="L220" s="10" t="n">
        <x:f>K220*'Assumptions'!$U$114</x:f>
        <x:v>152.84699999999998</x:v>
      </x:c>
      <x:c r="M220" s="10" t="n">
        <x:f>K220*'Assumptions'!$V$114</x:f>
        <x:v>0</x:v>
      </x:c>
      <x:c r="N220" s="10" t="n">
        <x:f>K220-L220-M220</x:f>
        <x:v>4942.053</x:v>
      </x:c>
      <x:c r="O220" s="10" t="n">
        <x:f>H220*'Assumptions'!$P$114*'Assumptions'!$Q$114*'Assumptions'!$D$11*(1+'Assumptions'!$D$13)^(2-1)</x:f>
        <x:v>428.73749999999995</x:v>
      </x:c>
      <x:c r="P220" s="10" t="n">
        <x:f>H220*'Assumptions'!$R$114*'Assumptions'!$D$11*(1+'Assumptions'!$D$13)^(2-1)</x:f>
        <x:v>0</x:v>
      </x:c>
      <x:c r="Q220" s="10" t="n">
        <x:f>J220*'Assumptions'!$S$114</x:f>
        <x:v>0</x:v>
      </x:c>
      <x:c r="R220" s="10" t="n">
        <x:f>H220*'Assumptions'!$Y$114*'Assumptions'!$Z$114*'Assumptions'!$D$11*(1+'Assumptions'!$D$13)^(2-1)</x:f>
        <x:v>257.24249999999995</x:v>
      </x:c>
      <x:c r="S220" s="10" t="n">
        <x:f>IF(I220=0,0,J220*'Assumptions'!$W$114+H220*'Assumptions'!$X$114)</x:f>
        <x:v>157.7421</x:v>
      </x:c>
      <x:c r="T220" s="10" t="n">
        <x:f>N220*'Assumptions'!$AA$114</x:f>
        <x:v>197.68212</x:v>
      </x:c>
      <x:c r="U220" s="10" t="n">
        <x:f>'Assumptions'!$AE$114*'Assumptions'!$D$11*(1+'Assumptions'!$D$13)^(2-1)</x:f>
        <x:v>0</x:v>
      </x:c>
      <x:c r="V220" s="10" t="n">
        <x:f>0</x:f>
        <x:v>0</x:v>
      </x:c>
      <x:c r="W220" s="10" t="n">
        <x:f>H220*('Assumptions'!$P$114+'Assumptions'!$Y$114)</x:f>
        <x:v>16.65</x:v>
      </x:c>
      <x:c r="X220" s="10" t="n">
        <x:f>N220/12*'Assumptions'!$AF$114</x:f>
        <x:v>411.83774999999997</x:v>
      </x:c>
      <x:c r="Y220" s="10" t="n">
        <x:f>P220/12</x:f>
        <x:v>0</x:v>
      </x:c>
      <x:c r="Z220" s="10" t="n">
        <x:f>0</x:f>
        <x:v>0</x:v>
      </x:c>
      <x:c r="AA220" s="10" t="n">
        <x:f>Z220*'Assumptions'!$AC$114*'Assumptions'!$D$11*(1+'Assumptions'!$D$13)^(2-1)</x:f>
        <x:v>0</x:v>
      </x:c>
      <x:c r="AB220" s="10" t="n">
        <x:f>F220/1</x:f>
        <x:v>19.8</x:v>
      </x:c>
      <x:c r="AC220" s="10" t="n">
        <x:f>AB220/'Assumptions'!$AM$114</x:f>
        <x:v>99</x:v>
      </x:c>
      <x:c r="AD220" s="10" t="n">
        <x:f>IF(AB220=0,0,T220/AB220)</x:f>
        <x:v>9.983945454545454</x:v>
      </x:c>
      <x:c r="AE220" s="10" t="n">
        <x:f>AA220*'Assumptions'!$D$21</x:f>
        <x:v>0</x:v>
      </x:c>
    </x:row>
    <x:row r="221" ht="16" customHeight="1">
      <x:c r="A221" s="1"/>
      <x:c r="B221" s="1"/>
      <x:c r="C221" s="1" t="str">
        <x:v>DOT-086</x:v>
      </x:c>
      <x:c r="D221" s="10" t="str">
        <x:v>Semajes Studio</x:v>
      </x:c>
      <x:c r="E221" s="10" t="n">
        <x:v>2</x:v>
      </x:c>
      <x:c r="F221" s="21" t="n">
        <x:f>'Assumptions'!$I$115*(1-'Assumptions'!$K$115)*(1+'Assumptions'!$L$115)*'Assumptions'!$D$9*'Assumptions'!$D$8</x:f>
        <x:v>9.9</x:v>
      </x:c>
      <x:c r="G221" s="21" t="n">
        <x:f>H93*'Assumptions'!$K$115</x:f>
        <x:v>6.75</x:v>
      </x:c>
      <x:c r="H221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221+G221,NA())</x:f>
        <x:v>16.65</x:v>
      </x:c>
      <x:c r="I221" s="22" t="n">
        <x:f>'Assumptions'!$H$115*IF('Assumptions'!$O$115=1,1,'Assumptions'!$D$10)*(1+'Assumptions'!$N$115)^(2-1)</x:f>
        <x:v>510</x:v>
      </x:c>
      <x:c r="J221" s="10" t="n">
        <x:f>H221*I221</x:f>
        <x:v>8491.5</x:v>
      </x:c>
      <x:c r="K221" s="10" t="n">
        <x:f>J221*'Assumptions'!$T$115</x:f>
        <x:v>8491.5</x:v>
      </x:c>
      <x:c r="L221" s="10" t="n">
        <x:f>K221*'Assumptions'!$U$115</x:f>
        <x:v>254.745</x:v>
      </x:c>
      <x:c r="M221" s="10" t="n">
        <x:f>K221*'Assumptions'!$V$115</x:f>
        <x:v>0</x:v>
      </x:c>
      <x:c r="N221" s="10" t="n">
        <x:f>K221-L221-M221</x:f>
        <x:v>8236.755</x:v>
      </x:c>
      <x:c r="O221" s="10" t="n">
        <x:f>H221*'Assumptions'!$P$115*'Assumptions'!$Q$115*'Assumptions'!$D$11*(1+'Assumptions'!$D$13)^(2-1)</x:f>
        <x:v>857.4749999999999</x:v>
      </x:c>
      <x:c r="P221" s="10" t="n">
        <x:f>H221*'Assumptions'!$R$115*'Assumptions'!$D$11*(1+'Assumptions'!$D$13)^(2-1)</x:f>
        <x:v>0</x:v>
      </x:c>
      <x:c r="Q221" s="10" t="n">
        <x:f>J221*'Assumptions'!$S$115</x:f>
        <x:v>0</x:v>
      </x:c>
      <x:c r="R221" s="10" t="n">
        <x:f>H221*'Assumptions'!$Y$115*'Assumptions'!$Z$115*'Assumptions'!$D$11*(1+'Assumptions'!$D$13)^(2-1)</x:f>
        <x:v>128.62124999999997</x:v>
      </x:c>
      <x:c r="S221" s="10" t="n">
        <x:f>IF(I221=0,0,J221*'Assumptions'!$W$115+H221*'Assumptions'!$X$115)</x:f>
        <x:v>251.2485</x:v>
      </x:c>
      <x:c r="T221" s="10" t="n">
        <x:f>N221*'Assumptions'!$AA$115</x:f>
        <x:v>329.4702</x:v>
      </x:c>
      <x:c r="U221" s="10" t="n">
        <x:f>'Assumptions'!$AE$115*'Assumptions'!$D$11*(1+'Assumptions'!$D$13)^(2-1)</x:f>
        <x:v>0</x:v>
      </x:c>
      <x:c r="V221" s="10" t="n">
        <x:f>0</x:f>
        <x:v>0</x:v>
      </x:c>
      <x:c r="W221" s="10" t="n">
        <x:f>H221*('Assumptions'!$P$115+'Assumptions'!$Y$115)</x:f>
        <x:v>20.8125</x:v>
      </x:c>
      <x:c r="X221" s="10" t="n">
        <x:f>N221/12*'Assumptions'!$AF$115</x:f>
        <x:v>686.3962499999999</x:v>
      </x:c>
      <x:c r="Y221" s="10" t="n">
        <x:f>P221/12</x:f>
        <x:v>0</x:v>
      </x:c>
      <x:c r="Z221" s="10" t="n">
        <x:f>0</x:f>
        <x:v>0</x:v>
      </x:c>
      <x:c r="AA221" s="10" t="n">
        <x:f>Z221*'Assumptions'!$AC$115*'Assumptions'!$D$11*(1+'Assumptions'!$D$13)^(2-1)</x:f>
        <x:v>0</x:v>
      </x:c>
      <x:c r="AB221" s="10" t="n">
        <x:f>F221/1</x:f>
        <x:v>9.9</x:v>
      </x:c>
      <x:c r="AC221" s="10" t="n">
        <x:f>AB221/'Assumptions'!$AM$115</x:f>
        <x:v>49.5</x:v>
      </x:c>
      <x:c r="AD221" s="10" t="n">
        <x:f>IF(AB221=0,0,T221/AB221)</x:f>
        <x:v>33.27981818181818</x:v>
      </x:c>
      <x:c r="AE221" s="10" t="n">
        <x:f>AA221*'Assumptions'!$D$21</x:f>
        <x:v>0</x:v>
      </x:c>
    </x:row>
    <x:row r="222" ht="16" customHeight="1">
      <x:c r="A222" s="1"/>
      <x:c r="B222" s="1"/>
      <x:c r="C222" s="1" t="str">
        <x:v>DOT-087</x:v>
      </x:c>
      <x:c r="D222" s="10" t="str">
        <x:v>Semajes Studio</x:v>
      </x:c>
      <x:c r="E222" s="10" t="n">
        <x:v>2</x:v>
      </x:c>
      <x:c r="F222" s="21" t="n">
        <x:f>'Assumptions'!$I$116*(1-'Assumptions'!$K$116)*(1+'Assumptions'!$L$116)*'Assumptions'!$D$9*'Assumptions'!$D$8</x:f>
        <x:v>94.08000000000001</x:v>
      </x:c>
      <x:c r="G222" s="21" t="n">
        <x:f>H94*'Assumptions'!$K$116</x:f>
        <x:v>27</x:v>
      </x:c>
      <x:c r="H222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222+G222,NA())</x:f>
        <x:v>121.08000000000001</x:v>
      </x:c>
      <x:c r="I222" s="22" t="n">
        <x:f>'Assumptions'!$H$116*IF('Assumptions'!$O$116=1,1,'Assumptions'!$D$10)*(1+'Assumptions'!$N$116)^(2-1)</x:f>
        <x:v>96.9</x:v>
      </x:c>
      <x:c r="J222" s="10" t="n">
        <x:f>H222*I222</x:f>
        <x:v>11732.652000000002</x:v>
      </x:c>
      <x:c r="K222" s="10" t="n">
        <x:f>J222*'Assumptions'!$T$116</x:f>
        <x:v>11732.652000000002</x:v>
      </x:c>
      <x:c r="L222" s="10" t="n">
        <x:f>K222*'Assumptions'!$U$116</x:f>
        <x:v>351.97956000000005</x:v>
      </x:c>
      <x:c r="M222" s="10" t="n">
        <x:f>K222*'Assumptions'!$V$116</x:f>
        <x:v>234.65304000000003</x:v>
      </x:c>
      <x:c r="N222" s="10" t="n">
        <x:f>K222-L222-M222</x:f>
        <x:v>11146.019400000003</x:v>
      </x:c>
      <x:c r="O222" s="10" t="n">
        <x:f>H222*'Assumptions'!$P$116*'Assumptions'!$Q$116*'Assumptions'!$D$11*(1+'Assumptions'!$D$13)^(2-1)</x:f>
        <x:v>935.3430000000002</x:v>
      </x:c>
      <x:c r="P222" s="10" t="n">
        <x:f>H222*'Assumptions'!$R$116*'Assumptions'!$D$11*(1+'Assumptions'!$D$13)^(2-1)</x:f>
        <x:v>4364.934</x:v>
      </x:c>
      <x:c r="Q222" s="10" t="n">
        <x:f>J222*'Assumptions'!$S$116</x:f>
        <x:v>0</x:v>
      </x:c>
      <x:c r="R222" s="10" t="n">
        <x:f>H222*'Assumptions'!$Y$116*'Assumptions'!$Z$116*'Assumptions'!$D$11*(1+'Assumptions'!$D$13)^(2-1)</x:f>
        <x:v>561.2058000000002</x:v>
      </x:c>
      <x:c r="S222" s="10" t="n">
        <x:f>IF(I222=0,0,J222*'Assumptions'!$W$116+H222*'Assumptions'!$X$116)</x:f>
        <x:v>376.5709080000001</x:v>
      </x:c>
      <x:c r="T222" s="10" t="n">
        <x:f>N222*'Assumptions'!$AA$116</x:f>
        <x:v>891.6815520000002</x:v>
      </x:c>
      <x:c r="U222" s="10" t="n">
        <x:f>'Assumptions'!$AE$116*'Assumptions'!$D$11*(1+'Assumptions'!$D$13)^(2-1)</x:f>
        <x:v>0</x:v>
      </x:c>
      <x:c r="V222" s="10" t="n">
        <x:f>0</x:f>
        <x:v>0</x:v>
      </x:c>
      <x:c r="W222" s="10" t="n">
        <x:f>H222*('Assumptions'!$P$116+'Assumptions'!$Y$116)</x:f>
        <x:v>36.324000000000005</x:v>
      </x:c>
      <x:c r="X222" s="10" t="n">
        <x:f>N222/12*'Assumptions'!$AF$116</x:f>
        <x:v>0</x:v>
      </x:c>
      <x:c r="Y222" s="10" t="n">
        <x:f>P222/12</x:f>
        <x:v>363.7445</x:v>
      </x:c>
      <x:c r="Z222" s="10" t="n">
        <x:f>0</x:f>
        <x:v>0</x:v>
      </x:c>
      <x:c r="AA222" s="10" t="n">
        <x:f>Z222*'Assumptions'!$AC$116*'Assumptions'!$D$11*(1+'Assumptions'!$D$13)^(2-1)</x:f>
        <x:v>0</x:v>
      </x:c>
      <x:c r="AB222" s="10" t="n">
        <x:f>F222/1</x:f>
        <x:v>94.08000000000001</x:v>
      </x:c>
      <x:c r="AC222" s="10" t="n">
        <x:f>AB222/'Assumptions'!$AM$116</x:f>
        <x:v>3136.0000000000005</x:v>
      </x:c>
      <x:c r="AD222" s="10" t="n">
        <x:f>IF(AB222=0,0,T222/AB222)</x:f>
        <x:v>9.477907653061227</x:v>
      </x:c>
      <x:c r="AE222" s="10" t="n">
        <x:f>AA222*'Assumptions'!$D$21</x:f>
        <x:v>0</x:v>
      </x:c>
    </x:row>
    <x:row r="223" ht="16" customHeight="1">
      <x:c r="A223" s="1"/>
      <x:c r="B223" s="1"/>
      <x:c r="C223" s="1" t="str">
        <x:v>DOT-088</x:v>
      </x:c>
      <x:c r="D223" s="10" t="str">
        <x:v>Semajes Studio</x:v>
      </x:c>
      <x:c r="E223" s="10" t="n">
        <x:v>2</x:v>
      </x:c>
      <x:c r="F223" s="21" t="n">
        <x:f>'Assumptions'!$I$117*(1-'Assumptions'!$K$117)*(1+'Assumptions'!$L$117)*'Assumptions'!$D$9*'Assumptions'!$D$8</x:f>
        <x:v>47.040000000000006</x:v>
      </x:c>
      <x:c r="G223" s="21" t="n">
        <x:f>H95*'Assumptions'!$K$117</x:f>
        <x:v>13.5</x:v>
      </x:c>
      <x:c r="H223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223+G223,NA())</x:f>
        <x:v>60.540000000000006</x:v>
      </x:c>
      <x:c r="I223" s="22" t="n">
        <x:f>'Assumptions'!$H$117*IF('Assumptions'!$O$117=1,1,'Assumptions'!$D$10)*(1+'Assumptions'!$N$117)^(2-1)</x:f>
        <x:v>255</x:v>
      </x:c>
      <x:c r="J223" s="10" t="n">
        <x:f>H223*I223</x:f>
        <x:v>15437.7</x:v>
      </x:c>
      <x:c r="K223" s="10" t="n">
        <x:f>J223*'Assumptions'!$T$117</x:f>
        <x:v>15437.7</x:v>
      </x:c>
      <x:c r="L223" s="10" t="n">
        <x:f>K223*'Assumptions'!$U$117</x:f>
        <x:v>463.13100000000003</x:v>
      </x:c>
      <x:c r="M223" s="10" t="n">
        <x:f>K223*'Assumptions'!$V$117</x:f>
        <x:v>308.754</x:v>
      </x:c>
      <x:c r="N223" s="10" t="n">
        <x:f>K223-L223-M223</x:f>
        <x:v>14665.815</x:v>
      </x:c>
      <x:c r="O223" s="10" t="n">
        <x:f>H223*'Assumptions'!$P$117*'Assumptions'!$Q$117*'Assumptions'!$D$11*(1+'Assumptions'!$D$13)^(2-1)</x:f>
        <x:v>779.4525000000001</x:v>
      </x:c>
      <x:c r="P223" s="10" t="n">
        <x:f>H223*'Assumptions'!$R$117*'Assumptions'!$D$11*(1+'Assumptions'!$D$13)^(2-1)</x:f>
        <x:v>6859.182000000001</x:v>
      </x:c>
      <x:c r="Q223" s="10" t="n">
        <x:f>J223*'Assumptions'!$S$117</x:f>
        <x:v>0</x:v>
      </x:c>
      <x:c r="R223" s="10" t="n">
        <x:f>H223*'Assumptions'!$Y$117*'Assumptions'!$Z$117*'Assumptions'!$D$11*(1+'Assumptions'!$D$13)^(2-1)</x:f>
        <x:v>280.6029000000001</x:v>
      </x:c>
      <x:c r="S223" s="10" t="n">
        <x:f>IF(I223=0,0,J223*'Assumptions'!$W$117+H223*'Assumptions'!$X$117)</x:f>
        <x:v>465.8553</x:v>
      </x:c>
      <x:c r="T223" s="10" t="n">
        <x:f>N223*'Assumptions'!$AA$117</x:f>
        <x:v>1173.2652</x:v>
      </x:c>
      <x:c r="U223" s="10" t="n">
        <x:f>'Assumptions'!$AE$117*'Assumptions'!$D$11*(1+'Assumptions'!$D$13)^(2-1)</x:f>
        <x:v>0</x:v>
      </x:c>
      <x:c r="V223" s="10" t="n">
        <x:f>0</x:f>
        <x:v>0</x:v>
      </x:c>
      <x:c r="W223" s="10" t="n">
        <x:f>H223*('Assumptions'!$P$117+'Assumptions'!$Y$117)</x:f>
        <x:v>24.216000000000005</x:v>
      </x:c>
      <x:c r="X223" s="10" t="n">
        <x:f>N223/12*'Assumptions'!$AF$117</x:f>
        <x:v>0</x:v>
      </x:c>
      <x:c r="Y223" s="10" t="n">
        <x:f>P223/12</x:f>
        <x:v>571.5985000000001</x:v>
      </x:c>
      <x:c r="Z223" s="10" t="n">
        <x:f>0</x:f>
        <x:v>0</x:v>
      </x:c>
      <x:c r="AA223" s="10" t="n">
        <x:f>Z223*'Assumptions'!$AC$117*'Assumptions'!$D$11*(1+'Assumptions'!$D$13)^(2-1)</x:f>
        <x:v>0</x:v>
      </x:c>
      <x:c r="AB223" s="10" t="n">
        <x:f>F223/1</x:f>
        <x:v>47.040000000000006</x:v>
      </x:c>
      <x:c r="AC223" s="10" t="n">
        <x:f>AB223/'Assumptions'!$AM$117</x:f>
        <x:v>1568.0000000000002</x:v>
      </x:c>
      <x:c r="AD223" s="10" t="n">
        <x:f>IF(AB223=0,0,T223/AB223)</x:f>
        <x:v>24.94186224489796</x:v>
      </x:c>
      <x:c r="AE223" s="10" t="n">
        <x:f>AA223*'Assumptions'!$D$21</x:f>
        <x:v>0</x:v>
      </x:c>
    </x:row>
    <x:row r="224" ht="16" customHeight="1">
      <x:c r="A224" s="1"/>
      <x:c r="B224" s="1"/>
      <x:c r="C224" s="1" t="str">
        <x:v>DOT-089</x:v>
      </x:c>
      <x:c r="D224" s="10" t="str">
        <x:v>Semajes Studio</x:v>
      </x:c>
      <x:c r="E224" s="10" t="n">
        <x:v>2</x:v>
      </x:c>
      <x:c r="F224" s="21" t="n">
        <x:f>'Assumptions'!$I$118*(1-'Assumptions'!$K$118)*(1+'Assumptions'!$L$118)*'Assumptions'!$D$9*'Assumptions'!$D$8</x:f>
        <x:v>18.816</x:v>
      </x:c>
      <x:c r="G224" s="21" t="n">
        <x:f>H96*'Assumptions'!$K$118</x:f>
        <x:v>5.3999999999999995</x:v>
      </x:c>
      <x:c r="H224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224+G224,NA())</x:f>
        <x:v>24.215999999999998</x:v>
      </x:c>
      <x:c r="I224" s="22" t="n">
        <x:f>'Assumptions'!$H$118*IF('Assumptions'!$O$118=1,1,'Assumptions'!$D$10)*(1+'Assumptions'!$N$118)^(2-1)</x:f>
        <x:v>178.5</x:v>
      </x:c>
      <x:c r="J224" s="10" t="n">
        <x:f>H224*I224</x:f>
        <x:v>4322.556</x:v>
      </x:c>
      <x:c r="K224" s="10" t="n">
        <x:f>J224*'Assumptions'!$T$118</x:f>
        <x:v>4322.556</x:v>
      </x:c>
      <x:c r="L224" s="10" t="n">
        <x:f>K224*'Assumptions'!$U$118</x:f>
        <x:v>129.67667999999998</x:v>
      </x:c>
      <x:c r="M224" s="10" t="n">
        <x:f>K224*'Assumptions'!$V$118</x:f>
        <x:v>86.45111999999999</x:v>
      </x:c>
      <x:c r="N224" s="10" t="n">
        <x:f>K224-L224-M224</x:f>
        <x:v>4106.4282</x:v>
      </x:c>
      <x:c r="O224" s="10" t="n">
        <x:f>H224*'Assumptions'!$P$118*'Assumptions'!$Q$118*'Assumptions'!$D$11*(1+'Assumptions'!$D$13)^(2-1)</x:f>
        <x:v>623.562</x:v>
      </x:c>
      <x:c r="P224" s="10" t="n">
        <x:f>H224*'Assumptions'!$R$118*'Assumptions'!$D$11*(1+'Assumptions'!$D$13)^(2-1)</x:f>
        <x:v>2244.8232</x:v>
      </x:c>
      <x:c r="Q224" s="10" t="n">
        <x:f>J224*'Assumptions'!$S$118</x:f>
        <x:v>0</x:v>
      </x:c>
      <x:c r="R224" s="10" t="n">
        <x:f>H224*'Assumptions'!$Y$118*'Assumptions'!$Z$118*'Assumptions'!$D$11*(1+'Assumptions'!$D$13)^(2-1)</x:f>
        <x:v>112.24116</x:v>
      </x:c>
      <x:c r="S224" s="10" t="n">
        <x:f>IF(I224=0,0,J224*'Assumptions'!$W$118+H224*'Assumptions'!$X$118)</x:f>
        <x:v>132.618924</x:v>
      </x:c>
      <x:c r="T224" s="10" t="n">
        <x:f>N224*'Assumptions'!$AA$118</x:f>
        <x:v>328.51425600000005</x:v>
      </x:c>
      <x:c r="U224" s="10" t="n">
        <x:f>'Assumptions'!$AE$118*'Assumptions'!$D$11*(1+'Assumptions'!$D$13)^(2-1)</x:f>
        <x:v>0</x:v>
      </x:c>
      <x:c r="V224" s="10" t="n">
        <x:f>0</x:f>
        <x:v>0</x:v>
      </x:c>
      <x:c r="W224" s="10" t="n">
        <x:f>H224*('Assumptions'!$P$118+'Assumptions'!$Y$118)</x:f>
        <x:v>15.7404</x:v>
      </x:c>
      <x:c r="X224" s="10" t="n">
        <x:f>N224/12*'Assumptions'!$AF$118</x:f>
        <x:v>0</x:v>
      </x:c>
      <x:c r="Y224" s="10" t="n">
        <x:f>P224/12</x:f>
        <x:v>187.06859999999998</x:v>
      </x:c>
      <x:c r="Z224" s="10" t="n">
        <x:f>0</x:f>
        <x:v>0</x:v>
      </x:c>
      <x:c r="AA224" s="10" t="n">
        <x:f>Z224*'Assumptions'!$AC$118*'Assumptions'!$D$11*(1+'Assumptions'!$D$13)^(2-1)</x:f>
        <x:v>0</x:v>
      </x:c>
      <x:c r="AB224" s="10" t="n">
        <x:f>F224/1</x:f>
        <x:v>18.816</x:v>
      </x:c>
      <x:c r="AC224" s="10" t="n">
        <x:f>AB224/'Assumptions'!$AM$118</x:f>
        <x:v>627.1999999999999</x:v>
      </x:c>
      <x:c r="AD224" s="10" t="n">
        <x:f>IF(AB224=0,0,T224/AB224)</x:f>
        <x:v>17.459303571428574</x:v>
      </x:c>
      <x:c r="AE224" s="10" t="n">
        <x:f>AA224*'Assumptions'!$D$21</x:f>
        <x:v>0</x:v>
      </x:c>
    </x:row>
    <x:row r="225" ht="16" customHeight="1">
      <x:c r="A225" s="1"/>
      <x:c r="B225" s="1"/>
      <x:c r="C225" s="1" t="str">
        <x:v>DOT-090</x:v>
      </x:c>
      <x:c r="D225" s="10" t="str">
        <x:v>Semajes Marketplace</x:v>
      </x:c>
      <x:c r="E225" s="10" t="n">
        <x:v>2</x:v>
      </x:c>
      <x:c r="F225" s="21" t="n">
        <x:f>'Assumptions'!$I$119*(1-'Assumptions'!$K$119)*(1+'Assumptions'!$L$119)*'Assumptions'!$D$9*'Assumptions'!$D$8</x:f>
        <x:v>43.20000000000001</x:v>
      </x:c>
      <x:c r="G225" s="21" t="n">
        <x:f>H97*'Assumptions'!$K$119</x:f>
        <x:v>42</x:v>
      </x:c>
      <x:c r="H225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225+G225,NA())</x:f>
        <x:v>85.20000000000002</x:v>
      </x:c>
      <x:c r="I225" s="22" t="n">
        <x:f>'Assumptions'!$H$119*IF('Assumptions'!$O$119=1,1,'Assumptions'!$D$10)*(1+'Assumptions'!$N$119)^(2-1)</x:f>
        <x:v>612</x:v>
      </x:c>
      <x:c r="J225" s="10" t="n">
        <x:f>H225*I225</x:f>
        <x:v>52142.40000000001</x:v>
      </x:c>
      <x:c r="K225" s="10" t="n">
        <x:f>J225*'Assumptions'!$T$119</x:f>
        <x:v>7821.360000000001</x:v>
      </x:c>
      <x:c r="L225" s="10" t="n">
        <x:f>K225*'Assumptions'!$U$119</x:f>
        <x:v>234.6408</x:v>
      </x:c>
      <x:c r="M225" s="10" t="n">
        <x:f>K225*'Assumptions'!$V$119</x:f>
        <x:v>0</x:v>
      </x:c>
      <x:c r="N225" s="10" t="n">
        <x:f>K225-L225-M225</x:f>
        <x:v>7586.7192000000005</x:v>
      </x:c>
      <x:c r="O225" s="10" t="n">
        <x:f>H225*'Assumptions'!$P$119*'Assumptions'!$Q$119*'Assumptions'!$D$11*(1+'Assumptions'!$D$13)^(2-1)</x:f>
        <x:v>767.8650000000001</x:v>
      </x:c>
      <x:c r="P225" s="10" t="n">
        <x:f>H225*'Assumptions'!$R$119*'Assumptions'!$D$11*(1+'Assumptions'!$D$13)^(2-1)</x:f>
        <x:v>0</x:v>
      </x:c>
      <x:c r="Q225" s="10" t="n">
        <x:f>J225*'Assumptions'!$S$119</x:f>
        <x:v>0</x:v>
      </x:c>
      <x:c r="R225" s="10" t="n">
        <x:f>H225*'Assumptions'!$Y$119*'Assumptions'!$Z$119*'Assumptions'!$D$11*(1+'Assumptions'!$D$13)^(2-1)</x:f>
        <x:v>394.9020000000001</x:v>
      </x:c>
      <x:c r="S225" s="10" t="n">
        <x:f>IF(I225=0,0,J225*'Assumptions'!$W$119+H225*'Assumptions'!$X$119)</x:f>
        <x:v>1537.6896000000004</x:v>
      </x:c>
      <x:c r="T225" s="10" t="n">
        <x:f>N225*'Assumptions'!$AA$119</x:f>
        <x:v>379.33596000000006</x:v>
      </x:c>
      <x:c r="U225" s="10" t="n">
        <x:f>'Assumptions'!$AE$119*'Assumptions'!$D$11*(1+'Assumptions'!$D$13)^(2-1)</x:f>
        <x:v>247.20000000000002</x:v>
      </x:c>
      <x:c r="V225" s="10" t="n">
        <x:f>0</x:f>
        <x:v>0</x:v>
      </x:c>
      <x:c r="W225" s="10" t="n">
        <x:f>H225*('Assumptions'!$P$119+'Assumptions'!$Y$119)</x:f>
        <x:v>34.080000000000005</x:v>
      </x:c>
      <x:c r="X225" s="10" t="n">
        <x:f>N225/12*'Assumptions'!$AF$119</x:f>
        <x:v>0</x:v>
      </x:c>
      <x:c r="Y225" s="10" t="n">
        <x:f>P225/12</x:f>
        <x:v>0</x:v>
      </x:c>
      <x:c r="Z225" s="10" t="n">
        <x:f>0</x:f>
        <x:v>0</x:v>
      </x:c>
      <x:c r="AA225" s="10" t="n">
        <x:f>Z225*'Assumptions'!$AC$119*'Assumptions'!$D$11*(1+'Assumptions'!$D$13)^(2-1)</x:f>
        <x:v>0</x:v>
      </x:c>
      <x:c r="AB225" s="10" t="n">
        <x:f>F225/1</x:f>
        <x:v>43.20000000000001</x:v>
      </x:c>
      <x:c r="AC225" s="10" t="n">
        <x:f>AB225/'Assumptions'!$AM$119</x:f>
        <x:v>864.0000000000001</x:v>
      </x:c>
      <x:c r="AD225" s="10" t="n">
        <x:f>IF(AB225=0,0,T225/AB225)</x:f>
        <x:v>8.780925</x:v>
      </x:c>
      <x:c r="AE225" s="10" t="n">
        <x:f>AA225*'Assumptions'!$D$21</x:f>
        <x:v>0</x:v>
      </x:c>
    </x:row>
    <x:row r="226" ht="16" customHeight="1">
      <x:c r="A226" s="1"/>
      <x:c r="B226" s="1"/>
      <x:c r="C226" s="1" t="str">
        <x:v>DOT-091</x:v>
      </x:c>
      <x:c r="D226" s="10" t="str">
        <x:v>Semajes Marketplace</x:v>
      </x:c>
      <x:c r="E226" s="10" t="n">
        <x:v>2</x:v>
      </x:c>
      <x:c r="F226" s="21" t="n">
        <x:f>'Assumptions'!$I$120*(1-'Assumptions'!$K$120)*(1+'Assumptions'!$L$120)*'Assumptions'!$D$9*'Assumptions'!$D$8</x:f>
        <x:v>86.40000000000002</x:v>
      </x:c>
      <x:c r="G226" s="21" t="n">
        <x:f>H98*'Assumptions'!$K$120</x:f>
        <x:v>84</x:v>
      </x:c>
      <x:c r="H226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226+G226,NA())</x:f>
        <x:v>170.40000000000003</x:v>
      </x:c>
      <x:c r="I226" s="22" t="n">
        <x:f>'Assumptions'!$H$120*IF('Assumptions'!$O$120=1,1,'Assumptions'!$D$10)*(1+'Assumptions'!$N$120)^(2-1)</x:f>
        <x:v>76.5</x:v>
      </x:c>
      <x:c r="J226" s="10" t="n">
        <x:f>H226*I226</x:f>
        <x:v>13035.600000000002</x:v>
      </x:c>
      <x:c r="K226" s="10" t="n">
        <x:f>J226*'Assumptions'!$T$120</x:f>
        <x:v>2607.120000000001</x:v>
      </x:c>
      <x:c r="L226" s="10" t="n">
        <x:f>K226*'Assumptions'!$U$120</x:f>
        <x:v>78.21360000000003</x:v>
      </x:c>
      <x:c r="M226" s="10" t="n">
        <x:f>K226*'Assumptions'!$V$120</x:f>
        <x:v>0</x:v>
      </x:c>
      <x:c r="N226" s="10" t="n">
        <x:f>K226-L226-M226</x:f>
        <x:v>2528.9064000000008</x:v>
      </x:c>
      <x:c r="O226" s="10" t="n">
        <x:f>H226*'Assumptions'!$P$120*'Assumptions'!$Q$120*'Assumptions'!$D$11*(1+'Assumptions'!$D$13)^(2-1)</x:f>
        <x:v>614.2920000000001</x:v>
      </x:c>
      <x:c r="P226" s="10" t="n">
        <x:f>H226*'Assumptions'!$R$120*'Assumptions'!$D$11*(1+'Assumptions'!$D$13)^(2-1)</x:f>
        <x:v>0</x:v>
      </x:c>
      <x:c r="Q226" s="10" t="n">
        <x:f>J226*'Assumptions'!$S$120</x:f>
        <x:v>0</x:v>
      </x:c>
      <x:c r="R226" s="10" t="n">
        <x:f>H226*'Assumptions'!$Y$120*'Assumptions'!$Z$120*'Assumptions'!$D$11*(1+'Assumptions'!$D$13)^(2-1)</x:f>
        <x:v>789.8040000000002</x:v>
      </x:c>
      <x:c r="S226" s="10" t="n">
        <x:f>IF(I226=0,0,J226*'Assumptions'!$W$120+H226*'Assumptions'!$X$120)</x:f>
        <x:v>429.1524000000001</x:v>
      </x:c>
      <x:c r="T226" s="10" t="n">
        <x:f>N226*'Assumptions'!$AA$120</x:f>
        <x:v>126.44532000000004</x:v>
      </x:c>
      <x:c r="U226" s="10" t="n">
        <x:f>'Assumptions'!$AE$120*'Assumptions'!$D$11*(1+'Assumptions'!$D$13)^(2-1)</x:f>
        <x:v>0</x:v>
      </x:c>
      <x:c r="V226" s="10" t="n">
        <x:f>0</x:f>
        <x:v>0</x:v>
      </x:c>
      <x:c r="W226" s="10" t="n">
        <x:f>H226*('Assumptions'!$P$120+'Assumptions'!$Y$120)</x:f>
        <x:v>42.60000000000001</x:v>
      </x:c>
      <x:c r="X226" s="10" t="n">
        <x:f>N226/12*'Assumptions'!$AF$120</x:f>
        <x:v>0</x:v>
      </x:c>
      <x:c r="Y226" s="10" t="n">
        <x:f>P226/12</x:f>
        <x:v>0</x:v>
      </x:c>
      <x:c r="Z226" s="10" t="n">
        <x:f>0</x:f>
        <x:v>0</x:v>
      </x:c>
      <x:c r="AA226" s="10" t="n">
        <x:f>Z226*'Assumptions'!$AC$120*'Assumptions'!$D$11*(1+'Assumptions'!$D$13)^(2-1)</x:f>
        <x:v>0</x:v>
      </x:c>
      <x:c r="AB226" s="10" t="n">
        <x:f>F226/1</x:f>
        <x:v>86.40000000000002</x:v>
      </x:c>
      <x:c r="AC226" s="10" t="n">
        <x:f>AB226/'Assumptions'!$AM$120</x:f>
        <x:v>1728.0000000000002</x:v>
      </x:c>
      <x:c r="AD226" s="10" t="n">
        <x:f>IF(AB226=0,0,T226/AB226)</x:f>
        <x:v>1.4634875</x:v>
      </x:c>
      <x:c r="AE226" s="10" t="n">
        <x:f>AA226*'Assumptions'!$D$21</x:f>
        <x:v>0</x:v>
      </x:c>
    </x:row>
    <x:row r="227" ht="16" customHeight="1">
      <x:c r="A227" s="1"/>
      <x:c r="B227" s="1"/>
      <x:c r="C227" s="1" t="str">
        <x:v>DOT-092</x:v>
      </x:c>
      <x:c r="D227" s="10" t="str">
        <x:v>Semajes Marketplace</x:v>
      </x:c>
      <x:c r="E227" s="10" t="n">
        <x:v>2</x:v>
      </x:c>
      <x:c r="F227" s="21" t="n">
        <x:f>'Assumptions'!$I$121*(1-'Assumptions'!$K$121)*(1+'Assumptions'!$L$121)*'Assumptions'!$D$9*'Assumptions'!$D$8</x:f>
        <x:v>43.20000000000001</x:v>
      </x:c>
      <x:c r="G227" s="21" t="n">
        <x:f>H99*'Assumptions'!$K$121</x:f>
        <x:v>42</x:v>
      </x:c>
      <x:c r="H227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227+G227,NA())</x:f>
        <x:v>85.20000000000002</x:v>
      </x:c>
      <x:c r="I227" s="22" t="n">
        <x:f>'Assumptions'!$H$121*IF('Assumptions'!$O$121=1,1,'Assumptions'!$D$10)*(1+'Assumptions'!$N$121)^(2-1)</x:f>
        <x:v>255</x:v>
      </x:c>
      <x:c r="J227" s="10" t="n">
        <x:f>H227*I227</x:f>
        <x:v>21726.000000000004</x:v>
      </x:c>
      <x:c r="K227" s="10" t="n">
        <x:f>J227*'Assumptions'!$T$121</x:f>
        <x:v>4345.200000000001</x:v>
      </x:c>
      <x:c r="L227" s="10" t="n">
        <x:f>K227*'Assumptions'!$U$121</x:f>
        <x:v>130.35600000000002</x:v>
      </x:c>
      <x:c r="M227" s="10" t="n">
        <x:f>K227*'Assumptions'!$V$121</x:f>
        <x:v>0</x:v>
      </x:c>
      <x:c r="N227" s="10" t="n">
        <x:f>K227-L227-M227</x:f>
        <x:v>4214.844000000001</x:v>
      </x:c>
      <x:c r="O227" s="10" t="n">
        <x:f>H227*'Assumptions'!$P$121*'Assumptions'!$Q$121*'Assumptions'!$D$11*(1+'Assumptions'!$D$13)^(2-1)</x:f>
        <x:v>460.71900000000016</x:v>
      </x:c>
      <x:c r="P227" s="10" t="n">
        <x:f>H227*'Assumptions'!$R$121*'Assumptions'!$D$11*(1+'Assumptions'!$D$13)^(2-1)</x:f>
        <x:v>0</x:v>
      </x:c>
      <x:c r="Q227" s="10" t="n">
        <x:f>J227*'Assumptions'!$S$121</x:f>
        <x:v>0</x:v>
      </x:c>
      <x:c r="R227" s="10" t="n">
        <x:f>H227*'Assumptions'!$Y$121*'Assumptions'!$Z$121*'Assumptions'!$D$11*(1+'Assumptions'!$D$13)^(2-1)</x:f>
        <x:v>394.9020000000001</x:v>
      </x:c>
      <x:c r="S227" s="10" t="n">
        <x:f>IF(I227=0,0,J227*'Assumptions'!$W$121+H227*'Assumptions'!$X$121)</x:f>
        <x:v>655.6140000000001</x:v>
      </x:c>
      <x:c r="T227" s="10" t="n">
        <x:f>N227*'Assumptions'!$AA$121</x:f>
        <x:v>210.74220000000005</x:v>
      </x:c>
      <x:c r="U227" s="10" t="n">
        <x:f>'Assumptions'!$AE$121*'Assumptions'!$D$11*(1+'Assumptions'!$D$13)^(2-1)</x:f>
        <x:v>0</x:v>
      </x:c>
      <x:c r="V227" s="10" t="n">
        <x:f>0</x:f>
        <x:v>0</x:v>
      </x:c>
      <x:c r="W227" s="10" t="n">
        <x:f>H227*('Assumptions'!$P$121+'Assumptions'!$Y$121)</x:f>
        <x:v>25.560000000000006</x:v>
      </x:c>
      <x:c r="X227" s="10" t="n">
        <x:f>N227/12*'Assumptions'!$AF$121</x:f>
        <x:v>0</x:v>
      </x:c>
      <x:c r="Y227" s="10" t="n">
        <x:f>P227/12</x:f>
        <x:v>0</x:v>
      </x:c>
      <x:c r="Z227" s="10" t="n">
        <x:f>0</x:f>
        <x:v>0</x:v>
      </x:c>
      <x:c r="AA227" s="10" t="n">
        <x:f>Z227*'Assumptions'!$AC$121*'Assumptions'!$D$11*(1+'Assumptions'!$D$13)^(2-1)</x:f>
        <x:v>0</x:v>
      </x:c>
      <x:c r="AB227" s="10" t="n">
        <x:f>F227/1</x:f>
        <x:v>43.20000000000001</x:v>
      </x:c>
      <x:c r="AC227" s="10" t="n">
        <x:f>AB227/'Assumptions'!$AM$121</x:f>
        <x:v>864.0000000000001</x:v>
      </x:c>
      <x:c r="AD227" s="10" t="n">
        <x:f>IF(AB227=0,0,T227/AB227)</x:f>
        <x:v>4.878291666666667</x:v>
      </x:c>
      <x:c r="AE227" s="10" t="n">
        <x:f>AA227*'Assumptions'!$D$21</x:f>
        <x:v>0</x:v>
      </x:c>
    </x:row>
    <x:row r="228" ht="16" customHeight="1">
      <x:c r="A228" s="1"/>
      <x:c r="B228" s="1"/>
      <x:c r="C228" s="1" t="str">
        <x:v>DOT-093</x:v>
      </x:c>
      <x:c r="D228" s="10" t="str">
        <x:v>Semajes Marketplace</x:v>
      </x:c>
      <x:c r="E228" s="10" t="n">
        <x:v>2</x:v>
      </x:c>
      <x:c r="F228" s="21" t="n">
        <x:f>'Assumptions'!$I$122*(1-'Assumptions'!$K$122)*(1+'Assumptions'!$L$122)*'Assumptions'!$D$9*'Assumptions'!$D$8</x:f>
        <x:v>8.64</x:v>
      </x:c>
      <x:c r="G228" s="21" t="n">
        <x:f>H100*'Assumptions'!$K$122</x:f>
        <x:v>8.399999999999999</x:v>
      </x:c>
      <x:c r="H228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228+G228,NA())</x:f>
        <x:v>17.04</x:v>
      </x:c>
      <x:c r="I228" s="22" t="n">
        <x:f>'Assumptions'!$H$122*IF('Assumptions'!$O$122=1,1,'Assumptions'!$D$10)*(1+'Assumptions'!$N$122)^(2-1)</x:f>
        <x:v>510</x:v>
      </x:c>
      <x:c r="J228" s="10" t="n">
        <x:f>H228*I228</x:f>
        <x:v>8690.4</x:v>
      </x:c>
      <x:c r="K228" s="10" t="n">
        <x:f>J228*'Assumptions'!$T$122</x:f>
        <x:v>1303.56</x:v>
      </x:c>
      <x:c r="L228" s="10" t="n">
        <x:f>K228*'Assumptions'!$U$122</x:f>
        <x:v>39.1068</x:v>
      </x:c>
      <x:c r="M228" s="10" t="n">
        <x:f>K228*'Assumptions'!$V$122</x:f>
        <x:v>0</x:v>
      </x:c>
      <x:c r="N228" s="10" t="n">
        <x:f>K228-L228-M228</x:f>
        <x:v>1264.4532</x:v>
      </x:c>
      <x:c r="O228" s="10" t="n">
        <x:f>H228*'Assumptions'!$P$122*'Assumptions'!$Q$122*'Assumptions'!$D$11*(1+'Assumptions'!$D$13)^(2-1)</x:f>
        <x:v>153.573</x:v>
      </x:c>
      <x:c r="P228" s="10" t="n">
        <x:f>H228*'Assumptions'!$R$122*'Assumptions'!$D$11*(1+'Assumptions'!$D$13)^(2-1)</x:f>
        <x:v>0</x:v>
      </x:c>
      <x:c r="Q228" s="10" t="n">
        <x:f>J228*'Assumptions'!$S$122</x:f>
        <x:v>0</x:v>
      </x:c>
      <x:c r="R228" s="10" t="n">
        <x:f>H228*'Assumptions'!$Y$122*'Assumptions'!$Z$122*'Assumptions'!$D$11*(1+'Assumptions'!$D$13)^(2-1)</x:f>
        <x:v>78.98039999999999</x:v>
      </x:c>
      <x:c r="S228" s="10" t="n">
        <x:f>IF(I228=0,0,J228*'Assumptions'!$W$122+H228*'Assumptions'!$X$122)</x:f>
        <x:v>257.1336</x:v>
      </x:c>
      <x:c r="T228" s="10" t="n">
        <x:f>N228*'Assumptions'!$AA$122</x:f>
        <x:v>63.22266</x:v>
      </x:c>
      <x:c r="U228" s="10" t="n">
        <x:f>'Assumptions'!$AE$122*'Assumptions'!$D$11*(1+'Assumptions'!$D$13)^(2-1)</x:f>
        <x:v>0</x:v>
      </x:c>
      <x:c r="V228" s="10" t="n">
        <x:f>0</x:f>
        <x:v>0</x:v>
      </x:c>
      <x:c r="W228" s="10" t="n">
        <x:f>H228*('Assumptions'!$P$122+'Assumptions'!$Y$122)</x:f>
        <x:v>6.816</x:v>
      </x:c>
      <x:c r="X228" s="10" t="n">
        <x:f>N228/12*'Assumptions'!$AF$122</x:f>
        <x:v>0</x:v>
      </x:c>
      <x:c r="Y228" s="10" t="n">
        <x:f>P228/12</x:f>
        <x:v>0</x:v>
      </x:c>
      <x:c r="Z228" s="10" t="n">
        <x:f>0</x:f>
        <x:v>0</x:v>
      </x:c>
      <x:c r="AA228" s="10" t="n">
        <x:f>Z228*'Assumptions'!$AC$122*'Assumptions'!$D$11*(1+'Assumptions'!$D$13)^(2-1)</x:f>
        <x:v>0</x:v>
      </x:c>
      <x:c r="AB228" s="10" t="n">
        <x:f>F228/1</x:f>
        <x:v>8.64</x:v>
      </x:c>
      <x:c r="AC228" s="10" t="n">
        <x:f>AB228/'Assumptions'!$AM$122</x:f>
        <x:v>172.8</x:v>
      </x:c>
      <x:c r="AD228" s="10" t="n">
        <x:f>IF(AB228=0,0,T228/AB228)</x:f>
        <x:v>7.3174375</x:v>
      </x:c>
      <x:c r="AE228" s="10" t="n">
        <x:f>AA228*'Assumptions'!$D$21</x:f>
        <x:v>0</x:v>
      </x:c>
    </x:row>
    <x:row r="229" ht="16" customHeight="1">
      <x:c r="A229" s="1"/>
      <x:c r="B229" s="1"/>
      <x:c r="C229" s="1" t="str">
        <x:v>DOT-094</x:v>
      </x:c>
      <x:c r="D229" s="10" t="str">
        <x:v>Semajes premium and media</x:v>
      </x:c>
      <x:c r="E229" s="10" t="n">
        <x:v>2</x:v>
      </x:c>
      <x:c r="F229" s="21" t="n">
        <x:f>'Assumptions'!$I$123*(1-'Assumptions'!$K$123)*(1+'Assumptions'!$L$123)*'Assumptions'!$D$9*'Assumptions'!$D$8</x:f>
        <x:v>43.20000000000001</x:v>
      </x:c>
      <x:c r="G229" s="21" t="n">
        <x:f>H101*'Assumptions'!$K$123</x:f>
        <x:v>42</x:v>
      </x:c>
      <x:c r="H229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229+G229,NA())</x:f>
        <x:v>85.20000000000002</x:v>
      </x:c>
      <x:c r="I229" s="22" t="n">
        <x:f>'Assumptions'!$H$123*IF('Assumptions'!$O$123=1,1,'Assumptions'!$D$10)*(1+'Assumptions'!$N$123)^(2-1)</x:f>
        <x:v>9.18</x:v>
      </x:c>
      <x:c r="J229" s="10" t="n">
        <x:f>H229*I229</x:f>
        <x:v>782.1360000000001</x:v>
      </x:c>
      <x:c r="K229" s="10" t="n">
        <x:f>J229*'Assumptions'!$T$123</x:f>
        <x:v>782.1360000000001</x:v>
      </x:c>
      <x:c r="L229" s="10" t="n">
        <x:f>K229*'Assumptions'!$U$123</x:f>
        <x:v>23.464080000000003</x:v>
      </x:c>
      <x:c r="M229" s="10" t="n">
        <x:f>K229*'Assumptions'!$V$123</x:f>
        <x:v>0</x:v>
      </x:c>
      <x:c r="N229" s="10" t="n">
        <x:f>K229-L229-M229</x:f>
        <x:v>758.6719200000001</x:v>
      </x:c>
      <x:c r="O229" s="10" t="n">
        <x:f>H229*'Assumptions'!$P$123*'Assumptions'!$Q$123*'Assumptions'!$D$11*(1+'Assumptions'!$D$13)^(2-1)</x:f>
        <x:v>153.57300000000004</x:v>
      </x:c>
      <x:c r="P229" s="10" t="n">
        <x:f>H229*'Assumptions'!$R$123*'Assumptions'!$D$11*(1+'Assumptions'!$D$13)^(2-1)</x:f>
        <x:v>0</x:v>
      </x:c>
      <x:c r="Q229" s="10" t="n">
        <x:f>J229*'Assumptions'!$S$123</x:f>
        <x:v>0</x:v>
      </x:c>
      <x:c r="R229" s="10" t="n">
        <x:f>H229*'Assumptions'!$Y$123*'Assumptions'!$Z$123*'Assumptions'!$D$11*(1+'Assumptions'!$D$13)^(2-1)</x:f>
        <x:v>394.9020000000001</x:v>
      </x:c>
      <x:c r="S229" s="10" t="n">
        <x:f>IF(I229=0,0,J229*'Assumptions'!$W$123+H229*'Assumptions'!$X$123)</x:f>
        <x:v>48.24194400000001</x:v>
      </x:c>
      <x:c r="T229" s="10" t="n">
        <x:f>N229*'Assumptions'!$AA$123</x:f>
        <x:v>37.93359600000001</x:v>
      </x:c>
      <x:c r="U229" s="10" t="n">
        <x:f>'Assumptions'!$AE$123*'Assumptions'!$D$11*(1+'Assumptions'!$D$13)^(2-1)</x:f>
        <x:v>0</x:v>
      </x:c>
      <x:c r="V229" s="10" t="n">
        <x:f>0</x:f>
        <x:v>0</x:v>
      </x:c>
      <x:c r="W229" s="10" t="n">
        <x:f>H229*('Assumptions'!$P$123+'Assumptions'!$Y$123)</x:f>
        <x:v>17.040000000000003</x:v>
      </x:c>
      <x:c r="X229" s="10" t="n">
        <x:f>N229/12*'Assumptions'!$AF$123</x:f>
        <x:v>0</x:v>
      </x:c>
      <x:c r="Y229" s="10" t="n">
        <x:f>P229/12</x:f>
        <x:v>0</x:v>
      </x:c>
      <x:c r="Z229" s="10" t="n">
        <x:f>0</x:f>
        <x:v>0</x:v>
      </x:c>
      <x:c r="AA229" s="10" t="n">
        <x:f>Z229*'Assumptions'!$AC$123*'Assumptions'!$D$11*(1+'Assumptions'!$D$13)^(2-1)</x:f>
        <x:v>0</x:v>
      </x:c>
      <x:c r="AB229" s="10" t="n">
        <x:f>F229/12</x:f>
        <x:v>3.600000000000001</x:v>
      </x:c>
      <x:c r="AC229" s="10" t="n">
        <x:f>AB229/'Assumptions'!$AM$123</x:f>
        <x:v>72.00000000000001</x:v>
      </x:c>
      <x:c r="AD229" s="10" t="n">
        <x:f>IF(AB229=0,0,T229/AB229)</x:f>
        <x:v>10.53711</x:v>
      </x:c>
      <x:c r="AE229" s="10" t="n">
        <x:f>AA229*'Assumptions'!$D$21</x:f>
        <x:v>0</x:v>
      </x:c>
    </x:row>
    <x:row r="230" ht="16" customHeight="1">
      <x:c r="A230" s="1"/>
      <x:c r="B230" s="1"/>
      <x:c r="C230" s="1" t="str">
        <x:v>DOT-095</x:v>
      </x:c>
      <x:c r="D230" s="10" t="str">
        <x:v>Semajes premium and media</x:v>
      </x:c>
      <x:c r="E230" s="10" t="n">
        <x:v>2</x:v>
      </x:c>
      <x:c r="F230" s="21" t="n">
        <x:f>'Assumptions'!$I$124*(1-'Assumptions'!$K$124)*(1+'Assumptions'!$L$124)*'Assumptions'!$D$9*'Assumptions'!$D$8</x:f>
        <x:v>43.20000000000001</x:v>
      </x:c>
      <x:c r="G230" s="21" t="n">
        <x:f>H102*'Assumptions'!$K$124</x:f>
        <x:v>42</x:v>
      </x:c>
      <x:c r="H230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230+G230,NA())</x:f>
        <x:v>85.20000000000002</x:v>
      </x:c>
      <x:c r="I230" s="22" t="n">
        <x:f>'Assumptions'!$H$124*IF('Assumptions'!$O$124=1,1,'Assumptions'!$D$10)*(1+'Assumptions'!$N$124)^(2-1)</x:f>
        <x:v>19.38</x:v>
      </x:c>
      <x:c r="J230" s="10" t="n">
        <x:f>H230*I230</x:f>
        <x:v>1651.1760000000002</x:v>
      </x:c>
      <x:c r="K230" s="10" t="n">
        <x:f>J230*'Assumptions'!$T$124</x:f>
        <x:v>1651.1760000000002</x:v>
      </x:c>
      <x:c r="L230" s="10" t="n">
        <x:f>K230*'Assumptions'!$U$124</x:f>
        <x:v>49.53528</x:v>
      </x:c>
      <x:c r="M230" s="10" t="n">
        <x:f>K230*'Assumptions'!$V$124</x:f>
        <x:v>0</x:v>
      </x:c>
      <x:c r="N230" s="10" t="n">
        <x:f>K230-L230-M230</x:f>
        <x:v>1601.64072</x:v>
      </x:c>
      <x:c r="O230" s="10" t="n">
        <x:f>H230*'Assumptions'!$P$124*'Assumptions'!$Q$124*'Assumptions'!$D$11*(1+'Assumptions'!$D$13)^(2-1)</x:f>
        <x:v>307.1460000000001</x:v>
      </x:c>
      <x:c r="P230" s="10" t="n">
        <x:f>H230*'Assumptions'!$R$124*'Assumptions'!$D$11*(1+'Assumptions'!$D$13)^(2-1)</x:f>
        <x:v>0</x:v>
      </x:c>
      <x:c r="Q230" s="10" t="n">
        <x:f>J230*'Assumptions'!$S$124</x:f>
        <x:v>0</x:v>
      </x:c>
      <x:c r="R230" s="10" t="n">
        <x:f>H230*'Assumptions'!$Y$124*'Assumptions'!$Z$124*'Assumptions'!$D$11*(1+'Assumptions'!$D$13)^(2-1)</x:f>
        <x:v>394.9020000000001</x:v>
      </x:c>
      <x:c r="S230" s="10" t="n">
        <x:f>IF(I230=0,0,J230*'Assumptions'!$W$124+H230*'Assumptions'!$X$124)</x:f>
        <x:v>73.44410400000001</x:v>
      </x:c>
      <x:c r="T230" s="10" t="n">
        <x:f>N230*'Assumptions'!$AA$124</x:f>
        <x:v>80.08203600000002</x:v>
      </x:c>
      <x:c r="U230" s="10" t="n">
        <x:f>'Assumptions'!$AE$124*'Assumptions'!$D$11*(1+'Assumptions'!$D$13)^(2-1)</x:f>
        <x:v>0</x:v>
      </x:c>
      <x:c r="V230" s="10" t="n">
        <x:f>0</x:f>
        <x:v>0</x:v>
      </x:c>
      <x:c r="W230" s="10" t="n">
        <x:f>H230*('Assumptions'!$P$124+'Assumptions'!$Y$124)</x:f>
        <x:v>21.300000000000004</x:v>
      </x:c>
      <x:c r="X230" s="10" t="n">
        <x:f>N230/12*'Assumptions'!$AF$124</x:f>
        <x:v>0</x:v>
      </x:c>
      <x:c r="Y230" s="10" t="n">
        <x:f>P230/12</x:f>
        <x:v>0</x:v>
      </x:c>
      <x:c r="Z230" s="10" t="n">
        <x:f>0</x:f>
        <x:v>0</x:v>
      </x:c>
      <x:c r="AA230" s="10" t="n">
        <x:f>Z230*'Assumptions'!$AC$124*'Assumptions'!$D$11*(1+'Assumptions'!$D$13)^(2-1)</x:f>
        <x:v>0</x:v>
      </x:c>
      <x:c r="AB230" s="10" t="n">
        <x:f>F230/12</x:f>
        <x:v>3.600000000000001</x:v>
      </x:c>
      <x:c r="AC230" s="10" t="n">
        <x:f>AB230/'Assumptions'!$AM$124</x:f>
        <x:v>72.00000000000001</x:v>
      </x:c>
      <x:c r="AD230" s="10" t="n">
        <x:f>IF(AB230=0,0,T230/AB230)</x:f>
        <x:v>22.245009999999997</x:v>
      </x:c>
      <x:c r="AE230" s="10" t="n">
        <x:f>AA230*'Assumptions'!$D$21</x:f>
        <x:v>0</x:v>
      </x:c>
    </x:row>
    <x:row r="231" ht="16" customHeight="1">
      <x:c r="A231" s="1"/>
      <x:c r="B231" s="1"/>
      <x:c r="C231" s="1" t="str">
        <x:v>DOT-096</x:v>
      </x:c>
      <x:c r="D231" s="10" t="str">
        <x:v>Semajes premium and media</x:v>
      </x:c>
      <x:c r="E231" s="10" t="n">
        <x:v>2</x:v>
      </x:c>
      <x:c r="F231" s="21" t="n">
        <x:f>'Assumptions'!$I$125*(1-'Assumptions'!$K$125)*(1+'Assumptions'!$L$125)*'Assumptions'!$D$9*'Assumptions'!$D$8</x:f>
        <x:v>21.600000000000005</x:v>
      </x:c>
      <x:c r="G231" s="21" t="n">
        <x:f>H103*'Assumptions'!$K$125</x:f>
        <x:v>21</x:v>
      </x:c>
      <x:c r="H231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231+G231,NA())</x:f>
        <x:v>42.60000000000001</x:v>
      </x:c>
      <x:c r="I231" s="22" t="n">
        <x:f>'Assumptions'!$H$125*IF('Assumptions'!$O$125=1,1,'Assumptions'!$D$10)*(1+'Assumptions'!$N$125)^(2-1)</x:f>
        <x:v>39.78</x:v>
      </x:c>
      <x:c r="J231" s="10" t="n">
        <x:f>H231*I231</x:f>
        <x:v>1694.6280000000004</x:v>
      </x:c>
      <x:c r="K231" s="10" t="n">
        <x:f>J231*'Assumptions'!$T$125</x:f>
        <x:v>1694.6280000000004</x:v>
      </x:c>
      <x:c r="L231" s="10" t="n">
        <x:f>K231*'Assumptions'!$U$125</x:f>
        <x:v>50.83884000000001</x:v>
      </x:c>
      <x:c r="M231" s="10" t="n">
        <x:f>K231*'Assumptions'!$V$125</x:f>
        <x:v>0</x:v>
      </x:c>
      <x:c r="N231" s="10" t="n">
        <x:f>K231-L231-M231</x:f>
        <x:v>1643.7891600000003</x:v>
      </x:c>
      <x:c r="O231" s="10" t="n">
        <x:f>H231*'Assumptions'!$P$125*'Assumptions'!$Q$125*'Assumptions'!$D$11*(1+'Assumptions'!$D$13)^(2-1)</x:f>
        <x:v>307.1460000000001</x:v>
      </x:c>
      <x:c r="P231" s="10" t="n">
        <x:f>H231*'Assumptions'!$R$125*'Assumptions'!$D$11*(1+'Assumptions'!$D$13)^(2-1)</x:f>
        <x:v>0</x:v>
      </x:c>
      <x:c r="Q231" s="10" t="n">
        <x:f>J231*'Assumptions'!$S$125</x:f>
        <x:v>0</x:v>
      </x:c>
      <x:c r="R231" s="10" t="n">
        <x:f>H231*'Assumptions'!$Y$125*'Assumptions'!$Z$125*'Assumptions'!$D$11*(1+'Assumptions'!$D$13)^(2-1)</x:f>
        <x:v>197.45100000000005</x:v>
      </x:c>
      <x:c r="S231" s="10" t="n">
        <x:f>IF(I231=0,0,J231*'Assumptions'!$W$125+H231*'Assumptions'!$X$125)</x:f>
        <x:v>61.92421200000001</x:v>
      </x:c>
      <x:c r="T231" s="10" t="n">
        <x:f>N231*'Assumptions'!$AA$125</x:f>
        <x:v>82.18945800000002</x:v>
      </x:c>
      <x:c r="U231" s="10" t="n">
        <x:f>'Assumptions'!$AE$125*'Assumptions'!$D$11*(1+'Assumptions'!$D$13)^(2-1)</x:f>
        <x:v>0</x:v>
      </x:c>
      <x:c r="V231" s="10" t="n">
        <x:f>0</x:f>
        <x:v>0</x:v>
      </x:c>
      <x:c r="W231" s="10" t="n">
        <x:f>H231*('Assumptions'!$P$125+'Assumptions'!$Y$125)</x:f>
        <x:v>14.910000000000002</x:v>
      </x:c>
      <x:c r="X231" s="10" t="n">
        <x:f>N231/12*'Assumptions'!$AF$125</x:f>
        <x:v>0</x:v>
      </x:c>
      <x:c r="Y231" s="10" t="n">
        <x:f>P231/12</x:f>
        <x:v>0</x:v>
      </x:c>
      <x:c r="Z231" s="10" t="n">
        <x:f>0</x:f>
        <x:v>0</x:v>
      </x:c>
      <x:c r="AA231" s="10" t="n">
        <x:f>Z231*'Assumptions'!$AC$125*'Assumptions'!$D$11*(1+'Assumptions'!$D$13)^(2-1)</x:f>
        <x:v>0</x:v>
      </x:c>
      <x:c r="AB231" s="10" t="n">
        <x:f>F231/12</x:f>
        <x:v>1.8000000000000005</x:v>
      </x:c>
      <x:c r="AC231" s="10" t="n">
        <x:f>AB231/'Assumptions'!$AM$125</x:f>
        <x:v>36.00000000000001</x:v>
      </x:c>
      <x:c r="AD231" s="10" t="n">
        <x:f>IF(AB231=0,0,T231/AB231)</x:f>
        <x:v>45.66081</x:v>
      </x:c>
      <x:c r="AE231" s="10" t="n">
        <x:f>AA231*'Assumptions'!$D$21</x:f>
        <x:v>0</x:v>
      </x:c>
    </x:row>
    <x:row r="232" ht="16" customHeight="1">
      <x:c r="A232" s="1"/>
      <x:c r="B232" s="1"/>
      <x:c r="C232" s="1" t="str">
        <x:v>DOT-097</x:v>
      </x:c>
      <x:c r="D232" s="10" t="str">
        <x:v>Semajes premium and media</x:v>
      </x:c>
      <x:c r="E232" s="10" t="n">
        <x:v>2</x:v>
      </x:c>
      <x:c r="F232" s="21" t="n">
        <x:f>'Assumptions'!$I$126*(1-'Assumptions'!$K$126)*(1+'Assumptions'!$L$126)*'Assumptions'!$D$9*'Assumptions'!$D$8</x:f>
        <x:v>12.96</x:v>
      </x:c>
      <x:c r="G232" s="21" t="n">
        <x:f>H104*'Assumptions'!$K$126</x:f>
        <x:v>12.6</x:v>
      </x:c>
      <x:c r="H232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232+G232,NA())</x:f>
        <x:v>25.560000000000002</x:v>
      </x:c>
      <x:c r="I232" s="22" t="n">
        <x:f>'Assumptions'!$H$126*IF('Assumptions'!$O$126=1,1,'Assumptions'!$D$10)*(1+'Assumptions'!$N$126)^(2-1)</x:f>
        <x:v>100.98</x:v>
      </x:c>
      <x:c r="J232" s="10" t="n">
        <x:f>H232*I232</x:f>
        <x:v>2581.0488000000005</x:v>
      </x:c>
      <x:c r="K232" s="10" t="n">
        <x:f>J232*'Assumptions'!$T$126</x:f>
        <x:v>2581.0488000000005</x:v>
      </x:c>
      <x:c r="L232" s="10" t="n">
        <x:f>K232*'Assumptions'!$U$126</x:f>
        <x:v>77.431464</x:v>
      </x:c>
      <x:c r="M232" s="10" t="n">
        <x:f>K232*'Assumptions'!$V$126</x:f>
        <x:v>0</x:v>
      </x:c>
      <x:c r="N232" s="10" t="n">
        <x:f>K232-L232-M232</x:f>
        <x:v>2503.6173360000003</x:v>
      </x:c>
      <x:c r="O232" s="10" t="n">
        <x:f>H232*'Assumptions'!$P$126*'Assumptions'!$Q$126*'Assumptions'!$D$11*(1+'Assumptions'!$D$13)^(2-1)</x:f>
        <x:v>921.4380000000002</x:v>
      </x:c>
      <x:c r="P232" s="10" t="n">
        <x:f>H232*'Assumptions'!$R$126*'Assumptions'!$D$11*(1+'Assumptions'!$D$13)^(2-1)</x:f>
        <x:v>0</x:v>
      </x:c>
      <x:c r="Q232" s="10" t="n">
        <x:f>J232*'Assumptions'!$S$126</x:f>
        <x:v>0</x:v>
      </x:c>
      <x:c r="R232" s="10" t="n">
        <x:f>H232*'Assumptions'!$Y$126*'Assumptions'!$Z$126*'Assumptions'!$D$11*(1+'Assumptions'!$D$13)^(2-1)</x:f>
        <x:v>118.4706</x:v>
      </x:c>
      <x:c r="S232" s="10" t="n">
        <x:f>IF(I232=0,0,J232*'Assumptions'!$W$126+H232*'Assumptions'!$X$126)</x:f>
        <x:v>82.51841520000002</x:v>
      </x:c>
      <x:c r="T232" s="10" t="n">
        <x:f>N232*'Assumptions'!$AA$126</x:f>
        <x:v>125.18086680000002</x:v>
      </x:c>
      <x:c r="U232" s="10" t="n">
        <x:f>'Assumptions'!$AE$126*'Assumptions'!$D$11*(1+'Assumptions'!$D$13)^(2-1)</x:f>
        <x:v>0</x:v>
      </x:c>
      <x:c r="V232" s="10" t="n">
        <x:f>0</x:f>
        <x:v>0</x:v>
      </x:c>
      <x:c r="W232" s="10" t="n">
        <x:f>H232*('Assumptions'!$P$126+'Assumptions'!$Y$126)</x:f>
        <x:v>29.394000000000002</x:v>
      </x:c>
      <x:c r="X232" s="10" t="n">
        <x:f>N232/12*'Assumptions'!$AF$126</x:f>
        <x:v>0</x:v>
      </x:c>
      <x:c r="Y232" s="10" t="n">
        <x:f>P232/12</x:f>
        <x:v>0</x:v>
      </x:c>
      <x:c r="Z232" s="10" t="n">
        <x:f>0</x:f>
        <x:v>0</x:v>
      </x:c>
      <x:c r="AA232" s="10" t="n">
        <x:f>Z232*'Assumptions'!$AC$126*'Assumptions'!$D$11*(1+'Assumptions'!$D$13)^(2-1)</x:f>
        <x:v>0</x:v>
      </x:c>
      <x:c r="AB232" s="10" t="n">
        <x:f>F232/1</x:f>
        <x:v>12.96</x:v>
      </x:c>
      <x:c r="AC232" s="10" t="n">
        <x:f>AB232/'Assumptions'!$AM$126</x:f>
        <x:v>259.2</x:v>
      </x:c>
      <x:c r="AD232" s="10" t="n">
        <x:f>IF(AB232=0,0,T232/AB232)</x:f>
        <x:v>9.659017500000001</x:v>
      </x:c>
      <x:c r="AE232" s="10" t="n">
        <x:f>AA232*'Assumptions'!$D$21</x:f>
        <x:v>0</x:v>
      </x:c>
    </x:row>
    <x:row r="233" ht="16" customHeight="1">
      <x:c r="A233" s="1"/>
      <x:c r="B233" s="1"/>
      <x:c r="C233" s="1" t="str">
        <x:v>DOT-098</x:v>
      </x:c>
      <x:c r="D233" s="10" t="str">
        <x:v>Semajes premium and media</x:v>
      </x:c>
      <x:c r="E233" s="10" t="n">
        <x:v>2</x:v>
      </x:c>
      <x:c r="F233" s="21" t="n">
        <x:f>'Assumptions'!$I$127*(1-'Assumptions'!$K$127)*(1+'Assumptions'!$L$127)*'Assumptions'!$D$9*'Assumptions'!$D$8</x:f>
        <x:v>6.48</x:v>
      </x:c>
      <x:c r="G233" s="21" t="n">
        <x:f>H105*'Assumptions'!$K$127</x:f>
        <x:v>6.3</x:v>
      </x:c>
      <x:c r="H233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233+G233,NA())</x:f>
        <x:v>12.780000000000001</x:v>
      </x:c>
      <x:c r="I233" s="22" t="n">
        <x:f>'Assumptions'!$H$127*IF('Assumptions'!$O$127=1,1,'Assumptions'!$D$10)*(1+'Assumptions'!$N$127)^(2-1)</x:f>
        <x:v>253.98000000000002</x:v>
      </x:c>
      <x:c r="J233" s="10" t="n">
        <x:f>H233*I233</x:f>
        <x:v>3245.8644000000004</x:v>
      </x:c>
      <x:c r="K233" s="10" t="n">
        <x:f>J233*'Assumptions'!$T$127</x:f>
        <x:v>3245.8644000000004</x:v>
      </x:c>
      <x:c r="L233" s="10" t="n">
        <x:f>K233*'Assumptions'!$U$127</x:f>
        <x:v>97.375932</x:v>
      </x:c>
      <x:c r="M233" s="10" t="n">
        <x:f>K233*'Assumptions'!$V$127</x:f>
        <x:v>0</x:v>
      </x:c>
      <x:c r="N233" s="10" t="n">
        <x:f>K233-L233-M233</x:f>
        <x:v>3148.4884680000005</x:v>
      </x:c>
      <x:c r="O233" s="10" t="n">
        <x:f>H233*'Assumptions'!$P$127*'Assumptions'!$Q$127*'Assumptions'!$D$11*(1+'Assumptions'!$D$13)^(2-1)</x:f>
        <x:v>1382.1570000000002</x:v>
      </x:c>
      <x:c r="P233" s="10" t="n">
        <x:f>H233*'Assumptions'!$R$127*'Assumptions'!$D$11*(1+'Assumptions'!$D$13)^(2-1)</x:f>
        <x:v>0</x:v>
      </x:c>
      <x:c r="Q233" s="10" t="n">
        <x:f>J233*'Assumptions'!$S$127</x:f>
        <x:v>0</x:v>
      </x:c>
      <x:c r="R233" s="10" t="n">
        <x:f>H233*'Assumptions'!$Y$127*'Assumptions'!$Z$127*'Assumptions'!$D$11*(1+'Assumptions'!$D$13)^(2-1)</x:f>
        <x:v>59.2353</x:v>
      </x:c>
      <x:c r="S233" s="10" t="n">
        <x:f>IF(I233=0,0,J233*'Assumptions'!$W$127+H233*'Assumptions'!$X$127)</x:f>
        <x:v>97.96406760000002</x:v>
      </x:c>
      <x:c r="T233" s="10" t="n">
        <x:f>N233*'Assumptions'!$AA$127</x:f>
        <x:v>157.42442340000002</x:v>
      </x:c>
      <x:c r="U233" s="10" t="n">
        <x:f>'Assumptions'!$AE$127*'Assumptions'!$D$11*(1+'Assumptions'!$D$13)^(2-1)</x:f>
        <x:v>0</x:v>
      </x:c>
      <x:c r="V233" s="10" t="n">
        <x:f>0</x:f>
        <x:v>0</x:v>
      </x:c>
      <x:c r="W233" s="10" t="n">
        <x:f>H233*('Assumptions'!$P$127+'Assumptions'!$Y$127)</x:f>
        <x:v>40.257000000000005</x:v>
      </x:c>
      <x:c r="X233" s="10" t="n">
        <x:f>N233/12*'Assumptions'!$AF$127</x:f>
        <x:v>0</x:v>
      </x:c>
      <x:c r="Y233" s="10" t="n">
        <x:f>P233/12</x:f>
        <x:v>0</x:v>
      </x:c>
      <x:c r="Z233" s="10" t="n">
        <x:f>0</x:f>
        <x:v>0</x:v>
      </x:c>
      <x:c r="AA233" s="10" t="n">
        <x:f>Z233*'Assumptions'!$AC$127*'Assumptions'!$D$11*(1+'Assumptions'!$D$13)^(2-1)</x:f>
        <x:v>0</x:v>
      </x:c>
      <x:c r="AB233" s="10" t="n">
        <x:f>F233/1</x:f>
        <x:v>6.48</x:v>
      </x:c>
      <x:c r="AC233" s="10" t="n">
        <x:f>AB233/'Assumptions'!$AM$127</x:f>
        <x:v>129.6</x:v>
      </x:c>
      <x:c r="AD233" s="10" t="n">
        <x:f>IF(AB233=0,0,T233/AB233)</x:f>
        <x:v>24.293892500000002</x:v>
      </x:c>
      <x:c r="AE233" s="10" t="n">
        <x:f>AA233*'Assumptions'!$D$21</x:f>
        <x:v>0</x:v>
      </x:c>
    </x:row>
    <x:row r="234" ht="16" customHeight="1">
      <x:c r="A234" s="1"/>
      <x:c r="B234" s="1"/>
      <x:c r="C234" s="1" t="str">
        <x:v>DOT-099</x:v>
      </x:c>
      <x:c r="D234" s="10" t="str">
        <x:v>Semajes premium and media</x:v>
      </x:c>
      <x:c r="E234" s="10" t="n">
        <x:v>2</x:v>
      </x:c>
      <x:c r="F234" s="21" t="n">
        <x:f>'Assumptions'!$I$128*(1-'Assumptions'!$K$128)*(1+'Assumptions'!$L$128)*'Assumptions'!$D$9*'Assumptions'!$D$8</x:f>
        <x:v>21.600000000000005</x:v>
      </x:c>
      <x:c r="G234" s="21" t="n">
        <x:f>H106*'Assumptions'!$K$128</x:f>
        <x:v>21</x:v>
      </x:c>
      <x:c r="H234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234+G234,NA())</x:f>
        <x:v>42.60000000000001</x:v>
      </x:c>
      <x:c r="I234" s="22" t="n">
        <x:f>'Assumptions'!$H$128*IF('Assumptions'!$O$128=1,1,'Assumptions'!$D$10)*(1+'Assumptions'!$N$128)^(2-1)</x:f>
        <x:v>29.580000000000002</x:v>
      </x:c>
      <x:c r="J234" s="10" t="n">
        <x:f>H234*I234</x:f>
        <x:v>1260.1080000000004</x:v>
      </x:c>
      <x:c r="K234" s="10" t="n">
        <x:f>J234*'Assumptions'!$T$128</x:f>
        <x:v>1260.1080000000004</x:v>
      </x:c>
      <x:c r="L234" s="10" t="n">
        <x:f>K234*'Assumptions'!$U$128</x:f>
        <x:v>37.80324000000001</x:v>
      </x:c>
      <x:c r="M234" s="10" t="n">
        <x:f>K234*'Assumptions'!$V$128</x:f>
        <x:v>0</x:v>
      </x:c>
      <x:c r="N234" s="10" t="n">
        <x:f>K234-L234-M234</x:f>
        <x:v>1222.3047600000004</x:v>
      </x:c>
      <x:c r="O234" s="10" t="n">
        <x:f>H234*'Assumptions'!$P$128*'Assumptions'!$Q$128*'Assumptions'!$D$11*(1+'Assumptions'!$D$13)^(2-1)</x:f>
        <x:v>230.35950000000008</x:v>
      </x:c>
      <x:c r="P234" s="10" t="n">
        <x:f>H234*'Assumptions'!$R$128*'Assumptions'!$D$11*(1+'Assumptions'!$D$13)^(2-1)</x:f>
        <x:v>0</x:v>
      </x:c>
      <x:c r="Q234" s="10" t="n">
        <x:f>J234*'Assumptions'!$S$128</x:f>
        <x:v>0</x:v>
      </x:c>
      <x:c r="R234" s="10" t="n">
        <x:f>H234*'Assumptions'!$Y$128*'Assumptions'!$Z$128*'Assumptions'!$D$11*(1+'Assumptions'!$D$13)^(2-1)</x:f>
        <x:v>197.45100000000005</x:v>
      </x:c>
      <x:c r="S234" s="10" t="n">
        <x:f>IF(I234=0,0,J234*'Assumptions'!$W$128+H234*'Assumptions'!$X$128)</x:f>
        <x:v>49.323132000000015</x:v>
      </x:c>
      <x:c r="T234" s="10" t="n">
        <x:f>N234*'Assumptions'!$AA$128</x:f>
        <x:v>61.115238000000026</x:v>
      </x:c>
      <x:c r="U234" s="10" t="n">
        <x:f>'Assumptions'!$AE$128*'Assumptions'!$D$11*(1+'Assumptions'!$D$13)^(2-1)</x:f>
        <x:v>0</x:v>
      </x:c>
      <x:c r="V234" s="10" t="n">
        <x:f>0</x:f>
        <x:v>0</x:v>
      </x:c>
      <x:c r="W234" s="10" t="n">
        <x:f>H234*('Assumptions'!$P$128+'Assumptions'!$Y$128)</x:f>
        <x:v>12.780000000000003</x:v>
      </x:c>
      <x:c r="X234" s="10" t="n">
        <x:f>N234/12*'Assumptions'!$AF$128</x:f>
        <x:v>0</x:v>
      </x:c>
      <x:c r="Y234" s="10" t="n">
        <x:f>P234/12</x:f>
        <x:v>0</x:v>
      </x:c>
      <x:c r="Z234" s="10" t="n">
        <x:f>0</x:f>
        <x:v>0</x:v>
      </x:c>
      <x:c r="AA234" s="10" t="n">
        <x:f>Z234*'Assumptions'!$AC$128*'Assumptions'!$D$11*(1+'Assumptions'!$D$13)^(2-1)</x:f>
        <x:v>0</x:v>
      </x:c>
      <x:c r="AB234" s="10" t="n">
        <x:f>F234/1</x:f>
        <x:v>21.600000000000005</x:v>
      </x:c>
      <x:c r="AC234" s="10" t="n">
        <x:f>AB234/'Assumptions'!$AM$128</x:f>
        <x:v>432.00000000000006</x:v>
      </x:c>
      <x:c r="AD234" s="10" t="n">
        <x:f>IF(AB234=0,0,T234/AB234)</x:f>
        <x:v>2.829409166666667</x:v>
      </x:c>
      <x:c r="AE234" s="10" t="n">
        <x:f>AA234*'Assumptions'!$D$21</x:f>
        <x:v>0</x:v>
      </x:c>
    </x:row>
    <x:row r="235" ht="16" customHeight="1">
      <x:c r="A235" s="1"/>
      <x:c r="B235" s="1"/>
      <x:c r="C235" s="1" t="str">
        <x:v>DOT-100</x:v>
      </x:c>
      <x:c r="D235" s="10" t="str">
        <x:v>Semajes courses</x:v>
      </x:c>
      <x:c r="E235" s="10" t="n">
        <x:v>2</x:v>
      </x:c>
      <x:c r="F235" s="21" t="n">
        <x:f>'Assumptions'!$I$129*(1-'Assumptions'!$K$129)*(1+'Assumptions'!$L$129)*'Assumptions'!$D$9*'Assumptions'!$D$8</x:f>
        <x:v>206.99999999999997</x:v>
      </x:c>
      <x:c r="G235" s="21" t="n">
        <x:f>H107*'Assumptions'!$K$129</x:f>
        <x:v>45</x:v>
      </x:c>
      <x:c r="H235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235+G235,NA())</x:f>
        <x:v>251.99999999999997</x:v>
      </x:c>
      <x:c r="I235" s="22" t="n">
        <x:f>'Assumptions'!$H$129*IF('Assumptions'!$O$129=1,1,'Assumptions'!$D$10)*(1+'Assumptions'!$N$129)^(2-1)</x:f>
        <x:v>39.78</x:v>
      </x:c>
      <x:c r="J235" s="10" t="n">
        <x:f>H235*I235</x:f>
        <x:v>10024.56</x:v>
      </x:c>
      <x:c r="K235" s="10" t="n">
        <x:f>J235*'Assumptions'!$T$129</x:f>
        <x:v>10024.56</x:v>
      </x:c>
      <x:c r="L235" s="10" t="n">
        <x:f>K235*'Assumptions'!$U$129</x:f>
        <x:v>300.73679999999996</x:v>
      </x:c>
      <x:c r="M235" s="10" t="n">
        <x:f>K235*'Assumptions'!$V$129</x:f>
        <x:v>0</x:v>
      </x:c>
      <x:c r="N235" s="10" t="n">
        <x:f>K235-L235-M235</x:f>
        <x:v>9723.823199999999</x:v>
      </x:c>
      <x:c r="O235" s="10" t="n">
        <x:f>H235*'Assumptions'!$P$129*'Assumptions'!$Q$129*'Assumptions'!$D$11*(1+'Assumptions'!$D$13)^(2-1)</x:f>
        <x:v>1362.69</x:v>
      </x:c>
      <x:c r="P235" s="10" t="n">
        <x:f>H235*'Assumptions'!$R$129*'Assumptions'!$D$11*(1+'Assumptions'!$D$13)^(2-1)</x:f>
        <x:v>0</x:v>
      </x:c>
      <x:c r="Q235" s="10" t="n">
        <x:f>J235*'Assumptions'!$S$129</x:f>
        <x:v>0</x:v>
      </x:c>
      <x:c r="R235" s="10" t="n">
        <x:f>H235*'Assumptions'!$Y$129*'Assumptions'!$Z$129*'Assumptions'!$D$11*(1+'Assumptions'!$D$13)^(2-1)</x:f>
        <x:v>778.6800000000001</x:v>
      </x:c>
      <x:c r="S235" s="10" t="n">
        <x:f>IF(I235=0,0,J235*'Assumptions'!$W$129+H235*'Assumptions'!$X$129)</x:f>
        <x:v>366.31224</x:v>
      </x:c>
      <x:c r="T235" s="10" t="n">
        <x:f>N235*'Assumptions'!$AA$129</x:f>
        <x:v>486.19115999999997</x:v>
      </x:c>
      <x:c r="U235" s="10" t="n">
        <x:f>'Assumptions'!$AE$129*'Assumptions'!$D$11*(1+'Assumptions'!$D$13)^(2-1)</x:f>
        <x:v>0</x:v>
      </x:c>
      <x:c r="V235" s="10" t="n">
        <x:f>0</x:f>
        <x:v>0</x:v>
      </x:c>
      <x:c r="W235" s="10" t="n">
        <x:f>H235*('Assumptions'!$P$129+'Assumptions'!$Y$129)</x:f>
        <x:v>62.99999999999999</x:v>
      </x:c>
      <x:c r="X235" s="10" t="n">
        <x:f>N235/12*'Assumptions'!$AF$129</x:f>
        <x:v>0</x:v>
      </x:c>
      <x:c r="Y235" s="10" t="n">
        <x:f>P235/12</x:f>
        <x:v>0</x:v>
      </x:c>
      <x:c r="Z235" s="10" t="n">
        <x:f>0</x:f>
        <x:v>0</x:v>
      </x:c>
      <x:c r="AA235" s="10" t="n">
        <x:f>Z235*'Assumptions'!$AC$129*'Assumptions'!$D$11*(1+'Assumptions'!$D$13)^(2-1)</x:f>
        <x:v>0</x:v>
      </x:c>
      <x:c r="AB235" s="10" t="n">
        <x:f>F235/1</x:f>
        <x:v>206.99999999999997</x:v>
      </x:c>
      <x:c r="AC235" s="10" t="n">
        <x:f>AB235/'Assumptions'!$AM$129</x:f>
        <x:v>4139.999999999999</x:v>
      </x:c>
      <x:c r="AD235" s="10" t="n">
        <x:f>IF(AB235=0,0,T235/AB235)</x:f>
        <x:v>2.3487495652173913</x:v>
      </x:c>
      <x:c r="AE235" s="10" t="n">
        <x:f>AA235*'Assumptions'!$D$21</x:f>
        <x:v>0</x:v>
      </x:c>
    </x:row>
    <x:row r="236" ht="16" customHeight="1">
      <x:c r="A236" s="1"/>
      <x:c r="B236" s="1"/>
      <x:c r="C236" s="1" t="str">
        <x:v>DOT-101</x:v>
      </x:c>
      <x:c r="D236" s="10" t="str">
        <x:v>Sleepy Face</x:v>
      </x:c>
      <x:c r="E236" s="10" t="n">
        <x:v>2</x:v>
      </x:c>
      <x:c r="F236" s="21" t="n">
        <x:f>'Assumptions'!$I$130*(1-'Assumptions'!$K$130)*(1+'Assumptions'!$L$130)*'Assumptions'!$D$9*'Assumptions'!$D$8</x:f>
        <x:v>188.16000000000003</x:v>
      </x:c>
      <x:c r="G236" s="21" t="n">
        <x:f>H108*'Assumptions'!$K$130</x:f>
        <x:v>36</x:v>
      </x:c>
      <x:c r="H236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236+G236,NA())</x:f>
        <x:v>224.16000000000003</x:v>
      </x:c>
      <x:c r="I236" s="22" t="n">
        <x:f>'Assumptions'!$H$130*IF('Assumptions'!$O$130=1,1,'Assumptions'!$D$10)*(1+'Assumptions'!$N$130)^(2-1)</x:f>
        <x:v>96.9</x:v>
      </x:c>
      <x:c r="J236" s="10" t="n">
        <x:f>H236*I236</x:f>
        <x:v>21721.104000000003</x:v>
      </x:c>
      <x:c r="K236" s="10" t="n">
        <x:f>J236*'Assumptions'!$T$130</x:f>
        <x:v>21721.104000000003</x:v>
      </x:c>
      <x:c r="L236" s="10" t="n">
        <x:f>K236*'Assumptions'!$U$130</x:f>
        <x:v>1737.6883200000002</x:v>
      </x:c>
      <x:c r="M236" s="10" t="n">
        <x:f>K236*'Assumptions'!$V$130</x:f>
        <x:v>434.42208000000005</x:v>
      </x:c>
      <x:c r="N236" s="10" t="n">
        <x:f>K236-L236-M236</x:f>
        <x:v>19548.9936</x:v>
      </x:c>
      <x:c r="O236" s="10" t="n">
        <x:f>H236*'Assumptions'!$P$130*'Assumptions'!$Q$130*'Assumptions'!$D$11*(1+'Assumptions'!$D$13)^(2-1)</x:f>
        <x:v>1212.1452000000002</x:v>
      </x:c>
      <x:c r="P236" s="10" t="n">
        <x:f>H236*'Assumptions'!$R$130*'Assumptions'!$D$11*(1+'Assumptions'!$D$13)^(2-1)</x:f>
        <x:v>6926.544000000002</x:v>
      </x:c>
      <x:c r="Q236" s="10" t="n">
        <x:f>J236*'Assumptions'!$S$130</x:f>
        <x:v>0</x:v>
      </x:c>
      <x:c r="R236" s="10" t="n">
        <x:f>H236*'Assumptions'!$Y$130*'Assumptions'!$Z$130*'Assumptions'!$D$11*(1+'Assumptions'!$D$13)^(2-1)</x:f>
        <x:v>1038.9816</x:v>
      </x:c>
      <x:c r="S236" s="10" t="n">
        <x:f>IF(I236=0,0,J236*'Assumptions'!$W$130+H236*'Assumptions'!$X$130)</x:f>
        <x:v>697.1600160000002</x:v>
      </x:c>
      <x:c r="T236" s="10" t="n">
        <x:f>N236*'Assumptions'!$AA$130</x:f>
        <x:v>1563.9194880000002</x:v>
      </x:c>
      <x:c r="U236" s="10" t="n">
        <x:f>'Assumptions'!$AE$130*'Assumptions'!$D$11*(1+'Assumptions'!$D$13)^(2-1)</x:f>
        <x:v>0</x:v>
      </x:c>
      <x:c r="V236" s="10" t="n">
        <x:f>0</x:f>
        <x:v>0</x:v>
      </x:c>
      <x:c r="W236" s="10" t="n">
        <x:f>H236*('Assumptions'!$P$130+'Assumptions'!$Y$130)</x:f>
        <x:v>67.248</x:v>
      </x:c>
      <x:c r="X236" s="10" t="n">
        <x:f>N236/12*'Assumptions'!$AF$130</x:f>
        <x:v>0</x:v>
      </x:c>
      <x:c r="Y236" s="10" t="n">
        <x:f>P236/12</x:f>
        <x:v>577.2120000000001</x:v>
      </x:c>
      <x:c r="Z236" s="10" t="n">
        <x:f>0</x:f>
        <x:v>0</x:v>
      </x:c>
      <x:c r="AA236" s="10" t="n">
        <x:f>Z236*'Assumptions'!$AC$130*'Assumptions'!$D$11*(1+'Assumptions'!$D$13)^(2-1)</x:f>
        <x:v>0</x:v>
      </x:c>
      <x:c r="AB236" s="10" t="n">
        <x:f>F236/1</x:f>
        <x:v>188.16000000000003</x:v>
      </x:c>
      <x:c r="AC236" s="10" t="n">
        <x:f>AB236/'Assumptions'!$AM$130</x:f>
        <x:v>6272.000000000001</x:v>
      </x:c>
      <x:c r="AD236" s="10" t="n">
        <x:f>IF(AB236=0,0,T236/AB236)</x:f>
        <x:v>8.31164693877551</x:v>
      </x:c>
      <x:c r="AE236" s="10" t="n">
        <x:f>AA236*'Assumptions'!$D$21</x:f>
        <x:v>0</x:v>
      </x:c>
    </x:row>
    <x:row r="237" ht="16" customHeight="1">
      <x:c r="A237" s="1"/>
      <x:c r="B237" s="1"/>
      <x:c r="C237" s="1" t="str">
        <x:v>DOT-102</x:v>
      </x:c>
      <x:c r="D237" s="10" t="str">
        <x:v>Sleepy Face</x:v>
      </x:c>
      <x:c r="E237" s="10" t="n">
        <x:v>2</x:v>
      </x:c>
      <x:c r="F237" s="21" t="n">
        <x:f>'Assumptions'!$I$131*(1-'Assumptions'!$K$131)*(1+'Assumptions'!$L$131)*'Assumptions'!$D$9*'Assumptions'!$D$8</x:f>
        <x:v>282.24</x:v>
      </x:c>
      <x:c r="G237" s="21" t="n">
        <x:f>H109*'Assumptions'!$K$131</x:f>
        <x:v>54</x:v>
      </x:c>
      <x:c r="H237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237+G237,NA())</x:f>
        <x:v>336.24</x:v>
      </x:c>
      <x:c r="I237" s="22" t="n">
        <x:f>'Assumptions'!$H$131*IF('Assumptions'!$O$131=1,1,'Assumptions'!$D$10)*(1+'Assumptions'!$N$131)^(2-1)</x:f>
        <x:v>168.3</x:v>
      </x:c>
      <x:c r="J237" s="10" t="n">
        <x:f>H237*I237</x:f>
        <x:v>56589.192</x:v>
      </x:c>
      <x:c r="K237" s="10" t="n">
        <x:f>J237*'Assumptions'!$T$131</x:f>
        <x:v>56589.192</x:v>
      </x:c>
      <x:c r="L237" s="10" t="n">
        <x:f>K237*'Assumptions'!$U$131</x:f>
        <x:v>4527.13536</x:v>
      </x:c>
      <x:c r="M237" s="10" t="n">
        <x:f>K237*'Assumptions'!$V$131</x:f>
        <x:v>1131.78384</x:v>
      </x:c>
      <x:c r="N237" s="10" t="n">
        <x:f>K237-L237-M237</x:f>
        <x:v>50930.272800000006</x:v>
      </x:c>
      <x:c r="O237" s="10" t="n">
        <x:f>H237*'Assumptions'!$P$131*'Assumptions'!$Q$131*'Assumptions'!$D$11*(1+'Assumptions'!$D$13)^(2-1)</x:f>
        <x:v>1818.2178000000001</x:v>
      </x:c>
      <x:c r="P237" s="10" t="n">
        <x:f>H237*'Assumptions'!$R$131*'Assumptions'!$D$11*(1+'Assumptions'!$D$13)^(2-1)</x:f>
        <x:v>20779.632</x:v>
      </x:c>
      <x:c r="Q237" s="10" t="n">
        <x:f>J237*'Assumptions'!$S$131</x:f>
        <x:v>0</x:v>
      </x:c>
      <x:c r="R237" s="10" t="n">
        <x:f>H237*'Assumptions'!$Y$131*'Assumptions'!$Z$131*'Assumptions'!$D$11*(1+'Assumptions'!$D$13)^(2-1)</x:f>
        <x:v>1558.4723999999999</x:v>
      </x:c>
      <x:c r="S237" s="10" t="n">
        <x:f>IF(I237=0,0,J237*'Assumptions'!$W$131+H237*'Assumptions'!$X$131)</x:f>
        <x:v>1741.9585680000002</x:v>
      </x:c>
      <x:c r="T237" s="10" t="n">
        <x:f>N237*'Assumptions'!$AA$131</x:f>
        <x:v>4074.4218240000005</x:v>
      </x:c>
      <x:c r="U237" s="10" t="n">
        <x:f>'Assumptions'!$AE$131*'Assumptions'!$D$11*(1+'Assumptions'!$D$13)^(2-1)</x:f>
        <x:v>0</x:v>
      </x:c>
      <x:c r="V237" s="10" t="n">
        <x:f>0</x:f>
        <x:v>0</x:v>
      </x:c>
      <x:c r="W237" s="10" t="n">
        <x:f>H237*('Assumptions'!$P$131+'Assumptions'!$Y$131)</x:f>
        <x:v>100.872</x:v>
      </x:c>
      <x:c r="X237" s="10" t="n">
        <x:f>N237/12*'Assumptions'!$AF$131</x:f>
        <x:v>0</x:v>
      </x:c>
      <x:c r="Y237" s="10" t="n">
        <x:f>P237/12</x:f>
        <x:v>1731.6360000000002</x:v>
      </x:c>
      <x:c r="Z237" s="10" t="n">
        <x:f>0</x:f>
        <x:v>0</x:v>
      </x:c>
      <x:c r="AA237" s="10" t="n">
        <x:f>Z237*'Assumptions'!$AC$131*'Assumptions'!$D$11*(1+'Assumptions'!$D$13)^(2-1)</x:f>
        <x:v>0</x:v>
      </x:c>
      <x:c r="AB237" s="10" t="n">
        <x:f>F237/1</x:f>
        <x:v>282.24</x:v>
      </x:c>
      <x:c r="AC237" s="10" t="n">
        <x:f>AB237/'Assumptions'!$AM$131</x:f>
        <x:v>9408</x:v>
      </x:c>
      <x:c r="AD237" s="10" t="n">
        <x:f>IF(AB237=0,0,T237/AB237)</x:f>
        <x:v>14.43601836734694</x:v>
      </x:c>
      <x:c r="AE237" s="10" t="n">
        <x:f>AA237*'Assumptions'!$D$21</x:f>
        <x:v>0</x:v>
      </x:c>
    </x:row>
    <x:row r="238" ht="16" customHeight="1">
      <x:c r="A238" s="1"/>
      <x:c r="B238" s="1"/>
      <x:c r="C238" s="1" t="str">
        <x:v>DOT-103</x:v>
      </x:c>
      <x:c r="D238" s="10" t="str">
        <x:v>Sleepy Face</x:v>
      </x:c>
      <x:c r="E238" s="10" t="n">
        <x:v>2</x:v>
      </x:c>
      <x:c r="F238" s="21" t="n">
        <x:f>'Assumptions'!$I$132*(1-'Assumptions'!$K$132)*(1+'Assumptions'!$L$132)*'Assumptions'!$D$9*'Assumptions'!$D$8</x:f>
        <x:v>62.720000000000006</x:v>
      </x:c>
      <x:c r="G238" s="21" t="n">
        <x:f>H110*'Assumptions'!$K$132</x:f>
        <x:v>12</x:v>
      </x:c>
      <x:c r="H238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238+G238,NA())</x:f>
        <x:v>74.72</x:v>
      </x:c>
      <x:c r="I238" s="22" t="n">
        <x:f>'Assumptions'!$H$132*IF('Assumptions'!$O$132=1,1,'Assumptions'!$D$10)*(1+'Assumptions'!$N$132)^(2-1)</x:f>
        <x:v>229.5</x:v>
      </x:c>
      <x:c r="J238" s="10" t="n">
        <x:f>H238*I238</x:f>
        <x:v>17148.239999999998</x:v>
      </x:c>
      <x:c r="K238" s="10" t="n">
        <x:f>J238*'Assumptions'!$T$132</x:f>
        <x:v>17148.239999999998</x:v>
      </x:c>
      <x:c r="L238" s="10" t="n">
        <x:f>K238*'Assumptions'!$U$132</x:f>
        <x:v>1371.8591999999999</x:v>
      </x:c>
      <x:c r="M238" s="10" t="n">
        <x:f>K238*'Assumptions'!$V$132</x:f>
        <x:v>342.96479999999997</x:v>
      </x:c>
      <x:c r="N238" s="10" t="n">
        <x:f>K238-L238-M238</x:f>
        <x:v>15433.416</x:v>
      </x:c>
      <x:c r="O238" s="10" t="n">
        <x:f>H238*'Assumptions'!$P$132*'Assumptions'!$Q$132*'Assumptions'!$D$11*(1+'Assumptions'!$D$13)^(2-1)</x:f>
        <x:v>404.0484</x:v>
      </x:c>
      <x:c r="P238" s="10" t="n">
        <x:f>H238*'Assumptions'!$R$132*'Assumptions'!$D$11*(1+'Assumptions'!$D$13)^(2-1)</x:f>
        <x:v>6926.544000000001</x:v>
      </x:c>
      <x:c r="Q238" s="10" t="n">
        <x:f>J238*'Assumptions'!$S$132</x:f>
        <x:v>0</x:v>
      </x:c>
      <x:c r="R238" s="10" t="n">
        <x:f>H238*'Assumptions'!$Y$132*'Assumptions'!$Z$132*'Assumptions'!$D$11*(1+'Assumptions'!$D$13)^(2-1)</x:f>
        <x:v>346.3272</x:v>
      </x:c>
      <x:c r="S238" s="10" t="n">
        <x:f>IF(I238=0,0,J238*'Assumptions'!$W$132+H238*'Assumptions'!$X$132)</x:f>
        <x:v>519.71496</x:v>
      </x:c>
      <x:c r="T238" s="10" t="n">
        <x:f>N238*'Assumptions'!$AA$132</x:f>
        <x:v>1234.67328</x:v>
      </x:c>
      <x:c r="U238" s="10" t="n">
        <x:f>'Assumptions'!$AE$132*'Assumptions'!$D$11*(1+'Assumptions'!$D$13)^(2-1)</x:f>
        <x:v>0</x:v>
      </x:c>
      <x:c r="V238" s="10" t="n">
        <x:f>0</x:f>
        <x:v>0</x:v>
      </x:c>
      <x:c r="W238" s="10" t="n">
        <x:f>H238*('Assumptions'!$P$132+'Assumptions'!$Y$132)</x:f>
        <x:v>22.416</x:v>
      </x:c>
      <x:c r="X238" s="10" t="n">
        <x:f>N238/12*'Assumptions'!$AF$132</x:f>
        <x:v>0</x:v>
      </x:c>
      <x:c r="Y238" s="10" t="n">
        <x:f>P238/12</x:f>
        <x:v>577.2120000000001</x:v>
      </x:c>
      <x:c r="Z238" s="10" t="n">
        <x:f>0</x:f>
        <x:v>0</x:v>
      </x:c>
      <x:c r="AA238" s="10" t="n">
        <x:f>Z238*'Assumptions'!$AC$132*'Assumptions'!$D$11*(1+'Assumptions'!$D$13)^(2-1)</x:f>
        <x:v>0</x:v>
      </x:c>
      <x:c r="AB238" s="10" t="n">
        <x:f>F238/1</x:f>
        <x:v>62.720000000000006</x:v>
      </x:c>
      <x:c r="AC238" s="10" t="n">
        <x:f>AB238/'Assumptions'!$AM$132</x:f>
        <x:v>2090.666666666667</x:v>
      </x:c>
      <x:c r="AD238" s="10" t="n">
        <x:f>IF(AB238=0,0,T238/AB238)</x:f>
        <x:v>19.68547959183673</x:v>
      </x:c>
      <x:c r="AE238" s="10" t="n">
        <x:f>AA238*'Assumptions'!$D$21</x:f>
        <x:v>0</x:v>
      </x:c>
    </x:row>
    <x:row r="239" ht="16" customHeight="1">
      <x:c r="A239" s="1"/>
      <x:c r="B239" s="1"/>
      <x:c r="C239" s="1" t="str">
        <x:v>DOT-104</x:v>
      </x:c>
      <x:c r="D239" s="10" t="str">
        <x:v>Sleepy Face</x:v>
      </x:c>
      <x:c r="E239" s="10" t="n">
        <x:v>2</x:v>
      </x:c>
      <x:c r="F239" s="21" t="n">
        <x:f>'Assumptions'!$I$133*(1-'Assumptions'!$K$133)*(1+'Assumptions'!$L$133)*'Assumptions'!$D$9*'Assumptions'!$D$8</x:f>
        <x:v>188.16000000000003</x:v>
      </x:c>
      <x:c r="G239" s="21" t="n">
        <x:f>H111*'Assumptions'!$K$133</x:f>
        <x:v>36</x:v>
      </x:c>
      <x:c r="H239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239+G239,NA())</x:f>
        <x:v>224.16000000000003</x:v>
      </x:c>
      <x:c r="I239" s="22" t="n">
        <x:f>'Assumptions'!$H$133*IF('Assumptions'!$O$133=1,1,'Assumptions'!$D$10)*(1+'Assumptions'!$N$133)^(2-1)</x:f>
        <x:v>96.9</x:v>
      </x:c>
      <x:c r="J239" s="10" t="n">
        <x:f>H239*I239</x:f>
        <x:v>21721.104000000003</x:v>
      </x:c>
      <x:c r="K239" s="10" t="n">
        <x:f>J239*'Assumptions'!$T$133</x:f>
        <x:v>21721.104000000003</x:v>
      </x:c>
      <x:c r="L239" s="10" t="n">
        <x:f>K239*'Assumptions'!$U$133</x:f>
        <x:v>1737.6883200000002</x:v>
      </x:c>
      <x:c r="M239" s="10" t="n">
        <x:f>K239*'Assumptions'!$V$133</x:f>
        <x:v>434.42208000000005</x:v>
      </x:c>
      <x:c r="N239" s="10" t="n">
        <x:f>K239-L239-M239</x:f>
        <x:v>19548.9936</x:v>
      </x:c>
      <x:c r="O239" s="10" t="n">
        <x:f>H239*'Assumptions'!$P$133*'Assumptions'!$Q$133*'Assumptions'!$D$11*(1+'Assumptions'!$D$13)^(2-1)</x:f>
        <x:v>1212.1452000000002</x:v>
      </x:c>
      <x:c r="P239" s="10" t="n">
        <x:f>H239*'Assumptions'!$R$133*'Assumptions'!$D$11*(1+'Assumptions'!$D$13)^(2-1)</x:f>
        <x:v>8080.968000000002</x:v>
      </x:c>
      <x:c r="Q239" s="10" t="n">
        <x:f>J239*'Assumptions'!$S$133</x:f>
        <x:v>0</x:v>
      </x:c>
      <x:c r="R239" s="10" t="n">
        <x:f>H239*'Assumptions'!$Y$133*'Assumptions'!$Z$133*'Assumptions'!$D$11*(1+'Assumptions'!$D$13)^(2-1)</x:f>
        <x:v>1038.9816</x:v>
      </x:c>
      <x:c r="S239" s="10" t="n">
        <x:f>IF(I239=0,0,J239*'Assumptions'!$W$133+H239*'Assumptions'!$X$133)</x:f>
        <x:v>697.1600160000002</x:v>
      </x:c>
      <x:c r="T239" s="10" t="n">
        <x:f>N239*'Assumptions'!$AA$133</x:f>
        <x:v>1563.9194880000002</x:v>
      </x:c>
      <x:c r="U239" s="10" t="n">
        <x:f>'Assumptions'!$AE$133*'Assumptions'!$D$11*(1+'Assumptions'!$D$13)^(2-1)</x:f>
        <x:v>0</x:v>
      </x:c>
      <x:c r="V239" s="10" t="n">
        <x:f>0</x:f>
        <x:v>0</x:v>
      </x:c>
      <x:c r="W239" s="10" t="n">
        <x:f>H239*('Assumptions'!$P$133+'Assumptions'!$Y$133)</x:f>
        <x:v>67.248</x:v>
      </x:c>
      <x:c r="X239" s="10" t="n">
        <x:f>N239/12*'Assumptions'!$AF$133</x:f>
        <x:v>0</x:v>
      </x:c>
      <x:c r="Y239" s="10" t="n">
        <x:f>P239/12</x:f>
        <x:v>673.4140000000001</x:v>
      </x:c>
      <x:c r="Z239" s="10" t="n">
        <x:f>0</x:f>
        <x:v>0</x:v>
      </x:c>
      <x:c r="AA239" s="10" t="n">
        <x:f>Z239*'Assumptions'!$AC$133*'Assumptions'!$D$11*(1+'Assumptions'!$D$13)^(2-1)</x:f>
        <x:v>0</x:v>
      </x:c>
      <x:c r="AB239" s="10" t="n">
        <x:f>F239/1</x:f>
        <x:v>188.16000000000003</x:v>
      </x:c>
      <x:c r="AC239" s="10" t="n">
        <x:f>AB239/'Assumptions'!$AM$133</x:f>
        <x:v>6272.000000000001</x:v>
      </x:c>
      <x:c r="AD239" s="10" t="n">
        <x:f>IF(AB239=0,0,T239/AB239)</x:f>
        <x:v>8.31164693877551</x:v>
      </x:c>
      <x:c r="AE239" s="10" t="n">
        <x:f>AA239*'Assumptions'!$D$21</x:f>
        <x:v>0</x:v>
      </x:c>
    </x:row>
    <x:row r="240" ht="16" customHeight="1">
      <x:c r="A240" s="1"/>
      <x:c r="B240" s="1"/>
      <x:c r="C240" s="1" t="str">
        <x:v>DOT-105</x:v>
      </x:c>
      <x:c r="D240" s="10" t="str">
        <x:v>Sleepy Face</x:v>
      </x:c>
      <x:c r="E240" s="10" t="n">
        <x:v>2</x:v>
      </x:c>
      <x:c r="F240" s="21" t="n">
        <x:f>'Assumptions'!$I$134*(1-'Assumptions'!$K$134)*(1+'Assumptions'!$L$134)*'Assumptions'!$D$9*'Assumptions'!$D$8</x:f>
        <x:v>94.08000000000001</x:v>
      </x:c>
      <x:c r="G240" s="21" t="n">
        <x:f>H112*'Assumptions'!$K$134</x:f>
        <x:v>18</x:v>
      </x:c>
      <x:c r="H240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240+G240,NA())</x:f>
        <x:v>112.08000000000001</x:v>
      </x:c>
      <x:c r="I240" s="22" t="n">
        <x:f>'Assumptions'!$H$134*IF('Assumptions'!$O$134=1,1,'Assumptions'!$D$10)*(1+'Assumptions'!$N$134)^(2-1)</x:f>
        <x:v>178.5</x:v>
      </x:c>
      <x:c r="J240" s="10" t="n">
        <x:f>H240*I240</x:f>
        <x:v>20006.280000000002</x:v>
      </x:c>
      <x:c r="K240" s="10" t="n">
        <x:f>J240*'Assumptions'!$T$134</x:f>
        <x:v>20006.280000000002</x:v>
      </x:c>
      <x:c r="L240" s="10" t="n">
        <x:f>K240*'Assumptions'!$U$134</x:f>
        <x:v>1600.5024000000003</x:v>
      </x:c>
      <x:c r="M240" s="10" t="n">
        <x:f>K240*'Assumptions'!$V$134</x:f>
        <x:v>400.1256000000001</x:v>
      </x:c>
      <x:c r="N240" s="10" t="n">
        <x:f>K240-L240-M240</x:f>
        <x:v>18005.652000000002</x:v>
      </x:c>
      <x:c r="O240" s="10" t="n">
        <x:f>H240*'Assumptions'!$P$134*'Assumptions'!$Q$134*'Assumptions'!$D$11*(1+'Assumptions'!$D$13)^(2-1)</x:f>
        <x:v>606.0726000000001</x:v>
      </x:c>
      <x:c r="P240" s="10" t="n">
        <x:f>H240*'Assumptions'!$R$134*'Assumptions'!$D$11*(1+'Assumptions'!$D$13)^(2-1)</x:f>
        <x:v>7503.756000000001</x:v>
      </x:c>
      <x:c r="Q240" s="10" t="n">
        <x:f>J240*'Assumptions'!$S$134</x:f>
        <x:v>0</x:v>
      </x:c>
      <x:c r="R240" s="10" t="n">
        <x:f>H240*'Assumptions'!$Y$134*'Assumptions'!$Z$134*'Assumptions'!$D$11*(1+'Assumptions'!$D$13)^(2-1)</x:f>
        <x:v>519.4908</x:v>
      </x:c>
      <x:c r="S240" s="10" t="n">
        <x:f>IF(I240=0,0,J240*'Assumptions'!$W$134+H240*'Assumptions'!$X$134)</x:f>
        <x:v>613.8061200000001</x:v>
      </x:c>
      <x:c r="T240" s="10" t="n">
        <x:f>N240*'Assumptions'!$AA$134</x:f>
        <x:v>1440.4521600000003</x:v>
      </x:c>
      <x:c r="U240" s="10" t="n">
        <x:f>'Assumptions'!$AE$134*'Assumptions'!$D$11*(1+'Assumptions'!$D$13)^(2-1)</x:f>
        <x:v>0</x:v>
      </x:c>
      <x:c r="V240" s="10" t="n">
        <x:f>0</x:f>
        <x:v>0</x:v>
      </x:c>
      <x:c r="W240" s="10" t="n">
        <x:f>H240*('Assumptions'!$P$134+'Assumptions'!$Y$134)</x:f>
        <x:v>33.624</x:v>
      </x:c>
      <x:c r="X240" s="10" t="n">
        <x:f>N240/12*'Assumptions'!$AF$134</x:f>
        <x:v>0</x:v>
      </x:c>
      <x:c r="Y240" s="10" t="n">
        <x:f>P240/12</x:f>
        <x:v>625.3130000000001</x:v>
      </x:c>
      <x:c r="Z240" s="10" t="n">
        <x:f>0</x:f>
        <x:v>0</x:v>
      </x:c>
      <x:c r="AA240" s="10" t="n">
        <x:f>Z240*'Assumptions'!$AC$134*'Assumptions'!$D$11*(1+'Assumptions'!$D$13)^(2-1)</x:f>
        <x:v>0</x:v>
      </x:c>
      <x:c r="AB240" s="10" t="n">
        <x:f>F240/1</x:f>
        <x:v>94.08000000000001</x:v>
      </x:c>
      <x:c r="AC240" s="10" t="n">
        <x:f>AB240/'Assumptions'!$AM$134</x:f>
        <x:v>3136.0000000000005</x:v>
      </x:c>
      <x:c r="AD240" s="10" t="n">
        <x:f>IF(AB240=0,0,T240/AB240)</x:f>
        <x:v>15.310928571428573</x:v>
      </x:c>
      <x:c r="AE240" s="10" t="n">
        <x:f>AA240*'Assumptions'!$D$21</x:f>
        <x:v>0</x:v>
      </x:c>
    </x:row>
    <x:row r="241" ht="16" customHeight="1">
      <x:c r="A241" s="1"/>
      <x:c r="B241" s="1"/>
      <x:c r="C241" s="1" t="str">
        <x:v>DOT-106</x:v>
      </x:c>
      <x:c r="D241" s="10" t="str">
        <x:v>QzoticMusic</x:v>
      </x:c>
      <x:c r="E241" s="10" t="n">
        <x:v>2</x:v>
      </x:c>
      <x:c r="F241" s="21" t="n">
        <x:f>'Assumptions'!$I$135*(1-'Assumptions'!$K$135)*(1+'Assumptions'!$L$135)*'Assumptions'!$D$9*'Assumptions'!$D$8</x:f>
        <x:v>517.5</x:v>
      </x:c>
      <x:c r="G241" s="21" t="n">
        <x:f>H113*'Assumptions'!$K$135</x:f>
        <x:v>75</x:v>
      </x:c>
      <x:c r="H241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241+G241,NA())</x:f>
        <x:v>592.5</x:v>
      </x:c>
      <x:c r="I241" s="22" t="n">
        <x:f>'Assumptions'!$H$135*IF('Assumptions'!$O$135=1,1,'Assumptions'!$D$10)*(1+'Assumptions'!$N$135)^(2-1)</x:f>
        <x:v>5.1</x:v>
      </x:c>
      <x:c r="J241" s="10" t="n">
        <x:f>H241*I241</x:f>
        <x:v>3021.75</x:v>
      </x:c>
      <x:c r="K241" s="10" t="n">
        <x:f>J241*'Assumptions'!$T$135</x:f>
        <x:v>3021.75</x:v>
      </x:c>
      <x:c r="L241" s="10" t="n">
        <x:f>K241*'Assumptions'!$U$135</x:f>
        <x:v>90.6525</x:v>
      </x:c>
      <x:c r="M241" s="10" t="n">
        <x:f>K241*'Assumptions'!$V$135</x:f>
        <x:v>0</x:v>
      </x:c>
      <x:c r="N241" s="10" t="n">
        <x:f>K241-L241-M241</x:f>
        <x:v>2931.0975</x:v>
      </x:c>
      <x:c r="O241" s="10" t="n">
        <x:f>H241*'Assumptions'!$P$135*'Assumptions'!$Q$135*'Assumptions'!$D$11*(1+'Assumptions'!$D$13)^(2-1)</x:f>
        <x:v>427.1925</x:v>
      </x:c>
      <x:c r="P241" s="10" t="n">
        <x:f>H241*'Assumptions'!$R$135*'Assumptions'!$D$11*(1+'Assumptions'!$D$13)^(2-1)</x:f>
        <x:v>0</x:v>
      </x:c>
      <x:c r="Q241" s="10" t="n">
        <x:f>J241*'Assumptions'!$S$135</x:f>
        <x:v>0</x:v>
      </x:c>
      <x:c r="R241" s="10" t="n">
        <x:f>H241*'Assumptions'!$Y$135*'Assumptions'!$Z$135*'Assumptions'!$D$11*(1+'Assumptions'!$D$13)^(2-1)</x:f>
        <x:v>1830.825</x:v>
      </x:c>
      <x:c r="S241" s="10" t="n">
        <x:f>IF(I241=0,0,J241*'Assumptions'!$W$135+H241*'Assumptions'!$X$135)</x:f>
        <x:v>265.38075000000003</x:v>
      </x:c>
      <x:c r="T241" s="10" t="n">
        <x:f>N241*'Assumptions'!$AA$135</x:f>
        <x:v>146.554875</x:v>
      </x:c>
      <x:c r="U241" s="10" t="n">
        <x:f>'Assumptions'!$AE$135*'Assumptions'!$D$11*(1+'Assumptions'!$D$13)^(2-1)</x:f>
        <x:v>0</x:v>
      </x:c>
      <x:c r="V241" s="10" t="n">
        <x:f>0</x:f>
        <x:v>0</x:v>
      </x:c>
      <x:c r="W241" s="10" t="n">
        <x:f>H241*('Assumptions'!$P$135+'Assumptions'!$Y$135)</x:f>
        <x:v>71.10000000000001</x:v>
      </x:c>
      <x:c r="X241" s="10" t="n">
        <x:f>N241/12*'Assumptions'!$AF$135</x:f>
        <x:v>0</x:v>
      </x:c>
      <x:c r="Y241" s="10" t="n">
        <x:f>P241/12</x:f>
        <x:v>0</x:v>
      </x:c>
      <x:c r="Z241" s="10" t="n">
        <x:f>0</x:f>
        <x:v>0</x:v>
      </x:c>
      <x:c r="AA241" s="10" t="n">
        <x:f>Z241*'Assumptions'!$AC$135*'Assumptions'!$D$11*(1+'Assumptions'!$D$13)^(2-1)</x:f>
        <x:v>0</x:v>
      </x:c>
      <x:c r="AB241" s="10" t="n">
        <x:f>F241/12</x:f>
        <x:v>43.125</x:v>
      </x:c>
      <x:c r="AC241" s="10" t="n">
        <x:f>AB241/'Assumptions'!$AM$135</x:f>
        <x:v>862.5</x:v>
      </x:c>
      <x:c r="AD241" s="10" t="n">
        <x:f>IF(AB241=0,0,T241/AB241)</x:f>
        <x:v>3.3983739130434785</x:v>
      </x:c>
      <x:c r="AE241" s="10" t="n">
        <x:f>AA241*'Assumptions'!$D$21</x:f>
        <x:v>0</x:v>
      </x:c>
    </x:row>
    <x:row r="242" ht="16" customHeight="1">
      <x:c r="A242" s="1"/>
      <x:c r="B242" s="1"/>
      <x:c r="C242" s="1" t="str">
        <x:v>DOT-107</x:v>
      </x:c>
      <x:c r="D242" s="10" t="str">
        <x:v>QzoticMusic</x:v>
      </x:c>
      <x:c r="E242" s="10" t="n">
        <x:v>2</x:v>
      </x:c>
      <x:c r="F242" s="21" t="n">
        <x:f>'Assumptions'!$I$136*(1-'Assumptions'!$K$136)*(1+'Assumptions'!$L$136)*'Assumptions'!$D$9*'Assumptions'!$D$8</x:f>
        <x:v>171.60000000000002</x:v>
      </x:c>
      <x:c r="G242" s="21" t="n">
        <x:f>H114*'Assumptions'!$K$136</x:f>
        <x:v>42</x:v>
      </x:c>
      <x:c r="H242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242+G242,NA())</x:f>
        <x:v>213.60000000000002</x:v>
      </x:c>
      <x:c r="I242" s="22" t="n">
        <x:f>'Assumptions'!$H$136*IF('Assumptions'!$O$136=1,1,'Assumptions'!$D$10)*(1+'Assumptions'!$N$136)^(2-1)</x:f>
        <x:v>25.5</x:v>
      </x:c>
      <x:c r="J242" s="10" t="n">
        <x:f>H242*I242</x:f>
        <x:v>5446.8</x:v>
      </x:c>
      <x:c r="K242" s="10" t="n">
        <x:f>J242*'Assumptions'!$T$136</x:f>
        <x:v>5446.8</x:v>
      </x:c>
      <x:c r="L242" s="10" t="n">
        <x:f>K242*'Assumptions'!$U$136</x:f>
        <x:v>163.404</x:v>
      </x:c>
      <x:c r="M242" s="10" t="n">
        <x:f>K242*'Assumptions'!$V$136</x:f>
        <x:v>0</x:v>
      </x:c>
      <x:c r="N242" s="10" t="n">
        <x:f>K242-L242-M242</x:f>
        <x:v>5283.396000000001</x:v>
      </x:c>
      <x:c r="O242" s="10" t="n">
        <x:f>H242*'Assumptions'!$P$136*'Assumptions'!$Q$136*'Assumptions'!$D$11*(1+'Assumptions'!$D$13)^(2-1)</x:f>
        <x:v>1155.042</x:v>
      </x:c>
      <x:c r="P242" s="10" t="n">
        <x:f>H242*'Assumptions'!$R$136*'Assumptions'!$D$11*(1+'Assumptions'!$D$13)^(2-1)</x:f>
        <x:v>2200.08</x:v>
      </x:c>
      <x:c r="Q242" s="10" t="n">
        <x:f>J242*'Assumptions'!$S$136</x:f>
        <x:v>0</x:v>
      </x:c>
      <x:c r="R242" s="10" t="n">
        <x:f>H242*'Assumptions'!$Y$136*'Assumptions'!$Z$136*'Assumptions'!$D$11*(1+'Assumptions'!$D$13)^(2-1)</x:f>
        <x:v>3300.1200000000003</x:v>
      </x:c>
      <x:c r="S242" s="10" t="n">
        <x:f>IF(I242=0,0,J242*'Assumptions'!$W$136+H242*'Assumptions'!$X$136)</x:f>
        <x:v>222.03719999999998</x:v>
      </x:c>
      <x:c r="T242" s="10" t="n">
        <x:f>N242*'Assumptions'!$AA$136</x:f>
        <x:v>422.67168000000004</x:v>
      </x:c>
      <x:c r="U242" s="10" t="n">
        <x:f>'Assumptions'!$AE$136*'Assumptions'!$D$11*(1+'Assumptions'!$D$13)^(2-1)</x:f>
        <x:v>0</x:v>
      </x:c>
      <x:c r="V242" s="10" t="n">
        <x:f>0</x:f>
        <x:v>0</x:v>
      </x:c>
      <x:c r="W242" s="10" t="n">
        <x:f>H242*('Assumptions'!$P$136+'Assumptions'!$Y$136)</x:f>
        <x:v>138.84000000000003</x:v>
      </x:c>
      <x:c r="X242" s="10" t="n">
        <x:f>N242/12*'Assumptions'!$AF$136</x:f>
        <x:v>440.2830000000001</x:v>
      </x:c>
      <x:c r="Y242" s="10" t="n">
        <x:f>P242/12</x:f>
        <x:v>183.34</x:v>
      </x:c>
      <x:c r="Z242" s="10" t="n">
        <x:f>0</x:f>
        <x:v>0</x:v>
      </x:c>
      <x:c r="AA242" s="10" t="n">
        <x:f>Z242*'Assumptions'!$AC$136*'Assumptions'!$D$11*(1+'Assumptions'!$D$13)^(2-1)</x:f>
        <x:v>0</x:v>
      </x:c>
      <x:c r="AB242" s="10" t="n">
        <x:f>F242/1</x:f>
        <x:v>171.60000000000002</x:v>
      </x:c>
      <x:c r="AC242" s="10" t="n">
        <x:f>AB242/'Assumptions'!$AM$136</x:f>
        <x:v>1716.0000000000002</x:v>
      </x:c>
      <x:c r="AD242" s="10" t="n">
        <x:f>IF(AB242=0,0,T242/AB242)</x:f>
        <x:v>2.463121678321678</x:v>
      </x:c>
      <x:c r="AE242" s="10" t="n">
        <x:f>AA242*'Assumptions'!$D$21</x:f>
        <x:v>0</x:v>
      </x:c>
    </x:row>
    <x:row r="243" ht="16" customHeight="1">
      <x:c r="A243" s="1"/>
      <x:c r="B243" s="1"/>
      <x:c r="C243" s="1" t="str">
        <x:v>DOT-108</x:v>
      </x:c>
      <x:c r="D243" s="10" t="str">
        <x:v>QzoticMusic</x:v>
      </x:c>
      <x:c r="E243" s="10" t="n">
        <x:v>2</x:v>
      </x:c>
      <x:c r="F243" s="21" t="n">
        <x:f>'Assumptions'!$I$137*(1-'Assumptions'!$K$137)*(1+'Assumptions'!$L$137)*'Assumptions'!$D$9*'Assumptions'!$D$8</x:f>
        <x:v>8.580000000000002</x:v>
      </x:c>
      <x:c r="G243" s="21" t="n">
        <x:f>H115*'Assumptions'!$K$137</x:f>
        <x:v>2.0999999999999996</x:v>
      </x:c>
      <x:c r="H243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243+G243,NA())</x:f>
        <x:v>10.680000000000001</x:v>
      </x:c>
      <x:c r="I243" s="22" t="n">
        <x:f>'Assumptions'!$H$137*IF('Assumptions'!$O$137=1,1,'Assumptions'!$D$10)*(1+'Assumptions'!$N$137)^(2-1)</x:f>
        <x:v>255</x:v>
      </x:c>
      <x:c r="J243" s="10" t="n">
        <x:f>H243*I243</x:f>
        <x:v>2723.4000000000005</x:v>
      </x:c>
      <x:c r="K243" s="10" t="n">
        <x:f>J243*'Assumptions'!$T$137</x:f>
        <x:v>2723.4000000000005</x:v>
      </x:c>
      <x:c r="L243" s="10" t="n">
        <x:f>K243*'Assumptions'!$U$137</x:f>
        <x:v>81.70200000000001</x:v>
      </x:c>
      <x:c r="M243" s="10" t="n">
        <x:f>K243*'Assumptions'!$V$137</x:f>
        <x:v>0</x:v>
      </x:c>
      <x:c r="N243" s="10" t="n">
        <x:f>K243-L243-M243</x:f>
        <x:v>2641.6980000000003</x:v>
      </x:c>
      <x:c r="O243" s="10" t="n">
        <x:f>H243*'Assumptions'!$P$137*'Assumptions'!$Q$137*'Assumptions'!$D$11*(1+'Assumptions'!$D$13)^(2-1)</x:f>
        <x:v>880.0320000000002</x:v>
      </x:c>
      <x:c r="P243" s="10" t="n">
        <x:f>H243*'Assumptions'!$R$137*'Assumptions'!$D$11*(1+'Assumptions'!$D$13)^(2-1)</x:f>
        <x:v>0</x:v>
      </x:c>
      <x:c r="Q243" s="10" t="n">
        <x:f>J243*'Assumptions'!$S$137</x:f>
        <x:v>0</x:v>
      </x:c>
      <x:c r="R243" s="10" t="n">
        <x:f>H243*'Assumptions'!$Y$137*'Assumptions'!$Z$137*'Assumptions'!$D$11*(1+'Assumptions'!$D$13)^(2-1)</x:f>
        <x:v>165.00600000000003</x:v>
      </x:c>
      <x:c r="S243" s="10" t="n">
        <x:f>IF(I243=0,0,J243*'Assumptions'!$W$137+H243*'Assumptions'!$X$137)</x:f>
        <x:v>82.18260000000001</x:v>
      </x:c>
      <x:c r="T243" s="10" t="n">
        <x:f>N243*'Assumptions'!$AA$137</x:f>
        <x:v>211.33584000000002</x:v>
      </x:c>
      <x:c r="U243" s="10" t="n">
        <x:f>'Assumptions'!$AE$137*'Assumptions'!$D$11*(1+'Assumptions'!$D$13)^(2-1)</x:f>
        <x:v>0</x:v>
      </x:c>
      <x:c r="V243" s="10" t="n">
        <x:f>0</x:f>
        <x:v>0</x:v>
      </x:c>
      <x:c r="W243" s="10" t="n">
        <x:f>H243*('Assumptions'!$P$137+'Assumptions'!$Y$137)</x:f>
        <x:v>26.700000000000003</x:v>
      </x:c>
      <x:c r="X243" s="10" t="n">
        <x:f>N243/12*'Assumptions'!$AF$137</x:f>
        <x:v>220.14150000000004</x:v>
      </x:c>
      <x:c r="Y243" s="10" t="n">
        <x:f>P243/12</x:f>
        <x:v>0</x:v>
      </x:c>
      <x:c r="Z243" s="10" t="n">
        <x:f>0</x:f>
        <x:v>0</x:v>
      </x:c>
      <x:c r="AA243" s="10" t="n">
        <x:f>Z243*'Assumptions'!$AC$137*'Assumptions'!$D$11*(1+'Assumptions'!$D$13)^(2-1)</x:f>
        <x:v>0</x:v>
      </x:c>
      <x:c r="AB243" s="10" t="n">
        <x:f>F243/1</x:f>
        <x:v>8.580000000000002</x:v>
      </x:c>
      <x:c r="AC243" s="10" t="n">
        <x:f>AB243/'Assumptions'!$AM$137</x:f>
        <x:v>85.80000000000001</x:v>
      </x:c>
      <x:c r="AD243" s="10" t="n">
        <x:f>IF(AB243=0,0,T243/AB243)</x:f>
        <x:v>24.63121678321678</x:v>
      </x:c>
      <x:c r="AE243" s="10" t="n">
        <x:f>AA243*'Assumptions'!$D$21</x:f>
        <x:v>0</x:v>
      </x:c>
    </x:row>
    <x:row r="244" ht="16" customHeight="1">
      <x:c r="A244" s="1"/>
      <x:c r="B244" s="1"/>
      <x:c r="C244" s="1" t="str">
        <x:v>DOT-109</x:v>
      </x:c>
      <x:c r="D244" s="10" t="str">
        <x:v>LesPetitFilms</x:v>
      </x:c>
      <x:c r="E244" s="10" t="n">
        <x:v>2</x:v>
      </x:c>
      <x:c r="F244" s="21" t="n">
        <x:f>'Assumptions'!$I$138*(1-'Assumptions'!$K$138)*(1+'Assumptions'!$L$138)*'Assumptions'!$D$9*'Assumptions'!$D$8</x:f>
        <x:v>5.720000000000001</x:v>
      </x:c>
      <x:c r="G244" s="21" t="n">
        <x:f>H116*'Assumptions'!$K$138</x:f>
        <x:v>1.4</x:v>
      </x:c>
      <x:c r="H244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244+G244,NA())</x:f>
        <x:v>7.120000000000001</x:v>
      </x:c>
      <x:c r="I244" s="22" t="n">
        <x:f>'Assumptions'!$H$138*IF('Assumptions'!$O$138=1,1,'Assumptions'!$D$10)*(1+'Assumptions'!$N$138)^(2-1)</x:f>
        <x:v>3570</x:v>
      </x:c>
      <x:c r="J244" s="10" t="n">
        <x:f>H244*I244</x:f>
        <x:v>25418.400000000005</x:v>
      </x:c>
      <x:c r="K244" s="10" t="n">
        <x:f>J244*'Assumptions'!$T$138</x:f>
        <x:v>25418.400000000005</x:v>
      </x:c>
      <x:c r="L244" s="10" t="n">
        <x:f>K244*'Assumptions'!$U$138</x:f>
        <x:v>762.5520000000001</x:v>
      </x:c>
      <x:c r="M244" s="10" t="n">
        <x:f>K244*'Assumptions'!$V$138</x:f>
        <x:v>0</x:v>
      </x:c>
      <x:c r="N244" s="10" t="n">
        <x:f>K244-L244-M244</x:f>
        <x:v>24655.848000000005</x:v>
      </x:c>
      <x:c r="O244" s="10" t="n">
        <x:f>H244*'Assumptions'!$P$138*'Assumptions'!$Q$138*'Assumptions'!$D$11*(1+'Assumptions'!$D$13)^(2-1)</x:f>
        <x:v>8250.300000000001</x:v>
      </x:c>
      <x:c r="P244" s="10" t="n">
        <x:f>H244*'Assumptions'!$R$138*'Assumptions'!$D$11*(1+'Assumptions'!$D$13)^(2-1)</x:f>
        <x:v>2566.7600000000007</x:v>
      </x:c>
      <x:c r="Q244" s="10" t="n">
        <x:f>J244*'Assumptions'!$S$138</x:f>
        <x:v>0</x:v>
      </x:c>
      <x:c r="R244" s="10" t="n">
        <x:f>H244*'Assumptions'!$Y$138*'Assumptions'!$Z$138*'Assumptions'!$D$11*(1+'Assumptions'!$D$13)^(2-1)</x:f>
        <x:v>110.00400000000002</x:v>
      </x:c>
      <x:c r="S244" s="10" t="n">
        <x:f>IF(I244=0,0,J244*'Assumptions'!$W$138+H244*'Assumptions'!$X$138)</x:f>
        <x:v>739.2696000000002</x:v>
      </x:c>
      <x:c r="T244" s="10" t="n">
        <x:f>N244*'Assumptions'!$AA$138</x:f>
        <x:v>1972.4678400000005</x:v>
      </x:c>
      <x:c r="U244" s="10" t="n">
        <x:f>'Assumptions'!$AE$138*'Assumptions'!$D$11*(1+'Assumptions'!$D$13)^(2-1)</x:f>
        <x:v>0</x:v>
      </x:c>
      <x:c r="V244" s="10" t="n">
        <x:f>0</x:f>
        <x:v>0</x:v>
      </x:c>
      <x:c r="W244" s="10" t="n">
        <x:f>H244*('Assumptions'!$P$138+'Assumptions'!$Y$138)</x:f>
        <x:v>181.56000000000003</x:v>
      </x:c>
      <x:c r="X244" s="10" t="n">
        <x:f>N244/12*'Assumptions'!$AF$138</x:f>
        <x:v>2054.6540000000005</x:v>
      </x:c>
      <x:c r="Y244" s="10" t="n">
        <x:f>P244/12</x:f>
        <x:v>213.89666666666673</x:v>
      </x:c>
      <x:c r="Z244" s="10" t="n">
        <x:f>0</x:f>
        <x:v>0</x:v>
      </x:c>
      <x:c r="AA244" s="10" t="n">
        <x:f>Z244*'Assumptions'!$AC$138*'Assumptions'!$D$11*(1+'Assumptions'!$D$13)^(2-1)</x:f>
        <x:v>0</x:v>
      </x:c>
      <x:c r="AB244" s="10" t="n">
        <x:f>F244/1</x:f>
        <x:v>5.720000000000001</x:v>
      </x:c>
      <x:c r="AC244" s="10" t="n">
        <x:f>AB244/'Assumptions'!$AM$138</x:f>
        <x:v>57.2</x:v>
      </x:c>
      <x:c r="AD244" s="10" t="n">
        <x:f>IF(AB244=0,0,T244/AB244)</x:f>
        <x:v>344.837034965035</x:v>
      </x:c>
      <x:c r="AE244" s="10" t="n">
        <x:f>AA244*'Assumptions'!$D$21</x:f>
        <x:v>0</x:v>
      </x:c>
    </x:row>
    <x:row r="245" ht="16" customHeight="1">
      <x:c r="A245" s="1"/>
      <x:c r="B245" s="1"/>
      <x:c r="C245" s="1" t="str">
        <x:v>DOT-110</x:v>
      </x:c>
      <x:c r="D245" s="10" t="str">
        <x:v>LesPetitFilms</x:v>
      </x:c>
      <x:c r="E245" s="10" t="n">
        <x:v>2</x:v>
      </x:c>
      <x:c r="F245" s="21" t="n">
        <x:f>'Assumptions'!$I$139*(1-'Assumptions'!$K$139)*(1+'Assumptions'!$L$139)*'Assumptions'!$D$9*'Assumptions'!$D$8</x:f>
        <x:v>5.720000000000001</x:v>
      </x:c>
      <x:c r="G245" s="21" t="n">
        <x:f>H117*'Assumptions'!$K$139</x:f>
        <x:v>1.4</x:v>
      </x:c>
      <x:c r="H245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245+G245,NA())</x:f>
        <x:v>7.120000000000001</x:v>
      </x:c>
      <x:c r="I245" s="22" t="n">
        <x:f>'Assumptions'!$H$139*IF('Assumptions'!$O$139=1,1,'Assumptions'!$D$10)*(1+'Assumptions'!$N$139)^(2-1)</x:f>
        <x:v>1530</x:v>
      </x:c>
      <x:c r="J245" s="10" t="n">
        <x:f>H245*I245</x:f>
        <x:v>10893.600000000002</x:v>
      </x:c>
      <x:c r="K245" s="10" t="n">
        <x:f>J245*'Assumptions'!$T$139</x:f>
        <x:v>10893.600000000002</x:v>
      </x:c>
      <x:c r="L245" s="10" t="n">
        <x:f>K245*'Assumptions'!$U$139</x:f>
        <x:v>326.80800000000005</x:v>
      </x:c>
      <x:c r="M245" s="10" t="n">
        <x:f>K245*'Assumptions'!$V$139</x:f>
        <x:v>0</x:v>
      </x:c>
      <x:c r="N245" s="10" t="n">
        <x:f>K245-L245-M245</x:f>
        <x:v>10566.792000000001</x:v>
      </x:c>
      <x:c r="O245" s="10" t="n">
        <x:f>H245*'Assumptions'!$P$139*'Assumptions'!$Q$139*'Assumptions'!$D$11*(1+'Assumptions'!$D$13)^(2-1)</x:f>
        <x:v>3300.120000000001</x:v>
      </x:c>
      <x:c r="P245" s="10" t="n">
        <x:f>H245*'Assumptions'!$R$139*'Assumptions'!$D$11*(1+'Assumptions'!$D$13)^(2-1)</x:f>
        <x:v>1466.7200000000003</x:v>
      </x:c>
      <x:c r="Q245" s="10" t="n">
        <x:f>J245*'Assumptions'!$S$139</x:f>
        <x:v>0</x:v>
      </x:c>
      <x:c r="R245" s="10" t="n">
        <x:f>H245*'Assumptions'!$Y$139*'Assumptions'!$Z$139*'Assumptions'!$D$11*(1+'Assumptions'!$D$13)^(2-1)</x:f>
        <x:v>110.00400000000002</x:v>
      </x:c>
      <x:c r="S245" s="10" t="n">
        <x:f>IF(I245=0,0,J245*'Assumptions'!$W$139+H245*'Assumptions'!$X$139)</x:f>
        <x:v>318.0504000000001</x:v>
      </x:c>
      <x:c r="T245" s="10" t="n">
        <x:f>N245*'Assumptions'!$AA$139</x:f>
        <x:v>845.3433600000001</x:v>
      </x:c>
      <x:c r="U245" s="10" t="n">
        <x:f>'Assumptions'!$AE$139*'Assumptions'!$D$11*(1+'Assumptions'!$D$13)^(2-1)</x:f>
        <x:v>0</x:v>
      </x:c>
      <x:c r="V245" s="10" t="n">
        <x:f>0</x:f>
        <x:v>0</x:v>
      </x:c>
      <x:c r="W245" s="10" t="n">
        <x:f>H245*('Assumptions'!$P$139+'Assumptions'!$Y$139)</x:f>
        <x:v>74.76</x:v>
      </x:c>
      <x:c r="X245" s="10" t="n">
        <x:f>N245/12*'Assumptions'!$AF$139</x:f>
        <x:v>880.5660000000001</x:v>
      </x:c>
      <x:c r="Y245" s="10" t="n">
        <x:f>P245/12</x:f>
        <x:v>122.22666666666669</x:v>
      </x:c>
      <x:c r="Z245" s="10" t="n">
        <x:f>0</x:f>
        <x:v>0</x:v>
      </x:c>
      <x:c r="AA245" s="10" t="n">
        <x:f>Z245*'Assumptions'!$AC$139*'Assumptions'!$D$11*(1+'Assumptions'!$D$13)^(2-1)</x:f>
        <x:v>0</x:v>
      </x:c>
      <x:c r="AB245" s="10" t="n">
        <x:f>F245/1</x:f>
        <x:v>5.720000000000001</x:v>
      </x:c>
      <x:c r="AC245" s="10" t="n">
        <x:f>AB245/'Assumptions'!$AM$139</x:f>
        <x:v>57.2</x:v>
      </x:c>
      <x:c r="AD245" s="10" t="n">
        <x:f>IF(AB245=0,0,T245/AB245)</x:f>
        <x:v>147.7873006993007</x:v>
      </x:c>
      <x:c r="AE245" s="10" t="n">
        <x:f>AA245*'Assumptions'!$D$21</x:f>
        <x:v>0</x:v>
      </x:c>
    </x:row>
    <x:row r="246" ht="16" customHeight="1">
      <x:c r="A246" s="1"/>
      <x:c r="B246" s="1"/>
      <x:c r="C246" s="1" t="str">
        <x:v>DOT-111</x:v>
      </x:c>
      <x:c r="D246" s="10" t="str">
        <x:v>LesPetitFilms</x:v>
      </x:c>
      <x:c r="E246" s="10" t="n">
        <x:v>2</x:v>
      </x:c>
      <x:c r="F246" s="21" t="n">
        <x:f>'Assumptions'!$I$140*(1-'Assumptions'!$K$140)*(1+'Assumptions'!$L$140)*'Assumptions'!$D$9*'Assumptions'!$D$8</x:f>
        <x:v>8.580000000000002</x:v>
      </x:c>
      <x:c r="G246" s="21" t="n">
        <x:f>H118*'Assumptions'!$K$140</x:f>
        <x:v>2.0999999999999996</x:v>
      </x:c>
      <x:c r="H246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246+G246,NA())</x:f>
        <x:v>10.680000000000001</x:v>
      </x:c>
      <x:c r="I246" s="22" t="n">
        <x:f>'Assumptions'!$H$140*IF('Assumptions'!$O$140=1,1,'Assumptions'!$D$10)*(1+'Assumptions'!$N$140)^(2-1)</x:f>
        <x:v>510</x:v>
      </x:c>
      <x:c r="J246" s="10" t="n">
        <x:f>H246*I246</x:f>
        <x:v>5446.800000000001</x:v>
      </x:c>
      <x:c r="K246" s="10" t="n">
        <x:f>J246*'Assumptions'!$T$140</x:f>
        <x:v>5446.800000000001</x:v>
      </x:c>
      <x:c r="L246" s="10" t="n">
        <x:f>K246*'Assumptions'!$U$140</x:f>
        <x:v>163.40400000000002</x:v>
      </x:c>
      <x:c r="M246" s="10" t="n">
        <x:f>K246*'Assumptions'!$V$140</x:f>
        <x:v>0</x:v>
      </x:c>
      <x:c r="N246" s="10" t="n">
        <x:f>K246-L246-M246</x:f>
        <x:v>5283.396000000001</x:v>
      </x:c>
      <x:c r="O246" s="10" t="n">
        <x:f>H246*'Assumptions'!$P$140*'Assumptions'!$Q$140*'Assumptions'!$D$11*(1+'Assumptions'!$D$13)^(2-1)</x:f>
        <x:v>1320.0480000000005</x:v>
      </x:c>
      <x:c r="P246" s="10" t="n">
        <x:f>H246*'Assumptions'!$R$140*'Assumptions'!$D$11*(1+'Assumptions'!$D$13)^(2-1)</x:f>
        <x:v>550.0200000000001</x:v>
      </x:c>
      <x:c r="Q246" s="10" t="n">
        <x:f>J246*'Assumptions'!$S$140</x:f>
        <x:v>0</x:v>
      </x:c>
      <x:c r="R246" s="10" t="n">
        <x:f>H246*'Assumptions'!$Y$140*'Assumptions'!$Z$140*'Assumptions'!$D$11*(1+'Assumptions'!$D$13)^(2-1)</x:f>
        <x:v>165.00600000000003</x:v>
      </x:c>
      <x:c r="S246" s="10" t="n">
        <x:f>IF(I246=0,0,J246*'Assumptions'!$W$140+H246*'Assumptions'!$X$140)</x:f>
        <x:v>161.16120000000004</x:v>
      </x:c>
      <x:c r="T246" s="10" t="n">
        <x:f>N246*'Assumptions'!$AA$140</x:f>
        <x:v>422.67168000000004</x:v>
      </x:c>
      <x:c r="U246" s="10" t="n">
        <x:f>'Assumptions'!$AE$140*'Assumptions'!$D$11*(1+'Assumptions'!$D$13)^(2-1)</x:f>
        <x:v>0</x:v>
      </x:c>
      <x:c r="V246" s="10" t="n">
        <x:f>0</x:f>
        <x:v>0</x:v>
      </x:c>
      <x:c r="W246" s="10" t="n">
        <x:f>H246*('Assumptions'!$P$140+'Assumptions'!$Y$140)</x:f>
        <x:v>37.38</x:v>
      </x:c>
      <x:c r="X246" s="10" t="n">
        <x:f>N246/12*'Assumptions'!$AF$140</x:f>
        <x:v>440.2830000000001</x:v>
      </x:c>
      <x:c r="Y246" s="10" t="n">
        <x:f>P246/12</x:f>
        <x:v>45.83500000000001</x:v>
      </x:c>
      <x:c r="Z246" s="10" t="n">
        <x:f>0</x:f>
        <x:v>0</x:v>
      </x:c>
      <x:c r="AA246" s="10" t="n">
        <x:f>Z246*'Assumptions'!$AC$140*'Assumptions'!$D$11*(1+'Assumptions'!$D$13)^(2-1)</x:f>
        <x:v>0</x:v>
      </x:c>
      <x:c r="AB246" s="10" t="n">
        <x:f>F246/1</x:f>
        <x:v>8.580000000000002</x:v>
      </x:c>
      <x:c r="AC246" s="10" t="n">
        <x:f>AB246/'Assumptions'!$AM$140</x:f>
        <x:v>85.80000000000001</x:v>
      </x:c>
      <x:c r="AD246" s="10" t="n">
        <x:f>IF(AB246=0,0,T246/AB246)</x:f>
        <x:v>49.26243356643356</x:v>
      </x:c>
      <x:c r="AE246" s="10" t="n">
        <x:f>AA246*'Assumptions'!$D$21</x:f>
        <x:v>0</x:v>
      </x:c>
    </x:row>
    <x:row r="247" ht="16" customHeight="1">
      <x:c r="A247" s="1"/>
      <x:c r="B247" s="1"/>
      <x:c r="C247" s="1" t="str">
        <x:v>DOT-112</x:v>
      </x:c>
      <x:c r="D247" s="10" t="str">
        <x:v>Learn Anglais</x:v>
      </x:c>
      <x:c r="E247" s="10" t="n">
        <x:v>2</x:v>
      </x:c>
      <x:c r="F247" s="21" t="n">
        <x:f>'Assumptions'!$I$141*(1-'Assumptions'!$K$141)*(1+'Assumptions'!$L$141)*'Assumptions'!$D$9*'Assumptions'!$D$8</x:f>
        <x:v>216.00000000000003</x:v>
      </x:c>
      <x:c r="G247" s="21" t="n">
        <x:f>H119*'Assumptions'!$K$141</x:f>
        <x:v>315</x:v>
      </x:c>
      <x:c r="H247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247+G247,NA())</x:f>
        <x:v>531</x:v>
      </x:c>
      <x:c r="I247" s="22" t="n">
        <x:f>'Assumptions'!$H$141*IF('Assumptions'!$O$141=1,1,'Assumptions'!$D$10)*(1+'Assumptions'!$N$141)^(2-1)</x:f>
        <x:v>45.9</x:v>
      </x:c>
      <x:c r="J247" s="10" t="n">
        <x:f>H247*I247</x:f>
        <x:v>24372.899999999998</x:v>
      </x:c>
      <x:c r="K247" s="10" t="n">
        <x:f>J247*'Assumptions'!$T$141</x:f>
        <x:v>8124.299999999999</x:v>
      </x:c>
      <x:c r="L247" s="10" t="n">
        <x:f>K247*'Assumptions'!$U$141</x:f>
        <x:v>243.72899999999996</x:v>
      </x:c>
      <x:c r="M247" s="10" t="n">
        <x:f>K247*'Assumptions'!$V$141</x:f>
        <x:v>0</x:v>
      </x:c>
      <x:c r="N247" s="10" t="n">
        <x:f>K247-L247-M247</x:f>
        <x:v>7880.570999999999</x:v>
      </x:c>
      <x:c r="O247" s="10" t="n">
        <x:f>H247*'Assumptions'!$P$141*'Assumptions'!$Q$141*'Assumptions'!$D$11*(1+'Assumptions'!$D$13)^(2-1)</x:f>
        <x:v>1914.255</x:v>
      </x:c>
      <x:c r="P247" s="10" t="n">
        <x:f>H247*'Assumptions'!$R$141*'Assumptions'!$D$11*(1+'Assumptions'!$D$13)^(2-1)</x:f>
        <x:v>0</x:v>
      </x:c>
      <x:c r="Q247" s="10" t="n">
        <x:f>J247*'Assumptions'!$S$141</x:f>
        <x:v>0</x:v>
      </x:c>
      <x:c r="R247" s="10" t="n">
        <x:f>H247*'Assumptions'!$Y$141*'Assumptions'!$Z$141*'Assumptions'!$D$11*(1+'Assumptions'!$D$13)^(2-1)</x:f>
        <x:v>2461.1849999999995</x:v>
      </x:c>
      <x:c r="S247" s="10" t="n">
        <x:f>IF(I247=0,0,J247*'Assumptions'!$W$141+H247*'Assumptions'!$X$141)</x:f>
        <x:v>866.1140999999999</x:v>
      </x:c>
      <x:c r="T247" s="10" t="n">
        <x:f>N247*'Assumptions'!$AA$141</x:f>
        <x:v>394.02855</x:v>
      </x:c>
      <x:c r="U247" s="10" t="n">
        <x:f>'Assumptions'!$AE$141*'Assumptions'!$D$11*(1+'Assumptions'!$D$13)^(2-1)</x:f>
        <x:v>0</x:v>
      </x:c>
      <x:c r="V247" s="10" t="n">
        <x:f>0</x:f>
        <x:v>0</x:v>
      </x:c>
      <x:c r="W247" s="10" t="n">
        <x:f>H247*('Assumptions'!$P$141+'Assumptions'!$Y$141)</x:f>
        <x:v>132.75</x:v>
      </x:c>
      <x:c r="X247" s="10" t="n">
        <x:f>N247/12*'Assumptions'!$AF$141</x:f>
        <x:v>0</x:v>
      </x:c>
      <x:c r="Y247" s="10" t="n">
        <x:f>P247/12</x:f>
        <x:v>0</x:v>
      </x:c>
      <x:c r="Z247" s="10" t="n">
        <x:f>0</x:f>
        <x:v>0</x:v>
      </x:c>
      <x:c r="AA247" s="10" t="n">
        <x:f>Z247*'Assumptions'!$AC$141*'Assumptions'!$D$11*(1+'Assumptions'!$D$13)^(2-1)</x:f>
        <x:v>0</x:v>
      </x:c>
      <x:c r="AB247" s="10" t="n">
        <x:f>F247/1</x:f>
        <x:v>216.00000000000003</x:v>
      </x:c>
      <x:c r="AC247" s="10" t="n">
        <x:f>AB247/'Assumptions'!$AM$141</x:f>
        <x:v>4320</x:v>
      </x:c>
      <x:c r="AD247" s="10" t="n">
        <x:f>IF(AB247=0,0,T247/AB247)</x:f>
        <x:v>1.8242062499999998</x:v>
      </x:c>
      <x:c r="AE247" s="10" t="n">
        <x:f>AA247*'Assumptions'!$D$21</x:f>
        <x:v>0</x:v>
      </x:c>
    </x:row>
    <x:row r="248" ht="16" customHeight="1">
      <x:c r="A248" s="1"/>
      <x:c r="B248" s="1"/>
      <x:c r="C248" s="1" t="str">
        <x:v>DOT-113</x:v>
      </x:c>
      <x:c r="D248" s="10" t="str">
        <x:v>Learn Anglais</x:v>
      </x:c>
      <x:c r="E248" s="10" t="n">
        <x:v>2</x:v>
      </x:c>
      <x:c r="F248" s="21" t="n">
        <x:f>'Assumptions'!$I$142*(1-'Assumptions'!$K$142)*(1+'Assumptions'!$L$142)*'Assumptions'!$D$9*'Assumptions'!$D$8</x:f>
        <x:v>129.60000000000002</x:v>
      </x:c>
      <x:c r="G248" s="21" t="n">
        <x:f>H120*'Assumptions'!$K$142</x:f>
        <x:v>189</x:v>
      </x:c>
      <x:c r="H248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248+G248,NA())</x:f>
        <x:v>318.6</x:v>
      </x:c>
      <x:c r="I248" s="22" t="n">
        <x:f>'Assumptions'!$H$142*IF('Assumptions'!$O$142=1,1,'Assumptions'!$D$10)*(1+'Assumptions'!$N$142)^(2-1)</x:f>
        <x:v>86.7</x:v>
      </x:c>
      <x:c r="J248" s="10" t="n">
        <x:f>H248*I248</x:f>
        <x:v>27622.620000000003</x:v>
      </x:c>
      <x:c r="K248" s="10" t="n">
        <x:f>J248*'Assumptions'!$T$142</x:f>
        <x:v>8286.786</x:v>
      </x:c>
      <x:c r="L248" s="10" t="n">
        <x:f>K248*'Assumptions'!$U$142</x:f>
        <x:v>248.60358</x:v>
      </x:c>
      <x:c r="M248" s="10" t="n">
        <x:f>K248*'Assumptions'!$V$142</x:f>
        <x:v>0</x:v>
      </x:c>
      <x:c r="N248" s="10" t="n">
        <x:f>K248-L248-M248</x:f>
        <x:v>8038.18242</x:v>
      </x:c>
      <x:c r="O248" s="10" t="n">
        <x:f>H248*'Assumptions'!$P$142*'Assumptions'!$Q$142*'Assumptions'!$D$11*(1+'Assumptions'!$D$13)^(2-1)</x:f>
        <x:v>1148.553</x:v>
      </x:c>
      <x:c r="P248" s="10" t="n">
        <x:f>H248*'Assumptions'!$R$142*'Assumptions'!$D$11*(1+'Assumptions'!$D$13)^(2-1)</x:f>
        <x:v>0</x:v>
      </x:c>
      <x:c r="Q248" s="10" t="n">
        <x:f>J248*'Assumptions'!$S$142</x:f>
        <x:v>0</x:v>
      </x:c>
      <x:c r="R248" s="10" t="n">
        <x:f>H248*'Assumptions'!$Y$142*'Assumptions'!$Z$142*'Assumptions'!$D$11*(1+'Assumptions'!$D$13)^(2-1)</x:f>
        <x:v>1476.711</x:v>
      </x:c>
      <x:c r="S248" s="10" t="n">
        <x:f>IF(I248=0,0,J248*'Assumptions'!$W$142+H248*'Assumptions'!$X$142)</x:f>
        <x:v>896.6359800000001</x:v>
      </x:c>
      <x:c r="T248" s="10" t="n">
        <x:f>N248*'Assumptions'!$AA$142</x:f>
        <x:v>401.909121</x:v>
      </x:c>
      <x:c r="U248" s="10" t="n">
        <x:f>'Assumptions'!$AE$142*'Assumptions'!$D$11*(1+'Assumptions'!$D$13)^(2-1)</x:f>
        <x:v>0</x:v>
      </x:c>
      <x:c r="V248" s="10" t="n">
        <x:f>0</x:f>
        <x:v>0</x:v>
      </x:c>
      <x:c r="W248" s="10" t="n">
        <x:f>H248*('Assumptions'!$P$142+'Assumptions'!$Y$142)</x:f>
        <x:v>79.65</x:v>
      </x:c>
      <x:c r="X248" s="10" t="n">
        <x:f>N248/12*'Assumptions'!$AF$142</x:f>
        <x:v>0</x:v>
      </x:c>
      <x:c r="Y248" s="10" t="n">
        <x:f>P248/12</x:f>
        <x:v>0</x:v>
      </x:c>
      <x:c r="Z248" s="10" t="n">
        <x:f>0</x:f>
        <x:v>0</x:v>
      </x:c>
      <x:c r="AA248" s="10" t="n">
        <x:f>Z248*'Assumptions'!$AC$142*'Assumptions'!$D$11*(1+'Assumptions'!$D$13)^(2-1)</x:f>
        <x:v>0</x:v>
      </x:c>
      <x:c r="AB248" s="10" t="n">
        <x:f>F248/1</x:f>
        <x:v>129.60000000000002</x:v>
      </x:c>
      <x:c r="AC248" s="10" t="n">
        <x:f>AB248/'Assumptions'!$AM$142</x:f>
        <x:v>2592.0000000000005</x:v>
      </x:c>
      <x:c r="AD248" s="10" t="n">
        <x:f>IF(AB248=0,0,T248/AB248)</x:f>
        <x:v>3.101150625</x:v>
      </x:c>
      <x:c r="AE248" s="10" t="n">
        <x:f>AA248*'Assumptions'!$D$21</x:f>
        <x:v>0</x:v>
      </x:c>
    </x:row>
    <x:row r="249" ht="16" customHeight="1">
      <x:c r="A249" s="1"/>
      <x:c r="B249" s="1"/>
      <x:c r="C249" s="1" t="str">
        <x:v>DOT-114</x:v>
      </x:c>
      <x:c r="D249" s="10" t="str">
        <x:v>Learn Anglais</x:v>
      </x:c>
      <x:c r="E249" s="10" t="n">
        <x:v>2</x:v>
      </x:c>
      <x:c r="F249" s="21" t="n">
        <x:f>'Assumptions'!$I$143*(1-'Assumptions'!$K$143)*(1+'Assumptions'!$L$143)*'Assumptions'!$D$9*'Assumptions'!$D$8</x:f>
        <x:v>206.99999999999997</x:v>
      </x:c>
      <x:c r="G249" s="21" t="n">
        <x:f>H121*'Assumptions'!$K$143</x:f>
        <x:v>45</x:v>
      </x:c>
      <x:c r="H249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249+G249,NA())</x:f>
        <x:v>251.99999999999997</x:v>
      </x:c>
      <x:c r="I249" s="22" t="n">
        <x:f>'Assumptions'!$H$143*IF('Assumptions'!$O$143=1,1,'Assumptions'!$D$10)*(1+'Assumptions'!$N$143)^(2-1)</x:f>
        <x:v>29.580000000000002</x:v>
      </x:c>
      <x:c r="J249" s="10" t="n">
        <x:f>H249*I249</x:f>
        <x:v>7454.16</x:v>
      </x:c>
      <x:c r="K249" s="10" t="n">
        <x:f>J249*'Assumptions'!$T$143</x:f>
        <x:v>7454.16</x:v>
      </x:c>
      <x:c r="L249" s="10" t="n">
        <x:f>K249*'Assumptions'!$U$143</x:f>
        <x:v>223.6248</x:v>
      </x:c>
      <x:c r="M249" s="10" t="n">
        <x:f>K249*'Assumptions'!$V$143</x:f>
        <x:v>0</x:v>
      </x:c>
      <x:c r="N249" s="10" t="n">
        <x:f>K249-L249-M249</x:f>
        <x:v>7230.5352</x:v>
      </x:c>
      <x:c r="O249" s="10" t="n">
        <x:f>H249*'Assumptions'!$P$143*'Assumptions'!$Q$143*'Assumptions'!$D$11*(1+'Assumptions'!$D$13)^(2-1)</x:f>
        <x:v>1362.69</x:v>
      </x:c>
      <x:c r="P249" s="10" t="n">
        <x:f>H249*'Assumptions'!$R$143*'Assumptions'!$D$11*(1+'Assumptions'!$D$13)^(2-1)</x:f>
        <x:v>0</x:v>
      </x:c>
      <x:c r="Q249" s="10" t="n">
        <x:f>J249*'Assumptions'!$S$143</x:f>
        <x:v>0</x:v>
      </x:c>
      <x:c r="R249" s="10" t="n">
        <x:f>H249*'Assumptions'!$Y$143*'Assumptions'!$Z$143*'Assumptions'!$D$11*(1+'Assumptions'!$D$13)^(2-1)</x:f>
        <x:v>778.6800000000001</x:v>
      </x:c>
      <x:c r="S249" s="10" t="n">
        <x:f>IF(I249=0,0,J249*'Assumptions'!$W$143+H249*'Assumptions'!$X$143)</x:f>
        <x:v>291.77064</x:v>
      </x:c>
      <x:c r="T249" s="10" t="n">
        <x:f>N249*'Assumptions'!$AA$143</x:f>
        <x:v>361.52676</x:v>
      </x:c>
      <x:c r="U249" s="10" t="n">
        <x:f>'Assumptions'!$AE$143*'Assumptions'!$D$11*(1+'Assumptions'!$D$13)^(2-1)</x:f>
        <x:v>0</x:v>
      </x:c>
      <x:c r="V249" s="10" t="n">
        <x:f>0</x:f>
        <x:v>0</x:v>
      </x:c>
      <x:c r="W249" s="10" t="n">
        <x:f>H249*('Assumptions'!$P$143+'Assumptions'!$Y$143)</x:f>
        <x:v>62.99999999999999</x:v>
      </x:c>
      <x:c r="X249" s="10" t="n">
        <x:f>N249/12*'Assumptions'!$AF$143</x:f>
        <x:v>0</x:v>
      </x:c>
      <x:c r="Y249" s="10" t="n">
        <x:f>P249/12</x:f>
        <x:v>0</x:v>
      </x:c>
      <x:c r="Z249" s="10" t="n">
        <x:f>0</x:f>
        <x:v>0</x:v>
      </x:c>
      <x:c r="AA249" s="10" t="n">
        <x:f>Z249*'Assumptions'!$AC$143*'Assumptions'!$D$11*(1+'Assumptions'!$D$13)^(2-1)</x:f>
        <x:v>0</x:v>
      </x:c>
      <x:c r="AB249" s="10" t="n">
        <x:f>F249/1</x:f>
        <x:v>206.99999999999997</x:v>
      </x:c>
      <x:c r="AC249" s="10" t="n">
        <x:f>AB249/'Assumptions'!$AM$143</x:f>
        <x:v>4139.999999999999</x:v>
      </x:c>
      <x:c r="AD249" s="10" t="n">
        <x:f>IF(AB249=0,0,T249/AB249)</x:f>
        <x:v>1.746506086956522</x:v>
      </x:c>
      <x:c r="AE249" s="10" t="n">
        <x:f>AA249*'Assumptions'!$D$21</x:f>
        <x:v>0</x:v>
      </x:c>
    </x:row>
    <x:row r="250" ht="16" customHeight="1">
      <x:c r="A250" s="1"/>
      <x:c r="B250" s="1"/>
      <x:c r="C250" s="1" t="str">
        <x:v>DOT-115</x:v>
      </x:c>
      <x:c r="D250" s="10" t="str">
        <x:v>Learn Anglais</x:v>
      </x:c>
      <x:c r="E250" s="10" t="n">
        <x:v>2</x:v>
      </x:c>
      <x:c r="F250" s="21" t="n">
        <x:f>'Assumptions'!$I$144*(1-'Assumptions'!$K$144)*(1+'Assumptions'!$L$144)*'Assumptions'!$D$9*'Assumptions'!$D$8</x:f>
        <x:v>86.40000000000002</x:v>
      </x:c>
      <x:c r="G250" s="21" t="n">
        <x:f>H122*'Assumptions'!$K$144</x:f>
        <x:v>84</x:v>
      </x:c>
      <x:c r="H250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250+G250,NA())</x:f>
        <x:v>170.40000000000003</x:v>
      </x:c>
      <x:c r="I250" s="22" t="n">
        <x:f>'Assumptions'!$H$144*IF('Assumptions'!$O$144=1,1,'Assumptions'!$D$10)*(1+'Assumptions'!$N$144)^(2-1)</x:f>
        <x:v>45.9</x:v>
      </x:c>
      <x:c r="J250" s="10" t="n">
        <x:f>H250*I250</x:f>
        <x:v>7821.3600000000015</x:v>
      </x:c>
      <x:c r="K250" s="10" t="n">
        <x:f>J250*'Assumptions'!$T$144</x:f>
        <x:v>2607.1200000000003</x:v>
      </x:c>
      <x:c r="L250" s="10" t="n">
        <x:f>K250*'Assumptions'!$U$144</x:f>
        <x:v>78.21360000000001</x:v>
      </x:c>
      <x:c r="M250" s="10" t="n">
        <x:f>K250*'Assumptions'!$V$144</x:f>
        <x:v>0</x:v>
      </x:c>
      <x:c r="N250" s="10" t="n">
        <x:f>K250-L250-M250</x:f>
        <x:v>2528.9064000000003</x:v>
      </x:c>
      <x:c r="O250" s="10" t="n">
        <x:f>H250*'Assumptions'!$P$144*'Assumptions'!$Q$144*'Assumptions'!$D$11*(1+'Assumptions'!$D$13)^(2-1)</x:f>
        <x:v>921.4380000000003</x:v>
      </x:c>
      <x:c r="P250" s="10" t="n">
        <x:f>H250*'Assumptions'!$R$144*'Assumptions'!$D$11*(1+'Assumptions'!$D$13)^(2-1)</x:f>
        <x:v>0</x:v>
      </x:c>
      <x:c r="Q250" s="10" t="n">
        <x:f>J250*'Assumptions'!$S$144</x:f>
        <x:v>0</x:v>
      </x:c>
      <x:c r="R250" s="10" t="n">
        <x:f>H250*'Assumptions'!$Y$144*'Assumptions'!$Z$144*'Assumptions'!$D$11*(1+'Assumptions'!$D$13)^(2-1)</x:f>
        <x:v>789.8040000000002</x:v>
      </x:c>
      <x:c r="S250" s="10" t="n">
        <x:f>IF(I250=0,0,J250*'Assumptions'!$W$144+H250*'Assumptions'!$X$144)</x:f>
        <x:v>277.93944000000005</x:v>
      </x:c>
      <x:c r="T250" s="10" t="n">
        <x:f>N250*'Assumptions'!$AA$144</x:f>
        <x:v>126.44532000000002</x:v>
      </x:c>
      <x:c r="U250" s="10" t="n">
        <x:f>'Assumptions'!$AE$144*'Assumptions'!$D$11*(1+'Assumptions'!$D$13)^(2-1)</x:f>
        <x:v>0</x:v>
      </x:c>
      <x:c r="V250" s="10" t="n">
        <x:f>0</x:f>
        <x:v>0</x:v>
      </x:c>
      <x:c r="W250" s="10" t="n">
        <x:f>H250*('Assumptions'!$P$144+'Assumptions'!$Y$144)</x:f>
        <x:v>51.12000000000001</x:v>
      </x:c>
      <x:c r="X250" s="10" t="n">
        <x:f>N250/12*'Assumptions'!$AF$144</x:f>
        <x:v>0</x:v>
      </x:c>
      <x:c r="Y250" s="10" t="n">
        <x:f>P250/12</x:f>
        <x:v>0</x:v>
      </x:c>
      <x:c r="Z250" s="10" t="n">
        <x:f>0</x:f>
        <x:v>0</x:v>
      </x:c>
      <x:c r="AA250" s="10" t="n">
        <x:f>Z250*'Assumptions'!$AC$144*'Assumptions'!$D$11*(1+'Assumptions'!$D$13)^(2-1)</x:f>
        <x:v>0</x:v>
      </x:c>
      <x:c r="AB250" s="10" t="n">
        <x:f>F250/1</x:f>
        <x:v>86.40000000000002</x:v>
      </x:c>
      <x:c r="AC250" s="10" t="n">
        <x:f>AB250/'Assumptions'!$AM$144</x:f>
        <x:v>1728.0000000000002</x:v>
      </x:c>
      <x:c r="AD250" s="10" t="n">
        <x:f>IF(AB250=0,0,T250/AB250)</x:f>
        <x:v>1.4634874999999998</x:v>
      </x:c>
      <x:c r="AE250" s="10" t="n">
        <x:f>AA250*'Assumptions'!$D$21</x:f>
        <x:v>0</x:v>
      </x:c>
    </x:row>
    <x:row r="251" ht="16" customHeight="1">
      <x:c r="A251" s="1"/>
      <x:c r="B251" s="1"/>
      <x:c r="C251" s="1" t="str">
        <x:v>DOT-116</x:v>
      </x:c>
      <x:c r="D251" s="10" t="str">
        <x:v>Fiefé</x:v>
      </x:c>
      <x:c r="E251" s="10" t="n">
        <x:v>2</x:v>
      </x:c>
      <x:c r="F251" s="21" t="n">
        <x:f>'Assumptions'!$I$145*(1-'Assumptions'!$K$145)*(1+'Assumptions'!$L$145)*'Assumptions'!$D$9*'Assumptions'!$D$8</x:f>
        <x:v>37.632</x:v>
      </x:c>
      <x:c r="G251" s="21" t="n">
        <x:f>H123*'Assumptions'!$K$145</x:f>
        <x:v>7.199999999999999</x:v>
      </x:c>
      <x:c r="H251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251+G251,NA())</x:f>
        <x:v>44.831999999999994</x:v>
      </x:c>
      <x:c r="I251" s="22" t="n">
        <x:f>'Assumptions'!$H$145*IF('Assumptions'!$O$145=1,1,'Assumptions'!$D$10)*(1+'Assumptions'!$N$145)^(2-1)</x:f>
        <x:v>459</x:v>
      </x:c>
      <x:c r="J251" s="10" t="n">
        <x:f>H251*I251</x:f>
        <x:v>20577.887999999995</x:v>
      </x:c>
      <x:c r="K251" s="10" t="n">
        <x:f>J251*'Assumptions'!$T$145</x:f>
        <x:v>20577.887999999995</x:v>
      </x:c>
      <x:c r="L251" s="10" t="n">
        <x:f>K251*'Assumptions'!$U$145</x:f>
        <x:v>617.3366399999999</x:v>
      </x:c>
      <x:c r="M251" s="10" t="n">
        <x:f>K251*'Assumptions'!$V$145</x:f>
        <x:v>411.5577599999999</x:v>
      </x:c>
      <x:c r="N251" s="10" t="n">
        <x:f>K251-L251-M251</x:f>
        <x:v>19548.993599999994</x:v>
      </x:c>
      <x:c r="O251" s="10" t="n">
        <x:f>H251*'Assumptions'!$P$145*'Assumptions'!$Q$145*'Assumptions'!$D$11*(1+'Assumptions'!$D$13)^(2-1)</x:f>
        <x:v>1154.4239999999998</x:v>
      </x:c>
      <x:c r="P251" s="10" t="n">
        <x:f>H251*'Assumptions'!$R$145*'Assumptions'!$D$11*(1+'Assumptions'!$D$13)^(2-1)</x:f>
        <x:v>11544.239999999998</x:v>
      </x:c>
      <x:c r="Q251" s="10" t="n">
        <x:f>J251*'Assumptions'!$S$145</x:f>
        <x:v>0</x:v>
      </x:c>
      <x:c r="R251" s="10" t="n">
        <x:f>H251*'Assumptions'!$Y$145*'Assumptions'!$Z$145*'Assumptions'!$D$11*(1+'Assumptions'!$D$13)^(2-1)</x:f>
        <x:v>207.79631999999998</x:v>
      </x:c>
      <x:c r="S251" s="10" t="n">
        <x:f>IF(I251=0,0,J251*'Assumptions'!$W$145+H251*'Assumptions'!$X$145)</x:f>
        <x:v>610.2083519999999</x:v>
      </x:c>
      <x:c r="T251" s="10" t="n">
        <x:f>N251*'Assumptions'!$AA$145</x:f>
        <x:v>1563.9194879999995</x:v>
      </x:c>
      <x:c r="U251" s="10" t="n">
        <x:f>'Assumptions'!$AE$145*'Assumptions'!$D$11*(1+'Assumptions'!$D$13)^(2-1)</x:f>
        <x:v>0</x:v>
      </x:c>
      <x:c r="V251" s="10" t="n">
        <x:f>0</x:f>
        <x:v>0</x:v>
      </x:c>
      <x:c r="W251" s="10" t="n">
        <x:f>H251*('Assumptions'!$P$145+'Assumptions'!$Y$145)</x:f>
        <x:v>29.140799999999995</x:v>
      </x:c>
      <x:c r="X251" s="10" t="n">
        <x:f>N251/12*'Assumptions'!$AF$145</x:f>
        <x:v>0</x:v>
      </x:c>
      <x:c r="Y251" s="10" t="n">
        <x:f>P251/12</x:f>
        <x:v>962.0199999999999</x:v>
      </x:c>
      <x:c r="Z251" s="10" t="n">
        <x:f>0</x:f>
        <x:v>0</x:v>
      </x:c>
      <x:c r="AA251" s="10" t="n">
        <x:f>Z251*'Assumptions'!$AC$145*'Assumptions'!$D$11*(1+'Assumptions'!$D$13)^(2-1)</x:f>
        <x:v>0</x:v>
      </x:c>
      <x:c r="AB251" s="10" t="n">
        <x:f>F251/1</x:f>
        <x:v>37.632</x:v>
      </x:c>
      <x:c r="AC251" s="10" t="n">
        <x:f>AB251/'Assumptions'!$AM$145</x:f>
        <x:v>1254.3999999999999</x:v>
      </x:c>
      <x:c r="AD251" s="10" t="n">
        <x:f>IF(AB251=0,0,T251/AB251)</x:f>
        <x:v>41.558234693877544</x:v>
      </x:c>
      <x:c r="AE251" s="10" t="n">
        <x:f>AA251*'Assumptions'!$D$21</x:f>
        <x:v>0</x:v>
      </x:c>
    </x:row>
    <x:row r="252" ht="16" customHeight="1">
      <x:c r="A252" s="1"/>
      <x:c r="B252" s="1"/>
      <x:c r="C252" s="1" t="str">
        <x:v>DOT-117</x:v>
      </x:c>
      <x:c r="D252" s="10" t="str">
        <x:v>Fiefé</x:v>
      </x:c>
      <x:c r="E252" s="10" t="n">
        <x:v>2</x:v>
      </x:c>
      <x:c r="F252" s="21" t="n">
        <x:f>'Assumptions'!$I$146*(1-'Assumptions'!$K$146)*(1+'Assumptions'!$L$146)*'Assumptions'!$D$9*'Assumptions'!$D$8</x:f>
        <x:v>47.040000000000006</x:v>
      </x:c>
      <x:c r="G252" s="21" t="n">
        <x:f>H124*'Assumptions'!$K$146</x:f>
        <x:v>9</x:v>
      </x:c>
      <x:c r="H252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252+G252,NA())</x:f>
        <x:v>56.040000000000006</x:v>
      </x:c>
      <x:c r="I252" s="22" t="n">
        <x:f>'Assumptions'!$H$146*IF('Assumptions'!$O$146=1,1,'Assumptions'!$D$10)*(1+'Assumptions'!$N$146)^(2-1)</x:f>
        <x:v>178.5</x:v>
      </x:c>
      <x:c r="J252" s="10" t="n">
        <x:f>H252*I252</x:f>
        <x:v>10003.140000000001</x:v>
      </x:c>
      <x:c r="K252" s="10" t="n">
        <x:f>J252*'Assumptions'!$T$146</x:f>
        <x:v>10003.140000000001</x:v>
      </x:c>
      <x:c r="L252" s="10" t="n">
        <x:f>K252*'Assumptions'!$U$146</x:f>
        <x:v>300.0942</x:v>
      </x:c>
      <x:c r="M252" s="10" t="n">
        <x:f>K252*'Assumptions'!$V$146</x:f>
        <x:v>200.06280000000004</x:v>
      </x:c>
      <x:c r="N252" s="10" t="n">
        <x:f>K252-L252-M252</x:f>
        <x:v>9502.983000000002</x:v>
      </x:c>
      <x:c r="O252" s="10" t="n">
        <x:f>H252*'Assumptions'!$P$146*'Assumptions'!$Q$146*'Assumptions'!$D$11*(1+'Assumptions'!$D$13)^(2-1)</x:f>
        <x:v>649.3635</x:v>
      </x:c>
      <x:c r="P252" s="10" t="n">
        <x:f>H252*'Assumptions'!$R$146*'Assumptions'!$D$11*(1+'Assumptions'!$D$13)^(2-1)</x:f>
        <x:v>4617.696000000001</x:v>
      </x:c>
      <x:c r="Q252" s="10" t="n">
        <x:f>J252*'Assumptions'!$S$146</x:f>
        <x:v>0</x:v>
      </x:c>
      <x:c r="R252" s="10" t="n">
        <x:f>H252*'Assumptions'!$Y$146*'Assumptions'!$Z$146*'Assumptions'!$D$11*(1+'Assumptions'!$D$13)^(2-1)</x:f>
        <x:v>259.7454</x:v>
      </x:c>
      <x:c r="S252" s="10" t="n">
        <x:f>IF(I252=0,0,J252*'Assumptions'!$W$146+H252*'Assumptions'!$X$146)</x:f>
        <x:v>306.90306000000004</x:v>
      </x:c>
      <x:c r="T252" s="10" t="n">
        <x:f>N252*'Assumptions'!$AA$146</x:f>
        <x:v>760.2386400000001</x:v>
      </x:c>
      <x:c r="U252" s="10" t="n">
        <x:f>'Assumptions'!$AE$146*'Assumptions'!$D$11*(1+'Assumptions'!$D$13)^(2-1)</x:f>
        <x:v>0</x:v>
      </x:c>
      <x:c r="V252" s="10" t="n">
        <x:f>0</x:f>
        <x:v>0</x:v>
      </x:c>
      <x:c r="W252" s="10" t="n">
        <x:f>H252*('Assumptions'!$P$146+'Assumptions'!$Y$146)</x:f>
        <x:v>22.416000000000004</x:v>
      </x:c>
      <x:c r="X252" s="10" t="n">
        <x:f>N252/12*'Assumptions'!$AF$146</x:f>
        <x:v>0</x:v>
      </x:c>
      <x:c r="Y252" s="10" t="n">
        <x:f>P252/12</x:f>
        <x:v>384.80800000000005</x:v>
      </x:c>
      <x:c r="Z252" s="10" t="n">
        <x:f>0</x:f>
        <x:v>0</x:v>
      </x:c>
      <x:c r="AA252" s="10" t="n">
        <x:f>Z252*'Assumptions'!$AC$146*'Assumptions'!$D$11*(1+'Assumptions'!$D$13)^(2-1)</x:f>
        <x:v>0</x:v>
      </x:c>
      <x:c r="AB252" s="10" t="n">
        <x:f>F252/1</x:f>
        <x:v>47.040000000000006</x:v>
      </x:c>
      <x:c r="AC252" s="10" t="n">
        <x:f>AB252/'Assumptions'!$AM$146</x:f>
        <x:v>1568.0000000000002</x:v>
      </x:c>
      <x:c r="AD252" s="10" t="n">
        <x:f>IF(AB252=0,0,T252/AB252)</x:f>
        <x:v>16.161535714285716</x:v>
      </x:c>
      <x:c r="AE252" s="10" t="n">
        <x:f>AA252*'Assumptions'!$D$21</x:f>
        <x:v>0</x:v>
      </x:c>
    </x:row>
    <x:row r="253" ht="16" customHeight="1">
      <x:c r="A253" s="1"/>
      <x:c r="B253" s="1"/>
      <x:c r="C253" s="1" t="str">
        <x:v>DOT-118</x:v>
      </x:c>
      <x:c r="D253" s="10" t="str">
        <x:v>Fiefé Design</x:v>
      </x:c>
      <x:c r="E253" s="10" t="n">
        <x:v>2</x:v>
      </x:c>
      <x:c r="F253" s="21" t="n">
        <x:f>'Assumptions'!$I$147*(1-'Assumptions'!$K$147)*(1+'Assumptions'!$L$147)*'Assumptions'!$D$9*'Assumptions'!$D$8</x:f>
        <x:v>6.272</x:v>
      </x:c>
      <x:c r="G253" s="21" t="n">
        <x:f>H125*'Assumptions'!$K$147</x:f>
        <x:v>1.2</x:v>
      </x:c>
      <x:c r="H253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253+G253,NA())</x:f>
        <x:v>7.472</x:v>
      </x:c>
      <x:c r="I253" s="22" t="n">
        <x:f>'Assumptions'!$H$147*IF('Assumptions'!$O$147=1,1,'Assumptions'!$D$10)*(1+'Assumptions'!$N$147)^(2-1)</x:f>
        <x:v>2550</x:v>
      </x:c>
      <x:c r="J253" s="10" t="n">
        <x:f>H253*I253</x:f>
        <x:v>19053.600000000002</x:v>
      </x:c>
      <x:c r="K253" s="10" t="n">
        <x:f>J253*'Assumptions'!$T$147</x:f>
        <x:v>19053.600000000002</x:v>
      </x:c>
      <x:c r="L253" s="10" t="n">
        <x:f>K253*'Assumptions'!$U$147</x:f>
        <x:v>571.6080000000001</x:v>
      </x:c>
      <x:c r="M253" s="10" t="n">
        <x:f>K253*'Assumptions'!$V$147</x:f>
        <x:v>381.07200000000006</x:v>
      </x:c>
      <x:c r="N253" s="10" t="n">
        <x:f>K253-L253-M253</x:f>
        <x:v>18100.920000000002</x:v>
      </x:c>
      <x:c r="O253" s="10" t="n">
        <x:f>H253*'Assumptions'!$P$147*'Assumptions'!$Q$147*'Assumptions'!$D$11*(1+'Assumptions'!$D$13)^(2-1)</x:f>
        <x:v>3694.1568000000007</x:v>
      </x:c>
      <x:c r="P253" s="10" t="n">
        <x:f>H253*'Assumptions'!$R$147*'Assumptions'!$D$11*(1+'Assumptions'!$D$13)^(2-1)</x:f>
        <x:v>6926.544000000001</x:v>
      </x:c>
      <x:c r="Q253" s="10" t="n">
        <x:f>J253*'Assumptions'!$S$147</x:f>
        <x:v>0</x:v>
      </x:c>
      <x:c r="R253" s="10" t="n">
        <x:f>H253*'Assumptions'!$Y$147*'Assumptions'!$Z$147*'Assumptions'!$D$11*(1+'Assumptions'!$D$13)^(2-1)</x:f>
        <x:v>34.632720000000006</x:v>
      </x:c>
      <x:c r="S253" s="10" t="n">
        <x:f>IF(I253=0,0,J253*'Assumptions'!$W$147+H253*'Assumptions'!$X$147)</x:f>
        <x:v>554.796</x:v>
      </x:c>
      <x:c r="T253" s="10" t="n">
        <x:f>N253*'Assumptions'!$AA$147</x:f>
        <x:v>1448.0736000000002</x:v>
      </x:c>
      <x:c r="U253" s="10" t="n">
        <x:f>'Assumptions'!$AE$147*'Assumptions'!$D$11*(1+'Assumptions'!$D$13)^(2-1)</x:f>
        <x:v>0</x:v>
      </x:c>
      <x:c r="V253" s="10" t="n">
        <x:f>0</x:f>
        <x:v>0</x:v>
      </x:c>
      <x:c r="W253" s="10" t="n">
        <x:f>H253*('Assumptions'!$P$147+'Assumptions'!$Y$147)</x:f>
        <x:v>60.896800000000006</x:v>
      </x:c>
      <x:c r="X253" s="10" t="n">
        <x:f>N253/12*'Assumptions'!$AF$147</x:f>
        <x:v>0</x:v>
      </x:c>
      <x:c r="Y253" s="10" t="n">
        <x:f>P253/12</x:f>
        <x:v>577.2120000000001</x:v>
      </x:c>
      <x:c r="Z253" s="10" t="n">
        <x:f>0</x:f>
        <x:v>0</x:v>
      </x:c>
      <x:c r="AA253" s="10" t="n">
        <x:f>Z253*'Assumptions'!$AC$147*'Assumptions'!$D$11*(1+'Assumptions'!$D$13)^(2-1)</x:f>
        <x:v>0</x:v>
      </x:c>
      <x:c r="AB253" s="10" t="n">
        <x:f>F253/1</x:f>
        <x:v>6.272</x:v>
      </x:c>
      <x:c r="AC253" s="10" t="n">
        <x:f>AB253/'Assumptions'!$AM$147</x:f>
        <x:v>209.0666666666667</x:v>
      </x:c>
      <x:c r="AD253" s="10" t="n">
        <x:f>IF(AB253=0,0,T253/AB253)</x:f>
        <x:v>230.87908163265308</x:v>
      </x:c>
      <x:c r="AE253" s="10" t="n">
        <x:f>AA253*'Assumptions'!$D$21</x:f>
        <x:v>0</x:v>
      </x:c>
    </x:row>
    <x:row r="254" ht="16" customHeight="1">
      <x:c r="A254" s="1"/>
      <x:c r="B254" s="1"/>
      <x:c r="C254" s="1" t="str">
        <x:v>DOT-119</x:v>
      </x:c>
      <x:c r="D254" s="10" t="str">
        <x:v>OsezArt</x:v>
      </x:c>
      <x:c r="E254" s="10" t="n">
        <x:v>2</x:v>
      </x:c>
      <x:c r="F254" s="21" t="n">
        <x:f>'Assumptions'!$I$148*(1-'Assumptions'!$K$148)*(1+'Assumptions'!$L$148)*'Assumptions'!$D$9*'Assumptions'!$D$8</x:f>
        <x:v>4.32</x:v>
      </x:c>
      <x:c r="G254" s="21" t="n">
        <x:f>H126*'Assumptions'!$K$148</x:f>
        <x:v>4.199999999999999</x:v>
      </x:c>
      <x:c r="H254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254+G254,NA())</x:f>
        <x:v>8.52</x:v>
      </x:c>
      <x:c r="I254" s="22" t="n">
        <x:f>'Assumptions'!$H$148*IF('Assumptions'!$O$148=1,1,'Assumptions'!$D$10)*(1+'Assumptions'!$N$148)^(2-1)</x:f>
        <x:v>5100</x:v>
      </x:c>
      <x:c r="J254" s="10" t="n">
        <x:f>H254*I254</x:f>
        <x:v>43452</x:v>
      </x:c>
      <x:c r="K254" s="10" t="n">
        <x:f>J254*'Assumptions'!$T$148</x:f>
        <x:v>8690.4</x:v>
      </x:c>
      <x:c r="L254" s="10" t="n">
        <x:f>K254*'Assumptions'!$U$148</x:f>
        <x:v>260.712</x:v>
      </x:c>
      <x:c r="M254" s="10" t="n">
        <x:f>K254*'Assumptions'!$V$148</x:f>
        <x:v>0</x:v>
      </x:c>
      <x:c r="N254" s="10" t="n">
        <x:f>K254-L254-M254</x:f>
        <x:v>8429.688</x:v>
      </x:c>
      <x:c r="O254" s="10" t="n">
        <x:f>H254*'Assumptions'!$P$148*'Assumptions'!$Q$148*'Assumptions'!$D$11*(1+'Assumptions'!$D$13)^(2-1)</x:f>
        <x:v>2106.1440000000002</x:v>
      </x:c>
      <x:c r="P254" s="10" t="n">
        <x:f>H254*'Assumptions'!$R$148*'Assumptions'!$D$11*(1+'Assumptions'!$D$13)^(2-1)</x:f>
        <x:v>0</x:v>
      </x:c>
      <x:c r="Q254" s="10" t="n">
        <x:f>J254*'Assumptions'!$S$148</x:f>
        <x:v>0</x:v>
      </x:c>
      <x:c r="R254" s="10" t="n">
        <x:f>H254*'Assumptions'!$Y$148*'Assumptions'!$Z$148*'Assumptions'!$D$11*(1+'Assumptions'!$D$13)^(2-1)</x:f>
        <x:v>39.490199999999994</x:v>
      </x:c>
      <x:c r="S254" s="10" t="n">
        <x:f>IF(I254=0,0,J254*'Assumptions'!$W$148+H254*'Assumptions'!$X$148)</x:f>
        <x:v>1262.6640000000002</x:v>
      </x:c>
      <x:c r="T254" s="10" t="n">
        <x:f>N254*'Assumptions'!$AA$148</x:f>
        <x:v>421.48440000000005</x:v>
      </x:c>
      <x:c r="U254" s="10" t="n">
        <x:f>'Assumptions'!$AE$148*'Assumptions'!$D$11*(1+'Assumptions'!$D$13)^(2-1)</x:f>
        <x:v>0</x:v>
      </x:c>
      <x:c r="V254" s="10" t="n">
        <x:f>0</x:f>
        <x:v>0</x:v>
      </x:c>
      <x:c r="W254" s="10" t="n">
        <x:f>H254*('Assumptions'!$P$148+'Assumptions'!$Y$148)</x:f>
        <x:v>35.358000000000004</x:v>
      </x:c>
      <x:c r="X254" s="10" t="n">
        <x:f>N254/12*'Assumptions'!$AF$148</x:f>
        <x:v>0</x:v>
      </x:c>
      <x:c r="Y254" s="10" t="n">
        <x:f>P254/12</x:f>
        <x:v>0</x:v>
      </x:c>
      <x:c r="Z254" s="10" t="n">
        <x:f>0</x:f>
        <x:v>0</x:v>
      </x:c>
      <x:c r="AA254" s="10" t="n">
        <x:f>Z254*'Assumptions'!$AC$148*'Assumptions'!$D$11*(1+'Assumptions'!$D$13)^(2-1)</x:f>
        <x:v>0</x:v>
      </x:c>
      <x:c r="AB254" s="10" t="n">
        <x:f>F254/1</x:f>
        <x:v>4.32</x:v>
      </x:c>
      <x:c r="AC254" s="10" t="n">
        <x:f>AB254/'Assumptions'!$AM$148</x:f>
        <x:v>86.4</x:v>
      </x:c>
      <x:c r="AD254" s="10" t="n">
        <x:f>IF(AB254=0,0,T254/AB254)</x:f>
        <x:v>97.56583333333334</x:v>
      </x:c>
      <x:c r="AE254" s="10" t="n">
        <x:f>AA254*'Assumptions'!$D$21</x:f>
        <x:v>0</x:v>
      </x:c>
    </x:row>
    <x:row r="255" ht="16" customHeight="1">
      <x:c r="A255" s="1"/>
      <x:c r="B255" s="1"/>
      <x:c r="C255" s="1" t="str">
        <x:v>DOT-120</x:v>
      </x:c>
      <x:c r="D255" s="10" t="str">
        <x:v>OsezArt</x:v>
      </x:c>
      <x:c r="E255" s="10" t="n">
        <x:v>2</x:v>
      </x:c>
      <x:c r="F255" s="21" t="n">
        <x:f>'Assumptions'!$I$149*(1-'Assumptions'!$K$149)*(1+'Assumptions'!$L$149)*'Assumptions'!$D$9*'Assumptions'!$D$8</x:f>
        <x:v>3.3000000000000003</x:v>
      </x:c>
      <x:c r="G255" s="21" t="n">
        <x:f>H127*'Assumptions'!$K$149</x:f>
        <x:v>2.25</x:v>
      </x:c>
      <x:c r="H255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255+G255,NA())</x:f>
        <x:v>5.550000000000001</x:v>
      </x:c>
      <x:c r="I255" s="22" t="n">
        <x:f>'Assumptions'!$H$149*IF('Assumptions'!$O$149=1,1,'Assumptions'!$D$10)*(1+'Assumptions'!$N$149)^(2-1)</x:f>
        <x:v>5100</x:v>
      </x:c>
      <x:c r="J255" s="10" t="n">
        <x:f>H255*I255</x:f>
        <x:v>28305.000000000004</x:v>
      </x:c>
      <x:c r="K255" s="10" t="n">
        <x:f>J255*'Assumptions'!$T$149</x:f>
        <x:v>28305.000000000004</x:v>
      </x:c>
      <x:c r="L255" s="10" t="n">
        <x:f>K255*'Assumptions'!$U$149</x:f>
        <x:v>849.1500000000001</x:v>
      </x:c>
      <x:c r="M255" s="10" t="n">
        <x:f>K255*'Assumptions'!$V$149</x:f>
        <x:v>0</x:v>
      </x:c>
      <x:c r="N255" s="10" t="n">
        <x:f>K255-L255-M255</x:f>
        <x:v>27455.850000000002</x:v>
      </x:c>
      <x:c r="O255" s="10" t="n">
        <x:f>H255*'Assumptions'!$P$149*'Assumptions'!$Q$149*'Assumptions'!$D$11*(1+'Assumptions'!$D$13)^(2-1)</x:f>
        <x:v>11147.175000000003</x:v>
      </x:c>
      <x:c r="P255" s="10" t="n">
        <x:f>H255*'Assumptions'!$R$149*'Assumptions'!$D$11*(1+'Assumptions'!$D$13)^(2-1)</x:f>
        <x:v>1429.1250000000002</x:v>
      </x:c>
      <x:c r="Q255" s="10" t="n">
        <x:f>J255*'Assumptions'!$S$149</x:f>
        <x:v>0</x:v>
      </x:c>
      <x:c r="R255" s="10" t="n">
        <x:f>H255*'Assumptions'!$Y$149*'Assumptions'!$Z$149*'Assumptions'!$D$11*(1+'Assumptions'!$D$13)^(2-1)</x:f>
        <x:v>42.87375000000001</x:v>
      </x:c>
      <x:c r="S255" s="10" t="n">
        <x:f>IF(I255=0,0,J255*'Assumptions'!$W$149+H255*'Assumptions'!$X$149)</x:f>
        <x:v>822.5100000000001</x:v>
      </x:c>
      <x:c r="T255" s="10" t="n">
        <x:f>N255*'Assumptions'!$AA$149</x:f>
        <x:v>1098.2340000000002</x:v>
      </x:c>
      <x:c r="U255" s="10" t="n">
        <x:f>'Assumptions'!$AE$149*'Assumptions'!$D$11*(1+'Assumptions'!$D$13)^(2-1)</x:f>
        <x:v>0</x:v>
      </x:c>
      <x:c r="V255" s="10" t="n">
        <x:f>0</x:f>
        <x:v>0</x:v>
      </x:c>
      <x:c r="W255" s="10" t="n">
        <x:f>H255*('Assumptions'!$P$149+'Assumptions'!$Y$149)</x:f>
        <x:v>167.88750000000002</x:v>
      </x:c>
      <x:c r="X255" s="10" t="n">
        <x:f>N255/12*'Assumptions'!$AF$149</x:f>
        <x:v>2287.9875</x:v>
      </x:c>
      <x:c r="Y255" s="10" t="n">
        <x:f>P255/12</x:f>
        <x:v>119.09375000000001</x:v>
      </x:c>
      <x:c r="Z255" s="10" t="n">
        <x:f>0</x:f>
        <x:v>0</x:v>
      </x:c>
      <x:c r="AA255" s="10" t="n">
        <x:f>Z255*'Assumptions'!$AC$149*'Assumptions'!$D$11*(1+'Assumptions'!$D$13)^(2-1)</x:f>
        <x:v>0</x:v>
      </x:c>
      <x:c r="AB255" s="10" t="n">
        <x:f>F255/1</x:f>
        <x:v>3.3000000000000003</x:v>
      </x:c>
      <x:c r="AC255" s="10" t="n">
        <x:f>AB255/'Assumptions'!$AM$149</x:f>
        <x:v>16.5</x:v>
      </x:c>
      <x:c r="AD255" s="10" t="n">
        <x:f>IF(AB255=0,0,T255/AB255)</x:f>
        <x:v>332.79818181818183</x:v>
      </x:c>
      <x:c r="AE255" s="10" t="n">
        <x:f>AA255*'Assumptions'!$D$21</x:f>
        <x:v>0</x:v>
      </x:c>
    </x:row>
    <x:row r="256" ht="16" customHeight="1">
      <x:c r="A256" s="1"/>
      <x:c r="B256" s="1"/>
      <x:c r="C256" s="1" t="str">
        <x:v>DOT-121</x:v>
      </x:c>
      <x:c r="D256" s="10" t="str">
        <x:v>OsezArt</x:v>
      </x:c>
      <x:c r="E256" s="10" t="n">
        <x:v>2</x:v>
      </x:c>
      <x:c r="F256" s="21" t="n">
        <x:f>'Assumptions'!$I$150*(1-'Assumptions'!$K$150)*(1+'Assumptions'!$L$150)*'Assumptions'!$D$9*'Assumptions'!$D$8</x:f>
        <x:v>3.3000000000000003</x:v>
      </x:c>
      <x:c r="G256" s="21" t="n">
        <x:f>H128*'Assumptions'!$K$150</x:f>
        <x:v>1.5</x:v>
      </x:c>
      <x:c r="H256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256+G256,NA())</x:f>
        <x:v>4.800000000000001</x:v>
      </x:c>
      <x:c r="I256" s="22" t="n">
        <x:f>'Assumptions'!$H$150*IF('Assumptions'!$O$150=1,1,'Assumptions'!$D$10)*(1+'Assumptions'!$N$150)^(2-1)</x:f>
        <x:v>3060</x:v>
      </x:c>
      <x:c r="J256" s="10" t="n">
        <x:f>H256*I256</x:f>
        <x:v>14688.000000000002</x:v>
      </x:c>
      <x:c r="K256" s="10" t="n">
        <x:f>J256*'Assumptions'!$T$150</x:f>
        <x:v>14688.000000000002</x:v>
      </x:c>
      <x:c r="L256" s="10" t="n">
        <x:f>K256*'Assumptions'!$U$150</x:f>
        <x:v>440.64000000000004</x:v>
      </x:c>
      <x:c r="M256" s="10" t="n">
        <x:f>K256*'Assumptions'!$V$150</x:f>
        <x:v>0</x:v>
      </x:c>
      <x:c r="N256" s="10" t="n">
        <x:f>K256-L256-M256</x:f>
        <x:v>14247.360000000002</x:v>
      </x:c>
      <x:c r="O256" s="10" t="n">
        <x:f>H256*'Assumptions'!$P$150*'Assumptions'!$Q$150*'Assumptions'!$D$11*(1+'Assumptions'!$D$13)^(2-1)</x:f>
        <x:v>5784.4800000000005</x:v>
      </x:c>
      <x:c r="P256" s="10" t="n">
        <x:f>H256*'Assumptions'!$R$150*'Assumptions'!$D$11*(1+'Assumptions'!$D$13)^(2-1)</x:f>
        <x:v>988.8000000000002</x:v>
      </x:c>
      <x:c r="Q256" s="10" t="n">
        <x:f>J256*'Assumptions'!$S$150</x:f>
        <x:v>0</x:v>
      </x:c>
      <x:c r="R256" s="10" t="n">
        <x:f>H256*'Assumptions'!$Y$150*'Assumptions'!$Z$150*'Assumptions'!$D$11*(1+'Assumptions'!$D$13)^(2-1)</x:f>
        <x:v>37.080000000000005</x:v>
      </x:c>
      <x:c r="S256" s="10" t="n">
        <x:f>IF(I256=0,0,J256*'Assumptions'!$W$150+H256*'Assumptions'!$X$150)</x:f>
        <x:v>427.39200000000005</x:v>
      </x:c>
      <x:c r="T256" s="10" t="n">
        <x:f>N256*'Assumptions'!$AA$150</x:f>
        <x:v>569.8944000000001</x:v>
      </x:c>
      <x:c r="U256" s="10" t="n">
        <x:f>'Assumptions'!$AE$150*'Assumptions'!$D$11*(1+'Assumptions'!$D$13)^(2-1)</x:f>
        <x:v>0</x:v>
      </x:c>
      <x:c r="V256" s="10" t="n">
        <x:f>0</x:f>
        <x:v>0</x:v>
      </x:c>
      <x:c r="W256" s="10" t="n">
        <x:f>H256*('Assumptions'!$P$150+'Assumptions'!$Y$150)</x:f>
        <x:v>87.60000000000001</x:v>
      </x:c>
      <x:c r="X256" s="10" t="n">
        <x:f>N256/12*'Assumptions'!$AF$150</x:f>
        <x:v>1187.2800000000002</x:v>
      </x:c>
      <x:c r="Y256" s="10" t="n">
        <x:f>P256/12</x:f>
        <x:v>82.40000000000002</x:v>
      </x:c>
      <x:c r="Z256" s="10" t="n">
        <x:f>0</x:f>
        <x:v>0</x:v>
      </x:c>
      <x:c r="AA256" s="10" t="n">
        <x:f>Z256*'Assumptions'!$AC$150*'Assumptions'!$D$11*(1+'Assumptions'!$D$13)^(2-1)</x:f>
        <x:v>0</x:v>
      </x:c>
      <x:c r="AB256" s="10" t="n">
        <x:f>F256/1</x:f>
        <x:v>3.3000000000000003</x:v>
      </x:c>
      <x:c r="AC256" s="10" t="n">
        <x:f>AB256/'Assumptions'!$AM$150</x:f>
        <x:v>16.5</x:v>
      </x:c>
      <x:c r="AD256" s="10" t="n">
        <x:f>IF(AB256=0,0,T256/AB256)</x:f>
        <x:v>172.69527272727277</x:v>
      </x:c>
      <x:c r="AE256" s="10" t="n">
        <x:f>AA256*'Assumptions'!$D$21</x:f>
        <x:v>0</x:v>
      </x:c>
    </x:row>
    <x:row r="257" ht="16" customHeight="1">
      <x:c r="A257" s="1"/>
      <x:c r="B257" s="1"/>
      <x:c r="C257" s="1" t="str">
        <x:v>DOT-122</x:v>
      </x:c>
      <x:c r="D257" s="10" t="str">
        <x:v>OsezArt</x:v>
      </x:c>
      <x:c r="E257" s="10" t="n">
        <x:v>2</x:v>
      </x:c>
      <x:c r="F257" s="21" t="n">
        <x:f>'Assumptions'!$I$151*(1-'Assumptions'!$K$151)*(1+'Assumptions'!$L$151)*'Assumptions'!$D$9*'Assumptions'!$D$8</x:f>
        <x:v>1.1</x:v>
      </x:c>
      <x:c r="G257" s="21" t="n">
        <x:f>H129*'Assumptions'!$K$151</x:f>
        <x:v>0.5</x:v>
      </x:c>
      <x:c r="H257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257+G257,NA())</x:f>
        <x:v>1.6</x:v>
      </x:c>
      <x:c r="I257" s="22" t="n">
        <x:f>'Assumptions'!$H$151*IF('Assumptions'!$O$151=1,1,'Assumptions'!$D$10)*(1+'Assumptions'!$N$151)^(2-1)</x:f>
        <x:v>10200</x:v>
      </x:c>
      <x:c r="J257" s="10" t="n">
        <x:f>H257*I257</x:f>
        <x:v>16320</x:v>
      </x:c>
      <x:c r="K257" s="10" t="n">
        <x:f>J257*'Assumptions'!$T$151</x:f>
        <x:v>16320</x:v>
      </x:c>
      <x:c r="L257" s="10" t="n">
        <x:f>K257*'Assumptions'!$U$151</x:f>
        <x:v>489.59999999999997</x:v>
      </x:c>
      <x:c r="M257" s="10" t="n">
        <x:f>K257*'Assumptions'!$V$151</x:f>
        <x:v>0</x:v>
      </x:c>
      <x:c r="N257" s="10" t="n">
        <x:f>K257-L257-M257</x:f>
        <x:v>15830.4</x:v>
      </x:c>
      <x:c r="O257" s="10" t="n">
        <x:f>H257*'Assumptions'!$P$151*'Assumptions'!$Q$151*'Assumptions'!$D$11*(1+'Assumptions'!$D$13)^(2-1)</x:f>
        <x:v>6427.2</x:v>
      </x:c>
      <x:c r="P257" s="10" t="n">
        <x:f>H257*'Assumptions'!$R$151*'Assumptions'!$D$11*(1+'Assumptions'!$D$13)^(2-1)</x:f>
        <x:v>824</x:v>
      </x:c>
      <x:c r="Q257" s="10" t="n">
        <x:f>J257*'Assumptions'!$S$151</x:f>
        <x:v>0</x:v>
      </x:c>
      <x:c r="R257" s="10" t="n">
        <x:f>H257*'Assumptions'!$Y$151*'Assumptions'!$Z$151*'Assumptions'!$D$11*(1+'Assumptions'!$D$13)^(2-1)</x:f>
        <x:v>12.36</x:v>
      </x:c>
      <x:c r="S257" s="10" t="n">
        <x:f>IF(I257=0,0,J257*'Assumptions'!$W$151+H257*'Assumptions'!$X$151)</x:f>
        <x:v>473.76000000000005</x:v>
      </x:c>
      <x:c r="T257" s="10" t="n">
        <x:f>N257*'Assumptions'!$AA$151</x:f>
        <x:v>633.216</x:v>
      </x:c>
      <x:c r="U257" s="10" t="n">
        <x:f>'Assumptions'!$AE$151*'Assumptions'!$D$11*(1+'Assumptions'!$D$13)^(2-1)</x:f>
        <x:v>0</x:v>
      </x:c>
      <x:c r="V257" s="10" t="n">
        <x:f>0</x:f>
        <x:v>0</x:v>
      </x:c>
      <x:c r="W257" s="10" t="n">
        <x:f>H257*('Assumptions'!$P$151+'Assumptions'!$Y$151)</x:f>
        <x:v>96.4</x:v>
      </x:c>
      <x:c r="X257" s="10" t="n">
        <x:f>N257/12*'Assumptions'!$AF$151</x:f>
        <x:v>1319.2</x:v>
      </x:c>
      <x:c r="Y257" s="10" t="n">
        <x:f>P257/12</x:f>
        <x:v>68.66666666666667</x:v>
      </x:c>
      <x:c r="Z257" s="10" t="n">
        <x:f>0</x:f>
        <x:v>0</x:v>
      </x:c>
      <x:c r="AA257" s="10" t="n">
        <x:f>Z257*'Assumptions'!$AC$151*'Assumptions'!$D$11*(1+'Assumptions'!$D$13)^(2-1)</x:f>
        <x:v>0</x:v>
      </x:c>
      <x:c r="AB257" s="10" t="n">
        <x:f>F257/1</x:f>
        <x:v>1.1</x:v>
      </x:c>
      <x:c r="AC257" s="10" t="n">
        <x:f>AB257/'Assumptions'!$AM$151</x:f>
        <x:v>5.5</x:v>
      </x:c>
      <x:c r="AD257" s="10" t="n">
        <x:f>IF(AB257=0,0,T257/AB257)</x:f>
        <x:v>575.6509090909091</x:v>
      </x:c>
      <x:c r="AE257" s="10" t="n">
        <x:f>AA257*'Assumptions'!$D$21</x:f>
        <x:v>0</x:v>
      </x:c>
    </x:row>
    <x:row r="258" ht="16" customHeight="1">
      <x:c r="A258" s="1"/>
      <x:c r="B258" s="1"/>
      <x:c r="C258" s="1" t="str">
        <x:v>DOT-123</x:v>
      </x:c>
      <x:c r="D258" s="10" t="str">
        <x:v>FinBot research</x:v>
      </x:c>
      <x:c r="E258" s="10" t="n">
        <x:v>2</x:v>
      </x:c>
      <x:c r="F258" s="21" t="n">
        <x:f>'Assumptions'!$I$152*(1-'Assumptions'!$K$152)*(1+'Assumptions'!$L$152)*'Assumptions'!$D$9*'Assumptions'!$D$8</x:f>
        <x:v>103.49999999999999</x:v>
      </x:c>
      <x:c r="G258" s="21" t="n">
        <x:f>H130*'Assumptions'!$K$152</x:f>
        <x:v>15</x:v>
      </x:c>
      <x:c r="H258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258+G258,NA())</x:f>
        <x:v>118.49999999999999</x:v>
      </x:c>
      <x:c r="I258" s="22" t="n">
        <x:f>'Assumptions'!$H$152*IF('Assumptions'!$O$152=1,1,'Assumptions'!$D$10)*(1+'Assumptions'!$N$152)^(2-1)</x:f>
        <x:v>29.580000000000002</x:v>
      </x:c>
      <x:c r="J258" s="10" t="n">
        <x:f>H258*I258</x:f>
        <x:v>3505.23</x:v>
      </x:c>
      <x:c r="K258" s="10" t="n">
        <x:f>J258*'Assumptions'!$T$152</x:f>
        <x:v>3505.23</x:v>
      </x:c>
      <x:c r="L258" s="10" t="n">
        <x:f>K258*'Assumptions'!$U$152</x:f>
        <x:v>105.1569</x:v>
      </x:c>
      <x:c r="M258" s="10" t="n">
        <x:f>K258*'Assumptions'!$V$152</x:f>
        <x:v>0</x:v>
      </x:c>
      <x:c r="N258" s="10" t="n">
        <x:f>K258-L258-M258</x:f>
        <x:v>3400.0731</x:v>
      </x:c>
      <x:c r="O258" s="10" t="n">
        <x:f>H258*'Assumptions'!$P$152*'Assumptions'!$Q$152*'Assumptions'!$D$11*(1+'Assumptions'!$D$13)^(2-1)</x:f>
        <x:v>1098.4950000000001</x:v>
      </x:c>
      <x:c r="P258" s="10" t="n">
        <x:f>H258*'Assumptions'!$R$152*'Assumptions'!$D$11*(1+'Assumptions'!$D$13)^(2-1)</x:f>
        <x:v>0</x:v>
      </x:c>
      <x:c r="Q258" s="10" t="n">
        <x:f>J258*'Assumptions'!$S$152</x:f>
        <x:v>0</x:v>
      </x:c>
      <x:c r="R258" s="10" t="n">
        <x:f>H258*'Assumptions'!$Y$152*'Assumptions'!$Z$152*'Assumptions'!$D$11*(1+'Assumptions'!$D$13)^(2-1)</x:f>
        <x:v>366.165</x:v>
      </x:c>
      <x:c r="S258" s="10" t="n">
        <x:f>IF(I258=0,0,J258*'Assumptions'!$W$152+H258*'Assumptions'!$X$152)</x:f>
        <x:v>137.20167</x:v>
      </x:c>
      <x:c r="T258" s="10" t="n">
        <x:f>N258*'Assumptions'!$AA$152</x:f>
        <x:v>170.003655</x:v>
      </x:c>
      <x:c r="U258" s="10" t="n">
        <x:f>'Assumptions'!$AE$152*'Assumptions'!$D$11*(1+'Assumptions'!$D$13)^(2-1)</x:f>
        <x:v>247.20000000000002</x:v>
      </x:c>
      <x:c r="V258" s="10" t="n">
        <x:f>0</x:f>
        <x:v>0</x:v>
      </x:c>
      <x:c r="W258" s="10" t="n">
        <x:f>H258*('Assumptions'!$P$152+'Assumptions'!$Y$152)</x:f>
        <x:v>35.550000000000004</x:v>
      </x:c>
      <x:c r="X258" s="10" t="n">
        <x:f>N258/12*'Assumptions'!$AF$152</x:f>
        <x:v>0</x:v>
      </x:c>
      <x:c r="Y258" s="10" t="n">
        <x:f>P258/12</x:f>
        <x:v>0</x:v>
      </x:c>
      <x:c r="Z258" s="10" t="n">
        <x:f>0</x:f>
        <x:v>0</x:v>
      </x:c>
      <x:c r="AA258" s="10" t="n">
        <x:f>Z258*'Assumptions'!$AC$152*'Assumptions'!$D$11*(1+'Assumptions'!$D$13)^(2-1)</x:f>
        <x:v>0</x:v>
      </x:c>
      <x:c r="AB258" s="10" t="n">
        <x:f>F258/12</x:f>
        <x:v>8.624999999999998</x:v>
      </x:c>
      <x:c r="AC258" s="10" t="n">
        <x:f>AB258/'Assumptions'!$AM$152</x:f>
        <x:v>172.49999999999994</x:v>
      </x:c>
      <x:c r="AD258" s="10" t="n">
        <x:f>IF(AB258=0,0,T258/AB258)</x:f>
        <x:v>19.710568695652178</x:v>
      </x:c>
      <x:c r="AE258" s="10" t="n">
        <x:f>AA258*'Assumptions'!$D$21</x:f>
        <x:v>0</x:v>
      </x:c>
    </x:row>
    <x:row r="259" ht="16" customHeight="1">
      <x:c r="A259" s="1"/>
      <x:c r="B259" s="1"/>
      <x:c r="C259" s="1" t="str">
        <x:v>DOT-124</x:v>
      </x:c>
      <x:c r="D259" s="10" t="str">
        <x:v>Functional Analysis</x:v>
      </x:c>
      <x:c r="E259" s="10" t="n">
        <x:v>2</x:v>
      </x:c>
      <x:c r="F259" s="21" t="n">
        <x:f>'Assumptions'!$I$153*(1-'Assumptions'!$K$153)*(1+'Assumptions'!$L$153)*'Assumptions'!$D$9*'Assumptions'!$D$8</x:f>
        <x:v>206.99999999999997</x:v>
      </x:c>
      <x:c r="G259" s="21" t="n">
        <x:f>H131*'Assumptions'!$K$153</x:f>
        <x:v>30</x:v>
      </x:c>
      <x:c r="H259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259+G259,NA())</x:f>
        <x:v>236.99999999999997</x:v>
      </x:c>
      <x:c r="I259" s="22" t="n">
        <x:f>'Assumptions'!$H$153*IF('Assumptions'!$O$153=1,1,'Assumptions'!$D$10)*(1+'Assumptions'!$N$153)^(2-1)</x:f>
        <x:v>19.38</x:v>
      </x:c>
      <x:c r="J259" s="10" t="n">
        <x:f>H259*I259</x:f>
        <x:v>4593.0599999999995</x:v>
      </x:c>
      <x:c r="K259" s="10" t="n">
        <x:f>J259*'Assumptions'!$T$153</x:f>
        <x:v>4593.0599999999995</x:v>
      </x:c>
      <x:c r="L259" s="10" t="n">
        <x:f>K259*'Assumptions'!$U$153</x:f>
        <x:v>137.79179999999997</x:v>
      </x:c>
      <x:c r="M259" s="10" t="n">
        <x:f>K259*'Assumptions'!$V$153</x:f>
        <x:v>0</x:v>
      </x:c>
      <x:c r="N259" s="10" t="n">
        <x:f>K259-L259-M259</x:f>
        <x:v>4455.2681999999995</x:v>
      </x:c>
      <x:c r="O259" s="10" t="n">
        <x:f>H259*'Assumptions'!$P$153*'Assumptions'!$Q$153*'Assumptions'!$D$11*(1+'Assumptions'!$D$13)^(2-1)</x:f>
        <x:v>854.385</x:v>
      </x:c>
      <x:c r="P259" s="10" t="n">
        <x:f>H259*'Assumptions'!$R$153*'Assumptions'!$D$11*(1+'Assumptions'!$D$13)^(2-1)</x:f>
        <x:v>0</x:v>
      </x:c>
      <x:c r="Q259" s="10" t="n">
        <x:f>J259*'Assumptions'!$S$153</x:f>
        <x:v>0</x:v>
      </x:c>
      <x:c r="R259" s="10" t="n">
        <x:f>H259*'Assumptions'!$Y$153*'Assumptions'!$Z$153*'Assumptions'!$D$11*(1+'Assumptions'!$D$13)^(2-1)</x:f>
        <x:v>732.33</x:v>
      </x:c>
      <x:c r="S259" s="10" t="n">
        <x:f>IF(I259=0,0,J259*'Assumptions'!$W$153+H259*'Assumptions'!$X$153)</x:f>
        <x:v>204.29873999999998</x:v>
      </x:c>
      <x:c r="T259" s="10" t="n">
        <x:f>N259*'Assumptions'!$AA$153</x:f>
        <x:v>222.76341</x:v>
      </x:c>
      <x:c r="U259" s="10" t="n">
        <x:f>'Assumptions'!$AE$153*'Assumptions'!$D$11*(1+'Assumptions'!$D$13)^(2-1)</x:f>
        <x:v>0</x:v>
      </x:c>
      <x:c r="V259" s="10" t="n">
        <x:f>0</x:f>
        <x:v>0</x:v>
      </x:c>
      <x:c r="W259" s="10" t="n">
        <x:f>H259*('Assumptions'!$P$153+'Assumptions'!$Y$153)</x:f>
        <x:v>47.4</x:v>
      </x:c>
      <x:c r="X259" s="10" t="n">
        <x:f>N259/12*'Assumptions'!$AF$153</x:f>
        <x:v>0</x:v>
      </x:c>
      <x:c r="Y259" s="10" t="n">
        <x:f>P259/12</x:f>
        <x:v>0</x:v>
      </x:c>
      <x:c r="Z259" s="10" t="n">
        <x:f>0</x:f>
        <x:v>0</x:v>
      </x:c>
      <x:c r="AA259" s="10" t="n">
        <x:f>Z259*'Assumptions'!$AC$153*'Assumptions'!$D$11*(1+'Assumptions'!$D$13)^(2-1)</x:f>
        <x:v>0</x:v>
      </x:c>
      <x:c r="AB259" s="10" t="n">
        <x:f>F259/1</x:f>
        <x:v>206.99999999999997</x:v>
      </x:c>
      <x:c r="AC259" s="10" t="n">
        <x:f>AB259/'Assumptions'!$AM$153</x:f>
        <x:v>4139.999999999999</x:v>
      </x:c>
      <x:c r="AD259" s="10" t="n">
        <x:f>IF(AB259=0,0,T259/AB259)</x:f>
        <x:v>1.076151739130435</x:v>
      </x:c>
      <x:c r="AE259" s="10" t="n">
        <x:f>AA259*'Assumptions'!$D$21</x:f>
        <x:v>0</x:v>
      </x:c>
    </x:row>
    <x:row r="260" ht="16" customHeight="1">
      <x:c r="A260" s="1"/>
      <x:c r="B260" s="1"/>
      <x:c r="C260" s="1" t="str">
        <x:v>DOT-125</x:v>
      </x:c>
      <x:c r="D260" s="10" t="str">
        <x:v>Functional Analysis</x:v>
      </x:c>
      <x:c r="E260" s="10" t="n">
        <x:v>2</x:v>
      </x:c>
      <x:c r="F260" s="21" t="n">
        <x:f>'Assumptions'!$I$154*(1-'Assumptions'!$K$154)*(1+'Assumptions'!$L$154)*'Assumptions'!$D$9*'Assumptions'!$D$8</x:f>
        <x:v>19.8</x:v>
      </x:c>
      <x:c r="G260" s="21" t="n">
        <x:f>H132*'Assumptions'!$K$154</x:f>
        <x:v>9</x:v>
      </x:c>
      <x:c r="H260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260+G260,NA())</x:f>
        <x:v>28.8</x:v>
      </x:c>
      <x:c r="I260" s="22" t="n">
        <x:f>'Assumptions'!$H$154*IF('Assumptions'!$O$154=1,1,'Assumptions'!$D$10)*(1+'Assumptions'!$N$154)^(2-1)</x:f>
        <x:v>100.98</x:v>
      </x:c>
      <x:c r="J260" s="10" t="n">
        <x:f>H260*I260</x:f>
        <x:v>2908.224</x:v>
      </x:c>
      <x:c r="K260" s="10" t="n">
        <x:f>J260*'Assumptions'!$T$154</x:f>
        <x:v>2908.224</x:v>
      </x:c>
      <x:c r="L260" s="10" t="n">
        <x:f>K260*'Assumptions'!$U$154</x:f>
        <x:v>87.24672</x:v>
      </x:c>
      <x:c r="M260" s="10" t="n">
        <x:f>K260*'Assumptions'!$V$154</x:f>
        <x:v>0</x:v>
      </x:c>
      <x:c r="N260" s="10" t="n">
        <x:f>K260-L260-M260</x:f>
        <x:v>2820.97728</x:v>
      </x:c>
      <x:c r="O260" s="10" t="n">
        <x:f>H260*'Assumptions'!$P$154*'Assumptions'!$Q$154*'Assumptions'!$D$11*(1+'Assumptions'!$D$13)^(2-1)</x:f>
        <x:v>1186.56</x:v>
      </x:c>
      <x:c r="P260" s="10" t="n">
        <x:f>H260*'Assumptions'!$R$154*'Assumptions'!$D$11*(1+'Assumptions'!$D$13)^(2-1)</x:f>
        <x:v>0</x:v>
      </x:c>
      <x:c r="Q260" s="10" t="n">
        <x:f>J260*'Assumptions'!$S$154</x:f>
        <x:v>0</x:v>
      </x:c>
      <x:c r="R260" s="10" t="n">
        <x:f>H260*'Assumptions'!$Y$154*'Assumptions'!$Z$154*'Assumptions'!$D$11*(1+'Assumptions'!$D$13)^(2-1)</x:f>
        <x:v>222.48000000000002</x:v>
      </x:c>
      <x:c r="S260" s="10" t="n">
        <x:f>IF(I260=0,0,J260*'Assumptions'!$W$154+H260*'Assumptions'!$X$154)</x:f>
        <x:v>92.978496</x:v>
      </x:c>
      <x:c r="T260" s="10" t="n">
        <x:f>N260*'Assumptions'!$AA$154</x:f>
        <x:v>112.8390912</x:v>
      </x:c>
      <x:c r="U260" s="10" t="n">
        <x:f>'Assumptions'!$AE$154*'Assumptions'!$D$11*(1+'Assumptions'!$D$13)^(2-1)</x:f>
        <x:v>0</x:v>
      </x:c>
      <x:c r="V260" s="10" t="n">
        <x:f>0</x:f>
        <x:v>0</x:v>
      </x:c>
      <x:c r="W260" s="10" t="n">
        <x:f>H260*('Assumptions'!$P$154+'Assumptions'!$Y$154)</x:f>
        <x:v>36</x:v>
      </x:c>
      <x:c r="X260" s="10" t="n">
        <x:f>N260/12*'Assumptions'!$AF$154</x:f>
        <x:v>235.08144000000001</x:v>
      </x:c>
      <x:c r="Y260" s="10" t="n">
        <x:f>P260/12</x:f>
        <x:v>0</x:v>
      </x:c>
      <x:c r="Z260" s="10" t="n">
        <x:f>0</x:f>
        <x:v>0</x:v>
      </x:c>
      <x:c r="AA260" s="10" t="n">
        <x:f>Z260*'Assumptions'!$AC$154*'Assumptions'!$D$11*(1+'Assumptions'!$D$13)^(2-1)</x:f>
        <x:v>0</x:v>
      </x:c>
      <x:c r="AB260" s="10" t="n">
        <x:f>F260/1</x:f>
        <x:v>19.8</x:v>
      </x:c>
      <x:c r="AC260" s="10" t="n">
        <x:f>AB260/'Assumptions'!$AM$154</x:f>
        <x:v>99</x:v>
      </x:c>
      <x:c r="AD260" s="10" t="n">
        <x:f>IF(AB260=0,0,T260/AB260)</x:f>
        <x:v>5.698944</x:v>
      </x:c>
      <x:c r="AE260" s="10" t="n">
        <x:f>AA260*'Assumptions'!$D$21</x:f>
        <x:v>0</x:v>
      </x:c>
    </x:row>
    <x:row r="261" ht="16" customHeight="1">
      <x:c r="A261" s="1"/>
      <x:c r="B261" s="1"/>
      <x:c r="C261" s="1" t="str">
        <x:v>DOT-126</x:v>
      </x:c>
      <x:c r="D261" s="10" t="str">
        <x:v>Independent candy game</x:v>
      </x:c>
      <x:c r="E261" s="10" t="n">
        <x:v>2</x:v>
      </x:c>
      <x:c r="F261" s="21" t="n">
        <x:f>'Assumptions'!$I$155*(1-'Assumptions'!$K$155)*(1+'Assumptions'!$L$155)*'Assumptions'!$D$9*'Assumptions'!$D$8</x:f>
        <x:v>517.5</x:v>
      </x:c>
      <x:c r="G261" s="21" t="n">
        <x:f>H133*'Assumptions'!$K$155</x:f>
        <x:v>75</x:v>
      </x:c>
      <x:c r="H261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261+G261,NA())</x:f>
        <x:v>592.5</x:v>
      </x:c>
      <x:c r="I261" s="22" t="n">
        <x:f>'Assumptions'!$H$155*IF('Assumptions'!$O$155=1,1,'Assumptions'!$D$10)*(1+'Assumptions'!$N$155)^(2-1)</x:f>
        <x:v>5.0898</x:v>
      </x:c>
      <x:c r="J261" s="10" t="n">
        <x:f>H261*I261</x:f>
        <x:v>3015.7065000000002</x:v>
      </x:c>
      <x:c r="K261" s="10" t="n">
        <x:f>J261*'Assumptions'!$T$155</x:f>
        <x:v>3015.7065000000002</x:v>
      </x:c>
      <x:c r="L261" s="10" t="n">
        <x:f>K261*'Assumptions'!$U$155</x:f>
        <x:v>90.47119500000001</x:v>
      </x:c>
      <x:c r="M261" s="10" t="n">
        <x:f>K261*'Assumptions'!$V$155</x:f>
        <x:v>0</x:v>
      </x:c>
      <x:c r="N261" s="10" t="n">
        <x:f>K261-L261-M261</x:f>
        <x:v>2925.235305</x:v>
      </x:c>
      <x:c r="O261" s="10" t="n">
        <x:f>H261*'Assumptions'!$P$155*'Assumptions'!$Q$155*'Assumptions'!$D$11*(1+'Assumptions'!$D$13)^(2-1)</x:f>
        <x:v>427.1925</x:v>
      </x:c>
      <x:c r="P261" s="10" t="n">
        <x:f>H261*'Assumptions'!$R$155*'Assumptions'!$D$11*(1+'Assumptions'!$D$13)^(2-1)</x:f>
        <x:v>0</x:v>
      </x:c>
      <x:c r="Q261" s="10" t="n">
        <x:f>J261*'Assumptions'!$S$155</x:f>
        <x:v>0</x:v>
      </x:c>
      <x:c r="R261" s="10" t="n">
        <x:f>H261*'Assumptions'!$Y$155*'Assumptions'!$Z$155*'Assumptions'!$D$11*(1+'Assumptions'!$D$13)^(2-1)</x:f>
        <x:v>1830.825</x:v>
      </x:c>
      <x:c r="S261" s="10" t="n">
        <x:f>IF(I261=0,0,J261*'Assumptions'!$W$155+H261*'Assumptions'!$X$155)</x:f>
        <x:v>265.2054885</x:v>
      </x:c>
      <x:c r="T261" s="10" t="n">
        <x:f>N261*'Assumptions'!$AA$155</x:f>
        <x:v>146.26176525000002</x:v>
      </x:c>
      <x:c r="U261" s="10" t="n">
        <x:f>'Assumptions'!$AE$155*'Assumptions'!$D$11*(1+'Assumptions'!$D$13)^(2-1)</x:f>
        <x:v>0</x:v>
      </x:c>
      <x:c r="V261" s="10" t="n">
        <x:f>0</x:f>
        <x:v>0</x:v>
      </x:c>
      <x:c r="W261" s="10" t="n">
        <x:f>H261*('Assumptions'!$P$155+'Assumptions'!$Y$155)</x:f>
        <x:v>71.10000000000001</x:v>
      </x:c>
      <x:c r="X261" s="10" t="n">
        <x:f>N261/12*'Assumptions'!$AF$155</x:f>
        <x:v>0</x:v>
      </x:c>
      <x:c r="Y261" s="10" t="n">
        <x:f>P261/12</x:f>
        <x:v>0</x:v>
      </x:c>
      <x:c r="Z261" s="10" t="n">
        <x:f>0</x:f>
        <x:v>0</x:v>
      </x:c>
      <x:c r="AA261" s="10" t="n">
        <x:f>Z261*'Assumptions'!$AC$155*'Assumptions'!$D$11*(1+'Assumptions'!$D$13)^(2-1)</x:f>
        <x:v>0</x:v>
      </x:c>
      <x:c r="AB261" s="10" t="n">
        <x:f>F261/1</x:f>
        <x:v>517.5</x:v>
      </x:c>
      <x:c r="AC261" s="10" t="n">
        <x:f>AB261/'Assumptions'!$AM$155</x:f>
        <x:v>10350</x:v>
      </x:c>
      <x:c r="AD261" s="10" t="n">
        <x:f>IF(AB261=0,0,T261/AB261)</x:f>
        <x:v>0.28263143043478267</x:v>
      </x:c>
      <x:c r="AE261" s="10" t="n">
        <x:f>AA261*'Assumptions'!$D$21</x:f>
        <x:v>0</x:v>
      </x:c>
    </x:row>
    <x:row r="262" ht="16" customHeight="1">
      <x:c r="A262" s="1"/>
      <x:c r="B262" s="1"/>
      <x:c r="C262" s="1" t="str">
        <x:v>DOT-127</x:v>
      </x:c>
      <x:c r="D262" s="10" t="str">
        <x:v>Learn Anglais</x:v>
      </x:c>
      <x:c r="E262" s="10" t="n">
        <x:v>2</x:v>
      </x:c>
      <x:c r="F262" s="21" t="n">
        <x:f>'Assumptions'!$I$156*(1-'Assumptions'!$K$156)*(1+'Assumptions'!$L$156)*'Assumptions'!$D$9*'Assumptions'!$D$8</x:f>
        <x:v>108.00000000000001</x:v>
      </x:c>
      <x:c r="G262" s="21" t="n">
        <x:f>H134*'Assumptions'!$K$156</x:f>
        <x:v>157.5</x:v>
      </x:c>
      <x:c r="H262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262+G262,NA())</x:f>
        <x:v>265.5</x:v>
      </x:c>
      <x:c r="I262" s="22" t="n">
        <x:f>'Assumptions'!$H$156*IF('Assumptions'!$O$156=1,1,'Assumptions'!$D$10)*(1+'Assumptions'!$N$156)^(2-1)</x:f>
        <x:v>24.48</x:v>
      </x:c>
      <x:c r="J262" s="10" t="n">
        <x:f>H262*I262</x:f>
        <x:v>6499.4400000000005</x:v>
      </x:c>
      <x:c r="K262" s="10" t="n">
        <x:f>J262*'Assumptions'!$T$156</x:f>
        <x:v>2166.48</x:v>
      </x:c>
      <x:c r="L262" s="10" t="n">
        <x:f>K262*'Assumptions'!$U$156</x:f>
        <x:v>64.9944</x:v>
      </x:c>
      <x:c r="M262" s="10" t="n">
        <x:f>K262*'Assumptions'!$V$156</x:f>
        <x:v>0</x:v>
      </x:c>
      <x:c r="N262" s="10" t="n">
        <x:f>K262-L262-M262</x:f>
        <x:v>2101.4856</x:v>
      </x:c>
      <x:c r="O262" s="10" t="n">
        <x:f>H262*'Assumptions'!$P$156*'Assumptions'!$Q$156*'Assumptions'!$D$11*(1+'Assumptions'!$D$13)^(2-1)</x:f>
        <x:v>957.1275</x:v>
      </x:c>
      <x:c r="P262" s="10" t="n">
        <x:f>H262*'Assumptions'!$R$156*'Assumptions'!$D$11*(1+'Assumptions'!$D$13)^(2-1)</x:f>
        <x:v>0</x:v>
      </x:c>
      <x:c r="Q262" s="10" t="n">
        <x:f>J262*'Assumptions'!$S$156</x:f>
        <x:v>0</x:v>
      </x:c>
      <x:c r="R262" s="10" t="n">
        <x:f>H262*'Assumptions'!$Y$156*'Assumptions'!$Z$156*'Assumptions'!$D$11*(1+'Assumptions'!$D$13)^(2-1)</x:f>
        <x:v>1230.5924999999997</x:v>
      </x:c>
      <x:c r="S262" s="10" t="n">
        <x:f>IF(I262=0,0,J262*'Assumptions'!$W$156+H262*'Assumptions'!$X$156)</x:f>
        <x:v>268.13376</x:v>
      </x:c>
      <x:c r="T262" s="10" t="n">
        <x:f>N262*'Assumptions'!$AA$156</x:f>
        <x:v>105.07428</x:v>
      </x:c>
      <x:c r="U262" s="10" t="n">
        <x:f>'Assumptions'!$AE$156*'Assumptions'!$D$11*(1+'Assumptions'!$D$13)^(2-1)</x:f>
        <x:v>0</x:v>
      </x:c>
      <x:c r="V262" s="10" t="n">
        <x:f>0</x:f>
        <x:v>0</x:v>
      </x:c>
      <x:c r="W262" s="10" t="n">
        <x:f>H262*('Assumptions'!$P$156+'Assumptions'!$Y$156)</x:f>
        <x:v>66.375</x:v>
      </x:c>
      <x:c r="X262" s="10" t="n">
        <x:f>N262/12*'Assumptions'!$AF$156</x:f>
        <x:v>0</x:v>
      </x:c>
      <x:c r="Y262" s="10" t="n">
        <x:f>P262/12</x:f>
        <x:v>0</x:v>
      </x:c>
      <x:c r="Z262" s="10" t="n">
        <x:f>0</x:f>
        <x:v>0</x:v>
      </x:c>
      <x:c r="AA262" s="10" t="n">
        <x:f>Z262*'Assumptions'!$AC$156*'Assumptions'!$D$11*(1+'Assumptions'!$D$13)^(2-1)</x:f>
        <x:v>0</x:v>
      </x:c>
      <x:c r="AB262" s="10" t="n">
        <x:f>F262/1</x:f>
        <x:v>108.00000000000001</x:v>
      </x:c>
      <x:c r="AC262" s="10" t="n">
        <x:f>AB262/'Assumptions'!$AM$156</x:f>
        <x:v>2160</x:v>
      </x:c>
      <x:c r="AD262" s="10" t="n">
        <x:f>IF(AB262=0,0,T262/AB262)</x:f>
        <x:v>0.9729099999999999</x:v>
      </x:c>
      <x:c r="AE262" s="10" t="n">
        <x:f>AA262*'Assumptions'!$D$21</x:f>
        <x:v>0</x:v>
      </x:c>
    </x:row>
    <x:row r="263" ht="16" customHeight="1">
      <x:c r="A263" s="1"/>
      <x:c r="B263" s="1"/>
      <x:c r="C263" s="1" t="str">
        <x:v>DOT-128</x:v>
      </x:c>
      <x:c r="D263" s="10" t="str">
        <x:v>Learn Anglais</x:v>
      </x:c>
      <x:c r="E263" s="10" t="n">
        <x:v>2</x:v>
      </x:c>
      <x:c r="F263" s="21" t="n">
        <x:f>'Assumptions'!$I$157*(1-'Assumptions'!$K$157)*(1+'Assumptions'!$L$157)*'Assumptions'!$D$9*'Assumptions'!$D$8</x:f>
        <x:v>43.20000000000001</x:v>
      </x:c>
      <x:c r="G263" s="21" t="n">
        <x:f>H135*'Assumptions'!$K$157</x:f>
        <x:v>62.99999999999999</x:v>
      </x:c>
      <x:c r="H263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263+G263,NA())</x:f>
        <x:v>106.2</x:v>
      </x:c>
      <x:c r="I263" s="22" t="n">
        <x:f>'Assumptions'!$H$157*IF('Assumptions'!$O$157=1,1,'Assumptions'!$D$10)*(1+'Assumptions'!$N$157)^(2-1)</x:f>
        <x:v>168.3</x:v>
      </x:c>
      <x:c r="J263" s="10" t="n">
        <x:f>H263*I263</x:f>
        <x:v>17873.460000000003</x:v>
      </x:c>
      <x:c r="K263" s="10" t="n">
        <x:f>J263*'Assumptions'!$T$157</x:f>
        <x:v>5362.0380000000005</x:v>
      </x:c>
      <x:c r="L263" s="10" t="n">
        <x:f>K263*'Assumptions'!$U$157</x:f>
        <x:v>160.86114</x:v>
      </x:c>
      <x:c r="M263" s="10" t="n">
        <x:f>K263*'Assumptions'!$V$157</x:f>
        <x:v>0</x:v>
      </x:c>
      <x:c r="N263" s="10" t="n">
        <x:f>K263-L263-M263</x:f>
        <x:v>5201.1768600000005</x:v>
      </x:c>
      <x:c r="O263" s="10" t="n">
        <x:f>H263*'Assumptions'!$P$157*'Assumptions'!$Q$157*'Assumptions'!$D$11*(1+'Assumptions'!$D$13)^(2-1)</x:f>
        <x:v>382.85100000000006</x:v>
      </x:c>
      <x:c r="P263" s="10" t="n">
        <x:f>H263*'Assumptions'!$R$157*'Assumptions'!$D$11*(1+'Assumptions'!$D$13)^(2-1)</x:f>
        <x:v>0</x:v>
      </x:c>
      <x:c r="Q263" s="10" t="n">
        <x:f>J263*'Assumptions'!$S$157</x:f>
        <x:v>0</x:v>
      </x:c>
      <x:c r="R263" s="10" t="n">
        <x:f>H263*'Assumptions'!$Y$157*'Assumptions'!$Z$157*'Assumptions'!$D$11*(1+'Assumptions'!$D$13)^(2-1)</x:f>
        <x:v>492.23699999999997</x:v>
      </x:c>
      <x:c r="S263" s="10" t="n">
        <x:f>IF(I263=0,0,J263*'Assumptions'!$W$157+H263*'Assumptions'!$X$157)</x:f>
        <x:v>550.1903400000001</x:v>
      </x:c>
      <x:c r="T263" s="10" t="n">
        <x:f>N263*'Assumptions'!$AA$157</x:f>
        <x:v>260.058843</x:v>
      </x:c>
      <x:c r="U263" s="10" t="n">
        <x:f>'Assumptions'!$AE$157*'Assumptions'!$D$11*(1+'Assumptions'!$D$13)^(2-1)</x:f>
        <x:v>0</x:v>
      </x:c>
      <x:c r="V263" s="10" t="n">
        <x:f>0</x:f>
        <x:v>0</x:v>
      </x:c>
      <x:c r="W263" s="10" t="n">
        <x:f>H263*('Assumptions'!$P$157+'Assumptions'!$Y$157)</x:f>
        <x:v>26.55</x:v>
      </x:c>
      <x:c r="X263" s="10" t="n">
        <x:f>N263/12*'Assumptions'!$AF$157</x:f>
        <x:v>0</x:v>
      </x:c>
      <x:c r="Y263" s="10" t="n">
        <x:f>P263/12</x:f>
        <x:v>0</x:v>
      </x:c>
      <x:c r="Z263" s="10" t="n">
        <x:f>0</x:f>
        <x:v>0</x:v>
      </x:c>
      <x:c r="AA263" s="10" t="n">
        <x:f>Z263*'Assumptions'!$AC$157*'Assumptions'!$D$11*(1+'Assumptions'!$D$13)^(2-1)</x:f>
        <x:v>0</x:v>
      </x:c>
      <x:c r="AB263" s="10" t="n">
        <x:f>F263/1</x:f>
        <x:v>43.20000000000001</x:v>
      </x:c>
      <x:c r="AC263" s="10" t="n">
        <x:f>AB263/'Assumptions'!$AM$157</x:f>
        <x:v>864.0000000000001</x:v>
      </x:c>
      <x:c r="AD263" s="10" t="n">
        <x:f>IF(AB263=0,0,T263/AB263)</x:f>
        <x:v>6.019880624999999</x:v>
      </x:c>
      <x:c r="AE263" s="10" t="n">
        <x:f>AA263*'Assumptions'!$D$21</x:f>
        <x:v>0</x:v>
      </x:c>
    </x:row>
    <x:row r="264" ht="16" customHeight="1">
      <x:c r="A264" s="1"/>
      <x:c r="B264" s="1"/>
      <x:c r="C264" s="1" t="str">
        <x:v>DOT-001</x:v>
      </x:c>
      <x:c r="D264" s="10" t="str">
        <x:v>ETV courses</x:v>
      </x:c>
      <x:c r="E264" s="10" t="n">
        <x:v>3</x:v>
      </x:c>
      <x:c r="F264" s="21" t="n">
        <x:f>F136*(1+'Assumptions'!$L$30)</x:f>
        <x:v>238.04999999999995</x:v>
      </x:c>
      <x:c r="G264" s="21" t="n">
        <x:f>H136*'Assumptions'!$K$30</x:f>
        <x:v>66.75</x:v>
      </x:c>
      <x:c r="H264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264+G264,NA())</x:f>
        <x:v>304.79999999999995</x:v>
      </x:c>
      <x:c r="I264" s="22" t="n">
        <x:f>'Assumptions'!$H$30*IF('Assumptions'!$O$30=1,1,'Assumptions'!$D$10)*(1+'Assumptions'!$N$30)^(3-1)</x:f>
        <x:v>29</x:v>
      </x:c>
      <x:c r="J264" s="10" t="n">
        <x:f>H264*I264</x:f>
        <x:v>8839.199999999999</x:v>
      </x:c>
      <x:c r="K264" s="10" t="n">
        <x:f>J264*'Assumptions'!$T$30</x:f>
        <x:v>8839.199999999999</x:v>
      </x:c>
      <x:c r="L264" s="10" t="n">
        <x:f>K264*'Assumptions'!$U$30</x:f>
        <x:v>265.17599999999993</x:v>
      </x:c>
      <x:c r="M264" s="10" t="n">
        <x:f>K264*'Assumptions'!$V$30</x:f>
        <x:v>0</x:v>
      </x:c>
      <x:c r="N264" s="10" t="n">
        <x:f>K264-L264-M264</x:f>
        <x:v>8574.024</x:v>
      </x:c>
      <x:c r="O264" s="10" t="n">
        <x:f>H264*'Assumptions'!$P$30*'Assumptions'!$Q$30*'Assumptions'!$D$11*(1+'Assumptions'!$D$13)^(3-1)</x:f>
        <x:v>1697.6521799999998</x:v>
      </x:c>
      <x:c r="P264" s="10" t="n">
        <x:f>H264*'Assumptions'!$R$30*'Assumptions'!$D$11*(1+'Assumptions'!$D$13)^(3-1)</x:f>
        <x:v>0</x:v>
      </x:c>
      <x:c r="Q264" s="10" t="n">
        <x:f>J264*'Assumptions'!$S$30</x:f>
        <x:v>0</x:v>
      </x:c>
      <x:c r="R264" s="10" t="n">
        <x:f>H264*'Assumptions'!$Y$30*'Assumptions'!$Z$30*'Assumptions'!$D$11*(1+'Assumptions'!$D$13)^(3-1)</x:f>
        <x:v>970.0869599999999</x:v>
      </x:c>
      <x:c r="S264" s="10" t="n">
        <x:f>IF(I264=0,0,J264*'Assumptions'!$W$30+H264*'Assumptions'!$X$30)</x:f>
        <x:v>347.7768</x:v>
      </x:c>
      <x:c r="T264" s="10" t="n">
        <x:f>N264*'Assumptions'!$AA$30</x:f>
        <x:v>428.7012</x:v>
      </x:c>
      <x:c r="U264" s="10" t="n">
        <x:f>'Assumptions'!$AE$30*'Assumptions'!$D$11*(1+'Assumptions'!$D$13)^(3-1)</x:f>
        <x:v>0</x:v>
      </x:c>
      <x:c r="V264" s="10" t="n">
        <x:f>0</x:f>
        <x:v>0</x:v>
      </x:c>
      <x:c r="W264" s="10" t="n">
        <x:f>H264*('Assumptions'!$P$30+'Assumptions'!$Y$30)</x:f>
        <x:v>76.19999999999999</x:v>
      </x:c>
      <x:c r="X264" s="10" t="n">
        <x:f>N264/12*'Assumptions'!$AF$30</x:f>
        <x:v>0</x:v>
      </x:c>
      <x:c r="Y264" s="10" t="n">
        <x:f>P264/12</x:f>
        <x:v>0</x:v>
      </x:c>
      <x:c r="Z264" s="10" t="n">
        <x:f>0</x:f>
        <x:v>0</x:v>
      </x:c>
      <x:c r="AA264" s="10" t="n">
        <x:f>Z264*'Assumptions'!$AC$30*'Assumptions'!$D$11*(1+'Assumptions'!$D$13)^(3-1)</x:f>
        <x:v>0</x:v>
      </x:c>
      <x:c r="AB264" s="10" t="n">
        <x:f>F264/1</x:f>
        <x:v>238.04999999999995</x:v>
      </x:c>
      <x:c r="AC264" s="10" t="n">
        <x:f>AB264/'Assumptions'!$AM$30</x:f>
        <x:v>4760.999999999999</x:v>
      </x:c>
      <x:c r="AD264" s="10" t="n">
        <x:f>IF(AB264=0,0,T264/AB264)</x:f>
        <x:v>1.8008872085696284</x:v>
      </x:c>
      <x:c r="AE264" s="10" t="n">
        <x:f>AA264*'Assumptions'!$D$21</x:f>
        <x:v>0</x:v>
      </x:c>
    </x:row>
    <x:row r="265" ht="16" customHeight="1">
      <x:c r="A265" s="1"/>
      <x:c r="B265" s="1"/>
      <x:c r="C265" s="1" t="str">
        <x:v>DOT-002</x:v>
      </x:c>
      <x:c r="D265" s="10" t="str">
        <x:v>ETV courses</x:v>
      </x:c>
      <x:c r="E265" s="10" t="n">
        <x:v>3</x:v>
      </x:c>
      <x:c r="F265" s="21" t="n">
        <x:f>F137*(1+'Assumptions'!$L$31)</x:f>
        <x:v>376.91249999999997</x:v>
      </x:c>
      <x:c r="G265" s="21" t="n">
        <x:f>H137*'Assumptions'!$K$31</x:f>
        <x:v>105.6875</x:v>
      </x:c>
      <x:c r="H265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265+G265,NA())</x:f>
        <x:v>482.59999999999997</x:v>
      </x:c>
      <x:c r="I265" s="22" t="n">
        <x:f>'Assumptions'!$H$31*IF('Assumptions'!$O$31=1,1,'Assumptions'!$D$10)*(1+'Assumptions'!$N$31)^(3-1)</x:f>
        <x:v>40.5756</x:v>
      </x:c>
      <x:c r="J265" s="10" t="n">
        <x:f>H265*I265</x:f>
        <x:v>19581.78456</x:v>
      </x:c>
      <x:c r="K265" s="10" t="n">
        <x:f>J265*'Assumptions'!$T$31</x:f>
        <x:v>19581.78456</x:v>
      </x:c>
      <x:c r="L265" s="10" t="n">
        <x:f>K265*'Assumptions'!$U$31</x:f>
        <x:v>587.4535367999999</x:v>
      </x:c>
      <x:c r="M265" s="10" t="n">
        <x:f>K265*'Assumptions'!$V$31</x:f>
        <x:v>0</x:v>
      </x:c>
      <x:c r="N265" s="10" t="n">
        <x:f>K265-L265-M265</x:f>
        <x:v>18994.3310232</x:v>
      </x:c>
      <x:c r="O265" s="10" t="n">
        <x:f>H265*'Assumptions'!$P$31*'Assumptions'!$Q$31*'Assumptions'!$D$11*(1+'Assumptions'!$D$13)^(3-1)</x:f>
        <x:v>2687.9492849999997</x:v>
      </x:c>
      <x:c r="P265" s="10" t="n">
        <x:f>H265*'Assumptions'!$R$31*'Assumptions'!$D$11*(1+'Assumptions'!$D$13)^(3-1)</x:f>
        <x:v>0</x:v>
      </x:c>
      <x:c r="Q265" s="10" t="n">
        <x:f>J265*'Assumptions'!$S$31</x:f>
        <x:v>0</x:v>
      </x:c>
      <x:c r="R265" s="10" t="n">
        <x:f>H265*'Assumptions'!$Y$31*'Assumptions'!$Z$31*'Assumptions'!$D$11*(1+'Assumptions'!$D$13)^(3-1)</x:f>
        <x:v>1535.97102</x:v>
      </x:c>
      <x:c r="S265" s="10" t="n">
        <x:f>IF(I265=0,0,J265*'Assumptions'!$W$31+H265*'Assumptions'!$X$31)</x:f>
        <x:v>712.65175224</x:v>
      </x:c>
      <x:c r="T265" s="10" t="n">
        <x:f>N265*'Assumptions'!$AA$31</x:f>
        <x:v>949.7165511600001</x:v>
      </x:c>
      <x:c r="U265" s="10" t="n">
        <x:f>'Assumptions'!$AE$31*'Assumptions'!$D$11*(1+'Assumptions'!$D$13)^(3-1)</x:f>
        <x:v>0</x:v>
      </x:c>
      <x:c r="V265" s="10" t="n">
        <x:f>0</x:f>
        <x:v>0</x:v>
      </x:c>
      <x:c r="W265" s="10" t="n">
        <x:f>H265*('Assumptions'!$P$31+'Assumptions'!$Y$31)</x:f>
        <x:v>120.64999999999999</x:v>
      </x:c>
      <x:c r="X265" s="10" t="n">
        <x:f>N265/12*'Assumptions'!$AF$31</x:f>
        <x:v>0</x:v>
      </x:c>
      <x:c r="Y265" s="10" t="n">
        <x:f>P265/12</x:f>
        <x:v>0</x:v>
      </x:c>
      <x:c r="Z265" s="10" t="n">
        <x:f>0</x:f>
        <x:v>0</x:v>
      </x:c>
      <x:c r="AA265" s="10" t="n">
        <x:f>Z265*'Assumptions'!$AC$31*'Assumptions'!$D$11*(1+'Assumptions'!$D$13)^(3-1)</x:f>
        <x:v>0</x:v>
      </x:c>
      <x:c r="AB265" s="10" t="n">
        <x:f>F265/1</x:f>
        <x:v>376.91249999999997</x:v>
      </x:c>
      <x:c r="AC265" s="10" t="n">
        <x:f>AB265/'Assumptions'!$AM$31</x:f>
        <x:v>7538.249999999999</x:v>
      </x:c>
      <x:c r="AD265" s="10" t="n">
        <x:f>IF(AB265=0,0,T265/AB265)</x:f>
        <x:v>2.5197268627599247</x:v>
      </x:c>
      <x:c r="AE265" s="10" t="n">
        <x:f>AA265*'Assumptions'!$D$21</x:f>
        <x:v>0</x:v>
      </x:c>
    </x:row>
    <x:row r="266" ht="16" customHeight="1">
      <x:c r="A266" s="1"/>
      <x:c r="B266" s="1"/>
      <x:c r="C266" s="1" t="str">
        <x:v>DOT-003</x:v>
      </x:c>
      <x:c r="D266" s="10" t="str">
        <x:v>ETV services</x:v>
      </x:c>
      <x:c r="E266" s="10" t="n">
        <x:v>3</x:v>
      </x:c>
      <x:c r="F266" s="21" t="n">
        <x:f>F138*(1+'Assumptions'!$L$32)</x:f>
        <x:v>7.260000000000002</x:v>
      </x:c>
      <x:c r="G266" s="21" t="n">
        <x:f>H138*'Assumptions'!$K$32</x:f>
        <x:v>6.300000000000001</x:v>
      </x:c>
      <x:c r="H266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266+G266,NA())</x:f>
        <x:v>13.560000000000002</x:v>
      </x:c>
      <x:c r="I266" s="22" t="n">
        <x:f>'Assumptions'!$H$32*IF('Assumptions'!$O$32=1,1,'Assumptions'!$D$10)*(1+'Assumptions'!$N$32)^(3-1)</x:f>
        <x:v>1820.7</x:v>
      </x:c>
      <x:c r="J266" s="10" t="n">
        <x:f>H266*I266</x:f>
        <x:v>24688.692000000006</x:v>
      </x:c>
      <x:c r="K266" s="10" t="n">
        <x:f>J266*'Assumptions'!$T$32</x:f>
        <x:v>24688.692000000006</x:v>
      </x:c>
      <x:c r="L266" s="10" t="n">
        <x:f>K266*'Assumptions'!$U$32</x:f>
        <x:v>740.6607600000002</x:v>
      </x:c>
      <x:c r="M266" s="10" t="n">
        <x:f>K266*'Assumptions'!$V$32</x:f>
        <x:v>0</x:v>
      </x:c>
      <x:c r="N266" s="10" t="n">
        <x:f>K266-L266-M266</x:f>
        <x:v>23948.031240000008</x:v>
      </x:c>
      <x:c r="O266" s="10" t="n">
        <x:f>H266*'Assumptions'!$P$32*'Assumptions'!$Q$32*'Assumptions'!$D$11*(1+'Assumptions'!$D$13)^(3-1)</x:f>
        <x:v>12947.223600000001</x:v>
      </x:c>
      <x:c r="P266" s="10" t="n">
        <x:f>H266*'Assumptions'!$R$32*'Assumptions'!$D$11*(1+'Assumptions'!$D$13)^(3-1)</x:f>
        <x:v>359.64510000000007</x:v>
      </x:c>
      <x:c r="Q266" s="10" t="n">
        <x:f>J266*'Assumptions'!$S$32</x:f>
        <x:v>0</x:v>
      </x:c>
      <x:c r="R266" s="10" t="n">
        <x:f>H266*'Assumptions'!$Y$32*'Assumptions'!$Z$32*'Assumptions'!$D$11*(1+'Assumptions'!$D$13)^(3-1)</x:f>
        <x:v>107.89353000000001</x:v>
      </x:c>
      <x:c r="S266" s="10" t="n">
        <x:f>IF(I266=0,0,J266*'Assumptions'!$W$32+H266*'Assumptions'!$X$32)</x:f>
        <x:v>720.0400680000002</x:v>
      </x:c>
      <x:c r="T266" s="10" t="n">
        <x:f>N266*'Assumptions'!$AA$32</x:f>
        <x:v>957.9212496000004</x:v>
      </x:c>
      <x:c r="U266" s="10" t="n">
        <x:f>'Assumptions'!$AE$32*'Assumptions'!$D$11*(1+'Assumptions'!$D$13)^(3-1)</x:f>
        <x:v>0</x:v>
      </x:c>
      <x:c r="V266" s="10" t="n">
        <x:f>0</x:f>
        <x:v>0</x:v>
      </x:c>
      <x:c r="W266" s="10" t="n">
        <x:f>H266*('Assumptions'!$P$32+'Assumptions'!$Y$32)</x:f>
        <x:v>274.59000000000003</x:v>
      </x:c>
      <x:c r="X266" s="10" t="n">
        <x:f>N266/12*'Assumptions'!$AF$32</x:f>
        <x:v>1995.6692700000006</x:v>
      </x:c>
      <x:c r="Y266" s="10" t="n">
        <x:f>P266/12</x:f>
        <x:v>29.970425000000006</x:v>
      </x:c>
      <x:c r="Z266" s="10" t="n">
        <x:f>0</x:f>
        <x:v>0</x:v>
      </x:c>
      <x:c r="AA266" s="10" t="n">
        <x:f>Z266*'Assumptions'!$AC$32*'Assumptions'!$D$11*(1+'Assumptions'!$D$13)^(3-1)</x:f>
        <x:v>0</x:v>
      </x:c>
      <x:c r="AB266" s="10" t="n">
        <x:f>F266/1</x:f>
        <x:v>7.260000000000002</x:v>
      </x:c>
      <x:c r="AC266" s="10" t="n">
        <x:f>AB266/'Assumptions'!$AM$32</x:f>
        <x:v>36.300000000000004</x:v>
      </x:c>
      <x:c r="AD266" s="10" t="n">
        <x:f>IF(AB266=0,0,T266/AB266)</x:f>
        <x:v>131.94507570247936</x:v>
      </x:c>
      <x:c r="AE266" s="10" t="n">
        <x:f>AA266*'Assumptions'!$D$21</x:f>
        <x:v>0</x:v>
      </x:c>
    </x:row>
    <x:row r="267" ht="16" customHeight="1">
      <x:c r="A267" s="1"/>
      <x:c r="B267" s="1"/>
      <x:c r="C267" s="1" t="str">
        <x:v>DOT-004</x:v>
      </x:c>
      <x:c r="D267" s="10" t="str">
        <x:v>ETV services</x:v>
      </x:c>
      <x:c r="E267" s="10" t="n">
        <x:v>3</x:v>
      </x:c>
      <x:c r="F267" s="21" t="n">
        <x:f>F139*(1+'Assumptions'!$L$33)</x:f>
        <x:v>4.840000000000001</x:v>
      </x:c>
      <x:c r="G267" s="21" t="n">
        <x:f>H139*'Assumptions'!$K$33</x:f>
        <x:v>4.2</x:v>
      </x:c>
      <x:c r="H267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267+G267,NA())</x:f>
        <x:v>9.040000000000001</x:v>
      </x:c>
      <x:c r="I267" s="22" t="n">
        <x:f>'Assumptions'!$H$33*IF('Assumptions'!$O$33=1,1,'Assumptions'!$D$10)*(1+'Assumptions'!$N$33)^(3-1)</x:f>
        <x:v>2601</x:v>
      </x:c>
      <x:c r="J267" s="10" t="n">
        <x:f>H267*I267</x:f>
        <x:v>23513.04</x:v>
      </x:c>
      <x:c r="K267" s="10" t="n">
        <x:f>J267*'Assumptions'!$T$33</x:f>
        <x:v>23513.04</x:v>
      </x:c>
      <x:c r="L267" s="10" t="n">
        <x:f>K267*'Assumptions'!$U$33</x:f>
        <x:v>705.3912</x:v>
      </x:c>
      <x:c r="M267" s="10" t="n">
        <x:f>K267*'Assumptions'!$V$33</x:f>
        <x:v>0</x:v>
      </x:c>
      <x:c r="N267" s="10" t="n">
        <x:f>K267-L267-M267</x:f>
        <x:v>22807.648800000003</x:v>
      </x:c>
      <x:c r="O267" s="10" t="n">
        <x:f>H267*'Assumptions'!$P$33*'Assumptions'!$Q$33*'Assumptions'!$D$11*(1+'Assumptions'!$D$13)^(3-1)</x:f>
        <x:v>12947.223600000001</x:v>
      </x:c>
      <x:c r="P267" s="10" t="n">
        <x:f>H267*'Assumptions'!$R$33*'Assumptions'!$D$11*(1+'Assumptions'!$D$13)^(3-1)</x:f>
        <x:v>239.76340000000002</x:v>
      </x:c>
      <x:c r="Q267" s="10" t="n">
        <x:f>J267*'Assumptions'!$S$33</x:f>
        <x:v>0</x:v>
      </x:c>
      <x:c r="R267" s="10" t="n">
        <x:f>H267*'Assumptions'!$Y$33*'Assumptions'!$Z$33*'Assumptions'!$D$11*(1+'Assumptions'!$D$13)^(3-1)</x:f>
        <x:v>71.92902000000001</x:v>
      </x:c>
      <x:c r="S267" s="10" t="n">
        <x:f>IF(I267=0,0,J267*'Assumptions'!$W$33+H267*'Assumptions'!$X$33)</x:f>
        <x:v>684.5901600000001</x:v>
      </x:c>
      <x:c r="T267" s="10" t="n">
        <x:f>N267*'Assumptions'!$AA$33</x:f>
        <x:v>912.3059520000002</x:v>
      </x:c>
      <x:c r="U267" s="10" t="n">
        <x:f>'Assumptions'!$AE$33*'Assumptions'!$D$11*(1+'Assumptions'!$D$13)^(3-1)</x:f>
        <x:v>0</x:v>
      </x:c>
      <x:c r="V267" s="10" t="n">
        <x:f>0</x:f>
        <x:v>0</x:v>
      </x:c>
      <x:c r="W267" s="10" t="n">
        <x:f>H267*('Assumptions'!$P$33+'Assumptions'!$Y$33)</x:f>
        <x:v>273.46000000000004</x:v>
      </x:c>
      <x:c r="X267" s="10" t="n">
        <x:f>N267/12*'Assumptions'!$AF$33</x:f>
        <x:v>1900.6374000000003</x:v>
      </x:c>
      <x:c r="Y267" s="10" t="n">
        <x:f>P267/12</x:f>
        <x:v>19.980283333333336</x:v>
      </x:c>
      <x:c r="Z267" s="10" t="n">
        <x:f>0</x:f>
        <x:v>0</x:v>
      </x:c>
      <x:c r="AA267" s="10" t="n">
        <x:f>Z267*'Assumptions'!$AC$33*'Assumptions'!$D$11*(1+'Assumptions'!$D$13)^(3-1)</x:f>
        <x:v>0</x:v>
      </x:c>
      <x:c r="AB267" s="10" t="n">
        <x:f>F267/1</x:f>
        <x:v>4.840000000000001</x:v>
      </x:c>
      <x:c r="AC267" s="10" t="n">
        <x:f>AB267/'Assumptions'!$AM$33</x:f>
        <x:v>24.200000000000003</x:v>
      </x:c>
      <x:c r="AD267" s="10" t="n">
        <x:f>IF(AB267=0,0,T267/AB267)</x:f>
        <x:v>188.4929652892562</x:v>
      </x:c>
      <x:c r="AE267" s="10" t="n">
        <x:f>AA267*'Assumptions'!$D$21</x:f>
        <x:v>0</x:v>
      </x:c>
    </x:row>
    <x:row r="268" ht="16" customHeight="1">
      <x:c r="A268" s="1"/>
      <x:c r="B268" s="1"/>
      <x:c r="C268" s="1" t="str">
        <x:v>DOT-005</x:v>
      </x:c>
      <x:c r="D268" s="10" t="str">
        <x:v>ETV services</x:v>
      </x:c>
      <x:c r="E268" s="10" t="n">
        <x:v>3</x:v>
      </x:c>
      <x:c r="F268" s="21" t="n">
        <x:f>F140*(1+'Assumptions'!$L$34)</x:f>
        <x:v>4.840000000000001</x:v>
      </x:c>
      <x:c r="G268" s="21" t="n">
        <x:f>H140*'Assumptions'!$K$34</x:f>
        <x:v>4.2</x:v>
      </x:c>
      <x:c r="H268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268+G268,NA())</x:f>
        <x:v>9.040000000000001</x:v>
      </x:c>
      <x:c r="I268" s="22" t="n">
        <x:f>'Assumptions'!$H$34*IF('Assumptions'!$O$34=1,1,'Assumptions'!$D$10)*(1+'Assumptions'!$N$34)^(3-1)</x:f>
        <x:v>1560.6</x:v>
      </x:c>
      <x:c r="J268" s="10" t="n">
        <x:f>H268*I268</x:f>
        <x:v>14107.824</x:v>
      </x:c>
      <x:c r="K268" s="10" t="n">
        <x:f>J268*'Assumptions'!$T$34</x:f>
        <x:v>14107.824</x:v>
      </x:c>
      <x:c r="L268" s="10" t="n">
        <x:f>K268*'Assumptions'!$U$34</x:f>
        <x:v>423.23472</x:v>
      </x:c>
      <x:c r="M268" s="10" t="n">
        <x:f>K268*'Assumptions'!$V$34</x:f>
        <x:v>0</x:v>
      </x:c>
      <x:c r="N268" s="10" t="n">
        <x:f>K268-L268-M268</x:f>
        <x:v>13684.58928</x:v>
      </x:c>
      <x:c r="O268" s="10" t="n">
        <x:f>H268*'Assumptions'!$P$34*'Assumptions'!$Q$34*'Assumptions'!$D$11*(1+'Assumptions'!$D$13)^(3-1)</x:f>
        <x:v>7768.334160000001</x:v>
      </x:c>
      <x:c r="P268" s="10" t="n">
        <x:f>H268*'Assumptions'!$R$34*'Assumptions'!$D$11*(1+'Assumptions'!$D$13)^(3-1)</x:f>
        <x:v>239.76340000000002</x:v>
      </x:c>
      <x:c r="Q268" s="10" t="n">
        <x:f>J268*'Assumptions'!$S$34</x:f>
        <x:v>0</x:v>
      </x:c>
      <x:c r="R268" s="10" t="n">
        <x:f>H268*'Assumptions'!$Y$34*'Assumptions'!$Z$34*'Assumptions'!$D$11*(1+'Assumptions'!$D$13)^(3-1)</x:f>
        <x:v>71.92902000000001</x:v>
      </x:c>
      <x:c r="S268" s="10" t="n">
        <x:f>IF(I268=0,0,J268*'Assumptions'!$W$34+H268*'Assumptions'!$X$34)</x:f>
        <x:v>411.83889600000003</x:v>
      </x:c>
      <x:c r="T268" s="10" t="n">
        <x:f>N268*'Assumptions'!$AA$34</x:f>
        <x:v>547.3835712</x:v>
      </x:c>
      <x:c r="U268" s="10" t="n">
        <x:f>'Assumptions'!$AE$34*'Assumptions'!$D$11*(1+'Assumptions'!$D$13)^(3-1)</x:f>
        <x:v>0</x:v>
      </x:c>
      <x:c r="V268" s="10" t="n">
        <x:f>0</x:f>
        <x:v>0</x:v>
      </x:c>
      <x:c r="W268" s="10" t="n">
        <x:f>H268*('Assumptions'!$P$34+'Assumptions'!$Y$34)</x:f>
        <x:v>164.98000000000002</x:v>
      </x:c>
      <x:c r="X268" s="10" t="n">
        <x:f>N268/12*'Assumptions'!$AF$34</x:f>
        <x:v>1140.38244</x:v>
      </x:c>
      <x:c r="Y268" s="10" t="n">
        <x:f>P268/12</x:f>
        <x:v>19.980283333333336</x:v>
      </x:c>
      <x:c r="Z268" s="10" t="n">
        <x:f>0</x:f>
        <x:v>0</x:v>
      </x:c>
      <x:c r="AA268" s="10" t="n">
        <x:f>Z268*'Assumptions'!$AC$34*'Assumptions'!$D$11*(1+'Assumptions'!$D$13)^(3-1)</x:f>
        <x:v>0</x:v>
      </x:c>
      <x:c r="AB268" s="10" t="n">
        <x:f>F268/1</x:f>
        <x:v>4.840000000000001</x:v>
      </x:c>
      <x:c r="AC268" s="10" t="n">
        <x:f>AB268/'Assumptions'!$AM$34</x:f>
        <x:v>24.200000000000003</x:v>
      </x:c>
      <x:c r="AD268" s="10" t="n">
        <x:f>IF(AB268=0,0,T268/AB268)</x:f>
        <x:v>113.09577917355371</x:v>
      </x:c>
      <x:c r="AE268" s="10" t="n">
        <x:f>AA268*'Assumptions'!$D$21</x:f>
        <x:v>0</x:v>
      </x:c>
    </x:row>
    <x:row r="269" ht="16" customHeight="1">
      <x:c r="A269" s="1"/>
      <x:c r="B269" s="1"/>
      <x:c r="C269" s="1" t="str">
        <x:v>DOT-006</x:v>
      </x:c>
      <x:c r="D269" s="10" t="str">
        <x:v>ETV services</x:v>
      </x:c>
      <x:c r="E269" s="10" t="n">
        <x:v>3</x:v>
      </x:c>
      <x:c r="F269" s="21" t="n">
        <x:f>F141*(1+'Assumptions'!$L$35)</x:f>
        <x:v>7.260000000000002</x:v>
      </x:c>
      <x:c r="G269" s="21" t="n">
        <x:f>H141*'Assumptions'!$K$35</x:f>
        <x:v>6.300000000000001</x:v>
      </x:c>
      <x:c r="H269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269+G269,NA())</x:f>
        <x:v>13.560000000000002</x:v>
      </x:c>
      <x:c r="I269" s="22" t="n">
        <x:f>'Assumptions'!$H$35*IF('Assumptions'!$O$35=1,1,'Assumptions'!$D$10)*(1+'Assumptions'!$N$35)^(3-1)</x:f>
        <x:v>780.3</x:v>
      </x:c>
      <x:c r="J269" s="10" t="n">
        <x:f>H269*I269</x:f>
        <x:v>10580.868</x:v>
      </x:c>
      <x:c r="K269" s="10" t="n">
        <x:f>J269*'Assumptions'!$T$35</x:f>
        <x:v>10580.868</x:v>
      </x:c>
      <x:c r="L269" s="10" t="n">
        <x:f>K269*'Assumptions'!$U$35</x:f>
        <x:v>317.42604</x:v>
      </x:c>
      <x:c r="M269" s="10" t="n">
        <x:f>K269*'Assumptions'!$V$35</x:f>
        <x:v>0</x:v>
      </x:c>
      <x:c r="N269" s="10" t="n">
        <x:f>K269-L269-M269</x:f>
        <x:v>10263.44196</x:v>
      </x:c>
      <x:c r="O269" s="10" t="n">
        <x:f>H269*'Assumptions'!$P$35*'Assumptions'!$Q$35*'Assumptions'!$D$11*(1+'Assumptions'!$D$13)^(3-1)</x:f>
        <x:v>5178.88944</x:v>
      </x:c>
      <x:c r="P269" s="10" t="n">
        <x:f>H269*'Assumptions'!$R$35*'Assumptions'!$D$11*(1+'Assumptions'!$D$13)^(3-1)</x:f>
        <x:v>359.64510000000007</x:v>
      </x:c>
      <x:c r="Q269" s="10" t="n">
        <x:f>J269*'Assumptions'!$S$35</x:f>
        <x:v>0</x:v>
      </x:c>
      <x:c r="R269" s="10" t="n">
        <x:f>H269*'Assumptions'!$Y$35*'Assumptions'!$Z$35*'Assumptions'!$D$11*(1+'Assumptions'!$D$13)^(3-1)</x:f>
        <x:v>107.89353000000001</x:v>
      </x:c>
      <x:c r="S269" s="10" t="n">
        <x:f>IF(I269=0,0,J269*'Assumptions'!$W$35+H269*'Assumptions'!$X$35)</x:f>
        <x:v>310.91317200000003</x:v>
      </x:c>
      <x:c r="T269" s="10" t="n">
        <x:f>N269*'Assumptions'!$AA$35</x:f>
        <x:v>410.5376784</x:v>
      </x:c>
      <x:c r="U269" s="10" t="n">
        <x:f>'Assumptions'!$AE$35*'Assumptions'!$D$11*(1+'Assumptions'!$D$13)^(3-1)</x:f>
        <x:v>0</x:v>
      </x:c>
      <x:c r="V269" s="10" t="n">
        <x:f>0</x:f>
        <x:v>0</x:v>
      </x:c>
      <x:c r="W269" s="10" t="n">
        <x:f>H269*('Assumptions'!$P$35+'Assumptions'!$Y$35)</x:f>
        <x:v>111.87000000000002</x:v>
      </x:c>
      <x:c r="X269" s="10" t="n">
        <x:f>N269/12*'Assumptions'!$AF$35</x:f>
        <x:v>855.28683</x:v>
      </x:c>
      <x:c r="Y269" s="10" t="n">
        <x:f>P269/12</x:f>
        <x:v>29.970425000000006</x:v>
      </x:c>
      <x:c r="Z269" s="10" t="n">
        <x:f>0</x:f>
        <x:v>0</x:v>
      </x:c>
      <x:c r="AA269" s="10" t="n">
        <x:f>Z269*'Assumptions'!$AC$35*'Assumptions'!$D$11*(1+'Assumptions'!$D$13)^(3-1)</x:f>
        <x:v>0</x:v>
      </x:c>
      <x:c r="AB269" s="10" t="n">
        <x:f>F269/1</x:f>
        <x:v>7.260000000000002</x:v>
      </x:c>
      <x:c r="AC269" s="10" t="n">
        <x:f>AB269/'Assumptions'!$AM$35</x:f>
        <x:v>36.300000000000004</x:v>
      </x:c>
      <x:c r="AD269" s="10" t="n">
        <x:f>IF(AB269=0,0,T269/AB269)</x:f>
        <x:v>56.54788958677685</x:v>
      </x:c>
      <x:c r="AE269" s="10" t="n">
        <x:f>AA269*'Assumptions'!$D$21</x:f>
        <x:v>0</x:v>
      </x:c>
    </x:row>
    <x:row r="270" ht="16" customHeight="1">
      <x:c r="A270" s="1"/>
      <x:c r="B270" s="1"/>
      <x:c r="C270" s="1" t="str">
        <x:v>DOT-007</x:v>
      </x:c>
      <x:c r="D270" s="10" t="str">
        <x:v>BPA professional services</x:v>
      </x:c>
      <x:c r="E270" s="10" t="n">
        <x:v>3</x:v>
      </x:c>
      <x:c r="F270" s="21" t="n">
        <x:f>F142*(1+'Assumptions'!$L$36)</x:f>
        <x:v>29.040000000000006</x:v>
      </x:c>
      <x:c r="G270" s="21" t="n">
        <x:f>H142*'Assumptions'!$K$36</x:f>
        <x:v>22.200000000000003</x:v>
      </x:c>
      <x:c r="H270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270+G270,NA())</x:f>
        <x:v>51.24000000000001</x:v>
      </x:c>
      <x:c r="I270" s="22" t="n">
        <x:f>'Assumptions'!$H$36*IF('Assumptions'!$O$36=1,1,'Assumptions'!$D$10)*(1+'Assumptions'!$N$36)^(3-1)</x:f>
        <x:v>250</x:v>
      </x:c>
      <x:c r="J270" s="10" t="n">
        <x:f>H270*I270</x:f>
        <x:v>12810.000000000002</x:v>
      </x:c>
      <x:c r="K270" s="10" t="n">
        <x:f>J270*'Assumptions'!$T$36</x:f>
        <x:v>12810.000000000002</x:v>
      </x:c>
      <x:c r="L270" s="10" t="n">
        <x:f>K270*'Assumptions'!$U$36</x:f>
        <x:v>384.30000000000007</x:v>
      </x:c>
      <x:c r="M270" s="10" t="n">
        <x:f>K270*'Assumptions'!$V$36</x:f>
        <x:v>0</x:v>
      </x:c>
      <x:c r="N270" s="10" t="n">
        <x:f>K270-L270-M270</x:f>
        <x:v>12425.700000000003</x:v>
      </x:c>
      <x:c r="O270" s="10" t="n">
        <x:f>H270*'Assumptions'!$P$36*'Assumptions'!$Q$36*'Assumptions'!$D$11*(1+'Assumptions'!$D$13)^(3-1)</x:f>
        <x:v>2716.9385896800004</x:v>
      </x:c>
      <x:c r="P270" s="10" t="n">
        <x:f>H270*'Assumptions'!$R$36*'Assumptions'!$D$11*(1+'Assumptions'!$D$13)^(3-1)</x:f>
        <x:v>543.6051600000001</x:v>
      </x:c>
      <x:c r="Q270" s="10" t="n">
        <x:f>J270*'Assumptions'!$S$36</x:f>
        <x:v>0</x:v>
      </x:c>
      <x:c r="R270" s="10" t="n">
        <x:f>H270*'Assumptions'!$Y$36*'Assumptions'!$Z$36*'Assumptions'!$D$11*(1+'Assumptions'!$D$13)^(3-1)</x:f>
        <x:v>407.70387000000005</x:v>
      </x:c>
      <x:c r="S270" s="10" t="n">
        <x:f>IF(I270=0,0,J270*'Assumptions'!$W$36+H270*'Assumptions'!$X$36)</x:f>
        <x:v>386.8620000000001</x:v>
      </x:c>
      <x:c r="T270" s="10" t="n">
        <x:f>N270*'Assumptions'!$AA$36</x:f>
        <x:v>497.02800000000013</x:v>
      </x:c>
      <x:c r="U270" s="10" t="n">
        <x:f>'Assumptions'!$AE$36*'Assumptions'!$D$11*(1+'Assumptions'!$D$13)^(3-1)</x:f>
        <x:v>0</x:v>
      </x:c>
      <x:c r="V270" s="10" t="n">
        <x:f>0</x:f>
        <x:v>0</x:v>
      </x:c>
      <x:c r="W270" s="10" t="n">
        <x:f>H270*('Assumptions'!$P$36+'Assumptions'!$Y$36)</x:f>
        <x:v>55.492920000000005</x:v>
      </x:c>
      <x:c r="X270" s="10" t="n">
        <x:f>N270/12*'Assumptions'!$AF$36</x:f>
        <x:v>1035.4750000000001</x:v>
      </x:c>
      <x:c r="Y270" s="10" t="n">
        <x:f>P270/12</x:f>
        <x:v>45.300430000000006</x:v>
      </x:c>
      <x:c r="Z270" s="10" t="n">
        <x:f>0</x:f>
        <x:v>0</x:v>
      </x:c>
      <x:c r="AA270" s="10" t="n">
        <x:f>Z270*'Assumptions'!$AC$36*'Assumptions'!$D$11*(1+'Assumptions'!$D$13)^(3-1)</x:f>
        <x:v>0</x:v>
      </x:c>
      <x:c r="AB270" s="10" t="n">
        <x:f>F270/1</x:f>
        <x:v>29.040000000000006</x:v>
      </x:c>
      <x:c r="AC270" s="10" t="n">
        <x:f>AB270/'Assumptions'!$AM$36</x:f>
        <x:v>145.20000000000002</x:v>
      </x:c>
      <x:c r="AD270" s="10" t="n">
        <x:f>IF(AB270=0,0,T270/AB270)</x:f>
        <x:v>17.11528925619835</x:v>
      </x:c>
      <x:c r="AE270" s="10" t="n">
        <x:f>AA270*'Assumptions'!$D$21</x:f>
        <x:v>0</x:v>
      </x:c>
    </x:row>
    <x:row r="271" ht="16" customHeight="1">
      <x:c r="A271" s="1"/>
      <x:c r="B271" s="1"/>
      <x:c r="C271" s="1" t="str">
        <x:v>DOT-008</x:v>
      </x:c>
      <x:c r="D271" s="10" t="str">
        <x:v>BPA professional services</x:v>
      </x:c>
      <x:c r="E271" s="10" t="n">
        <x:v>3</x:v>
      </x:c>
      <x:c r="F271" s="21" t="n">
        <x:f>F143*(1+'Assumptions'!$L$37)</x:f>
        <x:v>10.89</x:v>
      </x:c>
      <x:c r="G271" s="21" t="n">
        <x:f>H143*'Assumptions'!$K$37</x:f>
        <x:v>8.325</x:v>
      </x:c>
      <x:c r="H271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271+G271,NA())</x:f>
        <x:v>19.215</x:v>
      </x:c>
      <x:c r="I271" s="22" t="n">
        <x:f>'Assumptions'!$H$37*IF('Assumptions'!$O$37=1,1,'Assumptions'!$D$10)*(1+'Assumptions'!$N$37)^(3-1)</x:f>
        <x:v>600</x:v>
      </x:c>
      <x:c r="J271" s="10" t="n">
        <x:f>H271*I271</x:f>
        <x:v>11529</x:v>
      </x:c>
      <x:c r="K271" s="10" t="n">
        <x:f>J271*'Assumptions'!$T$37</x:f>
        <x:v>11529</x:v>
      </x:c>
      <x:c r="L271" s="10" t="n">
        <x:f>K271*'Assumptions'!$U$37</x:f>
        <x:v>345.87</x:v>
      </x:c>
      <x:c r="M271" s="10" t="n">
        <x:f>K271*'Assumptions'!$V$37</x:f>
        <x:v>0</x:v>
      </x:c>
      <x:c r="N271" s="10" t="n">
        <x:f>K271-L271-M271</x:f>
        <x:v>11183.13</x:v>
      </x:c>
      <x:c r="O271" s="10" t="n">
        <x:f>H271*'Assumptions'!$P$37*'Assumptions'!$Q$37*'Assumptions'!$D$11*(1+'Assumptions'!$D$13)^(3-1)</x:f>
        <x:v>4892.446440000001</x:v>
      </x:c>
      <x:c r="P271" s="10" t="n">
        <x:f>H271*'Assumptions'!$R$37*'Assumptions'!$D$11*(1+'Assumptions'!$D$13)^(3-1)</x:f>
        <x:v>203.851935</x:v>
      </x:c>
      <x:c r="Q271" s="10" t="n">
        <x:f>J271*'Assumptions'!$S$37</x:f>
        <x:v>0</x:v>
      </x:c>
      <x:c r="R271" s="10" t="n">
        <x:f>H271*'Assumptions'!$Y$37*'Assumptions'!$Z$37*'Assumptions'!$D$11*(1+'Assumptions'!$D$13)^(3-1)</x:f>
        <x:v>152.88895125000002</x:v>
      </x:c>
      <x:c r="S271" s="10" t="n">
        <x:f>IF(I271=0,0,J271*'Assumptions'!$W$37+H271*'Assumptions'!$X$37)</x:f>
        <x:v>340.1055</x:v>
      </x:c>
      <x:c r="T271" s="10" t="n">
        <x:f>N271*'Assumptions'!$AA$37</x:f>
        <x:v>447.3252</x:v>
      </x:c>
      <x:c r="U271" s="10" t="n">
        <x:f>'Assumptions'!$AE$37*'Assumptions'!$D$11*(1+'Assumptions'!$D$13)^(3-1)</x:f>
        <x:v>0</x:v>
      </x:c>
      <x:c r="V271" s="10" t="n">
        <x:f>0</x:f>
        <x:v>0</x:v>
      </x:c>
      <x:c r="W271" s="10" t="n">
        <x:f>H271*('Assumptions'!$P$37+'Assumptions'!$Y$37)</x:f>
        <x:v>81.66375</x:v>
      </x:c>
      <x:c r="X271" s="10" t="n">
        <x:f>N271/12*'Assumptions'!$AF$37</x:f>
        <x:v>931.9274999999999</x:v>
      </x:c>
      <x:c r="Y271" s="10" t="n">
        <x:f>P271/12</x:f>
        <x:v>16.98766125</x:v>
      </x:c>
      <x:c r="Z271" s="10" t="n">
        <x:f>0</x:f>
        <x:v>0</x:v>
      </x:c>
      <x:c r="AA271" s="10" t="n">
        <x:f>Z271*'Assumptions'!$AC$37*'Assumptions'!$D$11*(1+'Assumptions'!$D$13)^(3-1)</x:f>
        <x:v>0</x:v>
      </x:c>
      <x:c r="AB271" s="10" t="n">
        <x:f>F271/1</x:f>
        <x:v>10.89</x:v>
      </x:c>
      <x:c r="AC271" s="10" t="n">
        <x:f>AB271/'Assumptions'!$AM$37</x:f>
        <x:v>54.45</x:v>
      </x:c>
      <x:c r="AD271" s="10" t="n">
        <x:f>IF(AB271=0,0,T271/AB271)</x:f>
        <x:v>41.07669421487603</x:v>
      </x:c>
      <x:c r="AE271" s="10" t="n">
        <x:f>AA271*'Assumptions'!$D$21</x:f>
        <x:v>0</x:v>
      </x:c>
    </x:row>
    <x:row r="272" ht="16" customHeight="1">
      <x:c r="A272" s="1"/>
      <x:c r="B272" s="1"/>
      <x:c r="C272" s="1" t="str">
        <x:v>DOT-009</x:v>
      </x:c>
      <x:c r="D272" s="10" t="str">
        <x:v>BPA professional services</x:v>
      </x:c>
      <x:c r="E272" s="10" t="n">
        <x:v>3</x:v>
      </x:c>
      <x:c r="F272" s="21" t="n">
        <x:f>F144*(1+'Assumptions'!$L$38)</x:f>
        <x:v>7.260000000000002</x:v>
      </x:c>
      <x:c r="G272" s="21" t="n">
        <x:f>H144*'Assumptions'!$K$38</x:f>
        <x:v>5.550000000000001</x:v>
      </x:c>
      <x:c r="H272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272+G272,NA())</x:f>
        <x:v>12.810000000000002</x:v>
      </x:c>
      <x:c r="I272" s="22" t="n">
        <x:f>'Assumptions'!$H$38*IF('Assumptions'!$O$38=1,1,'Assumptions'!$D$10)*(1+'Assumptions'!$N$38)^(3-1)</x:f>
        <x:v>900</x:v>
      </x:c>
      <x:c r="J272" s="10" t="n">
        <x:f>H272*I272</x:f>
        <x:v>11529.000000000002</x:v>
      </x:c>
      <x:c r="K272" s="10" t="n">
        <x:f>J272*'Assumptions'!$T$38</x:f>
        <x:v>11529.000000000002</x:v>
      </x:c>
      <x:c r="L272" s="10" t="n">
        <x:f>K272*'Assumptions'!$U$38</x:f>
        <x:v>345.87000000000006</x:v>
      </x:c>
      <x:c r="M272" s="10" t="n">
        <x:f>K272*'Assumptions'!$V$38</x:f>
        <x:v>0</x:v>
      </x:c>
      <x:c r="N272" s="10" t="n">
        <x:f>K272-L272-M272</x:f>
        <x:v>11183.130000000001</x:v>
      </x:c>
      <x:c r="O272" s="10" t="n">
        <x:f>H272*'Assumptions'!$P$38*'Assumptions'!$Q$38*'Assumptions'!$D$11*(1+'Assumptions'!$D$13)^(3-1)</x:f>
        <x:v>4892.446440000001</x:v>
      </x:c>
      <x:c r="P272" s="10" t="n">
        <x:f>H272*'Assumptions'!$R$38*'Assumptions'!$D$11*(1+'Assumptions'!$D$13)^(3-1)</x:f>
        <x:v>135.90129000000002</x:v>
      </x:c>
      <x:c r="Q272" s="10" t="n">
        <x:f>J272*'Assumptions'!$S$38</x:f>
        <x:v>0</x:v>
      </x:c>
      <x:c r="R272" s="10" t="n">
        <x:f>H272*'Assumptions'!$Y$38*'Assumptions'!$Z$38*'Assumptions'!$D$11*(1+'Assumptions'!$D$13)^(3-1)</x:f>
        <x:v>101.92596750000001</x:v>
      </x:c>
      <x:c r="S272" s="10" t="n">
        <x:f>IF(I272=0,0,J272*'Assumptions'!$W$38+H272*'Assumptions'!$X$38)</x:f>
        <x:v>338.1840000000001</x:v>
      </x:c>
      <x:c r="T272" s="10" t="n">
        <x:f>N272*'Assumptions'!$AA$38</x:f>
        <x:v>447.32520000000005</x:v>
      </x:c>
      <x:c r="U272" s="10" t="n">
        <x:f>'Assumptions'!$AE$38*'Assumptions'!$D$11*(1+'Assumptions'!$D$13)^(3-1)</x:f>
        <x:v>0</x:v>
      </x:c>
      <x:c r="V272" s="10" t="n">
        <x:f>0</x:f>
        <x:v>0</x:v>
      </x:c>
      <x:c r="W272" s="10" t="n">
        <x:f>H272*('Assumptions'!$P$38+'Assumptions'!$Y$38)</x:f>
        <x:v>80.06250000000001</x:v>
      </x:c>
      <x:c r="X272" s="10" t="n">
        <x:f>N272/12*'Assumptions'!$AF$38</x:f>
        <x:v>931.9275000000001</x:v>
      </x:c>
      <x:c r="Y272" s="10" t="n">
        <x:f>P272/12</x:f>
        <x:v>11.325107500000001</x:v>
      </x:c>
      <x:c r="Z272" s="10" t="n">
        <x:f>0</x:f>
        <x:v>0</x:v>
      </x:c>
      <x:c r="AA272" s="10" t="n">
        <x:f>Z272*'Assumptions'!$AC$38*'Assumptions'!$D$11*(1+'Assumptions'!$D$13)^(3-1)</x:f>
        <x:v>0</x:v>
      </x:c>
      <x:c r="AB272" s="10" t="n">
        <x:f>F272/1</x:f>
        <x:v>7.260000000000002</x:v>
      </x:c>
      <x:c r="AC272" s="10" t="n">
        <x:f>AB272/'Assumptions'!$AM$38</x:f>
        <x:v>36.300000000000004</x:v>
      </x:c>
      <x:c r="AD272" s="10" t="n">
        <x:f>IF(AB272=0,0,T272/AB272)</x:f>
        <x:v>61.61504132231404</x:v>
      </x:c>
      <x:c r="AE272" s="10" t="n">
        <x:f>AA272*'Assumptions'!$D$21</x:f>
        <x:v>0</x:v>
      </x:c>
    </x:row>
    <x:row r="273" ht="16" customHeight="1">
      <x:c r="A273" s="1"/>
      <x:c r="B273" s="1"/>
      <x:c r="C273" s="1" t="str">
        <x:v>DOT-010</x:v>
      </x:c>
      <x:c r="D273" s="10" t="str">
        <x:v>BPA professional services</x:v>
      </x:c>
      <x:c r="E273" s="10" t="n">
        <x:v>3</x:v>
      </x:c>
      <x:c r="F273" s="21" t="n">
        <x:f>F145*(1+'Assumptions'!$L$39)</x:f>
        <x:v>7.260000000000002</x:v>
      </x:c>
      <x:c r="G273" s="21" t="n">
        <x:f>H145*'Assumptions'!$K$39</x:f>
        <x:v>5.550000000000001</x:v>
      </x:c>
      <x:c r="H273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273+G273,NA())</x:f>
        <x:v>12.810000000000002</x:v>
      </x:c>
      <x:c r="I273" s="22" t="n">
        <x:f>'Assumptions'!$H$39*IF('Assumptions'!$O$39=1,1,'Assumptions'!$D$10)*(1+'Assumptions'!$N$39)^(3-1)</x:f>
        <x:v>1800</x:v>
      </x:c>
      <x:c r="J273" s="10" t="n">
        <x:f>H273*I273</x:f>
        <x:v>23058.000000000004</x:v>
      </x:c>
      <x:c r="K273" s="10" t="n">
        <x:f>J273*'Assumptions'!$T$39</x:f>
        <x:v>23058.000000000004</x:v>
      </x:c>
      <x:c r="L273" s="10" t="n">
        <x:f>K273*'Assumptions'!$U$39</x:f>
        <x:v>691.7400000000001</x:v>
      </x:c>
      <x:c r="M273" s="10" t="n">
        <x:f>K273*'Assumptions'!$V$39</x:f>
        <x:v>0</x:v>
      </x:c>
      <x:c r="N273" s="10" t="n">
        <x:f>K273-L273-M273</x:f>
        <x:v>22366.260000000002</x:v>
      </x:c>
      <x:c r="O273" s="10" t="n">
        <x:f>H273*'Assumptions'!$P$39*'Assumptions'!$Q$39*'Assumptions'!$D$11*(1+'Assumptions'!$D$13)^(3-1)</x:f>
        <x:v>9784.892880000001</x:v>
      </x:c>
      <x:c r="P273" s="10" t="n">
        <x:f>H273*'Assumptions'!$R$39*'Assumptions'!$D$11*(1+'Assumptions'!$D$13)^(3-1)</x:f>
        <x:v>135.90129000000002</x:v>
      </x:c>
      <x:c r="Q273" s="10" t="n">
        <x:f>J273*'Assumptions'!$S$39</x:f>
        <x:v>0</x:v>
      </x:c>
      <x:c r="R273" s="10" t="n">
        <x:f>H273*'Assumptions'!$Y$39*'Assumptions'!$Z$39*'Assumptions'!$D$11*(1+'Assumptions'!$D$13)^(3-1)</x:f>
        <x:v>101.92596750000001</x:v>
      </x:c>
      <x:c r="S273" s="10" t="n">
        <x:f>IF(I273=0,0,J273*'Assumptions'!$W$39+H273*'Assumptions'!$X$39)</x:f>
        <x:v>672.5250000000001</x:v>
      </x:c>
      <x:c r="T273" s="10" t="n">
        <x:f>N273*'Assumptions'!$AA$39</x:f>
        <x:v>894.6504000000001</x:v>
      </x:c>
      <x:c r="U273" s="10" t="n">
        <x:f>'Assumptions'!$AE$39*'Assumptions'!$D$11*(1+'Assumptions'!$D$13)^(3-1)</x:f>
        <x:v>0</x:v>
      </x:c>
      <x:c r="V273" s="10" t="n">
        <x:f>0</x:f>
        <x:v>0</x:v>
      </x:c>
      <x:c r="W273" s="10" t="n">
        <x:f>H273*('Assumptions'!$P$39+'Assumptions'!$Y$39)</x:f>
        <x:v>156.9225</x:v>
      </x:c>
      <x:c r="X273" s="10" t="n">
        <x:f>N273/12*'Assumptions'!$AF$39</x:f>
        <x:v>1863.8550000000002</x:v>
      </x:c>
      <x:c r="Y273" s="10" t="n">
        <x:f>P273/12</x:f>
        <x:v>11.325107500000001</x:v>
      </x:c>
      <x:c r="Z273" s="10" t="n">
        <x:f>0</x:f>
        <x:v>0</x:v>
      </x:c>
      <x:c r="AA273" s="10" t="n">
        <x:f>Z273*'Assumptions'!$AC$39*'Assumptions'!$D$11*(1+'Assumptions'!$D$13)^(3-1)</x:f>
        <x:v>0</x:v>
      </x:c>
      <x:c r="AB273" s="10" t="n">
        <x:f>F273/1</x:f>
        <x:v>7.260000000000002</x:v>
      </x:c>
      <x:c r="AC273" s="10" t="n">
        <x:f>AB273/'Assumptions'!$AM$39</x:f>
        <x:v>36.300000000000004</x:v>
      </x:c>
      <x:c r="AD273" s="10" t="n">
        <x:f>IF(AB273=0,0,T273/AB273)</x:f>
        <x:v>123.23008264462808</x:v>
      </x:c>
      <x:c r="AE273" s="10" t="n">
        <x:f>AA273*'Assumptions'!$D$21</x:f>
        <x:v>0</x:v>
      </x:c>
    </x:row>
    <x:row r="274" ht="16" customHeight="1">
      <x:c r="A274" s="1"/>
      <x:c r="B274" s="1"/>
      <x:c r="C274" s="1" t="str">
        <x:v>DOT-011</x:v>
      </x:c>
      <x:c r="D274" s="10" t="str">
        <x:v>BPA professional services</x:v>
      </x:c>
      <x:c r="E274" s="10" t="n">
        <x:v>3</x:v>
      </x:c>
      <x:c r="F274" s="21" t="n">
        <x:f>F146*(1+'Assumptions'!$L$40)</x:f>
        <x:v>21.78</x:v>
      </x:c>
      <x:c r="G274" s="21" t="n">
        <x:f>H146*'Assumptions'!$K$40</x:f>
        <x:v>16.65</x:v>
      </x:c>
      <x:c r="H274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274+G274,NA())</x:f>
        <x:v>38.43</x:v>
      </x:c>
      <x:c r="I274" s="22" t="n">
        <x:f>'Assumptions'!$H$40*IF('Assumptions'!$O$40=1,1,'Assumptions'!$D$10)*(1+'Assumptions'!$N$40)^(3-1)</x:f>
        <x:v>600</x:v>
      </x:c>
      <x:c r="J274" s="10" t="n">
        <x:f>H274*I274</x:f>
        <x:v>23058</x:v>
      </x:c>
      <x:c r="K274" s="10" t="n">
        <x:f>J274*'Assumptions'!$T$40</x:f>
        <x:v>23058</x:v>
      </x:c>
      <x:c r="L274" s="10" t="n">
        <x:f>K274*'Assumptions'!$U$40</x:f>
        <x:v>691.74</x:v>
      </x:c>
      <x:c r="M274" s="10" t="n">
        <x:f>K274*'Assumptions'!$V$40</x:f>
        <x:v>0</x:v>
      </x:c>
      <x:c r="N274" s="10" t="n">
        <x:f>K274-L274-M274</x:f>
        <x:v>22366.26</x:v>
      </x:c>
      <x:c r="O274" s="10" t="n">
        <x:f>H274*'Assumptions'!$P$40*'Assumptions'!$Q$40*'Assumptions'!$D$11*(1+'Assumptions'!$D$13)^(3-1)</x:f>
        <x:v>9784.892880000001</x:v>
      </x:c>
      <x:c r="P274" s="10" t="n">
        <x:f>H274*'Assumptions'!$R$40*'Assumptions'!$D$11*(1+'Assumptions'!$D$13)^(3-1)</x:f>
        <x:v>407.70387</x:v>
      </x:c>
      <x:c r="Q274" s="10" t="n">
        <x:f>J274*'Assumptions'!$S$40</x:f>
        <x:v>0</x:v>
      </x:c>
      <x:c r="R274" s="10" t="n">
        <x:f>H274*'Assumptions'!$Y$40*'Assumptions'!$Z$40*'Assumptions'!$D$11*(1+'Assumptions'!$D$13)^(3-1)</x:f>
        <x:v>305.77790250000004</x:v>
      </x:c>
      <x:c r="S274" s="10" t="n">
        <x:f>IF(I274=0,0,J274*'Assumptions'!$W$40+H274*'Assumptions'!$X$40)</x:f>
        <x:v>680.211</x:v>
      </x:c>
      <x:c r="T274" s="10" t="n">
        <x:f>N274*'Assumptions'!$AA$40</x:f>
        <x:v>894.6504</x:v>
      </x:c>
      <x:c r="U274" s="10" t="n">
        <x:f>'Assumptions'!$AE$40*'Assumptions'!$D$11*(1+'Assumptions'!$D$13)^(3-1)</x:f>
        <x:v>0</x:v>
      </x:c>
      <x:c r="V274" s="10" t="n">
        <x:f>0</x:f>
        <x:v>0</x:v>
      </x:c>
      <x:c r="W274" s="10" t="n">
        <x:f>H274*('Assumptions'!$P$40+'Assumptions'!$Y$40)</x:f>
        <x:v>163.3275</x:v>
      </x:c>
      <x:c r="X274" s="10" t="n">
        <x:f>N274/12*'Assumptions'!$AF$40</x:f>
        <x:v>1863.8549999999998</x:v>
      </x:c>
      <x:c r="Y274" s="10" t="n">
        <x:f>P274/12</x:f>
        <x:v>33.9753225</x:v>
      </x:c>
      <x:c r="Z274" s="10" t="n">
        <x:f>0</x:f>
        <x:v>0</x:v>
      </x:c>
      <x:c r="AA274" s="10" t="n">
        <x:f>Z274*'Assumptions'!$AC$40*'Assumptions'!$D$11*(1+'Assumptions'!$D$13)^(3-1)</x:f>
        <x:v>0</x:v>
      </x:c>
      <x:c r="AB274" s="10" t="n">
        <x:f>F274/12</x:f>
        <x:v>1.8150000000000002</x:v>
      </x:c>
      <x:c r="AC274" s="10" t="n">
        <x:f>AB274/'Assumptions'!$AM$40</x:f>
        <x:v>9.075000000000001</x:v>
      </x:c>
      <x:c r="AD274" s="10" t="n">
        <x:f>IF(AB274=0,0,T274/AB274)</x:f>
        <x:v>492.92033057851233</x:v>
      </x:c>
      <x:c r="AE274" s="10" t="n">
        <x:f>AA274*'Assumptions'!$D$21</x:f>
        <x:v>0</x:v>
      </x:c>
    </x:row>
    <x:row r="275" ht="16" customHeight="1">
      <x:c r="A275" s="1"/>
      <x:c r="B275" s="1"/>
      <x:c r="C275" s="1" t="str">
        <x:v>DOT-012</x:v>
      </x:c>
      <x:c r="D275" s="10" t="str">
        <x:v>BPA professional services</x:v>
      </x:c>
      <x:c r="E275" s="10" t="n">
        <x:v>3</x:v>
      </x:c>
      <x:c r="F275" s="21" t="n">
        <x:f>F147*(1+'Assumptions'!$L$41)</x:f>
        <x:v>14.520000000000003</x:v>
      </x:c>
      <x:c r="G275" s="21" t="n">
        <x:f>H147*'Assumptions'!$K$41</x:f>
        <x:v>11.100000000000001</x:v>
      </x:c>
      <x:c r="H275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275+G275,NA())</x:f>
        <x:v>25.620000000000005</x:v>
      </x:c>
      <x:c r="I275" s="22" t="n">
        <x:f>'Assumptions'!$H$41*IF('Assumptions'!$O$41=1,1,'Assumptions'!$D$10)*(1+'Assumptions'!$N$41)^(3-1)</x:f>
        <x:v>1080</x:v>
      </x:c>
      <x:c r="J275" s="10" t="n">
        <x:f>H275*I275</x:f>
        <x:v>27669.600000000006</x:v>
      </x:c>
      <x:c r="K275" s="10" t="n">
        <x:f>J275*'Assumptions'!$T$41</x:f>
        <x:v>27669.600000000006</x:v>
      </x:c>
      <x:c r="L275" s="10" t="n">
        <x:f>K275*'Assumptions'!$U$41</x:f>
        <x:v>830.0880000000002</x:v>
      </x:c>
      <x:c r="M275" s="10" t="n">
        <x:f>K275*'Assumptions'!$V$41</x:f>
        <x:v>0</x:v>
      </x:c>
      <x:c r="N275" s="10" t="n">
        <x:f>K275-L275-M275</x:f>
        <x:v>26839.512000000006</x:v>
      </x:c>
      <x:c r="O275" s="10" t="n">
        <x:f>H275*'Assumptions'!$P$41*'Assumptions'!$Q$41*'Assumptions'!$D$11*(1+'Assumptions'!$D$13)^(3-1)</x:f>
        <x:v>13046.523840000002</x:v>
      </x:c>
      <x:c r="P275" s="10" t="n">
        <x:f>H275*'Assumptions'!$R$41*'Assumptions'!$D$11*(1+'Assumptions'!$D$13)^(3-1)</x:f>
        <x:v>271.80258000000003</x:v>
      </x:c>
      <x:c r="Q275" s="10" t="n">
        <x:f>J275*'Assumptions'!$S$41</x:f>
        <x:v>0</x:v>
      </x:c>
      <x:c r="R275" s="10" t="n">
        <x:f>H275*'Assumptions'!$Y$41*'Assumptions'!$Z$41*'Assumptions'!$D$11*(1+'Assumptions'!$D$13)^(3-1)</x:f>
        <x:v>203.85193500000003</x:v>
      </x:c>
      <x:c r="S275" s="10" t="n">
        <x:f>IF(I275=0,0,J275*'Assumptions'!$W$41+H275*'Assumptions'!$X$41)</x:f>
        <x:v>810.1044000000003</x:v>
      </x:c>
      <x:c r="T275" s="10" t="n">
        <x:f>N275*'Assumptions'!$AA$41</x:f>
        <x:v>1073.5804800000003</x:v>
      </x:c>
      <x:c r="U275" s="10" t="n">
        <x:f>'Assumptions'!$AE$41*'Assumptions'!$D$11*(1+'Assumptions'!$D$13)^(3-1)</x:f>
        <x:v>0</x:v>
      </x:c>
      <x:c r="V275" s="10" t="n">
        <x:f>0</x:f>
        <x:v>0</x:v>
      </x:c>
      <x:c r="W275" s="10" t="n">
        <x:f>H275*('Assumptions'!$P$41+'Assumptions'!$Y$41)</x:f>
        <x:v>211.36500000000004</x:v>
      </x:c>
      <x:c r="X275" s="10" t="n">
        <x:f>N275/12*'Assumptions'!$AF$41</x:f>
        <x:v>2236.6260000000007</x:v>
      </x:c>
      <x:c r="Y275" s="10" t="n">
        <x:f>P275/12</x:f>
        <x:v>22.650215000000003</x:v>
      </x:c>
      <x:c r="Z275" s="10" t="n">
        <x:f>0</x:f>
        <x:v>0</x:v>
      </x:c>
      <x:c r="AA275" s="10" t="n">
        <x:f>Z275*'Assumptions'!$AC$41*'Assumptions'!$D$11*(1+'Assumptions'!$D$13)^(3-1)</x:f>
        <x:v>0</x:v>
      </x:c>
      <x:c r="AB275" s="10" t="n">
        <x:f>F275/12</x:f>
        <x:v>1.2100000000000002</x:v>
      </x:c>
      <x:c r="AC275" s="10" t="n">
        <x:f>AB275/'Assumptions'!$AM$41</x:f>
        <x:v>6.050000000000001</x:v>
      </x:c>
      <x:c r="AD275" s="10" t="n">
        <x:f>IF(AB275=0,0,T275/AB275)</x:f>
        <x:v>887.2565950413224</x:v>
      </x:c>
      <x:c r="AE275" s="10" t="n">
        <x:f>AA275*'Assumptions'!$D$21</x:f>
        <x:v>0</x:v>
      </x:c>
    </x:row>
    <x:row r="276" ht="16" customHeight="1">
      <x:c r="A276" s="1"/>
      <x:c r="B276" s="1"/>
      <x:c r="C276" s="1" t="str">
        <x:v>DOT-013</x:v>
      </x:c>
      <x:c r="D276" s="10" t="str">
        <x:v>BPA professional services</x:v>
      </x:c>
      <x:c r="E276" s="10" t="n">
        <x:v>3</x:v>
      </x:c>
      <x:c r="F276" s="21" t="n">
        <x:f>F148*(1+'Assumptions'!$L$42)</x:f>
        <x:v>10.89</x:v>
      </x:c>
      <x:c r="G276" s="21" t="n">
        <x:f>H148*'Assumptions'!$K$42</x:f>
        <x:v>8.325</x:v>
      </x:c>
      <x:c r="H276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276+G276,NA())</x:f>
        <x:v>19.215</x:v>
      </x:c>
      <x:c r="I276" s="22" t="n">
        <x:f>'Assumptions'!$H$42*IF('Assumptions'!$O$42=1,1,'Assumptions'!$D$10)*(1+'Assumptions'!$N$42)^(3-1)</x:f>
        <x:v>2160</x:v>
      </x:c>
      <x:c r="J276" s="10" t="n">
        <x:f>H276*I276</x:f>
        <x:v>41504.4</x:v>
      </x:c>
      <x:c r="K276" s="10" t="n">
        <x:f>J276*'Assumptions'!$T$42</x:f>
        <x:v>41504.4</x:v>
      </x:c>
      <x:c r="L276" s="10" t="n">
        <x:f>K276*'Assumptions'!$U$42</x:f>
        <x:v>1245.132</x:v>
      </x:c>
      <x:c r="M276" s="10" t="n">
        <x:f>K276*'Assumptions'!$V$42</x:f>
        <x:v>0</x:v>
      </x:c>
      <x:c r="N276" s="10" t="n">
        <x:f>K276-L276-M276</x:f>
        <x:v>40259.268000000004</x:v>
      </x:c>
      <x:c r="O276" s="10" t="n">
        <x:f>H276*'Assumptions'!$P$42*'Assumptions'!$Q$42*'Assumptions'!$D$11*(1+'Assumptions'!$D$13)^(3-1)</x:f>
        <x:v>19569.785760000002</x:v>
      </x:c>
      <x:c r="P276" s="10" t="n">
        <x:f>H276*'Assumptions'!$R$42*'Assumptions'!$D$11*(1+'Assumptions'!$D$13)^(3-1)</x:f>
        <x:v>203.851935</x:v>
      </x:c>
      <x:c r="Q276" s="10" t="n">
        <x:f>J276*'Assumptions'!$S$42</x:f>
        <x:v>0</x:v>
      </x:c>
      <x:c r="R276" s="10" t="n">
        <x:f>H276*'Assumptions'!$Y$42*'Assumptions'!$Z$42*'Assumptions'!$D$11*(1+'Assumptions'!$D$13)^(3-1)</x:f>
        <x:v>152.88895125000002</x:v>
      </x:c>
      <x:c r="S276" s="10" t="n">
        <x:f>IF(I276=0,0,J276*'Assumptions'!$W$42+H276*'Assumptions'!$X$42)</x:f>
        <x:v>1209.3921</x:v>
      </x:c>
      <x:c r="T276" s="10" t="n">
        <x:f>N276*'Assumptions'!$AA$42</x:f>
        <x:v>1610.3707200000001</x:v>
      </x:c>
      <x:c r="U276" s="10" t="n">
        <x:f>'Assumptions'!$AE$42*'Assumptions'!$D$11*(1+'Assumptions'!$D$13)^(3-1)</x:f>
        <x:v>0</x:v>
      </x:c>
      <x:c r="V276" s="10" t="n">
        <x:f>0</x:f>
        <x:v>0</x:v>
      </x:c>
      <x:c r="W276" s="10" t="n">
        <x:f>H276*('Assumptions'!$P$42+'Assumptions'!$Y$42)</x:f>
        <x:v>312.24375</x:v>
      </x:c>
      <x:c r="X276" s="10" t="n">
        <x:f>N276/12*'Assumptions'!$AF$42</x:f>
        <x:v>3354.9390000000003</x:v>
      </x:c>
      <x:c r="Y276" s="10" t="n">
        <x:f>P276/12</x:f>
        <x:v>16.98766125</x:v>
      </x:c>
      <x:c r="Z276" s="10" t="n">
        <x:f>0</x:f>
        <x:v>0</x:v>
      </x:c>
      <x:c r="AA276" s="10" t="n">
        <x:f>Z276*'Assumptions'!$AC$42*'Assumptions'!$D$11*(1+'Assumptions'!$D$13)^(3-1)</x:f>
        <x:v>0</x:v>
      </x:c>
      <x:c r="AB276" s="10" t="n">
        <x:f>F276/12</x:f>
        <x:v>0.9075000000000001</x:v>
      </x:c>
      <x:c r="AC276" s="10" t="n">
        <x:f>AB276/'Assumptions'!$AM$42</x:f>
        <x:v>4.5375000000000005</x:v>
      </x:c>
      <x:c r="AD276" s="10" t="n">
        <x:f>IF(AB276=0,0,T276/AB276)</x:f>
        <x:v>1774.5131900826445</x:v>
      </x:c>
      <x:c r="AE276" s="10" t="n">
        <x:f>AA276*'Assumptions'!$D$21</x:f>
        <x:v>0</x:v>
      </x:c>
    </x:row>
    <x:row r="277" ht="16" customHeight="1">
      <x:c r="A277" s="1"/>
      <x:c r="B277" s="1"/>
      <x:c r="C277" s="1" t="str">
        <x:v>DOT-014</x:v>
      </x:c>
      <x:c r="D277" s="10" t="str">
        <x:v>BPA professional services</x:v>
      </x:c>
      <x:c r="E277" s="10" t="n">
        <x:v>3</x:v>
      </x:c>
      <x:c r="F277" s="21" t="n">
        <x:f>F149*(1+'Assumptions'!$L$43)</x:f>
        <x:v>7.260000000000002</x:v>
      </x:c>
      <x:c r="G277" s="21" t="n">
        <x:f>H149*'Assumptions'!$K$43</x:f>
        <x:v>5.550000000000001</x:v>
      </x:c>
      <x:c r="H277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277+G277,NA())</x:f>
        <x:v>12.810000000000002</x:v>
      </x:c>
      <x:c r="I277" s="22" t="n">
        <x:f>'Assumptions'!$H$43*IF('Assumptions'!$O$43=1,1,'Assumptions'!$D$10)*(1+'Assumptions'!$N$43)^(3-1)</x:f>
        <x:v>3000</x:v>
      </x:c>
      <x:c r="J277" s="10" t="n">
        <x:f>H277*I277</x:f>
        <x:v>38430.00000000001</x:v>
      </x:c>
      <x:c r="K277" s="10" t="n">
        <x:f>J277*'Assumptions'!$T$43</x:f>
        <x:v>38430.00000000001</x:v>
      </x:c>
      <x:c r="L277" s="10" t="n">
        <x:f>K277*'Assumptions'!$U$43</x:f>
        <x:v>1152.9</x:v>
      </x:c>
      <x:c r="M277" s="10" t="n">
        <x:f>K277*'Assumptions'!$V$43</x:f>
        <x:v>0</x:v>
      </x:c>
      <x:c r="N277" s="10" t="n">
        <x:f>K277-L277-M277</x:f>
        <x:v>37277.100000000006</x:v>
      </x:c>
      <x:c r="O277" s="10" t="n">
        <x:f>H277*'Assumptions'!$P$43*'Assumptions'!$Q$43*'Assumptions'!$D$11*(1+'Assumptions'!$D$13)^(3-1)</x:f>
        <x:v>16308.154800000004</x:v>
      </x:c>
      <x:c r="P277" s="10" t="n">
        <x:f>H277*'Assumptions'!$R$43*'Assumptions'!$D$11*(1+'Assumptions'!$D$13)^(3-1)</x:f>
        <x:v>135.90129000000002</x:v>
      </x:c>
      <x:c r="Q277" s="10" t="n">
        <x:f>J277*'Assumptions'!$S$43</x:f>
        <x:v>0</x:v>
      </x:c>
      <x:c r="R277" s="10" t="n">
        <x:f>H277*'Assumptions'!$Y$43*'Assumptions'!$Z$43*'Assumptions'!$D$11*(1+'Assumptions'!$D$13)^(3-1)</x:f>
        <x:v>101.92596750000001</x:v>
      </x:c>
      <x:c r="S277" s="10" t="n">
        <x:f>IF(I277=0,0,J277*'Assumptions'!$W$43+H277*'Assumptions'!$X$43)</x:f>
        <x:v>1118.3130000000003</x:v>
      </x:c>
      <x:c r="T277" s="10" t="n">
        <x:f>N277*'Assumptions'!$AA$43</x:f>
        <x:v>1491.0840000000003</x:v>
      </x:c>
      <x:c r="U277" s="10" t="n">
        <x:f>'Assumptions'!$AE$43*'Assumptions'!$D$11*(1+'Assumptions'!$D$13)^(3-1)</x:f>
        <x:v>0</x:v>
      </x:c>
      <x:c r="V277" s="10" t="n">
        <x:f>0</x:f>
        <x:v>0</x:v>
      </x:c>
      <x:c r="W277" s="10" t="n">
        <x:f>H277*('Assumptions'!$P$43+'Assumptions'!$Y$43)</x:f>
        <x:v>259.40250000000003</x:v>
      </x:c>
      <x:c r="X277" s="10" t="n">
        <x:f>N277/12*'Assumptions'!$AF$43</x:f>
        <x:v>3106.4250000000006</x:v>
      </x:c>
      <x:c r="Y277" s="10" t="n">
        <x:f>P277/12</x:f>
        <x:v>11.325107500000001</x:v>
      </x:c>
      <x:c r="Z277" s="10" t="n">
        <x:f>0</x:f>
        <x:v>0</x:v>
      </x:c>
      <x:c r="AA277" s="10" t="n">
        <x:f>Z277*'Assumptions'!$AC$43*'Assumptions'!$D$11*(1+'Assumptions'!$D$13)^(3-1)</x:f>
        <x:v>0</x:v>
      </x:c>
      <x:c r="AB277" s="10" t="n">
        <x:f>F277/12</x:f>
        <x:v>0.6050000000000001</x:v>
      </x:c>
      <x:c r="AC277" s="10" t="n">
        <x:f>AB277/'Assumptions'!$AM$43</x:f>
        <x:v>3.0250000000000004</x:v>
      </x:c>
      <x:c r="AD277" s="10" t="n">
        <x:f>IF(AB277=0,0,T277/AB277)</x:f>
        <x:v>2464.601652892562</x:v>
      </x:c>
      <x:c r="AE277" s="10" t="n">
        <x:f>AA277*'Assumptions'!$D$21</x:f>
        <x:v>0</x:v>
      </x:c>
    </x:row>
    <x:row r="278" ht="16" customHeight="1">
      <x:c r="A278" s="1"/>
      <x:c r="B278" s="1"/>
      <x:c r="C278" s="1" t="str">
        <x:v>DOT-015</x:v>
      </x:c>
      <x:c r="D278" s="10" t="str">
        <x:v>BPA professional services</x:v>
      </x:c>
      <x:c r="E278" s="10" t="n">
        <x:v>3</x:v>
      </x:c>
      <x:c r="F278" s="21" t="n">
        <x:f>F150*(1+'Assumptions'!$L$44)</x:f>
        <x:v>6.050000000000001</x:v>
      </x:c>
      <x:c r="G278" s="21" t="n">
        <x:f>H150*'Assumptions'!$K$44</x:f>
        <x:v>4.625</x:v>
      </x:c>
      <x:c r="H278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278+G278,NA())</x:f>
        <x:v>10.675</x:v>
      </x:c>
      <x:c r="I278" s="22" t="n">
        <x:f>'Assumptions'!$H$44*IF('Assumptions'!$O$44=1,1,'Assumptions'!$D$10)*(1+'Assumptions'!$N$44)^(3-1)</x:f>
        <x:v>1200</x:v>
      </x:c>
      <x:c r="J278" s="10" t="n">
        <x:f>H278*I278</x:f>
        <x:v>12810</x:v>
      </x:c>
      <x:c r="K278" s="10" t="n">
        <x:f>J278*'Assumptions'!$T$44</x:f>
        <x:v>12810</x:v>
      </x:c>
      <x:c r="L278" s="10" t="n">
        <x:f>K278*'Assumptions'!$U$44</x:f>
        <x:v>384.3</x:v>
      </x:c>
      <x:c r="M278" s="10" t="n">
        <x:f>K278*'Assumptions'!$V$44</x:f>
        <x:v>0</x:v>
      </x:c>
      <x:c r="N278" s="10" t="n">
        <x:f>K278-L278-M278</x:f>
        <x:v>12425.7</x:v>
      </x:c>
      <x:c r="O278" s="10" t="n">
        <x:f>H278*'Assumptions'!$P$44*'Assumptions'!$Q$44*'Assumptions'!$D$11*(1+'Assumptions'!$D$13)^(3-1)</x:f>
        <x:v>6795.0644999999995</x:v>
      </x:c>
      <x:c r="P278" s="10" t="n">
        <x:f>H278*'Assumptions'!$R$44*'Assumptions'!$D$11*(1+'Assumptions'!$D$13)^(3-1)</x:f>
        <x:v>113.251075</x:v>
      </x:c>
      <x:c r="Q278" s="10" t="n">
        <x:f>J278*'Assumptions'!$S$44</x:f>
        <x:v>0</x:v>
      </x:c>
      <x:c r="R278" s="10" t="n">
        <x:f>H278*'Assumptions'!$Y$44*'Assumptions'!$Z$44*'Assumptions'!$D$11*(1+'Assumptions'!$D$13)^(3-1)</x:f>
        <x:v>84.93830625</x:v>
      </x:c>
      <x:c r="S278" s="10" t="n">
        <x:f>IF(I278=0,0,J278*'Assumptions'!$W$44+H278*'Assumptions'!$X$44)</x:f>
        <x:v>374.6925</x:v>
      </x:c>
      <x:c r="T278" s="10" t="n">
        <x:f>N278*'Assumptions'!$AA$44</x:f>
        <x:v>497.028</x:v>
      </x:c>
      <x:c r="U278" s="10" t="n">
        <x:f>'Assumptions'!$AE$44*'Assumptions'!$D$11*(1+'Assumptions'!$D$13)^(3-1)</x:f>
        <x:v>0</x:v>
      </x:c>
      <x:c r="V278" s="10" t="n">
        <x:f>0</x:f>
        <x:v>0</x:v>
      </x:c>
      <x:c r="W278" s="10" t="n">
        <x:f>H278*('Assumptions'!$P$44+'Assumptions'!$Y$44)</x:f>
        <x:v>109.41875</x:v>
      </x:c>
      <x:c r="X278" s="10" t="n">
        <x:f>N278/12*'Assumptions'!$AF$44</x:f>
        <x:v>1035.4750000000001</x:v>
      </x:c>
      <x:c r="Y278" s="10" t="n">
        <x:f>P278/12</x:f>
        <x:v>9.437589583333333</x:v>
      </x:c>
      <x:c r="Z278" s="10" t="n">
        <x:f>0</x:f>
        <x:v>0</x:v>
      </x:c>
      <x:c r="AA278" s="10" t="n">
        <x:f>Z278*'Assumptions'!$AC$44*'Assumptions'!$D$11*(1+'Assumptions'!$D$13)^(3-1)</x:f>
        <x:v>0</x:v>
      </x:c>
      <x:c r="AB278" s="10" t="n">
        <x:f>F278/1</x:f>
        <x:v>6.050000000000001</x:v>
      </x:c>
      <x:c r="AC278" s="10" t="n">
        <x:f>AB278/'Assumptions'!$AM$44</x:f>
        <x:v>30.250000000000004</x:v>
      </x:c>
      <x:c r="AD278" s="10" t="n">
        <x:f>IF(AB278=0,0,T278/AB278)</x:f>
        <x:v>82.15338842975206</x:v>
      </x:c>
      <x:c r="AE278" s="10" t="n">
        <x:f>AA278*'Assumptions'!$D$21</x:f>
        <x:v>0</x:v>
      </x:c>
    </x:row>
    <x:row r="279" ht="16" customHeight="1">
      <x:c r="A279" s="1"/>
      <x:c r="B279" s="1"/>
      <x:c r="C279" s="1" t="str">
        <x:v>DOT-016</x:v>
      </x:c>
      <x:c r="D279" s="10" t="str">
        <x:v>BPA professional services</x:v>
      </x:c>
      <x:c r="E279" s="10" t="n">
        <x:v>3</x:v>
      </x:c>
      <x:c r="F279" s="21" t="n">
        <x:f>F151*(1+'Assumptions'!$L$45)</x:f>
        <x:v>3.630000000000001</x:v>
      </x:c>
      <x:c r="G279" s="21" t="n">
        <x:f>H151*'Assumptions'!$K$45</x:f>
        <x:v>2.7750000000000004</x:v>
      </x:c>
      <x:c r="H279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279+G279,NA())</x:f>
        <x:v>6.405000000000001</x:v>
      </x:c>
      <x:c r="I279" s="22" t="n">
        <x:f>'Assumptions'!$H$45*IF('Assumptions'!$O$45=1,1,'Assumptions'!$D$10)*(1+'Assumptions'!$N$45)^(3-1)</x:f>
        <x:v>1800</x:v>
      </x:c>
      <x:c r="J279" s="10" t="n">
        <x:f>H279*I279</x:f>
        <x:v>11529.000000000002</x:v>
      </x:c>
      <x:c r="K279" s="10" t="n">
        <x:f>J279*'Assumptions'!$T$45</x:f>
        <x:v>11529.000000000002</x:v>
      </x:c>
      <x:c r="L279" s="10" t="n">
        <x:f>K279*'Assumptions'!$U$45</x:f>
        <x:v>345.87000000000006</x:v>
      </x:c>
      <x:c r="M279" s="10" t="n">
        <x:f>K279*'Assumptions'!$V$45</x:f>
        <x:v>0</x:v>
      </x:c>
      <x:c r="N279" s="10" t="n">
        <x:f>K279-L279-M279</x:f>
        <x:v>11183.130000000001</x:v>
      </x:c>
      <x:c r="O279" s="10" t="n">
        <x:f>H279*'Assumptions'!$P$45*'Assumptions'!$Q$45*'Assumptions'!$D$11*(1+'Assumptions'!$D$13)^(3-1)</x:f>
        <x:v>2038.5193500000005</x:v>
      </x:c>
      <x:c r="P279" s="10" t="n">
        <x:f>H279*'Assumptions'!$R$45*'Assumptions'!$D$11*(1+'Assumptions'!$D$13)^(3-1)</x:f>
        <x:v>67.95064500000001</x:v>
      </x:c>
      <x:c r="Q279" s="10" t="n">
        <x:f>J279*'Assumptions'!$S$45</x:f>
        <x:v>0</x:v>
      </x:c>
      <x:c r="R279" s="10" t="n">
        <x:f>H279*'Assumptions'!$Y$45*'Assumptions'!$Z$45*'Assumptions'!$D$11*(1+'Assumptions'!$D$13)^(3-1)</x:f>
        <x:v>50.96298375000001</x:v>
      </x:c>
      <x:c r="S279" s="10" t="n">
        <x:f>IF(I279=0,0,J279*'Assumptions'!$W$45+H279*'Assumptions'!$X$45)</x:f>
        <x:v>336.26250000000005</x:v>
      </x:c>
      <x:c r="T279" s="10" t="n">
        <x:f>N279*'Assumptions'!$AA$45</x:f>
        <x:v>447.32520000000005</x:v>
      </x:c>
      <x:c r="U279" s="10" t="n">
        <x:f>'Assumptions'!$AE$45*'Assumptions'!$D$11*(1+'Assumptions'!$D$13)^(3-1)</x:f>
        <x:v>0</x:v>
      </x:c>
      <x:c r="V279" s="10" t="n">
        <x:f>0</x:f>
        <x:v>0</x:v>
      </x:c>
      <x:c r="W279" s="10" t="n">
        <x:f>H279*('Assumptions'!$P$45+'Assumptions'!$Y$45)</x:f>
        <x:v>33.626250000000006</x:v>
      </x:c>
      <x:c r="X279" s="10" t="n">
        <x:f>N279/12*'Assumptions'!$AF$45</x:f>
        <x:v>931.9275000000001</x:v>
      </x:c>
      <x:c r="Y279" s="10" t="n">
        <x:f>P279/12</x:f>
        <x:v>5.662553750000001</x:v>
      </x:c>
      <x:c r="Z279" s="10" t="n">
        <x:f>0</x:f>
        <x:v>0</x:v>
      </x:c>
      <x:c r="AA279" s="10" t="n">
        <x:f>Z279*'Assumptions'!$AC$45*'Assumptions'!$D$11*(1+'Assumptions'!$D$13)^(3-1)</x:f>
        <x:v>0</x:v>
      </x:c>
      <x:c r="AB279" s="10" t="n">
        <x:f>F279/1</x:f>
        <x:v>3.630000000000001</x:v>
      </x:c>
      <x:c r="AC279" s="10" t="n">
        <x:f>AB279/'Assumptions'!$AM$45</x:f>
        <x:v>18.150000000000002</x:v>
      </x:c>
      <x:c r="AD279" s="10" t="n">
        <x:f>IF(AB279=0,0,T279/AB279)</x:f>
        <x:v>123.23008264462808</x:v>
      </x:c>
      <x:c r="AE279" s="10" t="n">
        <x:f>AA279*'Assumptions'!$D$21</x:f>
        <x:v>0</x:v>
      </x:c>
    </x:row>
    <x:row r="280" ht="16" customHeight="1">
      <x:c r="A280" s="1"/>
      <x:c r="B280" s="1"/>
      <x:c r="C280" s="1" t="str">
        <x:v>DOT-017</x:v>
      </x:c>
      <x:c r="D280" s="10" t="str">
        <x:v>BPA professional services</x:v>
      </x:c>
      <x:c r="E280" s="10" t="n">
        <x:v>3</x:v>
      </x:c>
      <x:c r="F280" s="21" t="n">
        <x:f>F152*(1+'Assumptions'!$L$46)</x:f>
        <x:v>3.630000000000001</x:v>
      </x:c>
      <x:c r="G280" s="21" t="n">
        <x:f>H152*'Assumptions'!$K$46</x:f>
        <x:v>2.7750000000000004</x:v>
      </x:c>
      <x:c r="H280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280+G280,NA())</x:f>
        <x:v>6.405000000000001</x:v>
      </x:c>
      <x:c r="I280" s="22" t="n">
        <x:f>'Assumptions'!$H$46*IF('Assumptions'!$O$46=1,1,'Assumptions'!$D$10)*(1+'Assumptions'!$N$46)^(3-1)</x:f>
        <x:v>1500</x:v>
      </x:c>
      <x:c r="J280" s="10" t="n">
        <x:f>H280*I280</x:f>
        <x:v>9607.500000000002</x:v>
      </x:c>
      <x:c r="K280" s="10" t="n">
        <x:f>J280*'Assumptions'!$T$46</x:f>
        <x:v>9607.500000000002</x:v>
      </x:c>
      <x:c r="L280" s="10" t="n">
        <x:f>K280*'Assumptions'!$U$46</x:f>
        <x:v>288.225</x:v>
      </x:c>
      <x:c r="M280" s="10" t="n">
        <x:f>K280*'Assumptions'!$V$46</x:f>
        <x:v>0</x:v>
      </x:c>
      <x:c r="N280" s="10" t="n">
        <x:f>K280-L280-M280</x:f>
        <x:v>9319.275000000001</x:v>
      </x:c>
      <x:c r="O280" s="10" t="n">
        <x:f>H280*'Assumptions'!$P$46*'Assumptions'!$Q$46*'Assumptions'!$D$11*(1+'Assumptions'!$D$13)^(3-1)</x:f>
        <x:v>2446.2232200000003</x:v>
      </x:c>
      <x:c r="P280" s="10" t="n">
        <x:f>H280*'Assumptions'!$R$46*'Assumptions'!$D$11*(1+'Assumptions'!$D$13)^(3-1)</x:f>
        <x:v>67.95064500000001</x:v>
      </x:c>
      <x:c r="Q280" s="10" t="n">
        <x:f>J280*'Assumptions'!$S$46</x:f>
        <x:v>0</x:v>
      </x:c>
      <x:c r="R280" s="10" t="n">
        <x:f>H280*'Assumptions'!$Y$46*'Assumptions'!$Z$46*'Assumptions'!$D$11*(1+'Assumptions'!$D$13)^(3-1)</x:f>
        <x:v>50.96298375000001</x:v>
      </x:c>
      <x:c r="S280" s="10" t="n">
        <x:f>IF(I280=0,0,J280*'Assumptions'!$W$46+H280*'Assumptions'!$X$46)</x:f>
        <x:v>280.53900000000004</x:v>
      </x:c>
      <x:c r="T280" s="10" t="n">
        <x:f>N280*'Assumptions'!$AA$46</x:f>
        <x:v>372.7710000000001</x:v>
      </x:c>
      <x:c r="U280" s="10" t="n">
        <x:f>'Assumptions'!$AE$46*'Assumptions'!$D$11*(1+'Assumptions'!$D$13)^(3-1)</x:f>
        <x:v>0</x:v>
      </x:c>
      <x:c r="V280" s="10" t="n">
        <x:f>0</x:f>
        <x:v>0</x:v>
      </x:c>
      <x:c r="W280" s="10" t="n">
        <x:f>H280*('Assumptions'!$P$46+'Assumptions'!$Y$46)</x:f>
        <x:v>40.03125000000001</x:v>
      </x:c>
      <x:c r="X280" s="10" t="n">
        <x:f>N280/12*'Assumptions'!$AF$46</x:f>
        <x:v>776.6062500000002</x:v>
      </x:c>
      <x:c r="Y280" s="10" t="n">
        <x:f>P280/12</x:f>
        <x:v>5.662553750000001</x:v>
      </x:c>
      <x:c r="Z280" s="10" t="n">
        <x:f>0</x:f>
        <x:v>0</x:v>
      </x:c>
      <x:c r="AA280" s="10" t="n">
        <x:f>Z280*'Assumptions'!$AC$46*'Assumptions'!$D$11*(1+'Assumptions'!$D$13)^(3-1)</x:f>
        <x:v>0</x:v>
      </x:c>
      <x:c r="AB280" s="10" t="n">
        <x:f>F280/1</x:f>
        <x:v>3.630000000000001</x:v>
      </x:c>
      <x:c r="AC280" s="10" t="n">
        <x:f>AB280/'Assumptions'!$AM$46</x:f>
        <x:v>18.150000000000002</x:v>
      </x:c>
      <x:c r="AD280" s="10" t="n">
        <x:f>IF(AB280=0,0,T280/AB280)</x:f>
        <x:v>102.69173553719008</x:v>
      </x:c>
      <x:c r="AE280" s="10" t="n">
        <x:f>AA280*'Assumptions'!$D$21</x:f>
        <x:v>0</x:v>
      </x:c>
    </x:row>
    <x:row r="281" ht="16" customHeight="1">
      <x:c r="A281" s="1"/>
      <x:c r="B281" s="1"/>
      <x:c r="C281" s="1" t="str">
        <x:v>DOT-018</x:v>
      </x:c>
      <x:c r="D281" s="10" t="str">
        <x:v>BPA professional services</x:v>
      </x:c>
      <x:c r="E281" s="10" t="n">
        <x:v>3</x:v>
      </x:c>
      <x:c r="F281" s="21" t="n">
        <x:f>F153*(1+'Assumptions'!$L$47)</x:f>
        <x:v>4.840000000000001</x:v>
      </x:c>
      <x:c r="G281" s="21" t="n">
        <x:f>H153*'Assumptions'!$K$47</x:f>
        <x:v>3.7</x:v>
      </x:c>
      <x:c r="H281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281+G281,NA())</x:f>
        <x:v>8.540000000000001</x:v>
      </x:c>
      <x:c r="I281" s="22" t="n">
        <x:f>'Assumptions'!$H$47*IF('Assumptions'!$O$47=1,1,'Assumptions'!$D$10)*(1+'Assumptions'!$N$47)^(3-1)</x:f>
        <x:v>1200</x:v>
      </x:c>
      <x:c r="J281" s="10" t="n">
        <x:f>H281*I281</x:f>
        <x:v>10248.000000000002</x:v>
      </x:c>
      <x:c r="K281" s="10" t="n">
        <x:f>J281*'Assumptions'!$T$47</x:f>
        <x:v>10248.000000000002</x:v>
      </x:c>
      <x:c r="L281" s="10" t="n">
        <x:f>K281*'Assumptions'!$U$47</x:f>
        <x:v>307.44000000000005</x:v>
      </x:c>
      <x:c r="M281" s="10" t="n">
        <x:f>K281*'Assumptions'!$V$47</x:f>
        <x:v>0</x:v>
      </x:c>
      <x:c r="N281" s="10" t="n">
        <x:f>K281-L281-M281</x:f>
        <x:v>9940.560000000001</x:v>
      </x:c>
      <x:c r="O281" s="10" t="n">
        <x:f>H281*'Assumptions'!$P$47*'Assumptions'!$Q$47*'Assumptions'!$D$11*(1+'Assumptions'!$D$13)^(3-1)</x:f>
        <x:v>2174.4206400000003</x:v>
      </x:c>
      <x:c r="P281" s="10" t="n">
        <x:f>H281*'Assumptions'!$R$47*'Assumptions'!$D$11*(1+'Assumptions'!$D$13)^(3-1)</x:f>
        <x:v>90.60086</x:v>
      </x:c>
      <x:c r="Q281" s="10" t="n">
        <x:f>J281*'Assumptions'!$S$47</x:f>
        <x:v>0</x:v>
      </x:c>
      <x:c r="R281" s="10" t="n">
        <x:f>H281*'Assumptions'!$Y$47*'Assumptions'!$Z$47*'Assumptions'!$D$11*(1+'Assumptions'!$D$13)^(3-1)</x:f>
        <x:v>67.95064500000001</x:v>
      </x:c>
      <x:c r="S281" s="10" t="n">
        <x:f>IF(I281=0,0,J281*'Assumptions'!$W$47+H281*'Assumptions'!$X$47)</x:f>
        <x:v>299.7540000000001</x:v>
      </x:c>
      <x:c r="T281" s="10" t="n">
        <x:f>N281*'Assumptions'!$AA$47</x:f>
        <x:v>397.6224000000001</x:v>
      </x:c>
      <x:c r="U281" s="10" t="n">
        <x:f>'Assumptions'!$AE$47*'Assumptions'!$D$11*(1+'Assumptions'!$D$13)^(3-1)</x:f>
        <x:v>0</x:v>
      </x:c>
      <x:c r="V281" s="10" t="n">
        <x:f>0</x:f>
        <x:v>0</x:v>
      </x:c>
      <x:c r="W281" s="10" t="n">
        <x:f>H281*('Assumptions'!$P$47+'Assumptions'!$Y$47)</x:f>
        <x:v>36.295</x:v>
      </x:c>
      <x:c r="X281" s="10" t="n">
        <x:f>N281/12*'Assumptions'!$AF$47</x:f>
        <x:v>828.3800000000001</x:v>
      </x:c>
      <x:c r="Y281" s="10" t="n">
        <x:f>P281/12</x:f>
        <x:v>7.550071666666667</x:v>
      </x:c>
      <x:c r="Z281" s="10" t="n">
        <x:f>0</x:f>
        <x:v>0</x:v>
      </x:c>
      <x:c r="AA281" s="10" t="n">
        <x:f>Z281*'Assumptions'!$AC$47*'Assumptions'!$D$11*(1+'Assumptions'!$D$13)^(3-1)</x:f>
        <x:v>0</x:v>
      </x:c>
      <x:c r="AB281" s="10" t="n">
        <x:f>F281/1</x:f>
        <x:v>4.840000000000001</x:v>
      </x:c>
      <x:c r="AC281" s="10" t="n">
        <x:f>AB281/'Assumptions'!$AM$47</x:f>
        <x:v>24.200000000000003</x:v>
      </x:c>
      <x:c r="AD281" s="10" t="n">
        <x:f>IF(AB281=0,0,T281/AB281)</x:f>
        <x:v>82.15338842975207</x:v>
      </x:c>
      <x:c r="AE281" s="10" t="n">
        <x:f>AA281*'Assumptions'!$D$21</x:f>
        <x:v>0</x:v>
      </x:c>
    </x:row>
    <x:row r="282" ht="16" customHeight="1">
      <x:c r="A282" s="1"/>
      <x:c r="B282" s="1"/>
      <x:c r="C282" s="1" t="str">
        <x:v>DOT-019</x:v>
      </x:c>
      <x:c r="D282" s="10" t="str">
        <x:v>BPA professional services</x:v>
      </x:c>
      <x:c r="E282" s="10" t="n">
        <x:v>3</x:v>
      </x:c>
      <x:c r="F282" s="21" t="n">
        <x:f>F154*(1+'Assumptions'!$L$48)</x:f>
        <x:v>2.4200000000000004</x:v>
      </x:c>
      <x:c r="G282" s="21" t="n">
        <x:f>H154*'Assumptions'!$K$48</x:f>
        <x:v>1.85</x:v>
      </x:c>
      <x:c r="H282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282+G282,NA())</x:f>
        <x:v>4.2700000000000005</x:v>
      </x:c>
      <x:c r="I282" s="22" t="n">
        <x:f>'Assumptions'!$H$48*IF('Assumptions'!$O$48=1,1,'Assumptions'!$D$10)*(1+'Assumptions'!$N$48)^(3-1)</x:f>
        <x:v>3000</x:v>
      </x:c>
      <x:c r="J282" s="10" t="n">
        <x:f>H282*I282</x:f>
        <x:v>12810.000000000002</x:v>
      </x:c>
      <x:c r="K282" s="10" t="n">
        <x:f>J282*'Assumptions'!$T$48</x:f>
        <x:v>12810.000000000002</x:v>
      </x:c>
      <x:c r="L282" s="10" t="n">
        <x:f>K282*'Assumptions'!$U$48</x:f>
        <x:v>384.30000000000007</x:v>
      </x:c>
      <x:c r="M282" s="10" t="n">
        <x:f>K282*'Assumptions'!$V$48</x:f>
        <x:v>0</x:v>
      </x:c>
      <x:c r="N282" s="10" t="n">
        <x:f>K282-L282-M282</x:f>
        <x:v>12425.700000000003</x:v>
      </x:c>
      <x:c r="O282" s="10" t="n">
        <x:f>H282*'Assumptions'!$P$48*'Assumptions'!$Q$48*'Assumptions'!$D$11*(1+'Assumptions'!$D$13)^(3-1)</x:f>
        <x:v>3261.6309600000004</x:v>
      </x:c>
      <x:c r="P282" s="10" t="n">
        <x:f>H282*'Assumptions'!$R$48*'Assumptions'!$D$11*(1+'Assumptions'!$D$13)^(3-1)</x:f>
        <x:v>45.30043</x:v>
      </x:c>
      <x:c r="Q282" s="10" t="n">
        <x:f>J282*'Assumptions'!$S$48</x:f>
        <x:v>0</x:v>
      </x:c>
      <x:c r="R282" s="10" t="n">
        <x:f>H282*'Assumptions'!$Y$48*'Assumptions'!$Z$48*'Assumptions'!$D$11*(1+'Assumptions'!$D$13)^(3-1)</x:f>
        <x:v>33.975322500000004</x:v>
      </x:c>
      <x:c r="S282" s="10" t="n">
        <x:f>IF(I282=0,0,J282*'Assumptions'!$W$48+H282*'Assumptions'!$X$48)</x:f>
        <x:v>372.7710000000001</x:v>
      </x:c>
      <x:c r="T282" s="10" t="n">
        <x:f>N282*'Assumptions'!$AA$48</x:f>
        <x:v>497.02800000000013</x:v>
      </x:c>
      <x:c r="U282" s="10" t="n">
        <x:f>'Assumptions'!$AE$48*'Assumptions'!$D$11*(1+'Assumptions'!$D$13)^(3-1)</x:f>
        <x:v>0</x:v>
      </x:c>
      <x:c r="V282" s="10" t="n">
        <x:f>0</x:f>
        <x:v>0</x:v>
      </x:c>
      <x:c r="W282" s="10" t="n">
        <x:f>H282*('Assumptions'!$P$48+'Assumptions'!$Y$48)</x:f>
        <x:v>52.307500000000005</x:v>
      </x:c>
      <x:c r="X282" s="10" t="n">
        <x:f>N282/12*'Assumptions'!$AF$48</x:f>
        <x:v>1035.4750000000001</x:v>
      </x:c>
      <x:c r="Y282" s="10" t="n">
        <x:f>P282/12</x:f>
        <x:v>3.7750358333333334</x:v>
      </x:c>
      <x:c r="Z282" s="10" t="n">
        <x:f>0</x:f>
        <x:v>0</x:v>
      </x:c>
      <x:c r="AA282" s="10" t="n">
        <x:f>Z282*'Assumptions'!$AC$48*'Assumptions'!$D$11*(1+'Assumptions'!$D$13)^(3-1)</x:f>
        <x:v>0</x:v>
      </x:c>
      <x:c r="AB282" s="10" t="n">
        <x:f>F282/1</x:f>
        <x:v>2.4200000000000004</x:v>
      </x:c>
      <x:c r="AC282" s="10" t="n">
        <x:f>AB282/'Assumptions'!$AM$48</x:f>
        <x:v>12.100000000000001</x:v>
      </x:c>
      <x:c r="AD282" s="10" t="n">
        <x:f>IF(AB282=0,0,T282/AB282)</x:f>
        <x:v>205.3834710743802</x:v>
      </x:c>
      <x:c r="AE282" s="10" t="n">
        <x:f>AA282*'Assumptions'!$D$21</x:f>
        <x:v>0</x:v>
      </x:c>
    </x:row>
    <x:row r="283" ht="16" customHeight="1">
      <x:c r="A283" s="1"/>
      <x:c r="B283" s="1"/>
      <x:c r="C283" s="1" t="str">
        <x:v>DOT-020</x:v>
      </x:c>
      <x:c r="D283" s="10" t="str">
        <x:v>BPA professional services</x:v>
      </x:c>
      <x:c r="E283" s="10" t="n">
        <x:v>3</x:v>
      </x:c>
      <x:c r="F283" s="21" t="n">
        <x:f>F155*(1+'Assumptions'!$L$49)</x:f>
        <x:v>3.630000000000001</x:v>
      </x:c>
      <x:c r="G283" s="21" t="n">
        <x:f>H155*'Assumptions'!$K$49</x:f>
        <x:v>2.7750000000000004</x:v>
      </x:c>
      <x:c r="H283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283+G283,NA())</x:f>
        <x:v>6.405000000000001</x:v>
      </x:c>
      <x:c r="I283" s="22" t="n">
        <x:f>'Assumptions'!$H$49*IF('Assumptions'!$O$49=1,1,'Assumptions'!$D$10)*(1+'Assumptions'!$N$49)^(3-1)</x:f>
        <x:v>1800</x:v>
      </x:c>
      <x:c r="J283" s="10" t="n">
        <x:f>H283*I283</x:f>
        <x:v>11529.000000000002</x:v>
      </x:c>
      <x:c r="K283" s="10" t="n">
        <x:f>J283*'Assumptions'!$T$49</x:f>
        <x:v>11529.000000000002</x:v>
      </x:c>
      <x:c r="L283" s="10" t="n">
        <x:f>K283*'Assumptions'!$U$49</x:f>
        <x:v>345.87000000000006</x:v>
      </x:c>
      <x:c r="M283" s="10" t="n">
        <x:f>K283*'Assumptions'!$V$49</x:f>
        <x:v>0</x:v>
      </x:c>
      <x:c r="N283" s="10" t="n">
        <x:f>K283-L283-M283</x:f>
        <x:v>11183.130000000001</x:v>
      </x:c>
      <x:c r="O283" s="10" t="n">
        <x:f>H283*'Assumptions'!$P$49*'Assumptions'!$Q$49*'Assumptions'!$D$11*(1+'Assumptions'!$D$13)^(3-1)</x:f>
        <x:v>2446.2232200000003</x:v>
      </x:c>
      <x:c r="P283" s="10" t="n">
        <x:f>H283*'Assumptions'!$R$49*'Assumptions'!$D$11*(1+'Assumptions'!$D$13)^(3-1)</x:f>
        <x:v>67.95064500000001</x:v>
      </x:c>
      <x:c r="Q283" s="10" t="n">
        <x:f>J283*'Assumptions'!$S$49</x:f>
        <x:v>0</x:v>
      </x:c>
      <x:c r="R283" s="10" t="n">
        <x:f>H283*'Assumptions'!$Y$49*'Assumptions'!$Z$49*'Assumptions'!$D$11*(1+'Assumptions'!$D$13)^(3-1)</x:f>
        <x:v>50.96298375000001</x:v>
      </x:c>
      <x:c r="S283" s="10" t="n">
        <x:f>IF(I283=0,0,J283*'Assumptions'!$W$49+H283*'Assumptions'!$X$49)</x:f>
        <x:v>336.26250000000005</x:v>
      </x:c>
      <x:c r="T283" s="10" t="n">
        <x:f>N283*'Assumptions'!$AA$49</x:f>
        <x:v>447.32520000000005</x:v>
      </x:c>
      <x:c r="U283" s="10" t="n">
        <x:f>'Assumptions'!$AE$49*'Assumptions'!$D$11*(1+'Assumptions'!$D$13)^(3-1)</x:f>
        <x:v>0</x:v>
      </x:c>
      <x:c r="V283" s="10" t="n">
        <x:f>0</x:f>
        <x:v>0</x:v>
      </x:c>
      <x:c r="W283" s="10" t="n">
        <x:f>H283*('Assumptions'!$P$49+'Assumptions'!$Y$49)</x:f>
        <x:v>40.03125000000001</x:v>
      </x:c>
      <x:c r="X283" s="10" t="n">
        <x:f>N283/12*'Assumptions'!$AF$49</x:f>
        <x:v>931.9275000000001</x:v>
      </x:c>
      <x:c r="Y283" s="10" t="n">
        <x:f>P283/12</x:f>
        <x:v>5.662553750000001</x:v>
      </x:c>
      <x:c r="Z283" s="10" t="n">
        <x:f>0</x:f>
        <x:v>0</x:v>
      </x:c>
      <x:c r="AA283" s="10" t="n">
        <x:f>Z283*'Assumptions'!$AC$49*'Assumptions'!$D$11*(1+'Assumptions'!$D$13)^(3-1)</x:f>
        <x:v>0</x:v>
      </x:c>
      <x:c r="AB283" s="10" t="n">
        <x:f>F283/1</x:f>
        <x:v>3.630000000000001</x:v>
      </x:c>
      <x:c r="AC283" s="10" t="n">
        <x:f>AB283/'Assumptions'!$AM$49</x:f>
        <x:v>18.150000000000002</x:v>
      </x:c>
      <x:c r="AD283" s="10" t="n">
        <x:f>IF(AB283=0,0,T283/AB283)</x:f>
        <x:v>123.23008264462808</x:v>
      </x:c>
      <x:c r="AE283" s="10" t="n">
        <x:f>AA283*'Assumptions'!$D$21</x:f>
        <x:v>0</x:v>
      </x:c>
    </x:row>
    <x:row r="284" ht="16" customHeight="1">
      <x:c r="A284" s="1"/>
      <x:c r="B284" s="1"/>
      <x:c r="C284" s="1" t="str">
        <x:v>DOT-021</x:v>
      </x:c>
      <x:c r="D284" s="10" t="str">
        <x:v>BPA professional services</x:v>
      </x:c>
      <x:c r="E284" s="10" t="n">
        <x:v>3</x:v>
      </x:c>
      <x:c r="F284" s="21" t="n">
        <x:f>F156*(1+'Assumptions'!$L$50)</x:f>
        <x:v>2.4200000000000004</x:v>
      </x:c>
      <x:c r="G284" s="21" t="n">
        <x:f>H156*'Assumptions'!$K$50</x:f>
        <x:v>1.85</x:v>
      </x:c>
      <x:c r="H284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284+G284,NA())</x:f>
        <x:v>4.2700000000000005</x:v>
      </x:c>
      <x:c r="I284" s="22" t="n">
        <x:f>'Assumptions'!$H$50*IF('Assumptions'!$O$50=1,1,'Assumptions'!$D$10)*(1+'Assumptions'!$N$50)^(3-1)</x:f>
        <x:v>4200</x:v>
      </x:c>
      <x:c r="J284" s="10" t="n">
        <x:f>H284*I284</x:f>
        <x:v>17934.000000000004</x:v>
      </x:c>
      <x:c r="K284" s="10" t="n">
        <x:f>J284*'Assumptions'!$T$50</x:f>
        <x:v>17934.000000000004</x:v>
      </x:c>
      <x:c r="L284" s="10" t="n">
        <x:f>K284*'Assumptions'!$U$50</x:f>
        <x:v>538.0200000000001</x:v>
      </x:c>
      <x:c r="M284" s="10" t="n">
        <x:f>K284*'Assumptions'!$V$50</x:f>
        <x:v>0</x:v>
      </x:c>
      <x:c r="N284" s="10" t="n">
        <x:f>K284-L284-M284</x:f>
        <x:v>17395.980000000003</x:v>
      </x:c>
      <x:c r="O284" s="10" t="n">
        <x:f>H284*'Assumptions'!$P$50*'Assumptions'!$Q$50*'Assumptions'!$D$11*(1+'Assumptions'!$D$13)^(3-1)</x:f>
        <x:v>3261.6309600000004</x:v>
      </x:c>
      <x:c r="P284" s="10" t="n">
        <x:f>H284*'Assumptions'!$R$50*'Assumptions'!$D$11*(1+'Assumptions'!$D$13)^(3-1)</x:f>
        <x:v>45.30043</x:v>
      </x:c>
      <x:c r="Q284" s="10" t="n">
        <x:f>J284*'Assumptions'!$S$50</x:f>
        <x:v>0</x:v>
      </x:c>
      <x:c r="R284" s="10" t="n">
        <x:f>H284*'Assumptions'!$Y$50*'Assumptions'!$Z$50*'Assumptions'!$D$11*(1+'Assumptions'!$D$13)^(3-1)</x:f>
        <x:v>33.975322500000004</x:v>
      </x:c>
      <x:c r="S284" s="10" t="n">
        <x:f>IF(I284=0,0,J284*'Assumptions'!$W$50+H284*'Assumptions'!$X$50)</x:f>
        <x:v>521.3670000000001</x:v>
      </x:c>
      <x:c r="T284" s="10" t="n">
        <x:f>N284*'Assumptions'!$AA$50</x:f>
        <x:v>695.8392000000001</x:v>
      </x:c>
      <x:c r="U284" s="10" t="n">
        <x:f>'Assumptions'!$AE$50*'Assumptions'!$D$11*(1+'Assumptions'!$D$13)^(3-1)</x:f>
        <x:v>0</x:v>
      </x:c>
      <x:c r="V284" s="10" t="n">
        <x:f>0</x:f>
        <x:v>0</x:v>
      </x:c>
      <x:c r="W284" s="10" t="n">
        <x:f>H284*('Assumptions'!$P$50+'Assumptions'!$Y$50)</x:f>
        <x:v>52.307500000000005</x:v>
      </x:c>
      <x:c r="X284" s="10" t="n">
        <x:f>N284/12*'Assumptions'!$AF$50</x:f>
        <x:v>1449.6650000000002</x:v>
      </x:c>
      <x:c r="Y284" s="10" t="n">
        <x:f>P284/12</x:f>
        <x:v>3.7750358333333334</x:v>
      </x:c>
      <x:c r="Z284" s="10" t="n">
        <x:f>0</x:f>
        <x:v>0</x:v>
      </x:c>
      <x:c r="AA284" s="10" t="n">
        <x:f>Z284*'Assumptions'!$AC$50*'Assumptions'!$D$11*(1+'Assumptions'!$D$13)^(3-1)</x:f>
        <x:v>0</x:v>
      </x:c>
      <x:c r="AB284" s="10" t="n">
        <x:f>F284/1</x:f>
        <x:v>2.4200000000000004</x:v>
      </x:c>
      <x:c r="AC284" s="10" t="n">
        <x:f>AB284/'Assumptions'!$AM$50</x:f>
        <x:v>12.100000000000001</x:v>
      </x:c>
      <x:c r="AD284" s="10" t="n">
        <x:f>IF(AB284=0,0,T284/AB284)</x:f>
        <x:v>287.5368595041322</x:v>
      </x:c>
      <x:c r="AE284" s="10" t="n">
        <x:f>AA284*'Assumptions'!$D$21</x:f>
        <x:v>0</x:v>
      </x:c>
    </x:row>
    <x:row r="285" ht="16" customHeight="1">
      <x:c r="A285" s="1"/>
      <x:c r="B285" s="1"/>
      <x:c r="C285" s="1" t="str">
        <x:v>DOT-022</x:v>
      </x:c>
      <x:c r="D285" s="10" t="str">
        <x:v>BPA professional services</x:v>
      </x:c>
      <x:c r="E285" s="10" t="n">
        <x:v>3</x:v>
      </x:c>
      <x:c r="F285" s="21" t="n">
        <x:f>F157*(1+'Assumptions'!$L$51)</x:f>
        <x:v>9.680000000000001</x:v>
      </x:c>
      <x:c r="G285" s="21" t="n">
        <x:f>H157*'Assumptions'!$K$51</x:f>
        <x:v>7.4</x:v>
      </x:c>
      <x:c r="H285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285+G285,NA())</x:f>
        <x:v>17.080000000000002</x:v>
      </x:c>
      <x:c r="I285" s="22" t="n">
        <x:f>'Assumptions'!$H$51*IF('Assumptions'!$O$51=1,1,'Assumptions'!$D$10)*(1+'Assumptions'!$N$51)^(3-1)</x:f>
        <x:v>900</x:v>
      </x:c>
      <x:c r="J285" s="10" t="n">
        <x:f>H285*I285</x:f>
        <x:v>15372.000000000002</x:v>
      </x:c>
      <x:c r="K285" s="10" t="n">
        <x:f>J285*'Assumptions'!$T$51</x:f>
        <x:v>15372.000000000002</x:v>
      </x:c>
      <x:c r="L285" s="10" t="n">
        <x:f>K285*'Assumptions'!$U$51</x:f>
        <x:v>461.16</x:v>
      </x:c>
      <x:c r="M285" s="10" t="n">
        <x:f>K285*'Assumptions'!$V$51</x:f>
        <x:v>0</x:v>
      </x:c>
      <x:c r="N285" s="10" t="n">
        <x:f>K285-L285-M285</x:f>
        <x:v>14910.840000000002</x:v>
      </x:c>
      <x:c r="O285" s="10" t="n">
        <x:f>H285*'Assumptions'!$P$51*'Assumptions'!$Q$51*'Assumptions'!$D$11*(1+'Assumptions'!$D$13)^(3-1)</x:f>
        <x:v>3261.6309600000004</x:v>
      </x:c>
      <x:c r="P285" s="10" t="n">
        <x:f>H285*'Assumptions'!$R$51*'Assumptions'!$D$11*(1+'Assumptions'!$D$13)^(3-1)</x:f>
        <x:v>181.20172</x:v>
      </x:c>
      <x:c r="Q285" s="10" t="n">
        <x:f>J285*'Assumptions'!$S$51</x:f>
        <x:v>0</x:v>
      </x:c>
      <x:c r="R285" s="10" t="n">
        <x:f>H285*'Assumptions'!$Y$51*'Assumptions'!$Z$51*'Assumptions'!$D$11*(1+'Assumptions'!$D$13)^(3-1)</x:f>
        <x:v>135.90129000000002</x:v>
      </x:c>
      <x:c r="S285" s="10" t="n">
        <x:f>IF(I285=0,0,J285*'Assumptions'!$W$51+H285*'Assumptions'!$X$51)</x:f>
        <x:v>450.9120000000001</x:v>
      </x:c>
      <x:c r="T285" s="10" t="n">
        <x:f>N285*'Assumptions'!$AA$51</x:f>
        <x:v>596.4336000000001</x:v>
      </x:c>
      <x:c r="U285" s="10" t="n">
        <x:f>'Assumptions'!$AE$51*'Assumptions'!$D$11*(1+'Assumptions'!$D$13)^(3-1)</x:f>
        <x:v>0</x:v>
      </x:c>
      <x:c r="V285" s="10" t="n">
        <x:f>0</x:f>
        <x:v>0</x:v>
      </x:c>
      <x:c r="W285" s="10" t="n">
        <x:f>H285*('Assumptions'!$P$51+'Assumptions'!$Y$51)</x:f>
        <x:v>55.510000000000005</x:v>
      </x:c>
      <x:c r="X285" s="10" t="n">
        <x:f>N285/12*'Assumptions'!$AF$51</x:f>
        <x:v>1242.5700000000002</x:v>
      </x:c>
      <x:c r="Y285" s="10" t="n">
        <x:f>P285/12</x:f>
        <x:v>15.100143333333333</x:v>
      </x:c>
      <x:c r="Z285" s="10" t="n">
        <x:f>0</x:f>
        <x:v>0</x:v>
      </x:c>
      <x:c r="AA285" s="10" t="n">
        <x:f>Z285*'Assumptions'!$AC$51*'Assumptions'!$D$11*(1+'Assumptions'!$D$13)^(3-1)</x:f>
        <x:v>0</x:v>
      </x:c>
      <x:c r="AB285" s="10" t="n">
        <x:f>F285/1</x:f>
        <x:v>9.680000000000001</x:v>
      </x:c>
      <x:c r="AC285" s="10" t="n">
        <x:f>AB285/'Assumptions'!$AM$51</x:f>
        <x:v>48.400000000000006</x:v>
      </x:c>
      <x:c r="AD285" s="10" t="n">
        <x:f>IF(AB285=0,0,T285/AB285)</x:f>
        <x:v>61.61504132231405</x:v>
      </x:c>
      <x:c r="AE285" s="10" t="n">
        <x:f>AA285*'Assumptions'!$D$21</x:f>
        <x:v>0</x:v>
      </x:c>
    </x:row>
    <x:row r="286" ht="16" customHeight="1">
      <x:c r="A286" s="1"/>
      <x:c r="B286" s="1"/>
      <x:c r="C286" s="1" t="str">
        <x:v>DOT-023</x:v>
      </x:c>
      <x:c r="D286" s="10" t="str">
        <x:v>BPA professional services</x:v>
      </x:c>
      <x:c r="E286" s="10" t="n">
        <x:v>3</x:v>
      </x:c>
      <x:c r="F286" s="21" t="n">
        <x:f>F158*(1+'Assumptions'!$L$52)</x:f>
        <x:v>6.050000000000001</x:v>
      </x:c>
      <x:c r="G286" s="21" t="n">
        <x:f>H158*'Assumptions'!$K$52</x:f>
        <x:v>4.625</x:v>
      </x:c>
      <x:c r="H286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286+G286,NA())</x:f>
        <x:v>10.675</x:v>
      </x:c>
      <x:c r="I286" s="22" t="n">
        <x:f>'Assumptions'!$H$52*IF('Assumptions'!$O$52=1,1,'Assumptions'!$D$10)*(1+'Assumptions'!$N$52)^(3-1)</x:f>
        <x:v>1800</x:v>
      </x:c>
      <x:c r="J286" s="10" t="n">
        <x:f>H286*I286</x:f>
        <x:v>19215</x:v>
      </x:c>
      <x:c r="K286" s="10" t="n">
        <x:f>J286*'Assumptions'!$T$52</x:f>
        <x:v>19215</x:v>
      </x:c>
      <x:c r="L286" s="10" t="n">
        <x:f>K286*'Assumptions'!$U$52</x:f>
        <x:v>576.4499999999999</x:v>
      </x:c>
      <x:c r="M286" s="10" t="n">
        <x:f>K286*'Assumptions'!$V$52</x:f>
        <x:v>0</x:v>
      </x:c>
      <x:c r="N286" s="10" t="n">
        <x:f>K286-L286-M286</x:f>
        <x:v>18638.55</x:v>
      </x:c>
      <x:c r="O286" s="10" t="n">
        <x:f>H286*'Assumptions'!$P$52*'Assumptions'!$Q$52*'Assumptions'!$D$11*(1+'Assumptions'!$D$13)^(3-1)</x:f>
        <x:v>4077.038700000001</x:v>
      </x:c>
      <x:c r="P286" s="10" t="n">
        <x:f>H286*'Assumptions'!$R$52*'Assumptions'!$D$11*(1+'Assumptions'!$D$13)^(3-1)</x:f>
        <x:v>113.251075</x:v>
      </x:c>
      <x:c r="Q286" s="10" t="n">
        <x:f>J286*'Assumptions'!$S$52</x:f>
        <x:v>0</x:v>
      </x:c>
      <x:c r="R286" s="10" t="n">
        <x:f>H286*'Assumptions'!$Y$52*'Assumptions'!$Z$52*'Assumptions'!$D$11*(1+'Assumptions'!$D$13)^(3-1)</x:f>
        <x:v>84.93830625</x:v>
      </x:c>
      <x:c r="S286" s="10" t="n">
        <x:f>IF(I286=0,0,J286*'Assumptions'!$W$52+H286*'Assumptions'!$X$52)</x:f>
        <x:v>560.4375</x:v>
      </x:c>
      <x:c r="T286" s="10" t="n">
        <x:f>N286*'Assumptions'!$AA$52</x:f>
        <x:v>745.542</x:v>
      </x:c>
      <x:c r="U286" s="10" t="n">
        <x:f>'Assumptions'!$AE$52*'Assumptions'!$D$11*(1+'Assumptions'!$D$13)^(3-1)</x:f>
        <x:v>0</x:v>
      </x:c>
      <x:c r="V286" s="10" t="n">
        <x:f>0</x:f>
        <x:v>0</x:v>
      </x:c>
      <x:c r="W286" s="10" t="n">
        <x:f>H286*('Assumptions'!$P$52+'Assumptions'!$Y$52)</x:f>
        <x:v>66.71875</x:v>
      </x:c>
      <x:c r="X286" s="10" t="n">
        <x:f>N286/12*'Assumptions'!$AF$52</x:f>
        <x:v>1553.2124999999999</x:v>
      </x:c>
      <x:c r="Y286" s="10" t="n">
        <x:f>P286/12</x:f>
        <x:v>9.437589583333333</x:v>
      </x:c>
      <x:c r="Z286" s="10" t="n">
        <x:f>0</x:f>
        <x:v>0</x:v>
      </x:c>
      <x:c r="AA286" s="10" t="n">
        <x:f>Z286*'Assumptions'!$AC$52*'Assumptions'!$D$11*(1+'Assumptions'!$D$13)^(3-1)</x:f>
        <x:v>0</x:v>
      </x:c>
      <x:c r="AB286" s="10" t="n">
        <x:f>F286/1</x:f>
        <x:v>6.050000000000001</x:v>
      </x:c>
      <x:c r="AC286" s="10" t="n">
        <x:f>AB286/'Assumptions'!$AM$52</x:f>
        <x:v>30.250000000000004</x:v>
      </x:c>
      <x:c r="AD286" s="10" t="n">
        <x:f>IF(AB286=0,0,T286/AB286)</x:f>
        <x:v>123.23008264462808</x:v>
      </x:c>
      <x:c r="AE286" s="10" t="n">
        <x:f>AA286*'Assumptions'!$D$21</x:f>
        <x:v>0</x:v>
      </x:c>
    </x:row>
    <x:row r="287" ht="16" customHeight="1">
      <x:c r="A287" s="1"/>
      <x:c r="B287" s="1"/>
      <x:c r="C287" s="1" t="str">
        <x:v>DOT-024</x:v>
      </x:c>
      <x:c r="D287" s="10" t="str">
        <x:v>BPA professional services</x:v>
      </x:c>
      <x:c r="E287" s="10" t="n">
        <x:v>3</x:v>
      </x:c>
      <x:c r="F287" s="21" t="n">
        <x:f>F159*(1+'Assumptions'!$L$53)</x:f>
        <x:v>30.250000000000007</x:v>
      </x:c>
      <x:c r="G287" s="21" t="n">
        <x:f>H159*'Assumptions'!$K$53</x:f>
        <x:v>20</x:v>
      </x:c>
      <x:c r="H287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287+G287,NA())</x:f>
        <x:v>50.25000000000001</x:v>
      </x:c>
      <x:c r="I287" s="22" t="n">
        <x:f>'Assumptions'!$H$53*IF('Assumptions'!$O$53=1,1,'Assumptions'!$D$10)*(1+'Assumptions'!$N$53)^(3-1)</x:f>
        <x:v>540</x:v>
      </x:c>
      <x:c r="J287" s="10" t="n">
        <x:f>H287*I287</x:f>
        <x:v>27135.000000000004</x:v>
      </x:c>
      <x:c r="K287" s="10" t="n">
        <x:f>J287*'Assumptions'!$T$53</x:f>
        <x:v>27135.000000000004</x:v>
      </x:c>
      <x:c r="L287" s="10" t="n">
        <x:f>K287*'Assumptions'!$U$53</x:f>
        <x:v>814.0500000000001</x:v>
      </x:c>
      <x:c r="M287" s="10" t="n">
        <x:f>K287*'Assumptions'!$V$53</x:f>
        <x:v>0</x:v>
      </x:c>
      <x:c r="N287" s="10" t="n">
        <x:f>K287-L287-M287</x:f>
        <x:v>26320.950000000004</x:v>
      </x:c>
      <x:c r="O287" s="10" t="n">
        <x:f>H287*'Assumptions'!$P$53*'Assumptions'!$Q$53*'Assumptions'!$D$11*(1+'Assumptions'!$D$13)^(3-1)</x:f>
        <x:v>6397.227000000001</x:v>
      </x:c>
      <x:c r="P287" s="10" t="n">
        <x:f>H287*'Assumptions'!$R$53*'Assumptions'!$D$11*(1+'Assumptions'!$D$13)^(3-1)</x:f>
        <x:v>533.10225</x:v>
      </x:c>
      <x:c r="Q287" s="10" t="n">
        <x:f>J287*'Assumptions'!$S$53</x:f>
        <x:v>0</x:v>
      </x:c>
      <x:c r="R287" s="10" t="n">
        <x:f>H287*'Assumptions'!$Y$53*'Assumptions'!$Z$53*'Assumptions'!$D$11*(1+'Assumptions'!$D$13)^(3-1)</x:f>
        <x:v>399.82668750000005</x:v>
      </x:c>
      <x:c r="S287" s="10" t="n">
        <x:f>IF(I287=0,0,J287*'Assumptions'!$W$53+H287*'Assumptions'!$X$53)</x:f>
        <x:v>801.9900000000002</x:v>
      </x:c>
      <x:c r="T287" s="10" t="n">
        <x:f>N287*'Assumptions'!$AA$53</x:f>
        <x:v>1052.8380000000002</x:v>
      </x:c>
      <x:c r="U287" s="10" t="n">
        <x:f>'Assumptions'!$AE$53*'Assumptions'!$D$11*(1+'Assumptions'!$D$13)^(3-1)</x:f>
        <x:v>0</x:v>
      </x:c>
      <x:c r="V287" s="10" t="n">
        <x:f>0</x:f>
        <x:v>0</x:v>
      </x:c>
      <x:c r="W287" s="10" t="n">
        <x:f>H287*('Assumptions'!$P$53+'Assumptions'!$Y$53)</x:f>
        <x:v>113.06250000000001</x:v>
      </x:c>
      <x:c r="X287" s="10" t="n">
        <x:f>N287/12*'Assumptions'!$AF$53</x:f>
        <x:v>2193.4125000000004</x:v>
      </x:c>
      <x:c r="Y287" s="10" t="n">
        <x:f>P287/12</x:f>
        <x:v>44.4251875</x:v>
      </x:c>
      <x:c r="Z287" s="10" t="n">
        <x:f>0</x:f>
        <x:v>0</x:v>
      </x:c>
      <x:c r="AA287" s="10" t="n">
        <x:f>Z287*'Assumptions'!$AC$53*'Assumptions'!$D$11*(1+'Assumptions'!$D$13)^(3-1)</x:f>
        <x:v>0</x:v>
      </x:c>
      <x:c r="AB287" s="10" t="n">
        <x:f>F287/1</x:f>
        <x:v>30.250000000000007</x:v>
      </x:c>
      <x:c r="AC287" s="10" t="n">
        <x:f>AB287/'Assumptions'!$AM$53</x:f>
        <x:v>151.25000000000003</x:v>
      </x:c>
      <x:c r="AD287" s="10" t="n">
        <x:f>IF(AB287=0,0,T287/AB287)</x:f>
        <x:v>34.804561983471075</x:v>
      </x:c>
      <x:c r="AE287" s="10" t="n">
        <x:f>AA287*'Assumptions'!$D$21</x:f>
        <x:v>0</x:v>
      </x:c>
    </x:row>
    <x:row r="288" ht="16" customHeight="1">
      <x:c r="A288" s="1"/>
      <x:c r="B288" s="1"/>
      <x:c r="C288" s="1" t="str">
        <x:v>DOT-025</x:v>
      </x:c>
      <x:c r="D288" s="10" t="str">
        <x:v>BPA professional services</x:v>
      </x:c>
      <x:c r="E288" s="10" t="n">
        <x:v>3</x:v>
      </x:c>
      <x:c r="F288" s="21" t="n">
        <x:f>F160*(1+'Assumptions'!$L$54)</x:f>
        <x:v>12.100000000000001</x:v>
      </x:c>
      <x:c r="G288" s="21" t="n">
        <x:f>H160*'Assumptions'!$K$54</x:f>
        <x:v>8</x:v>
      </x:c>
      <x:c r="H288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288+G288,NA())</x:f>
        <x:v>20.1</x:v>
      </x:c>
      <x:c r="I288" s="22" t="n">
        <x:f>'Assumptions'!$H$54*IF('Assumptions'!$O$54=1,1,'Assumptions'!$D$10)*(1+'Assumptions'!$N$54)^(3-1)</x:f>
        <x:v>1020</x:v>
      </x:c>
      <x:c r="J288" s="10" t="n">
        <x:f>H288*I288</x:f>
        <x:v>20502</x:v>
      </x:c>
      <x:c r="K288" s="10" t="n">
        <x:f>J288*'Assumptions'!$T$54</x:f>
        <x:v>20502</x:v>
      </x:c>
      <x:c r="L288" s="10" t="n">
        <x:f>K288*'Assumptions'!$U$54</x:f>
        <x:v>615.06</x:v>
      </x:c>
      <x:c r="M288" s="10" t="n">
        <x:f>K288*'Assumptions'!$V$54</x:f>
        <x:v>0</x:v>
      </x:c>
      <x:c r="N288" s="10" t="n">
        <x:f>K288-L288-M288</x:f>
        <x:v>19886.94</x:v>
      </x:c>
      <x:c r="O288" s="10" t="n">
        <x:f>H288*'Assumptions'!$P$54*'Assumptions'!$Q$54*'Assumptions'!$D$11*(1+'Assumptions'!$D$13)^(3-1)</x:f>
        <x:v>6397.227</x:v>
      </x:c>
      <x:c r="P288" s="10" t="n">
        <x:f>H288*'Assumptions'!$R$54*'Assumptions'!$D$11*(1+'Assumptions'!$D$13)^(3-1)</x:f>
        <x:v>213.24089999999998</x:v>
      </x:c>
      <x:c r="Q288" s="10" t="n">
        <x:f>J288*'Assumptions'!$S$54</x:f>
        <x:v>0</x:v>
      </x:c>
      <x:c r="R288" s="10" t="n">
        <x:f>H288*'Assumptions'!$Y$54*'Assumptions'!$Z$54*'Assumptions'!$D$11*(1+'Assumptions'!$D$13)^(3-1)</x:f>
        <x:v>159.93067499999998</x:v>
      </x:c>
      <x:c r="S288" s="10" t="n">
        <x:f>IF(I288=0,0,J288*'Assumptions'!$W$54+H288*'Assumptions'!$X$54)</x:f>
        <x:v>600.588</x:v>
      </x:c>
      <x:c r="T288" s="10" t="n">
        <x:f>N288*'Assumptions'!$AA$54</x:f>
        <x:v>795.4775999999999</x:v>
      </x:c>
      <x:c r="U288" s="10" t="n">
        <x:f>'Assumptions'!$AE$54*'Assumptions'!$D$11*(1+'Assumptions'!$D$13)^(3-1)</x:f>
        <x:v>0</x:v>
      </x:c>
      <x:c r="V288" s="10" t="n">
        <x:f>0</x:f>
        <x:v>0</x:v>
      </x:c>
      <x:c r="W288" s="10" t="n">
        <x:f>H288*('Assumptions'!$P$54+'Assumptions'!$Y$54)</x:f>
        <x:v>105.525</x:v>
      </x:c>
      <x:c r="X288" s="10" t="n">
        <x:f>N288/12*'Assumptions'!$AF$54</x:f>
        <x:v>1657.245</x:v>
      </x:c>
      <x:c r="Y288" s="10" t="n">
        <x:f>P288/12</x:f>
        <x:v>17.770075</x:v>
      </x:c>
      <x:c r="Z288" s="10" t="n">
        <x:f>0</x:f>
        <x:v>0</x:v>
      </x:c>
      <x:c r="AA288" s="10" t="n">
        <x:f>Z288*'Assumptions'!$AC$54*'Assumptions'!$D$11*(1+'Assumptions'!$D$13)^(3-1)</x:f>
        <x:v>0</x:v>
      </x:c>
      <x:c r="AB288" s="10" t="n">
        <x:f>F288/1</x:f>
        <x:v>12.100000000000001</x:v>
      </x:c>
      <x:c r="AC288" s="10" t="n">
        <x:f>AB288/'Assumptions'!$AM$54</x:f>
        <x:v>60.50000000000001</x:v>
      </x:c>
      <x:c r="AD288" s="10" t="n">
        <x:f>IF(AB288=0,0,T288/AB288)</x:f>
        <x:v>65.74195041322312</x:v>
      </x:c>
      <x:c r="AE288" s="10" t="n">
        <x:f>AA288*'Assumptions'!$D$21</x:f>
        <x:v>0</x:v>
      </x:c>
    </x:row>
    <x:row r="289" ht="16" customHeight="1">
      <x:c r="A289" s="1"/>
      <x:c r="B289" s="1"/>
      <x:c r="C289" s="1" t="str">
        <x:v>DOT-026</x:v>
      </x:c>
      <x:c r="D289" s="10" t="str">
        <x:v>BPA professional services</x:v>
      </x:c>
      <x:c r="E289" s="10" t="n">
        <x:v>3</x:v>
      </x:c>
      <x:c r="F289" s="21" t="n">
        <x:f>F161*(1+'Assumptions'!$L$55)</x:f>
        <x:v>4.840000000000001</x:v>
      </x:c>
      <x:c r="G289" s="21" t="n">
        <x:f>H161*'Assumptions'!$K$55</x:f>
        <x:v>3.2</x:v>
      </x:c>
      <x:c r="H289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289+G289,NA())</x:f>
        <x:v>8.040000000000001</x:v>
      </x:c>
      <x:c r="I289" s="22" t="n">
        <x:f>'Assumptions'!$H$55*IF('Assumptions'!$O$55=1,1,'Assumptions'!$D$10)*(1+'Assumptions'!$N$55)^(3-1)</x:f>
        <x:v>1800</x:v>
      </x:c>
      <x:c r="J289" s="10" t="n">
        <x:f>H289*I289</x:f>
        <x:v>14472.000000000002</x:v>
      </x:c>
      <x:c r="K289" s="10" t="n">
        <x:f>J289*'Assumptions'!$T$55</x:f>
        <x:v>14472.000000000002</x:v>
      </x:c>
      <x:c r="L289" s="10" t="n">
        <x:f>K289*'Assumptions'!$U$55</x:f>
        <x:v>434.16</x:v>
      </x:c>
      <x:c r="M289" s="10" t="n">
        <x:f>K289*'Assumptions'!$V$55</x:f>
        <x:v>0</x:v>
      </x:c>
      <x:c r="N289" s="10" t="n">
        <x:f>K289-L289-M289</x:f>
        <x:v>14037.840000000002</x:v>
      </x:c>
      <x:c r="O289" s="10" t="n">
        <x:f>H289*'Assumptions'!$P$55*'Assumptions'!$Q$55*'Assumptions'!$D$11*(1+'Assumptions'!$D$13)^(3-1)</x:f>
        <x:v>5117.781599999999</x:v>
      </x:c>
      <x:c r="P289" s="10" t="n">
        <x:f>H289*'Assumptions'!$R$55*'Assumptions'!$D$11*(1+'Assumptions'!$D$13)^(3-1)</x:f>
        <x:v>85.29636</x:v>
      </x:c>
      <x:c r="Q289" s="10" t="n">
        <x:f>J289*'Assumptions'!$S$55</x:f>
        <x:v>0</x:v>
      </x:c>
      <x:c r="R289" s="10" t="n">
        <x:f>H289*'Assumptions'!$Y$55*'Assumptions'!$Z$55*'Assumptions'!$D$11*(1+'Assumptions'!$D$13)^(3-1)</x:f>
        <x:v>63.97227</x:v>
      </x:c>
      <x:c r="S289" s="10" t="n">
        <x:f>IF(I289=0,0,J289*'Assumptions'!$W$55+H289*'Assumptions'!$X$55)</x:f>
        <x:v>422.1000000000001</x:v>
      </x:c>
      <x:c r="T289" s="10" t="n">
        <x:f>N289*'Assumptions'!$AA$55</x:f>
        <x:v>561.5136000000001</x:v>
      </x:c>
      <x:c r="U289" s="10" t="n">
        <x:f>'Assumptions'!$AE$55*'Assumptions'!$D$11*(1+'Assumptions'!$D$13)^(3-1)</x:f>
        <x:v>0</x:v>
      </x:c>
      <x:c r="V289" s="10" t="n">
        <x:f>0</x:f>
        <x:v>0</x:v>
      </x:c>
      <x:c r="W289" s="10" t="n">
        <x:f>H289*('Assumptions'!$P$55+'Assumptions'!$Y$55)</x:f>
        <x:v>82.41000000000001</x:v>
      </x:c>
      <x:c r="X289" s="10" t="n">
        <x:f>N289/12*'Assumptions'!$AF$55</x:f>
        <x:v>1169.8200000000002</x:v>
      </x:c>
      <x:c r="Y289" s="10" t="n">
        <x:f>P289/12</x:f>
        <x:v>7.10803</x:v>
      </x:c>
      <x:c r="Z289" s="10" t="n">
        <x:f>0</x:f>
        <x:v>0</x:v>
      </x:c>
      <x:c r="AA289" s="10" t="n">
        <x:f>Z289*'Assumptions'!$AC$55*'Assumptions'!$D$11*(1+'Assumptions'!$D$13)^(3-1)</x:f>
        <x:v>0</x:v>
      </x:c>
      <x:c r="AB289" s="10" t="n">
        <x:f>F289/1</x:f>
        <x:v>4.840000000000001</x:v>
      </x:c>
      <x:c r="AC289" s="10" t="n">
        <x:f>AB289/'Assumptions'!$AM$55</x:f>
        <x:v>24.200000000000003</x:v>
      </x:c>
      <x:c r="AD289" s="10" t="n">
        <x:f>IF(AB289=0,0,T289/AB289)</x:f>
        <x:v>116.01520661157025</x:v>
      </x:c>
      <x:c r="AE289" s="10" t="n">
        <x:f>AA289*'Assumptions'!$D$21</x:f>
        <x:v>0</x:v>
      </x:c>
    </x:row>
    <x:row r="290" ht="16" customHeight="1">
      <x:c r="A290" s="1"/>
      <x:c r="B290" s="1"/>
      <x:c r="C290" s="1" t="str">
        <x:v>DOT-027</x:v>
      </x:c>
      <x:c r="D290" s="10" t="str">
        <x:v>BPA professional services</x:v>
      </x:c>
      <x:c r="E290" s="10" t="n">
        <x:v>3</x:v>
      </x:c>
      <x:c r="F290" s="21" t="n">
        <x:f>F162*(1+'Assumptions'!$L$56)</x:f>
        <x:v>4.840000000000001</x:v>
      </x:c>
      <x:c r="G290" s="21" t="n">
        <x:f>H162*'Assumptions'!$K$56</x:f>
        <x:v>3.2</x:v>
      </x:c>
      <x:c r="H290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290+G290,NA())</x:f>
        <x:v>8.040000000000001</x:v>
      </x:c>
      <x:c r="I290" s="22" t="n">
        <x:f>'Assumptions'!$H$56*IF('Assumptions'!$O$56=1,1,'Assumptions'!$D$10)*(1+'Assumptions'!$N$56)^(3-1)</x:f>
        <x:v>1800</x:v>
      </x:c>
      <x:c r="J290" s="10" t="n">
        <x:f>H290*I290</x:f>
        <x:v>14472.000000000002</x:v>
      </x:c>
      <x:c r="K290" s="10" t="n">
        <x:f>J290*'Assumptions'!$T$56</x:f>
        <x:v>14472.000000000002</x:v>
      </x:c>
      <x:c r="L290" s="10" t="n">
        <x:f>K290*'Assumptions'!$U$56</x:f>
        <x:v>434.16</x:v>
      </x:c>
      <x:c r="M290" s="10" t="n">
        <x:f>K290*'Assumptions'!$V$56</x:f>
        <x:v>0</x:v>
      </x:c>
      <x:c r="N290" s="10" t="n">
        <x:f>K290-L290-M290</x:f>
        <x:v>14037.840000000002</x:v>
      </x:c>
      <x:c r="O290" s="10" t="n">
        <x:f>H290*'Assumptions'!$P$56*'Assumptions'!$Q$56*'Assumptions'!$D$11*(1+'Assumptions'!$D$13)^(3-1)</x:f>
        <x:v>5117.781599999999</x:v>
      </x:c>
      <x:c r="P290" s="10" t="n">
        <x:f>H290*'Assumptions'!$R$56*'Assumptions'!$D$11*(1+'Assumptions'!$D$13)^(3-1)</x:f>
        <x:v>85.29636</x:v>
      </x:c>
      <x:c r="Q290" s="10" t="n">
        <x:f>J290*'Assumptions'!$S$56</x:f>
        <x:v>0</x:v>
      </x:c>
      <x:c r="R290" s="10" t="n">
        <x:f>H290*'Assumptions'!$Y$56*'Assumptions'!$Z$56*'Assumptions'!$D$11*(1+'Assumptions'!$D$13)^(3-1)</x:f>
        <x:v>63.97227</x:v>
      </x:c>
      <x:c r="S290" s="10" t="n">
        <x:f>IF(I290=0,0,J290*'Assumptions'!$W$56+H290*'Assumptions'!$X$56)</x:f>
        <x:v>422.1000000000001</x:v>
      </x:c>
      <x:c r="T290" s="10" t="n">
        <x:f>N290*'Assumptions'!$AA$56</x:f>
        <x:v>561.5136000000001</x:v>
      </x:c>
      <x:c r="U290" s="10" t="n">
        <x:f>'Assumptions'!$AE$56*'Assumptions'!$D$11*(1+'Assumptions'!$D$13)^(3-1)</x:f>
        <x:v>0</x:v>
      </x:c>
      <x:c r="V290" s="10" t="n">
        <x:f>0</x:f>
        <x:v>0</x:v>
      </x:c>
      <x:c r="W290" s="10" t="n">
        <x:f>H290*('Assumptions'!$P$56+'Assumptions'!$Y$56)</x:f>
        <x:v>82.41000000000001</x:v>
      </x:c>
      <x:c r="X290" s="10" t="n">
        <x:f>N290/12*'Assumptions'!$AF$56</x:f>
        <x:v>1169.8200000000002</x:v>
      </x:c>
      <x:c r="Y290" s="10" t="n">
        <x:f>P290/12</x:f>
        <x:v>7.10803</x:v>
      </x:c>
      <x:c r="Z290" s="10" t="n">
        <x:f>0</x:f>
        <x:v>0</x:v>
      </x:c>
      <x:c r="AA290" s="10" t="n">
        <x:f>Z290*'Assumptions'!$AC$56*'Assumptions'!$D$11*(1+'Assumptions'!$D$13)^(3-1)</x:f>
        <x:v>0</x:v>
      </x:c>
      <x:c r="AB290" s="10" t="n">
        <x:f>F290/1</x:f>
        <x:v>4.840000000000001</x:v>
      </x:c>
      <x:c r="AC290" s="10" t="n">
        <x:f>AB290/'Assumptions'!$AM$56</x:f>
        <x:v>24.200000000000003</x:v>
      </x:c>
      <x:c r="AD290" s="10" t="n">
        <x:f>IF(AB290=0,0,T290/AB290)</x:f>
        <x:v>116.01520661157025</x:v>
      </x:c>
      <x:c r="AE290" s="10" t="n">
        <x:f>AA290*'Assumptions'!$D$21</x:f>
        <x:v>0</x:v>
      </x:c>
    </x:row>
    <x:row r="291" ht="16" customHeight="1">
      <x:c r="A291" s="1"/>
      <x:c r="B291" s="1"/>
      <x:c r="C291" s="1" t="str">
        <x:v>DOT-028</x:v>
      </x:c>
      <x:c r="D291" s="10" t="str">
        <x:v>BPA professional services</x:v>
      </x:c>
      <x:c r="E291" s="10" t="n">
        <x:v>3</x:v>
      </x:c>
      <x:c r="F291" s="21" t="n">
        <x:f>F163*(1+'Assumptions'!$L$57)</x:f>
        <x:v>2.4200000000000004</x:v>
      </x:c>
      <x:c r="G291" s="21" t="n">
        <x:f>H163*'Assumptions'!$K$57</x:f>
        <x:v>1.6</x:v>
      </x:c>
      <x:c r="H291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291+G291,NA())</x:f>
        <x:v>4.0200000000000005</x:v>
      </x:c>
      <x:c r="I291" s="22" t="n">
        <x:f>'Assumptions'!$H$57*IF('Assumptions'!$O$57=1,1,'Assumptions'!$D$10)*(1+'Assumptions'!$N$57)^(3-1)</x:f>
        <x:v>1800</x:v>
      </x:c>
      <x:c r="J291" s="10" t="n">
        <x:f>H291*I291</x:f>
        <x:v>7236.000000000001</x:v>
      </x:c>
      <x:c r="K291" s="10" t="n">
        <x:f>J291*'Assumptions'!$T$57</x:f>
        <x:v>7236.000000000001</x:v>
      </x:c>
      <x:c r="L291" s="10" t="n">
        <x:f>K291*'Assumptions'!$U$57</x:f>
        <x:v>217.08</x:v>
      </x:c>
      <x:c r="M291" s="10" t="n">
        <x:f>K291*'Assumptions'!$V$57</x:f>
        <x:v>0</x:v>
      </x:c>
      <x:c r="N291" s="10" t="n">
        <x:f>K291-L291-M291</x:f>
        <x:v>7018.920000000001</x:v>
      </x:c>
      <x:c r="O291" s="10" t="n">
        <x:f>H291*'Assumptions'!$P$57*'Assumptions'!$Q$57*'Assumptions'!$D$11*(1+'Assumptions'!$D$13)^(3-1)</x:f>
        <x:v>3070.6689600000004</x:v>
      </x:c>
      <x:c r="P291" s="10" t="n">
        <x:f>H291*'Assumptions'!$R$57*'Assumptions'!$D$11*(1+'Assumptions'!$D$13)^(3-1)</x:f>
        <x:v>42.64818</x:v>
      </x:c>
      <x:c r="Q291" s="10" t="n">
        <x:f>J291*'Assumptions'!$S$57</x:f>
        <x:v>0</x:v>
      </x:c>
      <x:c r="R291" s="10" t="n">
        <x:f>H291*'Assumptions'!$Y$57*'Assumptions'!$Z$57*'Assumptions'!$D$11*(1+'Assumptions'!$D$13)^(3-1)</x:f>
        <x:v>31.986135</x:v>
      </x:c>
      <x:c r="S291" s="10" t="n">
        <x:f>IF(I291=0,0,J291*'Assumptions'!$W$57+H291*'Assumptions'!$X$57)</x:f>
        <x:v>211.05000000000004</x:v>
      </x:c>
      <x:c r="T291" s="10" t="n">
        <x:f>N291*'Assumptions'!$AA$57</x:f>
        <x:v>280.75680000000006</x:v>
      </x:c>
      <x:c r="U291" s="10" t="n">
        <x:f>'Assumptions'!$AE$57*'Assumptions'!$D$11*(1+'Assumptions'!$D$13)^(3-1)</x:f>
        <x:v>0</x:v>
      </x:c>
      <x:c r="V291" s="10" t="n">
        <x:f>0</x:f>
        <x:v>0</x:v>
      </x:c>
      <x:c r="W291" s="10" t="n">
        <x:f>H291*('Assumptions'!$P$57+'Assumptions'!$Y$57)</x:f>
        <x:v>49.245000000000005</x:v>
      </x:c>
      <x:c r="X291" s="10" t="n">
        <x:f>N291/12*'Assumptions'!$AF$57</x:f>
        <x:v>584.9100000000001</x:v>
      </x:c>
      <x:c r="Y291" s="10" t="n">
        <x:f>P291/12</x:f>
        <x:v>3.554015</x:v>
      </x:c>
      <x:c r="Z291" s="10" t="n">
        <x:f>0</x:f>
        <x:v>0</x:v>
      </x:c>
      <x:c r="AA291" s="10" t="n">
        <x:f>Z291*'Assumptions'!$AC$57*'Assumptions'!$D$11*(1+'Assumptions'!$D$13)^(3-1)</x:f>
        <x:v>0</x:v>
      </x:c>
      <x:c r="AB291" s="10" t="n">
        <x:f>F291/1</x:f>
        <x:v>2.4200000000000004</x:v>
      </x:c>
      <x:c r="AC291" s="10" t="n">
        <x:f>AB291/'Assumptions'!$AM$57</x:f>
        <x:v>12.100000000000001</x:v>
      </x:c>
      <x:c r="AD291" s="10" t="n">
        <x:f>IF(AB291=0,0,T291/AB291)</x:f>
        <x:v>116.01520661157025</x:v>
      </x:c>
      <x:c r="AE291" s="10" t="n">
        <x:f>AA291*'Assumptions'!$D$21</x:f>
        <x:v>0</x:v>
      </x:c>
    </x:row>
    <x:row r="292" ht="16" customHeight="1">
      <x:c r="A292" s="1"/>
      <x:c r="B292" s="1"/>
      <x:c r="C292" s="1" t="str">
        <x:v>DOT-029</x:v>
      </x:c>
      <x:c r="D292" s="10" t="str">
        <x:v>BPA professional services</x:v>
      </x:c>
      <x:c r="E292" s="10" t="n">
        <x:v>3</x:v>
      </x:c>
      <x:c r="F292" s="21" t="n">
        <x:f>F164*(1+'Assumptions'!$L$58)</x:f>
        <x:v>24.200000000000003</x:v>
      </x:c>
      <x:c r="G292" s="21" t="n">
        <x:f>H164*'Assumptions'!$K$58</x:f>
        <x:v>16</x:v>
      </x:c>
      <x:c r="H292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292+G292,NA())</x:f>
        <x:v>40.2</x:v>
      </x:c>
      <x:c r="I292" s="22" t="n">
        <x:f>'Assumptions'!$H$58*IF('Assumptions'!$O$58=1,1,'Assumptions'!$D$10)*(1+'Assumptions'!$N$58)^(3-1)</x:f>
        <x:v>180</x:v>
      </x:c>
      <x:c r="J292" s="10" t="n">
        <x:f>H292*I292</x:f>
        <x:v>7236.000000000001</x:v>
      </x:c>
      <x:c r="K292" s="10" t="n">
        <x:f>J292*'Assumptions'!$T$58</x:f>
        <x:v>7236.000000000001</x:v>
      </x:c>
      <x:c r="L292" s="10" t="n">
        <x:f>K292*'Assumptions'!$U$58</x:f>
        <x:v>217.08</x:v>
      </x:c>
      <x:c r="M292" s="10" t="n">
        <x:f>K292*'Assumptions'!$V$58</x:f>
        <x:v>0</x:v>
      </x:c>
      <x:c r="N292" s="10" t="n">
        <x:f>K292-L292-M292</x:f>
        <x:v>7018.920000000001</x:v>
      </x:c>
      <x:c r="O292" s="10" t="n">
        <x:f>H292*'Assumptions'!$P$58*'Assumptions'!$Q$58*'Assumptions'!$D$11*(1+'Assumptions'!$D$13)^(3-1)</x:f>
        <x:v>2558.8907999999997</x:v>
      </x:c>
      <x:c r="P292" s="10" t="n">
        <x:f>H292*'Assumptions'!$R$58*'Assumptions'!$D$11*(1+'Assumptions'!$D$13)^(3-1)</x:f>
        <x:v>426.48179999999996</x:v>
      </x:c>
      <x:c r="Q292" s="10" t="n">
        <x:f>J292*'Assumptions'!$S$58</x:f>
        <x:v>0</x:v>
      </x:c>
      <x:c r="R292" s="10" t="n">
        <x:f>H292*'Assumptions'!$Y$58*'Assumptions'!$Z$58*'Assumptions'!$D$11*(1+'Assumptions'!$D$13)^(3-1)</x:f>
        <x:v>319.86134999999996</x:v>
      </x:c>
      <x:c r="S292" s="10" t="n">
        <x:f>IF(I292=0,0,J292*'Assumptions'!$W$58+H292*'Assumptions'!$X$58)</x:f>
        <x:v>221.90400000000005</x:v>
      </x:c>
      <x:c r="T292" s="10" t="n">
        <x:f>N292*'Assumptions'!$AA$58</x:f>
        <x:v>280.75680000000006</x:v>
      </x:c>
      <x:c r="U292" s="10" t="n">
        <x:f>'Assumptions'!$AE$58*'Assumptions'!$D$11*(1+'Assumptions'!$D$13)^(3-1)</x:f>
        <x:v>0</x:v>
      </x:c>
      <x:c r="V292" s="10" t="n">
        <x:f>0</x:f>
        <x:v>0</x:v>
      </x:c>
      <x:c r="W292" s="10" t="n">
        <x:f>H292*('Assumptions'!$P$58+'Assumptions'!$Y$58)</x:f>
        <x:v>50.25</x:v>
      </x:c>
      <x:c r="X292" s="10" t="n">
        <x:f>N292/12*'Assumptions'!$AF$58</x:f>
        <x:v>584.9100000000001</x:v>
      </x:c>
      <x:c r="Y292" s="10" t="n">
        <x:f>P292/12</x:f>
        <x:v>35.54015</x:v>
      </x:c>
      <x:c r="Z292" s="10" t="n">
        <x:f>0</x:f>
        <x:v>0</x:v>
      </x:c>
      <x:c r="AA292" s="10" t="n">
        <x:f>Z292*'Assumptions'!$AC$58*'Assumptions'!$D$11*(1+'Assumptions'!$D$13)^(3-1)</x:f>
        <x:v>0</x:v>
      </x:c>
      <x:c r="AB292" s="10" t="n">
        <x:f>F292/1</x:f>
        <x:v>24.200000000000003</x:v>
      </x:c>
      <x:c r="AC292" s="10" t="n">
        <x:f>AB292/'Assumptions'!$AM$58</x:f>
        <x:v>121.00000000000001</x:v>
      </x:c>
      <x:c r="AD292" s="10" t="n">
        <x:f>IF(AB292=0,0,T292/AB292)</x:f>
        <x:v>11.601520661157025</x:v>
      </x:c>
      <x:c r="AE292" s="10" t="n">
        <x:f>AA292*'Assumptions'!$D$21</x:f>
        <x:v>0</x:v>
      </x:c>
    </x:row>
    <x:row r="293" ht="16" customHeight="1">
      <x:c r="A293" s="1"/>
      <x:c r="B293" s="1"/>
      <x:c r="C293" s="1" t="str">
        <x:v>DOT-030</x:v>
      </x:c>
      <x:c r="D293" s="10" t="str">
        <x:v>BPA professional services</x:v>
      </x:c>
      <x:c r="E293" s="10" t="n">
        <x:v>3</x:v>
      </x:c>
      <x:c r="F293" s="21" t="n">
        <x:f>F165*(1+'Assumptions'!$L$59)</x:f>
        <x:v>4.840000000000001</x:v>
      </x:c>
      <x:c r="G293" s="21" t="n">
        <x:f>H165*'Assumptions'!$K$59</x:f>
        <x:v>3.2</x:v>
      </x:c>
      <x:c r="H293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293+G293,NA())</x:f>
        <x:v>8.040000000000001</x:v>
      </x:c>
      <x:c r="I293" s="22" t="n">
        <x:f>'Assumptions'!$H$59*IF('Assumptions'!$O$59=1,1,'Assumptions'!$D$10)*(1+'Assumptions'!$N$59)^(3-1)</x:f>
        <x:v>520.2</x:v>
      </x:c>
      <x:c r="J293" s="10" t="n">
        <x:f>H293*I293</x:f>
        <x:v>4182.408000000001</x:v>
      </x:c>
      <x:c r="K293" s="10" t="n">
        <x:f>J293*'Assumptions'!$T$59</x:f>
        <x:v>4182.408000000001</x:v>
      </x:c>
      <x:c r="L293" s="10" t="n">
        <x:f>K293*'Assumptions'!$U$59</x:f>
        <x:v>125.47224000000003</x:v>
      </x:c>
      <x:c r="M293" s="10" t="n">
        <x:f>K293*'Assumptions'!$V$59</x:f>
        <x:v>0</x:v>
      </x:c>
      <x:c r="N293" s="10" t="n">
        <x:f>K293-L293-M293</x:f>
        <x:v>4056.935760000001</x:v>
      </x:c>
      <x:c r="O293" s="10" t="n">
        <x:f>H293*'Assumptions'!$P$59*'Assumptions'!$Q$59*'Assumptions'!$D$11*(1+'Assumptions'!$D$13)^(3-1)</x:f>
        <x:v>1535.3344800000002</x:v>
      </x:c>
      <x:c r="P293" s="10" t="n">
        <x:f>H293*'Assumptions'!$R$59*'Assumptions'!$D$11*(1+'Assumptions'!$D$13)^(3-1)</x:f>
        <x:v>85.29636</x:v>
      </x:c>
      <x:c r="Q293" s="10" t="n">
        <x:f>J293*'Assumptions'!$S$59</x:f>
        <x:v>0</x:v>
      </x:c>
      <x:c r="R293" s="10" t="n">
        <x:f>H293*'Assumptions'!$Y$59*'Assumptions'!$Z$59*'Assumptions'!$D$11*(1+'Assumptions'!$D$13)^(3-1)</x:f>
        <x:v>63.97227</x:v>
      </x:c>
      <x:c r="S293" s="10" t="n">
        <x:f>IF(I293=0,0,J293*'Assumptions'!$W$59+H293*'Assumptions'!$X$59)</x:f>
        <x:v>123.70183200000005</x:v>
      </x:c>
      <x:c r="T293" s="10" t="n">
        <x:f>N293*'Assumptions'!$AA$59</x:f>
        <x:v>162.27743040000004</x:v>
      </x:c>
      <x:c r="U293" s="10" t="n">
        <x:f>'Assumptions'!$AE$59*'Assumptions'!$D$11*(1+'Assumptions'!$D$13)^(3-1)</x:f>
        <x:v>0</x:v>
      </x:c>
      <x:c r="V293" s="10" t="n">
        <x:f>0</x:f>
        <x:v>0</x:v>
      </x:c>
      <x:c r="W293" s="10" t="n">
        <x:f>H293*('Assumptions'!$P$59+'Assumptions'!$Y$59)</x:f>
        <x:v>26.130000000000003</x:v>
      </x:c>
      <x:c r="X293" s="10" t="n">
        <x:f>N293/12*'Assumptions'!$AF$59</x:f>
        <x:v>338.0779800000001</x:v>
      </x:c>
      <x:c r="Y293" s="10" t="n">
        <x:f>P293/12</x:f>
        <x:v>7.10803</x:v>
      </x:c>
      <x:c r="Z293" s="10" t="n">
        <x:f>0</x:f>
        <x:v>0</x:v>
      </x:c>
      <x:c r="AA293" s="10" t="n">
        <x:f>Z293*'Assumptions'!$AC$59*'Assumptions'!$D$11*(1+'Assumptions'!$D$13)^(3-1)</x:f>
        <x:v>0</x:v>
      </x:c>
      <x:c r="AB293" s="10" t="n">
        <x:f>F293/1</x:f>
        <x:v>4.840000000000001</x:v>
      </x:c>
      <x:c r="AC293" s="10" t="n">
        <x:f>AB293/'Assumptions'!$AM$59</x:f>
        <x:v>24.200000000000003</x:v>
      </x:c>
      <x:c r="AD293" s="10" t="n">
        <x:f>IF(AB293=0,0,T293/AB293)</x:f>
        <x:v>33.528394710743804</x:v>
      </x:c>
      <x:c r="AE293" s="10" t="n">
        <x:f>AA293*'Assumptions'!$D$21</x:f>
        <x:v>0</x:v>
      </x:c>
    </x:row>
    <x:row r="294" ht="16" customHeight="1">
      <x:c r="A294" s="1"/>
      <x:c r="B294" s="1"/>
      <x:c r="C294" s="1" t="str">
        <x:v>DOT-031</x:v>
      </x:c>
      <x:c r="D294" s="10" t="str">
        <x:v>BPA professional services</x:v>
      </x:c>
      <x:c r="E294" s="10" t="n">
        <x:v>3</x:v>
      </x:c>
      <x:c r="F294" s="21" t="n">
        <x:f>F166*(1+'Assumptions'!$L$60)</x:f>
        <x:v>2.4200000000000004</x:v>
      </x:c>
      <x:c r="G294" s="21" t="n">
        <x:f>H166*'Assumptions'!$K$60</x:f>
        <x:v>1.85</x:v>
      </x:c>
      <x:c r="H294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294+G294,NA())</x:f>
        <x:v>4.2700000000000005</x:v>
      </x:c>
      <x:c r="I294" s="22" t="n">
        <x:f>'Assumptions'!$H$60*IF('Assumptions'!$O$60=1,1,'Assumptions'!$D$10)*(1+'Assumptions'!$N$60)^(3-1)</x:f>
        <x:v>5202</x:v>
      </x:c>
      <x:c r="J294" s="10" t="n">
        <x:f>H294*I294</x:f>
        <x:v>22212.54</x:v>
      </x:c>
      <x:c r="K294" s="10" t="n">
        <x:f>J294*'Assumptions'!$T$60</x:f>
        <x:v>22212.54</x:v>
      </x:c>
      <x:c r="L294" s="10" t="n">
        <x:f>K294*'Assumptions'!$U$60</x:f>
        <x:v>666.3762</x:v>
      </x:c>
      <x:c r="M294" s="10" t="n">
        <x:f>K294*'Assumptions'!$V$60</x:f>
        <x:v>0</x:v>
      </x:c>
      <x:c r="N294" s="10" t="n">
        <x:f>K294-L294-M294</x:f>
        <x:v>21546.163800000002</x:v>
      </x:c>
      <x:c r="O294" s="10" t="n">
        <x:f>H294*'Assumptions'!$P$60*'Assumptions'!$Q$60*'Assumptions'!$D$11*(1+'Assumptions'!$D$13)^(3-1)</x:f>
        <x:v>10872.1032</x:v>
      </x:c>
      <x:c r="P294" s="10" t="n">
        <x:f>H294*'Assumptions'!$R$60*'Assumptions'!$D$11*(1+'Assumptions'!$D$13)^(3-1)</x:f>
        <x:v>45.30043</x:v>
      </x:c>
      <x:c r="Q294" s="10" t="n">
        <x:f>J294*'Assumptions'!$S$60</x:f>
        <x:v>0</x:v>
      </x:c>
      <x:c r="R294" s="10" t="n">
        <x:f>H294*'Assumptions'!$Y$60*'Assumptions'!$Z$60*'Assumptions'!$D$11*(1+'Assumptions'!$D$13)^(3-1)</x:f>
        <x:v>33.975322500000004</x:v>
      </x:c>
      <x:c r="S294" s="10" t="n">
        <x:f>IF(I294=0,0,J294*'Assumptions'!$W$60+H294*'Assumptions'!$X$60)</x:f>
        <x:v>645.44466</x:v>
      </x:c>
      <x:c r="T294" s="10" t="n">
        <x:f>N294*'Assumptions'!$AA$60</x:f>
        <x:v>861.8465520000001</x:v>
      </x:c>
      <x:c r="U294" s="10" t="n">
        <x:f>'Assumptions'!$AE$60*'Assumptions'!$D$11*(1+'Assumptions'!$D$13)^(3-1)</x:f>
        <x:v>0</x:v>
      </x:c>
      <x:c r="V294" s="10" t="n">
        <x:f>0</x:f>
        <x:v>0</x:v>
      </x:c>
      <x:c r="W294" s="10" t="n">
        <x:f>H294*('Assumptions'!$P$60+'Assumptions'!$Y$60)</x:f>
        <x:v>171.8675</x:v>
      </x:c>
      <x:c r="X294" s="10" t="n">
        <x:f>N294/12*'Assumptions'!$AF$60</x:f>
        <x:v>1795.51365</x:v>
      </x:c>
      <x:c r="Y294" s="10" t="n">
        <x:f>P294/12</x:f>
        <x:v>3.7750358333333334</x:v>
      </x:c>
      <x:c r="Z294" s="10" t="n">
        <x:f>0</x:f>
        <x:v>0</x:v>
      </x:c>
      <x:c r="AA294" s="10" t="n">
        <x:f>Z294*'Assumptions'!$AC$60*'Assumptions'!$D$11*(1+'Assumptions'!$D$13)^(3-1)</x:f>
        <x:v>0</x:v>
      </x:c>
      <x:c r="AB294" s="10" t="n">
        <x:f>F294/1</x:f>
        <x:v>2.4200000000000004</x:v>
      </x:c>
      <x:c r="AC294" s="10" t="n">
        <x:f>AB294/'Assumptions'!$AM$60</x:f>
        <x:v>12.100000000000001</x:v>
      </x:c>
      <x:c r="AD294" s="10" t="n">
        <x:f>IF(AB294=0,0,T294/AB294)</x:f>
        <x:v>356.1349388429752</x:v>
      </x:c>
      <x:c r="AE294" s="10" t="n">
        <x:f>AA294*'Assumptions'!$D$21</x:f>
        <x:v>0</x:v>
      </x:c>
    </x:row>
    <x:row r="295" ht="16" customHeight="1">
      <x:c r="A295" s="1"/>
      <x:c r="B295" s="1"/>
      <x:c r="C295" s="1" t="str">
        <x:v>DOT-032</x:v>
      </x:c>
      <x:c r="D295" s="10" t="str">
        <x:v>BPA professional services</x:v>
      </x:c>
      <x:c r="E295" s="10" t="n">
        <x:v>3</x:v>
      </x:c>
      <x:c r="F295" s="21" t="n">
        <x:f>F167*(1+'Assumptions'!$L$61)</x:f>
        <x:v>1.2100000000000002</x:v>
      </x:c>
      <x:c r="G295" s="21" t="n">
        <x:f>H167*'Assumptions'!$K$61</x:f>
        <x:v>0.925</x:v>
      </x:c>
      <x:c r="H295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295+G295,NA())</x:f>
        <x:v>2.1350000000000002</x:v>
      </x:c>
      <x:c r="I295" s="22" t="n">
        <x:f>'Assumptions'!$H$61*IF('Assumptions'!$O$61=1,1,'Assumptions'!$D$10)*(1+'Assumptions'!$N$61)^(3-1)</x:f>
        <x:v>7803</x:v>
      </x:c>
      <x:c r="J295" s="10" t="n">
        <x:f>H295*I295</x:f>
        <x:v>16659.405000000002</x:v>
      </x:c>
      <x:c r="K295" s="10" t="n">
        <x:f>J295*'Assumptions'!$T$61</x:f>
        <x:v>16659.405000000002</x:v>
      </x:c>
      <x:c r="L295" s="10" t="n">
        <x:f>K295*'Assumptions'!$U$61</x:f>
        <x:v>499.78215000000006</x:v>
      </x:c>
      <x:c r="M295" s="10" t="n">
        <x:f>K295*'Assumptions'!$V$61</x:f>
        <x:v>0</x:v>
      </x:c>
      <x:c r="N295" s="10" t="n">
        <x:f>K295-L295-M295</x:f>
        <x:v>16159.622850000002</x:v>
      </x:c>
      <x:c r="O295" s="10" t="n">
        <x:f>H295*'Assumptions'!$P$61*'Assumptions'!$Q$61*'Assumptions'!$D$11*(1+'Assumptions'!$D$13)^(3-1)</x:f>
        <x:v>8154.077400000002</x:v>
      </x:c>
      <x:c r="P295" s="10" t="n">
        <x:f>H295*'Assumptions'!$R$61*'Assumptions'!$D$11*(1+'Assumptions'!$D$13)^(3-1)</x:f>
        <x:v>22.650215</x:v>
      </x:c>
      <x:c r="Q295" s="10" t="n">
        <x:f>J295*'Assumptions'!$S$61</x:f>
        <x:v>0</x:v>
      </x:c>
      <x:c r="R295" s="10" t="n">
        <x:f>H295*'Assumptions'!$Y$61*'Assumptions'!$Z$61*'Assumptions'!$D$11*(1+'Assumptions'!$D$13)^(3-1)</x:f>
        <x:v>16.987661250000002</x:v>
      </x:c>
      <x:c r="S295" s="10" t="n">
        <x:f>IF(I295=0,0,J295*'Assumptions'!$W$61+H295*'Assumptions'!$X$61)</x:f>
        <x:v>483.7632450000001</x:v>
      </x:c>
      <x:c r="T295" s="10" t="n">
        <x:f>N295*'Assumptions'!$AA$61</x:f>
        <x:v>646.3849140000001</x:v>
      </x:c>
      <x:c r="U295" s="10" t="n">
        <x:f>'Assumptions'!$AE$61*'Assumptions'!$D$11*(1+'Assumptions'!$D$13)^(3-1)</x:f>
        <x:v>0</x:v>
      </x:c>
      <x:c r="V295" s="10" t="n">
        <x:f>0</x:f>
        <x:v>0</x:v>
      </x:c>
      <x:c r="W295" s="10" t="n">
        <x:f>H295*('Assumptions'!$P$61+'Assumptions'!$Y$61)</x:f>
        <x:v>128.63375000000002</x:v>
      </x:c>
      <x:c r="X295" s="10" t="n">
        <x:f>N295/12*'Assumptions'!$AF$61</x:f>
        <x:v>1346.6352375000001</x:v>
      </x:c>
      <x:c r="Y295" s="10" t="n">
        <x:f>P295/12</x:f>
        <x:v>1.8875179166666667</x:v>
      </x:c>
      <x:c r="Z295" s="10" t="n">
        <x:f>0</x:f>
        <x:v>0</x:v>
      </x:c>
      <x:c r="AA295" s="10" t="n">
        <x:f>Z295*'Assumptions'!$AC$61*'Assumptions'!$D$11*(1+'Assumptions'!$D$13)^(3-1)</x:f>
        <x:v>0</x:v>
      </x:c>
      <x:c r="AB295" s="10" t="n">
        <x:f>F295/1</x:f>
        <x:v>1.2100000000000002</x:v>
      </x:c>
      <x:c r="AC295" s="10" t="n">
        <x:f>AB295/'Assumptions'!$AM$61</x:f>
        <x:v>6.050000000000001</x:v>
      </x:c>
      <x:c r="AD295" s="10" t="n">
        <x:f>IF(AB295=0,0,T295/AB295)</x:f>
        <x:v>534.2024082644629</x:v>
      </x:c>
      <x:c r="AE295" s="10" t="n">
        <x:f>AA295*'Assumptions'!$D$21</x:f>
        <x:v>0</x:v>
      </x:c>
    </x:row>
    <x:row r="296" ht="16" customHeight="1">
      <x:c r="A296" s="1"/>
      <x:c r="B296" s="1"/>
      <x:c r="C296" s="1" t="str">
        <x:v>DOT-033</x:v>
      </x:c>
      <x:c r="D296" s="10" t="str">
        <x:v>CornerFlow</x:v>
      </x:c>
      <x:c r="E296" s="10" t="n">
        <x:v>3</x:v>
      </x:c>
      <x:c r="F296" s="21" t="n">
        <x:f>F168*(1+'Assumptions'!$L$62)</x:f>
        <x:v>51.84000000000001</x:v>
      </x:c>
      <x:c r="G296" s="21" t="n">
        <x:f>H168*'Assumptions'!$K$62</x:f>
        <x:v>59.64000000000001</x:v>
      </x:c>
      <x:c r="H296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296+G296,NA())</x:f>
        <x:v>111.48000000000002</x:v>
      </x:c>
      <x:c r="I296" s="22" t="n">
        <x:f>'Assumptions'!$H$62*IF('Assumptions'!$O$62=1,1,'Assumptions'!$D$10)*(1+'Assumptions'!$N$62)^(3-1)</x:f>
        <x:v>50.9796</x:v>
      </x:c>
      <x:c r="J296" s="10" t="n">
        <x:f>H296*I296</x:f>
        <x:v>5683.205808000001</x:v>
      </x:c>
      <x:c r="K296" s="10" t="n">
        <x:f>J296*'Assumptions'!$T$62</x:f>
        <x:v>5683.205808000001</x:v>
      </x:c>
      <x:c r="L296" s="10" t="n">
        <x:f>K296*'Assumptions'!$U$62</x:f>
        <x:v>170.49617424000002</x:v>
      </x:c>
      <x:c r="M296" s="10" t="n">
        <x:f>K296*'Assumptions'!$V$62</x:f>
        <x:v>0</x:v>
      </x:c>
      <x:c r="N296" s="10" t="n">
        <x:f>K296-L296-M296</x:f>
        <x:v>5512.7096337600005</x:v>
      </x:c>
      <x:c r="O296" s="10" t="n">
        <x:f>H296*'Assumptions'!$P$62*'Assumptions'!$Q$62*'Assumptions'!$D$11*(1+'Assumptions'!$D$13)^(3-1)</x:f>
        <x:v>620.912943</x:v>
      </x:c>
      <x:c r="P296" s="10" t="n">
        <x:f>H296*'Assumptions'!$R$62*'Assumptions'!$D$11*(1+'Assumptions'!$D$13)^(3-1)</x:f>
        <x:v>0</x:v>
      </x:c>
      <x:c r="Q296" s="10" t="n">
        <x:f>J296*'Assumptions'!$S$62</x:f>
        <x:v>0</x:v>
      </x:c>
      <x:c r="R296" s="10" t="n">
        <x:f>H296*'Assumptions'!$Y$62*'Assumptions'!$Z$62*'Assumptions'!$D$11*(1+'Assumptions'!$D$13)^(3-1)</x:f>
        <x:v>532.211094</x:v>
      </x:c>
      <x:c r="S296" s="10" t="n">
        <x:f>IF(I296=0,0,J296*'Assumptions'!$W$62+H296*'Assumptions'!$X$62)</x:f>
        <x:v>198.256968432</x:v>
      </x:c>
      <x:c r="T296" s="10" t="n">
        <x:f>N296*'Assumptions'!$AA$62</x:f>
        <x:v>275.635481688</x:v>
      </x:c>
      <x:c r="U296" s="10" t="n">
        <x:f>'Assumptions'!$AE$62*'Assumptions'!$D$11*(1+'Assumptions'!$D$13)^(3-1)</x:f>
        <x:v>127.30799999999999</x:v>
      </x:c>
      <x:c r="V296" s="10" t="n">
        <x:f>0</x:f>
        <x:v>0</x:v>
      </x:c>
      <x:c r="W296" s="10" t="n">
        <x:f>H296*('Assumptions'!$P$62+'Assumptions'!$Y$62)</x:f>
        <x:v>33.444</x:v>
      </x:c>
      <x:c r="X296" s="10" t="n">
        <x:f>N296/12*'Assumptions'!$AF$62</x:f>
        <x:v>0</x:v>
      </x:c>
      <x:c r="Y296" s="10" t="n">
        <x:f>P296/12</x:f>
        <x:v>0</x:v>
      </x:c>
      <x:c r="Z296" s="10" t="n">
        <x:f>0</x:f>
        <x:v>0</x:v>
      </x:c>
      <x:c r="AA296" s="10" t="n">
        <x:f>Z296*'Assumptions'!$AC$62*'Assumptions'!$D$11*(1+'Assumptions'!$D$13)^(3-1)</x:f>
        <x:v>0</x:v>
      </x:c>
      <x:c r="AB296" s="10" t="n">
        <x:f>F296/12</x:f>
        <x:v>4.320000000000001</x:v>
      </x:c>
      <x:c r="AC296" s="10" t="n">
        <x:f>AB296/'Assumptions'!$AM$62</x:f>
        <x:v>86.40000000000002</x:v>
      </x:c>
      <x:c r="AD296" s="10" t="n">
        <x:f>IF(AB296=0,0,T296/AB296)</x:f>
        <x:v>63.804509649999986</x:v>
      </x:c>
      <x:c r="AE296" s="10" t="n">
        <x:f>AA296*'Assumptions'!$D$21</x:f>
        <x:v>0</x:v>
      </x:c>
    </x:row>
    <x:row r="297" ht="16" customHeight="1">
      <x:c r="A297" s="1"/>
      <x:c r="B297" s="1"/>
      <x:c r="C297" s="1" t="str">
        <x:v>DOT-034</x:v>
      </x:c>
      <x:c r="D297" s="10" t="str">
        <x:v>CornerFlow</x:v>
      </x:c>
      <x:c r="E297" s="10" t="n">
        <x:v>3</x:v>
      </x:c>
      <x:c r="F297" s="21" t="n">
        <x:f>F169*(1+'Assumptions'!$L$63)</x:f>
        <x:v>12.100000000000001</x:v>
      </x:c>
      <x:c r="G297" s="21" t="n">
        <x:f>H169*'Assumptions'!$K$63</x:f>
        <x:v>8</x:v>
      </x:c>
      <x:c r="H297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297+G297,NA())</x:f>
        <x:v>20.1</x:v>
      </x:c>
      <x:c r="I297" s="22" t="n">
        <x:f>'Assumptions'!$H$63*IF('Assumptions'!$O$63=1,1,'Assumptions'!$D$10)*(1+'Assumptions'!$N$63)^(3-1)</x:f>
        <x:v>207.0396</x:v>
      </x:c>
      <x:c r="J297" s="10" t="n">
        <x:f>H297*I297</x:f>
        <x:v>4161.49596</x:v>
      </x:c>
      <x:c r="K297" s="10" t="n">
        <x:f>J297*'Assumptions'!$T$63</x:f>
        <x:v>4161.49596</x:v>
      </x:c>
      <x:c r="L297" s="10" t="n">
        <x:f>K297*'Assumptions'!$U$63</x:f>
        <x:v>124.8448788</x:v>
      </x:c>
      <x:c r="M297" s="10" t="n">
        <x:f>K297*'Assumptions'!$V$63</x:f>
        <x:v>0</x:v>
      </x:c>
      <x:c r="N297" s="10" t="n">
        <x:f>K297-L297-M297</x:f>
        <x:v>4036.6510812</x:v>
      </x:c>
      <x:c r="O297" s="10" t="n">
        <x:f>H297*'Assumptions'!$P$63*'Assumptions'!$Q$63*'Assumptions'!$D$11*(1+'Assumptions'!$D$13)^(3-1)</x:f>
        <x:v>1705.9271999999999</x:v>
      </x:c>
      <x:c r="P297" s="10" t="n">
        <x:f>H297*'Assumptions'!$R$63*'Assumptions'!$D$11*(1+'Assumptions'!$D$13)^(3-1)</x:f>
        <x:v>0</x:v>
      </x:c>
      <x:c r="Q297" s="10" t="n">
        <x:f>J297*'Assumptions'!$S$63</x:f>
        <x:v>0</x:v>
      </x:c>
      <x:c r="R297" s="10" t="n">
        <x:f>H297*'Assumptions'!$Y$63*'Assumptions'!$Z$63*'Assumptions'!$D$11*(1+'Assumptions'!$D$13)^(3-1)</x:f>
        <x:v>159.93067499999998</x:v>
      </x:c>
      <x:c r="S297" s="10" t="n">
        <x:f>IF(I297=0,0,J297*'Assumptions'!$W$63+H297*'Assumptions'!$X$63)</x:f>
        <x:v>126.71338284000001</x:v>
      </x:c>
      <x:c r="T297" s="10" t="n">
        <x:f>N297*'Assumptions'!$AA$63</x:f>
        <x:v>161.466043248</x:v>
      </x:c>
      <x:c r="U297" s="10" t="n">
        <x:f>'Assumptions'!$AE$63*'Assumptions'!$D$11*(1+'Assumptions'!$D$13)^(3-1)</x:f>
        <x:v>0</x:v>
      </x:c>
      <x:c r="V297" s="10" t="n">
        <x:f>0</x:f>
        <x:v>0</x:v>
      </x:c>
      <x:c r="W297" s="10" t="n">
        <x:f>H297*('Assumptions'!$P$63+'Assumptions'!$Y$63)</x:f>
        <x:v>45.225</x:v>
      </x:c>
      <x:c r="X297" s="10" t="n">
        <x:f>N297/12*'Assumptions'!$AF$63</x:f>
        <x:v>336.3875901</x:v>
      </x:c>
      <x:c r="Y297" s="10" t="n">
        <x:f>P297/12</x:f>
        <x:v>0</x:v>
      </x:c>
      <x:c r="Z297" s="10" t="n">
        <x:f>0</x:f>
        <x:v>0</x:v>
      </x:c>
      <x:c r="AA297" s="10" t="n">
        <x:f>Z297*'Assumptions'!$AC$63*'Assumptions'!$D$11*(1+'Assumptions'!$D$13)^(3-1)</x:f>
        <x:v>0</x:v>
      </x:c>
      <x:c r="AB297" s="10" t="n">
        <x:f>F297/1</x:f>
        <x:v>12.100000000000001</x:v>
      </x:c>
      <x:c r="AC297" s="10" t="n">
        <x:f>AB297/'Assumptions'!$AM$63</x:f>
        <x:v>60.50000000000001</x:v>
      </x:c>
      <x:c r="AD297" s="10" t="n">
        <x:f>IF(AB297=0,0,T297/AB297)</x:f>
        <x:v>13.344301094876032</x:v>
      </x:c>
      <x:c r="AE297" s="10" t="n">
        <x:f>AA297*'Assumptions'!$D$21</x:f>
        <x:v>0</x:v>
      </x:c>
    </x:row>
    <x:row r="298" ht="16" customHeight="1">
      <x:c r="A298" s="1"/>
      <x:c r="B298" s="1"/>
      <x:c r="C298" s="1" t="str">
        <x:v>DOT-035</x:v>
      </x:c>
      <x:c r="D298" s="10" t="str">
        <x:v>Spindle</x:v>
      </x:c>
      <x:c r="E298" s="10" t="n">
        <x:v>3</x:v>
      </x:c>
      <x:c r="F298" s="21" t="n">
        <x:f>F170*(1+'Assumptions'!$L$64)</x:f>
        <x:v>51.84000000000001</x:v>
      </x:c>
      <x:c r="G298" s="21" t="n">
        <x:f>H170*'Assumptions'!$K$64</x:f>
        <x:v>59.64000000000001</x:v>
      </x:c>
      <x:c r="H298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298+G298,NA())</x:f>
        <x:v>111.48000000000002</x:v>
      </x:c>
      <x:c r="I298" s="22" t="n">
        <x:f>'Assumptions'!$H$64*IF('Assumptions'!$O$64=1,1,'Assumptions'!$D$10)*(1+'Assumptions'!$N$64)^(3-1)</x:f>
        <x:v>50.9796</x:v>
      </x:c>
      <x:c r="J298" s="10" t="n">
        <x:f>H298*I298</x:f>
        <x:v>5683.205808000001</x:v>
      </x:c>
      <x:c r="K298" s="10" t="n">
        <x:f>J298*'Assumptions'!$T$64</x:f>
        <x:v>5683.205808000001</x:v>
      </x:c>
      <x:c r="L298" s="10" t="n">
        <x:f>K298*'Assumptions'!$U$64</x:f>
        <x:v>170.49617424000002</x:v>
      </x:c>
      <x:c r="M298" s="10" t="n">
        <x:f>K298*'Assumptions'!$V$64</x:f>
        <x:v>0</x:v>
      </x:c>
      <x:c r="N298" s="10" t="n">
        <x:f>K298-L298-M298</x:f>
        <x:v>5512.7096337600005</x:v>
      </x:c>
      <x:c r="O298" s="10" t="n">
        <x:f>H298*'Assumptions'!$P$64*'Assumptions'!$Q$64*'Assumptions'!$D$11*(1+'Assumptions'!$D$13)^(3-1)</x:f>
        <x:v>620.912943</x:v>
      </x:c>
      <x:c r="P298" s="10" t="n">
        <x:f>H298*'Assumptions'!$R$64*'Assumptions'!$D$11*(1+'Assumptions'!$D$13)^(3-1)</x:f>
        <x:v>0</x:v>
      </x:c>
      <x:c r="Q298" s="10" t="n">
        <x:f>J298*'Assumptions'!$S$64</x:f>
        <x:v>0</x:v>
      </x:c>
      <x:c r="R298" s="10" t="n">
        <x:f>H298*'Assumptions'!$Y$64*'Assumptions'!$Z$64*'Assumptions'!$D$11*(1+'Assumptions'!$D$13)^(3-1)</x:f>
        <x:v>532.211094</x:v>
      </x:c>
      <x:c r="S298" s="10" t="n">
        <x:f>IF(I298=0,0,J298*'Assumptions'!$W$64+H298*'Assumptions'!$X$64)</x:f>
        <x:v>198.256968432</x:v>
      </x:c>
      <x:c r="T298" s="10" t="n">
        <x:f>N298*'Assumptions'!$AA$64</x:f>
        <x:v>275.635481688</x:v>
      </x:c>
      <x:c r="U298" s="10" t="n">
        <x:f>'Assumptions'!$AE$64*'Assumptions'!$D$11*(1+'Assumptions'!$D$13)^(3-1)</x:f>
        <x:v>127.30799999999999</x:v>
      </x:c>
      <x:c r="V298" s="10" t="n">
        <x:f>0</x:f>
        <x:v>0</x:v>
      </x:c>
      <x:c r="W298" s="10" t="n">
        <x:f>H298*('Assumptions'!$P$64+'Assumptions'!$Y$64)</x:f>
        <x:v>33.444</x:v>
      </x:c>
      <x:c r="X298" s="10" t="n">
        <x:f>N298/12*'Assumptions'!$AF$64</x:f>
        <x:v>0</x:v>
      </x:c>
      <x:c r="Y298" s="10" t="n">
        <x:f>P298/12</x:f>
        <x:v>0</x:v>
      </x:c>
      <x:c r="Z298" s="10" t="n">
        <x:f>0</x:f>
        <x:v>0</x:v>
      </x:c>
      <x:c r="AA298" s="10" t="n">
        <x:f>Z298*'Assumptions'!$AC$64*'Assumptions'!$D$11*(1+'Assumptions'!$D$13)^(3-1)</x:f>
        <x:v>0</x:v>
      </x:c>
      <x:c r="AB298" s="10" t="n">
        <x:f>F298/12</x:f>
        <x:v>4.320000000000001</x:v>
      </x:c>
      <x:c r="AC298" s="10" t="n">
        <x:f>AB298/'Assumptions'!$AM$64</x:f>
        <x:v>86.40000000000002</x:v>
      </x:c>
      <x:c r="AD298" s="10" t="n">
        <x:f>IF(AB298=0,0,T298/AB298)</x:f>
        <x:v>63.804509649999986</x:v>
      </x:c>
      <x:c r="AE298" s="10" t="n">
        <x:f>AA298*'Assumptions'!$D$21</x:f>
        <x:v>0</x:v>
      </x:c>
    </x:row>
    <x:row r="299" ht="16" customHeight="1">
      <x:c r="A299" s="1"/>
      <x:c r="B299" s="1"/>
      <x:c r="C299" s="1" t="str">
        <x:v>DOT-036</x:v>
      </x:c>
      <x:c r="D299" s="10" t="str">
        <x:v>Spindle</x:v>
      </x:c>
      <x:c r="E299" s="10" t="n">
        <x:v>3</x:v>
      </x:c>
      <x:c r="F299" s="21" t="n">
        <x:f>F171*(1+'Assumptions'!$L$65)</x:f>
        <x:v>12.100000000000001</x:v>
      </x:c>
      <x:c r="G299" s="21" t="n">
        <x:f>H171*'Assumptions'!$K$65</x:f>
        <x:v>8</x:v>
      </x:c>
      <x:c r="H299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299+G299,NA())</x:f>
        <x:v>20.1</x:v>
      </x:c>
      <x:c r="I299" s="22" t="n">
        <x:f>'Assumptions'!$H$65*IF('Assumptions'!$O$65=1,1,'Assumptions'!$D$10)*(1+'Assumptions'!$N$65)^(3-1)</x:f>
        <x:v>207.0396</x:v>
      </x:c>
      <x:c r="J299" s="10" t="n">
        <x:f>H299*I299</x:f>
        <x:v>4161.49596</x:v>
      </x:c>
      <x:c r="K299" s="10" t="n">
        <x:f>J299*'Assumptions'!$T$65</x:f>
        <x:v>4161.49596</x:v>
      </x:c>
      <x:c r="L299" s="10" t="n">
        <x:f>K299*'Assumptions'!$U$65</x:f>
        <x:v>124.8448788</x:v>
      </x:c>
      <x:c r="M299" s="10" t="n">
        <x:f>K299*'Assumptions'!$V$65</x:f>
        <x:v>0</x:v>
      </x:c>
      <x:c r="N299" s="10" t="n">
        <x:f>K299-L299-M299</x:f>
        <x:v>4036.6510812</x:v>
      </x:c>
      <x:c r="O299" s="10" t="n">
        <x:f>H299*'Assumptions'!$P$65*'Assumptions'!$Q$65*'Assumptions'!$D$11*(1+'Assumptions'!$D$13)^(3-1)</x:f>
        <x:v>1705.9271999999999</x:v>
      </x:c>
      <x:c r="P299" s="10" t="n">
        <x:f>H299*'Assumptions'!$R$65*'Assumptions'!$D$11*(1+'Assumptions'!$D$13)^(3-1)</x:f>
        <x:v>0</x:v>
      </x:c>
      <x:c r="Q299" s="10" t="n">
        <x:f>J299*'Assumptions'!$S$65</x:f>
        <x:v>0</x:v>
      </x:c>
      <x:c r="R299" s="10" t="n">
        <x:f>H299*'Assumptions'!$Y$65*'Assumptions'!$Z$65*'Assumptions'!$D$11*(1+'Assumptions'!$D$13)^(3-1)</x:f>
        <x:v>159.93067499999998</x:v>
      </x:c>
      <x:c r="S299" s="10" t="n">
        <x:f>IF(I299=0,0,J299*'Assumptions'!$W$65+H299*'Assumptions'!$X$65)</x:f>
        <x:v>126.71338284000001</x:v>
      </x:c>
      <x:c r="T299" s="10" t="n">
        <x:f>N299*'Assumptions'!$AA$65</x:f>
        <x:v>161.466043248</x:v>
      </x:c>
      <x:c r="U299" s="10" t="n">
        <x:f>'Assumptions'!$AE$65*'Assumptions'!$D$11*(1+'Assumptions'!$D$13)^(3-1)</x:f>
        <x:v>0</x:v>
      </x:c>
      <x:c r="V299" s="10" t="n">
        <x:f>0</x:f>
        <x:v>0</x:v>
      </x:c>
      <x:c r="W299" s="10" t="n">
        <x:f>H299*('Assumptions'!$P$65+'Assumptions'!$Y$65)</x:f>
        <x:v>45.225</x:v>
      </x:c>
      <x:c r="X299" s="10" t="n">
        <x:f>N299/12*'Assumptions'!$AF$65</x:f>
        <x:v>336.3875901</x:v>
      </x:c>
      <x:c r="Y299" s="10" t="n">
        <x:f>P299/12</x:f>
        <x:v>0</x:v>
      </x:c>
      <x:c r="Z299" s="10" t="n">
        <x:f>0</x:f>
        <x:v>0</x:v>
      </x:c>
      <x:c r="AA299" s="10" t="n">
        <x:f>Z299*'Assumptions'!$AC$65*'Assumptions'!$D$11*(1+'Assumptions'!$D$13)^(3-1)</x:f>
        <x:v>0</x:v>
      </x:c>
      <x:c r="AB299" s="10" t="n">
        <x:f>F299/1</x:f>
        <x:v>12.100000000000001</x:v>
      </x:c>
      <x:c r="AC299" s="10" t="n">
        <x:f>AB299/'Assumptions'!$AM$65</x:f>
        <x:v>60.50000000000001</x:v>
      </x:c>
      <x:c r="AD299" s="10" t="n">
        <x:f>IF(AB299=0,0,T299/AB299)</x:f>
        <x:v>13.344301094876032</x:v>
      </x:c>
      <x:c r="AE299" s="10" t="n">
        <x:f>AA299*'Assumptions'!$D$21</x:f>
        <x:v>0</x:v>
      </x:c>
    </x:row>
    <x:row r="300" ht="16" customHeight="1">
      <x:c r="A300" s="1"/>
      <x:c r="B300" s="1"/>
      <x:c r="C300" s="1" t="str">
        <x:v>DOT-037</x:v>
      </x:c>
      <x:c r="D300" s="10" t="str">
        <x:v>Maison Contour</x:v>
      </x:c>
      <x:c r="E300" s="10" t="n">
        <x:v>3</x:v>
      </x:c>
      <x:c r="F300" s="21" t="n">
        <x:f>F172*(1+'Assumptions'!$L$66)</x:f>
        <x:v>51.84000000000001</x:v>
      </x:c>
      <x:c r="G300" s="21" t="n">
        <x:f>H172*'Assumptions'!$K$66</x:f>
        <x:v>59.64000000000001</x:v>
      </x:c>
      <x:c r="H300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300+G300,NA())</x:f>
        <x:v>111.48000000000002</x:v>
      </x:c>
      <x:c r="I300" s="22" t="n">
        <x:f>'Assumptions'!$H$66*IF('Assumptions'!$O$66=1,1,'Assumptions'!$D$10)*(1+'Assumptions'!$N$66)^(3-1)</x:f>
        <x:v>82.1916</x:v>
      </x:c>
      <x:c r="J300" s="10" t="n">
        <x:f>H300*I300</x:f>
        <x:v>9162.719568</x:v>
      </x:c>
      <x:c r="K300" s="10" t="n">
        <x:f>J300*'Assumptions'!$T$66</x:f>
        <x:v>9162.719568</x:v>
      </x:c>
      <x:c r="L300" s="10" t="n">
        <x:f>K300*'Assumptions'!$U$66</x:f>
        <x:v>274.88158704</x:v>
      </x:c>
      <x:c r="M300" s="10" t="n">
        <x:f>K300*'Assumptions'!$V$66</x:f>
        <x:v>0</x:v>
      </x:c>
      <x:c r="N300" s="10" t="n">
        <x:f>K300-L300-M300</x:f>
        <x:v>8887.837980960001</x:v>
      </x:c>
      <x:c r="O300" s="10" t="n">
        <x:f>H300*'Assumptions'!$P$66*'Assumptions'!$Q$66*'Assumptions'!$D$11*(1+'Assumptions'!$D$13)^(3-1)</x:f>
        <x:v>620.912943</x:v>
      </x:c>
      <x:c r="P300" s="10" t="n">
        <x:f>H300*'Assumptions'!$R$66*'Assumptions'!$D$11*(1+'Assumptions'!$D$13)^(3-1)</x:f>
        <x:v>0</x:v>
      </x:c>
      <x:c r="Q300" s="10" t="n">
        <x:f>J300*'Assumptions'!$S$66</x:f>
        <x:v>0</x:v>
      </x:c>
      <x:c r="R300" s="10" t="n">
        <x:f>H300*'Assumptions'!$Y$66*'Assumptions'!$Z$66*'Assumptions'!$D$11*(1+'Assumptions'!$D$13)^(3-1)</x:f>
        <x:v>532.211094</x:v>
      </x:c>
      <x:c r="S300" s="10" t="n">
        <x:f>IF(I300=0,0,J300*'Assumptions'!$W$66+H300*'Assumptions'!$X$66)</x:f>
        <x:v>299.162867472</x:v>
      </x:c>
      <x:c r="T300" s="10" t="n">
        <x:f>N300*'Assumptions'!$AA$66</x:f>
        <x:v>444.3918990480001</x:v>
      </x:c>
      <x:c r="U300" s="10" t="n">
        <x:f>'Assumptions'!$AE$66*'Assumptions'!$D$11*(1+'Assumptions'!$D$13)^(3-1)</x:f>
        <x:v>127.30799999999999</x:v>
      </x:c>
      <x:c r="V300" s="10" t="n">
        <x:f>0</x:f>
        <x:v>0</x:v>
      </x:c>
      <x:c r="W300" s="10" t="n">
        <x:f>H300*('Assumptions'!$P$66+'Assumptions'!$Y$66)</x:f>
        <x:v>33.444</x:v>
      </x:c>
      <x:c r="X300" s="10" t="n">
        <x:f>N300/12*'Assumptions'!$AF$66</x:f>
        <x:v>0</x:v>
      </x:c>
      <x:c r="Y300" s="10" t="n">
        <x:f>P300/12</x:f>
        <x:v>0</x:v>
      </x:c>
      <x:c r="Z300" s="10" t="n">
        <x:f>0</x:f>
        <x:v>0</x:v>
      </x:c>
      <x:c r="AA300" s="10" t="n">
        <x:f>Z300*'Assumptions'!$AC$66*'Assumptions'!$D$11*(1+'Assumptions'!$D$13)^(3-1)</x:f>
        <x:v>0</x:v>
      </x:c>
      <x:c r="AB300" s="10" t="n">
        <x:f>F300/12</x:f>
        <x:v>4.320000000000001</x:v>
      </x:c>
      <x:c r="AC300" s="10" t="n">
        <x:f>AB300/'Assumptions'!$AM$66</x:f>
        <x:v>86.40000000000002</x:v>
      </x:c>
      <x:c r="AD300" s="10" t="n">
        <x:f>IF(AB300=0,0,T300/AB300)</x:f>
        <x:v>102.86849514999999</x:v>
      </x:c>
      <x:c r="AE300" s="10" t="n">
        <x:f>AA300*'Assumptions'!$D$21</x:f>
        <x:v>0</x:v>
      </x:c>
    </x:row>
    <x:row r="301" ht="16" customHeight="1">
      <x:c r="A301" s="1"/>
      <x:c r="B301" s="1"/>
      <x:c r="C301" s="1" t="str">
        <x:v>DOT-038</x:v>
      </x:c>
      <x:c r="D301" s="10" t="str">
        <x:v>Maison Contour</x:v>
      </x:c>
      <x:c r="E301" s="10" t="n">
        <x:v>3</x:v>
      </x:c>
      <x:c r="F301" s="21" t="n">
        <x:f>F173*(1+'Assumptions'!$L$67)</x:f>
        <x:v>12.100000000000001</x:v>
      </x:c>
      <x:c r="G301" s="21" t="n">
        <x:f>H173*'Assumptions'!$K$67</x:f>
        <x:v>8</x:v>
      </x:c>
      <x:c r="H301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301+G301,NA())</x:f>
        <x:v>20.1</x:v>
      </x:c>
      <x:c r="I301" s="22" t="n">
        <x:f>'Assumptions'!$H$67*IF('Assumptions'!$O$67=1,1,'Assumptions'!$D$10)*(1+'Assumptions'!$N$67)^(3-1)</x:f>
        <x:v>207.0396</x:v>
      </x:c>
      <x:c r="J301" s="10" t="n">
        <x:f>H301*I301</x:f>
        <x:v>4161.49596</x:v>
      </x:c>
      <x:c r="K301" s="10" t="n">
        <x:f>J301*'Assumptions'!$T$67</x:f>
        <x:v>4161.49596</x:v>
      </x:c>
      <x:c r="L301" s="10" t="n">
        <x:f>K301*'Assumptions'!$U$67</x:f>
        <x:v>124.8448788</x:v>
      </x:c>
      <x:c r="M301" s="10" t="n">
        <x:f>K301*'Assumptions'!$V$67</x:f>
        <x:v>0</x:v>
      </x:c>
      <x:c r="N301" s="10" t="n">
        <x:f>K301-L301-M301</x:f>
        <x:v>4036.6510812</x:v>
      </x:c>
      <x:c r="O301" s="10" t="n">
        <x:f>H301*'Assumptions'!$P$67*'Assumptions'!$Q$67*'Assumptions'!$D$11*(1+'Assumptions'!$D$13)^(3-1)</x:f>
        <x:v>1705.9271999999999</x:v>
      </x:c>
      <x:c r="P301" s="10" t="n">
        <x:f>H301*'Assumptions'!$R$67*'Assumptions'!$D$11*(1+'Assumptions'!$D$13)^(3-1)</x:f>
        <x:v>0</x:v>
      </x:c>
      <x:c r="Q301" s="10" t="n">
        <x:f>J301*'Assumptions'!$S$67</x:f>
        <x:v>0</x:v>
      </x:c>
      <x:c r="R301" s="10" t="n">
        <x:f>H301*'Assumptions'!$Y$67*'Assumptions'!$Z$67*'Assumptions'!$D$11*(1+'Assumptions'!$D$13)^(3-1)</x:f>
        <x:v>159.93067499999998</x:v>
      </x:c>
      <x:c r="S301" s="10" t="n">
        <x:f>IF(I301=0,0,J301*'Assumptions'!$W$67+H301*'Assumptions'!$X$67)</x:f>
        <x:v>126.71338284000001</x:v>
      </x:c>
      <x:c r="T301" s="10" t="n">
        <x:f>N301*'Assumptions'!$AA$67</x:f>
        <x:v>161.466043248</x:v>
      </x:c>
      <x:c r="U301" s="10" t="n">
        <x:f>'Assumptions'!$AE$67*'Assumptions'!$D$11*(1+'Assumptions'!$D$13)^(3-1)</x:f>
        <x:v>0</x:v>
      </x:c>
      <x:c r="V301" s="10" t="n">
        <x:f>0</x:f>
        <x:v>0</x:v>
      </x:c>
      <x:c r="W301" s="10" t="n">
        <x:f>H301*('Assumptions'!$P$67+'Assumptions'!$Y$67)</x:f>
        <x:v>45.225</x:v>
      </x:c>
      <x:c r="X301" s="10" t="n">
        <x:f>N301/12*'Assumptions'!$AF$67</x:f>
        <x:v>336.3875901</x:v>
      </x:c>
      <x:c r="Y301" s="10" t="n">
        <x:f>P301/12</x:f>
        <x:v>0</x:v>
      </x:c>
      <x:c r="Z301" s="10" t="n">
        <x:f>0</x:f>
        <x:v>0</x:v>
      </x:c>
      <x:c r="AA301" s="10" t="n">
        <x:f>Z301*'Assumptions'!$AC$67*'Assumptions'!$D$11*(1+'Assumptions'!$D$13)^(3-1)</x:f>
        <x:v>0</x:v>
      </x:c>
      <x:c r="AB301" s="10" t="n">
        <x:f>F301/1</x:f>
        <x:v>12.100000000000001</x:v>
      </x:c>
      <x:c r="AC301" s="10" t="n">
        <x:f>AB301/'Assumptions'!$AM$67</x:f>
        <x:v>60.50000000000001</x:v>
      </x:c>
      <x:c r="AD301" s="10" t="n">
        <x:f>IF(AB301=0,0,T301/AB301)</x:f>
        <x:v>13.344301094876032</x:v>
      </x:c>
      <x:c r="AE301" s="10" t="n">
        <x:f>AA301*'Assumptions'!$D$21</x:f>
        <x:v>0</x:v>
      </x:c>
    </x:row>
    <x:row r="302" ht="16" customHeight="1">
      <x:c r="A302" s="1"/>
      <x:c r="B302" s="1"/>
      <x:c r="C302" s="1" t="str">
        <x:v>DOT-039</x:v>
      </x:c>
      <x:c r="D302" s="10" t="str">
        <x:v>DishLoom US</x:v>
      </x:c>
      <x:c r="E302" s="10" t="n">
        <x:v>3</x:v>
      </x:c>
      <x:c r="F302" s="21" t="n">
        <x:f>F174*(1+'Assumptions'!$L$68)</x:f>
        <x:v>51.84000000000001</x:v>
      </x:c>
      <x:c r="G302" s="21" t="n">
        <x:f>H174*'Assumptions'!$K$68</x:f>
        <x:v>59.64000000000001</x:v>
      </x:c>
      <x:c r="H302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302+G302,NA())</x:f>
        <x:v>111.48000000000002</x:v>
      </x:c>
      <x:c r="I302" s="22" t="n">
        <x:f>'Assumptions'!$H$68*IF('Assumptions'!$O$68=1,1,'Assumptions'!$D$10)*(1+'Assumptions'!$N$68)^(3-1)</x:f>
        <x:v>40.5756</x:v>
      </x:c>
      <x:c r="J302" s="10" t="n">
        <x:f>H302*I302</x:f>
        <x:v>4523.367888000001</x:v>
      </x:c>
      <x:c r="K302" s="10" t="n">
        <x:f>J302*'Assumptions'!$T$68</x:f>
        <x:v>4523.367888000001</x:v>
      </x:c>
      <x:c r="L302" s="10" t="n">
        <x:f>K302*'Assumptions'!$U$68</x:f>
        <x:v>135.70103664</x:v>
      </x:c>
      <x:c r="M302" s="10" t="n">
        <x:f>K302*'Assumptions'!$V$68</x:f>
        <x:v>0</x:v>
      </x:c>
      <x:c r="N302" s="10" t="n">
        <x:f>K302-L302-M302</x:f>
        <x:v>4387.666851360001</x:v>
      </x:c>
      <x:c r="O302" s="10" t="n">
        <x:f>H302*'Assumptions'!$P$68*'Assumptions'!$Q$68*'Assumptions'!$D$11*(1+'Assumptions'!$D$13)^(3-1)</x:f>
        <x:v>620.912943</x:v>
      </x:c>
      <x:c r="P302" s="10" t="n">
        <x:f>H302*'Assumptions'!$R$68*'Assumptions'!$D$11*(1+'Assumptions'!$D$13)^(3-1)</x:f>
        <x:v>0</x:v>
      </x:c>
      <x:c r="Q302" s="10" t="n">
        <x:f>J302*'Assumptions'!$S$68</x:f>
        <x:v>0</x:v>
      </x:c>
      <x:c r="R302" s="10" t="n">
        <x:f>H302*'Assumptions'!$Y$68*'Assumptions'!$Z$68*'Assumptions'!$D$11*(1+'Assumptions'!$D$13)^(3-1)</x:f>
        <x:v>532.211094</x:v>
      </x:c>
      <x:c r="S302" s="10" t="n">
        <x:f>IF(I302=0,0,J302*'Assumptions'!$W$68+H302*'Assumptions'!$X$68)</x:f>
        <x:v>164.621668752</x:v>
      </x:c>
      <x:c r="T302" s="10" t="n">
        <x:f>N302*'Assumptions'!$AA$68</x:f>
        <x:v>219.38334256800005</x:v>
      </x:c>
      <x:c r="U302" s="10" t="n">
        <x:f>'Assumptions'!$AE$68*'Assumptions'!$D$11*(1+'Assumptions'!$D$13)^(3-1)</x:f>
        <x:v>127.30799999999999</x:v>
      </x:c>
      <x:c r="V302" s="10" t="n">
        <x:f>0</x:f>
        <x:v>0</x:v>
      </x:c>
      <x:c r="W302" s="10" t="n">
        <x:f>H302*('Assumptions'!$P$68+'Assumptions'!$Y$68)</x:f>
        <x:v>33.444</x:v>
      </x:c>
      <x:c r="X302" s="10" t="n">
        <x:f>N302/12*'Assumptions'!$AF$68</x:f>
        <x:v>0</x:v>
      </x:c>
      <x:c r="Y302" s="10" t="n">
        <x:f>P302/12</x:f>
        <x:v>0</x:v>
      </x:c>
      <x:c r="Z302" s="10" t="n">
        <x:f>0</x:f>
        <x:v>0</x:v>
      </x:c>
      <x:c r="AA302" s="10" t="n">
        <x:f>Z302*'Assumptions'!$AC$68*'Assumptions'!$D$11*(1+'Assumptions'!$D$13)^(3-1)</x:f>
        <x:v>0</x:v>
      </x:c>
      <x:c r="AB302" s="10" t="n">
        <x:f>F302/12</x:f>
        <x:v>4.320000000000001</x:v>
      </x:c>
      <x:c r="AC302" s="10" t="n">
        <x:f>AB302/'Assumptions'!$AM$68</x:f>
        <x:v>86.40000000000002</x:v>
      </x:c>
      <x:c r="AD302" s="10" t="n">
        <x:f>IF(AB302=0,0,T302/AB302)</x:f>
        <x:v>50.78318115</x:v>
      </x:c>
      <x:c r="AE302" s="10" t="n">
        <x:f>AA302*'Assumptions'!$D$21</x:f>
        <x:v>0</x:v>
      </x:c>
    </x:row>
    <x:row r="303" ht="16" customHeight="1">
      <x:c r="A303" s="1"/>
      <x:c r="B303" s="1"/>
      <x:c r="C303" s="1" t="str">
        <x:v>DOT-040</x:v>
      </x:c>
      <x:c r="D303" s="10" t="str">
        <x:v>DishLoom US</x:v>
      </x:c>
      <x:c r="E303" s="10" t="n">
        <x:v>3</x:v>
      </x:c>
      <x:c r="F303" s="21" t="n">
        <x:f>F175*(1+'Assumptions'!$L$69)</x:f>
        <x:v>103.68000000000002</x:v>
      </x:c>
      <x:c r="G303" s="21" t="n">
        <x:f>H175*'Assumptions'!$K$69</x:f>
        <x:v>119.28000000000002</x:v>
      </x:c>
      <x:c r="H303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303+G303,NA())</x:f>
        <x:v>222.96000000000004</x:v>
      </x:c>
      <x:c r="I303" s="22" t="n">
        <x:f>'Assumptions'!$H$69*IF('Assumptions'!$O$69=1,1,'Assumptions'!$D$10)*(1+'Assumptions'!$N$69)^(3-1)</x:f>
        <x:v>9.3636</x:v>
      </x:c>
      <x:c r="J303" s="10" t="n">
        <x:f>H303*I303</x:f>
        <x:v>2087.7082560000003</x:v>
      </x:c>
      <x:c r="K303" s="10" t="n">
        <x:f>J303*'Assumptions'!$T$69</x:f>
        <x:v>2087.7082560000003</x:v>
      </x:c>
      <x:c r="L303" s="10" t="n">
        <x:f>K303*'Assumptions'!$U$69</x:f>
        <x:v>62.63124768000001</x:v>
      </x:c>
      <x:c r="M303" s="10" t="n">
        <x:f>K303*'Assumptions'!$V$69</x:f>
        <x:v>0</x:v>
      </x:c>
      <x:c r="N303" s="10" t="n">
        <x:f>K303-L303-M303</x:f>
        <x:v>2025.0770083200002</x:v>
      </x:c>
      <x:c r="O303" s="10" t="n">
        <x:f>H303*'Assumptions'!$P$69*'Assumptions'!$Q$69*'Assumptions'!$D$11*(1+'Assumptions'!$D$13)^(3-1)</x:f>
        <x:v>413.9419620000001</x:v>
      </x:c>
      <x:c r="P303" s="10" t="n">
        <x:f>H303*'Assumptions'!$R$69*'Assumptions'!$D$11*(1+'Assumptions'!$D$13)^(3-1)</x:f>
        <x:v>0</x:v>
      </x:c>
      <x:c r="Q303" s="10" t="n">
        <x:f>J303*'Assumptions'!$S$69</x:f>
        <x:v>0</x:v>
      </x:c>
      <x:c r="R303" s="10" t="n">
        <x:f>H303*'Assumptions'!$Y$69*'Assumptions'!$Z$69*'Assumptions'!$D$11*(1+'Assumptions'!$D$13)^(3-1)</x:f>
        <x:v>1064.422188</x:v>
      </x:c>
      <x:c r="S303" s="10" t="n">
        <x:f>IF(I303=0,0,J303*'Assumptions'!$W$69+H303*'Assumptions'!$X$69)</x:f>
        <x:v>127.43153942400002</x:v>
      </x:c>
      <x:c r="T303" s="10" t="n">
        <x:f>N303*'Assumptions'!$AA$69</x:f>
        <x:v>101.25385041600002</x:v>
      </x:c>
      <x:c r="U303" s="10" t="n">
        <x:f>'Assumptions'!$AE$69*'Assumptions'!$D$11*(1+'Assumptions'!$D$13)^(3-1)</x:f>
        <x:v>0</x:v>
      </x:c>
      <x:c r="V303" s="10" t="n">
        <x:f>0</x:f>
        <x:v>0</x:v>
      </x:c>
      <x:c r="W303" s="10" t="n">
        <x:f>H303*('Assumptions'!$P$69+'Assumptions'!$Y$69)</x:f>
        <x:v>44.59200000000001</x:v>
      </x:c>
      <x:c r="X303" s="10" t="n">
        <x:f>N303/12*'Assumptions'!$AF$69</x:f>
        <x:v>0</x:v>
      </x:c>
      <x:c r="Y303" s="10" t="n">
        <x:f>P303/12</x:f>
        <x:v>0</x:v>
      </x:c>
      <x:c r="Z303" s="10" t="n">
        <x:f>0</x:f>
        <x:v>0</x:v>
      </x:c>
      <x:c r="AA303" s="10" t="n">
        <x:f>Z303*'Assumptions'!$AC$69*'Assumptions'!$D$11*(1+'Assumptions'!$D$13)^(3-1)</x:f>
        <x:v>0</x:v>
      </x:c>
      <x:c r="AB303" s="10" t="n">
        <x:f>F303/1</x:f>
        <x:v>103.68000000000002</x:v>
      </x:c>
      <x:c r="AC303" s="10" t="n">
        <x:f>AB303/'Assumptions'!$AM$69</x:f>
        <x:v>2073.6000000000004</x:v>
      </x:c>
      <x:c r="AD303" s="10" t="n">
        <x:f>IF(AB303=0,0,T303/AB303)</x:f>
        <x:v>0.9765996375</x:v>
      </x:c>
      <x:c r="AE303" s="10" t="n">
        <x:f>AA303*'Assumptions'!$D$21</x:f>
        <x:v>0</x:v>
      </x:c>
    </x:row>
    <x:row r="304" ht="16" customHeight="1">
      <x:c r="A304" s="1"/>
      <x:c r="B304" s="1"/>
      <x:c r="C304" s="1" t="str">
        <x:v>DOT-041</x:v>
      </x:c>
      <x:c r="D304" s="10" t="str">
        <x:v>DishLoom US</x:v>
      </x:c>
      <x:c r="E304" s="10" t="n">
        <x:v>3</x:v>
      </x:c>
      <x:c r="F304" s="21" t="n">
        <x:f>F176*(1+'Assumptions'!$L$70)</x:f>
        <x:v>129.60000000000002</x:v>
      </x:c>
      <x:c r="G304" s="21" t="n">
        <x:f>H176*'Assumptions'!$K$70</x:f>
        <x:v>149.1</x:v>
      </x:c>
      <x:c r="H304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304+G304,NA())</x:f>
        <x:v>278.70000000000005</x:v>
      </x:c>
      <x:c r="I304" s="22" t="n">
        <x:f>'Assumptions'!$H$70*IF('Assumptions'!$O$70=1,1,'Assumptions'!$D$10)*(1+'Assumptions'!$N$70)^(3-1)</x:f>
        <x:v>104.03999999999999</x:v>
      </x:c>
      <x:c r="J304" s="10" t="n">
        <x:f>H304*I304</x:f>
        <x:v>28995.948000000004</x:v>
      </x:c>
      <x:c r="K304" s="10" t="n">
        <x:f>J304*'Assumptions'!$T$70</x:f>
        <x:v>4349.3922</x:v>
      </x:c>
      <x:c r="L304" s="10" t="n">
        <x:f>K304*'Assumptions'!$U$70</x:f>
        <x:v>130.481766</x:v>
      </x:c>
      <x:c r="M304" s="10" t="n">
        <x:f>K304*'Assumptions'!$V$70</x:f>
        <x:v>0</x:v>
      </x:c>
      <x:c r="N304" s="10" t="n">
        <x:f>K304-L304-M304</x:f>
        <x:v>4218.910434</x:v>
      </x:c>
      <x:c r="O304" s="10" t="n">
        <x:f>H304*'Assumptions'!$P$70*'Assumptions'!$Q$70*'Assumptions'!$D$11*(1+'Assumptions'!$D$13)^(3-1)</x:f>
        <x:v>1034.8549050000001</x:v>
      </x:c>
      <x:c r="P304" s="10" t="n">
        <x:f>H304*'Assumptions'!$R$70*'Assumptions'!$D$11*(1+'Assumptions'!$D$13)^(3-1)</x:f>
        <x:v>0</x:v>
      </x:c>
      <x:c r="Q304" s="10" t="n">
        <x:f>J304*'Assumptions'!$S$70</x:f>
        <x:v>0</x:v>
      </x:c>
      <x:c r="R304" s="10" t="n">
        <x:f>H304*'Assumptions'!$Y$70*'Assumptions'!$Z$70*'Assumptions'!$D$11*(1+'Assumptions'!$D$13)^(3-1)</x:f>
        <x:v>1330.5277350000001</x:v>
      </x:c>
      <x:c r="S304" s="10" t="n">
        <x:f>IF(I304=0,0,J304*'Assumptions'!$W$70+H304*'Assumptions'!$X$70)</x:f>
        <x:v>924.4924920000002</x:v>
      </x:c>
      <x:c r="T304" s="10" t="n">
        <x:f>N304*'Assumptions'!$AA$70</x:f>
        <x:v>210.94552170000003</x:v>
      </x:c>
      <x:c r="U304" s="10" t="n">
        <x:f>'Assumptions'!$AE$70*'Assumptions'!$D$11*(1+'Assumptions'!$D$13)^(3-1)</x:f>
        <x:v>0</x:v>
      </x:c>
      <x:c r="V304" s="10" t="n">
        <x:f>0</x:f>
        <x:v>0</x:v>
      </x:c>
      <x:c r="W304" s="10" t="n">
        <x:f>H304*('Assumptions'!$P$70+'Assumptions'!$Y$70)</x:f>
        <x:v>69.67500000000001</x:v>
      </x:c>
      <x:c r="X304" s="10" t="n">
        <x:f>N304/12*'Assumptions'!$AF$70</x:f>
        <x:v>0</x:v>
      </x:c>
      <x:c r="Y304" s="10" t="n">
        <x:f>P304/12</x:f>
        <x:v>0</x:v>
      </x:c>
      <x:c r="Z304" s="10" t="n">
        <x:f>0</x:f>
        <x:v>0</x:v>
      </x:c>
      <x:c r="AA304" s="10" t="n">
        <x:f>Z304*'Assumptions'!$AC$70*'Assumptions'!$D$11*(1+'Assumptions'!$D$13)^(3-1)</x:f>
        <x:v>0</x:v>
      </x:c>
      <x:c r="AB304" s="10" t="n">
        <x:f>F304/1</x:f>
        <x:v>129.60000000000002</x:v>
      </x:c>
      <x:c r="AC304" s="10" t="n">
        <x:f>AB304/'Assumptions'!$AM$70</x:f>
        <x:v>2592.0000000000005</x:v>
      </x:c>
      <x:c r="AD304" s="10" t="n">
        <x:f>IF(AB304=0,0,T304/AB304)</x:f>
        <x:v>1.6276660625</x:v>
      </x:c>
      <x:c r="AE304" s="10" t="n">
        <x:f>AA304*'Assumptions'!$D$21</x:f>
        <x:v>0</x:v>
      </x:c>
    </x:row>
    <x:row r="305" ht="16" customHeight="1">
      <x:c r="A305" s="1"/>
      <x:c r="B305" s="1"/>
      <x:c r="C305" s="1" t="str">
        <x:v>DOT-042</x:v>
      </x:c>
      <x:c r="D305" s="10" t="str">
        <x:v>Is Makes Travel Easy</x:v>
      </x:c>
      <x:c r="E305" s="10" t="n">
        <x:v>3</x:v>
      </x:c>
      <x:c r="F305" s="21" t="n">
        <x:f>F177*(1+'Assumptions'!$L$71)</x:f>
        <x:v>155.52</x:v>
      </x:c>
      <x:c r="G305" s="21" t="n">
        <x:f>H177*'Assumptions'!$K$71</x:f>
        <x:v>223.02</x:v>
      </x:c>
      <x:c r="H305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305+G305,NA())</x:f>
        <x:v>378.54</x:v>
      </x:c>
      <x:c r="I305" s="22" t="n">
        <x:f>'Assumptions'!$H$71*IF('Assumptions'!$O$71=1,1,'Assumptions'!$D$10)*(1+'Assumptions'!$N$71)^(3-1)</x:f>
        <x:v>30.171599999999998</x:v>
      </x:c>
      <x:c r="J305" s="10" t="n">
        <x:f>H305*I305</x:f>
        <x:v>11421.157464</x:v>
      </x:c>
      <x:c r="K305" s="10" t="n">
        <x:f>J305*'Assumptions'!$T$71</x:f>
        <x:v>11421.157464</x:v>
      </x:c>
      <x:c r="L305" s="10" t="n">
        <x:f>K305*'Assumptions'!$U$71</x:f>
        <x:v>342.63472392</x:v>
      </x:c>
      <x:c r="M305" s="10" t="n">
        <x:f>K305*'Assumptions'!$V$71</x:f>
        <x:v>0</x:v>
      </x:c>
      <x:c r="N305" s="10" t="n">
        <x:f>K305-L305-M305</x:f>
        <x:v>11078.52274008</x:v>
      </x:c>
      <x:c r="O305" s="10" t="n">
        <x:f>H305*'Assumptions'!$P$71*'Assumptions'!$Q$71*'Assumptions'!$D$11*(1+'Assumptions'!$D$13)^(3-1)</x:f>
        <x:v>1405.5758010000002</x:v>
      </x:c>
      <x:c r="P305" s="10" t="n">
        <x:f>H305*'Assumptions'!$R$71*'Assumptions'!$D$11*(1+'Assumptions'!$D$13)^(3-1)</x:f>
        <x:v>0</x:v>
      </x:c>
      <x:c r="Q305" s="10" t="n">
        <x:f>J305*'Assumptions'!$S$71</x:f>
        <x:v>0</x:v>
      </x:c>
      <x:c r="R305" s="10" t="n">
        <x:f>H305*'Assumptions'!$Y$71*'Assumptions'!$Z$71*'Assumptions'!$D$11*(1+'Assumptions'!$D$13)^(3-1)</x:f>
        <x:v>1807.168887</x:v>
      </x:c>
      <x:c r="S305" s="10" t="n">
        <x:f>IF(I305=0,0,J305*'Assumptions'!$W$71+H305*'Assumptions'!$X$71)</x:f>
        <x:v>444.77556645600004</x:v>
      </x:c>
      <x:c r="T305" s="10" t="n">
        <x:f>N305*'Assumptions'!$AA$71</x:f>
        <x:v>553.926137004</x:v>
      </x:c>
      <x:c r="U305" s="10" t="n">
        <x:f>'Assumptions'!$AE$71*'Assumptions'!$D$11*(1+'Assumptions'!$D$13)^(3-1)</x:f>
        <x:v>254.61599999999999</x:v>
      </x:c>
      <x:c r="V305" s="10" t="n">
        <x:f>0</x:f>
        <x:v>0</x:v>
      </x:c>
      <x:c r="W305" s="10" t="n">
        <x:f>H305*('Assumptions'!$P$71+'Assumptions'!$Y$71)</x:f>
        <x:v>94.635</x:v>
      </x:c>
      <x:c r="X305" s="10" t="n">
        <x:f>N305/12*'Assumptions'!$AF$71</x:f>
        <x:v>0</x:v>
      </x:c>
      <x:c r="Y305" s="10" t="n">
        <x:f>P305/12</x:f>
        <x:v>0</x:v>
      </x:c>
      <x:c r="Z305" s="10" t="n">
        <x:f>0</x:f>
        <x:v>0</x:v>
      </x:c>
      <x:c r="AA305" s="10" t="n">
        <x:f>Z305*'Assumptions'!$AC$71*'Assumptions'!$D$11*(1+'Assumptions'!$D$13)^(3-1)</x:f>
        <x:v>0</x:v>
      </x:c>
      <x:c r="AB305" s="10" t="n">
        <x:f>F305/1</x:f>
        <x:v>155.52</x:v>
      </x:c>
      <x:c r="AC305" s="10" t="n">
        <x:f>AB305/'Assumptions'!$AM$71</x:f>
        <x:v>3110.4</x:v>
      </x:c>
      <x:c r="AD305" s="10" t="n">
        <x:f>IF(AB305=0,0,T305/AB305)</x:f>
        <x:v>3.56176785625</x:v>
      </x:c>
      <x:c r="AE305" s="10" t="n">
        <x:f>AA305*'Assumptions'!$D$21</x:f>
        <x:v>0</x:v>
      </x:c>
    </x:row>
    <x:row r="306" ht="16" customHeight="1">
      <x:c r="A306" s="1"/>
      <x:c r="B306" s="1"/>
      <x:c r="C306" s="1" t="str">
        <x:v>DOT-043</x:v>
      </x:c>
      <x:c r="D306" s="10" t="str">
        <x:v>Is Makes Travel Easy</x:v>
      </x:c>
      <x:c r="E306" s="10" t="n">
        <x:v>3</x:v>
      </x:c>
      <x:c r="F306" s="21" t="n">
        <x:f>F178*(1+'Assumptions'!$L$72)</x:f>
        <x:v>77.76</x:v>
      </x:c>
      <x:c r="G306" s="21" t="n">
        <x:f>H178*'Assumptions'!$K$72</x:f>
        <x:v>111.51</x:v>
      </x:c>
      <x:c r="H306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306+G306,NA())</x:f>
        <x:v>189.27</x:v>
      </x:c>
      <x:c r="I306" s="22" t="n">
        <x:f>'Assumptions'!$H$72*IF('Assumptions'!$O$72=1,1,'Assumptions'!$D$10)*(1+'Assumptions'!$N$72)^(3-1)</x:f>
        <x:v>19.7676</x:v>
      </x:c>
      <x:c r="J306" s="10" t="n">
        <x:f>H306*I306</x:f>
        <x:v>3741.4136520000006</x:v>
      </x:c>
      <x:c r="K306" s="10" t="n">
        <x:f>J306*'Assumptions'!$T$72</x:f>
        <x:v>3741.4136520000006</x:v>
      </x:c>
      <x:c r="L306" s="10" t="n">
        <x:f>K306*'Assumptions'!$U$72</x:f>
        <x:v>112.24240956000001</x:v>
      </x:c>
      <x:c r="M306" s="10" t="n">
        <x:f>K306*'Assumptions'!$V$72</x:f>
        <x:v>0</x:v>
      </x:c>
      <x:c r="N306" s="10" t="n">
        <x:f>K306-L306-M306</x:f>
        <x:v>3629.1712424400007</x:v>
      </x:c>
      <x:c r="O306" s="10" t="n">
        <x:f>H306*'Assumptions'!$P$72*'Assumptions'!$Q$72*'Assumptions'!$D$11*(1+'Assumptions'!$D$13)^(3-1)</x:f>
        <x:v>702.7879005000001</x:v>
      </x:c>
      <x:c r="P306" s="10" t="n">
        <x:f>H306*'Assumptions'!$R$72*'Assumptions'!$D$11*(1+'Assumptions'!$D$13)^(3-1)</x:f>
        <x:v>0</x:v>
      </x:c>
      <x:c r="Q306" s="10" t="n">
        <x:f>J306*'Assumptions'!$S$72</x:f>
        <x:v>0</x:v>
      </x:c>
      <x:c r="R306" s="10" t="n">
        <x:f>H306*'Assumptions'!$Y$72*'Assumptions'!$Z$72*'Assumptions'!$D$11*(1+'Assumptions'!$D$13)^(3-1)</x:f>
        <x:v>903.5844435</x:v>
      </x:c>
      <x:c r="S306" s="10" t="n">
        <x:f>IF(I306=0,0,J306*'Assumptions'!$W$72+H306*'Assumptions'!$X$72)</x:f>
        <x:v>165.28199590800003</x:v>
      </x:c>
      <x:c r="T306" s="10" t="n">
        <x:f>N306*'Assumptions'!$AA$72</x:f>
        <x:v>181.45856212200005</x:v>
      </x:c>
      <x:c r="U306" s="10" t="n">
        <x:f>'Assumptions'!$AE$72*'Assumptions'!$D$11*(1+'Assumptions'!$D$13)^(3-1)</x:f>
        <x:v>0</x:v>
      </x:c>
      <x:c r="V306" s="10" t="n">
        <x:f>0</x:f>
        <x:v>0</x:v>
      </x:c>
      <x:c r="W306" s="10" t="n">
        <x:f>H306*('Assumptions'!$P$72+'Assumptions'!$Y$72)</x:f>
        <x:v>47.3175</x:v>
      </x:c>
      <x:c r="X306" s="10" t="n">
        <x:f>N306/12*'Assumptions'!$AF$72</x:f>
        <x:v>0</x:v>
      </x:c>
      <x:c r="Y306" s="10" t="n">
        <x:f>P306/12</x:f>
        <x:v>0</x:v>
      </x:c>
      <x:c r="Z306" s="10" t="n">
        <x:f>0</x:f>
        <x:v>0</x:v>
      </x:c>
      <x:c r="AA306" s="10" t="n">
        <x:f>Z306*'Assumptions'!$AC$72*'Assumptions'!$D$11*(1+'Assumptions'!$D$13)^(3-1)</x:f>
        <x:v>0</x:v>
      </x:c>
      <x:c r="AB306" s="10" t="n">
        <x:f>F306/12</x:f>
        <x:v>6.48</x:v>
      </x:c>
      <x:c r="AC306" s="10" t="n">
        <x:f>AB306/'Assumptions'!$AM$72</x:f>
        <x:v>129.6</x:v>
      </x:c>
      <x:c r="AD306" s="10" t="n">
        <x:f>IF(AB306=0,0,T306/AB306)</x:f>
        <x:v>28.002864525000007</x:v>
      </x:c>
      <x:c r="AE306" s="10" t="n">
        <x:f>AA306*'Assumptions'!$D$21</x:f>
        <x:v>0</x:v>
      </x:c>
    </x:row>
    <x:row r="307" ht="16" customHeight="1">
      <x:c r="A307" s="1"/>
      <x:c r="B307" s="1"/>
      <x:c r="C307" s="1" t="str">
        <x:v>DOT-044</x:v>
      </x:c>
      <x:c r="D307" s="10" t="str">
        <x:v>Is Makes Travel Easy</x:v>
      </x:c>
      <x:c r="E307" s="10" t="n">
        <x:v>3</x:v>
      </x:c>
      <x:c r="F307" s="21" t="n">
        <x:f>F179*(1+'Assumptions'!$L$73)</x:f>
        <x:v>37.75200000000001</x:v>
      </x:c>
      <x:c r="G307" s="21" t="n">
        <x:f>H179*'Assumptions'!$K$73</x:f>
        <x:v>16.422</x:v>
      </x:c>
      <x:c r="H307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307+G307,NA())</x:f>
        <x:v>54.17400000000001</x:v>
      </x:c>
      <x:c r="I307" s="22" t="n">
        <x:f>'Assumptions'!$H$73*IF('Assumptions'!$O$73=1,1,'Assumptions'!$D$10)*(1+'Assumptions'!$N$73)^(3-1)</x:f>
        <x:v>50.9796</x:v>
      </x:c>
      <x:c r="J307" s="10" t="n">
        <x:f>H307*I307</x:f>
        <x:v>2761.7688504000002</x:v>
      </x:c>
      <x:c r="K307" s="10" t="n">
        <x:f>J307*'Assumptions'!$T$73</x:f>
        <x:v>2761.7688504000002</x:v>
      </x:c>
      <x:c r="L307" s="10" t="n">
        <x:f>K307*'Assumptions'!$U$73</x:f>
        <x:v>82.853065512</x:v>
      </x:c>
      <x:c r="M307" s="10" t="n">
        <x:f>K307*'Assumptions'!$V$73</x:f>
        <x:v>0</x:v>
      </x:c>
      <x:c r="N307" s="10" t="n">
        <x:f>K307-L307-M307</x:f>
        <x:v>2678.9157848880004</x:v>
      </x:c>
      <x:c r="O307" s="10" t="n">
        <x:f>H307*'Assumptions'!$P$73*'Assumptions'!$Q$73*'Assumptions'!$D$11*(1+'Assumptions'!$D$13)^(3-1)</x:f>
        <x:v>502.89047025</x:v>
      </x:c>
      <x:c r="P307" s="10" t="n">
        <x:f>H307*'Assumptions'!$R$73*'Assumptions'!$D$11*(1+'Assumptions'!$D$13)^(3-1)</x:f>
        <x:v>0</x:v>
      </x:c>
      <x:c r="Q307" s="10" t="n">
        <x:f>J307*'Assumptions'!$S$73</x:f>
        <x:v>0</x:v>
      </x:c>
      <x:c r="R307" s="10" t="n">
        <x:f>H307*'Assumptions'!$Y$73*'Assumptions'!$Z$73*'Assumptions'!$D$11*(1+'Assumptions'!$D$13)^(3-1)</x:f>
        <x:v>862.0979490000001</x:v>
      </x:c>
      <x:c r="S307" s="10" t="n">
        <x:f>IF(I307=0,0,J307*'Assumptions'!$W$73+H307*'Assumptions'!$X$73)</x:f>
        <x:v>96.34349666160001</x:v>
      </x:c>
      <x:c r="T307" s="10" t="n">
        <x:f>N307*'Assumptions'!$AA$73</x:f>
        <x:v>214.31326279104005</x:v>
      </x:c>
      <x:c r="U307" s="10" t="n">
        <x:f>'Assumptions'!$AE$73*'Assumptions'!$D$11*(1+'Assumptions'!$D$13)^(3-1)</x:f>
        <x:v>0</x:v>
      </x:c>
      <x:c r="V307" s="10" t="n">
        <x:f>0</x:f>
        <x:v>0</x:v>
      </x:c>
      <x:c r="W307" s="10" t="n">
        <x:f>H307*('Assumptions'!$P$73+'Assumptions'!$Y$73)</x:f>
        <x:v>40.630500000000005</x:v>
      </x:c>
      <x:c r="X307" s="10" t="n">
        <x:f>N307/12*'Assumptions'!$AF$73</x:f>
        <x:v>223.24298207400003</x:v>
      </x:c>
      <x:c r="Y307" s="10" t="n">
        <x:f>P307/12</x:f>
        <x:v>0</x:v>
      </x:c>
      <x:c r="Z307" s="10" t="n">
        <x:f>0</x:f>
        <x:v>0</x:v>
      </x:c>
      <x:c r="AA307" s="10" t="n">
        <x:f>Z307*'Assumptions'!$AC$73*'Assumptions'!$D$11*(1+'Assumptions'!$D$13)^(3-1)</x:f>
        <x:v>0</x:v>
      </x:c>
      <x:c r="AB307" s="10" t="n">
        <x:f>F307/1</x:f>
        <x:v>37.75200000000001</x:v>
      </x:c>
      <x:c r="AC307" s="10" t="n">
        <x:f>AB307/'Assumptions'!$AM$73</x:f>
        <x:v>377.5200000000001</x:v>
      </x:c>
      <x:c r="AD307" s="10" t="n">
        <x:f>IF(AB307=0,0,T307/AB307)</x:f>
        <x:v>5.6768717628480605</x:v>
      </x:c>
      <x:c r="AE307" s="10" t="n">
        <x:f>AA307*'Assumptions'!$D$21</x:f>
        <x:v>0</x:v>
      </x:c>
    </x:row>
    <x:row r="308" ht="16" customHeight="1">
      <x:c r="A308" s="1"/>
      <x:c r="B308" s="1"/>
      <x:c r="C308" s="1" t="str">
        <x:v>DOT-045</x:v>
      </x:c>
      <x:c r="D308" s="10" t="str">
        <x:v>Is Makes Travel Easy</x:v>
      </x:c>
      <x:c r="E308" s="10" t="n">
        <x:v>3</x:v>
      </x:c>
      <x:c r="F308" s="21" t="n">
        <x:f>F180*(1+'Assumptions'!$L$74)</x:f>
        <x:v>103.68000000000002</x:v>
      </x:c>
      <x:c r="G308" s="21" t="n">
        <x:f>H180*'Assumptions'!$K$74</x:f>
        <x:v>148.68</x:v>
      </x:c>
      <x:c r="H308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308+G308,NA())</x:f>
        <x:v>252.36</x:v>
      </x:c>
      <x:c r="I308" s="22" t="n">
        <x:f>'Assumptions'!$H$74*IF('Assumptions'!$O$74=1,1,'Assumptions'!$D$10)*(1+'Assumptions'!$N$74)^(3-1)</x:f>
        <x:v>156.06</x:v>
      </x:c>
      <x:c r="J308" s="10" t="n">
        <x:f>H308*I308</x:f>
        <x:v>39383.301600000006</x:v>
      </x:c>
      <x:c r="K308" s="10" t="n">
        <x:f>J308*'Assumptions'!$T$74</x:f>
        <x:v>3938.330160000001</x:v>
      </x:c>
      <x:c r="L308" s="10" t="n">
        <x:f>K308*'Assumptions'!$U$74</x:f>
        <x:v>118.14990480000002</x:v>
      </x:c>
      <x:c r="M308" s="10" t="n">
        <x:f>K308*'Assumptions'!$V$74</x:f>
        <x:v>0</x:v>
      </x:c>
      <x:c r="N308" s="10" t="n">
        <x:f>K308-L308-M308</x:f>
        <x:v>3820.180255200001</x:v>
      </x:c>
      <x:c r="O308" s="10" t="n">
        <x:f>H308*'Assumptions'!$P$74*'Assumptions'!$Q$74*'Assumptions'!$D$11*(1+'Assumptions'!$D$13)^(3-1)</x:f>
        <x:v>937.0505340000001</x:v>
      </x:c>
      <x:c r="P308" s="10" t="n">
        <x:f>H308*'Assumptions'!$R$74*'Assumptions'!$D$11*(1+'Assumptions'!$D$13)^(3-1)</x:f>
        <x:v>0</x:v>
      </x:c>
      <x:c r="Q308" s="10" t="n">
        <x:f>J308*'Assumptions'!$S$74</x:f>
        <x:v>0</x:v>
      </x:c>
      <x:c r="R308" s="10" t="n">
        <x:f>H308*'Assumptions'!$Y$74*'Assumptions'!$Z$74*'Assumptions'!$D$11*(1+'Assumptions'!$D$13)^(3-1)</x:f>
        <x:v>1204.7792579999998</x:v>
      </x:c>
      <x:c r="S308" s="10" t="n">
        <x:f>IF(I308=0,0,J308*'Assumptions'!$W$74+H308*'Assumptions'!$X$74)</x:f>
        <x:v>1217.8237464000003</x:v>
      </x:c>
      <x:c r="T308" s="10" t="n">
        <x:f>N308*'Assumptions'!$AA$74</x:f>
        <x:v>191.00901276000005</x:v>
      </x:c>
      <x:c r="U308" s="10" t="n">
        <x:f>'Assumptions'!$AE$74*'Assumptions'!$D$11*(1+'Assumptions'!$D$13)^(3-1)</x:f>
        <x:v>0</x:v>
      </x:c>
      <x:c r="V308" s="10" t="n">
        <x:f>0</x:f>
        <x:v>0</x:v>
      </x:c>
      <x:c r="W308" s="10" t="n">
        <x:f>H308*('Assumptions'!$P$74+'Assumptions'!$Y$74)</x:f>
        <x:v>63.09</x:v>
      </x:c>
      <x:c r="X308" s="10" t="n">
        <x:f>N308/12*'Assumptions'!$AF$74</x:f>
        <x:v>0</x:v>
      </x:c>
      <x:c r="Y308" s="10" t="n">
        <x:f>P308/12</x:f>
        <x:v>0</x:v>
      </x:c>
      <x:c r="Z308" s="10" t="n">
        <x:f>0</x:f>
        <x:v>0</x:v>
      </x:c>
      <x:c r="AA308" s="10" t="n">
        <x:f>Z308*'Assumptions'!$AC$74*'Assumptions'!$D$11*(1+'Assumptions'!$D$13)^(3-1)</x:f>
        <x:v>0</x:v>
      </x:c>
      <x:c r="AB308" s="10" t="n">
        <x:f>F308/1</x:f>
        <x:v>103.68000000000002</x:v>
      </x:c>
      <x:c r="AC308" s="10" t="n">
        <x:f>AB308/'Assumptions'!$AM$74</x:f>
        <x:v>2073.6000000000004</x:v>
      </x:c>
      <x:c r="AD308" s="10" t="n">
        <x:f>IF(AB308=0,0,T308/AB308)</x:f>
        <x:v>1.8422937187500001</x:v>
      </x:c>
      <x:c r="AE308" s="10" t="n">
        <x:f>AA308*'Assumptions'!$D$21</x:f>
        <x:v>0</x:v>
      </x:c>
    </x:row>
    <x:row r="309" ht="16" customHeight="1">
      <x:c r="A309" s="1"/>
      <x:c r="B309" s="1"/>
      <x:c r="C309" s="1" t="str">
        <x:v>DOT-046</x:v>
      </x:c>
      <x:c r="D309" s="10" t="str">
        <x:v>Turbo Tax - Made Easy!</x:v>
      </x:c>
      <x:c r="E309" s="10" t="n">
        <x:v>3</x:v>
      </x:c>
      <x:c r="F309" s="21" t="n">
        <x:f>F181*(1+'Assumptions'!$L$75)</x:f>
        <x:v>297.5625</x:v>
      </x:c>
      <x:c r="G309" s="21" t="n">
        <x:f>H181*'Assumptions'!$K$75</x:f>
        <x:v>80.3125</x:v>
      </x:c>
      <x:c r="H309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309+G309,NA())</x:f>
        <x:v>377.875</x:v>
      </x:c>
      <x:c r="I309" s="22" t="n">
        <x:f>'Assumptions'!$H$75*IF('Assumptions'!$O$75=1,1,'Assumptions'!$D$10)*(1+'Assumptions'!$N$75)^(3-1)</x:f>
        <x:v>149</x:v>
      </x:c>
      <x:c r="J309" s="10" t="n">
        <x:f>H309*I309</x:f>
        <x:v>56303.375</x:v>
      </x:c>
      <x:c r="K309" s="10" t="n">
        <x:f>J309*'Assumptions'!$T$75</x:f>
        <x:v>56303.375</x:v>
      </x:c>
      <x:c r="L309" s="10" t="n">
        <x:f>K309*'Assumptions'!$U$75</x:f>
        <x:v>1689.10125</x:v>
      </x:c>
      <x:c r="M309" s="10" t="n">
        <x:f>K309*'Assumptions'!$V$75</x:f>
        <x:v>0</x:v>
      </x:c>
      <x:c r="N309" s="10" t="n">
        <x:f>K309-L309-M309</x:f>
        <x:v>54614.27375</x:v>
      </x:c>
      <x:c r="O309" s="10" t="n">
        <x:f>H309*'Assumptions'!$P$75*'Assumptions'!$Q$75*'Assumptions'!$D$11*(1+'Assumptions'!$D$13)^(3-1)</x:f>
        <x:v>2104.6598343749997</x:v>
      </x:c>
      <x:c r="P309" s="10" t="n">
        <x:f>H309*'Assumptions'!$R$75*'Assumptions'!$D$11*(1+'Assumptions'!$D$13)^(3-1)</x:f>
        <x:v>0</x:v>
      </x:c>
      <x:c r="Q309" s="10" t="n">
        <x:f>J309*'Assumptions'!$S$75</x:f>
        <x:v>0</x:v>
      </x:c>
      <x:c r="R309" s="10" t="n">
        <x:f>H309*'Assumptions'!$Y$75*'Assumptions'!$Z$75*'Assumptions'!$D$11*(1+'Assumptions'!$D$13)^(3-1)</x:f>
        <x:v>1202.6627624999999</x:v>
      </x:c>
      <x:c r="S309" s="10" t="n">
        <x:f>IF(I309=0,0,J309*'Assumptions'!$W$75+H309*'Assumptions'!$X$75)</x:f>
        <x:v>1746.160375</x:v>
      </x:c>
      <x:c r="T309" s="10" t="n">
        <x:f>N309*'Assumptions'!$AA$75</x:f>
        <x:v>2730.7136875</x:v>
      </x:c>
      <x:c r="U309" s="10" t="n">
        <x:f>'Assumptions'!$AE$75*'Assumptions'!$D$11*(1+'Assumptions'!$D$13)^(3-1)</x:f>
        <x:v>0</x:v>
      </x:c>
      <x:c r="V309" s="10" t="n">
        <x:f>0</x:f>
        <x:v>0</x:v>
      </x:c>
      <x:c r="W309" s="10" t="n">
        <x:f>H309*('Assumptions'!$P$75+'Assumptions'!$Y$75)</x:f>
        <x:v>94.46875</x:v>
      </x:c>
      <x:c r="X309" s="10" t="n">
        <x:f>N309/12*'Assumptions'!$AF$75</x:f>
        <x:v>0</x:v>
      </x:c>
      <x:c r="Y309" s="10" t="n">
        <x:f>P309/12</x:f>
        <x:v>0</x:v>
      </x:c>
      <x:c r="Z309" s="10" t="n">
        <x:f>0</x:f>
        <x:v>0</x:v>
      </x:c>
      <x:c r="AA309" s="10" t="n">
        <x:f>Z309*'Assumptions'!$AC$75*'Assumptions'!$D$11*(1+'Assumptions'!$D$13)^(3-1)</x:f>
        <x:v>0</x:v>
      </x:c>
      <x:c r="AB309" s="10" t="n">
        <x:f>F309/1</x:f>
        <x:v>297.5625</x:v>
      </x:c>
      <x:c r="AC309" s="10" t="n">
        <x:f>AB309/'Assumptions'!$AM$75</x:f>
        <x:v>5951.25</x:v>
      </x:c>
      <x:c r="AD309" s="10" t="n">
        <x:f>IF(AB309=0,0,T309/AB309)</x:f>
        <x:v>9.176941608905693</x:v>
      </x:c>
      <x:c r="AE309" s="10" t="n">
        <x:f>AA309*'Assumptions'!$D$21</x:f>
        <x:v>0</x:v>
      </x:c>
    </x:row>
    <x:row r="310" ht="16" customHeight="1">
      <x:c r="A310" s="1"/>
      <x:c r="B310" s="1"/>
      <x:c r="C310" s="1" t="str">
        <x:v>DOT-047</x:v>
      </x:c>
      <x:c r="D310" s="10" t="str">
        <x:v>LavaLearning adult</x:v>
      </x:c>
      <x:c r="E310" s="10" t="n">
        <x:v>3</x:v>
      </x:c>
      <x:c r="F310" s="21" t="n">
        <x:f>F182*(1+'Assumptions'!$L$76)</x:f>
        <x:v>198.37499999999997</x:v>
      </x:c>
      <x:c r="G310" s="21" t="n">
        <x:f>H182*'Assumptions'!$K$76</x:f>
        <x:v>52.5</x:v>
      </x:c>
      <x:c r="H310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310+G310,NA())</x:f>
        <x:v>250.87499999999997</x:v>
      </x:c>
      <x:c r="I310" s="22" t="n">
        <x:f>'Assumptions'!$H$76*IF('Assumptions'!$O$76=1,1,'Assumptions'!$D$10)*(1+'Assumptions'!$N$76)^(3-1)</x:f>
        <x:v>79</x:v>
      </x:c>
      <x:c r="J310" s="10" t="n">
        <x:f>H310*I310</x:f>
        <x:v>19819.124999999996</x:v>
      </x:c>
      <x:c r="K310" s="10" t="n">
        <x:f>J310*'Assumptions'!$T$76</x:f>
        <x:v>19819.124999999996</x:v>
      </x:c>
      <x:c r="L310" s="10" t="n">
        <x:f>K310*'Assumptions'!$U$76</x:f>
        <x:v>594.5737499999999</x:v>
      </x:c>
      <x:c r="M310" s="10" t="n">
        <x:f>K310*'Assumptions'!$V$76</x:f>
        <x:v>0</x:v>
      </x:c>
      <x:c r="N310" s="10" t="n">
        <x:f>K310-L310-M310</x:f>
        <x:v>19224.551249999997</x:v>
      </x:c>
      <x:c r="O310" s="10" t="n">
        <x:f>H310*'Assumptions'!$P$76*'Assumptions'!$Q$76*'Assumptions'!$D$11*(1+'Assumptions'!$D$13)^(3-1)</x:f>
        <x:v>1397.3047593749998</x:v>
      </x:c>
      <x:c r="P310" s="10" t="n">
        <x:f>H310*'Assumptions'!$R$76*'Assumptions'!$D$11*(1+'Assumptions'!$D$13)^(3-1)</x:f>
        <x:v>0</x:v>
      </x:c>
      <x:c r="Q310" s="10" t="n">
        <x:f>J310*'Assumptions'!$S$76</x:f>
        <x:v>0</x:v>
      </x:c>
      <x:c r="R310" s="10" t="n">
        <x:f>H310*'Assumptions'!$Y$76*'Assumptions'!$Z$76*'Assumptions'!$D$11*(1+'Assumptions'!$D$13)^(3-1)</x:f>
        <x:v>798.4598625</x:v>
      </x:c>
      <x:c r="S310" s="10" t="n">
        <x:f>IF(I310=0,0,J310*'Assumptions'!$W$76+H310*'Assumptions'!$X$76)</x:f>
        <x:v>650.0171249999999</x:v>
      </x:c>
      <x:c r="T310" s="10" t="n">
        <x:f>N310*'Assumptions'!$AA$76</x:f>
        <x:v>961.2275624999999</x:v>
      </x:c>
      <x:c r="U310" s="10" t="n">
        <x:f>'Assumptions'!$AE$76*'Assumptions'!$D$11*(1+'Assumptions'!$D$13)^(3-1)</x:f>
        <x:v>0</x:v>
      </x:c>
      <x:c r="V310" s="10" t="n">
        <x:f>0</x:f>
        <x:v>0</x:v>
      </x:c>
      <x:c r="W310" s="10" t="n">
        <x:f>H310*('Assumptions'!$P$76+'Assumptions'!$Y$76)</x:f>
        <x:v>62.71874999999999</x:v>
      </x:c>
      <x:c r="X310" s="10" t="n">
        <x:f>N310/12*'Assumptions'!$AF$76</x:f>
        <x:v>0</x:v>
      </x:c>
      <x:c r="Y310" s="10" t="n">
        <x:f>P310/12</x:f>
        <x:v>0</x:v>
      </x:c>
      <x:c r="Z310" s="10" t="n">
        <x:f>0</x:f>
        <x:v>0</x:v>
      </x:c>
      <x:c r="AA310" s="10" t="n">
        <x:f>Z310*'Assumptions'!$AC$76*'Assumptions'!$D$11*(1+'Assumptions'!$D$13)^(3-1)</x:f>
        <x:v>0</x:v>
      </x:c>
      <x:c r="AB310" s="10" t="n">
        <x:f>F310/1</x:f>
        <x:v>198.37499999999997</x:v>
      </x:c>
      <x:c r="AC310" s="10" t="n">
        <x:f>AB310/'Assumptions'!$AM$76</x:f>
        <x:v>3967.499999999999</x:v>
      </x:c>
      <x:c r="AD310" s="10" t="n">
        <x:f>IF(AB310=0,0,T310/AB310)</x:f>
        <x:v>4.845507561436673</x:v>
      </x:c>
      <x:c r="AE310" s="10" t="n">
        <x:f>AA310*'Assumptions'!$D$21</x:f>
        <x:v>0</x:v>
      </x:c>
    </x:row>
    <x:row r="311" ht="16" customHeight="1">
      <x:c r="A311" s="1"/>
      <x:c r="B311" s="1"/>
      <x:c r="C311" s="1" t="str">
        <x:v>DOT-048</x:v>
      </x:c>
      <x:c r="D311" s="10" t="str">
        <x:v>Turbo Tax - Made Easy!</x:v>
      </x:c>
      <x:c r="E311" s="10" t="n">
        <x:v>3</x:v>
      </x:c>
      <x:c r="F311" s="21" t="n">
        <x:f>F183*(1+'Assumptions'!$L$77)</x:f>
        <x:v>595.125</x:v>
      </x:c>
      <x:c r="G311" s="21" t="n">
        <x:f>H183*'Assumptions'!$K$77</x:f>
        <x:v>160.625</x:v>
      </x:c>
      <x:c r="H311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311+G311,NA())</x:f>
        <x:v>755.75</x:v>
      </x:c>
      <x:c r="I311" s="22" t="n">
        <x:f>'Assumptions'!$H$77*IF('Assumptions'!$O$77=1,1,'Assumptions'!$D$10)*(1+'Assumptions'!$N$77)^(3-1)</x:f>
        <x:v>19.7676</x:v>
      </x:c>
      <x:c r="J311" s="10" t="n">
        <x:f>H311*I311</x:f>
        <x:v>14939.363700000002</x:v>
      </x:c>
      <x:c r="K311" s="10" t="n">
        <x:f>J311*'Assumptions'!$T$77</x:f>
        <x:v>14939.363700000002</x:v>
      </x:c>
      <x:c r="L311" s="10" t="n">
        <x:f>K311*'Assumptions'!$U$77</x:f>
        <x:v>448.18091100000004</x:v>
      </x:c>
      <x:c r="M311" s="10" t="n">
        <x:f>K311*'Assumptions'!$V$77</x:f>
        <x:v>0</x:v>
      </x:c>
      <x:c r="N311" s="10" t="n">
        <x:f>K311-L311-M311</x:f>
        <x:v>14491.182789000002</x:v>
      </x:c>
      <x:c r="O311" s="10" t="n">
        <x:f>H311*'Assumptions'!$P$77*'Assumptions'!$Q$77*'Assumptions'!$D$11*(1+'Assumptions'!$D$13)^(3-1)</x:f>
        <x:v>4209.319668749999</x:v>
      </x:c>
      <x:c r="P311" s="10" t="n">
        <x:f>H311*'Assumptions'!$R$77*'Assumptions'!$D$11*(1+'Assumptions'!$D$13)^(3-1)</x:f>
        <x:v>0</x:v>
      </x:c>
      <x:c r="Q311" s="10" t="n">
        <x:f>J311*'Assumptions'!$S$77</x:f>
        <x:v>0</x:v>
      </x:c>
      <x:c r="R311" s="10" t="n">
        <x:f>H311*'Assumptions'!$Y$77*'Assumptions'!$Z$77*'Assumptions'!$D$11*(1+'Assumptions'!$D$13)^(3-1)</x:f>
        <x:v>2405.3255249999997</x:v>
      </x:c>
      <x:c r="S311" s="10" t="n">
        <x:f>IF(I311=0,0,J311*'Assumptions'!$W$77+H311*'Assumptions'!$X$77)</x:f>
        <x:v>659.9665473000001</x:v>
      </x:c>
      <x:c r="T311" s="10" t="n">
        <x:f>N311*'Assumptions'!$AA$77</x:f>
        <x:v>724.5591394500002</x:v>
      </x:c>
      <x:c r="U311" s="10" t="n">
        <x:f>'Assumptions'!$AE$77*'Assumptions'!$D$11*(1+'Assumptions'!$D$13)^(3-1)</x:f>
        <x:v>0</x:v>
      </x:c>
      <x:c r="V311" s="10" t="n">
        <x:f>0</x:f>
        <x:v>0</x:v>
      </x:c>
      <x:c r="W311" s="10" t="n">
        <x:f>H311*('Assumptions'!$P$77+'Assumptions'!$Y$77)</x:f>
        <x:v>188.9375</x:v>
      </x:c>
      <x:c r="X311" s="10" t="n">
        <x:f>N311/12*'Assumptions'!$AF$77</x:f>
        <x:v>0</x:v>
      </x:c>
      <x:c r="Y311" s="10" t="n">
        <x:f>P311/12</x:f>
        <x:v>0</x:v>
      </x:c>
      <x:c r="Z311" s="10" t="n">
        <x:f>0</x:f>
        <x:v>0</x:v>
      </x:c>
      <x:c r="AA311" s="10" t="n">
        <x:f>Z311*'Assumptions'!$AC$77*'Assumptions'!$D$11*(1+'Assumptions'!$D$13)^(3-1)</x:f>
        <x:v>0</x:v>
      </x:c>
      <x:c r="AB311" s="10" t="n">
        <x:f>F311/1</x:f>
        <x:v>595.125</x:v>
      </x:c>
      <x:c r="AC311" s="10" t="n">
        <x:f>AB311/'Assumptions'!$AM$77</x:f>
        <x:v>11902.5</x:v>
      </x:c>
      <x:c r="AD311" s="10" t="n">
        <x:f>IF(AB311=0,0,T311/AB311)</x:f>
        <x:v>1.2174906775047263</x:v>
      </x:c>
      <x:c r="AE311" s="10" t="n">
        <x:f>AA311*'Assumptions'!$D$21</x:f>
        <x:v>0</x:v>
      </x:c>
    </x:row>
    <x:row r="312" ht="16" customHeight="1">
      <x:c r="A312" s="1"/>
      <x:c r="B312" s="1"/>
      <x:c r="C312" s="1" t="str">
        <x:v>DOT-049</x:v>
      </x:c>
      <x:c r="D312" s="10" t="str">
        <x:v>Turbo Tax - Made Easy!</x:v>
      </x:c>
      <x:c r="E312" s="10" t="n">
        <x:v>3</x:v>
      </x:c>
      <x:c r="F312" s="21" t="n">
        <x:f>F184*(1+'Assumptions'!$L$78)</x:f>
        <x:v>198.37499999999997</x:v>
      </x:c>
      <x:c r="G312" s="21" t="n">
        <x:f>H184*'Assumptions'!$K$78</x:f>
        <x:v>49.375</x:v>
      </x:c>
      <x:c r="H312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312+G312,NA())</x:f>
        <x:v>247.74999999999997</x:v>
      </x:c>
      <x:c r="I312" s="22" t="n">
        <x:f>'Assumptions'!$H$78*IF('Assumptions'!$O$78=1,1,'Assumptions'!$D$10)*(1+'Assumptions'!$N$78)^(3-1)</x:f>
        <x:v>19.7676</x:v>
      </x:c>
      <x:c r="J312" s="10" t="n">
        <x:f>H312*I312</x:f>
        <x:v>4897.4229</x:v>
      </x:c>
      <x:c r="K312" s="10" t="n">
        <x:f>J312*'Assumptions'!$T$78</x:f>
        <x:v>4897.4229</x:v>
      </x:c>
      <x:c r="L312" s="10" t="n">
        <x:f>K312*'Assumptions'!$U$78</x:f>
        <x:v>146.92268699999997</x:v>
      </x:c>
      <x:c r="M312" s="10" t="n">
        <x:f>K312*'Assumptions'!$V$78</x:f>
        <x:v>0</x:v>
      </x:c>
      <x:c r="N312" s="10" t="n">
        <x:f>K312-L312-M312</x:f>
        <x:v>4750.500212999999</x:v>
      </x:c>
      <x:c r="O312" s="10" t="n">
        <x:f>H312*'Assumptions'!$P$78*'Assumptions'!$Q$78*'Assumptions'!$D$11*(1+'Assumptions'!$D$13)^(3-1)</x:f>
        <x:v>1379.8993687499997</x:v>
      </x:c>
      <x:c r="P312" s="10" t="n">
        <x:f>H312*'Assumptions'!$R$78*'Assumptions'!$D$11*(1+'Assumptions'!$D$13)^(3-1)</x:f>
        <x:v>0</x:v>
      </x:c>
      <x:c r="Q312" s="10" t="n">
        <x:f>J312*'Assumptions'!$S$78</x:f>
        <x:v>0</x:v>
      </x:c>
      <x:c r="R312" s="10" t="n">
        <x:f>H312*'Assumptions'!$Y$78*'Assumptions'!$Z$78*'Assumptions'!$D$11*(1+'Assumptions'!$D$13)^(3-1)</x:f>
        <x:v>788.513925</x:v>
      </x:c>
      <x:c r="S312" s="10" t="n">
        <x:f>IF(I312=0,0,J312*'Assumptions'!$W$78+H312*'Assumptions'!$X$78)</x:f>
        <x:v>216.35026409999998</x:v>
      </x:c>
      <x:c r="T312" s="10" t="n">
        <x:f>N312*'Assumptions'!$AA$78</x:f>
        <x:v>237.52501064999998</x:v>
      </x:c>
      <x:c r="U312" s="10" t="n">
        <x:f>'Assumptions'!$AE$78*'Assumptions'!$D$11*(1+'Assumptions'!$D$13)^(3-1)</x:f>
        <x:v>0</x:v>
      </x:c>
      <x:c r="V312" s="10" t="n">
        <x:f>0</x:f>
        <x:v>0</x:v>
      </x:c>
      <x:c r="W312" s="10" t="n">
        <x:f>H312*('Assumptions'!$P$78+'Assumptions'!$Y$78)</x:f>
        <x:v>61.93749999999999</x:v>
      </x:c>
      <x:c r="X312" s="10" t="n">
        <x:f>N312/12*'Assumptions'!$AF$78</x:f>
        <x:v>0</x:v>
      </x:c>
      <x:c r="Y312" s="10" t="n">
        <x:f>P312/12</x:f>
        <x:v>0</x:v>
      </x:c>
      <x:c r="Z312" s="10" t="n">
        <x:f>0</x:f>
        <x:v>0</x:v>
      </x:c>
      <x:c r="AA312" s="10" t="n">
        <x:f>Z312*'Assumptions'!$AC$78*'Assumptions'!$D$11*(1+'Assumptions'!$D$13)^(3-1)</x:f>
        <x:v>0</x:v>
      </x:c>
      <x:c r="AB312" s="10" t="n">
        <x:f>F312/1</x:f>
        <x:v>198.37499999999997</x:v>
      </x:c>
      <x:c r="AC312" s="10" t="n">
        <x:f>AB312/'Assumptions'!$AM$78</x:f>
        <x:v>3967.499999999999</x:v>
      </x:c>
      <x:c r="AD312" s="10" t="n">
        <x:f>IF(AB312=0,0,T312/AB312)</x:f>
        <x:v>1.1973535508506616</x:v>
      </x:c>
      <x:c r="AE312" s="10" t="n">
        <x:f>AA312*'Assumptions'!$D$21</x:f>
        <x:v>0</x:v>
      </x:c>
    </x:row>
    <x:row r="313" ht="16" customHeight="1">
      <x:c r="A313" s="1"/>
      <x:c r="B313" s="1"/>
      <x:c r="C313" s="1" t="str">
        <x:v>DOT-050</x:v>
      </x:c>
      <x:c r="D313" s="10" t="str">
        <x:v>LavaLearning adult</x:v>
      </x:c>
      <x:c r="E313" s="10" t="n">
        <x:v>3</x:v>
      </x:c>
      <x:c r="F313" s="21" t="n">
        <x:f>F185*(1+'Assumptions'!$L$79)</x:f>
        <x:v>595.125</x:v>
      </x:c>
      <x:c r="G313" s="21" t="n">
        <x:f>H185*'Assumptions'!$K$79</x:f>
        <x:v>157.5</x:v>
      </x:c>
      <x:c r="H313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313+G313,NA())</x:f>
        <x:v>752.625</x:v>
      </x:c>
      <x:c r="I313" s="22" t="n">
        <x:f>'Assumptions'!$H$79*IF('Assumptions'!$O$79=1,1,'Assumptions'!$D$10)*(1+'Assumptions'!$N$79)^(3-1)</x:f>
        <x:v>19.7676</x:v>
      </x:c>
      <x:c r="J313" s="10" t="n">
        <x:f>H313*I313</x:f>
        <x:v>14877.589950000001</x:v>
      </x:c>
      <x:c r="K313" s="10" t="n">
        <x:f>J313*'Assumptions'!$T$79</x:f>
        <x:v>14877.589950000001</x:v>
      </x:c>
      <x:c r="L313" s="10" t="n">
        <x:f>K313*'Assumptions'!$U$79</x:f>
        <x:v>446.32769850000005</x:v>
      </x:c>
      <x:c r="M313" s="10" t="n">
        <x:f>K313*'Assumptions'!$V$79</x:f>
        <x:v>0</x:v>
      </x:c>
      <x:c r="N313" s="10" t="n">
        <x:f>K313-L313-M313</x:f>
        <x:v>14431.262251500002</x:v>
      </x:c>
      <x:c r="O313" s="10" t="n">
        <x:f>H313*'Assumptions'!$P$79*'Assumptions'!$Q$79*'Assumptions'!$D$11*(1+'Assumptions'!$D$13)^(3-1)</x:f>
        <x:v>4191.914278125</x:v>
      </x:c>
      <x:c r="P313" s="10" t="n">
        <x:f>H313*'Assumptions'!$R$79*'Assumptions'!$D$11*(1+'Assumptions'!$D$13)^(3-1)</x:f>
        <x:v>0</x:v>
      </x:c>
      <x:c r="Q313" s="10" t="n">
        <x:f>J313*'Assumptions'!$S$79</x:f>
        <x:v>0</x:v>
      </x:c>
      <x:c r="R313" s="10" t="n">
        <x:f>H313*'Assumptions'!$Y$79*'Assumptions'!$Z$79*'Assumptions'!$D$11*(1+'Assumptions'!$D$13)^(3-1)</x:f>
        <x:v>2395.3795875</x:v>
      </x:c>
      <x:c r="S313" s="10" t="n">
        <x:f>IF(I313=0,0,J313*'Assumptions'!$W$79+H313*'Assumptions'!$X$79)</x:f>
        <x:v>657.23760855</x:v>
      </x:c>
      <x:c r="T313" s="10" t="n">
        <x:f>N313*'Assumptions'!$AA$79</x:f>
        <x:v>721.5631125750001</x:v>
      </x:c>
      <x:c r="U313" s="10" t="n">
        <x:f>'Assumptions'!$AE$79*'Assumptions'!$D$11*(1+'Assumptions'!$D$13)^(3-1)</x:f>
        <x:v>0</x:v>
      </x:c>
      <x:c r="V313" s="10" t="n">
        <x:f>0</x:f>
        <x:v>0</x:v>
      </x:c>
      <x:c r="W313" s="10" t="n">
        <x:f>H313*('Assumptions'!$P$79+'Assumptions'!$Y$79)</x:f>
        <x:v>188.15625</x:v>
      </x:c>
      <x:c r="X313" s="10" t="n">
        <x:f>N313/12*'Assumptions'!$AF$79</x:f>
        <x:v>0</x:v>
      </x:c>
      <x:c r="Y313" s="10" t="n">
        <x:f>P313/12</x:f>
        <x:v>0</x:v>
      </x:c>
      <x:c r="Z313" s="10" t="n">
        <x:f>0</x:f>
        <x:v>0</x:v>
      </x:c>
      <x:c r="AA313" s="10" t="n">
        <x:f>Z313*'Assumptions'!$AC$79*'Assumptions'!$D$11*(1+'Assumptions'!$D$13)^(3-1)</x:f>
        <x:v>0</x:v>
      </x:c>
      <x:c r="AB313" s="10" t="n">
        <x:f>F313/1</x:f>
        <x:v>595.125</x:v>
      </x:c>
      <x:c r="AC313" s="10" t="n">
        <x:f>AB313/'Assumptions'!$AM$79</x:f>
        <x:v>11902.5</x:v>
      </x:c>
      <x:c r="AD313" s="10" t="n">
        <x:f>IF(AB313=0,0,T313/AB313)</x:f>
        <x:v>1.21245639584121</x:v>
      </x:c>
      <x:c r="AE313" s="10" t="n">
        <x:f>AA313*'Assumptions'!$D$21</x:f>
        <x:v>0</x:v>
      </x:c>
    </x:row>
    <x:row r="314" ht="16" customHeight="1">
      <x:c r="A314" s="1"/>
      <x:c r="B314" s="1"/>
      <x:c r="C314" s="1" t="str">
        <x:v>DOT-051</x:v>
      </x:c>
      <x:c r="D314" s="10" t="str">
        <x:v>LavaLearning adult</x:v>
      </x:c>
      <x:c r="E314" s="10" t="n">
        <x:v>3</x:v>
      </x:c>
      <x:c r="F314" s="21" t="n">
        <x:f>F186*(1+'Assumptions'!$L$80)</x:f>
        <x:v>119.02499999999998</x:v>
      </x:c>
      <x:c r="G314" s="21" t="n">
        <x:f>H186*'Assumptions'!$K$80</x:f>
        <x:v>29.624999999999996</x:v>
      </x:c>
      <x:c r="H314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314+G314,NA())</x:f>
        <x:v>148.64999999999998</x:v>
      </x:c>
      <x:c r="I314" s="22" t="n">
        <x:f>'Assumptions'!$H$80*IF('Assumptions'!$O$80=1,1,'Assumptions'!$D$10)*(1+'Assumptions'!$N$80)^(3-1)</x:f>
        <x:v>30.171599999999998</x:v>
      </x:c>
      <x:c r="J314" s="10" t="n">
        <x:f>H314*I314</x:f>
        <x:v>4485.008339999999</x:v>
      </x:c>
      <x:c r="K314" s="10" t="n">
        <x:f>J314*'Assumptions'!$T$80</x:f>
        <x:v>4485.008339999999</x:v>
      </x:c>
      <x:c r="L314" s="10" t="n">
        <x:f>K314*'Assumptions'!$U$80</x:f>
        <x:v>134.55025019999997</x:v>
      </x:c>
      <x:c r="M314" s="10" t="n">
        <x:f>K314*'Assumptions'!$V$80</x:f>
        <x:v>0</x:v>
      </x:c>
      <x:c r="N314" s="10" t="n">
        <x:f>K314-L314-M314</x:f>
        <x:v>4350.4580897999995</x:v>
      </x:c>
      <x:c r="O314" s="10" t="n">
        <x:f>H314*'Assumptions'!$P$80*'Assumptions'!$Q$80*'Assumptions'!$D$11*(1+'Assumptions'!$D$13)^(3-1)</x:f>
        <x:v>827.9396212499998</x:v>
      </x:c>
      <x:c r="P314" s="10" t="n">
        <x:f>H314*'Assumptions'!$R$80*'Assumptions'!$D$11*(1+'Assumptions'!$D$13)^(3-1)</x:f>
        <x:v>0</x:v>
      </x:c>
      <x:c r="Q314" s="10" t="n">
        <x:f>J314*'Assumptions'!$S$80</x:f>
        <x:v>0</x:v>
      </x:c>
      <x:c r="R314" s="10" t="n">
        <x:f>H314*'Assumptions'!$Y$80*'Assumptions'!$Z$80*'Assumptions'!$D$11*(1+'Assumptions'!$D$13)^(3-1)</x:f>
        <x:v>473.1083549999999</x:v>
      </x:c>
      <x:c r="S314" s="10" t="n">
        <x:f>IF(I314=0,0,J314*'Assumptions'!$W$80+H314*'Assumptions'!$X$80)</x:f>
        <x:v>174.66024185999999</x:v>
      </x:c>
      <x:c r="T314" s="10" t="n">
        <x:f>N314*'Assumptions'!$AA$80</x:f>
        <x:v>217.52290448999997</x:v>
      </x:c>
      <x:c r="U314" s="10" t="n">
        <x:f>'Assumptions'!$AE$80*'Assumptions'!$D$11*(1+'Assumptions'!$D$13)^(3-1)</x:f>
        <x:v>0</x:v>
      </x:c>
      <x:c r="V314" s="10" t="n">
        <x:f>0</x:f>
        <x:v>0</x:v>
      </x:c>
      <x:c r="W314" s="10" t="n">
        <x:f>H314*('Assumptions'!$P$80+'Assumptions'!$Y$80)</x:f>
        <x:v>37.162499999999994</x:v>
      </x:c>
      <x:c r="X314" s="10" t="n">
        <x:f>N314/12*'Assumptions'!$AF$80</x:f>
        <x:v>0</x:v>
      </x:c>
      <x:c r="Y314" s="10" t="n">
        <x:f>P314/12</x:f>
        <x:v>0</x:v>
      </x:c>
      <x:c r="Z314" s="10" t="n">
        <x:f>0</x:f>
        <x:v>0</x:v>
      </x:c>
      <x:c r="AA314" s="10" t="n">
        <x:f>Z314*'Assumptions'!$AC$80*'Assumptions'!$D$11*(1+'Assumptions'!$D$13)^(3-1)</x:f>
        <x:v>0</x:v>
      </x:c>
      <x:c r="AB314" s="10" t="n">
        <x:f>F314/1</x:f>
        <x:v>119.02499999999998</x:v>
      </x:c>
      <x:c r="AC314" s="10" t="n">
        <x:f>AB314/'Assumptions'!$AM$80</x:f>
        <x:v>2380.4999999999995</x:v>
      </x:c>
      <x:c r="AD314" s="10" t="n">
        <x:f>IF(AB314=0,0,T314/AB314)</x:f>
        <x:v>1.8275396302457467</x:v>
      </x:c>
      <x:c r="AE314" s="10" t="n">
        <x:f>AA314*'Assumptions'!$D$21</x:f>
        <x:v>0</x:v>
      </x:c>
    </x:row>
    <x:row r="315" ht="16" customHeight="1">
      <x:c r="A315" s="1"/>
      <x:c r="B315" s="1"/>
      <x:c r="C315" s="1" t="str">
        <x:v>DOT-052</x:v>
      </x:c>
      <x:c r="D315" s="10" t="str">
        <x:v>LavaLearning Model Life</x:v>
      </x:c>
      <x:c r="E315" s="10" t="n">
        <x:v>3</x:v>
      </x:c>
      <x:c r="F315" s="21" t="n">
        <x:f>F187*(1+'Assumptions'!$L$81)</x:f>
        <x:v>0</x:v>
      </x:c>
      <x:c r="G315" s="21" t="n">
        <x:f>H187*'Assumptions'!$K$81</x:f>
        <x:v>0</x:v>
      </x:c>
      <x:c r="H315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315+G315,NA())</x:f>
        <x:v>0</x:v>
      </x:c>
      <x:c r="I315" s="22" t="n">
        <x:f>'Assumptions'!$H$81*IF('Assumptions'!$O$81=1,1,'Assumptions'!$D$10)*(1+'Assumptions'!$N$81)^(3-1)</x:f>
        <x:v>0</x:v>
      </x:c>
      <x:c r="J315" s="10" t="n">
        <x:f>H315*I315</x:f>
        <x:v>0</x:v>
      </x:c>
      <x:c r="K315" s="10" t="n">
        <x:f>J315*'Assumptions'!$T$81</x:f>
        <x:v>0</x:v>
      </x:c>
      <x:c r="L315" s="10" t="n">
        <x:f>K315*'Assumptions'!$U$81</x:f>
        <x:v>0</x:v>
      </x:c>
      <x:c r="M315" s="10" t="n">
        <x:f>K315*'Assumptions'!$V$81</x:f>
        <x:v>0</x:v>
      </x:c>
      <x:c r="N315" s="10" t="n">
        <x:f>K315-L315-M315</x:f>
        <x:v>0</x:v>
      </x:c>
      <x:c r="O315" s="10" t="n">
        <x:f>H315*'Assumptions'!$P$81*'Assumptions'!$Q$81*'Assumptions'!$D$11*(1+'Assumptions'!$D$13)^(3-1)</x:f>
        <x:v>0</x:v>
      </x:c>
      <x:c r="P315" s="10" t="n">
        <x:f>H315*'Assumptions'!$R$81*'Assumptions'!$D$11*(1+'Assumptions'!$D$13)^(3-1)</x:f>
        <x:v>0</x:v>
      </x:c>
      <x:c r="Q315" s="10" t="n">
        <x:f>J315*'Assumptions'!$S$81</x:f>
        <x:v>0</x:v>
      </x:c>
      <x:c r="R315" s="10" t="n">
        <x:f>H315*'Assumptions'!$Y$81*'Assumptions'!$Z$81*'Assumptions'!$D$11*(1+'Assumptions'!$D$13)^(3-1)</x:f>
        <x:v>0</x:v>
      </x:c>
      <x:c r="S315" s="10" t="n">
        <x:f>IF(I315=0,0,J315*'Assumptions'!$W$81+H315*'Assumptions'!$X$81)</x:f>
        <x:v>0</x:v>
      </x:c>
      <x:c r="T315" s="10" t="n">
        <x:f>N315*'Assumptions'!$AA$81</x:f>
        <x:v>0</x:v>
      </x:c>
      <x:c r="U315" s="10" t="n">
        <x:f>'Assumptions'!$AE$81*'Assumptions'!$D$11*(1+'Assumptions'!$D$13)^(3-1)</x:f>
        <x:v>0</x:v>
      </x:c>
      <x:c r="V315" s="10" t="n">
        <x:f>0</x:f>
        <x:v>0</x:v>
      </x:c>
      <x:c r="W315" s="10" t="n">
        <x:f>H315*('Assumptions'!$P$81+'Assumptions'!$Y$81)</x:f>
        <x:v>0</x:v>
      </x:c>
      <x:c r="X315" s="10" t="n">
        <x:f>N315/12*'Assumptions'!$AF$81</x:f>
        <x:v>0</x:v>
      </x:c>
      <x:c r="Y315" s="10" t="n">
        <x:f>P315/12</x:f>
        <x:v>0</x:v>
      </x:c>
      <x:c r="Z315" s="10" t="n">
        <x:f>0</x:f>
        <x:v>0</x:v>
      </x:c>
      <x:c r="AA315" s="10" t="n">
        <x:f>Z315*'Assumptions'!$AC$81*'Assumptions'!$D$11*(1+'Assumptions'!$D$13)^(3-1)</x:f>
        <x:v>0</x:v>
      </x:c>
      <x:c r="AB315" s="10" t="n">
        <x:f>F315/1</x:f>
        <x:v>0</x:v>
      </x:c>
      <x:c r="AC315" s="10" t="n">
        <x:f>AB315/'Assumptions'!$AM$81</x:f>
        <x:v>0</x:v>
      </x:c>
      <x:c r="AD315" s="10" t="n">
        <x:f>IF(AB315=0,0,T315/AB315)</x:f>
        <x:v>0</x:v>
      </x:c>
      <x:c r="AE315" s="10" t="n">
        <x:f>AA315*'Assumptions'!$D$21</x:f>
        <x:v>0</x:v>
      </x:c>
    </x:row>
    <x:row r="316" ht="16" customHeight="1">
      <x:c r="A316" s="1"/>
      <x:c r="B316" s="1"/>
      <x:c r="C316" s="1" t="str">
        <x:v>DOT-053</x:v>
      </x:c>
      <x:c r="D316" s="10" t="str">
        <x:v>LavaLearning Kids</x:v>
      </x:c>
      <x:c r="E316" s="10" t="n">
        <x:v>3</x:v>
      </x:c>
      <x:c r="F316" s="21" t="n">
        <x:f>F188*(1+'Assumptions'!$L$82)</x:f>
        <x:v>595.125</x:v>
      </x:c>
      <x:c r="G316" s="21" t="n">
        <x:f>H188*'Assumptions'!$K$82</x:f>
        <x:v>148.125</x:v>
      </x:c>
      <x:c r="H316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316+G316,NA())</x:f>
        <x:v>743.25</x:v>
      </x:c>
      <x:c r="I316" s="22" t="n">
        <x:f>'Assumptions'!$H$82*IF('Assumptions'!$O$82=1,1,'Assumptions'!$D$10)*(1+'Assumptions'!$N$82)^(3-1)</x:f>
        <x:v>19.7676</x:v>
      </x:c>
      <x:c r="J316" s="10" t="n">
        <x:f>H316*I316</x:f>
        <x:v>14692.2687</x:v>
      </x:c>
      <x:c r="K316" s="10" t="n">
        <x:f>J316*'Assumptions'!$T$82</x:f>
        <x:v>14692.2687</x:v>
      </x:c>
      <x:c r="L316" s="10" t="n">
        <x:f>K316*'Assumptions'!$U$82</x:f>
        <x:v>440.768061</x:v>
      </x:c>
      <x:c r="M316" s="10" t="n">
        <x:f>K316*'Assumptions'!$V$82</x:f>
        <x:v>0</x:v>
      </x:c>
      <x:c r="N316" s="10" t="n">
        <x:f>K316-L316-M316</x:f>
        <x:v>14251.500639</x:v>
      </x:c>
      <x:c r="O316" s="10" t="n">
        <x:f>H316*'Assumptions'!$P$82*'Assumptions'!$Q$82*'Assumptions'!$D$11*(1+'Assumptions'!$D$13)^(3-1)</x:f>
        <x:v>4139.69810625</x:v>
      </x:c>
      <x:c r="P316" s="10" t="n">
        <x:f>H316*'Assumptions'!$R$82*'Assumptions'!$D$11*(1+'Assumptions'!$D$13)^(3-1)</x:f>
        <x:v>0</x:v>
      </x:c>
      <x:c r="Q316" s="10" t="n">
        <x:f>J316*'Assumptions'!$S$82</x:f>
        <x:v>0</x:v>
      </x:c>
      <x:c r="R316" s="10" t="n">
        <x:f>H316*'Assumptions'!$Y$82*'Assumptions'!$Z$82*'Assumptions'!$D$11*(1+'Assumptions'!$D$13)^(3-1)</x:f>
        <x:v>2365.5417749999997</x:v>
      </x:c>
      <x:c r="S316" s="10" t="n">
        <x:f>IF(I316=0,0,J316*'Assumptions'!$W$82+H316*'Assumptions'!$X$82)</x:f>
        <x:v>649.0507923</x:v>
      </x:c>
      <x:c r="T316" s="10" t="n">
        <x:f>N316*'Assumptions'!$AA$82</x:f>
        <x:v>712.57503195</x:v>
      </x:c>
      <x:c r="U316" s="10" t="n">
        <x:f>'Assumptions'!$AE$82*'Assumptions'!$D$11*(1+'Assumptions'!$D$13)^(3-1)</x:f>
        <x:v>254.61599999999999</x:v>
      </x:c>
      <x:c r="V316" s="10" t="n">
        <x:f>0</x:f>
        <x:v>0</x:v>
      </x:c>
      <x:c r="W316" s="10" t="n">
        <x:f>H316*('Assumptions'!$P$82+'Assumptions'!$Y$82)</x:f>
        <x:v>185.8125</x:v>
      </x:c>
      <x:c r="X316" s="10" t="n">
        <x:f>N316/12*'Assumptions'!$AF$82</x:f>
        <x:v>0</x:v>
      </x:c>
      <x:c r="Y316" s="10" t="n">
        <x:f>P316/12</x:f>
        <x:v>0</x:v>
      </x:c>
      <x:c r="Z316" s="10" t="n">
        <x:f>0</x:f>
        <x:v>0</x:v>
      </x:c>
      <x:c r="AA316" s="10" t="n">
        <x:f>Z316*'Assumptions'!$AC$82*'Assumptions'!$D$11*(1+'Assumptions'!$D$13)^(3-1)</x:f>
        <x:v>0</x:v>
      </x:c>
      <x:c r="AB316" s="10" t="n">
        <x:f>F316/1</x:f>
        <x:v>595.125</x:v>
      </x:c>
      <x:c r="AC316" s="10" t="n">
        <x:f>AB316/'Assumptions'!$AM$82</x:f>
        <x:v>11902.5</x:v>
      </x:c>
      <x:c r="AD316" s="10" t="n">
        <x:f>IF(AB316=0,0,T316/AB316)</x:f>
        <x:v>1.1973535508506616</x:v>
      </x:c>
      <x:c r="AE316" s="10" t="n">
        <x:f>AA316*'Assumptions'!$D$21</x:f>
        <x:v>0</x:v>
      </x:c>
    </x:row>
    <x:row r="317" ht="16" customHeight="1">
      <x:c r="A317" s="1"/>
      <x:c r="B317" s="1"/>
      <x:c r="C317" s="1" t="str">
        <x:v>DOT-054</x:v>
      </x:c>
      <x:c r="D317" s="10" t="str">
        <x:v>VraiSkill adult</x:v>
      </x:c>
      <x:c r="E317" s="10" t="n">
        <x:v>3</x:v>
      </x:c>
      <x:c r="F317" s="21" t="n">
        <x:f>F189*(1+'Assumptions'!$L$83)</x:f>
        <x:v>1190.25</x:v>
      </x:c>
      <x:c r="G317" s="21" t="n">
        <x:f>H189*'Assumptions'!$K$83</x:f>
        <x:v>315</x:v>
      </x:c>
      <x:c r="H317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317+G317,NA())</x:f>
        <x:v>1505.25</x:v>
      </x:c>
      <x:c r="I317" s="22" t="n">
        <x:f>'Assumptions'!$H$83*IF('Assumptions'!$O$83=1,1,'Assumptions'!$D$10)*(1+'Assumptions'!$N$83)^(3-1)</x:f>
        <x:v>10.393596</x:v>
      </x:c>
      <x:c r="J317" s="10" t="n">
        <x:f>H317*I317</x:f>
        <x:v>15644.960379</x:v>
      </x:c>
      <x:c r="K317" s="10" t="n">
        <x:f>J317*'Assumptions'!$T$83</x:f>
        <x:v>15644.960379</x:v>
      </x:c>
      <x:c r="L317" s="10" t="n">
        <x:f>K317*'Assumptions'!$U$83</x:f>
        <x:v>469.34881136999996</x:v>
      </x:c>
      <x:c r="M317" s="10" t="n">
        <x:f>K317*'Assumptions'!$V$83</x:f>
        <x:v>0</x:v>
      </x:c>
      <x:c r="N317" s="10" t="n">
        <x:f>K317-L317-M317</x:f>
        <x:v>15175.61156763</x:v>
      </x:c>
      <x:c r="O317" s="10" t="n">
        <x:f>H317*'Assumptions'!$P$83*'Assumptions'!$Q$83*'Assumptions'!$D$11*(1+'Assumptions'!$D$13)^(3-1)</x:f>
        <x:v>8383.82855625</x:v>
      </x:c>
      <x:c r="P317" s="10" t="n">
        <x:f>H317*'Assumptions'!$R$83*'Assumptions'!$D$11*(1+'Assumptions'!$D$13)^(3-1)</x:f>
        <x:v>0</x:v>
      </x:c>
      <x:c r="Q317" s="10" t="n">
        <x:f>J317*'Assumptions'!$S$83</x:f>
        <x:v>0</x:v>
      </x:c>
      <x:c r="R317" s="10" t="n">
        <x:f>H317*'Assumptions'!$Y$83*'Assumptions'!$Z$83*'Assumptions'!$D$11*(1+'Assumptions'!$D$13)^(3-1)</x:f>
        <x:v>4790.759175</x:v>
      </x:c>
      <x:c r="S317" s="10" t="n">
        <x:f>IF(I317=0,0,J317*'Assumptions'!$W$83+H317*'Assumptions'!$X$83)</x:f>
        <x:v>905.278850991</x:v>
      </x:c>
      <x:c r="T317" s="10" t="n">
        <x:f>N317*'Assumptions'!$AA$83</x:f>
        <x:v>758.7805783815</x:v>
      </x:c>
      <x:c r="U317" s="10" t="n">
        <x:f>'Assumptions'!$AE$83*'Assumptions'!$D$11*(1+'Assumptions'!$D$13)^(3-1)</x:f>
        <x:v>254.61599999999999</x:v>
      </x:c>
      <x:c r="V317" s="10" t="n">
        <x:f>0</x:f>
        <x:v>0</x:v>
      </x:c>
      <x:c r="W317" s="10" t="n">
        <x:f>H317*('Assumptions'!$P$83+'Assumptions'!$Y$83)</x:f>
        <x:v>376.3125</x:v>
      </x:c>
      <x:c r="X317" s="10" t="n">
        <x:f>N317/12*'Assumptions'!$AF$83</x:f>
        <x:v>0</x:v>
      </x:c>
      <x:c r="Y317" s="10" t="n">
        <x:f>P317/12</x:f>
        <x:v>0</x:v>
      </x:c>
      <x:c r="Z317" s="10" t="n">
        <x:f>0</x:f>
        <x:v>0</x:v>
      </x:c>
      <x:c r="AA317" s="10" t="n">
        <x:f>Z317*'Assumptions'!$AC$83*'Assumptions'!$D$11*(1+'Assumptions'!$D$13)^(3-1)</x:f>
        <x:v>0</x:v>
      </x:c>
      <x:c r="AB317" s="10" t="n">
        <x:f>F317/1</x:f>
        <x:v>1190.25</x:v>
      </x:c>
      <x:c r="AC317" s="10" t="n">
        <x:f>AB317/'Assumptions'!$AM$83</x:f>
        <x:v>23805</x:v>
      </x:c>
      <x:c r="AD317" s="10" t="n">
        <x:f>IF(AB317=0,0,T317/AB317)</x:f>
        <x:v>0.6374968102344046</x:v>
      </x:c>
      <x:c r="AE317" s="10" t="n">
        <x:f>AA317*'Assumptions'!$D$21</x:f>
        <x:v>0</x:v>
      </x:c>
    </x:row>
    <x:row r="318" ht="16" customHeight="1">
      <x:c r="A318" s="1"/>
      <x:c r="B318" s="1"/>
      <x:c r="C318" s="1" t="str">
        <x:v>DOT-055</x:v>
      </x:c>
      <x:c r="D318" s="10" t="str">
        <x:v>VraiSkill adult</x:v>
      </x:c>
      <x:c r="E318" s="10" t="n">
        <x:v>3</x:v>
      </x:c>
      <x:c r="F318" s="21" t="n">
        <x:f>F190*(1+'Assumptions'!$L$84)</x:f>
        <x:v>396.74999999999994</x:v>
      </x:c>
      <x:c r="G318" s="21" t="n">
        <x:f>H190*'Assumptions'!$K$84</x:f>
        <x:v>105</x:v>
      </x:c>
      <x:c r="H318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318+G318,NA())</x:f>
        <x:v>501.74999999999994</x:v>
      </x:c>
      <x:c r="I318" s="22" t="n">
        <x:f>'Assumptions'!$H$84*IF('Assumptions'!$O$84=1,1,'Assumptions'!$D$10)*(1+'Assumptions'!$N$84)^(3-1)</x:f>
        <x:v>24.9696</x:v>
      </x:c>
      <x:c r="J318" s="10" t="n">
        <x:f>H318*I318</x:f>
        <x:v>12528.496799999999</x:v>
      </x:c>
      <x:c r="K318" s="10" t="n">
        <x:f>J318*'Assumptions'!$T$84</x:f>
        <x:v>12528.496799999999</x:v>
      </x:c>
      <x:c r="L318" s="10" t="n">
        <x:f>K318*'Assumptions'!$U$84</x:f>
        <x:v>375.854904</x:v>
      </x:c>
      <x:c r="M318" s="10" t="n">
        <x:f>K318*'Assumptions'!$V$84</x:f>
        <x:v>0</x:v>
      </x:c>
      <x:c r="N318" s="10" t="n">
        <x:f>K318-L318-M318</x:f>
        <x:v>12152.641896</x:v>
      </x:c>
      <x:c r="O318" s="10" t="n">
        <x:f>H318*'Assumptions'!$P$84*'Assumptions'!$Q$84*'Assumptions'!$D$11*(1+'Assumptions'!$D$13)^(3-1)</x:f>
        <x:v>2794.6095187499996</x:v>
      </x:c>
      <x:c r="P318" s="10" t="n">
        <x:f>H318*'Assumptions'!$R$84*'Assumptions'!$D$11*(1+'Assumptions'!$D$13)^(3-1)</x:f>
        <x:v>0</x:v>
      </x:c>
      <x:c r="Q318" s="10" t="n">
        <x:f>J318*'Assumptions'!$S$84</x:f>
        <x:v>0</x:v>
      </x:c>
      <x:c r="R318" s="10" t="n">
        <x:f>H318*'Assumptions'!$Y$84*'Assumptions'!$Z$84*'Assumptions'!$D$11*(1+'Assumptions'!$D$13)^(3-1)</x:f>
        <x:v>1596.919725</x:v>
      </x:c>
      <x:c r="S318" s="10" t="n">
        <x:f>IF(I318=0,0,J318*'Assumptions'!$W$84+H318*'Assumptions'!$X$84)</x:f>
        <x:v>513.8514072</x:v>
      </x:c>
      <x:c r="T318" s="10" t="n">
        <x:f>N318*'Assumptions'!$AA$84</x:f>
        <x:v>607.6320948</x:v>
      </x:c>
      <x:c r="U318" s="10" t="n">
        <x:f>'Assumptions'!$AE$84*'Assumptions'!$D$11*(1+'Assumptions'!$D$13)^(3-1)</x:f>
        <x:v>0</x:v>
      </x:c>
      <x:c r="V318" s="10" t="n">
        <x:f>0</x:f>
        <x:v>0</x:v>
      </x:c>
      <x:c r="W318" s="10" t="n">
        <x:f>H318*('Assumptions'!$P$84+'Assumptions'!$Y$84)</x:f>
        <x:v>125.43749999999999</x:v>
      </x:c>
      <x:c r="X318" s="10" t="n">
        <x:f>N318/12*'Assumptions'!$AF$84</x:f>
        <x:v>0</x:v>
      </x:c>
      <x:c r="Y318" s="10" t="n">
        <x:f>P318/12</x:f>
        <x:v>0</x:v>
      </x:c>
      <x:c r="Z318" s="10" t="n">
        <x:f>0</x:f>
        <x:v>0</x:v>
      </x:c>
      <x:c r="AA318" s="10" t="n">
        <x:f>Z318*'Assumptions'!$AC$84*'Assumptions'!$D$11*(1+'Assumptions'!$D$13)^(3-1)</x:f>
        <x:v>0</x:v>
      </x:c>
      <x:c r="AB318" s="10" t="n">
        <x:f>F318/1</x:f>
        <x:v>396.74999999999994</x:v>
      </x:c>
      <x:c r="AC318" s="10" t="n">
        <x:f>AB318/'Assumptions'!$AM$84</x:f>
        <x:v>7934.999999999998</x:v>
      </x:c>
      <x:c r="AD318" s="10" t="n">
        <x:f>IF(AB318=0,0,T318/AB318)</x:f>
        <x:v>1.5315238684310022</x:v>
      </x:c>
      <x:c r="AE318" s="10" t="n">
        <x:f>AA318*'Assumptions'!$D$21</x:f>
        <x:v>0</x:v>
      </x:c>
    </x:row>
    <x:row r="319" ht="16" customHeight="1">
      <x:c r="A319" s="1"/>
      <x:c r="B319" s="1"/>
      <x:c r="C319" s="1" t="str">
        <x:v>DOT-056</x:v>
      </x:c>
      <x:c r="D319" s="10" t="str">
        <x:v>VraiSkill teen</x:v>
      </x:c>
      <x:c r="E319" s="10" t="n">
        <x:v>3</x:v>
      </x:c>
      <x:c r="F319" s="21" t="n">
        <x:f>F191*(1+'Assumptions'!$L$85)</x:f>
        <x:v>396.74999999999994</x:v>
      </x:c>
      <x:c r="G319" s="21" t="n">
        <x:f>H191*'Assumptions'!$K$85</x:f>
        <x:v>98.75</x:v>
      </x:c>
      <x:c r="H319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319+G319,NA())</x:f>
        <x:v>495.49999999999994</x:v>
      </x:c>
      <x:c r="I319" s="22" t="n">
        <x:f>'Assumptions'!$H$85*IF('Assumptions'!$O$85=1,1,'Assumptions'!$D$10)*(1+'Assumptions'!$N$85)^(3-1)</x:f>
        <x:v>24.9696</x:v>
      </x:c>
      <x:c r="J319" s="10" t="n">
        <x:f>H319*I319</x:f>
        <x:v>12372.436799999998</x:v>
      </x:c>
      <x:c r="K319" s="10" t="n">
        <x:f>J319*'Assumptions'!$T$85</x:f>
        <x:v>12372.436799999998</x:v>
      </x:c>
      <x:c r="L319" s="10" t="n">
        <x:f>K319*'Assumptions'!$U$85</x:f>
        <x:v>371.1731039999999</x:v>
      </x:c>
      <x:c r="M319" s="10" t="n">
        <x:f>K319*'Assumptions'!$V$85</x:f>
        <x:v>0</x:v>
      </x:c>
      <x:c r="N319" s="10" t="n">
        <x:f>K319-L319-M319</x:f>
        <x:v>12001.263695999998</x:v>
      </x:c>
      <x:c r="O319" s="10" t="n">
        <x:f>H319*'Assumptions'!$P$85*'Assumptions'!$Q$85*'Assumptions'!$D$11*(1+'Assumptions'!$D$13)^(3-1)</x:f>
        <x:v>2759.7987374999993</x:v>
      </x:c>
      <x:c r="P319" s="10" t="n">
        <x:f>H319*'Assumptions'!$R$85*'Assumptions'!$D$11*(1+'Assumptions'!$D$13)^(3-1)</x:f>
        <x:v>0</x:v>
      </x:c>
      <x:c r="Q319" s="10" t="n">
        <x:f>J319*'Assumptions'!$S$85</x:f>
        <x:v>0</x:v>
      </x:c>
      <x:c r="R319" s="10" t="n">
        <x:f>H319*'Assumptions'!$Y$85*'Assumptions'!$Z$85*'Assumptions'!$D$11*(1+'Assumptions'!$D$13)^(3-1)</x:f>
        <x:v>1577.02785</x:v>
      </x:c>
      <x:c r="S319" s="10" t="n">
        <x:f>IF(I319=0,0,J319*'Assumptions'!$W$85+H319*'Assumptions'!$X$85)</x:f>
        <x:v>507.45066719999994</x:v>
      </x:c>
      <x:c r="T319" s="10" t="n">
        <x:f>N319*'Assumptions'!$AA$85</x:f>
        <x:v>600.0631847999999</x:v>
      </x:c>
      <x:c r="U319" s="10" t="n">
        <x:f>'Assumptions'!$AE$85*'Assumptions'!$D$11*(1+'Assumptions'!$D$13)^(3-1)</x:f>
        <x:v>254.61599999999999</x:v>
      </x:c>
      <x:c r="V319" s="10" t="n">
        <x:f>0</x:f>
        <x:v>0</x:v>
      </x:c>
      <x:c r="W319" s="10" t="n">
        <x:f>H319*('Assumptions'!$P$85+'Assumptions'!$Y$85)</x:f>
        <x:v>123.87499999999999</x:v>
      </x:c>
      <x:c r="X319" s="10" t="n">
        <x:f>N319/12*'Assumptions'!$AF$85</x:f>
        <x:v>0</x:v>
      </x:c>
      <x:c r="Y319" s="10" t="n">
        <x:f>P319/12</x:f>
        <x:v>0</x:v>
      </x:c>
      <x:c r="Z319" s="10" t="n">
        <x:f>0</x:f>
        <x:v>0</x:v>
      </x:c>
      <x:c r="AA319" s="10" t="n">
        <x:f>Z319*'Assumptions'!$AC$85*'Assumptions'!$D$11*(1+'Assumptions'!$D$13)^(3-1)</x:f>
        <x:v>0</x:v>
      </x:c>
      <x:c r="AB319" s="10" t="n">
        <x:f>F319/1</x:f>
        <x:v>396.74999999999994</x:v>
      </x:c>
      <x:c r="AC319" s="10" t="n">
        <x:f>AB319/'Assumptions'!$AM$85</x:f>
        <x:v>7934.999999999998</x:v>
      </x:c>
      <x:c r="AD319" s="10" t="n">
        <x:f>IF(AB319=0,0,T319/AB319)</x:f>
        <x:v>1.5124465905482043</x:v>
      </x:c>
      <x:c r="AE319" s="10" t="n">
        <x:f>AA319*'Assumptions'!$D$21</x:f>
        <x:v>0</x:v>
      </x:c>
    </x:row>
    <x:row r="320" ht="16" customHeight="1">
      <x:c r="A320" s="1"/>
      <x:c r="B320" s="1"/>
      <x:c r="C320" s="1" t="str">
        <x:v>DOT-057</x:v>
      </x:c>
      <x:c r="D320" s="10" t="str">
        <x:v>VraiSkill Model Life</x:v>
      </x:c>
      <x:c r="E320" s="10" t="n">
        <x:v>3</x:v>
      </x:c>
      <x:c r="F320" s="21" t="n">
        <x:f>F192*(1+'Assumptions'!$L$86)</x:f>
        <x:v>0</x:v>
      </x:c>
      <x:c r="G320" s="21" t="n">
        <x:f>H192*'Assumptions'!$K$86</x:f>
        <x:v>0</x:v>
      </x:c>
      <x:c r="H320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320+G320,NA())</x:f>
        <x:v>0</x:v>
      </x:c>
      <x:c r="I320" s="22" t="n">
        <x:f>'Assumptions'!$H$86*IF('Assumptions'!$O$86=1,1,'Assumptions'!$D$10)*(1+'Assumptions'!$N$86)^(3-1)</x:f>
        <x:v>0</x:v>
      </x:c>
      <x:c r="J320" s="10" t="n">
        <x:f>H320*I320</x:f>
        <x:v>0</x:v>
      </x:c>
      <x:c r="K320" s="10" t="n">
        <x:f>J320*'Assumptions'!$T$86</x:f>
        <x:v>0</x:v>
      </x:c>
      <x:c r="L320" s="10" t="n">
        <x:f>K320*'Assumptions'!$U$86</x:f>
        <x:v>0</x:v>
      </x:c>
      <x:c r="M320" s="10" t="n">
        <x:f>K320*'Assumptions'!$V$86</x:f>
        <x:v>0</x:v>
      </x:c>
      <x:c r="N320" s="10" t="n">
        <x:f>K320-L320-M320</x:f>
        <x:v>0</x:v>
      </x:c>
      <x:c r="O320" s="10" t="n">
        <x:f>H320*'Assumptions'!$P$86*'Assumptions'!$Q$86*'Assumptions'!$D$11*(1+'Assumptions'!$D$13)^(3-1)</x:f>
        <x:v>0</x:v>
      </x:c>
      <x:c r="P320" s="10" t="n">
        <x:f>H320*'Assumptions'!$R$86*'Assumptions'!$D$11*(1+'Assumptions'!$D$13)^(3-1)</x:f>
        <x:v>0</x:v>
      </x:c>
      <x:c r="Q320" s="10" t="n">
        <x:f>J320*'Assumptions'!$S$86</x:f>
        <x:v>0</x:v>
      </x:c>
      <x:c r="R320" s="10" t="n">
        <x:f>H320*'Assumptions'!$Y$86*'Assumptions'!$Z$86*'Assumptions'!$D$11*(1+'Assumptions'!$D$13)^(3-1)</x:f>
        <x:v>0</x:v>
      </x:c>
      <x:c r="S320" s="10" t="n">
        <x:f>IF(I320=0,0,J320*'Assumptions'!$W$86+H320*'Assumptions'!$X$86)</x:f>
        <x:v>0</x:v>
      </x:c>
      <x:c r="T320" s="10" t="n">
        <x:f>N320*'Assumptions'!$AA$86</x:f>
        <x:v>0</x:v>
      </x:c>
      <x:c r="U320" s="10" t="n">
        <x:f>'Assumptions'!$AE$86*'Assumptions'!$D$11*(1+'Assumptions'!$D$13)^(3-1)</x:f>
        <x:v>0</x:v>
      </x:c>
      <x:c r="V320" s="10" t="n">
        <x:f>0</x:f>
        <x:v>0</x:v>
      </x:c>
      <x:c r="W320" s="10" t="n">
        <x:f>H320*('Assumptions'!$P$86+'Assumptions'!$Y$86)</x:f>
        <x:v>0</x:v>
      </x:c>
      <x:c r="X320" s="10" t="n">
        <x:f>N320/12*'Assumptions'!$AF$86</x:f>
        <x:v>0</x:v>
      </x:c>
      <x:c r="Y320" s="10" t="n">
        <x:f>P320/12</x:f>
        <x:v>0</x:v>
      </x:c>
      <x:c r="Z320" s="10" t="n">
        <x:f>0</x:f>
        <x:v>0</x:v>
      </x:c>
      <x:c r="AA320" s="10" t="n">
        <x:f>Z320*'Assumptions'!$AC$86*'Assumptions'!$D$11*(1+'Assumptions'!$D$13)^(3-1)</x:f>
        <x:v>0</x:v>
      </x:c>
      <x:c r="AB320" s="10" t="n">
        <x:f>F320/1</x:f>
        <x:v>0</x:v>
      </x:c>
      <x:c r="AC320" s="10" t="n">
        <x:f>AB320/'Assumptions'!$AM$86</x:f>
        <x:v>0</x:v>
      </x:c>
      <x:c r="AD320" s="10" t="n">
        <x:f>IF(AB320=0,0,T320/AB320)</x:f>
        <x:v>0</x:v>
      </x:c>
      <x:c r="AE320" s="10" t="n">
        <x:f>AA320*'Assumptions'!$D$21</x:f>
        <x:v>0</x:v>
      </x:c>
    </x:row>
    <x:row r="321" ht="16" customHeight="1">
      <x:c r="A321" s="1"/>
      <x:c r="B321" s="1"/>
      <x:c r="C321" s="1" t="str">
        <x:v>DOT-058</x:v>
      </x:c>
      <x:c r="D321" s="10" t="str">
        <x:v>Model Life</x:v>
      </x:c>
      <x:c r="E321" s="10" t="n">
        <x:v>3</x:v>
      </x:c>
      <x:c r="F321" s="21" t="n">
        <x:f>F193*(1+'Assumptions'!$L$87)</x:f>
        <x:v>207.36000000000004</x:v>
      </x:c>
      <x:c r="G321" s="21" t="n">
        <x:f>H193*'Assumptions'!$K$87</x:f>
        <x:v>238.56000000000003</x:v>
      </x:c>
      <x:c r="H321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321+G321,NA())</x:f>
        <x:v>445.9200000000001</x:v>
      </x:c>
      <x:c r="I321" s="22" t="n">
        <x:f>'Assumptions'!$H$87*IF('Assumptions'!$O$87=1,1,'Assumptions'!$D$10)*(1+'Assumptions'!$N$87)^(3-1)</x:f>
        <x:v>15.606</x:v>
      </x:c>
      <x:c r="J321" s="10" t="n">
        <x:f>H321*I321</x:f>
        <x:v>6959.0275200000015</x:v>
      </x:c>
      <x:c r="K321" s="10" t="n">
        <x:f>J321*'Assumptions'!$T$87</x:f>
        <x:v>6959.0275200000015</x:v>
      </x:c>
      <x:c r="L321" s="10" t="n">
        <x:f>K321*'Assumptions'!$U$87</x:f>
        <x:v>208.77082560000002</x:v>
      </x:c>
      <x:c r="M321" s="10" t="n">
        <x:f>K321*'Assumptions'!$V$87</x:f>
        <x:v>0</x:v>
      </x:c>
      <x:c r="N321" s="10" t="n">
        <x:f>K321-L321-M321</x:f>
        <x:v>6750.256694400002</x:v>
      </x:c>
      <x:c r="O321" s="10" t="n">
        <x:f>H321*'Assumptions'!$P$87*'Assumptions'!$Q$87*'Assumptions'!$D$11*(1+'Assumptions'!$D$13)^(3-1)</x:f>
        <x:v>1655.7678480000004</x:v>
      </x:c>
      <x:c r="P321" s="10" t="n">
        <x:f>H321*'Assumptions'!$R$87*'Assumptions'!$D$11*(1+'Assumptions'!$D$13)^(3-1)</x:f>
        <x:v>0</x:v>
      </x:c>
      <x:c r="Q321" s="10" t="n">
        <x:f>J321*'Assumptions'!$S$87</x:f>
        <x:v>0</x:v>
      </x:c>
      <x:c r="R321" s="10" t="n">
        <x:f>H321*'Assumptions'!$Y$87*'Assumptions'!$Z$87*'Assumptions'!$D$11*(1+'Assumptions'!$D$13)^(3-1)</x:f>
        <x:v>2128.844376</x:v>
      </x:c>
      <x:c r="S321" s="10" t="n">
        <x:f>IF(I321=0,0,J321*'Assumptions'!$W$87+H321*'Assumptions'!$X$87)</x:f>
        <x:v>335.5877980800001</x:v>
      </x:c>
      <x:c r="T321" s="10" t="n">
        <x:f>N321*'Assumptions'!$AA$87</x:f>
        <x:v>337.5128347200001</x:v>
      </x:c>
      <x:c r="U321" s="10" t="n">
        <x:f>'Assumptions'!$AE$87*'Assumptions'!$D$11*(1+'Assumptions'!$D$13)^(3-1)</x:f>
        <x:v>63.653999999999996</x:v>
      </x:c>
      <x:c r="V321" s="10" t="n">
        <x:f>0</x:f>
        <x:v>0</x:v>
      </x:c>
      <x:c r="W321" s="10" t="n">
        <x:f>H321*('Assumptions'!$P$87+'Assumptions'!$Y$87)</x:f>
        <x:v>111.48000000000002</x:v>
      </x:c>
      <x:c r="X321" s="10" t="n">
        <x:f>N321/12*'Assumptions'!$AF$87</x:f>
        <x:v>0</x:v>
      </x:c>
      <x:c r="Y321" s="10" t="n">
        <x:f>P321/12</x:f>
        <x:v>0</x:v>
      </x:c>
      <x:c r="Z321" s="10" t="n">
        <x:f>0</x:f>
        <x:v>0</x:v>
      </x:c>
      <x:c r="AA321" s="10" t="n">
        <x:f>Z321*'Assumptions'!$AC$87*'Assumptions'!$D$11*(1+'Assumptions'!$D$13)^(3-1)</x:f>
        <x:v>0</x:v>
      </x:c>
      <x:c r="AB321" s="10" t="n">
        <x:f>F321/12</x:f>
        <x:v>17.280000000000005</x:v>
      </x:c>
      <x:c r="AC321" s="10" t="n">
        <x:f>AB321/'Assumptions'!$AM$87</x:f>
        <x:v>345.6000000000001</x:v>
      </x:c>
      <x:c r="AD321" s="10" t="n">
        <x:f>IF(AB321=0,0,T321/AB321)</x:f>
        <x:v>19.53199275</x:v>
      </x:c>
      <x:c r="AE321" s="10" t="n">
        <x:f>AA321*'Assumptions'!$D$21</x:f>
        <x:v>0</x:v>
      </x:c>
    </x:row>
    <x:row r="322" ht="16" customHeight="1">
      <x:c r="A322" s="1"/>
      <x:c r="B322" s="1"/>
      <x:c r="C322" s="1" t="str">
        <x:v>DOT-059</x:v>
      </x:c>
      <x:c r="D322" s="10" t="str">
        <x:v>Model Life</x:v>
      </x:c>
      <x:c r="E322" s="10" t="n">
        <x:v>3</x:v>
      </x:c>
      <x:c r="F322" s="21" t="n">
        <x:f>F194*(1+'Assumptions'!$L$88)</x:f>
        <x:v>51.84000000000001</x:v>
      </x:c>
      <x:c r="G322" s="21" t="n">
        <x:f>H194*'Assumptions'!$K$88</x:f>
        <x:v>59.64000000000001</x:v>
      </x:c>
      <x:c r="H322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322+G322,NA())</x:f>
        <x:v>111.48000000000002</x:v>
      </x:c>
      <x:c r="I322" s="22" t="n">
        <x:f>'Assumptions'!$H$88*IF('Assumptions'!$O$88=1,1,'Assumptions'!$D$10)*(1+'Assumptions'!$N$88)^(3-1)</x:f>
        <x:v>82.1916</x:v>
      </x:c>
      <x:c r="J322" s="10" t="n">
        <x:f>H322*I322</x:f>
        <x:v>9162.719568</x:v>
      </x:c>
      <x:c r="K322" s="10" t="n">
        <x:f>J322*'Assumptions'!$T$88</x:f>
        <x:v>9162.719568</x:v>
      </x:c>
      <x:c r="L322" s="10" t="n">
        <x:f>K322*'Assumptions'!$U$88</x:f>
        <x:v>274.88158704</x:v>
      </x:c>
      <x:c r="M322" s="10" t="n">
        <x:f>K322*'Assumptions'!$V$88</x:f>
        <x:v>0</x:v>
      </x:c>
      <x:c r="N322" s="10" t="n">
        <x:f>K322-L322-M322</x:f>
        <x:v>8887.837980960001</x:v>
      </x:c>
      <x:c r="O322" s="10" t="n">
        <x:f>H322*'Assumptions'!$P$88*'Assumptions'!$Q$88*'Assumptions'!$D$11*(1+'Assumptions'!$D$13)^(3-1)</x:f>
        <x:v>413.9419620000001</x:v>
      </x:c>
      <x:c r="P322" s="10" t="n">
        <x:f>H322*'Assumptions'!$R$88*'Assumptions'!$D$11*(1+'Assumptions'!$D$13)^(3-1)</x:f>
        <x:v>0</x:v>
      </x:c>
      <x:c r="Q322" s="10" t="n">
        <x:f>J322*'Assumptions'!$S$88</x:f>
        <x:v>0</x:v>
      </x:c>
      <x:c r="R322" s="10" t="n">
        <x:f>H322*'Assumptions'!$Y$88*'Assumptions'!$Z$88*'Assumptions'!$D$11*(1+'Assumptions'!$D$13)^(3-1)</x:f>
        <x:v>532.211094</x:v>
      </x:c>
      <x:c r="S322" s="10" t="n">
        <x:f>IF(I322=0,0,J322*'Assumptions'!$W$88+H322*'Assumptions'!$X$88)</x:f>
        <x:v>299.162867472</x:v>
      </x:c>
      <x:c r="T322" s="10" t="n">
        <x:f>N322*'Assumptions'!$AA$88</x:f>
        <x:v>444.3918990480001</x:v>
      </x:c>
      <x:c r="U322" s="10" t="n">
        <x:f>'Assumptions'!$AE$88*'Assumptions'!$D$11*(1+'Assumptions'!$D$13)^(3-1)</x:f>
        <x:v>63.653999999999996</x:v>
      </x:c>
      <x:c r="V322" s="10" t="n">
        <x:f>0</x:f>
        <x:v>0</x:v>
      </x:c>
      <x:c r="W322" s="10" t="n">
        <x:f>H322*('Assumptions'!$P$88+'Assumptions'!$Y$88)</x:f>
        <x:v>27.870000000000005</x:v>
      </x:c>
      <x:c r="X322" s="10" t="n">
        <x:f>N322/12*'Assumptions'!$AF$88</x:f>
        <x:v>0</x:v>
      </x:c>
      <x:c r="Y322" s="10" t="n">
        <x:f>P322/12</x:f>
        <x:v>0</x:v>
      </x:c>
      <x:c r="Z322" s="10" t="n">
        <x:f>0</x:f>
        <x:v>0</x:v>
      </x:c>
      <x:c r="AA322" s="10" t="n">
        <x:f>Z322*'Assumptions'!$AC$88*'Assumptions'!$D$11*(1+'Assumptions'!$D$13)^(3-1)</x:f>
        <x:v>0</x:v>
      </x:c>
      <x:c r="AB322" s="10" t="n">
        <x:f>F322/12</x:f>
        <x:v>4.320000000000001</x:v>
      </x:c>
      <x:c r="AC322" s="10" t="n">
        <x:f>AB322/'Assumptions'!$AM$88</x:f>
        <x:v>86.40000000000002</x:v>
      </x:c>
      <x:c r="AD322" s="10" t="n">
        <x:f>IF(AB322=0,0,T322/AB322)</x:f>
        <x:v>102.86849514999999</x:v>
      </x:c>
      <x:c r="AE322" s="10" t="n">
        <x:f>AA322*'Assumptions'!$D$21</x:f>
        <x:v>0</x:v>
      </x:c>
    </x:row>
    <x:row r="323" ht="16" customHeight="1">
      <x:c r="A323" s="1"/>
      <x:c r="B323" s="1"/>
      <x:c r="C323" s="1" t="str">
        <x:v>DOT-060</x:v>
      </x:c>
      <x:c r="D323" s="10" t="str">
        <x:v>Model Life</x:v>
      </x:c>
      <x:c r="E323" s="10" t="n">
        <x:v>3</x:v>
      </x:c>
      <x:c r="F323" s="21" t="n">
        <x:f>F195*(1+'Assumptions'!$L$89)</x:f>
        <x:v>51.84000000000001</x:v>
      </x:c>
      <x:c r="G323" s="21" t="n">
        <x:f>H195*'Assumptions'!$K$89</x:f>
        <x:v>59.64000000000001</x:v>
      </x:c>
      <x:c r="H323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323+G323,NA())</x:f>
        <x:v>111.48000000000002</x:v>
      </x:c>
      <x:c r="I323" s="22" t="n">
        <x:f>'Assumptions'!$H$89*IF('Assumptions'!$O$89=1,1,'Assumptions'!$D$10)*(1+'Assumptions'!$N$89)^(3-1)</x:f>
        <x:v>61.3836</x:v>
      </x:c>
      <x:c r="J323" s="10" t="n">
        <x:f>H323*I323</x:f>
        <x:v>6843.0437280000015</x:v>
      </x:c>
      <x:c r="K323" s="10" t="n">
        <x:f>J323*'Assumptions'!$T$89</x:f>
        <x:v>6843.0437280000015</x:v>
      </x:c>
      <x:c r="L323" s="10" t="n">
        <x:f>K323*'Assumptions'!$U$89</x:f>
        <x:v>205.29131184000005</x:v>
      </x:c>
      <x:c r="M323" s="10" t="n">
        <x:f>K323*'Assumptions'!$V$89</x:f>
        <x:v>0</x:v>
      </x:c>
      <x:c r="N323" s="10" t="n">
        <x:f>K323-L323-M323</x:f>
        <x:v>6637.752416160001</x:v>
      </x:c>
      <x:c r="O323" s="10" t="n">
        <x:f>H323*'Assumptions'!$P$89*'Assumptions'!$Q$89*'Assumptions'!$D$11*(1+'Assumptions'!$D$13)^(3-1)</x:f>
        <x:v>413.9419620000001</x:v>
      </x:c>
      <x:c r="P323" s="10" t="n">
        <x:f>H323*'Assumptions'!$R$89*'Assumptions'!$D$11*(1+'Assumptions'!$D$13)^(3-1)</x:f>
        <x:v>0</x:v>
      </x:c>
      <x:c r="Q323" s="10" t="n">
        <x:f>J323*'Assumptions'!$S$89</x:f>
        <x:v>0</x:v>
      </x:c>
      <x:c r="R323" s="10" t="n">
        <x:f>H323*'Assumptions'!$Y$89*'Assumptions'!$Z$89*'Assumptions'!$D$11*(1+'Assumptions'!$D$13)^(3-1)</x:f>
        <x:v>532.211094</x:v>
      </x:c>
      <x:c r="S323" s="10" t="n">
        <x:f>IF(I323=0,0,J323*'Assumptions'!$W$89+H323*'Assumptions'!$X$89)</x:f>
        <x:v>231.89226811200007</x:v>
      </x:c>
      <x:c r="T323" s="10" t="n">
        <x:f>N323*'Assumptions'!$AA$89</x:f>
        <x:v>331.88762080800007</x:v>
      </x:c>
      <x:c r="U323" s="10" t="n">
        <x:f>'Assumptions'!$AE$89*'Assumptions'!$D$11*(1+'Assumptions'!$D$13)^(3-1)</x:f>
        <x:v>63.653999999999996</x:v>
      </x:c>
      <x:c r="V323" s="10" t="n">
        <x:f>0</x:f>
        <x:v>0</x:v>
      </x:c>
      <x:c r="W323" s="10" t="n">
        <x:f>H323*('Assumptions'!$P$89+'Assumptions'!$Y$89)</x:f>
        <x:v>27.870000000000005</x:v>
      </x:c>
      <x:c r="X323" s="10" t="n">
        <x:f>N323/12*'Assumptions'!$AF$89</x:f>
        <x:v>0</x:v>
      </x:c>
      <x:c r="Y323" s="10" t="n">
        <x:f>P323/12</x:f>
        <x:v>0</x:v>
      </x:c>
      <x:c r="Z323" s="10" t="n">
        <x:f>0</x:f>
        <x:v>0</x:v>
      </x:c>
      <x:c r="AA323" s="10" t="n">
        <x:f>Z323*'Assumptions'!$AC$89*'Assumptions'!$D$11*(1+'Assumptions'!$D$13)^(3-1)</x:f>
        <x:v>0</x:v>
      </x:c>
      <x:c r="AB323" s="10" t="n">
        <x:f>F323/12</x:f>
        <x:v>4.320000000000001</x:v>
      </x:c>
      <x:c r="AC323" s="10" t="n">
        <x:f>AB323/'Assumptions'!$AM$89</x:f>
        <x:v>86.40000000000002</x:v>
      </x:c>
      <x:c r="AD323" s="10" t="n">
        <x:f>IF(AB323=0,0,T323/AB323)</x:f>
        <x:v>76.82583815</x:v>
      </x:c>
      <x:c r="AE323" s="10" t="n">
        <x:f>AA323*'Assumptions'!$D$21</x:f>
        <x:v>0</x:v>
      </x:c>
    </x:row>
    <x:row r="324" ht="16" customHeight="1">
      <x:c r="A324" s="1"/>
      <x:c r="B324" s="1"/>
      <x:c r="C324" s="1" t="str">
        <x:v>DOT-061</x:v>
      </x:c>
      <x:c r="D324" s="10" t="str">
        <x:v>Model Life</x:v>
      </x:c>
      <x:c r="E324" s="10" t="n">
        <x:v>3</x:v>
      </x:c>
      <x:c r="F324" s="21" t="n">
        <x:f>F196*(1+'Assumptions'!$L$90)</x:f>
        <x:v>25.920000000000005</x:v>
      </x:c>
      <x:c r="G324" s="21" t="n">
        <x:f>H196*'Assumptions'!$K$90</x:f>
        <x:v>29.820000000000004</x:v>
      </x:c>
      <x:c r="H324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324+G324,NA())</x:f>
        <x:v>55.74000000000001</x:v>
      </x:c>
      <x:c r="I324" s="22" t="n">
        <x:f>'Assumptions'!$H$90*IF('Assumptions'!$O$90=1,1,'Assumptions'!$D$10)*(1+'Assumptions'!$N$90)^(3-1)</x:f>
        <x:v>102.9996</x:v>
      </x:c>
      <x:c r="J324" s="10" t="n">
        <x:f>H324*I324</x:f>
        <x:v>5741.197704000001</x:v>
      </x:c>
      <x:c r="K324" s="10" t="n">
        <x:f>J324*'Assumptions'!$T$90</x:f>
        <x:v>5741.197704000001</x:v>
      </x:c>
      <x:c r="L324" s="10" t="n">
        <x:f>K324*'Assumptions'!$U$90</x:f>
        <x:v>172.23593112000003</x:v>
      </x:c>
      <x:c r="M324" s="10" t="n">
        <x:f>K324*'Assumptions'!$V$90</x:f>
        <x:v>0</x:v>
      </x:c>
      <x:c r="N324" s="10" t="n">
        <x:f>K324-L324-M324</x:f>
        <x:v>5568.961772880001</x:v>
      </x:c>
      <x:c r="O324" s="10" t="n">
        <x:f>H324*'Assumptions'!$P$90*'Assumptions'!$Q$90*'Assumptions'!$D$11*(1+'Assumptions'!$D$13)^(3-1)</x:f>
        <x:v>206.97098100000005</x:v>
      </x:c>
      <x:c r="P324" s="10" t="n">
        <x:f>H324*'Assumptions'!$R$90*'Assumptions'!$D$11*(1+'Assumptions'!$D$13)^(3-1)</x:f>
        <x:v>0</x:v>
      </x:c>
      <x:c r="Q324" s="10" t="n">
        <x:f>J324*'Assumptions'!$S$90</x:f>
        <x:v>0</x:v>
      </x:c>
      <x:c r="R324" s="10" t="n">
        <x:f>H324*'Assumptions'!$Y$90*'Assumptions'!$Z$90*'Assumptions'!$D$11*(1+'Assumptions'!$D$13)^(3-1)</x:f>
        <x:v>266.105547</x:v>
      </x:c>
      <x:c r="S324" s="10" t="n">
        <x:f>IF(I324=0,0,J324*'Assumptions'!$W$90+H324*'Assumptions'!$X$90)</x:f>
        <x:v>183.21673341600004</x:v>
      </x:c>
      <x:c r="T324" s="10" t="n">
        <x:f>N324*'Assumptions'!$AA$90</x:f>
        <x:v>278.44808864400005</x:v>
      </x:c>
      <x:c r="U324" s="10" t="n">
        <x:f>'Assumptions'!$AE$90*'Assumptions'!$D$11*(1+'Assumptions'!$D$13)^(3-1)</x:f>
        <x:v>63.653999999999996</x:v>
      </x:c>
      <x:c r="V324" s="10" t="n">
        <x:f>0</x:f>
        <x:v>0</x:v>
      </x:c>
      <x:c r="W324" s="10" t="n">
        <x:f>H324*('Assumptions'!$P$90+'Assumptions'!$Y$90)</x:f>
        <x:v>13.935000000000002</x:v>
      </x:c>
      <x:c r="X324" s="10" t="n">
        <x:f>N324/12*'Assumptions'!$AF$90</x:f>
        <x:v>0</x:v>
      </x:c>
      <x:c r="Y324" s="10" t="n">
        <x:f>P324/12</x:f>
        <x:v>0</x:v>
      </x:c>
      <x:c r="Z324" s="10" t="n">
        <x:f>0</x:f>
        <x:v>0</x:v>
      </x:c>
      <x:c r="AA324" s="10" t="n">
        <x:f>Z324*'Assumptions'!$AC$90*'Assumptions'!$D$11*(1+'Assumptions'!$D$13)^(3-1)</x:f>
        <x:v>0</x:v>
      </x:c>
      <x:c r="AB324" s="10" t="n">
        <x:f>F324/12</x:f>
        <x:v>2.1600000000000006</x:v>
      </x:c>
      <x:c r="AC324" s="10" t="n">
        <x:f>AB324/'Assumptions'!$AM$90</x:f>
        <x:v>43.20000000000001</x:v>
      </x:c>
      <x:c r="AD324" s="10" t="n">
        <x:f>IF(AB324=0,0,T324/AB324)</x:f>
        <x:v>128.91115215</x:v>
      </x:c>
      <x:c r="AE324" s="10" t="n">
        <x:f>AA324*'Assumptions'!$D$21</x:f>
        <x:v>0</x:v>
      </x:c>
    </x:row>
    <x:row r="325" ht="16" customHeight="1">
      <x:c r="A325" s="1"/>
      <x:c r="B325" s="1"/>
      <x:c r="C325" s="1" t="str">
        <x:v>DOT-062</x:v>
      </x:c>
      <x:c r="D325" s="10" t="str">
        <x:v>Model Life</x:v>
      </x:c>
      <x:c r="E325" s="10" t="n">
        <x:v>3</x:v>
      </x:c>
      <x:c r="F325" s="21" t="n">
        <x:f>F197*(1+'Assumptions'!$L$91)</x:f>
        <x:v>25.920000000000005</x:v>
      </x:c>
      <x:c r="G325" s="21" t="n">
        <x:f>H197*'Assumptions'!$K$91</x:f>
        <x:v>29.820000000000004</x:v>
      </x:c>
      <x:c r="H325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325+G325,NA())</x:f>
        <x:v>55.74000000000001</x:v>
      </x:c>
      <x:c r="I325" s="22" t="n">
        <x:f>'Assumptions'!$H$91*IF('Assumptions'!$O$91=1,1,'Assumptions'!$D$10)*(1+'Assumptions'!$N$91)^(3-1)</x:f>
        <x:v>50.9796</x:v>
      </x:c>
      <x:c r="J325" s="10" t="n">
        <x:f>H325*I325</x:f>
        <x:v>2841.6029040000003</x:v>
      </x:c>
      <x:c r="K325" s="10" t="n">
        <x:f>J325*'Assumptions'!$T$91</x:f>
        <x:v>2841.6029040000003</x:v>
      </x:c>
      <x:c r="L325" s="10" t="n">
        <x:f>K325*'Assumptions'!$U$91</x:f>
        <x:v>85.24808712000001</x:v>
      </x:c>
      <x:c r="M325" s="10" t="n">
        <x:f>K325*'Assumptions'!$V$91</x:f>
        <x:v>0</x:v>
      </x:c>
      <x:c r="N325" s="10" t="n">
        <x:f>K325-L325-M325</x:f>
        <x:v>2756.3548168800003</x:v>
      </x:c>
      <x:c r="O325" s="10" t="n">
        <x:f>H325*'Assumptions'!$P$91*'Assumptions'!$Q$91*'Assumptions'!$D$11*(1+'Assumptions'!$D$13)^(3-1)</x:f>
        <x:v>206.97098100000005</x:v>
      </x:c>
      <x:c r="P325" s="10" t="n">
        <x:f>H325*'Assumptions'!$R$91*'Assumptions'!$D$11*(1+'Assumptions'!$D$13)^(3-1)</x:f>
        <x:v>0</x:v>
      </x:c>
      <x:c r="Q325" s="10" t="n">
        <x:f>J325*'Assumptions'!$S$91</x:f>
        <x:v>0</x:v>
      </x:c>
      <x:c r="R325" s="10" t="n">
        <x:f>H325*'Assumptions'!$Y$91*'Assumptions'!$Z$91*'Assumptions'!$D$11*(1+'Assumptions'!$D$13)^(3-1)</x:f>
        <x:v>266.105547</x:v>
      </x:c>
      <x:c r="S325" s="10" t="n">
        <x:f>IF(I325=0,0,J325*'Assumptions'!$W$91+H325*'Assumptions'!$X$91)</x:f>
        <x:v>99.128484216</x:v>
      </x:c>
      <x:c r="T325" s="10" t="n">
        <x:f>N325*'Assumptions'!$AA$91</x:f>
        <x:v>137.817740844</x:v>
      </x:c>
      <x:c r="U325" s="10" t="n">
        <x:f>'Assumptions'!$AE$91*'Assumptions'!$D$11*(1+'Assumptions'!$D$13)^(3-1)</x:f>
        <x:v>63.653999999999996</x:v>
      </x:c>
      <x:c r="V325" s="10" t="n">
        <x:f>0</x:f>
        <x:v>0</x:v>
      </x:c>
      <x:c r="W325" s="10" t="n">
        <x:f>H325*('Assumptions'!$P$91+'Assumptions'!$Y$91)</x:f>
        <x:v>13.935000000000002</x:v>
      </x:c>
      <x:c r="X325" s="10" t="n">
        <x:f>N325/12*'Assumptions'!$AF$91</x:f>
        <x:v>0</x:v>
      </x:c>
      <x:c r="Y325" s="10" t="n">
        <x:f>P325/12</x:f>
        <x:v>0</x:v>
      </x:c>
      <x:c r="Z325" s="10" t="n">
        <x:f>0</x:f>
        <x:v>0</x:v>
      </x:c>
      <x:c r="AA325" s="10" t="n">
        <x:f>Z325*'Assumptions'!$AC$91*'Assumptions'!$D$11*(1+'Assumptions'!$D$13)^(3-1)</x:f>
        <x:v>0</x:v>
      </x:c>
      <x:c r="AB325" s="10" t="n">
        <x:f>F325/12</x:f>
        <x:v>2.1600000000000006</x:v>
      </x:c>
      <x:c r="AC325" s="10" t="n">
        <x:f>AB325/'Assumptions'!$AM$91</x:f>
        <x:v>43.20000000000001</x:v>
      </x:c>
      <x:c r="AD325" s="10" t="n">
        <x:f>IF(AB325=0,0,T325/AB325)</x:f>
        <x:v>63.804509649999986</x:v>
      </x:c>
      <x:c r="AE325" s="10" t="n">
        <x:f>AA325*'Assumptions'!$D$21</x:f>
        <x:v>0</x:v>
      </x:c>
    </x:row>
    <x:row r="326" ht="16" customHeight="1">
      <x:c r="A326" s="1"/>
      <x:c r="B326" s="1"/>
      <x:c r="C326" s="1" t="str">
        <x:v>DOT-063</x:v>
      </x:c>
      <x:c r="D326" s="10" t="str">
        <x:v>S’otality cleaning</x:v>
      </x:c>
      <x:c r="E326" s="10" t="n">
        <x:v>3</x:v>
      </x:c>
      <x:c r="F326" s="21" t="n">
        <x:f>F198*(1+'Assumptions'!$L$92)</x:f>
        <x:v>58.08000000000001</x:v>
      </x:c>
      <x:c r="G326" s="21" t="n">
        <x:f>H198*'Assumptions'!$K$92</x:f>
        <x:v>64.08</x:v>
      </x:c>
      <x:c r="H326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326+G326,NA())</x:f>
        <x:v>122.16000000000001</x:v>
      </x:c>
      <x:c r="I326" s="22" t="n">
        <x:f>'Assumptions'!$H$92*IF('Assumptions'!$O$92=1,1,'Assumptions'!$D$10)*(1+'Assumptions'!$N$92)^(3-1)</x:f>
        <x:v>155.0196</x:v>
      </x:c>
      <x:c r="J326" s="10" t="n">
        <x:f>H326*I326</x:f>
        <x:v>18937.194336</x:v>
      </x:c>
      <x:c r="K326" s="10" t="n">
        <x:f>J326*'Assumptions'!$T$92</x:f>
        <x:v>18937.194336</x:v>
      </x:c>
      <x:c r="L326" s="10" t="n">
        <x:f>K326*'Assumptions'!$U$92</x:f>
        <x:v>568.11583008</x:v>
      </x:c>
      <x:c r="M326" s="10" t="n">
        <x:f>K326*'Assumptions'!$V$92</x:f>
        <x:v>0</x:v>
      </x:c>
      <x:c r="N326" s="10" t="n">
        <x:f>K326-L326-M326</x:f>
        <x:v>18369.07850592</x:v>
      </x:c>
      <x:c r="O326" s="10" t="n">
        <x:f>H326*'Assumptions'!$P$92*'Assumptions'!$Q$92*'Assumptions'!$D$11*(1+'Assumptions'!$D$13)^(3-1)</x:f>
        <x:v>453.598404</x:v>
      </x:c>
      <x:c r="P326" s="10" t="n">
        <x:f>H326*'Assumptions'!$R$92*'Assumptions'!$D$11*(1+'Assumptions'!$D$13)^(3-1)</x:f>
        <x:v>1036.796352</x:v>
      </x:c>
      <x:c r="Q326" s="10" t="n">
        <x:f>J326*'Assumptions'!$S$92</x:f>
        <x:v>12309.176318400001</x:v>
      </x:c>
      <x:c r="R326" s="10" t="n">
        <x:f>H326*'Assumptions'!$Y$92*'Assumptions'!$Z$92*'Assumptions'!$D$11*(1+'Assumptions'!$D$13)^(3-1)</x:f>
        <x:v>777.597264</x:v>
      </x:c>
      <x:c r="S326" s="10" t="n">
        <x:f>IF(I326=0,0,J326*'Assumptions'!$W$92+H326*'Assumptions'!$X$92)</x:f>
        <x:v>585.8266357440001</x:v>
      </x:c>
      <x:c r="T326" s="10" t="n">
        <x:f>N326*'Assumptions'!$AA$92</x:f>
        <x:v>734.7631402367999</x:v>
      </x:c>
      <x:c r="U326" s="10" t="n">
        <x:f>'Assumptions'!$AE$92*'Assumptions'!$D$11*(1+'Assumptions'!$D$13)^(3-1)</x:f>
        <x:v>0</x:v>
      </x:c>
      <x:c r="V326" s="10" t="n">
        <x:f>0</x:f>
        <x:v>0</x:v>
      </x:c>
      <x:c r="W326" s="10" t="n">
        <x:f>H326*('Assumptions'!$P$92+'Assumptions'!$Y$92)</x:f>
        <x:v>36.64800000000001</x:v>
      </x:c>
      <x:c r="X326" s="10" t="n">
        <x:f>N326/12*'Assumptions'!$AF$92</x:f>
        <x:v>0</x:v>
      </x:c>
      <x:c r="Y326" s="10" t="n">
        <x:f>P326/12</x:f>
        <x:v>86.399696</x:v>
      </x:c>
      <x:c r="Z326" s="10" t="n">
        <x:f>0</x:f>
        <x:v>0</x:v>
      </x:c>
      <x:c r="AA326" s="10" t="n">
        <x:f>Z326*'Assumptions'!$AC$92*'Assumptions'!$D$11*(1+'Assumptions'!$D$13)^(3-1)</x:f>
        <x:v>0</x:v>
      </x:c>
      <x:c r="AB326" s="10" t="n">
        <x:f>F326/1</x:f>
        <x:v>58.08000000000001</x:v>
      </x:c>
      <x:c r="AC326" s="10" t="n">
        <x:f>AB326/'Assumptions'!$AM$92</x:f>
        <x:v>387.2000000000001</x:v>
      </x:c>
      <x:c r="AD326" s="10" t="n">
        <x:f>IF(AB326=0,0,T326/AB326)</x:f>
        <x:v>12.650880513719004</x:v>
      </x:c>
      <x:c r="AE326" s="10" t="n">
        <x:f>AA326*'Assumptions'!$D$21</x:f>
        <x:v>0</x:v>
      </x:c>
    </x:row>
    <x:row r="327" ht="16" customHeight="1">
      <x:c r="A327" s="1"/>
      <x:c r="B327" s="1"/>
      <x:c r="C327" s="1" t="str">
        <x:v>DOT-064</x:v>
      </x:c>
      <x:c r="D327" s="10" t="str">
        <x:v>S’otality cleaning</x:v>
      </x:c>
      <x:c r="E327" s="10" t="n">
        <x:v>3</x:v>
      </x:c>
      <x:c r="F327" s="21" t="n">
        <x:f>F199*(1+'Assumptions'!$L$93)</x:f>
        <x:v>87.12</x:v>
      </x:c>
      <x:c r="G327" s="21" t="n">
        <x:f>H199*'Assumptions'!$K$93</x:f>
        <x:v>96.11999999999999</x:v>
      </x:c>
      <x:c r="H327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327+G327,NA())</x:f>
        <x:v>183.24</x:v>
      </x:c>
      <x:c r="I327" s="22" t="n">
        <x:f>'Assumptions'!$H$93*IF('Assumptions'!$O$93=1,1,'Assumptions'!$D$10)*(1+'Assumptions'!$N$93)^(3-1)</x:f>
        <x:v>144.6156</x:v>
      </x:c>
      <x:c r="J327" s="10" t="n">
        <x:f>H327*I327</x:f>
        <x:v>26499.362544</x:v>
      </x:c>
      <x:c r="K327" s="10" t="n">
        <x:f>J327*'Assumptions'!$T$93</x:f>
        <x:v>26499.362544</x:v>
      </x:c>
      <x:c r="L327" s="10" t="n">
        <x:f>K327*'Assumptions'!$U$93</x:f>
        <x:v>794.98087632</x:v>
      </x:c>
      <x:c r="M327" s="10" t="n">
        <x:f>K327*'Assumptions'!$V$93</x:f>
        <x:v>0</x:v>
      </x:c>
      <x:c r="N327" s="10" t="n">
        <x:f>K327-L327-M327</x:f>
        <x:v>25704.381667679998</x:v>
      </x:c>
      <x:c r="O327" s="10" t="n">
        <x:f>H327*'Assumptions'!$P$93*'Assumptions'!$Q$93*'Assumptions'!$D$11*(1+'Assumptions'!$D$13)^(3-1)</x:f>
        <x:v>680.397606</x:v>
      </x:c>
      <x:c r="P327" s="10" t="n">
        <x:f>H327*'Assumptions'!$R$93*'Assumptions'!$D$11*(1+'Assumptions'!$D$13)^(3-1)</x:f>
        <x:v>1555.194528</x:v>
      </x:c>
      <x:c r="Q327" s="10" t="n">
        <x:f>J327*'Assumptions'!$S$93</x:f>
        <x:v>17224.5856536</x:v>
      </x:c>
      <x:c r="R327" s="10" t="n">
        <x:f>H327*'Assumptions'!$Y$93*'Assumptions'!$Z$93*'Assumptions'!$D$11*(1+'Assumptions'!$D$13)^(3-1)</x:f>
        <x:v>1166.395896</x:v>
      </x:c>
      <x:c r="S327" s="10" t="n">
        <x:f>IF(I327=0,0,J327*'Assumptions'!$W$93+H327*'Assumptions'!$X$93)</x:f>
        <x:v>823.453513776</x:v>
      </x:c>
      <x:c r="T327" s="10" t="n">
        <x:f>N327*'Assumptions'!$AA$93</x:f>
        <x:v>1028.1752667071999</x:v>
      </x:c>
      <x:c r="U327" s="10" t="n">
        <x:f>'Assumptions'!$AE$93*'Assumptions'!$D$11*(1+'Assumptions'!$D$13)^(3-1)</x:f>
        <x:v>0</x:v>
      </x:c>
      <x:c r="V327" s="10" t="n">
        <x:f>0</x:f>
        <x:v>0</x:v>
      </x:c>
      <x:c r="W327" s="10" t="n">
        <x:f>H327*('Assumptions'!$P$93+'Assumptions'!$Y$93)</x:f>
        <x:v>54.97200000000001</x:v>
      </x:c>
      <x:c r="X327" s="10" t="n">
        <x:f>N327/12*'Assumptions'!$AF$93</x:f>
        <x:v>0</x:v>
      </x:c>
      <x:c r="Y327" s="10" t="n">
        <x:f>P327/12</x:f>
        <x:v>129.599544</x:v>
      </x:c>
      <x:c r="Z327" s="10" t="n">
        <x:f>0</x:f>
        <x:v>0</x:v>
      </x:c>
      <x:c r="AA327" s="10" t="n">
        <x:f>Z327*'Assumptions'!$AC$93*'Assumptions'!$D$11*(1+'Assumptions'!$D$13)^(3-1)</x:f>
        <x:v>0</x:v>
      </x:c>
      <x:c r="AB327" s="10" t="n">
        <x:f>F327/1</x:f>
        <x:v>87.12</x:v>
      </x:c>
      <x:c r="AC327" s="10" t="n">
        <x:f>AB327/'Assumptions'!$AM$93</x:f>
        <x:v>580.8000000000001</x:v>
      </x:c>
      <x:c r="AD327" s="10" t="n">
        <x:f>IF(AB327=0,0,T327/AB327)</x:f>
        <x:v>11.801828130247932</x:v>
      </x:c>
      <x:c r="AE327" s="10" t="n">
        <x:f>AA327*'Assumptions'!$D$21</x:f>
        <x:v>0</x:v>
      </x:c>
    </x:row>
    <x:row r="328" ht="16" customHeight="1">
      <x:c r="A328" s="1"/>
      <x:c r="B328" s="1"/>
      <x:c r="C328" s="1" t="str">
        <x:v>DOT-065</x:v>
      </x:c>
      <x:c r="D328" s="10" t="str">
        <x:v>S’otality cleaning</x:v>
      </x:c>
      <x:c r="E328" s="10" t="n">
        <x:v>3</x:v>
      </x:c>
      <x:c r="F328" s="21" t="n">
        <x:f>F200*(1+'Assumptions'!$L$94)</x:f>
        <x:v>58.08000000000001</x:v>
      </x:c>
      <x:c r="G328" s="21" t="n">
        <x:f>H200*'Assumptions'!$K$94</x:f>
        <x:v>64.08</x:v>
      </x:c>
      <x:c r="H328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328+G328,NA())</x:f>
        <x:v>122.16000000000001</x:v>
      </x:c>
      <x:c r="I328" s="22" t="n">
        <x:f>'Assumptions'!$H$94*IF('Assumptions'!$O$94=1,1,'Assumptions'!$D$10)*(1+'Assumptions'!$N$94)^(3-1)</x:f>
        <x:v>165.4236</x:v>
      </x:c>
      <x:c r="J328" s="10" t="n">
        <x:f>H328*I328</x:f>
        <x:v>20208.146976</x:v>
      </x:c>
      <x:c r="K328" s="10" t="n">
        <x:f>J328*'Assumptions'!$T$94</x:f>
        <x:v>20208.146976</x:v>
      </x:c>
      <x:c r="L328" s="10" t="n">
        <x:f>K328*'Assumptions'!$U$94</x:f>
        <x:v>606.24440928</x:v>
      </x:c>
      <x:c r="M328" s="10" t="n">
        <x:f>K328*'Assumptions'!$V$94</x:f>
        <x:v>0</x:v>
      </x:c>
      <x:c r="N328" s="10" t="n">
        <x:f>K328-L328-M328</x:f>
        <x:v>19601.90256672</x:v>
      </x:c>
      <x:c r="O328" s="10" t="n">
        <x:f>H328*'Assumptions'!$P$94*'Assumptions'!$Q$94*'Assumptions'!$D$11*(1+'Assumptions'!$D$13)^(3-1)</x:f>
        <x:v>453.598404</x:v>
      </x:c>
      <x:c r="P328" s="10" t="n">
        <x:f>H328*'Assumptions'!$R$94*'Assumptions'!$D$11*(1+'Assumptions'!$D$13)^(3-1)</x:f>
        <x:v>1036.796352</x:v>
      </x:c>
      <x:c r="Q328" s="10" t="n">
        <x:f>J328*'Assumptions'!$S$94</x:f>
        <x:v>13135.2955344</x:v>
      </x:c>
      <x:c r="R328" s="10" t="n">
        <x:f>H328*'Assumptions'!$Y$94*'Assumptions'!$Z$94*'Assumptions'!$D$11*(1+'Assumptions'!$D$13)^(3-1)</x:f>
        <x:v>777.597264</x:v>
      </x:c>
      <x:c r="S328" s="10" t="n">
        <x:f>IF(I328=0,0,J328*'Assumptions'!$W$94+H328*'Assumptions'!$X$94)</x:f>
        <x:v>622.6842623040001</x:v>
      </x:c>
      <x:c r="T328" s="10" t="n">
        <x:f>N328*'Assumptions'!$AA$94</x:f>
        <x:v>784.0761026688</x:v>
      </x:c>
      <x:c r="U328" s="10" t="n">
        <x:f>'Assumptions'!$AE$94*'Assumptions'!$D$11*(1+'Assumptions'!$D$13)^(3-1)</x:f>
        <x:v>0</x:v>
      </x:c>
      <x:c r="V328" s="10" t="n">
        <x:f>0</x:f>
        <x:v>0</x:v>
      </x:c>
      <x:c r="W328" s="10" t="n">
        <x:f>H328*('Assumptions'!$P$94+'Assumptions'!$Y$94)</x:f>
        <x:v>36.64800000000001</x:v>
      </x:c>
      <x:c r="X328" s="10" t="n">
        <x:f>N328/12*'Assumptions'!$AF$94</x:f>
        <x:v>0</x:v>
      </x:c>
      <x:c r="Y328" s="10" t="n">
        <x:f>P328/12</x:f>
        <x:v>86.399696</x:v>
      </x:c>
      <x:c r="Z328" s="10" t="n">
        <x:f>0</x:f>
        <x:v>0</x:v>
      </x:c>
      <x:c r="AA328" s="10" t="n">
        <x:f>Z328*'Assumptions'!$AC$94*'Assumptions'!$D$11*(1+'Assumptions'!$D$13)^(3-1)</x:f>
        <x:v>0</x:v>
      </x:c>
      <x:c r="AB328" s="10" t="n">
        <x:f>F328/1</x:f>
        <x:v>58.08000000000001</x:v>
      </x:c>
      <x:c r="AC328" s="10" t="n">
        <x:f>AB328/'Assumptions'!$AM$94</x:f>
        <x:v>387.2000000000001</x:v>
      </x:c>
      <x:c r="AD328" s="10" t="n">
        <x:f>IF(AB328=0,0,T328/AB328)</x:f>
        <x:v>13.49993289719008</x:v>
      </x:c>
      <x:c r="AE328" s="10" t="n">
        <x:f>AA328*'Assumptions'!$D$21</x:f>
        <x:v>0</x:v>
      </x:c>
    </x:row>
    <x:row r="329" ht="16" customHeight="1">
      <x:c r="A329" s="1"/>
      <x:c r="B329" s="1"/>
      <x:c r="C329" s="1" t="str">
        <x:v>DOT-066</x:v>
      </x:c>
      <x:c r="D329" s="10" t="str">
        <x:v>S’otality cleaning</x:v>
      </x:c>
      <x:c r="E329" s="10" t="n">
        <x:v>3</x:v>
      </x:c>
      <x:c r="F329" s="21" t="n">
        <x:f>F201*(1+'Assumptions'!$L$95)</x:f>
        <x:v>87.12</x:v>
      </x:c>
      <x:c r="G329" s="21" t="n">
        <x:f>H201*'Assumptions'!$K$95</x:f>
        <x:v>96.11999999999999</x:v>
      </x:c>
      <x:c r="H329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329+G329,NA())</x:f>
        <x:v>183.24</x:v>
      </x:c>
      <x:c r="I329" s="22" t="n">
        <x:f>'Assumptions'!$H$95*IF('Assumptions'!$O$95=1,1,'Assumptions'!$D$10)*(1+'Assumptions'!$N$95)^(3-1)</x:f>
        <x:v>155.0196</x:v>
      </x:c>
      <x:c r="J329" s="10" t="n">
        <x:f>H329*I329</x:f>
        <x:v>28405.791504</x:v>
      </x:c>
      <x:c r="K329" s="10" t="n">
        <x:f>J329*'Assumptions'!$T$95</x:f>
        <x:v>28405.791504</x:v>
      </x:c>
      <x:c r="L329" s="10" t="n">
        <x:f>K329*'Assumptions'!$U$95</x:f>
        <x:v>852.17374512</x:v>
      </x:c>
      <x:c r="M329" s="10" t="n">
        <x:f>K329*'Assumptions'!$V$95</x:f>
        <x:v>0</x:v>
      </x:c>
      <x:c r="N329" s="10" t="n">
        <x:f>K329-L329-M329</x:f>
        <x:v>27553.617758880002</x:v>
      </x:c>
      <x:c r="O329" s="10" t="n">
        <x:f>H329*'Assumptions'!$P$95*'Assumptions'!$Q$95*'Assumptions'!$D$11*(1+'Assumptions'!$D$13)^(3-1)</x:f>
        <x:v>680.397606</x:v>
      </x:c>
      <x:c r="P329" s="10" t="n">
        <x:f>H329*'Assumptions'!$R$95*'Assumptions'!$D$11*(1+'Assumptions'!$D$13)^(3-1)</x:f>
        <x:v>1555.194528</x:v>
      </x:c>
      <x:c r="Q329" s="10" t="n">
        <x:f>J329*'Assumptions'!$S$95</x:f>
        <x:v>18463.7644776</x:v>
      </x:c>
      <x:c r="R329" s="10" t="n">
        <x:f>H329*'Assumptions'!$Y$95*'Assumptions'!$Z$95*'Assumptions'!$D$11*(1+'Assumptions'!$D$13)^(3-1)</x:f>
        <x:v>1166.395896</x:v>
      </x:c>
      <x:c r="S329" s="10" t="n">
        <x:f>IF(I329=0,0,J329*'Assumptions'!$W$95+H329*'Assumptions'!$X$95)</x:f>
        <x:v>878.7399536160001</x:v>
      </x:c>
      <x:c r="T329" s="10" t="n">
        <x:f>N329*'Assumptions'!$AA$95</x:f>
        <x:v>1102.1447103552</x:v>
      </x:c>
      <x:c r="U329" s="10" t="n">
        <x:f>'Assumptions'!$AE$95*'Assumptions'!$D$11*(1+'Assumptions'!$D$13)^(3-1)</x:f>
        <x:v>0</x:v>
      </x:c>
      <x:c r="V329" s="10" t="n">
        <x:f>0</x:f>
        <x:v>0</x:v>
      </x:c>
      <x:c r="W329" s="10" t="n">
        <x:f>H329*('Assumptions'!$P$95+'Assumptions'!$Y$95)</x:f>
        <x:v>54.97200000000001</x:v>
      </x:c>
      <x:c r="X329" s="10" t="n">
        <x:f>N329/12*'Assumptions'!$AF$95</x:f>
        <x:v>0</x:v>
      </x:c>
      <x:c r="Y329" s="10" t="n">
        <x:f>P329/12</x:f>
        <x:v>129.599544</x:v>
      </x:c>
      <x:c r="Z329" s="10" t="n">
        <x:f>0</x:f>
        <x:v>0</x:v>
      </x:c>
      <x:c r="AA329" s="10" t="n">
        <x:f>Z329*'Assumptions'!$AC$95*'Assumptions'!$D$11*(1+'Assumptions'!$D$13)^(3-1)</x:f>
        <x:v>0</x:v>
      </x:c>
      <x:c r="AB329" s="10" t="n">
        <x:f>F329/1</x:f>
        <x:v>87.12</x:v>
      </x:c>
      <x:c r="AC329" s="10" t="n">
        <x:f>AB329/'Assumptions'!$AM$95</x:f>
        <x:v>580.8000000000001</x:v>
      </x:c>
      <x:c r="AD329" s="10" t="n">
        <x:f>IF(AB329=0,0,T329/AB329)</x:f>
        <x:v>12.650880513719008</x:v>
      </x:c>
      <x:c r="AE329" s="10" t="n">
        <x:f>AA329*'Assumptions'!$D$21</x:f>
        <x:v>0</x:v>
      </x:c>
    </x:row>
    <x:row r="330" ht="16" customHeight="1">
      <x:c r="A330" s="1"/>
      <x:c r="B330" s="1"/>
      <x:c r="C330" s="1" t="str">
        <x:v>DOT-067</x:v>
      </x:c>
      <x:c r="D330" s="10" t="str">
        <x:v>S’otality cleaning</x:v>
      </x:c>
      <x:c r="E330" s="10" t="n">
        <x:v>3</x:v>
      </x:c>
      <x:c r="F330" s="21" t="n">
        <x:f>F202*(1+'Assumptions'!$L$96)</x:f>
        <x:v>38.720000000000006</x:v>
      </x:c>
      <x:c r="G330" s="21" t="n">
        <x:f>H202*'Assumptions'!$K$96</x:f>
        <x:v>42.72</x:v>
      </x:c>
      <x:c r="H330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330+G330,NA())</x:f>
        <x:v>81.44</x:v>
      </x:c>
      <x:c r="I330" s="22" t="n">
        <x:f>'Assumptions'!$H$96*IF('Assumptions'!$O$96=1,1,'Assumptions'!$D$10)*(1+'Assumptions'!$N$96)^(3-1)</x:f>
        <x:v>207.0396</x:v>
      </x:c>
      <x:c r="J330" s="10" t="n">
        <x:f>H330*I330</x:f>
        <x:v>16861.305024</x:v>
      </x:c>
      <x:c r="K330" s="10" t="n">
        <x:f>J330*'Assumptions'!$T$96</x:f>
        <x:v>16861.305024</x:v>
      </x:c>
      <x:c r="L330" s="10" t="n">
        <x:f>K330*'Assumptions'!$U$96</x:f>
        <x:v>505.83915072</x:v>
      </x:c>
      <x:c r="M330" s="10" t="n">
        <x:f>K330*'Assumptions'!$V$96</x:f>
        <x:v>0</x:v>
      </x:c>
      <x:c r="N330" s="10" t="n">
        <x:f>K330-L330-M330</x:f>
        <x:v>16355.465873280002</x:v>
      </x:c>
      <x:c r="O330" s="10" t="n">
        <x:f>H330*'Assumptions'!$P$96*'Assumptions'!$Q$96*'Assumptions'!$D$11*(1+'Assumptions'!$D$13)^(3-1)</x:f>
        <x:v>302.398936</x:v>
      </x:c>
      <x:c r="P330" s="10" t="n">
        <x:f>H330*'Assumptions'!$R$96*'Assumptions'!$D$11*(1+'Assumptions'!$D$13)^(3-1)</x:f>
        <x:v>691.1975679999999</x:v>
      </x:c>
      <x:c r="Q330" s="10" t="n">
        <x:f>J330*'Assumptions'!$S$96</x:f>
        <x:v>10959.848265600001</x:v>
      </x:c>
      <x:c r="R330" s="10" t="n">
        <x:f>H330*'Assumptions'!$Y$96*'Assumptions'!$Z$96*'Assumptions'!$D$11*(1+'Assumptions'!$D$13)^(3-1)</x:f>
        <x:v>518.3981759999999</x:v>
      </x:c>
      <x:c r="S330" s="10" t="n">
        <x:f>IF(I330=0,0,J330*'Assumptions'!$W$96+H330*'Assumptions'!$X$96)</x:f>
        <x:v>513.409845696</x:v>
      </x:c>
      <x:c r="T330" s="10" t="n">
        <x:f>N330*'Assumptions'!$AA$96</x:f>
        <x:v>654.2186349312001</x:v>
      </x:c>
      <x:c r="U330" s="10" t="n">
        <x:f>'Assumptions'!$AE$96*'Assumptions'!$D$11*(1+'Assumptions'!$D$13)^(3-1)</x:f>
        <x:v>0</x:v>
      </x:c>
      <x:c r="V330" s="10" t="n">
        <x:f>0</x:f>
        <x:v>0</x:v>
      </x:c>
      <x:c r="W330" s="10" t="n">
        <x:f>H330*('Assumptions'!$P$96+'Assumptions'!$Y$96)</x:f>
        <x:v>24.432000000000002</x:v>
      </x:c>
      <x:c r="X330" s="10" t="n">
        <x:f>N330/12*'Assumptions'!$AF$96</x:f>
        <x:v>0</x:v>
      </x:c>
      <x:c r="Y330" s="10" t="n">
        <x:f>P330/12</x:f>
        <x:v>57.59979733333333</x:v>
      </x:c>
      <x:c r="Z330" s="10" t="n">
        <x:f>0</x:f>
        <x:v>0</x:v>
      </x:c>
      <x:c r="AA330" s="10" t="n">
        <x:f>Z330*'Assumptions'!$AC$96*'Assumptions'!$D$11*(1+'Assumptions'!$D$13)^(3-1)</x:f>
        <x:v>0</x:v>
      </x:c>
      <x:c r="AB330" s="10" t="n">
        <x:f>F330/1</x:f>
        <x:v>38.720000000000006</x:v>
      </x:c>
      <x:c r="AC330" s="10" t="n">
        <x:f>AB330/'Assumptions'!$AM$96</x:f>
        <x:v>258.1333333333334</x:v>
      </x:c>
      <x:c r="AD330" s="10" t="n">
        <x:f>IF(AB330=0,0,T330/AB330)</x:f>
        <x:v>16.89614243107438</x:v>
      </x:c>
      <x:c r="AE330" s="10" t="n">
        <x:f>AA330*'Assumptions'!$D$21</x:f>
        <x:v>0</x:v>
      </x:c>
    </x:row>
    <x:row r="331" ht="16" customHeight="1">
      <x:c r="A331" s="1"/>
      <x:c r="B331" s="1"/>
      <x:c r="C331" s="1" t="str">
        <x:v>DOT-068</x:v>
      </x:c>
      <x:c r="D331" s="10" t="str">
        <x:v>S’otality cleaning</x:v>
      </x:c>
      <x:c r="E331" s="10" t="n">
        <x:v>3</x:v>
      </x:c>
      <x:c r="F331" s="21" t="n">
        <x:f>F203*(1+'Assumptions'!$L$97)</x:f>
        <x:v>58.08000000000001</x:v>
      </x:c>
      <x:c r="G331" s="21" t="n">
        <x:f>H203*'Assumptions'!$K$97</x:f>
        <x:v>64.08</x:v>
      </x:c>
      <x:c r="H331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331+G331,NA())</x:f>
        <x:v>122.16000000000001</x:v>
      </x:c>
      <x:c r="I331" s="22" t="n">
        <x:f>'Assumptions'!$H$97*IF('Assumptions'!$O$97=1,1,'Assumptions'!$D$10)*(1+'Assumptions'!$N$97)^(3-1)</x:f>
        <x:v>196.6356</x:v>
      </x:c>
      <x:c r="J331" s="10" t="n">
        <x:f>H331*I331</x:f>
        <x:v>24021.004896000002</x:v>
      </x:c>
      <x:c r="K331" s="10" t="n">
        <x:f>J331*'Assumptions'!$T$97</x:f>
        <x:v>24021.004896000002</x:v>
      </x:c>
      <x:c r="L331" s="10" t="n">
        <x:f>K331*'Assumptions'!$U$97</x:f>
        <x:v>720.63014688</x:v>
      </x:c>
      <x:c r="M331" s="10" t="n">
        <x:f>K331*'Assumptions'!$V$97</x:f>
        <x:v>0</x:v>
      </x:c>
      <x:c r="N331" s="10" t="n">
        <x:f>K331-L331-M331</x:f>
        <x:v>23300.37474912</x:v>
      </x:c>
      <x:c r="O331" s="10" t="n">
        <x:f>H331*'Assumptions'!$P$97*'Assumptions'!$Q$97*'Assumptions'!$D$11*(1+'Assumptions'!$D$13)^(3-1)</x:f>
        <x:v>453.598404</x:v>
      </x:c>
      <x:c r="P331" s="10" t="n">
        <x:f>H331*'Assumptions'!$R$97*'Assumptions'!$D$11*(1+'Assumptions'!$D$13)^(3-1)</x:f>
        <x:v>1036.796352</x:v>
      </x:c>
      <x:c r="Q331" s="10" t="n">
        <x:f>J331*'Assumptions'!$S$97</x:f>
        <x:v>15613.653182400001</x:v>
      </x:c>
      <x:c r="R331" s="10" t="n">
        <x:f>H331*'Assumptions'!$Y$97*'Assumptions'!$Z$97*'Assumptions'!$D$11*(1+'Assumptions'!$D$13)^(3-1)</x:f>
        <x:v>777.597264</x:v>
      </x:c>
      <x:c r="S331" s="10" t="n">
        <x:f>IF(I331=0,0,J331*'Assumptions'!$W$97+H331*'Assumptions'!$X$97)</x:f>
        <x:v>733.2571419840001</x:v>
      </x:c>
      <x:c r="T331" s="10" t="n">
        <x:f>N331*'Assumptions'!$AA$97</x:f>
        <x:v>932.0149899648001</x:v>
      </x:c>
      <x:c r="U331" s="10" t="n">
        <x:f>'Assumptions'!$AE$97*'Assumptions'!$D$11*(1+'Assumptions'!$D$13)^(3-1)</x:f>
        <x:v>0</x:v>
      </x:c>
      <x:c r="V331" s="10" t="n">
        <x:f>0</x:f>
        <x:v>0</x:v>
      </x:c>
      <x:c r="W331" s="10" t="n">
        <x:f>H331*('Assumptions'!$P$97+'Assumptions'!$Y$97)</x:f>
        <x:v>36.64800000000001</x:v>
      </x:c>
      <x:c r="X331" s="10" t="n">
        <x:f>N331/12*'Assumptions'!$AF$97</x:f>
        <x:v>0</x:v>
      </x:c>
      <x:c r="Y331" s="10" t="n">
        <x:f>P331/12</x:f>
        <x:v>86.399696</x:v>
      </x:c>
      <x:c r="Z331" s="10" t="n">
        <x:f>0</x:f>
        <x:v>0</x:v>
      </x:c>
      <x:c r="AA331" s="10" t="n">
        <x:f>Z331*'Assumptions'!$AC$97*'Assumptions'!$D$11*(1+'Assumptions'!$D$13)^(3-1)</x:f>
        <x:v>0</x:v>
      </x:c>
      <x:c r="AB331" s="10" t="n">
        <x:f>F331/1</x:f>
        <x:v>58.08000000000001</x:v>
      </x:c>
      <x:c r="AC331" s="10" t="n">
        <x:f>AB331/'Assumptions'!$AM$97</x:f>
        <x:v>387.2000000000001</x:v>
      </x:c>
      <x:c r="AD331" s="10" t="n">
        <x:f>IF(AB331=0,0,T331/AB331)</x:f>
        <x:v>16.047090047603305</x:v>
      </x:c>
      <x:c r="AE331" s="10" t="n">
        <x:f>AA331*'Assumptions'!$D$21</x:f>
        <x:v>0</x:v>
      </x:c>
    </x:row>
    <x:row r="332" ht="16" customHeight="1">
      <x:c r="A332" s="1"/>
      <x:c r="B332" s="1"/>
      <x:c r="C332" s="1" t="str">
        <x:v>DOT-069</x:v>
      </x:c>
      <x:c r="D332" s="10" t="str">
        <x:v>S’otality cleaning</x:v>
      </x:c>
      <x:c r="E332" s="10" t="n">
        <x:v>3</x:v>
      </x:c>
      <x:c r="F332" s="21" t="n">
        <x:f>F204*(1+'Assumptions'!$L$98)</x:f>
        <x:v>19.360000000000003</x:v>
      </x:c>
      <x:c r="G332" s="21" t="n">
        <x:f>H204*'Assumptions'!$K$98</x:f>
        <x:v>21.36</x:v>
      </x:c>
      <x:c r="H332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332+G332,NA())</x:f>
        <x:v>40.72</x:v>
      </x:c>
      <x:c r="I332" s="22" t="n">
        <x:f>'Assumptions'!$H$98*IF('Assumptions'!$O$98=1,1,'Assumptions'!$D$10)*(1+'Assumptions'!$N$98)^(3-1)</x:f>
        <x:v>311.07959999999997</x:v>
      </x:c>
      <x:c r="J332" s="10" t="n">
        <x:f>H332*I332</x:f>
        <x:v>12667.161311999998</x:v>
      </x:c>
      <x:c r="K332" s="10" t="n">
        <x:f>J332*'Assumptions'!$T$98</x:f>
        <x:v>12667.161311999998</x:v>
      </x:c>
      <x:c r="L332" s="10" t="n">
        <x:f>K332*'Assumptions'!$U$98</x:f>
        <x:v>380.01483935999994</x:v>
      </x:c>
      <x:c r="M332" s="10" t="n">
        <x:f>K332*'Assumptions'!$V$98</x:f>
        <x:v>0</x:v>
      </x:c>
      <x:c r="N332" s="10" t="n">
        <x:f>K332-L332-M332</x:f>
        <x:v>12287.146472639999</x:v>
      </x:c>
      <x:c r="O332" s="10" t="n">
        <x:f>H332*'Assumptions'!$P$98*'Assumptions'!$Q$98*'Assumptions'!$D$11*(1+'Assumptions'!$D$13)^(3-1)</x:f>
        <x:v>151.199468</x:v>
      </x:c>
      <x:c r="P332" s="10" t="n">
        <x:f>H332*'Assumptions'!$R$98*'Assumptions'!$D$11*(1+'Assumptions'!$D$13)^(3-1)</x:f>
        <x:v>345.59878399999997</x:v>
      </x:c>
      <x:c r="Q332" s="10" t="n">
        <x:f>J332*'Assumptions'!$S$98</x:f>
        <x:v>8233.654852799998</x:v>
      </x:c>
      <x:c r="R332" s="10" t="n">
        <x:f>H332*'Assumptions'!$Y$98*'Assumptions'!$Z$98*'Assumptions'!$D$11*(1+'Assumptions'!$D$13)^(3-1)</x:f>
        <x:v>259.19908799999996</x:v>
      </x:c>
      <x:c r="S332" s="10" t="n">
        <x:f>IF(I332=0,0,J332*'Assumptions'!$W$98+H332*'Assumptions'!$X$98)</x:f>
        <x:v>379.563678048</x:v>
      </x:c>
      <x:c r="T332" s="10" t="n">
        <x:f>N332*'Assumptions'!$AA$98</x:f>
        <x:v>491.48585890559997</x:v>
      </x:c>
      <x:c r="U332" s="10" t="n">
        <x:f>'Assumptions'!$AE$98*'Assumptions'!$D$11*(1+'Assumptions'!$D$13)^(3-1)</x:f>
        <x:v>0</x:v>
      </x:c>
      <x:c r="V332" s="10" t="n">
        <x:f>0</x:f>
        <x:v>0</x:v>
      </x:c>
      <x:c r="W332" s="10" t="n">
        <x:f>H332*('Assumptions'!$P$98+'Assumptions'!$Y$98)</x:f>
        <x:v>12.216000000000001</x:v>
      </x:c>
      <x:c r="X332" s="10" t="n">
        <x:f>N332/12*'Assumptions'!$AF$98</x:f>
        <x:v>0</x:v>
      </x:c>
      <x:c r="Y332" s="10" t="n">
        <x:f>P332/12</x:f>
        <x:v>28.799898666666664</x:v>
      </x:c>
      <x:c r="Z332" s="10" t="n">
        <x:f>0</x:f>
        <x:v>0</x:v>
      </x:c>
      <x:c r="AA332" s="10" t="n">
        <x:f>Z332*'Assumptions'!$AC$98*'Assumptions'!$D$11*(1+'Assumptions'!$D$13)^(3-1)</x:f>
        <x:v>0</x:v>
      </x:c>
      <x:c r="AB332" s="10" t="n">
        <x:f>F332/1</x:f>
        <x:v>19.360000000000003</x:v>
      </x:c>
      <x:c r="AC332" s="10" t="n">
        <x:f>AB332/'Assumptions'!$AM$98</x:f>
        <x:v>129.0666666666667</x:v>
      </x:c>
      <x:c r="AD332" s="10" t="n">
        <x:f>IF(AB332=0,0,T332/AB332)</x:f>
        <x:v>25.38666626578512</x:v>
      </x:c>
      <x:c r="AE332" s="10" t="n">
        <x:f>AA332*'Assumptions'!$D$21</x:f>
        <x:v>0</x:v>
      </x:c>
    </x:row>
    <x:row r="333" ht="16" customHeight="1">
      <x:c r="A333" s="1"/>
      <x:c r="B333" s="1"/>
      <x:c r="C333" s="1" t="str">
        <x:v>DOT-070</x:v>
      </x:c>
      <x:c r="D333" s="10" t="str">
        <x:v>S’otality laundry</x:v>
      </x:c>
      <x:c r="E333" s="10" t="n">
        <x:v>3</x:v>
      </x:c>
      <x:c r="F333" s="21" t="n">
        <x:f>F205*(1+'Assumptions'!$L$99)</x:f>
        <x:v>174.24</x:v>
      </x:c>
      <x:c r="G333" s="21" t="n">
        <x:f>H205*'Assumptions'!$K$99</x:f>
        <x:v>192.23999999999998</x:v>
      </x:c>
      <x:c r="H333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333+G333,NA())</x:f>
        <x:v>366.48</x:v>
      </x:c>
      <x:c r="I333" s="22" t="n">
        <x:f>'Assumptions'!$H$99*IF('Assumptions'!$O$99=1,1,'Assumptions'!$D$10)*(1+'Assumptions'!$N$99)^(3-1)</x:f>
        <x:v>62.424</x:v>
      </x:c>
      <x:c r="J333" s="10" t="n">
        <x:f>H333*I333</x:f>
        <x:v>22877.147520000002</x:v>
      </x:c>
      <x:c r="K333" s="10" t="n">
        <x:f>J333*'Assumptions'!$T$99</x:f>
        <x:v>22877.147520000002</x:v>
      </x:c>
      <x:c r="L333" s="10" t="n">
        <x:f>K333*'Assumptions'!$U$99</x:f>
        <x:v>686.3144256</x:v>
      </x:c>
      <x:c r="M333" s="10" t="n">
        <x:f>K333*'Assumptions'!$V$99</x:f>
        <x:v>0</x:v>
      </x:c>
      <x:c r="N333" s="10" t="n">
        <x:f>K333-L333-M333</x:f>
        <x:v>22190.8330944</x:v>
      </x:c>
      <x:c r="O333" s="10" t="n">
        <x:f>H333*'Assumptions'!$P$99*'Assumptions'!$Q$99*'Assumptions'!$D$11*(1+'Assumptions'!$D$13)^(3-1)</x:f>
        <x:v>1360.795212</x:v>
      </x:c>
      <x:c r="P333" s="10" t="n">
        <x:f>H333*'Assumptions'!$R$99*'Assumptions'!$D$11*(1+'Assumptions'!$D$13)^(3-1)</x:f>
        <x:v>0</x:v>
      </x:c>
      <x:c r="Q333" s="10" t="n">
        <x:f>J333*'Assumptions'!$S$99</x:f>
        <x:v>14870.145888000003</x:v>
      </x:c>
      <x:c r="R333" s="10" t="n">
        <x:f>H333*'Assumptions'!$Y$99*'Assumptions'!$Z$99*'Assumptions'!$D$11*(1+'Assumptions'!$D$13)^(3-1)</x:f>
        <x:v>2332.791792</x:v>
      </x:c>
      <x:c r="S333" s="10" t="n">
        <x:f>IF(I333=0,0,J333*'Assumptions'!$W$99+H333*'Assumptions'!$X$99)</x:f>
        <x:v>773.38127808</x:v>
      </x:c>
      <x:c r="T333" s="10" t="n">
        <x:f>N333*'Assumptions'!$AA$99</x:f>
        <x:v>887.633323776</x:v>
      </x:c>
      <x:c r="U333" s="10" t="n">
        <x:f>'Assumptions'!$AE$99*'Assumptions'!$D$11*(1+'Assumptions'!$D$13)^(3-1)</x:f>
        <x:v>0</x:v>
      </x:c>
      <x:c r="V333" s="10" t="n">
        <x:f>0</x:f>
        <x:v>0</x:v>
      </x:c>
      <x:c r="W333" s="10" t="n">
        <x:f>H333*('Assumptions'!$P$99+'Assumptions'!$Y$99)</x:f>
        <x:v>109.94400000000002</x:v>
      </x:c>
      <x:c r="X333" s="10" t="n">
        <x:f>N333/12*'Assumptions'!$AF$99</x:f>
        <x:v>0</x:v>
      </x:c>
      <x:c r="Y333" s="10" t="n">
        <x:f>P333/12</x:f>
        <x:v>0</x:v>
      </x:c>
      <x:c r="Z333" s="10" t="n">
        <x:f>0</x:f>
        <x:v>0</x:v>
      </x:c>
      <x:c r="AA333" s="10" t="n">
        <x:f>Z333*'Assumptions'!$AC$99*'Assumptions'!$D$11*(1+'Assumptions'!$D$13)^(3-1)</x:f>
        <x:v>0</x:v>
      </x:c>
      <x:c r="AB333" s="10" t="n">
        <x:f>F333/1</x:f>
        <x:v>174.24</x:v>
      </x:c>
      <x:c r="AC333" s="10" t="n">
        <x:f>AB333/'Assumptions'!$AM$99</x:f>
        <x:v>1161.6000000000001</x:v>
      </x:c>
      <x:c r="AD333" s="10" t="n">
        <x:f>IF(AB333=0,0,T333/AB333)</x:f>
        <x:v>5.094314300826446</x:v>
      </x:c>
      <x:c r="AE333" s="10" t="n">
        <x:f>AA333*'Assumptions'!$D$21</x:f>
        <x:v>0</x:v>
      </x:c>
    </x:row>
    <x:row r="334" ht="16" customHeight="1">
      <x:c r="A334" s="1"/>
      <x:c r="B334" s="1"/>
      <x:c r="C334" s="1" t="str">
        <x:v>DOT-071</x:v>
      </x:c>
      <x:c r="D334" s="10" t="str">
        <x:v>S’otality Personal Chef</x:v>
      </x:c>
      <x:c r="E334" s="10" t="n">
        <x:v>3</x:v>
      </x:c>
      <x:c r="F334" s="21" t="n">
        <x:f>F206*(1+'Assumptions'!$L$100)</x:f>
        <x:v>29.040000000000006</x:v>
      </x:c>
      <x:c r="G334" s="21" t="n">
        <x:f>H206*'Assumptions'!$K$100</x:f>
        <x:v>26.640000000000004</x:v>
      </x:c>
      <x:c r="H334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334+G334,NA())</x:f>
        <x:v>55.68000000000001</x:v>
      </x:c>
      <x:c r="I334" s="22" t="n">
        <x:f>'Assumptions'!$H$100*IF('Assumptions'!$O$100=1,1,'Assumptions'!$D$10)*(1+'Assumptions'!$N$100)^(3-1)</x:f>
        <x:v>676.26</x:v>
      </x:c>
      <x:c r="J334" s="10" t="n">
        <x:f>H334*I334</x:f>
        <x:v>37654.156800000004</x:v>
      </x:c>
      <x:c r="K334" s="10" t="n">
        <x:f>J334*'Assumptions'!$T$100</x:f>
        <x:v>37654.156800000004</x:v>
      </x:c>
      <x:c r="L334" s="10" t="n">
        <x:f>K334*'Assumptions'!$U$100</x:f>
        <x:v>1129.624704</x:v>
      </x:c>
      <x:c r="M334" s="10" t="n">
        <x:f>K334*'Assumptions'!$V$100</x:f>
        <x:v>0</x:v>
      </x:c>
      <x:c r="N334" s="10" t="n">
        <x:f>K334-L334-M334</x:f>
        <x:v>36524.532096</x:v>
      </x:c>
      <x:c r="O334" s="10" t="n">
        <x:f>H334*'Assumptions'!$P$100*'Assumptions'!$Q$100*'Assumptions'!$D$11*(1+'Assumptions'!$D$13)^(3-1)</x:f>
        <x:v>1181.4182400000002</x:v>
      </x:c>
      <x:c r="P334" s="10" t="n">
        <x:f>H334*'Assumptions'!$R$100*'Assumptions'!$D$11*(1+'Assumptions'!$D$13)^(3-1)</x:f>
        <x:v>5907.091200000001</x:v>
      </x:c>
      <x:c r="Q334" s="10" t="n">
        <x:f>J334*'Assumptions'!$S$100</x:f>
        <x:v>18827.078400000002</x:v>
      </x:c>
      <x:c r="R334" s="10" t="n">
        <x:f>H334*'Assumptions'!$Y$100*'Assumptions'!$Z$100*'Assumptions'!$D$11*(1+'Assumptions'!$D$13)^(3-1)</x:f>
        <x:v>354.42547200000007</x:v>
      </x:c>
      <x:c r="S334" s="10" t="n">
        <x:f>IF(I334=0,0,J334*'Assumptions'!$W$100+H334*'Assumptions'!$X$100)</x:f>
        <x:v>1108.6745472000002</x:v>
      </x:c>
      <x:c r="T334" s="10" t="n">
        <x:f>N334*'Assumptions'!$AA$100</x:f>
        <x:v>1460.98128384</x:v>
      </x:c>
      <x:c r="U334" s="10" t="n">
        <x:f>'Assumptions'!$AE$100*'Assumptions'!$D$11*(1+'Assumptions'!$D$13)^(3-1)</x:f>
        <x:v>0</x:v>
      </x:c>
      <x:c r="V334" s="10" t="n">
        <x:f>0</x:f>
        <x:v>0</x:v>
      </x:c>
      <x:c r="W334" s="10" t="n">
        <x:f>H334*('Assumptions'!$P$100+'Assumptions'!$Y$100)</x:f>
        <x:v>38.976</x:v>
      </x:c>
      <x:c r="X334" s="10" t="n">
        <x:f>N334/12*'Assumptions'!$AF$100</x:f>
        <x:v>0</x:v>
      </x:c>
      <x:c r="Y334" s="10" t="n">
        <x:f>P334/12</x:f>
        <x:v>492.2576000000001</x:v>
      </x:c>
      <x:c r="Z334" s="10" t="n">
        <x:f>0</x:f>
        <x:v>0</x:v>
      </x:c>
      <x:c r="AA334" s="10" t="n">
        <x:f>Z334*'Assumptions'!$AC$100*'Assumptions'!$D$11*(1+'Assumptions'!$D$13)^(3-1)</x:f>
        <x:v>0</x:v>
      </x:c>
      <x:c r="AB334" s="10" t="n">
        <x:f>F334/1</x:f>
        <x:v>29.040000000000006</x:v>
      </x:c>
      <x:c r="AC334" s="10" t="n">
        <x:f>AB334/'Assumptions'!$AM$100</x:f>
        <x:v>193.60000000000005</x:v>
      </x:c>
      <x:c r="AD334" s="10" t="n">
        <x:f>IF(AB334=0,0,T334/AB334)</x:f>
        <x:v>50.30927285950413</x:v>
      </x:c>
      <x:c r="AE334" s="10" t="n">
        <x:f>AA334*'Assumptions'!$D$21</x:f>
        <x:v>0</x:v>
      </x:c>
    </x:row>
    <x:row r="335" ht="16" customHeight="1">
      <x:c r="A335" s="1"/>
      <x:c r="B335" s="1"/>
      <x:c r="C335" s="1" t="str">
        <x:v>DOT-072</x:v>
      </x:c>
      <x:c r="D335" s="10" t="str">
        <x:v>S’otality interiors</x:v>
      </x:c>
      <x:c r="E335" s="10" t="n">
        <x:v>3</x:v>
      </x:c>
      <x:c r="F335" s="21" t="n">
        <x:f>F207*(1+'Assumptions'!$L$101)</x:f>
        <x:v>10.89</x:v>
      </x:c>
      <x:c r="G335" s="21" t="n">
        <x:f>H207*'Assumptions'!$K$101</x:f>
        <x:v>8.325</x:v>
      </x:c>
      <x:c r="H335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335+G335,NA())</x:f>
        <x:v>19.215</x:v>
      </x:c>
      <x:c r="I335" s="22" t="n">
        <x:f>'Assumptions'!$H$101*IF('Assumptions'!$O$101=1,1,'Assumptions'!$D$10)*(1+'Assumptions'!$N$101)^(3-1)</x:f>
        <x:v>1560.6</x:v>
      </x:c>
      <x:c r="J335" s="10" t="n">
        <x:f>H335*I335</x:f>
        <x:v>29986.928999999996</x:v>
      </x:c>
      <x:c r="K335" s="10" t="n">
        <x:f>J335*'Assumptions'!$T$101</x:f>
        <x:v>29986.928999999996</x:v>
      </x:c>
      <x:c r="L335" s="10" t="n">
        <x:f>K335*'Assumptions'!$U$101</x:f>
        <x:v>899.6078699999998</x:v>
      </x:c>
      <x:c r="M335" s="10" t="n">
        <x:f>K335*'Assumptions'!$V$101</x:f>
        <x:v>0</x:v>
      </x:c>
      <x:c r="N335" s="10" t="n">
        <x:f>K335-L335-M335</x:f>
        <x:v>29087.321129999997</x:v>
      </x:c>
      <x:c r="O335" s="10" t="n">
        <x:f>H335*'Assumptions'!$P$101*'Assumptions'!$Q$101*'Assumptions'!$D$11*(1+'Assumptions'!$D$13)^(3-1)</x:f>
        <x:v>11211.856425</x:v>
      </x:c>
      <x:c r="P335" s="10" t="n">
        <x:f>H335*'Assumptions'!$R$101*'Assumptions'!$D$11*(1+'Assumptions'!$D$13)^(3-1)</x:f>
        <x:v>1019.2596749999999</x:v>
      </x:c>
      <x:c r="Q335" s="10" t="n">
        <x:f>J335*'Assumptions'!$S$101</x:f>
        <x:v>0</x:v>
      </x:c>
      <x:c r="R335" s="10" t="n">
        <x:f>H335*'Assumptions'!$Y$101*'Assumptions'!$Z$101*'Assumptions'!$D$11*(1+'Assumptions'!$D$13)^(3-1)</x:f>
        <x:v>152.88895125000002</x:v>
      </x:c>
      <x:c r="S335" s="10" t="n">
        <x:f>IF(I335=0,0,J335*'Assumptions'!$W$101+H335*'Assumptions'!$X$101)</x:f>
        <x:v>875.3854409999999</x:v>
      </x:c>
      <x:c r="T335" s="10" t="n">
        <x:f>N335*'Assumptions'!$AA$101</x:f>
        <x:v>1163.4928452</x:v>
      </x:c>
      <x:c r="U335" s="10" t="n">
        <x:f>'Assumptions'!$AE$101*'Assumptions'!$D$11*(1+'Assumptions'!$D$13)^(3-1)</x:f>
        <x:v>0</x:v>
      </x:c>
      <x:c r="V335" s="10" t="n">
        <x:f>0</x:f>
        <x:v>0</x:v>
      </x:c>
      <x:c r="W335" s="10" t="n">
        <x:f>H335*('Assumptions'!$P$101+'Assumptions'!$Y$101)</x:f>
        <x:v>196.95374999999999</x:v>
      </x:c>
      <x:c r="X335" s="10" t="n">
        <x:f>N335/12*'Assumptions'!$AF$101</x:f>
        <x:v>2423.9434275</x:v>
      </x:c>
      <x:c r="Y335" s="10" t="n">
        <x:f>P335/12</x:f>
        <x:v>84.93830625</x:v>
      </x:c>
      <x:c r="Z335" s="10" t="n">
        <x:f>0</x:f>
        <x:v>0</x:v>
      </x:c>
      <x:c r="AA335" s="10" t="n">
        <x:f>Z335*'Assumptions'!$AC$101*'Assumptions'!$D$11*(1+'Assumptions'!$D$13)^(3-1)</x:f>
        <x:v>0</x:v>
      </x:c>
      <x:c r="AB335" s="10" t="n">
        <x:f>F335/1</x:f>
        <x:v>10.89</x:v>
      </x:c>
      <x:c r="AC335" s="10" t="n">
        <x:f>AB335/'Assumptions'!$AM$101</x:f>
        <x:v>54.45</x:v>
      </x:c>
      <x:c r="AD335" s="10" t="n">
        <x:f>IF(AB335=0,0,T335/AB335)</x:f>
        <x:v>106.84048165289255</x:v>
      </x:c>
      <x:c r="AE335" s="10" t="n">
        <x:f>AA335*'Assumptions'!$D$21</x:f>
        <x:v>0</x:v>
      </x:c>
    </x:row>
    <x:row r="336" ht="16" customHeight="1">
      <x:c r="A336" s="1"/>
      <x:c r="B336" s="1"/>
      <x:c r="C336" s="1" t="str">
        <x:v>DOT-073</x:v>
      </x:c>
      <x:c r="D336" s="10" t="str">
        <x:v>S’otality interiors</x:v>
      </x:c>
      <x:c r="E336" s="10" t="n">
        <x:v>3</x:v>
      </x:c>
      <x:c r="F336" s="21" t="n">
        <x:f>F208*(1+'Assumptions'!$L$102)</x:f>
        <x:v>29.040000000000006</x:v>
      </x:c>
      <x:c r="G336" s="21" t="n">
        <x:f>H208*'Assumptions'!$K$102</x:f>
        <x:v>32.04</x:v>
      </x:c>
      <x:c r="H336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336+G336,NA())</x:f>
        <x:v>61.080000000000005</x:v>
      </x:c>
      <x:c r="I336" s="22" t="n">
        <x:f>'Assumptions'!$H$102*IF('Assumptions'!$O$102=1,1,'Assumptions'!$D$10)*(1+'Assumptions'!$N$102)^(3-1)</x:f>
        <x:v>312.12</x:v>
      </x:c>
      <x:c r="J336" s="10" t="n">
        <x:f>H336*I336</x:f>
        <x:v>19064.289600000004</x:v>
      </x:c>
      <x:c r="K336" s="10" t="n">
        <x:f>J336*'Assumptions'!$T$102</x:f>
        <x:v>19064.289600000004</x:v>
      </x:c>
      <x:c r="L336" s="10" t="n">
        <x:f>K336*'Assumptions'!$U$102</x:f>
        <x:v>571.9286880000001</x:v>
      </x:c>
      <x:c r="M336" s="10" t="n">
        <x:f>K336*'Assumptions'!$V$102</x:f>
        <x:v>0</x:v>
      </x:c>
      <x:c r="N336" s="10" t="n">
        <x:f>K336-L336-M336</x:f>
        <x:v>18492.360912000004</x:v>
      </x:c>
      <x:c r="O336" s="10" t="n">
        <x:f>H336*'Assumptions'!$P$102*'Assumptions'!$Q$102*'Assumptions'!$D$11*(1+'Assumptions'!$D$13)^(3-1)</x:f>
        <x:v>566.998005</x:v>
      </x:c>
      <x:c r="P336" s="10" t="n">
        <x:f>H336*'Assumptions'!$R$102*'Assumptions'!$D$11*(1+'Assumptions'!$D$13)^(3-1)</x:f>
        <x:v>0</x:v>
      </x:c>
      <x:c r="Q336" s="10" t="n">
        <x:f>J336*'Assumptions'!$S$102</x:f>
        <x:v>11438.573760000001</x:v>
      </x:c>
      <x:c r="R336" s="10" t="n">
        <x:f>H336*'Assumptions'!$Y$102*'Assumptions'!$Z$102*'Assumptions'!$D$11*(1+'Assumptions'!$D$13)^(3-1)</x:f>
        <x:v>388.798632</x:v>
      </x:c>
      <x:c r="S336" s="10" t="n">
        <x:f>IF(I336=0,0,J336*'Assumptions'!$W$102+H336*'Assumptions'!$X$102)</x:f>
        <x:v>571.1883984000001</x:v>
      </x:c>
      <x:c r="T336" s="10" t="n">
        <x:f>N336*'Assumptions'!$AA$102</x:f>
        <x:v>739.6944364800001</x:v>
      </x:c>
      <x:c r="U336" s="10" t="n">
        <x:f>'Assumptions'!$AE$102*'Assumptions'!$D$11*(1+'Assumptions'!$D$13)^(3-1)</x:f>
        <x:v>0</x:v>
      </x:c>
      <x:c r="V336" s="10" t="n">
        <x:f>0</x:f>
        <x:v>0</x:v>
      </x:c>
      <x:c r="W336" s="10" t="n">
        <x:f>H336*('Assumptions'!$P$102+'Assumptions'!$Y$102)</x:f>
        <x:v>27.486000000000004</x:v>
      </x:c>
      <x:c r="X336" s="10" t="n">
        <x:f>N336/12*'Assumptions'!$AF$102</x:f>
        <x:v>0</x:v>
      </x:c>
      <x:c r="Y336" s="10" t="n">
        <x:f>P336/12</x:f>
        <x:v>0</x:v>
      </x:c>
      <x:c r="Z336" s="10" t="n">
        <x:f>0</x:f>
        <x:v>0</x:v>
      </x:c>
      <x:c r="AA336" s="10" t="n">
        <x:f>Z336*'Assumptions'!$AC$102*'Assumptions'!$D$11*(1+'Assumptions'!$D$13)^(3-1)</x:f>
        <x:v>0</x:v>
      </x:c>
      <x:c r="AB336" s="10" t="n">
        <x:f>F336/1</x:f>
        <x:v>29.040000000000006</x:v>
      </x:c>
      <x:c r="AC336" s="10" t="n">
        <x:f>AB336/'Assumptions'!$AM$102</x:f>
        <x:v>193.60000000000005</x:v>
      </x:c>
      <x:c r="AD336" s="10" t="n">
        <x:f>IF(AB336=0,0,T336/AB336)</x:f>
        <x:v>25.471571504132232</x:v>
      </x:c>
      <x:c r="AE336" s="10" t="n">
        <x:f>AA336*'Assumptions'!$D$21</x:f>
        <x:v>0</x:v>
      </x:c>
    </x:row>
    <x:row r="337" ht="16" customHeight="1">
      <x:c r="A337" s="1"/>
      <x:c r="B337" s="1"/>
      <x:c r="C337" s="1" t="str">
        <x:v>DOT-074</x:v>
      </x:c>
      <x:c r="D337" s="10" t="str">
        <x:v>S’otality interiors</x:v>
      </x:c>
      <x:c r="E337" s="10" t="n">
        <x:v>3</x:v>
      </x:c>
      <x:c r="F337" s="21" t="n">
        <x:f>F209*(1+'Assumptions'!$L$103)</x:f>
        <x:v>10.368</x:v>
      </x:c>
      <x:c r="G337" s="21" t="n">
        <x:f>H209*'Assumptions'!$K$103</x:f>
        <x:v>14.868</x:v>
      </x:c>
      <x:c r="H337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337+G337,NA())</x:f>
        <x:v>25.236</x:v>
      </x:c>
      <x:c r="I337" s="22" t="n">
        <x:f>'Assumptions'!$H$103*IF('Assumptions'!$O$103=1,1,'Assumptions'!$D$10)*(1+'Assumptions'!$N$103)^(3-1)</x:f>
        <x:v>1560.6</x:v>
      </x:c>
      <x:c r="J337" s="10" t="n">
        <x:f>H337*I337</x:f>
        <x:v>39383.3016</x:v>
      </x:c>
      <x:c r="K337" s="10" t="n">
        <x:f>J337*'Assumptions'!$T$103</x:f>
        <x:v>3938.33016</x:v>
      </x:c>
      <x:c r="L337" s="10" t="n">
        <x:f>K337*'Assumptions'!$U$103</x:f>
        <x:v>118.1499048</x:v>
      </x:c>
      <x:c r="M337" s="10" t="n">
        <x:f>K337*'Assumptions'!$V$103</x:f>
        <x:v>0</x:v>
      </x:c>
      <x:c r="N337" s="10" t="n">
        <x:f>K337-L337-M337</x:f>
        <x:v>3820.1802552</x:v>
      </x:c>
      <x:c r="O337" s="10" t="n">
        <x:f>H337*'Assumptions'!$P$103*'Assumptions'!$Q$103*'Assumptions'!$D$11*(1+'Assumptions'!$D$13)^(3-1)</x:f>
        <x:v>1070.914896</x:v>
      </x:c>
      <x:c r="P337" s="10" t="n">
        <x:f>H337*'Assumptions'!$R$103*'Assumptions'!$D$11*(1+'Assumptions'!$D$13)^(3-1)</x:f>
        <x:v>0</x:v>
      </x:c>
      <x:c r="Q337" s="10" t="n">
        <x:f>J337*'Assumptions'!$S$103</x:f>
        <x:v>0</x:v>
      </x:c>
      <x:c r="R337" s="10" t="n">
        <x:f>H337*'Assumptions'!$Y$103*'Assumptions'!$Z$103*'Assumptions'!$D$11*(1+'Assumptions'!$D$13)^(3-1)</x:f>
        <x:v>120.4779258</x:v>
      </x:c>
      <x:c r="S337" s="10" t="n">
        <x:f>IF(I337=0,0,J337*'Assumptions'!$W$103+H337*'Assumptions'!$X$103)</x:f>
        <x:v>1149.6865464</x:v>
      </x:c>
      <x:c r="T337" s="10" t="n">
        <x:f>N337*'Assumptions'!$AA$103</x:f>
        <x:v>191.00901276000002</x:v>
      </x:c>
      <x:c r="U337" s="10" t="n">
        <x:f>'Assumptions'!$AE$103*'Assumptions'!$D$11*(1+'Assumptions'!$D$13)^(3-1)</x:f>
        <x:v>0</x:v>
      </x:c>
      <x:c r="V337" s="10" t="n">
        <x:f>0</x:f>
        <x:v>0</x:v>
      </x:c>
      <x:c r="W337" s="10" t="n">
        <x:f>H337*('Assumptions'!$P$103+'Assumptions'!$Y$103)</x:f>
        <x:v>29.0214</x:v>
      </x:c>
      <x:c r="X337" s="10" t="n">
        <x:f>N337/12*'Assumptions'!$AF$103</x:f>
        <x:v>0</x:v>
      </x:c>
      <x:c r="Y337" s="10" t="n">
        <x:f>P337/12</x:f>
        <x:v>0</x:v>
      </x:c>
      <x:c r="Z337" s="10" t="n">
        <x:f>0</x:f>
        <x:v>0</x:v>
      </x:c>
      <x:c r="AA337" s="10" t="n">
        <x:f>Z337*'Assumptions'!$AC$103*'Assumptions'!$D$11*(1+'Assumptions'!$D$13)^(3-1)</x:f>
        <x:v>0</x:v>
      </x:c>
      <x:c r="AB337" s="10" t="n">
        <x:f>F337/1</x:f>
        <x:v>10.368</x:v>
      </x:c>
      <x:c r="AC337" s="10" t="n">
        <x:f>AB337/'Assumptions'!$AM$103</x:f>
        <x:v>207.35999999999999</x:v>
      </x:c>
      <x:c r="AD337" s="10" t="n">
        <x:f>IF(AB337=0,0,T337/AB337)</x:f>
        <x:v>18.4229371875</x:v>
      </x:c>
      <x:c r="AE337" s="10" t="n">
        <x:f>AA337*'Assumptions'!$D$21</x:f>
        <x:v>0</x:v>
      </x:c>
    </x:row>
    <x:row r="338" ht="16" customHeight="1">
      <x:c r="A338" s="1"/>
      <x:c r="B338" s="1"/>
      <x:c r="C338" s="1" t="str">
        <x:v>DOT-075</x:v>
      </x:c>
      <x:c r="D338" s="10" t="str">
        <x:v>S’otality concierge</x:v>
      </x:c>
      <x:c r="E338" s="10" t="n">
        <x:v>3</x:v>
      </x:c>
      <x:c r="F338" s="21" t="n">
        <x:f>F210*(1+'Assumptions'!$L$104)</x:f>
        <x:v>145.20000000000002</x:v>
      </x:c>
      <x:c r="G338" s="21" t="n">
        <x:f>H210*'Assumptions'!$K$104</x:f>
        <x:v>111</x:v>
      </x:c>
      <x:c r="H338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338+G338,NA())</x:f>
        <x:v>256.20000000000005</x:v>
      </x:c>
      <x:c r="I338" s="22" t="n">
        <x:f>'Assumptions'!$H$104*IF('Assumptions'!$O$104=1,1,'Assumptions'!$D$10)*(1+'Assumptions'!$N$104)^(3-1)</x:f>
        <x:v>78.03</x:v>
      </x:c>
      <x:c r="J338" s="10" t="n">
        <x:f>H338*I338</x:f>
        <x:v>19991.286000000004</x:v>
      </x:c>
      <x:c r="K338" s="10" t="n">
        <x:f>J338*'Assumptions'!$T$104</x:f>
        <x:v>19991.286000000004</x:v>
      </x:c>
      <x:c r="L338" s="10" t="n">
        <x:f>K338*'Assumptions'!$U$104</x:f>
        <x:v>599.7385800000001</x:v>
      </x:c>
      <x:c r="M338" s="10" t="n">
        <x:f>K338*'Assumptions'!$V$104</x:f>
        <x:v>0</x:v>
      </x:c>
      <x:c r="N338" s="10" t="n">
        <x:f>K338-L338-M338</x:f>
        <x:v>19391.547420000003</x:v>
      </x:c>
      <x:c r="O338" s="10" t="n">
        <x:f>H338*'Assumptions'!$P$104*'Assumptions'!$Q$104*'Assumptions'!$D$11*(1+'Assumptions'!$D$13)^(3-1)</x:f>
        <x:v>7134.817725000001</x:v>
      </x:c>
      <x:c r="P338" s="10" t="n">
        <x:f>H338*'Assumptions'!$R$104*'Assumptions'!$D$11*(1+'Assumptions'!$D$13)^(3-1)</x:f>
        <x:v>0</x:v>
      </x:c>
      <x:c r="Q338" s="10" t="n">
        <x:f>J338*'Assumptions'!$S$104</x:f>
        <x:v>0</x:v>
      </x:c>
      <x:c r="R338" s="10" t="n">
        <x:f>H338*'Assumptions'!$Y$104*'Assumptions'!$Z$104*'Assumptions'!$D$11*(1+'Assumptions'!$D$13)^(3-1)</x:f>
        <x:v>2038.5193500000005</x:v>
      </x:c>
      <x:c r="S338" s="10" t="n">
        <x:f>IF(I338=0,0,J338*'Assumptions'!$W$104+H338*'Assumptions'!$X$104)</x:f>
        <x:v>656.6072940000001</x:v>
      </x:c>
      <x:c r="T338" s="10" t="n">
        <x:f>N338*'Assumptions'!$AA$104</x:f>
        <x:v>775.6618968000001</x:v>
      </x:c>
      <x:c r="U338" s="10" t="n">
        <x:f>'Assumptions'!$AE$104*'Assumptions'!$D$11*(1+'Assumptions'!$D$13)^(3-1)</x:f>
        <x:v>0</x:v>
      </x:c>
      <x:c r="V338" s="10" t="n">
        <x:f>0</x:f>
        <x:v>0</x:v>
      </x:c>
      <x:c r="W338" s="10" t="n">
        <x:f>H338*('Assumptions'!$P$104+'Assumptions'!$Y$104)</x:f>
        <x:v>256.20000000000005</x:v>
      </x:c>
      <x:c r="X338" s="10" t="n">
        <x:f>N338/12*'Assumptions'!$AF$104</x:f>
        <x:v>1615.9622850000003</x:v>
      </x:c>
      <x:c r="Y338" s="10" t="n">
        <x:f>P338/12</x:f>
        <x:v>0</x:v>
      </x:c>
      <x:c r="Z338" s="10" t="n">
        <x:f>0</x:f>
        <x:v>0</x:v>
      </x:c>
      <x:c r="AA338" s="10" t="n">
        <x:f>Z338*'Assumptions'!$AC$104*'Assumptions'!$D$11*(1+'Assumptions'!$D$13)^(3-1)</x:f>
        <x:v>0</x:v>
      </x:c>
      <x:c r="AB338" s="10" t="n">
        <x:f>F338/1</x:f>
        <x:v>145.20000000000002</x:v>
      </x:c>
      <x:c r="AC338" s="10" t="n">
        <x:f>AB338/'Assumptions'!$AM$104</x:f>
        <x:v>726</x:v>
      </x:c>
      <x:c r="AD338" s="10" t="n">
        <x:f>IF(AB338=0,0,T338/AB338)</x:f>
        <x:v>5.342024082644628</x:v>
      </x:c>
      <x:c r="AE338" s="10" t="n">
        <x:f>AA338*'Assumptions'!$D$21</x:f>
        <x:v>0</x:v>
      </x:c>
    </x:row>
    <x:row r="339" ht="16" customHeight="1">
      <x:c r="A339" s="1"/>
      <x:c r="B339" s="1"/>
      <x:c r="C339" s="1" t="str">
        <x:v>DOT-076</x:v>
      </x:c>
      <x:c r="D339" s="10" t="str">
        <x:v>S’otality administration</x:v>
      </x:c>
      <x:c r="E339" s="10" t="n">
        <x:v>3</x:v>
      </x:c>
      <x:c r="F339" s="21" t="n">
        <x:f>F211*(1+'Assumptions'!$L$105)</x:f>
        <x:v>290.40000000000003</x:v>
      </x:c>
      <x:c r="G339" s="21" t="n">
        <x:f>H211*'Assumptions'!$K$105</x:f>
        <x:v>222</x:v>
      </x:c>
      <x:c r="H339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339+G339,NA())</x:f>
        <x:v>512.4000000000001</x:v>
      </x:c>
      <x:c r="I339" s="22" t="n">
        <x:f>'Assumptions'!$H$105*IF('Assumptions'!$O$105=1,1,'Assumptions'!$D$10)*(1+'Assumptions'!$N$105)^(3-1)</x:f>
        <x:v>62.424</x:v>
      </x:c>
      <x:c r="J339" s="10" t="n">
        <x:f>H339*I339</x:f>
        <x:v>31986.057600000004</x:v>
      </x:c>
      <x:c r="K339" s="10" t="n">
        <x:f>J339*'Assumptions'!$T$105</x:f>
        <x:v>31986.057600000004</x:v>
      </x:c>
      <x:c r="L339" s="10" t="n">
        <x:f>K339*'Assumptions'!$U$105</x:f>
        <x:v>959.5817280000001</x:v>
      </x:c>
      <x:c r="M339" s="10" t="n">
        <x:f>K339*'Assumptions'!$V$105</x:f>
        <x:v>0</x:v>
      </x:c>
      <x:c r="N339" s="10" t="n">
        <x:f>K339-L339-M339</x:f>
        <x:v>31026.475872000003</x:v>
      </x:c>
      <x:c r="O339" s="10" t="n">
        <x:f>H339*'Assumptions'!$P$105*'Assumptions'!$Q$105*'Assumptions'!$D$11*(1+'Assumptions'!$D$13)^(3-1)</x:f>
        <x:v>16308.154800000004</x:v>
      </x:c>
      <x:c r="P339" s="10" t="n">
        <x:f>H339*'Assumptions'!$R$105*'Assumptions'!$D$11*(1+'Assumptions'!$D$13)^(3-1)</x:f>
        <x:v>0</x:v>
      </x:c>
      <x:c r="Q339" s="10" t="n">
        <x:f>J339*'Assumptions'!$S$105</x:f>
        <x:v>0</x:v>
      </x:c>
      <x:c r="R339" s="10" t="n">
        <x:f>H339*'Assumptions'!$Y$105*'Assumptions'!$Z$105*'Assumptions'!$D$11*(1+'Assumptions'!$D$13)^(3-1)</x:f>
        <x:v>4077.038700000001</x:v>
      </x:c>
      <x:c r="S339" s="10" t="n">
        <x:f>IF(I339=0,0,J339*'Assumptions'!$W$105+H339*'Assumptions'!$X$105)</x:f>
        <x:v>1081.3156704000003</x:v>
      </x:c>
      <x:c r="T339" s="10" t="n">
        <x:f>N339*'Assumptions'!$AA$105</x:f>
        <x:v>1241.0590348800001</x:v>
      </x:c>
      <x:c r="U339" s="10" t="n">
        <x:f>'Assumptions'!$AE$105*'Assumptions'!$D$11*(1+'Assumptions'!$D$13)^(3-1)</x:f>
        <x:v>0</x:v>
      </x:c>
      <x:c r="V339" s="10" t="n">
        <x:f>0</x:f>
        <x:v>0</x:v>
      </x:c>
      <x:c r="W339" s="10" t="n">
        <x:f>H339*('Assumptions'!$P$105+'Assumptions'!$Y$105)</x:f>
        <x:v>640.5000000000001</x:v>
      </x:c>
      <x:c r="X339" s="10" t="n">
        <x:f>N339/12*'Assumptions'!$AF$105</x:f>
        <x:v>2585.5396560000004</x:v>
      </x:c>
      <x:c r="Y339" s="10" t="n">
        <x:f>P339/12</x:f>
        <x:v>0</x:v>
      </x:c>
      <x:c r="Z339" s="10" t="n">
        <x:f>0</x:f>
        <x:v>0</x:v>
      </x:c>
      <x:c r="AA339" s="10" t="n">
        <x:f>Z339*'Assumptions'!$AC$105*'Assumptions'!$D$11*(1+'Assumptions'!$D$13)^(3-1)</x:f>
        <x:v>0</x:v>
      </x:c>
      <x:c r="AB339" s="10" t="n">
        <x:f>F339/1</x:f>
        <x:v>290.40000000000003</x:v>
      </x:c>
      <x:c r="AC339" s="10" t="n">
        <x:f>AB339/'Assumptions'!$AM$105</x:f>
        <x:v>1452</x:v>
      </x:c>
      <x:c r="AD339" s="10" t="n">
        <x:f>IF(AB339=0,0,T339/AB339)</x:f>
        <x:v>4.273619266115702</x:v>
      </x:c>
      <x:c r="AE339" s="10" t="n">
        <x:f>AA339*'Assumptions'!$D$21</x:f>
        <x:v>0</x:v>
      </x:c>
    </x:row>
    <x:row r="340" ht="16" customHeight="1">
      <x:c r="A340" s="1"/>
      <x:c r="B340" s="1"/>
      <x:c r="C340" s="1" t="str">
        <x:v>DOT-077</x:v>
      </x:c>
      <x:c r="D340" s="10" t="str">
        <x:v>S’otality bike tours</x:v>
      </x:c>
      <x:c r="E340" s="10" t="n">
        <x:v>3</x:v>
      </x:c>
      <x:c r="F340" s="21" t="n">
        <x:f>F212*(1+'Assumptions'!$L$106)</x:f>
        <x:v>116.16000000000003</x:v>
      </x:c>
      <x:c r="G340" s="21" t="n">
        <x:f>H212*'Assumptions'!$K$106</x:f>
        <x:v>106.56000000000002</x:v>
      </x:c>
      <x:c r="H340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340+G340,NA())</x:f>
        <x:v>222.72000000000003</x:v>
      </x:c>
      <x:c r="I340" s="22" t="n">
        <x:f>'Assumptions'!$H$106*IF('Assumptions'!$O$106=1,1,'Assumptions'!$D$10)*(1+'Assumptions'!$N$106)^(3-1)</x:f>
        <x:v>67.626</x:v>
      </x:c>
      <x:c r="J340" s="10" t="n">
        <x:f>H340*I340</x:f>
        <x:v>15061.662720000002</x:v>
      </x:c>
      <x:c r="K340" s="10" t="n">
        <x:f>J340*'Assumptions'!$T$106</x:f>
        <x:v>15061.662720000002</x:v>
      </x:c>
      <x:c r="L340" s="10" t="n">
        <x:f>K340*'Assumptions'!$U$106</x:f>
        <x:v>451.84988160000006</x:v>
      </x:c>
      <x:c r="M340" s="10" t="n">
        <x:f>K340*'Assumptions'!$V$106</x:f>
        <x:v>0</x:v>
      </x:c>
      <x:c r="N340" s="10" t="n">
        <x:f>K340-L340-M340</x:f>
        <x:v>14609.812838400003</x:v>
      </x:c>
      <x:c r="O340" s="10" t="n">
        <x:f>H340*'Assumptions'!$P$106*'Assumptions'!$Q$106*'Assumptions'!$D$11*(1+'Assumptions'!$D$13)^(3-1)</x:f>
        <x:v>1240.4891519999999</x:v>
      </x:c>
      <x:c r="P340" s="10" t="n">
        <x:f>H340*'Assumptions'!$R$106*'Assumptions'!$D$11*(1+'Assumptions'!$D$13)^(3-1)</x:f>
        <x:v>1181.4182400000002</x:v>
      </x:c>
      <x:c r="Q340" s="10" t="n">
        <x:f>J340*'Assumptions'!$S$106</x:f>
        <x:v>6777.748224000001</x:v>
      </x:c>
      <x:c r="R340" s="10" t="n">
        <x:f>H340*'Assumptions'!$Y$106*'Assumptions'!$Z$106*'Assumptions'!$D$11*(1+'Assumptions'!$D$13)^(3-1)</x:f>
        <x:v>1417.7018880000003</x:v>
      </x:c>
      <x:c r="S340" s="10" t="n">
        <x:f>IF(I340=0,0,J340*'Assumptions'!$W$106+H340*'Assumptions'!$X$106)</x:f>
        <x:v>503.6042188800001</x:v>
      </x:c>
      <x:c r="T340" s="10" t="n">
        <x:f>N340*'Assumptions'!$AA$106</x:f>
        <x:v>584.3925135360001</x:v>
      </x:c>
      <x:c r="U340" s="10" t="n">
        <x:f>'Assumptions'!$AE$106*'Assumptions'!$D$11*(1+'Assumptions'!$D$13)^(3-1)</x:f>
        <x:v>0</x:v>
      </x:c>
      <x:c r="V340" s="10" t="n">
        <x:f>0</x:f>
        <x:v>0</x:v>
      </x:c>
      <x:c r="W340" s="10" t="n">
        <x:f>H340*('Assumptions'!$P$106+'Assumptions'!$Y$106)</x:f>
        <x:v>77.952</x:v>
      </x:c>
      <x:c r="X340" s="10" t="n">
        <x:f>N340/12*'Assumptions'!$AF$106</x:f>
        <x:v>0</x:v>
      </x:c>
      <x:c r="Y340" s="10" t="n">
        <x:f>P340/12</x:f>
        <x:v>98.45152000000002</x:v>
      </x:c>
      <x:c r="Z340" s="10" t="n">
        <x:f>0</x:f>
        <x:v>0</x:v>
      </x:c>
      <x:c r="AA340" s="10" t="n">
        <x:f>Z340*'Assumptions'!$AC$106*'Assumptions'!$D$11*(1+'Assumptions'!$D$13)^(3-1)</x:f>
        <x:v>0</x:v>
      </x:c>
      <x:c r="AB340" s="10" t="n">
        <x:f>F340/1</x:f>
        <x:v>116.16000000000003</x:v>
      </x:c>
      <x:c r="AC340" s="10" t="n">
        <x:f>AB340/'Assumptions'!$AM$106</x:f>
        <x:v>774.4000000000002</x:v>
      </x:c>
      <x:c r="AD340" s="10" t="n">
        <x:f>IF(AB340=0,0,T340/AB340)</x:f>
        <x:v>5.030927285950414</x:v>
      </x:c>
      <x:c r="AE340" s="10" t="n">
        <x:f>AA340*'Assumptions'!$D$21</x:f>
        <x:v>0</x:v>
      </x:c>
    </x:row>
    <x:row r="341" ht="16" customHeight="1">
      <x:c r="A341" s="1"/>
      <x:c r="B341" s="1"/>
      <x:c r="C341" s="1" t="str">
        <x:v>DOT-078</x:v>
      </x:c>
      <x:c r="D341" s="10" t="str">
        <x:v>S’otality editorial</x:v>
      </x:c>
      <x:c r="E341" s="10" t="n">
        <x:v>3</x:v>
      </x:c>
      <x:c r="F341" s="21" t="n">
        <x:f>F213*(1+'Assumptions'!$L$107)</x:f>
        <x:v>9.438000000000002</x:v>
      </x:c>
      <x:c r="G341" s="21" t="n">
        <x:f>H213*'Assumptions'!$K$107</x:f>
        <x:v>3.7380000000000004</x:v>
      </x:c>
      <x:c r="H341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341+G341,NA())</x:f>
        <x:v>13.176000000000002</x:v>
      </x:c>
      <x:c r="I341" s="22" t="n">
        <x:f>'Assumptions'!$H$107*IF('Assumptions'!$O$107=1,1,'Assumptions'!$D$10)*(1+'Assumptions'!$N$107)^(3-1)</x:f>
        <x:v>260.1</x:v>
      </x:c>
      <x:c r="J341" s="10" t="n">
        <x:f>H341*I341</x:f>
        <x:v>3427.077600000001</x:v>
      </x:c>
      <x:c r="K341" s="10" t="n">
        <x:f>J341*'Assumptions'!$T$107</x:f>
        <x:v>3427.077600000001</x:v>
      </x:c>
      <x:c r="L341" s="10" t="n">
        <x:f>K341*'Assumptions'!$U$107</x:f>
        <x:v>102.81232800000002</x:v>
      </x:c>
      <x:c r="M341" s="10" t="n">
        <x:f>K341*'Assumptions'!$V$107</x:f>
        <x:v>0</x:v>
      </x:c>
      <x:c r="N341" s="10" t="n">
        <x:f>K341-L341-M341</x:f>
        <x:v>3324.265272000001</x:v>
      </x:c>
      <x:c r="O341" s="10" t="n">
        <x:f>H341*'Assumptions'!$P$107*'Assumptions'!$Q$107*'Assumptions'!$D$11*(1+'Assumptions'!$D$13)^(3-1)</x:f>
        <x:v>1118.273472</x:v>
      </x:c>
      <x:c r="P341" s="10" t="n">
        <x:f>H341*'Assumptions'!$R$107*'Assumptions'!$D$11*(1+'Assumptions'!$D$13)^(3-1)</x:f>
        <x:v>0</x:v>
      </x:c>
      <x:c r="Q341" s="10" t="n">
        <x:f>J341*'Assumptions'!$S$107</x:f>
        <x:v>0</x:v>
      </x:c>
      <x:c r="R341" s="10" t="n">
        <x:f>H341*'Assumptions'!$Y$107*'Assumptions'!$Z$107*'Assumptions'!$D$11*(1+'Assumptions'!$D$13)^(3-1)</x:f>
        <x:v>209.67627600000003</x:v>
      </x:c>
      <x:c r="S341" s="10" t="n">
        <x:f>IF(I341=0,0,J341*'Assumptions'!$W$107+H341*'Assumptions'!$X$107)</x:f>
        <x:v>103.33805040000003</x:v>
      </x:c>
      <x:c r="T341" s="10" t="n">
        <x:f>N341*'Assumptions'!$AA$107</x:f>
        <x:v>265.9412217600001</x:v>
      </x:c>
      <x:c r="U341" s="10" t="n">
        <x:f>'Assumptions'!$AE$107*'Assumptions'!$D$11*(1+'Assumptions'!$D$13)^(3-1)</x:f>
        <x:v>0</x:v>
      </x:c>
      <x:c r="V341" s="10" t="n">
        <x:f>0</x:f>
        <x:v>0</x:v>
      </x:c>
      <x:c r="W341" s="10" t="n">
        <x:f>H341*('Assumptions'!$P$107+'Assumptions'!$Y$107)</x:f>
        <x:v>32.940000000000005</x:v>
      </x:c>
      <x:c r="X341" s="10" t="n">
        <x:f>N341/12*'Assumptions'!$AF$107</x:f>
        <x:v>277.02210600000006</x:v>
      </x:c>
      <x:c r="Y341" s="10" t="n">
        <x:f>P341/12</x:f>
        <x:v>0</x:v>
      </x:c>
      <x:c r="Z341" s="10" t="n">
        <x:f>0</x:f>
        <x:v>0</x:v>
      </x:c>
      <x:c r="AA341" s="10" t="n">
        <x:f>Z341*'Assumptions'!$AC$107*'Assumptions'!$D$11*(1+'Assumptions'!$D$13)^(3-1)</x:f>
        <x:v>0</x:v>
      </x:c>
      <x:c r="AB341" s="10" t="n">
        <x:f>F341/1</x:f>
        <x:v>9.438000000000002</x:v>
      </x:c>
      <x:c r="AC341" s="10" t="n">
        <x:f>AB341/'Assumptions'!$AM$107</x:f>
        <x:v>94.38000000000002</x:v>
      </x:c>
      <x:c r="AD341" s="10" t="n">
        <x:f>IF(AB341=0,0,T341/AB341)</x:f>
        <x:v>28.17770944691672</x:v>
      </x:c>
      <x:c r="AE341" s="10" t="n">
        <x:f>AA341*'Assumptions'!$D$21</x:f>
        <x:v>0</x:v>
      </x:c>
    </x:row>
    <x:row r="342" ht="16" customHeight="1">
      <x:c r="A342" s="1"/>
      <x:c r="B342" s="1"/>
      <x:c r="C342" s="1" t="str">
        <x:v>DOT-079</x:v>
      </x:c>
      <x:c r="D342" s="10" t="str">
        <x:v>S’otality editorial</x:v>
      </x:c>
      <x:c r="E342" s="10" t="n">
        <x:v>3</x:v>
      </x:c>
      <x:c r="F342" s="21" t="n">
        <x:f>F214*(1+'Assumptions'!$L$108)</x:f>
        <x:v>3.146000000000001</x:v>
      </x:c>
      <x:c r="G342" s="21" t="n">
        <x:f>H214*'Assumptions'!$K$108</x:f>
        <x:v>1.246</x:v>
      </x:c>
      <x:c r="H342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342+G342,NA())</x:f>
        <x:v>4.392000000000001</x:v>
      </x:c>
      <x:c r="I342" s="22" t="n">
        <x:f>'Assumptions'!$H$108*IF('Assumptions'!$O$108=1,1,'Assumptions'!$D$10)*(1+'Assumptions'!$N$108)^(3-1)</x:f>
        <x:v>1040.4</x:v>
      </x:c>
      <x:c r="J342" s="10" t="n">
        <x:f>H342*I342</x:f>
        <x:v>4569.436800000001</x:v>
      </x:c>
      <x:c r="K342" s="10" t="n">
        <x:f>J342*'Assumptions'!$T$108</x:f>
        <x:v>4569.436800000001</x:v>
      </x:c>
      <x:c r="L342" s="10" t="n">
        <x:f>K342*'Assumptions'!$U$108</x:f>
        <x:v>137.08310400000005</x:v>
      </x:c>
      <x:c r="M342" s="10" t="n">
        <x:f>K342*'Assumptions'!$V$108</x:f>
        <x:v>0</x:v>
      </x:c>
      <x:c r="N342" s="10" t="n">
        <x:f>K342-L342-M342</x:f>
        <x:v>4432.353696000001</x:v>
      </x:c>
      <x:c r="O342" s="10" t="n">
        <x:f>H342*'Assumptions'!$P$108*'Assumptions'!$Q$108*'Assumptions'!$D$11*(1+'Assumptions'!$D$13)^(3-1)</x:f>
        <x:v>1491.0312960000006</x:v>
      </x:c>
      <x:c r="P342" s="10" t="n">
        <x:f>H342*'Assumptions'!$R$108*'Assumptions'!$D$11*(1+'Assumptions'!$D$13)^(3-1)</x:f>
        <x:v>465.9472800000001</x:v>
      </x:c>
      <x:c r="Q342" s="10" t="n">
        <x:f>J342*'Assumptions'!$S$108</x:f>
        <x:v>0</x:v>
      </x:c>
      <x:c r="R342" s="10" t="n">
        <x:f>H342*'Assumptions'!$Y$108*'Assumptions'!$Z$108*'Assumptions'!$D$11*(1+'Assumptions'!$D$13)^(3-1)</x:f>
        <x:v>69.89209200000002</x:v>
      </x:c>
      <x:c r="S342" s="10" t="n">
        <x:f>IF(I342=0,0,J342*'Assumptions'!$W$108+H342*'Assumptions'!$X$108)</x:f>
        <x:v>133.83126720000004</x:v>
      </x:c>
      <x:c r="T342" s="10" t="n">
        <x:f>N342*'Assumptions'!$AA$108</x:f>
        <x:v>354.5882956800001</x:v>
      </x:c>
      <x:c r="U342" s="10" t="n">
        <x:f>'Assumptions'!$AE$108*'Assumptions'!$D$11*(1+'Assumptions'!$D$13)^(3-1)</x:f>
        <x:v>0</x:v>
      </x:c>
      <x:c r="V342" s="10" t="n">
        <x:f>0</x:f>
        <x:v>0</x:v>
      </x:c>
      <x:c r="W342" s="10" t="n">
        <x:f>H342*('Assumptions'!$P$108+'Assumptions'!$Y$108)</x:f>
        <x:v>37.33200000000001</x:v>
      </x:c>
      <x:c r="X342" s="10" t="n">
        <x:f>N342/12*'Assumptions'!$AF$108</x:f>
        <x:v>369.3628080000001</x:v>
      </x:c>
      <x:c r="Y342" s="10" t="n">
        <x:f>P342/12</x:f>
        <x:v>38.82894000000001</x:v>
      </x:c>
      <x:c r="Z342" s="10" t="n">
        <x:f>0</x:f>
        <x:v>0</x:v>
      </x:c>
      <x:c r="AA342" s="10" t="n">
        <x:f>Z342*'Assumptions'!$AC$108*'Assumptions'!$D$11*(1+'Assumptions'!$D$13)^(3-1)</x:f>
        <x:v>0</x:v>
      </x:c>
      <x:c r="AB342" s="10" t="n">
        <x:f>F342/1</x:f>
        <x:v>3.146000000000001</x:v>
      </x:c>
      <x:c r="AC342" s="10" t="n">
        <x:f>AB342/'Assumptions'!$AM$108</x:f>
        <x:v>31.460000000000008</x:v>
      </x:c>
      <x:c r="AD342" s="10" t="n">
        <x:f>IF(AB342=0,0,T342/AB342)</x:f>
        <x:v>112.71083778766688</x:v>
      </x:c>
      <x:c r="AE342" s="10" t="n">
        <x:f>AA342*'Assumptions'!$D$21</x:f>
        <x:v>0</x:v>
      </x:c>
    </x:row>
    <x:row r="343" ht="16" customHeight="1">
      <x:c r="A343" s="1"/>
      <x:c r="B343" s="1"/>
      <x:c r="C343" s="1" t="str">
        <x:v>DOT-080</x:v>
      </x:c>
      <x:c r="D343" s="10" t="str">
        <x:v>Tomato Odyssey</x:v>
      </x:c>
      <x:c r="E343" s="10" t="n">
        <x:v>3</x:v>
      </x:c>
      <x:c r="F343" s="21" t="n">
        <x:f>F215*(1+'Assumptions'!$L$109)</x:f>
        <x:v>9.438000000000002</x:v>
      </x:c>
      <x:c r="G343" s="21" t="n">
        <x:f>H215*'Assumptions'!$K$109</x:f>
        <x:v>3.7380000000000004</x:v>
      </x:c>
      <x:c r="H343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343+G343,NA())</x:f>
        <x:v>13.176000000000002</x:v>
      </x:c>
      <x:c r="I343" s="22" t="n">
        <x:f>'Assumptions'!$H$109*IF('Assumptions'!$O$109=1,1,'Assumptions'!$D$10)*(1+'Assumptions'!$N$109)^(3-1)</x:f>
        <x:v>260.1</x:v>
      </x:c>
      <x:c r="J343" s="10" t="n">
        <x:f>H343*I343</x:f>
        <x:v>3427.077600000001</x:v>
      </x:c>
      <x:c r="K343" s="10" t="n">
        <x:f>J343*'Assumptions'!$T$109</x:f>
        <x:v>3427.077600000001</x:v>
      </x:c>
      <x:c r="L343" s="10" t="n">
        <x:f>K343*'Assumptions'!$U$109</x:f>
        <x:v>102.81232800000002</x:v>
      </x:c>
      <x:c r="M343" s="10" t="n">
        <x:f>K343*'Assumptions'!$V$109</x:f>
        <x:v>0</x:v>
      </x:c>
      <x:c r="N343" s="10" t="n">
        <x:f>K343-L343-M343</x:f>
        <x:v>3324.265272000001</x:v>
      </x:c>
      <x:c r="O343" s="10" t="n">
        <x:f>H343*'Assumptions'!$P$109*'Assumptions'!$Q$109*'Assumptions'!$D$11*(1+'Assumptions'!$D$13)^(3-1)</x:f>
        <x:v>1118.273472</x:v>
      </x:c>
      <x:c r="P343" s="10" t="n">
        <x:f>H343*'Assumptions'!$R$109*'Assumptions'!$D$11*(1+'Assumptions'!$D$13)^(3-1)</x:f>
        <x:v>0</x:v>
      </x:c>
      <x:c r="Q343" s="10" t="n">
        <x:f>J343*'Assumptions'!$S$109</x:f>
        <x:v>0</x:v>
      </x:c>
      <x:c r="R343" s="10" t="n">
        <x:f>H343*'Assumptions'!$Y$109*'Assumptions'!$Z$109*'Assumptions'!$D$11*(1+'Assumptions'!$D$13)^(3-1)</x:f>
        <x:v>209.67627600000003</x:v>
      </x:c>
      <x:c r="S343" s="10" t="n">
        <x:f>IF(I343=0,0,J343*'Assumptions'!$W$109+H343*'Assumptions'!$X$109)</x:f>
        <x:v>103.33805040000003</x:v>
      </x:c>
      <x:c r="T343" s="10" t="n">
        <x:f>N343*'Assumptions'!$AA$109</x:f>
        <x:v>265.9412217600001</x:v>
      </x:c>
      <x:c r="U343" s="10" t="n">
        <x:f>'Assumptions'!$AE$109*'Assumptions'!$D$11*(1+'Assumptions'!$D$13)^(3-1)</x:f>
        <x:v>0</x:v>
      </x:c>
      <x:c r="V343" s="10" t="n">
        <x:f>0</x:f>
        <x:v>0</x:v>
      </x:c>
      <x:c r="W343" s="10" t="n">
        <x:f>H343*('Assumptions'!$P$109+'Assumptions'!$Y$109)</x:f>
        <x:v>32.940000000000005</x:v>
      </x:c>
      <x:c r="X343" s="10" t="n">
        <x:f>N343/12*'Assumptions'!$AF$109</x:f>
        <x:v>277.02210600000006</x:v>
      </x:c>
      <x:c r="Y343" s="10" t="n">
        <x:f>P343/12</x:f>
        <x:v>0</x:v>
      </x:c>
      <x:c r="Z343" s="10" t="n">
        <x:f>0</x:f>
        <x:v>0</x:v>
      </x:c>
      <x:c r="AA343" s="10" t="n">
        <x:f>Z343*'Assumptions'!$AC$109*'Assumptions'!$D$11*(1+'Assumptions'!$D$13)^(3-1)</x:f>
        <x:v>0</x:v>
      </x:c>
      <x:c r="AB343" s="10" t="n">
        <x:f>F343/1</x:f>
        <x:v>9.438000000000002</x:v>
      </x:c>
      <x:c r="AC343" s="10" t="n">
        <x:f>AB343/'Assumptions'!$AM$109</x:f>
        <x:v>94.38000000000002</x:v>
      </x:c>
      <x:c r="AD343" s="10" t="n">
        <x:f>IF(AB343=0,0,T343/AB343)</x:f>
        <x:v>28.17770944691672</x:v>
      </x:c>
      <x:c r="AE343" s="10" t="n">
        <x:f>AA343*'Assumptions'!$D$21</x:f>
        <x:v>0</x:v>
      </x:c>
    </x:row>
    <x:row r="344" ht="16" customHeight="1">
      <x:c r="A344" s="1"/>
      <x:c r="B344" s="1"/>
      <x:c r="C344" s="1" t="str">
        <x:v>DOT-081</x:v>
      </x:c>
      <x:c r="D344" s="10" t="str">
        <x:v>Tomato Odyssey</x:v>
      </x:c>
      <x:c r="E344" s="10" t="n">
        <x:v>3</x:v>
      </x:c>
      <x:c r="F344" s="21" t="n">
        <x:f>F216*(1+'Assumptions'!$L$110)</x:f>
        <x:v>3.146000000000001</x:v>
      </x:c>
      <x:c r="G344" s="21" t="n">
        <x:f>H216*'Assumptions'!$K$110</x:f>
        <x:v>1.246</x:v>
      </x:c>
      <x:c r="H344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344+G344,NA())</x:f>
        <x:v>4.392000000000001</x:v>
      </x:c>
      <x:c r="I344" s="22" t="n">
        <x:f>'Assumptions'!$H$110*IF('Assumptions'!$O$110=1,1,'Assumptions'!$D$10)*(1+'Assumptions'!$N$110)^(3-1)</x:f>
        <x:v>1040.4</x:v>
      </x:c>
      <x:c r="J344" s="10" t="n">
        <x:f>H344*I344</x:f>
        <x:v>4569.436800000001</x:v>
      </x:c>
      <x:c r="K344" s="10" t="n">
        <x:f>J344*'Assumptions'!$T$110</x:f>
        <x:v>4569.436800000001</x:v>
      </x:c>
      <x:c r="L344" s="10" t="n">
        <x:f>K344*'Assumptions'!$U$110</x:f>
        <x:v>137.08310400000005</x:v>
      </x:c>
      <x:c r="M344" s="10" t="n">
        <x:f>K344*'Assumptions'!$V$110</x:f>
        <x:v>0</x:v>
      </x:c>
      <x:c r="N344" s="10" t="n">
        <x:f>K344-L344-M344</x:f>
        <x:v>4432.353696000001</x:v>
      </x:c>
      <x:c r="O344" s="10" t="n">
        <x:f>H344*'Assumptions'!$P$110*'Assumptions'!$Q$110*'Assumptions'!$D$11*(1+'Assumptions'!$D$13)^(3-1)</x:f>
        <x:v>1491.0312960000006</x:v>
      </x:c>
      <x:c r="P344" s="10" t="n">
        <x:f>H344*'Assumptions'!$R$110*'Assumptions'!$D$11*(1+'Assumptions'!$D$13)^(3-1)</x:f>
        <x:v>465.9472800000001</x:v>
      </x:c>
      <x:c r="Q344" s="10" t="n">
        <x:f>J344*'Assumptions'!$S$110</x:f>
        <x:v>0</x:v>
      </x:c>
      <x:c r="R344" s="10" t="n">
        <x:f>H344*'Assumptions'!$Y$110*'Assumptions'!$Z$110*'Assumptions'!$D$11*(1+'Assumptions'!$D$13)^(3-1)</x:f>
        <x:v>69.89209200000002</x:v>
      </x:c>
      <x:c r="S344" s="10" t="n">
        <x:f>IF(I344=0,0,J344*'Assumptions'!$W$110+H344*'Assumptions'!$X$110)</x:f>
        <x:v>133.83126720000004</x:v>
      </x:c>
      <x:c r="T344" s="10" t="n">
        <x:f>N344*'Assumptions'!$AA$110</x:f>
        <x:v>354.5882956800001</x:v>
      </x:c>
      <x:c r="U344" s="10" t="n">
        <x:f>'Assumptions'!$AE$110*'Assumptions'!$D$11*(1+'Assumptions'!$D$13)^(3-1)</x:f>
        <x:v>0</x:v>
      </x:c>
      <x:c r="V344" s="10" t="n">
        <x:f>0</x:f>
        <x:v>0</x:v>
      </x:c>
      <x:c r="W344" s="10" t="n">
        <x:f>H344*('Assumptions'!$P$110+'Assumptions'!$Y$110)</x:f>
        <x:v>37.33200000000001</x:v>
      </x:c>
      <x:c r="X344" s="10" t="n">
        <x:f>N344/12*'Assumptions'!$AF$110</x:f>
        <x:v>369.3628080000001</x:v>
      </x:c>
      <x:c r="Y344" s="10" t="n">
        <x:f>P344/12</x:f>
        <x:v>38.82894000000001</x:v>
      </x:c>
      <x:c r="Z344" s="10" t="n">
        <x:f>0</x:f>
        <x:v>0</x:v>
      </x:c>
      <x:c r="AA344" s="10" t="n">
        <x:f>Z344*'Assumptions'!$AC$110*'Assumptions'!$D$11*(1+'Assumptions'!$D$13)^(3-1)</x:f>
        <x:v>0</x:v>
      </x:c>
      <x:c r="AB344" s="10" t="n">
        <x:f>F344/1</x:f>
        <x:v>3.146000000000001</x:v>
      </x:c>
      <x:c r="AC344" s="10" t="n">
        <x:f>AB344/'Assumptions'!$AM$110</x:f>
        <x:v>31.460000000000008</x:v>
      </x:c>
      <x:c r="AD344" s="10" t="n">
        <x:f>IF(AB344=0,0,T344/AB344)</x:f>
        <x:v>112.71083778766688</x:v>
      </x:c>
      <x:c r="AE344" s="10" t="n">
        <x:f>AA344*'Assumptions'!$D$21</x:f>
        <x:v>0</x:v>
      </x:c>
    </x:row>
    <x:row r="345" ht="16" customHeight="1">
      <x:c r="A345" s="1"/>
      <x:c r="B345" s="1"/>
      <x:c r="C345" s="1" t="str">
        <x:v>DOT-082</x:v>
      </x:c>
      <x:c r="D345" s="10" t="str">
        <x:v>Semajes Studio</x:v>
      </x:c>
      <x:c r="E345" s="10" t="n">
        <x:v>3</x:v>
      </x:c>
      <x:c r="F345" s="21" t="n">
        <x:f>F217*(1+'Assumptions'!$L$111)</x:f>
        <x:v>21.78</x:v>
      </x:c>
      <x:c r="G345" s="21" t="n">
        <x:f>H217*'Assumptions'!$K$111</x:f>
        <x:v>16.65</x:v>
      </x:c>
      <x:c r="H345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345+G345,NA())</x:f>
        <x:v>38.43</x:v>
      </x:c>
      <x:c r="I345" s="22" t="n">
        <x:f>'Assumptions'!$H$111*IF('Assumptions'!$O$111=1,1,'Assumptions'!$D$10)*(1+'Assumptions'!$N$111)^(3-1)</x:f>
        <x:v>572.22</x:v>
      </x:c>
      <x:c r="J345" s="10" t="n">
        <x:f>H345*I345</x:f>
        <x:v>21990.4146</x:v>
      </x:c>
      <x:c r="K345" s="10" t="n">
        <x:f>J345*'Assumptions'!$T$111</x:f>
        <x:v>21990.4146</x:v>
      </x:c>
      <x:c r="L345" s="10" t="n">
        <x:f>K345*'Assumptions'!$U$111</x:f>
        <x:v>659.712438</x:v>
      </x:c>
      <x:c r="M345" s="10" t="n">
        <x:f>K345*'Assumptions'!$V$111</x:f>
        <x:v>0</x:v>
      </x:c>
      <x:c r="N345" s="10" t="n">
        <x:f>K345-L345-M345</x:f>
        <x:v>21330.702162</x:v>
      </x:c>
      <x:c r="O345" s="10" t="n">
        <x:f>H345*'Assumptions'!$P$111*'Assumptions'!$Q$111*'Assumptions'!$D$11*(1+'Assumptions'!$D$13)^(3-1)</x:f>
        <x:v>12231.1161</x:v>
      </x:c>
      <x:c r="P345" s="10" t="n">
        <x:f>H345*'Assumptions'!$R$111*'Assumptions'!$D$11*(1+'Assumptions'!$D$13)^(3-1)</x:f>
        <x:v>3261.63096</x:v>
      </x:c>
      <x:c r="Q345" s="10" t="n">
        <x:f>J345*'Assumptions'!$S$111</x:f>
        <x:v>0</x:v>
      </x:c>
      <x:c r="R345" s="10" t="n">
        <x:f>H345*'Assumptions'!$Y$111*'Assumptions'!$Z$111*'Assumptions'!$D$11*(1+'Assumptions'!$D$13)^(3-1)</x:f>
        <x:v>305.77790250000004</x:v>
      </x:c>
      <x:c r="S345" s="10" t="n">
        <x:f>IF(I345=0,0,J345*'Assumptions'!$W$111+H345*'Assumptions'!$X$111)</x:f>
        <x:v>649.2510234</x:v>
      </x:c>
      <x:c r="T345" s="10" t="n">
        <x:f>N345*'Assumptions'!$AA$111</x:f>
        <x:v>853.2280864800001</x:v>
      </x:c>
      <x:c r="U345" s="10" t="n">
        <x:f>'Assumptions'!$AE$111*'Assumptions'!$D$11*(1+'Assumptions'!$D$13)^(3-1)</x:f>
        <x:v>0</x:v>
      </x:c>
      <x:c r="V345" s="10" t="n">
        <x:f>0</x:f>
        <x:v>0</x:v>
      </x:c>
      <x:c r="W345" s="10" t="n">
        <x:f>H345*('Assumptions'!$P$111+'Assumptions'!$Y$111)</x:f>
        <x:v>240.1875</x:v>
      </x:c>
      <x:c r="X345" s="10" t="n">
        <x:f>N345/12*'Assumptions'!$AF$111</x:f>
        <x:v>1777.5585135000001</x:v>
      </x:c>
      <x:c r="Y345" s="10" t="n">
        <x:f>P345/12</x:f>
        <x:v>271.80258</x:v>
      </x:c>
      <x:c r="Z345" s="10" t="n">
        <x:f>0</x:f>
        <x:v>0</x:v>
      </x:c>
      <x:c r="AA345" s="10" t="n">
        <x:f>Z345*'Assumptions'!$AC$111*'Assumptions'!$D$11*(1+'Assumptions'!$D$13)^(3-1)</x:f>
        <x:v>0</x:v>
      </x:c>
      <x:c r="AB345" s="10" t="n">
        <x:f>F345/1</x:f>
        <x:v>21.78</x:v>
      </x:c>
      <x:c r="AC345" s="10" t="n">
        <x:f>AB345/'Assumptions'!$AM$111</x:f>
        <x:v>108.9</x:v>
      </x:c>
      <x:c r="AD345" s="10" t="n">
        <x:f>IF(AB345=0,0,T345/AB345)</x:f>
        <x:v>39.17484327272727</x:v>
      </x:c>
      <x:c r="AE345" s="10" t="n">
        <x:f>AA345*'Assumptions'!$D$21</x:f>
        <x:v>0</x:v>
      </x:c>
    </x:row>
    <x:row r="346" ht="16" customHeight="1">
      <x:c r="A346" s="1"/>
      <x:c r="B346" s="1"/>
      <x:c r="C346" s="1" t="str">
        <x:v>DOT-083</x:v>
      </x:c>
      <x:c r="D346" s="10" t="str">
        <x:v>Semajes Studio</x:v>
      </x:c>
      <x:c r="E346" s="10" t="n">
        <x:v>3</x:v>
      </x:c>
      <x:c r="F346" s="21" t="n">
        <x:f>F218*(1+'Assumptions'!$L$112)</x:f>
        <x:v>10.89</x:v>
      </x:c>
      <x:c r="G346" s="21" t="n">
        <x:f>H218*'Assumptions'!$K$112</x:f>
        <x:v>8.325</x:v>
      </x:c>
      <x:c r="H346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346+G346,NA())</x:f>
        <x:v>19.215</x:v>
      </x:c>
      <x:c r="I346" s="22" t="n">
        <x:f>'Assumptions'!$H$112*IF('Assumptions'!$O$112=1,1,'Assumptions'!$D$10)*(1+'Assumptions'!$N$112)^(3-1)</x:f>
        <x:v>1248.48</x:v>
      </x:c>
      <x:c r="J346" s="10" t="n">
        <x:f>H346*I346</x:f>
        <x:v>23989.5432</x:v>
      </x:c>
      <x:c r="K346" s="10" t="n">
        <x:f>J346*'Assumptions'!$T$112</x:f>
        <x:v>23989.5432</x:v>
      </x:c>
      <x:c r="L346" s="10" t="n">
        <x:f>K346*'Assumptions'!$U$112</x:f>
        <x:v>719.686296</x:v>
      </x:c>
      <x:c r="M346" s="10" t="n">
        <x:f>K346*'Assumptions'!$V$112</x:f>
        <x:v>0</x:v>
      </x:c>
      <x:c r="N346" s="10" t="n">
        <x:f>K346-L346-M346</x:f>
        <x:v>23269.856904</x:v>
      </x:c>
      <x:c r="O346" s="10" t="n">
        <x:f>H346*'Assumptions'!$P$112*'Assumptions'!$Q$112*'Assumptions'!$D$11*(1+'Assumptions'!$D$13)^(3-1)</x:f>
        <x:v>10192.596749999999</x:v>
      </x:c>
      <x:c r="P346" s="10" t="n">
        <x:f>H346*'Assumptions'!$R$112*'Assumptions'!$D$11*(1+'Assumptions'!$D$13)^(3-1)</x:f>
        <x:v>3057.779025</x:v>
      </x:c>
      <x:c r="Q346" s="10" t="n">
        <x:f>J346*'Assumptions'!$S$112</x:f>
        <x:v>0</x:v>
      </x:c>
      <x:c r="R346" s="10" t="n">
        <x:f>H346*'Assumptions'!$Y$112*'Assumptions'!$Z$112*'Assumptions'!$D$11*(1+'Assumptions'!$D$13)^(3-1)</x:f>
        <x:v>152.88895125000002</x:v>
      </x:c>
      <x:c r="S346" s="10" t="n">
        <x:f>IF(I346=0,0,J346*'Assumptions'!$W$112+H346*'Assumptions'!$X$112)</x:f>
        <x:v>701.4612528</x:v>
      </x:c>
      <x:c r="T346" s="10" t="n">
        <x:f>N346*'Assumptions'!$AA$112</x:f>
        <x:v>930.79427616</x:v>
      </x:c>
      <x:c r="U346" s="10" t="n">
        <x:f>'Assumptions'!$AE$112*'Assumptions'!$D$11*(1+'Assumptions'!$D$13)^(3-1)</x:f>
        <x:v>0</x:v>
      </x:c>
      <x:c r="V346" s="10" t="n">
        <x:f>0</x:f>
        <x:v>0</x:v>
      </x:c>
      <x:c r="W346" s="10" t="n">
        <x:f>H346*('Assumptions'!$P$112+'Assumptions'!$Y$112)</x:f>
        <x:v>196.95374999999999</x:v>
      </x:c>
      <x:c r="X346" s="10" t="n">
        <x:f>N346/12*'Assumptions'!$AF$112</x:f>
        <x:v>1939.154742</x:v>
      </x:c>
      <x:c r="Y346" s="10" t="n">
        <x:f>P346/12</x:f>
        <x:v>254.81491874999998</x:v>
      </x:c>
      <x:c r="Z346" s="10" t="n">
        <x:f>0</x:f>
        <x:v>0</x:v>
      </x:c>
      <x:c r="AA346" s="10" t="n">
        <x:f>Z346*'Assumptions'!$AC$112*'Assumptions'!$D$11*(1+'Assumptions'!$D$13)^(3-1)</x:f>
        <x:v>0</x:v>
      </x:c>
      <x:c r="AB346" s="10" t="n">
        <x:f>F346/1</x:f>
        <x:v>10.89</x:v>
      </x:c>
      <x:c r="AC346" s="10" t="n">
        <x:f>AB346/'Assumptions'!$AM$112</x:f>
        <x:v>54.45</x:v>
      </x:c>
      <x:c r="AD346" s="10" t="n">
        <x:f>IF(AB346=0,0,T346/AB346)</x:f>
        <x:v>85.47238532231404</x:v>
      </x:c>
      <x:c r="AE346" s="10" t="n">
        <x:f>AA346*'Assumptions'!$D$21</x:f>
        <x:v>0</x:v>
      </x:c>
    </x:row>
    <x:row r="347" ht="16" customHeight="1">
      <x:c r="A347" s="1"/>
      <x:c r="B347" s="1"/>
      <x:c r="C347" s="1" t="str">
        <x:v>DOT-084</x:v>
      </x:c>
      <x:c r="D347" s="10" t="str">
        <x:v>Semajes Studio</x:v>
      </x:c>
      <x:c r="E347" s="10" t="n">
        <x:v>3</x:v>
      </x:c>
      <x:c r="F347" s="21" t="n">
        <x:f>F219*(1+'Assumptions'!$L$113)</x:f>
        <x:v>72.60000000000001</x:v>
      </x:c>
      <x:c r="G347" s="21" t="n">
        <x:f>H219*'Assumptions'!$K$113</x:f>
        <x:v>55.5</x:v>
      </x:c>
      <x:c r="H347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347+G347,NA())</x:f>
        <x:v>128.10000000000002</x:v>
      </x:c>
      <x:c r="I347" s="22" t="n">
        <x:f>'Assumptions'!$H$113*IF('Assumptions'!$O$113=1,1,'Assumptions'!$D$10)*(1+'Assumptions'!$N$113)^(3-1)</x:f>
        <x:v>36.414</x:v>
      </x:c>
      <x:c r="J347" s="10" t="n">
        <x:f>H347*I347</x:f>
        <x:v>4664.633400000001</x:v>
      </x:c>
      <x:c r="K347" s="10" t="n">
        <x:f>J347*'Assumptions'!$T$113</x:f>
        <x:v>4664.633400000001</x:v>
      </x:c>
      <x:c r="L347" s="10" t="n">
        <x:f>K347*'Assumptions'!$U$113</x:f>
        <x:v>139.93900200000002</x:v>
      </x:c>
      <x:c r="M347" s="10" t="n">
        <x:f>K347*'Assumptions'!$V$113</x:f>
        <x:v>0</x:v>
      </x:c>
      <x:c r="N347" s="10" t="n">
        <x:f>K347-L347-M347</x:f>
        <x:v>4524.694398000001</x:v>
      </x:c>
      <x:c r="O347" s="10" t="n">
        <x:f>H347*'Assumptions'!$P$113*'Assumptions'!$Q$113*'Assumptions'!$D$11*(1+'Assumptions'!$D$13)^(3-1)</x:f>
        <x:v>679.5064500000001</x:v>
      </x:c>
      <x:c r="P347" s="10" t="n">
        <x:f>H347*'Assumptions'!$R$113*'Assumptions'!$D$11*(1+'Assumptions'!$D$13)^(3-1)</x:f>
        <x:v>0</x:v>
      </x:c>
      <x:c r="Q347" s="10" t="n">
        <x:f>J347*'Assumptions'!$S$113</x:f>
        <x:v>0</x:v>
      </x:c>
      <x:c r="R347" s="10" t="n">
        <x:f>H347*'Assumptions'!$Y$113*'Assumptions'!$Z$113*'Assumptions'!$D$11*(1+'Assumptions'!$D$13)^(3-1)</x:f>
        <x:v>1019.2596750000002</x:v>
      </x:c>
      <x:c r="S347" s="10" t="n">
        <x:f>IF(I347=0,0,J347*'Assumptions'!$W$113+H347*'Assumptions'!$X$113)</x:f>
        <x:v>173.70436860000004</x:v>
      </x:c>
      <x:c r="T347" s="10" t="n">
        <x:f>N347*'Assumptions'!$AA$113</x:f>
        <x:v>180.98777592000002</x:v>
      </x:c>
      <x:c r="U347" s="10" t="n">
        <x:f>'Assumptions'!$AE$113*'Assumptions'!$D$11*(1+'Assumptions'!$D$13)^(3-1)</x:f>
        <x:v>0</x:v>
      </x:c>
      <x:c r="V347" s="10" t="n">
        <x:f>0</x:f>
        <x:v>0</x:v>
      </x:c>
      <x:c r="W347" s="10" t="n">
        <x:f>H347*('Assumptions'!$P$113+'Assumptions'!$Y$113)</x:f>
        <x:v>44.83500000000001</x:v>
      </x:c>
      <x:c r="X347" s="10" t="n">
        <x:f>N347/12*'Assumptions'!$AF$113</x:f>
        <x:v>377.05786650000005</x:v>
      </x:c>
      <x:c r="Y347" s="10" t="n">
        <x:f>P347/12</x:f>
        <x:v>0</x:v>
      </x:c>
      <x:c r="Z347" s="10" t="n">
        <x:f>0</x:f>
        <x:v>0</x:v>
      </x:c>
      <x:c r="AA347" s="10" t="n">
        <x:f>Z347*'Assumptions'!$AC$113*'Assumptions'!$D$11*(1+'Assumptions'!$D$13)^(3-1)</x:f>
        <x:v>0</x:v>
      </x:c>
      <x:c r="AB347" s="10" t="n">
        <x:f>F347/1</x:f>
        <x:v>72.60000000000001</x:v>
      </x:c>
      <x:c r="AC347" s="10" t="n">
        <x:f>AB347/'Assumptions'!$AM$113</x:f>
        <x:v>363</x:v>
      </x:c>
      <x:c r="AD347" s="10" t="n">
        <x:f>IF(AB347=0,0,T347/AB347)</x:f>
        <x:v>2.4929445719008263</x:v>
      </x:c>
      <x:c r="AE347" s="10" t="n">
        <x:f>AA347*'Assumptions'!$D$21</x:f>
        <x:v>0</x:v>
      </x:c>
    </x:row>
    <x:row r="348" ht="16" customHeight="1">
      <x:c r="A348" s="1"/>
      <x:c r="B348" s="1"/>
      <x:c r="C348" s="1" t="str">
        <x:v>DOT-085</x:v>
      </x:c>
      <x:c r="D348" s="10" t="str">
        <x:v>Semajes Studio</x:v>
      </x:c>
      <x:c r="E348" s="10" t="n">
        <x:v>3</x:v>
      </x:c>
      <x:c r="F348" s="21" t="n">
        <x:f>F220*(1+'Assumptions'!$L$114)</x:f>
        <x:v>21.78</x:v>
      </x:c>
      <x:c r="G348" s="21" t="n">
        <x:f>H220*'Assumptions'!$K$114</x:f>
        <x:v>16.65</x:v>
      </x:c>
      <x:c r="H348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348+G348,NA())</x:f>
        <x:v>38.43</x:v>
      </x:c>
      <x:c r="I348" s="22" t="n">
        <x:f>'Assumptions'!$H$114*IF('Assumptions'!$O$114=1,1,'Assumptions'!$D$10)*(1+'Assumptions'!$N$114)^(3-1)</x:f>
        <x:v>156.06</x:v>
      </x:c>
      <x:c r="J348" s="10" t="n">
        <x:f>H348*I348</x:f>
        <x:v>5997.3858</x:v>
      </x:c>
      <x:c r="K348" s="10" t="n">
        <x:f>J348*'Assumptions'!$T$114</x:f>
        <x:v>5997.3858</x:v>
      </x:c>
      <x:c r="L348" s="10" t="n">
        <x:f>K348*'Assumptions'!$U$114</x:f>
        <x:v>179.921574</x:v>
      </x:c>
      <x:c r="M348" s="10" t="n">
        <x:f>K348*'Assumptions'!$V$114</x:f>
        <x:v>0</x:v>
      </x:c>
      <x:c r="N348" s="10" t="n">
        <x:f>K348-L348-M348</x:f>
        <x:v>5817.464226</x:v>
      </x:c>
      <x:c r="O348" s="10" t="n">
        <x:f>H348*'Assumptions'!$P$114*'Assumptions'!$Q$114*'Assumptions'!$D$11*(1+'Assumptions'!$D$13)^(3-1)</x:f>
        <x:v>509.62983749999995</x:v>
      </x:c>
      <x:c r="P348" s="10" t="n">
        <x:f>H348*'Assumptions'!$R$114*'Assumptions'!$D$11*(1+'Assumptions'!$D$13)^(3-1)</x:f>
        <x:v>0</x:v>
      </x:c>
      <x:c r="Q348" s="10" t="n">
        <x:f>J348*'Assumptions'!$S$114</x:f>
        <x:v>0</x:v>
      </x:c>
      <x:c r="R348" s="10" t="n">
        <x:f>H348*'Assumptions'!$Y$114*'Assumptions'!$Z$114*'Assumptions'!$D$11*(1+'Assumptions'!$D$13)^(3-1)</x:f>
        <x:v>305.77790250000004</x:v>
      </x:c>
      <x:c r="S348" s="10" t="n">
        <x:f>IF(I348=0,0,J348*'Assumptions'!$W$114+H348*'Assumptions'!$X$114)</x:f>
        <x:v>185.4531882</x:v>
      </x:c>
      <x:c r="T348" s="10" t="n">
        <x:f>N348*'Assumptions'!$AA$114</x:f>
        <x:v>232.69856904</x:v>
      </x:c>
      <x:c r="U348" s="10" t="n">
        <x:f>'Assumptions'!$AE$114*'Assumptions'!$D$11*(1+'Assumptions'!$D$13)^(3-1)</x:f>
        <x:v>0</x:v>
      </x:c>
      <x:c r="V348" s="10" t="n">
        <x:f>0</x:f>
        <x:v>0</x:v>
      </x:c>
      <x:c r="W348" s="10" t="n">
        <x:f>H348*('Assumptions'!$P$114+'Assumptions'!$Y$114)</x:f>
        <x:v>19.215</x:v>
      </x:c>
      <x:c r="X348" s="10" t="n">
        <x:f>N348/12*'Assumptions'!$AF$114</x:f>
        <x:v>484.7886855</x:v>
      </x:c>
      <x:c r="Y348" s="10" t="n">
        <x:f>P348/12</x:f>
        <x:v>0</x:v>
      </x:c>
      <x:c r="Z348" s="10" t="n">
        <x:f>0</x:f>
        <x:v>0</x:v>
      </x:c>
      <x:c r="AA348" s="10" t="n">
        <x:f>Z348*'Assumptions'!$AC$114*'Assumptions'!$D$11*(1+'Assumptions'!$D$13)^(3-1)</x:f>
        <x:v>0</x:v>
      </x:c>
      <x:c r="AB348" s="10" t="n">
        <x:f>F348/1</x:f>
        <x:v>21.78</x:v>
      </x:c>
      <x:c r="AC348" s="10" t="n">
        <x:f>AB348/'Assumptions'!$AM$114</x:f>
        <x:v>108.9</x:v>
      </x:c>
      <x:c r="AD348" s="10" t="n">
        <x:f>IF(AB348=0,0,T348/AB348)</x:f>
        <x:v>10.684048165289255</x:v>
      </x:c>
      <x:c r="AE348" s="10" t="n">
        <x:f>AA348*'Assumptions'!$D$21</x:f>
        <x:v>0</x:v>
      </x:c>
    </x:row>
    <x:row r="349" ht="16" customHeight="1">
      <x:c r="A349" s="1"/>
      <x:c r="B349" s="1"/>
      <x:c r="C349" s="1" t="str">
        <x:v>DOT-086</x:v>
      </x:c>
      <x:c r="D349" s="10" t="str">
        <x:v>Semajes Studio</x:v>
      </x:c>
      <x:c r="E349" s="10" t="n">
        <x:v>3</x:v>
      </x:c>
      <x:c r="F349" s="21" t="n">
        <x:f>F221*(1+'Assumptions'!$L$115)</x:f>
        <x:v>10.89</x:v>
      </x:c>
      <x:c r="G349" s="21" t="n">
        <x:f>H221*'Assumptions'!$K$115</x:f>
        <x:v>8.325</x:v>
      </x:c>
      <x:c r="H349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349+G349,NA())</x:f>
        <x:v>19.215</x:v>
      </x:c>
      <x:c r="I349" s="22" t="n">
        <x:f>'Assumptions'!$H$115*IF('Assumptions'!$O$115=1,1,'Assumptions'!$D$10)*(1+'Assumptions'!$N$115)^(3-1)</x:f>
        <x:v>520.2</x:v>
      </x:c>
      <x:c r="J349" s="10" t="n">
        <x:f>H349*I349</x:f>
        <x:v>9995.643</x:v>
      </x:c>
      <x:c r="K349" s="10" t="n">
        <x:f>J349*'Assumptions'!$T$115</x:f>
        <x:v>9995.643</x:v>
      </x:c>
      <x:c r="L349" s="10" t="n">
        <x:f>K349*'Assumptions'!$U$115</x:f>
        <x:v>299.86929</x:v>
      </x:c>
      <x:c r="M349" s="10" t="n">
        <x:f>K349*'Assumptions'!$V$115</x:f>
        <x:v>0</x:v>
      </x:c>
      <x:c r="N349" s="10" t="n">
        <x:f>K349-L349-M349</x:f>
        <x:v>9695.77371</x:v>
      </x:c>
      <x:c r="O349" s="10" t="n">
        <x:f>H349*'Assumptions'!$P$115*'Assumptions'!$Q$115*'Assumptions'!$D$11*(1+'Assumptions'!$D$13)^(3-1)</x:f>
        <x:v>1019.2596749999999</x:v>
      </x:c>
      <x:c r="P349" s="10" t="n">
        <x:f>H349*'Assumptions'!$R$115*'Assumptions'!$D$11*(1+'Assumptions'!$D$13)^(3-1)</x:f>
        <x:v>0</x:v>
      </x:c>
      <x:c r="Q349" s="10" t="n">
        <x:f>J349*'Assumptions'!$S$115</x:f>
        <x:v>0</x:v>
      </x:c>
      <x:c r="R349" s="10" t="n">
        <x:f>H349*'Assumptions'!$Y$115*'Assumptions'!$Z$115*'Assumptions'!$D$11*(1+'Assumptions'!$D$13)^(3-1)</x:f>
        <x:v>152.88895125000002</x:v>
      </x:c>
      <x:c r="S349" s="10" t="n">
        <x:f>IF(I349=0,0,J349*'Assumptions'!$W$115+H349*'Assumptions'!$X$115)</x:f>
        <x:v>295.638147</x:v>
      </x:c>
      <x:c r="T349" s="10" t="n">
        <x:f>N349*'Assumptions'!$AA$115</x:f>
        <x:v>387.8309484</x:v>
      </x:c>
      <x:c r="U349" s="10" t="n">
        <x:f>'Assumptions'!$AE$115*'Assumptions'!$D$11*(1+'Assumptions'!$D$13)^(3-1)</x:f>
        <x:v>0</x:v>
      </x:c>
      <x:c r="V349" s="10" t="n">
        <x:f>0</x:f>
        <x:v>0</x:v>
      </x:c>
      <x:c r="W349" s="10" t="n">
        <x:f>H349*('Assumptions'!$P$115+'Assumptions'!$Y$115)</x:f>
        <x:v>24.01875</x:v>
      </x:c>
      <x:c r="X349" s="10" t="n">
        <x:f>N349/12*'Assumptions'!$AF$115</x:f>
        <x:v>807.9811424999999</x:v>
      </x:c>
      <x:c r="Y349" s="10" t="n">
        <x:f>P349/12</x:f>
        <x:v>0</x:v>
      </x:c>
      <x:c r="Z349" s="10" t="n">
        <x:f>0</x:f>
        <x:v>0</x:v>
      </x:c>
      <x:c r="AA349" s="10" t="n">
        <x:f>Z349*'Assumptions'!$AC$115*'Assumptions'!$D$11*(1+'Assumptions'!$D$13)^(3-1)</x:f>
        <x:v>0</x:v>
      </x:c>
      <x:c r="AB349" s="10" t="n">
        <x:f>F349/1</x:f>
        <x:v>10.89</x:v>
      </x:c>
      <x:c r="AC349" s="10" t="n">
        <x:f>AB349/'Assumptions'!$AM$115</x:f>
        <x:v>54.45</x:v>
      </x:c>
      <x:c r="AD349" s="10" t="n">
        <x:f>IF(AB349=0,0,T349/AB349)</x:f>
        <x:v>35.61349388429752</x:v>
      </x:c>
      <x:c r="AE349" s="10" t="n">
        <x:f>AA349*'Assumptions'!$D$21</x:f>
        <x:v>0</x:v>
      </x:c>
    </x:row>
    <x:row r="350" ht="16" customHeight="1">
      <x:c r="A350" s="1"/>
      <x:c r="B350" s="1"/>
      <x:c r="C350" s="1" t="str">
        <x:v>DOT-087</x:v>
      </x:c>
      <x:c r="D350" s="10" t="str">
        <x:v>Semajes Studio</x:v>
      </x:c>
      <x:c r="E350" s="10" t="n">
        <x:v>3</x:v>
      </x:c>
      <x:c r="F350" s="21" t="n">
        <x:f>F222*(1+'Assumptions'!$L$116)</x:f>
        <x:v>105.36960000000002</x:v>
      </x:c>
      <x:c r="G350" s="21" t="n">
        <x:f>H222*'Assumptions'!$K$116</x:f>
        <x:v>36.324000000000005</x:v>
      </x:c>
      <x:c r="H350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350+G350,NA())</x:f>
        <x:v>141.69360000000003</x:v>
      </x:c>
      <x:c r="I350" s="22" t="n">
        <x:f>'Assumptions'!$H$116*IF('Assumptions'!$O$116=1,1,'Assumptions'!$D$10)*(1+'Assumptions'!$N$116)^(3-1)</x:f>
        <x:v>98.838</x:v>
      </x:c>
      <x:c r="J350" s="10" t="n">
        <x:f>H350*I350</x:f>
        <x:v>14004.712036800001</x:v>
      </x:c>
      <x:c r="K350" s="10" t="n">
        <x:f>J350*'Assumptions'!$T$116</x:f>
        <x:v>14004.712036800001</x:v>
      </x:c>
      <x:c r="L350" s="10" t="n">
        <x:f>K350*'Assumptions'!$U$116</x:f>
        <x:v>420.14136110400005</x:v>
      </x:c>
      <x:c r="M350" s="10" t="n">
        <x:f>K350*'Assumptions'!$V$116</x:f>
        <x:v>280.094240736</x:v>
      </x:c>
      <x:c r="N350" s="10" t="n">
        <x:f>K350-L350-M350</x:f>
        <x:v>13304.476434960001</x:v>
      </x:c>
      <x:c r="O350" s="10" t="n">
        <x:f>H350*'Assumptions'!$P$116*'Assumptions'!$Q$116*'Assumptions'!$D$11*(1+'Assumptions'!$D$13)^(3-1)</x:f>
        <x:v>1127.4205518</x:v>
      </x:c>
      <x:c r="P350" s="10" t="n">
        <x:f>H350*'Assumptions'!$R$116*'Assumptions'!$D$11*(1+'Assumptions'!$D$13)^(3-1)</x:f>
        <x:v>5261.2959084</x:v>
      </x:c>
      <x:c r="Q350" s="10" t="n">
        <x:f>J350*'Assumptions'!$S$116</x:f>
        <x:v>0</x:v>
      </x:c>
      <x:c r="R350" s="10" t="n">
        <x:f>H350*'Assumptions'!$Y$116*'Assumptions'!$Z$116*'Assumptions'!$D$11*(1+'Assumptions'!$D$13)^(3-1)</x:f>
        <x:v>676.45233108</x:v>
      </x:c>
      <x:c r="S350" s="10" t="n">
        <x:f>IF(I350=0,0,J350*'Assumptions'!$W$116+H350*'Assumptions'!$X$116)</x:f>
        <x:v>448.64472906720005</x:v>
      </x:c>
      <x:c r="T350" s="10" t="n">
        <x:f>N350*'Assumptions'!$AA$116</x:f>
        <x:v>1064.3581147968</x:v>
      </x:c>
      <x:c r="U350" s="10" t="n">
        <x:f>'Assumptions'!$AE$116*'Assumptions'!$D$11*(1+'Assumptions'!$D$13)^(3-1)</x:f>
        <x:v>0</x:v>
      </x:c>
      <x:c r="V350" s="10" t="n">
        <x:f>0</x:f>
        <x:v>0</x:v>
      </x:c>
      <x:c r="W350" s="10" t="n">
        <x:f>H350*('Assumptions'!$P$116+'Assumptions'!$Y$116)</x:f>
        <x:v>42.50808000000001</x:v>
      </x:c>
      <x:c r="X350" s="10" t="n">
        <x:f>N350/12*'Assumptions'!$AF$116</x:f>
        <x:v>0</x:v>
      </x:c>
      <x:c r="Y350" s="10" t="n">
        <x:f>P350/12</x:f>
        <x:v>438.44132570000005</x:v>
      </x:c>
      <x:c r="Z350" s="10" t="n">
        <x:f>0</x:f>
        <x:v>0</x:v>
      </x:c>
      <x:c r="AA350" s="10" t="n">
        <x:f>Z350*'Assumptions'!$AC$116*'Assumptions'!$D$11*(1+'Assumptions'!$D$13)^(3-1)</x:f>
        <x:v>0</x:v>
      </x:c>
      <x:c r="AB350" s="10" t="n">
        <x:f>F350/1</x:f>
        <x:v>105.36960000000002</x:v>
      </x:c>
      <x:c r="AC350" s="10" t="n">
        <x:f>AB350/'Assumptions'!$AM$116</x:f>
        <x:v>3512.3200000000006</x:v>
      </x:c>
      <x:c r="AD350" s="10" t="n">
        <x:f>IF(AB350=0,0,T350/AB350)</x:f>
        <x:v>10.101187769497082</x:v>
      </x:c>
      <x:c r="AE350" s="10" t="n">
        <x:f>AA350*'Assumptions'!$D$21</x:f>
        <x:v>0</x:v>
      </x:c>
    </x:row>
    <x:row r="351" ht="16" customHeight="1">
      <x:c r="A351" s="1"/>
      <x:c r="B351" s="1"/>
      <x:c r="C351" s="1" t="str">
        <x:v>DOT-088</x:v>
      </x:c>
      <x:c r="D351" s="10" t="str">
        <x:v>Semajes Studio</x:v>
      </x:c>
      <x:c r="E351" s="10" t="n">
        <x:v>3</x:v>
      </x:c>
      <x:c r="F351" s="21" t="n">
        <x:f>F223*(1+'Assumptions'!$L$117)</x:f>
        <x:v>52.68480000000001</x:v>
      </x:c>
      <x:c r="G351" s="21" t="n">
        <x:f>H223*'Assumptions'!$K$117</x:f>
        <x:v>18.162000000000003</x:v>
      </x:c>
      <x:c r="H351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351+G351,NA())</x:f>
        <x:v>70.84680000000002</x:v>
      </x:c>
      <x:c r="I351" s="22" t="n">
        <x:f>'Assumptions'!$H$117*IF('Assumptions'!$O$117=1,1,'Assumptions'!$D$10)*(1+'Assumptions'!$N$117)^(3-1)</x:f>
        <x:v>260.1</x:v>
      </x:c>
      <x:c r="J351" s="10" t="n">
        <x:f>H351*I351</x:f>
        <x:v>18427.252680000005</x:v>
      </x:c>
      <x:c r="K351" s="10" t="n">
        <x:f>J351*'Assumptions'!$T$117</x:f>
        <x:v>18427.252680000005</x:v>
      </x:c>
      <x:c r="L351" s="10" t="n">
        <x:f>K351*'Assumptions'!$U$117</x:f>
        <x:v>552.8175804000001</x:v>
      </x:c>
      <x:c r="M351" s="10" t="n">
        <x:f>K351*'Assumptions'!$V$117</x:f>
        <x:v>368.54505360000013</x:v>
      </x:c>
      <x:c r="N351" s="10" t="n">
        <x:f>K351-L351-M351</x:f>
        <x:v>17505.890046000008</x:v>
      </x:c>
      <x:c r="O351" s="10" t="n">
        <x:f>H351*'Assumptions'!$P$117*'Assumptions'!$Q$117*'Assumptions'!$D$11*(1+'Assumptions'!$D$13)^(3-1)</x:f>
        <x:v>939.5171265000001</x:v>
      </x:c>
      <x:c r="P351" s="10" t="n">
        <x:f>H351*'Assumptions'!$R$117*'Assumptions'!$D$11*(1+'Assumptions'!$D$13)^(3-1)</x:f>
        <x:v>8267.750713200001</x:v>
      </x:c>
      <x:c r="Q351" s="10" t="n">
        <x:f>J351*'Assumptions'!$S$117</x:f>
        <x:v>0</x:v>
      </x:c>
      <x:c r="R351" s="10" t="n">
        <x:f>H351*'Assumptions'!$Y$117*'Assumptions'!$Z$117*'Assumptions'!$D$11*(1+'Assumptions'!$D$13)^(3-1)</x:f>
        <x:v>338.22616554</x:v>
      </x:c>
      <x:c r="S351" s="10" t="n">
        <x:f>IF(I351=0,0,J351*'Assumptions'!$W$117+H351*'Assumptions'!$X$117)</x:f>
        <x:v>555.6443677200002</x:v>
      </x:c>
      <x:c r="T351" s="10" t="n">
        <x:f>N351*'Assumptions'!$AA$117</x:f>
        <x:v>1400.4712036800006</x:v>
      </x:c>
      <x:c r="U351" s="10" t="n">
        <x:f>'Assumptions'!$AE$117*'Assumptions'!$D$11*(1+'Assumptions'!$D$13)^(3-1)</x:f>
        <x:v>0</x:v>
      </x:c>
      <x:c r="V351" s="10" t="n">
        <x:f>0</x:f>
        <x:v>0</x:v>
      </x:c>
      <x:c r="W351" s="10" t="n">
        <x:f>H351*('Assumptions'!$P$117+'Assumptions'!$Y$117)</x:f>
        <x:v>28.33872000000001</x:v>
      </x:c>
      <x:c r="X351" s="10" t="n">
        <x:f>N351/12*'Assumptions'!$AF$117</x:f>
        <x:v>0</x:v>
      </x:c>
      <x:c r="Y351" s="10" t="n">
        <x:f>P351/12</x:f>
        <x:v>688.9792261000001</x:v>
      </x:c>
      <x:c r="Z351" s="10" t="n">
        <x:f>0</x:f>
        <x:v>0</x:v>
      </x:c>
      <x:c r="AA351" s="10" t="n">
        <x:f>Z351*'Assumptions'!$AC$117*'Assumptions'!$D$11*(1+'Assumptions'!$D$13)^(3-1)</x:f>
        <x:v>0</x:v>
      </x:c>
      <x:c r="AB351" s="10" t="n">
        <x:f>F351/1</x:f>
        <x:v>52.68480000000001</x:v>
      </x:c>
      <x:c r="AC351" s="10" t="n">
        <x:f>AB351/'Assumptions'!$AM$117</x:f>
        <x:v>1756.1600000000003</x:v>
      </x:c>
      <x:c r="AD351" s="10" t="n">
        <x:f>IF(AB351=0,0,T351/AB351)</x:f>
        <x:v>26.582073077623914</x:v>
      </x:c>
      <x:c r="AE351" s="10" t="n">
        <x:f>AA351*'Assumptions'!$D$21</x:f>
        <x:v>0</x:v>
      </x:c>
    </x:row>
    <x:row r="352" ht="16" customHeight="1">
      <x:c r="A352" s="1"/>
      <x:c r="B352" s="1"/>
      <x:c r="C352" s="1" t="str">
        <x:v>DOT-089</x:v>
      </x:c>
      <x:c r="D352" s="10" t="str">
        <x:v>Semajes Studio</x:v>
      </x:c>
      <x:c r="E352" s="10" t="n">
        <x:v>3</x:v>
      </x:c>
      <x:c r="F352" s="21" t="n">
        <x:f>F224*(1+'Assumptions'!$L$118)</x:f>
        <x:v>21.07392</x:v>
      </x:c>
      <x:c r="G352" s="21" t="n">
        <x:f>H224*'Assumptions'!$K$118</x:f>
        <x:v>7.264799999999999</x:v>
      </x:c>
      <x:c r="H352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352+G352,NA())</x:f>
        <x:v>28.338720000000002</x:v>
      </x:c>
      <x:c r="I352" s="22" t="n">
        <x:f>'Assumptions'!$H$118*IF('Assumptions'!$O$118=1,1,'Assumptions'!$D$10)*(1+'Assumptions'!$N$118)^(3-1)</x:f>
        <x:v>182.07</x:v>
      </x:c>
      <x:c r="J352" s="10" t="n">
        <x:f>H352*I352</x:f>
        <x:v>5159.630750400001</x:v>
      </x:c>
      <x:c r="K352" s="10" t="n">
        <x:f>J352*'Assumptions'!$T$118</x:f>
        <x:v>5159.630750400001</x:v>
      </x:c>
      <x:c r="L352" s="10" t="n">
        <x:f>K352*'Assumptions'!$U$118</x:f>
        <x:v>154.788922512</x:v>
      </x:c>
      <x:c r="M352" s="10" t="n">
        <x:f>K352*'Assumptions'!$V$118</x:f>
        <x:v>103.19261500800002</x:v>
      </x:c>
      <x:c r="N352" s="10" t="n">
        <x:f>K352-L352-M352</x:f>
        <x:v>4901.649212880001</x:v>
      </x:c>
      <x:c r="O352" s="10" t="n">
        <x:f>H352*'Assumptions'!$P$118*'Assumptions'!$Q$118*'Assumptions'!$D$11*(1+'Assumptions'!$D$13)^(3-1)</x:f>
        <x:v>751.6137012</x:v>
      </x:c>
      <x:c r="P352" s="10" t="n">
        <x:f>H352*'Assumptions'!$R$118*'Assumptions'!$D$11*(1+'Assumptions'!$D$13)^(3-1)</x:f>
        <x:v>2705.80932432</x:v>
      </x:c>
      <x:c r="Q352" s="10" t="n">
        <x:f>J352*'Assumptions'!$S$118</x:f>
        <x:v>0</x:v>
      </x:c>
      <x:c r="R352" s="10" t="n">
        <x:f>H352*'Assumptions'!$Y$118*'Assumptions'!$Z$118*'Assumptions'!$D$11*(1+'Assumptions'!$D$13)^(3-1)</x:f>
        <x:v>135.290466216</x:v>
      </x:c>
      <x:c r="S352" s="10" t="n">
        <x:f>IF(I352=0,0,J352*'Assumptions'!$W$118+H352*'Assumptions'!$X$118)</x:f>
        <x:v>158.13090776160004</x:v>
      </x:c>
      <x:c r="T352" s="10" t="n">
        <x:f>N352*'Assumptions'!$AA$118</x:f>
        <x:v>392.1319370304001</x:v>
      </x:c>
      <x:c r="U352" s="10" t="n">
        <x:f>'Assumptions'!$AE$118*'Assumptions'!$D$11*(1+'Assumptions'!$D$13)^(3-1)</x:f>
        <x:v>0</x:v>
      </x:c>
      <x:c r="V352" s="10" t="n">
        <x:f>0</x:f>
        <x:v>0</x:v>
      </x:c>
      <x:c r="W352" s="10" t="n">
        <x:f>H352*('Assumptions'!$P$118+'Assumptions'!$Y$118)</x:f>
        <x:v>18.420168</x:v>
      </x:c>
      <x:c r="X352" s="10" t="n">
        <x:f>N352/12*'Assumptions'!$AF$118</x:f>
        <x:v>0</x:v>
      </x:c>
      <x:c r="Y352" s="10" t="n">
        <x:f>P352/12</x:f>
        <x:v>225.48411036000002</x:v>
      </x:c>
      <x:c r="Z352" s="10" t="n">
        <x:f>0</x:f>
        <x:v>0</x:v>
      </x:c>
      <x:c r="AA352" s="10" t="n">
        <x:f>Z352*'Assumptions'!$AC$118*'Assumptions'!$D$11*(1+'Assumptions'!$D$13)^(3-1)</x:f>
        <x:v>0</x:v>
      </x:c>
      <x:c r="AB352" s="10" t="n">
        <x:f>F352/1</x:f>
        <x:v>21.07392</x:v>
      </x:c>
      <x:c r="AC352" s="10" t="n">
        <x:f>AB352/'Assumptions'!$AM$118</x:f>
        <x:v>702.464</x:v>
      </x:c>
      <x:c r="AD352" s="10" t="n">
        <x:f>IF(AB352=0,0,T352/AB352)</x:f>
        <x:v>18.607451154336736</x:v>
      </x:c>
      <x:c r="AE352" s="10" t="n">
        <x:f>AA352*'Assumptions'!$D$21</x:f>
        <x:v>0</x:v>
      </x:c>
    </x:row>
    <x:row r="353" ht="16" customHeight="1">
      <x:c r="A353" s="1"/>
      <x:c r="B353" s="1"/>
      <x:c r="C353" s="1" t="str">
        <x:v>DOT-090</x:v>
      </x:c>
      <x:c r="D353" s="10" t="str">
        <x:v>Semajes Marketplace</x:v>
      </x:c>
      <x:c r="E353" s="10" t="n">
        <x:v>3</x:v>
      </x:c>
      <x:c r="F353" s="21" t="n">
        <x:f>F225*(1+'Assumptions'!$L$119)</x:f>
        <x:v>51.84000000000001</x:v>
      </x:c>
      <x:c r="G353" s="21" t="n">
        <x:f>H225*'Assumptions'!$K$119</x:f>
        <x:v>59.64000000000001</x:v>
      </x:c>
      <x:c r="H353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353+G353,NA())</x:f>
        <x:v>111.48000000000002</x:v>
      </x:c>
      <x:c r="I353" s="22" t="n">
        <x:f>'Assumptions'!$H$119*IF('Assumptions'!$O$119=1,1,'Assumptions'!$D$10)*(1+'Assumptions'!$N$119)^(3-1)</x:f>
        <x:v>624.24</x:v>
      </x:c>
      <x:c r="J353" s="10" t="n">
        <x:f>H353*I353</x:f>
        <x:v>69590.27520000002</x:v>
      </x:c>
      <x:c r="K353" s="10" t="n">
        <x:f>J353*'Assumptions'!$T$119</x:f>
        <x:v>10438.541280000003</x:v>
      </x:c>
      <x:c r="L353" s="10" t="n">
        <x:f>K353*'Assumptions'!$U$119</x:f>
        <x:v>313.15623840000006</x:v>
      </x:c>
      <x:c r="M353" s="10" t="n">
        <x:f>K353*'Assumptions'!$V$119</x:f>
        <x:v>0</x:v>
      </x:c>
      <x:c r="N353" s="10" t="n">
        <x:f>K353-L353-M353</x:f>
        <x:v>10125.385041600002</x:v>
      </x:c>
      <x:c r="O353" s="10" t="n">
        <x:f>H353*'Assumptions'!$P$119*'Assumptions'!$Q$119*'Assumptions'!$D$11*(1+'Assumptions'!$D$13)^(3-1)</x:f>
        <x:v>1034.8549050000001</x:v>
      </x:c>
      <x:c r="P353" s="10" t="n">
        <x:f>H353*'Assumptions'!$R$119*'Assumptions'!$D$11*(1+'Assumptions'!$D$13)^(3-1)</x:f>
        <x:v>0</x:v>
      </x:c>
      <x:c r="Q353" s="10" t="n">
        <x:f>J353*'Assumptions'!$S$119</x:f>
        <x:v>0</x:v>
      </x:c>
      <x:c r="R353" s="10" t="n">
        <x:f>H353*'Assumptions'!$Y$119*'Assumptions'!$Z$119*'Assumptions'!$D$11*(1+'Assumptions'!$D$13)^(3-1)</x:f>
        <x:v>532.211094</x:v>
      </x:c>
      <x:c r="S353" s="10" t="n">
        <x:f>IF(I353=0,0,J353*'Assumptions'!$W$119+H353*'Assumptions'!$X$119)</x:f>
        <x:v>2051.5619808000006</x:v>
      </x:c>
      <x:c r="T353" s="10" t="n">
        <x:f>N353*'Assumptions'!$AA$119</x:f>
        <x:v>506.2692520800001</x:v>
      </x:c>
      <x:c r="U353" s="10" t="n">
        <x:f>'Assumptions'!$AE$119*'Assumptions'!$D$11*(1+'Assumptions'!$D$13)^(3-1)</x:f>
        <x:v>254.61599999999999</x:v>
      </x:c>
      <x:c r="V353" s="10" t="n">
        <x:f>0</x:f>
        <x:v>0</x:v>
      </x:c>
      <x:c r="W353" s="10" t="n">
        <x:f>H353*('Assumptions'!$P$119+'Assumptions'!$Y$119)</x:f>
        <x:v>44.59200000000001</x:v>
      </x:c>
      <x:c r="X353" s="10" t="n">
        <x:f>N353/12*'Assumptions'!$AF$119</x:f>
        <x:v>0</x:v>
      </x:c>
      <x:c r="Y353" s="10" t="n">
        <x:f>P353/12</x:f>
        <x:v>0</x:v>
      </x:c>
      <x:c r="Z353" s="10" t="n">
        <x:f>0</x:f>
        <x:v>0</x:v>
      </x:c>
      <x:c r="AA353" s="10" t="n">
        <x:f>Z353*'Assumptions'!$AC$119*'Assumptions'!$D$11*(1+'Assumptions'!$D$13)^(3-1)</x:f>
        <x:v>0</x:v>
      </x:c>
      <x:c r="AB353" s="10" t="n">
        <x:f>F353/1</x:f>
        <x:v>51.84000000000001</x:v>
      </x:c>
      <x:c r="AC353" s="10" t="n">
        <x:f>AB353/'Assumptions'!$AM$119</x:f>
        <x:v>1036.8000000000002</x:v>
      </x:c>
      <x:c r="AD353" s="10" t="n">
        <x:f>IF(AB353=0,0,T353/AB353)</x:f>
        <x:v>9.765996375</x:v>
      </x:c>
      <x:c r="AE353" s="10" t="n">
        <x:f>AA353*'Assumptions'!$D$21</x:f>
        <x:v>0</x:v>
      </x:c>
    </x:row>
    <x:row r="354" ht="16" customHeight="1">
      <x:c r="A354" s="1"/>
      <x:c r="B354" s="1"/>
      <x:c r="C354" s="1" t="str">
        <x:v>DOT-091</x:v>
      </x:c>
      <x:c r="D354" s="10" t="str">
        <x:v>Semajes Marketplace</x:v>
      </x:c>
      <x:c r="E354" s="10" t="n">
        <x:v>3</x:v>
      </x:c>
      <x:c r="F354" s="21" t="n">
        <x:f>F226*(1+'Assumptions'!$L$120)</x:f>
        <x:v>103.68000000000002</x:v>
      </x:c>
      <x:c r="G354" s="21" t="n">
        <x:f>H226*'Assumptions'!$K$120</x:f>
        <x:v>119.28000000000002</x:v>
      </x:c>
      <x:c r="H354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354+G354,NA())</x:f>
        <x:v>222.96000000000004</x:v>
      </x:c>
      <x:c r="I354" s="22" t="n">
        <x:f>'Assumptions'!$H$120*IF('Assumptions'!$O$120=1,1,'Assumptions'!$D$10)*(1+'Assumptions'!$N$120)^(3-1)</x:f>
        <x:v>78.03</x:v>
      </x:c>
      <x:c r="J354" s="10" t="n">
        <x:f>H354*I354</x:f>
        <x:v>17397.568800000005</x:v>
      </x:c>
      <x:c r="K354" s="10" t="n">
        <x:f>J354*'Assumptions'!$T$120</x:f>
        <x:v>3479.513760000001</x:v>
      </x:c>
      <x:c r="L354" s="10" t="n">
        <x:f>K354*'Assumptions'!$U$120</x:f>
        <x:v>104.38541280000003</x:v>
      </x:c>
      <x:c r="M354" s="10" t="n">
        <x:f>K354*'Assumptions'!$V$120</x:f>
        <x:v>0</x:v>
      </x:c>
      <x:c r="N354" s="10" t="n">
        <x:f>K354-L354-M354</x:f>
        <x:v>3375.1283472000014</x:v>
      </x:c>
      <x:c r="O354" s="10" t="n">
        <x:f>H354*'Assumptions'!$P$120*'Assumptions'!$Q$120*'Assumptions'!$D$11*(1+'Assumptions'!$D$13)^(3-1)</x:f>
        <x:v>827.8839240000002</x:v>
      </x:c>
      <x:c r="P354" s="10" t="n">
        <x:f>H354*'Assumptions'!$R$120*'Assumptions'!$D$11*(1+'Assumptions'!$D$13)^(3-1)</x:f>
        <x:v>0</x:v>
      </x:c>
      <x:c r="Q354" s="10" t="n">
        <x:f>J354*'Assumptions'!$S$120</x:f>
        <x:v>0</x:v>
      </x:c>
      <x:c r="R354" s="10" t="n">
        <x:f>H354*'Assumptions'!$Y$120*'Assumptions'!$Z$120*'Assumptions'!$D$11*(1+'Assumptions'!$D$13)^(3-1)</x:f>
        <x:v>1064.422188</x:v>
      </x:c>
      <x:c r="S354" s="10" t="n">
        <x:f>IF(I354=0,0,J354*'Assumptions'!$W$120+H354*'Assumptions'!$X$120)</x:f>
        <x:v>571.4174952000002</x:v>
      </x:c>
      <x:c r="T354" s="10" t="n">
        <x:f>N354*'Assumptions'!$AA$120</x:f>
        <x:v>168.75641736000009</x:v>
      </x:c>
      <x:c r="U354" s="10" t="n">
        <x:f>'Assumptions'!$AE$120*'Assumptions'!$D$11*(1+'Assumptions'!$D$13)^(3-1)</x:f>
        <x:v>0</x:v>
      </x:c>
      <x:c r="V354" s="10" t="n">
        <x:f>0</x:f>
        <x:v>0</x:v>
      </x:c>
      <x:c r="W354" s="10" t="n">
        <x:f>H354*('Assumptions'!$P$120+'Assumptions'!$Y$120)</x:f>
        <x:v>55.74000000000001</x:v>
      </x:c>
      <x:c r="X354" s="10" t="n">
        <x:f>N354/12*'Assumptions'!$AF$120</x:f>
        <x:v>0</x:v>
      </x:c>
      <x:c r="Y354" s="10" t="n">
        <x:f>P354/12</x:f>
        <x:v>0</x:v>
      </x:c>
      <x:c r="Z354" s="10" t="n">
        <x:f>0</x:f>
        <x:v>0</x:v>
      </x:c>
      <x:c r="AA354" s="10" t="n">
        <x:f>Z354*'Assumptions'!$AC$120*'Assumptions'!$D$11*(1+'Assumptions'!$D$13)^(3-1)</x:f>
        <x:v>0</x:v>
      </x:c>
      <x:c r="AB354" s="10" t="n">
        <x:f>F354/1</x:f>
        <x:v>103.68000000000002</x:v>
      </x:c>
      <x:c r="AC354" s="10" t="n">
        <x:f>AB354/'Assumptions'!$AM$120</x:f>
        <x:v>2073.6000000000004</x:v>
      </x:c>
      <x:c r="AD354" s="10" t="n">
        <x:f>IF(AB354=0,0,T354/AB354)</x:f>
        <x:v>1.6276660625000006</x:v>
      </x:c>
      <x:c r="AE354" s="10" t="n">
        <x:f>AA354*'Assumptions'!$D$21</x:f>
        <x:v>0</x:v>
      </x:c>
    </x:row>
    <x:row r="355" ht="16" customHeight="1">
      <x:c r="A355" s="1"/>
      <x:c r="B355" s="1"/>
      <x:c r="C355" s="1" t="str">
        <x:v>DOT-092</x:v>
      </x:c>
      <x:c r="D355" s="10" t="str">
        <x:v>Semajes Marketplace</x:v>
      </x:c>
      <x:c r="E355" s="10" t="n">
        <x:v>3</x:v>
      </x:c>
      <x:c r="F355" s="21" t="n">
        <x:f>F227*(1+'Assumptions'!$L$121)</x:f>
        <x:v>51.84000000000001</x:v>
      </x:c>
      <x:c r="G355" s="21" t="n">
        <x:f>H227*'Assumptions'!$K$121</x:f>
        <x:v>59.64000000000001</x:v>
      </x:c>
      <x:c r="H355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355+G355,NA())</x:f>
        <x:v>111.48000000000002</x:v>
      </x:c>
      <x:c r="I355" s="22" t="n">
        <x:f>'Assumptions'!$H$121*IF('Assumptions'!$O$121=1,1,'Assumptions'!$D$10)*(1+'Assumptions'!$N$121)^(3-1)</x:f>
        <x:v>260.1</x:v>
      </x:c>
      <x:c r="J355" s="10" t="n">
        <x:f>H355*I355</x:f>
        <x:v>28995.948000000008</x:v>
      </x:c>
      <x:c r="K355" s="10" t="n">
        <x:f>J355*'Assumptions'!$T$121</x:f>
        <x:v>5799.1896000000015</x:v>
      </x:c>
      <x:c r="L355" s="10" t="n">
        <x:f>K355*'Assumptions'!$U$121</x:f>
        <x:v>173.97568800000005</x:v>
      </x:c>
      <x:c r="M355" s="10" t="n">
        <x:f>K355*'Assumptions'!$V$121</x:f>
        <x:v>0</x:v>
      </x:c>
      <x:c r="N355" s="10" t="n">
        <x:f>K355-L355-M355</x:f>
        <x:v>5625.213912000001</x:v>
      </x:c>
      <x:c r="O355" s="10" t="n">
        <x:f>H355*'Assumptions'!$P$121*'Assumptions'!$Q$121*'Assumptions'!$D$11*(1+'Assumptions'!$D$13)^(3-1)</x:f>
        <x:v>620.912943</x:v>
      </x:c>
      <x:c r="P355" s="10" t="n">
        <x:f>H355*'Assumptions'!$R$121*'Assumptions'!$D$11*(1+'Assumptions'!$D$13)^(3-1)</x:f>
        <x:v>0</x:v>
      </x:c>
      <x:c r="Q355" s="10" t="n">
        <x:f>J355*'Assumptions'!$S$121</x:f>
        <x:v>0</x:v>
      </x:c>
      <x:c r="R355" s="10" t="n">
        <x:f>H355*'Assumptions'!$Y$121*'Assumptions'!$Z$121*'Assumptions'!$D$11*(1+'Assumptions'!$D$13)^(3-1)</x:f>
        <x:v>532.211094</x:v>
      </x:c>
      <x:c r="S355" s="10" t="n">
        <x:f>IF(I355=0,0,J355*'Assumptions'!$W$121+H355*'Assumptions'!$X$121)</x:f>
        <x:v>874.3264920000003</x:v>
      </x:c>
      <x:c r="T355" s="10" t="n">
        <x:f>N355*'Assumptions'!$AA$121</x:f>
        <x:v>281.2606956000001</x:v>
      </x:c>
      <x:c r="U355" s="10" t="n">
        <x:f>'Assumptions'!$AE$121*'Assumptions'!$D$11*(1+'Assumptions'!$D$13)^(3-1)</x:f>
        <x:v>0</x:v>
      </x:c>
      <x:c r="V355" s="10" t="n">
        <x:f>0</x:f>
        <x:v>0</x:v>
      </x:c>
      <x:c r="W355" s="10" t="n">
        <x:f>H355*('Assumptions'!$P$121+'Assumptions'!$Y$121)</x:f>
        <x:v>33.444</x:v>
      </x:c>
      <x:c r="X355" s="10" t="n">
        <x:f>N355/12*'Assumptions'!$AF$121</x:f>
        <x:v>0</x:v>
      </x:c>
      <x:c r="Y355" s="10" t="n">
        <x:f>P355/12</x:f>
        <x:v>0</x:v>
      </x:c>
      <x:c r="Z355" s="10" t="n">
        <x:f>0</x:f>
        <x:v>0</x:v>
      </x:c>
      <x:c r="AA355" s="10" t="n">
        <x:f>Z355*'Assumptions'!$AC$121*'Assumptions'!$D$11*(1+'Assumptions'!$D$13)^(3-1)</x:f>
        <x:v>0</x:v>
      </x:c>
      <x:c r="AB355" s="10" t="n">
        <x:f>F355/1</x:f>
        <x:v>51.84000000000001</x:v>
      </x:c>
      <x:c r="AC355" s="10" t="n">
        <x:f>AB355/'Assumptions'!$AM$121</x:f>
        <x:v>1036.8000000000002</x:v>
      </x:c>
      <x:c r="AD355" s="10" t="n">
        <x:f>IF(AB355=0,0,T355/AB355)</x:f>
        <x:v>5.425553541666667</x:v>
      </x:c>
      <x:c r="AE355" s="10" t="n">
        <x:f>AA355*'Assumptions'!$D$21</x:f>
        <x:v>0</x:v>
      </x:c>
    </x:row>
    <x:row r="356" ht="16" customHeight="1">
      <x:c r="A356" s="1"/>
      <x:c r="B356" s="1"/>
      <x:c r="C356" s="1" t="str">
        <x:v>DOT-093</x:v>
      </x:c>
      <x:c r="D356" s="10" t="str">
        <x:v>Semajes Marketplace</x:v>
      </x:c>
      <x:c r="E356" s="10" t="n">
        <x:v>3</x:v>
      </x:c>
      <x:c r="F356" s="21" t="n">
        <x:f>F228*(1+'Assumptions'!$L$122)</x:f>
        <x:v>10.368</x:v>
      </x:c>
      <x:c r="G356" s="21" t="n">
        <x:f>H228*'Assumptions'!$K$122</x:f>
        <x:v>11.927999999999999</x:v>
      </x:c>
      <x:c r="H356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356+G356,NA())</x:f>
        <x:v>22.296</x:v>
      </x:c>
      <x:c r="I356" s="22" t="n">
        <x:f>'Assumptions'!$H$122*IF('Assumptions'!$O$122=1,1,'Assumptions'!$D$10)*(1+'Assumptions'!$N$122)^(3-1)</x:f>
        <x:v>520.2</x:v>
      </x:c>
      <x:c r="J356" s="10" t="n">
        <x:f>H356*I356</x:f>
        <x:v>11598.379200000001</x:v>
      </x:c>
      <x:c r="K356" s="10" t="n">
        <x:f>J356*'Assumptions'!$T$122</x:f>
        <x:v>1739.7568800000001</x:v>
      </x:c>
      <x:c r="L356" s="10" t="n">
        <x:f>K356*'Assumptions'!$U$122</x:f>
        <x:v>52.1927064</x:v>
      </x:c>
      <x:c r="M356" s="10" t="n">
        <x:f>K356*'Assumptions'!$V$122</x:f>
        <x:v>0</x:v>
      </x:c>
      <x:c r="N356" s="10" t="n">
        <x:f>K356-L356-M356</x:f>
        <x:v>1687.5641736000002</x:v>
      </x:c>
      <x:c r="O356" s="10" t="n">
        <x:f>H356*'Assumptions'!$P$122*'Assumptions'!$Q$122*'Assumptions'!$D$11*(1+'Assumptions'!$D$13)^(3-1)</x:f>
        <x:v>206.970981</x:v>
      </x:c>
      <x:c r="P356" s="10" t="n">
        <x:f>H356*'Assumptions'!$R$122*'Assumptions'!$D$11*(1+'Assumptions'!$D$13)^(3-1)</x:f>
        <x:v>0</x:v>
      </x:c>
      <x:c r="Q356" s="10" t="n">
        <x:f>J356*'Assumptions'!$S$122</x:f>
        <x:v>0</x:v>
      </x:c>
      <x:c r="R356" s="10" t="n">
        <x:f>H356*'Assumptions'!$Y$122*'Assumptions'!$Z$122*'Assumptions'!$D$11*(1+'Assumptions'!$D$13)^(3-1)</x:f>
        <x:v>106.44221879999999</x:v>
      </x:c>
      <x:c r="S356" s="10" t="n">
        <x:f>IF(I356=0,0,J356*'Assumptions'!$W$122+H356*'Assumptions'!$X$122)</x:f>
        <x:v>343.04179680000004</x:v>
      </x:c>
      <x:c r="T356" s="10" t="n">
        <x:f>N356*'Assumptions'!$AA$122</x:f>
        <x:v>84.37820868000001</x:v>
      </x:c>
      <x:c r="U356" s="10" t="n">
        <x:f>'Assumptions'!$AE$122*'Assumptions'!$D$11*(1+'Assumptions'!$D$13)^(3-1)</x:f>
        <x:v>0</x:v>
      </x:c>
      <x:c r="V356" s="10" t="n">
        <x:f>0</x:f>
        <x:v>0</x:v>
      </x:c>
      <x:c r="W356" s="10" t="n">
        <x:f>H356*('Assumptions'!$P$122+'Assumptions'!$Y$122)</x:f>
        <x:v>8.9184</x:v>
      </x:c>
      <x:c r="X356" s="10" t="n">
        <x:f>N356/12*'Assumptions'!$AF$122</x:f>
        <x:v>0</x:v>
      </x:c>
      <x:c r="Y356" s="10" t="n">
        <x:f>P356/12</x:f>
        <x:v>0</x:v>
      </x:c>
      <x:c r="Z356" s="10" t="n">
        <x:f>0</x:f>
        <x:v>0</x:v>
      </x:c>
      <x:c r="AA356" s="10" t="n">
        <x:f>Z356*'Assumptions'!$AC$122*'Assumptions'!$D$11*(1+'Assumptions'!$D$13)^(3-1)</x:f>
        <x:v>0</x:v>
      </x:c>
      <x:c r="AB356" s="10" t="n">
        <x:f>F356/1</x:f>
        <x:v>10.368</x:v>
      </x:c>
      <x:c r="AC356" s="10" t="n">
        <x:f>AB356/'Assumptions'!$AM$122</x:f>
        <x:v>207.35999999999999</x:v>
      </x:c>
      <x:c r="AD356" s="10" t="n">
        <x:f>IF(AB356=0,0,T356/AB356)</x:f>
        <x:v>8.1383303125</x:v>
      </x:c>
      <x:c r="AE356" s="10" t="n">
        <x:f>AA356*'Assumptions'!$D$21</x:f>
        <x:v>0</x:v>
      </x:c>
    </x:row>
    <x:row r="357" ht="16" customHeight="1">
      <x:c r="A357" s="1"/>
      <x:c r="B357" s="1"/>
      <x:c r="C357" s="1" t="str">
        <x:v>DOT-094</x:v>
      </x:c>
      <x:c r="D357" s="10" t="str">
        <x:v>Semajes premium and media</x:v>
      </x:c>
      <x:c r="E357" s="10" t="n">
        <x:v>3</x:v>
      </x:c>
      <x:c r="F357" s="21" t="n">
        <x:f>F229*(1+'Assumptions'!$L$123)</x:f>
        <x:v>51.84000000000001</x:v>
      </x:c>
      <x:c r="G357" s="21" t="n">
        <x:f>H229*'Assumptions'!$K$123</x:f>
        <x:v>59.64000000000001</x:v>
      </x:c>
      <x:c r="H357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357+G357,NA())</x:f>
        <x:v>111.48000000000002</x:v>
      </x:c>
      <x:c r="I357" s="22" t="n">
        <x:f>'Assumptions'!$H$123*IF('Assumptions'!$O$123=1,1,'Assumptions'!$D$10)*(1+'Assumptions'!$N$123)^(3-1)</x:f>
        <x:v>9.3636</x:v>
      </x:c>
      <x:c r="J357" s="10" t="n">
        <x:f>H357*I357</x:f>
        <x:v>1043.8541280000002</x:v>
      </x:c>
      <x:c r="K357" s="10" t="n">
        <x:f>J357*'Assumptions'!$T$123</x:f>
        <x:v>1043.8541280000002</x:v>
      </x:c>
      <x:c r="L357" s="10" t="n">
        <x:f>K357*'Assumptions'!$U$123</x:f>
        <x:v>31.315623840000004</x:v>
      </x:c>
      <x:c r="M357" s="10" t="n">
        <x:f>K357*'Assumptions'!$V$123</x:f>
        <x:v>0</x:v>
      </x:c>
      <x:c r="N357" s="10" t="n">
        <x:f>K357-L357-M357</x:f>
        <x:v>1012.5385041600001</x:v>
      </x:c>
      <x:c r="O357" s="10" t="n">
        <x:f>H357*'Assumptions'!$P$123*'Assumptions'!$Q$123*'Assumptions'!$D$11*(1+'Assumptions'!$D$13)^(3-1)</x:f>
        <x:v>206.97098100000005</x:v>
      </x:c>
      <x:c r="P357" s="10" t="n">
        <x:f>H357*'Assumptions'!$R$123*'Assumptions'!$D$11*(1+'Assumptions'!$D$13)^(3-1)</x:f>
        <x:v>0</x:v>
      </x:c>
      <x:c r="Q357" s="10" t="n">
        <x:f>J357*'Assumptions'!$S$123</x:f>
        <x:v>0</x:v>
      </x:c>
      <x:c r="R357" s="10" t="n">
        <x:f>H357*'Assumptions'!$Y$123*'Assumptions'!$Z$123*'Assumptions'!$D$11*(1+'Assumptions'!$D$13)^(3-1)</x:f>
        <x:v>532.211094</x:v>
      </x:c>
      <x:c r="S357" s="10" t="n">
        <x:f>IF(I357=0,0,J357*'Assumptions'!$W$123+H357*'Assumptions'!$X$123)</x:f>
        <x:v>63.71576971200001</x:v>
      </x:c>
      <x:c r="T357" s="10" t="n">
        <x:f>N357*'Assumptions'!$AA$123</x:f>
        <x:v>50.62692520800001</x:v>
      </x:c>
      <x:c r="U357" s="10" t="n">
        <x:f>'Assumptions'!$AE$123*'Assumptions'!$D$11*(1+'Assumptions'!$D$13)^(3-1)</x:f>
        <x:v>0</x:v>
      </x:c>
      <x:c r="V357" s="10" t="n">
        <x:f>0</x:f>
        <x:v>0</x:v>
      </x:c>
      <x:c r="W357" s="10" t="n">
        <x:f>H357*('Assumptions'!$P$123+'Assumptions'!$Y$123)</x:f>
        <x:v>22.296000000000006</x:v>
      </x:c>
      <x:c r="X357" s="10" t="n">
        <x:f>N357/12*'Assumptions'!$AF$123</x:f>
        <x:v>0</x:v>
      </x:c>
      <x:c r="Y357" s="10" t="n">
        <x:f>P357/12</x:f>
        <x:v>0</x:v>
      </x:c>
      <x:c r="Z357" s="10" t="n">
        <x:f>0</x:f>
        <x:v>0</x:v>
      </x:c>
      <x:c r="AA357" s="10" t="n">
        <x:f>Z357*'Assumptions'!$AC$123*'Assumptions'!$D$11*(1+'Assumptions'!$D$13)^(3-1)</x:f>
        <x:v>0</x:v>
      </x:c>
      <x:c r="AB357" s="10" t="n">
        <x:f>F357/12</x:f>
        <x:v>4.320000000000001</x:v>
      </x:c>
      <x:c r="AC357" s="10" t="n">
        <x:f>AB357/'Assumptions'!$AM$123</x:f>
        <x:v>86.40000000000002</x:v>
      </x:c>
      <x:c r="AD357" s="10" t="n">
        <x:f>IF(AB357=0,0,T357/AB357)</x:f>
        <x:v>11.71919565</x:v>
      </x:c>
      <x:c r="AE357" s="10" t="n">
        <x:f>AA357*'Assumptions'!$D$21</x:f>
        <x:v>0</x:v>
      </x:c>
    </x:row>
    <x:row r="358" ht="16" customHeight="1">
      <x:c r="A358" s="1"/>
      <x:c r="B358" s="1"/>
      <x:c r="C358" s="1" t="str">
        <x:v>DOT-095</x:v>
      </x:c>
      <x:c r="D358" s="10" t="str">
        <x:v>Semajes premium and media</x:v>
      </x:c>
      <x:c r="E358" s="10" t="n">
        <x:v>3</x:v>
      </x:c>
      <x:c r="F358" s="21" t="n">
        <x:f>F230*(1+'Assumptions'!$L$124)</x:f>
        <x:v>51.84000000000001</x:v>
      </x:c>
      <x:c r="G358" s="21" t="n">
        <x:f>H230*'Assumptions'!$K$124</x:f>
        <x:v>59.64000000000001</x:v>
      </x:c>
      <x:c r="H358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358+G358,NA())</x:f>
        <x:v>111.48000000000002</x:v>
      </x:c>
      <x:c r="I358" s="22" t="n">
        <x:f>'Assumptions'!$H$124*IF('Assumptions'!$O$124=1,1,'Assumptions'!$D$10)*(1+'Assumptions'!$N$124)^(3-1)</x:f>
        <x:v>19.7676</x:v>
      </x:c>
      <x:c r="J358" s="10" t="n">
        <x:f>H358*I358</x:f>
        <x:v>2203.6920480000003</x:v>
      </x:c>
      <x:c r="K358" s="10" t="n">
        <x:f>J358*'Assumptions'!$T$124</x:f>
        <x:v>2203.6920480000003</x:v>
      </x:c>
      <x:c r="L358" s="10" t="n">
        <x:f>K358*'Assumptions'!$U$124</x:f>
        <x:v>66.11076144</x:v>
      </x:c>
      <x:c r="M358" s="10" t="n">
        <x:f>K358*'Assumptions'!$V$124</x:f>
        <x:v>0</x:v>
      </x:c>
      <x:c r="N358" s="10" t="n">
        <x:f>K358-L358-M358</x:f>
        <x:v>2137.5812865600005</x:v>
      </x:c>
      <x:c r="O358" s="10" t="n">
        <x:f>H358*'Assumptions'!$P$124*'Assumptions'!$Q$124*'Assumptions'!$D$11*(1+'Assumptions'!$D$13)^(3-1)</x:f>
        <x:v>413.9419620000001</x:v>
      </x:c>
      <x:c r="P358" s="10" t="n">
        <x:f>H358*'Assumptions'!$R$124*'Assumptions'!$D$11*(1+'Assumptions'!$D$13)^(3-1)</x:f>
        <x:v>0</x:v>
      </x:c>
      <x:c r="Q358" s="10" t="n">
        <x:f>J358*'Assumptions'!$S$124</x:f>
        <x:v>0</x:v>
      </x:c>
      <x:c r="R358" s="10" t="n">
        <x:f>H358*'Assumptions'!$Y$124*'Assumptions'!$Z$124*'Assumptions'!$D$11*(1+'Assumptions'!$D$13)^(3-1)</x:f>
        <x:v>532.211094</x:v>
      </x:c>
      <x:c r="S358" s="10" t="n">
        <x:f>IF(I358=0,0,J358*'Assumptions'!$W$124+H358*'Assumptions'!$X$124)</x:f>
        <x:v>97.35106939200001</x:v>
      </x:c>
      <x:c r="T358" s="10" t="n">
        <x:f>N358*'Assumptions'!$AA$124</x:f>
        <x:v>106.87906432800003</x:v>
      </x:c>
      <x:c r="U358" s="10" t="n">
        <x:f>'Assumptions'!$AE$124*'Assumptions'!$D$11*(1+'Assumptions'!$D$13)^(3-1)</x:f>
        <x:v>0</x:v>
      </x:c>
      <x:c r="V358" s="10" t="n">
        <x:f>0</x:f>
        <x:v>0</x:v>
      </x:c>
      <x:c r="W358" s="10" t="n">
        <x:f>H358*('Assumptions'!$P$124+'Assumptions'!$Y$124)</x:f>
        <x:v>27.870000000000005</x:v>
      </x:c>
      <x:c r="X358" s="10" t="n">
        <x:f>N358/12*'Assumptions'!$AF$124</x:f>
        <x:v>0</x:v>
      </x:c>
      <x:c r="Y358" s="10" t="n">
        <x:f>P358/12</x:f>
        <x:v>0</x:v>
      </x:c>
      <x:c r="Z358" s="10" t="n">
        <x:f>0</x:f>
        <x:v>0</x:v>
      </x:c>
      <x:c r="AA358" s="10" t="n">
        <x:f>Z358*'Assumptions'!$AC$124*'Assumptions'!$D$11*(1+'Assumptions'!$D$13)^(3-1)</x:f>
        <x:v>0</x:v>
      </x:c>
      <x:c r="AB358" s="10" t="n">
        <x:f>F358/12</x:f>
        <x:v>4.320000000000001</x:v>
      </x:c>
      <x:c r="AC358" s="10" t="n">
        <x:f>AB358/'Assumptions'!$AM$124</x:f>
        <x:v>86.40000000000002</x:v>
      </x:c>
      <x:c r="AD358" s="10" t="n">
        <x:f>IF(AB358=0,0,T358/AB358)</x:f>
        <x:v>24.74052415</x:v>
      </x:c>
      <x:c r="AE358" s="10" t="n">
        <x:f>AA358*'Assumptions'!$D$21</x:f>
        <x:v>0</x:v>
      </x:c>
    </x:row>
    <x:row r="359" ht="16" customHeight="1">
      <x:c r="A359" s="1"/>
      <x:c r="B359" s="1"/>
      <x:c r="C359" s="1" t="str">
        <x:v>DOT-096</x:v>
      </x:c>
      <x:c r="D359" s="10" t="str">
        <x:v>Semajes premium and media</x:v>
      </x:c>
      <x:c r="E359" s="10" t="n">
        <x:v>3</x:v>
      </x:c>
      <x:c r="F359" s="21" t="n">
        <x:f>F231*(1+'Assumptions'!$L$125)</x:f>
        <x:v>25.920000000000005</x:v>
      </x:c>
      <x:c r="G359" s="21" t="n">
        <x:f>H231*'Assumptions'!$K$125</x:f>
        <x:v>29.820000000000004</x:v>
      </x:c>
      <x:c r="H359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359+G359,NA())</x:f>
        <x:v>55.74000000000001</x:v>
      </x:c>
      <x:c r="I359" s="22" t="n">
        <x:f>'Assumptions'!$H$125*IF('Assumptions'!$O$125=1,1,'Assumptions'!$D$10)*(1+'Assumptions'!$N$125)^(3-1)</x:f>
        <x:v>40.5756</x:v>
      </x:c>
      <x:c r="J359" s="10" t="n">
        <x:f>H359*I359</x:f>
        <x:v>2261.6839440000003</x:v>
      </x:c>
      <x:c r="K359" s="10" t="n">
        <x:f>J359*'Assumptions'!$T$125</x:f>
        <x:v>2261.6839440000003</x:v>
      </x:c>
      <x:c r="L359" s="10" t="n">
        <x:f>K359*'Assumptions'!$U$125</x:f>
        <x:v>67.85051832</x:v>
      </x:c>
      <x:c r="M359" s="10" t="n">
        <x:f>K359*'Assumptions'!$V$125</x:f>
        <x:v>0</x:v>
      </x:c>
      <x:c r="N359" s="10" t="n">
        <x:f>K359-L359-M359</x:f>
        <x:v>2193.8334256800003</x:v>
      </x:c>
      <x:c r="O359" s="10" t="n">
        <x:f>H359*'Assumptions'!$P$125*'Assumptions'!$Q$125*'Assumptions'!$D$11*(1+'Assumptions'!$D$13)^(3-1)</x:f>
        <x:v>413.9419620000001</x:v>
      </x:c>
      <x:c r="P359" s="10" t="n">
        <x:f>H359*'Assumptions'!$R$125*'Assumptions'!$D$11*(1+'Assumptions'!$D$13)^(3-1)</x:f>
        <x:v>0</x:v>
      </x:c>
      <x:c r="Q359" s="10" t="n">
        <x:f>J359*'Assumptions'!$S$125</x:f>
        <x:v>0</x:v>
      </x:c>
      <x:c r="R359" s="10" t="n">
        <x:f>H359*'Assumptions'!$Y$125*'Assumptions'!$Z$125*'Assumptions'!$D$11*(1+'Assumptions'!$D$13)^(3-1)</x:f>
        <x:v>266.105547</x:v>
      </x:c>
      <x:c r="S359" s="10" t="n">
        <x:f>IF(I359=0,0,J359*'Assumptions'!$W$125+H359*'Assumptions'!$X$125)</x:f>
        <x:v>82.310834376</x:v>
      </x:c>
      <x:c r="T359" s="10" t="n">
        <x:f>N359*'Assumptions'!$AA$125</x:f>
        <x:v>109.69167128400002</x:v>
      </x:c>
      <x:c r="U359" s="10" t="n">
        <x:f>'Assumptions'!$AE$125*'Assumptions'!$D$11*(1+'Assumptions'!$D$13)^(3-1)</x:f>
        <x:v>0</x:v>
      </x:c>
      <x:c r="V359" s="10" t="n">
        <x:f>0</x:f>
        <x:v>0</x:v>
      </x:c>
      <x:c r="W359" s="10" t="n">
        <x:f>H359*('Assumptions'!$P$125+'Assumptions'!$Y$125)</x:f>
        <x:v>19.509</x:v>
      </x:c>
      <x:c r="X359" s="10" t="n">
        <x:f>N359/12*'Assumptions'!$AF$125</x:f>
        <x:v>0</x:v>
      </x:c>
      <x:c r="Y359" s="10" t="n">
        <x:f>P359/12</x:f>
        <x:v>0</x:v>
      </x:c>
      <x:c r="Z359" s="10" t="n">
        <x:f>0</x:f>
        <x:v>0</x:v>
      </x:c>
      <x:c r="AA359" s="10" t="n">
        <x:f>Z359*'Assumptions'!$AC$125*'Assumptions'!$D$11*(1+'Assumptions'!$D$13)^(3-1)</x:f>
        <x:v>0</x:v>
      </x:c>
      <x:c r="AB359" s="10" t="n">
        <x:f>F359/12</x:f>
        <x:v>2.1600000000000006</x:v>
      </x:c>
      <x:c r="AC359" s="10" t="n">
        <x:f>AB359/'Assumptions'!$AM$125</x:f>
        <x:v>43.20000000000001</x:v>
      </x:c>
      <x:c r="AD359" s="10" t="n">
        <x:f>IF(AB359=0,0,T359/AB359)</x:f>
        <x:v>50.78318115</x:v>
      </x:c>
      <x:c r="AE359" s="10" t="n">
        <x:f>AA359*'Assumptions'!$D$21</x:f>
        <x:v>0</x:v>
      </x:c>
    </x:row>
    <x:row r="360" ht="16" customHeight="1">
      <x:c r="A360" s="1"/>
      <x:c r="B360" s="1"/>
      <x:c r="C360" s="1" t="str">
        <x:v>DOT-097</x:v>
      </x:c>
      <x:c r="D360" s="10" t="str">
        <x:v>Semajes premium and media</x:v>
      </x:c>
      <x:c r="E360" s="10" t="n">
        <x:v>3</x:v>
      </x:c>
      <x:c r="F360" s="21" t="n">
        <x:f>F232*(1+'Assumptions'!$L$126)</x:f>
        <x:v>15.552</x:v>
      </x:c>
      <x:c r="G360" s="21" t="n">
        <x:f>H232*'Assumptions'!$K$126</x:f>
        <x:v>17.892</x:v>
      </x:c>
      <x:c r="H360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360+G360,NA())</x:f>
        <x:v>33.444</x:v>
      </x:c>
      <x:c r="I360" s="22" t="n">
        <x:f>'Assumptions'!$H$126*IF('Assumptions'!$O$126=1,1,'Assumptions'!$D$10)*(1+'Assumptions'!$N$126)^(3-1)</x:f>
        <x:v>102.9996</x:v>
      </x:c>
      <x:c r="J360" s="10" t="n">
        <x:f>H360*I360</x:f>
        <x:v>3444.7186224</x:v>
      </x:c>
      <x:c r="K360" s="10" t="n">
        <x:f>J360*'Assumptions'!$T$126</x:f>
        <x:v>3444.7186224</x:v>
      </x:c>
      <x:c r="L360" s="10" t="n">
        <x:f>K360*'Assumptions'!$U$126</x:f>
        <x:v>103.341558672</x:v>
      </x:c>
      <x:c r="M360" s="10" t="n">
        <x:f>K360*'Assumptions'!$V$126</x:f>
        <x:v>0</x:v>
      </x:c>
      <x:c r="N360" s="10" t="n">
        <x:f>K360-L360-M360</x:f>
        <x:v>3341.3770637280004</x:v>
      </x:c>
      <x:c r="O360" s="10" t="n">
        <x:f>H360*'Assumptions'!$P$126*'Assumptions'!$Q$126*'Assumptions'!$D$11*(1+'Assumptions'!$D$13)^(3-1)</x:f>
        <x:v>1241.825886</x:v>
      </x:c>
      <x:c r="P360" s="10" t="n">
        <x:f>H360*'Assumptions'!$R$126*'Assumptions'!$D$11*(1+'Assumptions'!$D$13)^(3-1)</x:f>
        <x:v>0</x:v>
      </x:c>
      <x:c r="Q360" s="10" t="n">
        <x:f>J360*'Assumptions'!$S$126</x:f>
        <x:v>0</x:v>
      </x:c>
      <x:c r="R360" s="10" t="n">
        <x:f>H360*'Assumptions'!$Y$126*'Assumptions'!$Z$126*'Assumptions'!$D$11*(1+'Assumptions'!$D$13)^(3-1)</x:f>
        <x:v>159.66332820000002</x:v>
      </x:c>
      <x:c r="S360" s="10" t="n">
        <x:f>IF(I360=0,0,J360*'Assumptions'!$W$126+H360*'Assumptions'!$X$126)</x:f>
        <x:v>109.93004004960002</x:v>
      </x:c>
      <x:c r="T360" s="10" t="n">
        <x:f>N360*'Assumptions'!$AA$126</x:f>
        <x:v>167.06885318640002</x:v>
      </x:c>
      <x:c r="U360" s="10" t="n">
        <x:f>'Assumptions'!$AE$126*'Assumptions'!$D$11*(1+'Assumptions'!$D$13)^(3-1)</x:f>
        <x:v>0</x:v>
      </x:c>
      <x:c r="V360" s="10" t="n">
        <x:f>0</x:f>
        <x:v>0</x:v>
      </x:c>
      <x:c r="W360" s="10" t="n">
        <x:f>H360*('Assumptions'!$P$126+'Assumptions'!$Y$126)</x:f>
        <x:v>38.4606</x:v>
      </x:c>
      <x:c r="X360" s="10" t="n">
        <x:f>N360/12*'Assumptions'!$AF$126</x:f>
        <x:v>0</x:v>
      </x:c>
      <x:c r="Y360" s="10" t="n">
        <x:f>P360/12</x:f>
        <x:v>0</x:v>
      </x:c>
      <x:c r="Z360" s="10" t="n">
        <x:f>0</x:f>
        <x:v>0</x:v>
      </x:c>
      <x:c r="AA360" s="10" t="n">
        <x:f>Z360*'Assumptions'!$AC$126*'Assumptions'!$D$11*(1+'Assumptions'!$D$13)^(3-1)</x:f>
        <x:v>0</x:v>
      </x:c>
      <x:c r="AB360" s="10" t="n">
        <x:f>F360/1</x:f>
        <x:v>15.552</x:v>
      </x:c>
      <x:c r="AC360" s="10" t="n">
        <x:f>AB360/'Assumptions'!$AM$126</x:f>
        <x:v>311.03999999999996</x:v>
      </x:c>
      <x:c r="AD360" s="10" t="n">
        <x:f>IF(AB360=0,0,T360/AB360)</x:f>
        <x:v>10.742596012500002</x:v>
      </x:c>
      <x:c r="AE360" s="10" t="n">
        <x:f>AA360*'Assumptions'!$D$21</x:f>
        <x:v>0</x:v>
      </x:c>
    </x:row>
    <x:row r="361" ht="16" customHeight="1">
      <x:c r="A361" s="1"/>
      <x:c r="B361" s="1"/>
      <x:c r="C361" s="1" t="str">
        <x:v>DOT-098</x:v>
      </x:c>
      <x:c r="D361" s="10" t="str">
        <x:v>Semajes premium and media</x:v>
      </x:c>
      <x:c r="E361" s="10" t="n">
        <x:v>3</x:v>
      </x:c>
      <x:c r="F361" s="21" t="n">
        <x:f>F233*(1+'Assumptions'!$L$127)</x:f>
        <x:v>7.776</x:v>
      </x:c>
      <x:c r="G361" s="21" t="n">
        <x:f>H233*'Assumptions'!$K$127</x:f>
        <x:v>8.946</x:v>
      </x:c>
      <x:c r="H361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361+G361,NA())</x:f>
        <x:v>16.722</x:v>
      </x:c>
      <x:c r="I361" s="22" t="n">
        <x:f>'Assumptions'!$H$127*IF('Assumptions'!$O$127=1,1,'Assumptions'!$D$10)*(1+'Assumptions'!$N$127)^(3-1)</x:f>
        <x:v>259.0596</x:v>
      </x:c>
      <x:c r="J361" s="10" t="n">
        <x:f>H361*I361</x:f>
        <x:v>4331.9946312</x:v>
      </x:c>
      <x:c r="K361" s="10" t="n">
        <x:f>J361*'Assumptions'!$T$127</x:f>
        <x:v>4331.9946312</x:v>
      </x:c>
      <x:c r="L361" s="10" t="n">
        <x:f>K361*'Assumptions'!$U$127</x:f>
        <x:v>129.959838936</x:v>
      </x:c>
      <x:c r="M361" s="10" t="n">
        <x:f>K361*'Assumptions'!$V$127</x:f>
        <x:v>0</x:v>
      </x:c>
      <x:c r="N361" s="10" t="n">
        <x:f>K361-L361-M361</x:f>
        <x:v>4202.034792264</x:v>
      </x:c>
      <x:c r="O361" s="10" t="n">
        <x:f>H361*'Assumptions'!$P$127*'Assumptions'!$Q$127*'Assumptions'!$D$11*(1+'Assumptions'!$D$13)^(3-1)</x:f>
        <x:v>1862.7388290000001</x:v>
      </x:c>
      <x:c r="P361" s="10" t="n">
        <x:f>H361*'Assumptions'!$R$127*'Assumptions'!$D$11*(1+'Assumptions'!$D$13)^(3-1)</x:f>
        <x:v>0</x:v>
      </x:c>
      <x:c r="Q361" s="10" t="n">
        <x:f>J361*'Assumptions'!$S$127</x:f>
        <x:v>0</x:v>
      </x:c>
      <x:c r="R361" s="10" t="n">
        <x:f>H361*'Assumptions'!$Y$127*'Assumptions'!$Z$127*'Assumptions'!$D$11*(1+'Assumptions'!$D$13)^(3-1)</x:f>
        <x:v>79.83166410000001</x:v>
      </x:c>
      <x:c r="S361" s="10" t="n">
        <x:f>IF(I361=0,0,J361*'Assumptions'!$W$127+H361*'Assumptions'!$X$127)</x:f>
        <x:v>130.6444443048</x:v>
      </x:c>
      <x:c r="T361" s="10" t="n">
        <x:f>N361*'Assumptions'!$AA$127</x:f>
        <x:v>210.10173961320004</x:v>
      </x:c>
      <x:c r="U361" s="10" t="n">
        <x:f>'Assumptions'!$AE$127*'Assumptions'!$D$11*(1+'Assumptions'!$D$13)^(3-1)</x:f>
        <x:v>0</x:v>
      </x:c>
      <x:c r="V361" s="10" t="n">
        <x:f>0</x:f>
        <x:v>0</x:v>
      </x:c>
      <x:c r="W361" s="10" t="n">
        <x:f>H361*('Assumptions'!$P$127+'Assumptions'!$Y$127)</x:f>
        <x:v>52.6743</x:v>
      </x:c>
      <x:c r="X361" s="10" t="n">
        <x:f>N361/12*'Assumptions'!$AF$127</x:f>
        <x:v>0</x:v>
      </x:c>
      <x:c r="Y361" s="10" t="n">
        <x:f>P361/12</x:f>
        <x:v>0</x:v>
      </x:c>
      <x:c r="Z361" s="10" t="n">
        <x:f>0</x:f>
        <x:v>0</x:v>
      </x:c>
      <x:c r="AA361" s="10" t="n">
        <x:f>Z361*'Assumptions'!$AC$127*'Assumptions'!$D$11*(1+'Assumptions'!$D$13)^(3-1)</x:f>
        <x:v>0</x:v>
      </x:c>
      <x:c r="AB361" s="10" t="n">
        <x:f>F361/1</x:f>
        <x:v>7.776</x:v>
      </x:c>
      <x:c r="AC361" s="10" t="n">
        <x:f>AB361/'Assumptions'!$AM$127</x:f>
        <x:v>155.51999999999998</x:v>
      </x:c>
      <x:c r="AD361" s="10" t="n">
        <x:f>IF(AB361=0,0,T361/AB361)</x:f>
        <x:v>27.019256637500007</x:v>
      </x:c>
      <x:c r="AE361" s="10" t="n">
        <x:f>AA361*'Assumptions'!$D$21</x:f>
        <x:v>0</x:v>
      </x:c>
    </x:row>
    <x:row r="362" ht="16" customHeight="1">
      <x:c r="A362" s="1"/>
      <x:c r="B362" s="1"/>
      <x:c r="C362" s="1" t="str">
        <x:v>DOT-099</x:v>
      </x:c>
      <x:c r="D362" s="10" t="str">
        <x:v>Semajes premium and media</x:v>
      </x:c>
      <x:c r="E362" s="10" t="n">
        <x:v>3</x:v>
      </x:c>
      <x:c r="F362" s="21" t="n">
        <x:f>F234*(1+'Assumptions'!$L$128)</x:f>
        <x:v>25.920000000000005</x:v>
      </x:c>
      <x:c r="G362" s="21" t="n">
        <x:f>H234*'Assumptions'!$K$128</x:f>
        <x:v>29.820000000000004</x:v>
      </x:c>
      <x:c r="H362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362+G362,NA())</x:f>
        <x:v>55.74000000000001</x:v>
      </x:c>
      <x:c r="I362" s="22" t="n">
        <x:f>'Assumptions'!$H$128*IF('Assumptions'!$O$128=1,1,'Assumptions'!$D$10)*(1+'Assumptions'!$N$128)^(3-1)</x:f>
        <x:v>30.171599999999998</x:v>
      </x:c>
      <x:c r="J362" s="10" t="n">
        <x:f>H362*I362</x:f>
        <x:v>1681.7649840000001</x:v>
      </x:c>
      <x:c r="K362" s="10" t="n">
        <x:f>J362*'Assumptions'!$T$128</x:f>
        <x:v>1681.7649840000001</x:v>
      </x:c>
      <x:c r="L362" s="10" t="n">
        <x:f>K362*'Assumptions'!$U$128</x:f>
        <x:v>50.452949520000004</x:v>
      </x:c>
      <x:c r="M362" s="10" t="n">
        <x:f>K362*'Assumptions'!$V$128</x:f>
        <x:v>0</x:v>
      </x:c>
      <x:c r="N362" s="10" t="n">
        <x:f>K362-L362-M362</x:f>
        <x:v>1631.3120344800002</x:v>
      </x:c>
      <x:c r="O362" s="10" t="n">
        <x:f>H362*'Assumptions'!$P$128*'Assumptions'!$Q$128*'Assumptions'!$D$11*(1+'Assumptions'!$D$13)^(3-1)</x:f>
        <x:v>310.4564715</x:v>
      </x:c>
      <x:c r="P362" s="10" t="n">
        <x:f>H362*'Assumptions'!$R$128*'Assumptions'!$D$11*(1+'Assumptions'!$D$13)^(3-1)</x:f>
        <x:v>0</x:v>
      </x:c>
      <x:c r="Q362" s="10" t="n">
        <x:f>J362*'Assumptions'!$S$128</x:f>
        <x:v>0</x:v>
      </x:c>
      <x:c r="R362" s="10" t="n">
        <x:f>H362*'Assumptions'!$Y$128*'Assumptions'!$Z$128*'Assumptions'!$D$11*(1+'Assumptions'!$D$13)^(3-1)</x:f>
        <x:v>266.105547</x:v>
      </x:c>
      <x:c r="S362" s="10" t="n">
        <x:f>IF(I362=0,0,J362*'Assumptions'!$W$128+H362*'Assumptions'!$X$128)</x:f>
        <x:v>65.493184536</x:v>
      </x:c>
      <x:c r="T362" s="10" t="n">
        <x:f>N362*'Assumptions'!$AA$128</x:f>
        <x:v>81.56560172400002</x:v>
      </x:c>
      <x:c r="U362" s="10" t="n">
        <x:f>'Assumptions'!$AE$128*'Assumptions'!$D$11*(1+'Assumptions'!$D$13)^(3-1)</x:f>
        <x:v>0</x:v>
      </x:c>
      <x:c r="V362" s="10" t="n">
        <x:f>0</x:f>
        <x:v>0</x:v>
      </x:c>
      <x:c r="W362" s="10" t="n">
        <x:f>H362*('Assumptions'!$P$128+'Assumptions'!$Y$128)</x:f>
        <x:v>16.722</x:v>
      </x:c>
      <x:c r="X362" s="10" t="n">
        <x:f>N362/12*'Assumptions'!$AF$128</x:f>
        <x:v>0</x:v>
      </x:c>
      <x:c r="Y362" s="10" t="n">
        <x:f>P362/12</x:f>
        <x:v>0</x:v>
      </x:c>
      <x:c r="Z362" s="10" t="n">
        <x:f>0</x:f>
        <x:v>0</x:v>
      </x:c>
      <x:c r="AA362" s="10" t="n">
        <x:f>Z362*'Assumptions'!$AC$128*'Assumptions'!$D$11*(1+'Assumptions'!$D$13)^(3-1)</x:f>
        <x:v>0</x:v>
      </x:c>
      <x:c r="AB362" s="10" t="n">
        <x:f>F362/1</x:f>
        <x:v>25.920000000000005</x:v>
      </x:c>
      <x:c r="AC362" s="10" t="n">
        <x:f>AB362/'Assumptions'!$AM$128</x:f>
        <x:v>518.4000000000001</x:v>
      </x:c>
      <x:c r="AD362" s="10" t="n">
        <x:f>IF(AB362=0,0,T362/AB362)</x:f>
        <x:v>3.146821054166667</x:v>
      </x:c>
      <x:c r="AE362" s="10" t="n">
        <x:f>AA362*'Assumptions'!$D$21</x:f>
        <x:v>0</x:v>
      </x:c>
    </x:row>
    <x:row r="363" ht="16" customHeight="1">
      <x:c r="A363" s="1"/>
      <x:c r="B363" s="1"/>
      <x:c r="C363" s="1" t="str">
        <x:v>DOT-100</x:v>
      </x:c>
      <x:c r="D363" s="10" t="str">
        <x:v>Semajes courses</x:v>
      </x:c>
      <x:c r="E363" s="10" t="n">
        <x:v>3</x:v>
      </x:c>
      <x:c r="F363" s="21" t="n">
        <x:f>F235*(1+'Assumptions'!$L$129)</x:f>
        <x:v>238.04999999999995</x:v>
      </x:c>
      <x:c r="G363" s="21" t="n">
        <x:f>H235*'Assumptions'!$K$129</x:f>
        <x:v>62.99999999999999</x:v>
      </x:c>
      <x:c r="H363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363+G363,NA())</x:f>
        <x:v>301.04999999999995</x:v>
      </x:c>
      <x:c r="I363" s="22" t="n">
        <x:f>'Assumptions'!$H$129*IF('Assumptions'!$O$129=1,1,'Assumptions'!$D$10)*(1+'Assumptions'!$N$129)^(3-1)</x:f>
        <x:v>40.5756</x:v>
      </x:c>
      <x:c r="J363" s="10" t="n">
        <x:f>H363*I363</x:f>
        <x:v>12215.28438</x:v>
      </x:c>
      <x:c r="K363" s="10" t="n">
        <x:f>J363*'Assumptions'!$T$129</x:f>
        <x:v>12215.28438</x:v>
      </x:c>
      <x:c r="L363" s="10" t="n">
        <x:f>K363*'Assumptions'!$U$129</x:f>
        <x:v>366.45853139999997</x:v>
      </x:c>
      <x:c r="M363" s="10" t="n">
        <x:f>K363*'Assumptions'!$V$129</x:f>
        <x:v>0</x:v>
      </x:c>
      <x:c r="N363" s="10" t="n">
        <x:f>K363-L363-M363</x:f>
        <x:v>11848.8258486</x:v>
      </x:c>
      <x:c r="O363" s="10" t="n">
        <x:f>H363*'Assumptions'!$P$129*'Assumptions'!$Q$129*'Assumptions'!$D$11*(1+'Assumptions'!$D$13)^(3-1)</x:f>
        <x:v>1676.7657112499996</x:v>
      </x:c>
      <x:c r="P363" s="10" t="n">
        <x:f>H363*'Assumptions'!$R$129*'Assumptions'!$D$11*(1+'Assumptions'!$D$13)^(3-1)</x:f>
        <x:v>0</x:v>
      </x:c>
      <x:c r="Q363" s="10" t="n">
        <x:f>J363*'Assumptions'!$S$129</x:f>
        <x:v>0</x:v>
      </x:c>
      <x:c r="R363" s="10" t="n">
        <x:f>H363*'Assumptions'!$Y$129*'Assumptions'!$Z$129*'Assumptions'!$D$11*(1+'Assumptions'!$D$13)^(3-1)</x:f>
        <x:v>958.1518349999998</x:v>
      </x:c>
      <x:c r="S363" s="10" t="n">
        <x:f>IF(I363=0,0,J363*'Assumptions'!$W$129+H363*'Assumptions'!$X$129)</x:f>
        <x:v>444.55824702</x:v>
      </x:c>
      <x:c r="T363" s="10" t="n">
        <x:f>N363*'Assumptions'!$AA$129</x:f>
        <x:v>592.44129243</x:v>
      </x:c>
      <x:c r="U363" s="10" t="n">
        <x:f>'Assumptions'!$AE$129*'Assumptions'!$D$11*(1+'Assumptions'!$D$13)^(3-1)</x:f>
        <x:v>0</x:v>
      </x:c>
      <x:c r="V363" s="10" t="n">
        <x:f>0</x:f>
        <x:v>0</x:v>
      </x:c>
      <x:c r="W363" s="10" t="n">
        <x:f>H363*('Assumptions'!$P$129+'Assumptions'!$Y$129)</x:f>
        <x:v>75.26249999999999</x:v>
      </x:c>
      <x:c r="X363" s="10" t="n">
        <x:f>N363/12*'Assumptions'!$AF$129</x:f>
        <x:v>0</x:v>
      </x:c>
      <x:c r="Y363" s="10" t="n">
        <x:f>P363/12</x:f>
        <x:v>0</x:v>
      </x:c>
      <x:c r="Z363" s="10" t="n">
        <x:f>0</x:f>
        <x:v>0</x:v>
      </x:c>
      <x:c r="AA363" s="10" t="n">
        <x:f>Z363*'Assumptions'!$AC$129*'Assumptions'!$D$11*(1+'Assumptions'!$D$13)^(3-1)</x:f>
        <x:v>0</x:v>
      </x:c>
      <x:c r="AB363" s="10" t="n">
        <x:f>F363/1</x:f>
        <x:v>238.04999999999995</x:v>
      </x:c>
      <x:c r="AC363" s="10" t="n">
        <x:f>AB363/'Assumptions'!$AM$129</x:f>
        <x:v>4760.999999999999</x:v>
      </x:c>
      <x:c r="AD363" s="10" t="n">
        <x:f>IF(AB363=0,0,T363/AB363)</x:f>
        <x:v>2.4887262862003783</x:v>
      </x:c>
      <x:c r="AE363" s="10" t="n">
        <x:f>AA363*'Assumptions'!$D$21</x:f>
        <x:v>0</x:v>
      </x:c>
    </x:row>
    <x:row r="364" ht="16" customHeight="1">
      <x:c r="A364" s="1"/>
      <x:c r="B364" s="1"/>
      <x:c r="C364" s="1" t="str">
        <x:v>DOT-101</x:v>
      </x:c>
      <x:c r="D364" s="10" t="str">
        <x:v>Sleepy Face</x:v>
      </x:c>
      <x:c r="E364" s="10" t="n">
        <x:v>3</x:v>
      </x:c>
      <x:c r="F364" s="21" t="n">
        <x:f>F236*(1+'Assumptions'!$L$130)</x:f>
        <x:v>210.73920000000004</x:v>
      </x:c>
      <x:c r="G364" s="21" t="n">
        <x:f>H236*'Assumptions'!$K$130</x:f>
        <x:v>67.248</x:v>
      </x:c>
      <x:c r="H364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364+G364,NA())</x:f>
        <x:v>277.98720000000003</x:v>
      </x:c>
      <x:c r="I364" s="22" t="n">
        <x:f>'Assumptions'!$H$130*IF('Assumptions'!$O$130=1,1,'Assumptions'!$D$10)*(1+'Assumptions'!$N$130)^(3-1)</x:f>
        <x:v>98.838</x:v>
      </x:c>
      <x:c r="J364" s="10" t="n">
        <x:f>H364*I364</x:f>
        <x:v>27475.698873600002</x:v>
      </x:c>
      <x:c r="K364" s="10" t="n">
        <x:f>J364*'Assumptions'!$T$130</x:f>
        <x:v>27475.698873600002</x:v>
      </x:c>
      <x:c r="L364" s="10" t="n">
        <x:f>K364*'Assumptions'!$U$130</x:f>
        <x:v>2198.0559098880003</x:v>
      </x:c>
      <x:c r="M364" s="10" t="n">
        <x:f>K364*'Assumptions'!$V$130</x:f>
        <x:v>549.5139774720001</x:v>
      </x:c>
      <x:c r="N364" s="10" t="n">
        <x:f>K364-L364-M364</x:f>
        <x:v>24728.12898624</x:v>
      </x:c>
      <x:c r="O364" s="10" t="n">
        <x:f>H364*'Assumptions'!$P$130*'Assumptions'!$Q$130*'Assumptions'!$D$11*(1+'Assumptions'!$D$13)^(3-1)</x:f>
        <x:v>1548.31225752</x:v>
      </x:c>
      <x:c r="P364" s="10" t="n">
        <x:f>H364*'Assumptions'!$R$130*'Assumptions'!$D$11*(1+'Assumptions'!$D$13)^(3-1)</x:f>
        <x:v>8847.498614400001</x:v>
      </x:c>
      <x:c r="Q364" s="10" t="n">
        <x:f>J364*'Assumptions'!$S$130</x:f>
        <x:v>0</x:v>
      </x:c>
      <x:c r="R364" s="10" t="n">
        <x:f>H364*'Assumptions'!$Y$130*'Assumptions'!$Z$130*'Assumptions'!$D$11*(1+'Assumptions'!$D$13)^(3-1)</x:f>
        <x:v>1327.1247921600002</x:v>
      </x:c>
      <x:c r="S364" s="10" t="n">
        <x:f>IF(I364=0,0,J364*'Assumptions'!$W$130+H364*'Assumptions'!$X$130)</x:f>
        <x:v>880.1914273344001</x:v>
      </x:c>
      <x:c r="T364" s="10" t="n">
        <x:f>N364*'Assumptions'!$AA$130</x:f>
        <x:v>1978.2503188992</x:v>
      </x:c>
      <x:c r="U364" s="10" t="n">
        <x:f>'Assumptions'!$AE$130*'Assumptions'!$D$11*(1+'Assumptions'!$D$13)^(3-1)</x:f>
        <x:v>0</x:v>
      </x:c>
      <x:c r="V364" s="10" t="n">
        <x:f>0</x:f>
        <x:v>0</x:v>
      </x:c>
      <x:c r="W364" s="10" t="n">
        <x:f>H364*('Assumptions'!$P$130+'Assumptions'!$Y$130)</x:f>
        <x:v>83.39616000000001</x:v>
      </x:c>
      <x:c r="X364" s="10" t="n">
        <x:f>N364/12*'Assumptions'!$AF$130</x:f>
        <x:v>0</x:v>
      </x:c>
      <x:c r="Y364" s="10" t="n">
        <x:f>P364/12</x:f>
        <x:v>737.2915512000001</x:v>
      </x:c>
      <x:c r="Z364" s="10" t="n">
        <x:f>0</x:f>
        <x:v>0</x:v>
      </x:c>
      <x:c r="AA364" s="10" t="n">
        <x:f>Z364*'Assumptions'!$AC$130*'Assumptions'!$D$11*(1+'Assumptions'!$D$13)^(3-1)</x:f>
        <x:v>0</x:v>
      </x:c>
      <x:c r="AB364" s="10" t="n">
        <x:f>F364/1</x:f>
        <x:v>210.73920000000004</x:v>
      </x:c>
      <x:c r="AC364" s="10" t="n">
        <x:f>AB364/'Assumptions'!$AM$130</x:f>
        <x:v>7024.640000000001</x:v>
      </x:c>
      <x:c r="AD364" s="10" t="n">
        <x:f>IF(AB364=0,0,T364/AB364)</x:f>
        <x:v>9.387196681486879</x:v>
      </x:c>
      <x:c r="AE364" s="10" t="n">
        <x:f>AA364*'Assumptions'!$D$21</x:f>
        <x:v>0</x:v>
      </x:c>
    </x:row>
    <x:row r="365" ht="16" customHeight="1">
      <x:c r="A365" s="1"/>
      <x:c r="B365" s="1"/>
      <x:c r="C365" s="1" t="str">
        <x:v>DOT-102</x:v>
      </x:c>
      <x:c r="D365" s="10" t="str">
        <x:v>Sleepy Face</x:v>
      </x:c>
      <x:c r="E365" s="10" t="n">
        <x:v>3</x:v>
      </x:c>
      <x:c r="F365" s="21" t="n">
        <x:f>F237*(1+'Assumptions'!$L$131)</x:f>
        <x:v>316.10880000000003</x:v>
      </x:c>
      <x:c r="G365" s="21" t="n">
        <x:f>H237*'Assumptions'!$K$131</x:f>
        <x:v>100.872</x:v>
      </x:c>
      <x:c r="H365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365+G365,NA())</x:f>
        <x:v>416.98080000000004</x:v>
      </x:c>
      <x:c r="I365" s="22" t="n">
        <x:f>'Assumptions'!$H$131*IF('Assumptions'!$O$131=1,1,'Assumptions'!$D$10)*(1+'Assumptions'!$N$131)^(3-1)</x:f>
        <x:v>171.666</x:v>
      </x:c>
      <x:c r="J365" s="10" t="n">
        <x:f>H365*I365</x:f>
        <x:v>71581.4260128</x:v>
      </x:c>
      <x:c r="K365" s="10" t="n">
        <x:f>J365*'Assumptions'!$T$131</x:f>
        <x:v>71581.4260128</x:v>
      </x:c>
      <x:c r="L365" s="10" t="n">
        <x:f>K365*'Assumptions'!$U$131</x:f>
        <x:v>5726.514081024</x:v>
      </x:c>
      <x:c r="M365" s="10" t="n">
        <x:f>K365*'Assumptions'!$V$131</x:f>
        <x:v>1431.628520256</x:v>
      </x:c>
      <x:c r="N365" s="10" t="n">
        <x:f>K365-L365-M365</x:f>
        <x:v>64423.28341152</x:v>
      </x:c>
      <x:c r="O365" s="10" t="n">
        <x:f>H365*'Assumptions'!$P$131*'Assumptions'!$Q$131*'Assumptions'!$D$11*(1+'Assumptions'!$D$13)^(3-1)</x:f>
        <x:v>2322.4683862800002</x:v>
      </x:c>
      <x:c r="P365" s="10" t="n">
        <x:f>H365*'Assumptions'!$R$131*'Assumptions'!$D$11*(1+'Assumptions'!$D$13)^(3-1)</x:f>
        <x:v>26542.495843200002</x:v>
      </x:c>
      <x:c r="Q365" s="10" t="n">
        <x:f>J365*'Assumptions'!$S$131</x:f>
        <x:v>0</x:v>
      </x:c>
      <x:c r="R365" s="10" t="n">
        <x:f>H365*'Assumptions'!$Y$131*'Assumptions'!$Z$131*'Assumptions'!$D$11*(1+'Assumptions'!$D$13)^(3-1)</x:f>
        <x:v>1990.6871882400003</x:v>
      </x:c>
      <x:c r="S365" s="10" t="n">
        <x:f>IF(I365=0,0,J365*'Assumptions'!$W$131+H365*'Assumptions'!$X$131)</x:f>
        <x:v>2200.9555943712003</x:v>
      </x:c>
      <x:c r="T365" s="10" t="n">
        <x:f>N365*'Assumptions'!$AA$131</x:f>
        <x:v>5153.8626729216</x:v>
      </x:c>
      <x:c r="U365" s="10" t="n">
        <x:f>'Assumptions'!$AE$131*'Assumptions'!$D$11*(1+'Assumptions'!$D$13)^(3-1)</x:f>
        <x:v>0</x:v>
      </x:c>
      <x:c r="V365" s="10" t="n">
        <x:f>0</x:f>
        <x:v>0</x:v>
      </x:c>
      <x:c r="W365" s="10" t="n">
        <x:f>H365*('Assumptions'!$P$131+'Assumptions'!$Y$131)</x:f>
        <x:v>125.09424000000001</x:v>
      </x:c>
      <x:c r="X365" s="10" t="n">
        <x:f>N365/12*'Assumptions'!$AF$131</x:f>
        <x:v>0</x:v>
      </x:c>
      <x:c r="Y365" s="10" t="n">
        <x:f>P365/12</x:f>
        <x:v>2211.8746536000003</x:v>
      </x:c>
      <x:c r="Z365" s="10" t="n">
        <x:f>0</x:f>
        <x:v>0</x:v>
      </x:c>
      <x:c r="AA365" s="10" t="n">
        <x:f>Z365*'Assumptions'!$AC$131*'Assumptions'!$D$11*(1+'Assumptions'!$D$13)^(3-1)</x:f>
        <x:v>0</x:v>
      </x:c>
      <x:c r="AB365" s="10" t="n">
        <x:f>F365/1</x:f>
        <x:v>316.10880000000003</x:v>
      </x:c>
      <x:c r="AC365" s="10" t="n">
        <x:f>AB365/'Assumptions'!$AM$131</x:f>
        <x:v>10536.960000000001</x:v>
      </x:c>
      <x:c r="AD365" s="10" t="n">
        <x:f>IF(AB365=0,0,T365/AB365)</x:f>
        <x:v>16.304078446793003</x:v>
      </x:c>
      <x:c r="AE365" s="10" t="n">
        <x:f>AA365*'Assumptions'!$D$21</x:f>
        <x:v>0</x:v>
      </x:c>
    </x:row>
    <x:row r="366" ht="16" customHeight="1">
      <x:c r="A366" s="1"/>
      <x:c r="B366" s="1"/>
      <x:c r="C366" s="1" t="str">
        <x:v>DOT-103</x:v>
      </x:c>
      <x:c r="D366" s="10" t="str">
        <x:v>Sleepy Face</x:v>
      </x:c>
      <x:c r="E366" s="10" t="n">
        <x:v>3</x:v>
      </x:c>
      <x:c r="F366" s="21" t="n">
        <x:f>F238*(1+'Assumptions'!$L$132)</x:f>
        <x:v>70.24640000000001</x:v>
      </x:c>
      <x:c r="G366" s="21" t="n">
        <x:f>H238*'Assumptions'!$K$132</x:f>
        <x:v>22.416</x:v>
      </x:c>
      <x:c r="H366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366+G366,NA())</x:f>
        <x:v>92.6624</x:v>
      </x:c>
      <x:c r="I366" s="22" t="n">
        <x:f>'Assumptions'!$H$132*IF('Assumptions'!$O$132=1,1,'Assumptions'!$D$10)*(1+'Assumptions'!$N$132)^(3-1)</x:f>
        <x:v>234.09</x:v>
      </x:c>
      <x:c r="J366" s="10" t="n">
        <x:f>H366*I366</x:f>
        <x:v>21691.341216</x:v>
      </x:c>
      <x:c r="K366" s="10" t="n">
        <x:f>J366*'Assumptions'!$T$132</x:f>
        <x:v>21691.341216</x:v>
      </x:c>
      <x:c r="L366" s="10" t="n">
        <x:f>K366*'Assumptions'!$U$132</x:f>
        <x:v>1735.30729728</x:v>
      </x:c>
      <x:c r="M366" s="10" t="n">
        <x:f>K366*'Assumptions'!$V$132</x:f>
        <x:v>433.82682432</x:v>
      </x:c>
      <x:c r="N366" s="10" t="n">
        <x:f>K366-L366-M366</x:f>
        <x:v>19522.2070944</x:v>
      </x:c>
      <x:c r="O366" s="10" t="n">
        <x:f>H366*'Assumptions'!$P$132*'Assumptions'!$Q$132*'Assumptions'!$D$11*(1+'Assumptions'!$D$13)^(3-1)</x:f>
        <x:v>516.1040858399999</x:v>
      </x:c>
      <x:c r="P366" s="10" t="n">
        <x:f>H366*'Assumptions'!$R$132*'Assumptions'!$D$11*(1+'Assumptions'!$D$13)^(3-1)</x:f>
        <x:v>8847.4986144</x:v>
      </x:c>
      <x:c r="Q366" s="10" t="n">
        <x:f>J366*'Assumptions'!$S$132</x:f>
        <x:v>0</x:v>
      </x:c>
      <x:c r="R366" s="10" t="n">
        <x:f>H366*'Assumptions'!$Y$132*'Assumptions'!$Z$132*'Assumptions'!$D$11*(1+'Assumptions'!$D$13)^(3-1)</x:f>
        <x:v>442.37493071999995</x:v>
      </x:c>
      <x:c r="S366" s="10" t="n">
        <x:f>IF(I366=0,0,J366*'Assumptions'!$W$132+H366*'Assumptions'!$X$132)</x:f>
        <x:v>656.8476152640001</x:v>
      </x:c>
      <x:c r="T366" s="10" t="n">
        <x:f>N366*'Assumptions'!$AA$132</x:f>
        <x:v>1561.7765675520002</x:v>
      </x:c>
      <x:c r="U366" s="10" t="n">
        <x:f>'Assumptions'!$AE$132*'Assumptions'!$D$11*(1+'Assumptions'!$D$13)^(3-1)</x:f>
        <x:v>0</x:v>
      </x:c>
      <x:c r="V366" s="10" t="n">
        <x:f>0</x:f>
        <x:v>0</x:v>
      </x:c>
      <x:c r="W366" s="10" t="n">
        <x:f>H366*('Assumptions'!$P$132+'Assumptions'!$Y$132)</x:f>
        <x:v>27.79872</x:v>
      </x:c>
      <x:c r="X366" s="10" t="n">
        <x:f>N366/12*'Assumptions'!$AF$132</x:f>
        <x:v>0</x:v>
      </x:c>
      <x:c r="Y366" s="10" t="n">
        <x:f>P366/12</x:f>
        <x:v>737.2915512</x:v>
      </x:c>
      <x:c r="Z366" s="10" t="n">
        <x:f>0</x:f>
        <x:v>0</x:v>
      </x:c>
      <x:c r="AA366" s="10" t="n">
        <x:f>Z366*'Assumptions'!$AC$132*'Assumptions'!$D$11*(1+'Assumptions'!$D$13)^(3-1)</x:f>
        <x:v>0</x:v>
      </x:c>
      <x:c r="AB366" s="10" t="n">
        <x:f>F366/1</x:f>
        <x:v>70.24640000000001</x:v>
      </x:c>
      <x:c r="AC366" s="10" t="n">
        <x:f>AB366/'Assumptions'!$AM$132</x:f>
        <x:v>2341.546666666667</x:v>
      </x:c>
      <x:c r="AD366" s="10" t="n">
        <x:f>IF(AB366=0,0,T366/AB366)</x:f>
        <x:v>22.232834245626822</x:v>
      </x:c>
      <x:c r="AE366" s="10" t="n">
        <x:f>AA366*'Assumptions'!$D$21</x:f>
        <x:v>0</x:v>
      </x:c>
    </x:row>
    <x:row r="367" ht="16" customHeight="1">
      <x:c r="A367" s="1"/>
      <x:c r="B367" s="1"/>
      <x:c r="C367" s="1" t="str">
        <x:v>DOT-104</x:v>
      </x:c>
      <x:c r="D367" s="10" t="str">
        <x:v>Sleepy Face</x:v>
      </x:c>
      <x:c r="E367" s="10" t="n">
        <x:v>3</x:v>
      </x:c>
      <x:c r="F367" s="21" t="n">
        <x:f>F239*(1+'Assumptions'!$L$133)</x:f>
        <x:v>210.73920000000004</x:v>
      </x:c>
      <x:c r="G367" s="21" t="n">
        <x:f>H239*'Assumptions'!$K$133</x:f>
        <x:v>67.248</x:v>
      </x:c>
      <x:c r="H367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367+G367,NA())</x:f>
        <x:v>277.98720000000003</x:v>
      </x:c>
      <x:c r="I367" s="22" t="n">
        <x:f>'Assumptions'!$H$133*IF('Assumptions'!$O$133=1,1,'Assumptions'!$D$10)*(1+'Assumptions'!$N$133)^(3-1)</x:f>
        <x:v>98.838</x:v>
      </x:c>
      <x:c r="J367" s="10" t="n">
        <x:f>H367*I367</x:f>
        <x:v>27475.698873600002</x:v>
      </x:c>
      <x:c r="K367" s="10" t="n">
        <x:f>J367*'Assumptions'!$T$133</x:f>
        <x:v>27475.698873600002</x:v>
      </x:c>
      <x:c r="L367" s="10" t="n">
        <x:f>K367*'Assumptions'!$U$133</x:f>
        <x:v>2198.0559098880003</x:v>
      </x:c>
      <x:c r="M367" s="10" t="n">
        <x:f>K367*'Assumptions'!$V$133</x:f>
        <x:v>549.5139774720001</x:v>
      </x:c>
      <x:c r="N367" s="10" t="n">
        <x:f>K367-L367-M367</x:f>
        <x:v>24728.12898624</x:v>
      </x:c>
      <x:c r="O367" s="10" t="n">
        <x:f>H367*'Assumptions'!$P$133*'Assumptions'!$Q$133*'Assumptions'!$D$11*(1+'Assumptions'!$D$13)^(3-1)</x:f>
        <x:v>1548.31225752</x:v>
      </x:c>
      <x:c r="P367" s="10" t="n">
        <x:f>H367*'Assumptions'!$R$133*'Assumptions'!$D$11*(1+'Assumptions'!$D$13)^(3-1)</x:f>
        <x:v>10322.081716800001</x:v>
      </x:c>
      <x:c r="Q367" s="10" t="n">
        <x:f>J367*'Assumptions'!$S$133</x:f>
        <x:v>0</x:v>
      </x:c>
      <x:c r="R367" s="10" t="n">
        <x:f>H367*'Assumptions'!$Y$133*'Assumptions'!$Z$133*'Assumptions'!$D$11*(1+'Assumptions'!$D$13)^(3-1)</x:f>
        <x:v>1327.1247921600002</x:v>
      </x:c>
      <x:c r="S367" s="10" t="n">
        <x:f>IF(I367=0,0,J367*'Assumptions'!$W$133+H367*'Assumptions'!$X$133)</x:f>
        <x:v>880.1914273344001</x:v>
      </x:c>
      <x:c r="T367" s="10" t="n">
        <x:f>N367*'Assumptions'!$AA$133</x:f>
        <x:v>1978.2503188992</x:v>
      </x:c>
      <x:c r="U367" s="10" t="n">
        <x:f>'Assumptions'!$AE$133*'Assumptions'!$D$11*(1+'Assumptions'!$D$13)^(3-1)</x:f>
        <x:v>0</x:v>
      </x:c>
      <x:c r="V367" s="10" t="n">
        <x:f>0</x:f>
        <x:v>0</x:v>
      </x:c>
      <x:c r="W367" s="10" t="n">
        <x:f>H367*('Assumptions'!$P$133+'Assumptions'!$Y$133)</x:f>
        <x:v>83.39616000000001</x:v>
      </x:c>
      <x:c r="X367" s="10" t="n">
        <x:f>N367/12*'Assumptions'!$AF$133</x:f>
        <x:v>0</x:v>
      </x:c>
      <x:c r="Y367" s="10" t="n">
        <x:f>P367/12</x:f>
        <x:v>860.1734764000001</x:v>
      </x:c>
      <x:c r="Z367" s="10" t="n">
        <x:f>0</x:f>
        <x:v>0</x:v>
      </x:c>
      <x:c r="AA367" s="10" t="n">
        <x:f>Z367*'Assumptions'!$AC$133*'Assumptions'!$D$11*(1+'Assumptions'!$D$13)^(3-1)</x:f>
        <x:v>0</x:v>
      </x:c>
      <x:c r="AB367" s="10" t="n">
        <x:f>F367/1</x:f>
        <x:v>210.73920000000004</x:v>
      </x:c>
      <x:c r="AC367" s="10" t="n">
        <x:f>AB367/'Assumptions'!$AM$133</x:f>
        <x:v>7024.640000000001</x:v>
      </x:c>
      <x:c r="AD367" s="10" t="n">
        <x:f>IF(AB367=0,0,T367/AB367)</x:f>
        <x:v>9.387196681486879</x:v>
      </x:c>
      <x:c r="AE367" s="10" t="n">
        <x:f>AA367*'Assumptions'!$D$21</x:f>
        <x:v>0</x:v>
      </x:c>
    </x:row>
    <x:row r="368" ht="16" customHeight="1">
      <x:c r="A368" s="1"/>
      <x:c r="B368" s="1"/>
      <x:c r="C368" s="1" t="str">
        <x:v>DOT-105</x:v>
      </x:c>
      <x:c r="D368" s="10" t="str">
        <x:v>Sleepy Face</x:v>
      </x:c>
      <x:c r="E368" s="10" t="n">
        <x:v>3</x:v>
      </x:c>
      <x:c r="F368" s="21" t="n">
        <x:f>F240*(1+'Assumptions'!$L$134)</x:f>
        <x:v>105.36960000000002</x:v>
      </x:c>
      <x:c r="G368" s="21" t="n">
        <x:f>H240*'Assumptions'!$K$134</x:f>
        <x:v>33.624</x:v>
      </x:c>
      <x:c r="H368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368+G368,NA())</x:f>
        <x:v>138.99360000000001</x:v>
      </x:c>
      <x:c r="I368" s="22" t="n">
        <x:f>'Assumptions'!$H$134*IF('Assumptions'!$O$134=1,1,'Assumptions'!$D$10)*(1+'Assumptions'!$N$134)^(3-1)</x:f>
        <x:v>182.07</x:v>
      </x:c>
      <x:c r="J368" s="10" t="n">
        <x:f>H368*I368</x:f>
        <x:v>25306.564752000002</x:v>
      </x:c>
      <x:c r="K368" s="10" t="n">
        <x:f>J368*'Assumptions'!$T$134</x:f>
        <x:v>25306.564752000002</x:v>
      </x:c>
      <x:c r="L368" s="10" t="n">
        <x:f>K368*'Assumptions'!$U$134</x:f>
        <x:v>2024.5251801600002</x:v>
      </x:c>
      <x:c r="M368" s="10" t="n">
        <x:f>K368*'Assumptions'!$V$134</x:f>
        <x:v>506.13129504000005</x:v>
      </x:c>
      <x:c r="N368" s="10" t="n">
        <x:f>K368-L368-M368</x:f>
        <x:v>22775.908276800004</x:v>
      </x:c>
      <x:c r="O368" s="10" t="n">
        <x:f>H368*'Assumptions'!$P$134*'Assumptions'!$Q$134*'Assumptions'!$D$11*(1+'Assumptions'!$D$13)^(3-1)</x:f>
        <x:v>774.15612876</x:v>
      </x:c>
      <x:c r="P368" s="10" t="n">
        <x:f>H368*'Assumptions'!$R$134*'Assumptions'!$D$11*(1+'Assumptions'!$D$13)^(3-1)</x:f>
        <x:v>9584.790165600001</x:v>
      </x:c>
      <x:c r="Q368" s="10" t="n">
        <x:f>J368*'Assumptions'!$S$134</x:f>
        <x:v>0</x:v>
      </x:c>
      <x:c r="R368" s="10" t="n">
        <x:f>H368*'Assumptions'!$Y$134*'Assumptions'!$Z$134*'Assumptions'!$D$11*(1+'Assumptions'!$D$13)^(3-1)</x:f>
        <x:v>663.5623960800001</x:v>
      </x:c>
      <x:c r="S368" s="10" t="n">
        <x:f>IF(I368=0,0,J368*'Assumptions'!$W$134+H368*'Assumptions'!$X$134)</x:f>
        <x:v>775.5884578080002</x:v>
      </x:c>
      <x:c r="T368" s="10" t="n">
        <x:f>N368*'Assumptions'!$AA$134</x:f>
        <x:v>1822.0726621440003</x:v>
      </x:c>
      <x:c r="U368" s="10" t="n">
        <x:f>'Assumptions'!$AE$134*'Assumptions'!$D$11*(1+'Assumptions'!$D$13)^(3-1)</x:f>
        <x:v>0</x:v>
      </x:c>
      <x:c r="V368" s="10" t="n">
        <x:f>0</x:f>
        <x:v>0</x:v>
      </x:c>
      <x:c r="W368" s="10" t="n">
        <x:f>H368*('Assumptions'!$P$134+'Assumptions'!$Y$134)</x:f>
        <x:v>41.698080000000004</x:v>
      </x:c>
      <x:c r="X368" s="10" t="n">
        <x:f>N368/12*'Assumptions'!$AF$134</x:f>
        <x:v>0</x:v>
      </x:c>
      <x:c r="Y368" s="10" t="n">
        <x:f>P368/12</x:f>
        <x:v>798.7325138000001</x:v>
      </x:c>
      <x:c r="Z368" s="10" t="n">
        <x:f>0</x:f>
        <x:v>0</x:v>
      </x:c>
      <x:c r="AA368" s="10" t="n">
        <x:f>Z368*'Assumptions'!$AC$134*'Assumptions'!$D$11*(1+'Assumptions'!$D$13)^(3-1)</x:f>
        <x:v>0</x:v>
      </x:c>
      <x:c r="AB368" s="10" t="n">
        <x:f>F368/1</x:f>
        <x:v>105.36960000000002</x:v>
      </x:c>
      <x:c r="AC368" s="10" t="n">
        <x:f>AB368/'Assumptions'!$AM$134</x:f>
        <x:v>3512.3200000000006</x:v>
      </x:c>
      <x:c r="AD368" s="10" t="n">
        <x:f>IF(AB368=0,0,T368/AB368)</x:f>
        <x:v>17.292204413265306</x:v>
      </x:c>
      <x:c r="AE368" s="10" t="n">
        <x:f>AA368*'Assumptions'!$D$21</x:f>
        <x:v>0</x:v>
      </x:c>
    </x:row>
    <x:row r="369" ht="16" customHeight="1">
      <x:c r="A369" s="1"/>
      <x:c r="B369" s="1"/>
      <x:c r="C369" s="1" t="str">
        <x:v>DOT-106</x:v>
      </x:c>
      <x:c r="D369" s="10" t="str">
        <x:v>QzoticMusic</x:v>
      </x:c>
      <x:c r="E369" s="10" t="n">
        <x:v>3</x:v>
      </x:c>
      <x:c r="F369" s="21" t="n">
        <x:f>F241*(1+'Assumptions'!$L$135)</x:f>
        <x:v>595.125</x:v>
      </x:c>
      <x:c r="G369" s="21" t="n">
        <x:f>H241*'Assumptions'!$K$135</x:f>
        <x:v>148.125</x:v>
      </x:c>
      <x:c r="H369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369+G369,NA())</x:f>
        <x:v>743.25</x:v>
      </x:c>
      <x:c r="I369" s="22" t="n">
        <x:f>'Assumptions'!$H$135*IF('Assumptions'!$O$135=1,1,'Assumptions'!$D$10)*(1+'Assumptions'!$N$135)^(3-1)</x:f>
        <x:v>5.202</x:v>
      </x:c>
      <x:c r="J369" s="10" t="n">
        <x:f>H369*I369</x:f>
        <x:v>3866.3865</x:v>
      </x:c>
      <x:c r="K369" s="10" t="n">
        <x:f>J369*'Assumptions'!$T$135</x:f>
        <x:v>3866.3865</x:v>
      </x:c>
      <x:c r="L369" s="10" t="n">
        <x:f>K369*'Assumptions'!$U$135</x:f>
        <x:v>115.991595</x:v>
      </x:c>
      <x:c r="M369" s="10" t="n">
        <x:f>K369*'Assumptions'!$V$135</x:f>
        <x:v>0</x:v>
      </x:c>
      <x:c r="N369" s="10" t="n">
        <x:f>K369-L369-M369</x:f>
        <x:v>3750.394905</x:v>
      </x:c>
      <x:c r="O369" s="10" t="n">
        <x:f>H369*'Assumptions'!$P$135*'Assumptions'!$Q$135*'Assumptions'!$D$11*(1+'Assumptions'!$D$13)^(3-1)</x:f>
        <x:v>551.9597474999999</x:v>
      </x:c>
      <x:c r="P369" s="10" t="n">
        <x:f>H369*'Assumptions'!$R$135*'Assumptions'!$D$11*(1+'Assumptions'!$D$13)^(3-1)</x:f>
        <x:v>0</x:v>
      </x:c>
      <x:c r="Q369" s="10" t="n">
        <x:f>J369*'Assumptions'!$S$135</x:f>
        <x:v>0</x:v>
      </x:c>
      <x:c r="R369" s="10" t="n">
        <x:f>H369*'Assumptions'!$Y$135*'Assumptions'!$Z$135*'Assumptions'!$D$11*(1+'Assumptions'!$D$13)^(3-1)</x:f>
        <x:v>2365.5417749999997</x:v>
      </x:c>
      <x:c r="S369" s="10" t="n">
        <x:f>IF(I369=0,0,J369*'Assumptions'!$W$135+H369*'Assumptions'!$X$135)</x:f>
        <x:v>335.1002085</x:v>
      </x:c>
      <x:c r="T369" s="10" t="n">
        <x:f>N369*'Assumptions'!$AA$135</x:f>
        <x:v>187.51974525000003</x:v>
      </x:c>
      <x:c r="U369" s="10" t="n">
        <x:f>'Assumptions'!$AE$135*'Assumptions'!$D$11*(1+'Assumptions'!$D$13)^(3-1)</x:f>
        <x:v>0</x:v>
      </x:c>
      <x:c r="V369" s="10" t="n">
        <x:f>0</x:f>
        <x:v>0</x:v>
      </x:c>
      <x:c r="W369" s="10" t="n">
        <x:f>H369*('Assumptions'!$P$135+'Assumptions'!$Y$135)</x:f>
        <x:v>89.19000000000001</x:v>
      </x:c>
      <x:c r="X369" s="10" t="n">
        <x:f>N369/12*'Assumptions'!$AF$135</x:f>
        <x:v>0</x:v>
      </x:c>
      <x:c r="Y369" s="10" t="n">
        <x:f>P369/12</x:f>
        <x:v>0</x:v>
      </x:c>
      <x:c r="Z369" s="10" t="n">
        <x:f>0</x:f>
        <x:v>0</x:v>
      </x:c>
      <x:c r="AA369" s="10" t="n">
        <x:f>Z369*'Assumptions'!$AC$135*'Assumptions'!$D$11*(1+'Assumptions'!$D$13)^(3-1)</x:f>
        <x:v>0</x:v>
      </x:c>
      <x:c r="AB369" s="10" t="n">
        <x:f>F369/12</x:f>
        <x:v>49.59375</x:v>
      </x:c>
      <x:c r="AC369" s="10" t="n">
        <x:f>AB369/'Assumptions'!$AM$135</x:f>
        <x:v>991.875</x:v>
      </x:c>
      <x:c r="AD369" s="10" t="n">
        <x:f>IF(AB369=0,0,T369/AB369)</x:f>
        <x:v>3.781116476370511</x:v>
      </x:c>
      <x:c r="AE369" s="10" t="n">
        <x:f>AA369*'Assumptions'!$D$21</x:f>
        <x:v>0</x:v>
      </x:c>
    </x:row>
    <x:row r="370" ht="16" customHeight="1">
      <x:c r="A370" s="1"/>
      <x:c r="B370" s="1"/>
      <x:c r="C370" s="1" t="str">
        <x:v>DOT-107</x:v>
      </x:c>
      <x:c r="D370" s="10" t="str">
        <x:v>QzoticMusic</x:v>
      </x:c>
      <x:c r="E370" s="10" t="n">
        <x:v>3</x:v>
      </x:c>
      <x:c r="F370" s="21" t="n">
        <x:f>F242*(1+'Assumptions'!$L$136)</x:f>
        <x:v>188.76000000000005</x:v>
      </x:c>
      <x:c r="G370" s="21" t="n">
        <x:f>H242*'Assumptions'!$K$136</x:f>
        <x:v>74.76</x:v>
      </x:c>
      <x:c r="H370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370+G370,NA())</x:f>
        <x:v>263.52000000000004</x:v>
      </x:c>
      <x:c r="I370" s="22" t="n">
        <x:f>'Assumptions'!$H$136*IF('Assumptions'!$O$136=1,1,'Assumptions'!$D$10)*(1+'Assumptions'!$N$136)^(3-1)</x:f>
        <x:v>26.009999999999998</x:v>
      </x:c>
      <x:c r="J370" s="10" t="n">
        <x:f>H370*I370</x:f>
        <x:v>6854.1552</x:v>
      </x:c>
      <x:c r="K370" s="10" t="n">
        <x:f>J370*'Assumptions'!$T$136</x:f>
        <x:v>6854.1552</x:v>
      </x:c>
      <x:c r="L370" s="10" t="n">
        <x:f>K370*'Assumptions'!$U$136</x:f>
        <x:v>205.624656</x:v>
      </x:c>
      <x:c r="M370" s="10" t="n">
        <x:f>K370*'Assumptions'!$V$136</x:f>
        <x:v>0</x:v>
      </x:c>
      <x:c r="N370" s="10" t="n">
        <x:f>K370-L370-M370</x:f>
        <x:v>6648.530544</x:v>
      </x:c>
      <x:c r="O370" s="10" t="n">
        <x:f>H370*'Assumptions'!$P$136*'Assumptions'!$Q$136*'Assumptions'!$D$11*(1+'Assumptions'!$D$13)^(3-1)</x:f>
        <x:v>1467.733932</x:v>
      </x:c>
      <x:c r="P370" s="10" t="n">
        <x:f>H370*'Assumptions'!$R$136*'Assumptions'!$D$11*(1+'Assumptions'!$D$13)^(3-1)</x:f>
        <x:v>2795.68368</x:v>
      </x:c>
      <x:c r="Q370" s="10" t="n">
        <x:f>J370*'Assumptions'!$S$136</x:f>
        <x:v>0</x:v>
      </x:c>
      <x:c r="R370" s="10" t="n">
        <x:f>H370*'Assumptions'!$Y$136*'Assumptions'!$Z$136*'Assumptions'!$D$11*(1+'Assumptions'!$D$13)^(3-1)</x:f>
        <x:v>4193.52552</x:v>
      </x:c>
      <x:c r="S370" s="10" t="n">
        <x:f>IF(I370=0,0,J370*'Assumptions'!$W$136+H370*'Assumptions'!$X$136)</x:f>
        <x:v>277.8265008</x:v>
      </x:c>
      <x:c r="T370" s="10" t="n">
        <x:f>N370*'Assumptions'!$AA$136</x:f>
        <x:v>531.88244352</x:v>
      </x:c>
      <x:c r="U370" s="10" t="n">
        <x:f>'Assumptions'!$AE$136*'Assumptions'!$D$11*(1+'Assumptions'!$D$13)^(3-1)</x:f>
        <x:v>0</x:v>
      </x:c>
      <x:c r="V370" s="10" t="n">
        <x:f>0</x:f>
        <x:v>0</x:v>
      </x:c>
      <x:c r="W370" s="10" t="n">
        <x:f>H370*('Assumptions'!$P$136+'Assumptions'!$Y$136)</x:f>
        <x:v>171.28800000000004</x:v>
      </x:c>
      <x:c r="X370" s="10" t="n">
        <x:f>N370/12*'Assumptions'!$AF$136</x:f>
        <x:v>554.044212</x:v>
      </x:c>
      <x:c r="Y370" s="10" t="n">
        <x:f>P370/12</x:f>
        <x:v>232.97364000000002</x:v>
      </x:c>
      <x:c r="Z370" s="10" t="n">
        <x:f>0</x:f>
        <x:v>0</x:v>
      </x:c>
      <x:c r="AA370" s="10" t="n">
        <x:f>Z370*'Assumptions'!$AC$136*'Assumptions'!$D$11*(1+'Assumptions'!$D$13)^(3-1)</x:f>
        <x:v>0</x:v>
      </x:c>
      <x:c r="AB370" s="10" t="n">
        <x:f>F370/1</x:f>
        <x:v>188.76000000000005</x:v>
      </x:c>
      <x:c r="AC370" s="10" t="n">
        <x:f>AB370/'Assumptions'!$AM$136</x:f>
        <x:v>1887.6000000000004</x:v>
      </x:c>
      <x:c r="AD370" s="10" t="n">
        <x:f>IF(AB370=0,0,T370/AB370)</x:f>
        <x:v>2.8177709446916714</x:v>
      </x:c>
      <x:c r="AE370" s="10" t="n">
        <x:f>AA370*'Assumptions'!$D$21</x:f>
        <x:v>0</x:v>
      </x:c>
    </x:row>
    <x:row r="371" ht="16" customHeight="1">
      <x:c r="A371" s="1"/>
      <x:c r="B371" s="1"/>
      <x:c r="C371" s="1" t="str">
        <x:v>DOT-108</x:v>
      </x:c>
      <x:c r="D371" s="10" t="str">
        <x:v>QzoticMusic</x:v>
      </x:c>
      <x:c r="E371" s="10" t="n">
        <x:v>3</x:v>
      </x:c>
      <x:c r="F371" s="21" t="n">
        <x:f>F243*(1+'Assumptions'!$L$137)</x:f>
        <x:v>9.438000000000002</x:v>
      </x:c>
      <x:c r="G371" s="21" t="n">
        <x:f>H243*'Assumptions'!$K$137</x:f>
        <x:v>3.7380000000000004</x:v>
      </x:c>
      <x:c r="H371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371+G371,NA())</x:f>
        <x:v>13.176000000000002</x:v>
      </x:c>
      <x:c r="I371" s="22" t="n">
        <x:f>'Assumptions'!$H$137*IF('Assumptions'!$O$137=1,1,'Assumptions'!$D$10)*(1+'Assumptions'!$N$137)^(3-1)</x:f>
        <x:v>260.1</x:v>
      </x:c>
      <x:c r="J371" s="10" t="n">
        <x:f>H371*I371</x:f>
        <x:v>3427.077600000001</x:v>
      </x:c>
      <x:c r="K371" s="10" t="n">
        <x:f>J371*'Assumptions'!$T$137</x:f>
        <x:v>3427.077600000001</x:v>
      </x:c>
      <x:c r="L371" s="10" t="n">
        <x:f>K371*'Assumptions'!$U$137</x:f>
        <x:v>102.81232800000002</x:v>
      </x:c>
      <x:c r="M371" s="10" t="n">
        <x:f>K371*'Assumptions'!$V$137</x:f>
        <x:v>0</x:v>
      </x:c>
      <x:c r="N371" s="10" t="n">
        <x:f>K371-L371-M371</x:f>
        <x:v>3324.265272000001</x:v>
      </x:c>
      <x:c r="O371" s="10" t="n">
        <x:f>H371*'Assumptions'!$P$137*'Assumptions'!$Q$137*'Assumptions'!$D$11*(1+'Assumptions'!$D$13)^(3-1)</x:f>
        <x:v>1118.273472</x:v>
      </x:c>
      <x:c r="P371" s="10" t="n">
        <x:f>H371*'Assumptions'!$R$137*'Assumptions'!$D$11*(1+'Assumptions'!$D$13)^(3-1)</x:f>
        <x:v>0</x:v>
      </x:c>
      <x:c r="Q371" s="10" t="n">
        <x:f>J371*'Assumptions'!$S$137</x:f>
        <x:v>0</x:v>
      </x:c>
      <x:c r="R371" s="10" t="n">
        <x:f>H371*'Assumptions'!$Y$137*'Assumptions'!$Z$137*'Assumptions'!$D$11*(1+'Assumptions'!$D$13)^(3-1)</x:f>
        <x:v>209.67627600000003</x:v>
      </x:c>
      <x:c r="S371" s="10" t="n">
        <x:f>IF(I371=0,0,J371*'Assumptions'!$W$137+H371*'Assumptions'!$X$137)</x:f>
        <x:v>103.33805040000003</x:v>
      </x:c>
      <x:c r="T371" s="10" t="n">
        <x:f>N371*'Assumptions'!$AA$137</x:f>
        <x:v>265.9412217600001</x:v>
      </x:c>
      <x:c r="U371" s="10" t="n">
        <x:f>'Assumptions'!$AE$137*'Assumptions'!$D$11*(1+'Assumptions'!$D$13)^(3-1)</x:f>
        <x:v>0</x:v>
      </x:c>
      <x:c r="V371" s="10" t="n">
        <x:f>0</x:f>
        <x:v>0</x:v>
      </x:c>
      <x:c r="W371" s="10" t="n">
        <x:f>H371*('Assumptions'!$P$137+'Assumptions'!$Y$137)</x:f>
        <x:v>32.940000000000005</x:v>
      </x:c>
      <x:c r="X371" s="10" t="n">
        <x:f>N371/12*'Assumptions'!$AF$137</x:f>
        <x:v>277.02210600000006</x:v>
      </x:c>
      <x:c r="Y371" s="10" t="n">
        <x:f>P371/12</x:f>
        <x:v>0</x:v>
      </x:c>
      <x:c r="Z371" s="10" t="n">
        <x:f>0</x:f>
        <x:v>0</x:v>
      </x:c>
      <x:c r="AA371" s="10" t="n">
        <x:f>Z371*'Assumptions'!$AC$137*'Assumptions'!$D$11*(1+'Assumptions'!$D$13)^(3-1)</x:f>
        <x:v>0</x:v>
      </x:c>
      <x:c r="AB371" s="10" t="n">
        <x:f>F371/1</x:f>
        <x:v>9.438000000000002</x:v>
      </x:c>
      <x:c r="AC371" s="10" t="n">
        <x:f>AB371/'Assumptions'!$AM$137</x:f>
        <x:v>94.38000000000002</x:v>
      </x:c>
      <x:c r="AD371" s="10" t="n">
        <x:f>IF(AB371=0,0,T371/AB371)</x:f>
        <x:v>28.17770944691672</x:v>
      </x:c>
      <x:c r="AE371" s="10" t="n">
        <x:f>AA371*'Assumptions'!$D$21</x:f>
        <x:v>0</x:v>
      </x:c>
    </x:row>
    <x:row r="372" ht="16" customHeight="1">
      <x:c r="A372" s="1"/>
      <x:c r="B372" s="1"/>
      <x:c r="C372" s="1" t="str">
        <x:v>DOT-109</x:v>
      </x:c>
      <x:c r="D372" s="10" t="str">
        <x:v>LesPetitFilms</x:v>
      </x:c>
      <x:c r="E372" s="10" t="n">
        <x:v>3</x:v>
      </x:c>
      <x:c r="F372" s="21" t="n">
        <x:f>F244*(1+'Assumptions'!$L$138)</x:f>
        <x:v>6.292000000000002</x:v>
      </x:c>
      <x:c r="G372" s="21" t="n">
        <x:f>H244*'Assumptions'!$K$138</x:f>
        <x:v>2.492</x:v>
      </x:c>
      <x:c r="H372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372+G372,NA())</x:f>
        <x:v>8.784000000000002</x:v>
      </x:c>
      <x:c r="I372" s="22" t="n">
        <x:f>'Assumptions'!$H$138*IF('Assumptions'!$O$138=1,1,'Assumptions'!$D$10)*(1+'Assumptions'!$N$138)^(3-1)</x:f>
        <x:v>3641.4</x:v>
      </x:c>
      <x:c r="J372" s="10" t="n">
        <x:f>H372*I372</x:f>
        <x:v>31986.05760000001</x:v>
      </x:c>
      <x:c r="K372" s="10" t="n">
        <x:f>J372*'Assumptions'!$T$138</x:f>
        <x:v>31986.05760000001</x:v>
      </x:c>
      <x:c r="L372" s="10" t="n">
        <x:f>K372*'Assumptions'!$U$138</x:f>
        <x:v>959.5817280000003</x:v>
      </x:c>
      <x:c r="M372" s="10" t="n">
        <x:f>K372*'Assumptions'!$V$138</x:f>
        <x:v>0</x:v>
      </x:c>
      <x:c r="N372" s="10" t="n">
        <x:f>K372-L372-M372</x:f>
        <x:v>31026.47587200001</x:v>
      </x:c>
      <x:c r="O372" s="10" t="n">
        <x:f>H372*'Assumptions'!$P$138*'Assumptions'!$Q$138*'Assumptions'!$D$11*(1+'Assumptions'!$D$13)^(3-1)</x:f>
        <x:v>10483.813800000002</x:v>
      </x:c>
      <x:c r="P372" s="10" t="n">
        <x:f>H372*'Assumptions'!$R$138*'Assumptions'!$D$11*(1+'Assumptions'!$D$13)^(3-1)</x:f>
        <x:v>3261.630960000001</x:v>
      </x:c>
      <x:c r="Q372" s="10" t="n">
        <x:f>J372*'Assumptions'!$S$138</x:f>
        <x:v>0</x:v>
      </x:c>
      <x:c r="R372" s="10" t="n">
        <x:f>H372*'Assumptions'!$Y$138*'Assumptions'!$Z$138*'Assumptions'!$D$11*(1+'Assumptions'!$D$13)^(3-1)</x:f>
        <x:v>139.78418400000004</x:v>
      </x:c>
      <x:c r="S372" s="10" t="n">
        <x:f>IF(I372=0,0,J372*'Assumptions'!$W$138+H372*'Assumptions'!$X$138)</x:f>
        <x:v>930.2308704000004</x:v>
      </x:c>
      <x:c r="T372" s="10" t="n">
        <x:f>N372*'Assumptions'!$AA$138</x:f>
        <x:v>2482.1180697600007</x:v>
      </x:c>
      <x:c r="U372" s="10" t="n">
        <x:f>'Assumptions'!$AE$138*'Assumptions'!$D$11*(1+'Assumptions'!$D$13)^(3-1)</x:f>
        <x:v>0</x:v>
      </x:c>
      <x:c r="V372" s="10" t="n">
        <x:f>0</x:f>
        <x:v>0</x:v>
      </x:c>
      <x:c r="W372" s="10" t="n">
        <x:f>H372*('Assumptions'!$P$138+'Assumptions'!$Y$138)</x:f>
        <x:v>223.99200000000008</x:v>
      </x:c>
      <x:c r="X372" s="10" t="n">
        <x:f>N372/12*'Assumptions'!$AF$138</x:f>
        <x:v>2585.539656000001</x:v>
      </x:c>
      <x:c r="Y372" s="10" t="n">
        <x:f>P372/12</x:f>
        <x:v>271.8025800000001</x:v>
      </x:c>
      <x:c r="Z372" s="10" t="n">
        <x:f>0</x:f>
        <x:v>0</x:v>
      </x:c>
      <x:c r="AA372" s="10" t="n">
        <x:f>Z372*'Assumptions'!$AC$138*'Assumptions'!$D$11*(1+'Assumptions'!$D$13)^(3-1)</x:f>
        <x:v>0</x:v>
      </x:c>
      <x:c r="AB372" s="10" t="n">
        <x:f>F372/1</x:f>
        <x:v>6.292000000000002</x:v>
      </x:c>
      <x:c r="AC372" s="10" t="n">
        <x:f>AB372/'Assumptions'!$AM$138</x:f>
        <x:v>62.920000000000016</x:v>
      </x:c>
      <x:c r="AD372" s="10" t="n">
        <x:f>IF(AB372=0,0,T372/AB372)</x:f>
        <x:v>394.4879322568341</x:v>
      </x:c>
      <x:c r="AE372" s="10" t="n">
        <x:f>AA372*'Assumptions'!$D$21</x:f>
        <x:v>0</x:v>
      </x:c>
    </x:row>
    <x:row r="373" ht="16" customHeight="1">
      <x:c r="A373" s="1"/>
      <x:c r="B373" s="1"/>
      <x:c r="C373" s="1" t="str">
        <x:v>DOT-110</x:v>
      </x:c>
      <x:c r="D373" s="10" t="str">
        <x:v>LesPetitFilms</x:v>
      </x:c>
      <x:c r="E373" s="10" t="n">
        <x:v>3</x:v>
      </x:c>
      <x:c r="F373" s="21" t="n">
        <x:f>F245*(1+'Assumptions'!$L$139)</x:f>
        <x:v>6.292000000000002</x:v>
      </x:c>
      <x:c r="G373" s="21" t="n">
        <x:f>H245*'Assumptions'!$K$139</x:f>
        <x:v>2.492</x:v>
      </x:c>
      <x:c r="H373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373+G373,NA())</x:f>
        <x:v>8.784000000000002</x:v>
      </x:c>
      <x:c r="I373" s="22" t="n">
        <x:f>'Assumptions'!$H$139*IF('Assumptions'!$O$139=1,1,'Assumptions'!$D$10)*(1+'Assumptions'!$N$139)^(3-1)</x:f>
        <x:v>1560.6</x:v>
      </x:c>
      <x:c r="J373" s="10" t="n">
        <x:f>H373*I373</x:f>
        <x:v>13708.310400000004</x:v>
      </x:c>
      <x:c r="K373" s="10" t="n">
        <x:f>J373*'Assumptions'!$T$139</x:f>
        <x:v>13708.310400000004</x:v>
      </x:c>
      <x:c r="L373" s="10" t="n">
        <x:f>K373*'Assumptions'!$U$139</x:f>
        <x:v>411.2493120000001</x:v>
      </x:c>
      <x:c r="M373" s="10" t="n">
        <x:f>K373*'Assumptions'!$V$139</x:f>
        <x:v>0</x:v>
      </x:c>
      <x:c r="N373" s="10" t="n">
        <x:f>K373-L373-M373</x:f>
        <x:v>13297.061088000004</x:v>
      </x:c>
      <x:c r="O373" s="10" t="n">
        <x:f>H373*'Assumptions'!$P$139*'Assumptions'!$Q$139*'Assumptions'!$D$11*(1+'Assumptions'!$D$13)^(3-1)</x:f>
        <x:v>4193.525520000001</x:v>
      </x:c>
      <x:c r="P373" s="10" t="n">
        <x:f>H373*'Assumptions'!$R$139*'Assumptions'!$D$11*(1+'Assumptions'!$D$13)^(3-1)</x:f>
        <x:v>1863.7891200000004</x:v>
      </x:c>
      <x:c r="Q373" s="10" t="n">
        <x:f>J373*'Assumptions'!$S$139</x:f>
        <x:v>0</x:v>
      </x:c>
      <x:c r="R373" s="10" t="n">
        <x:f>H373*'Assumptions'!$Y$139*'Assumptions'!$Z$139*'Assumptions'!$D$11*(1+'Assumptions'!$D$13)^(3-1)</x:f>
        <x:v>139.78418400000004</x:v>
      </x:c>
      <x:c r="S373" s="10" t="n">
        <x:f>IF(I373=0,0,J373*'Assumptions'!$W$139+H373*'Assumptions'!$X$139)</x:f>
        <x:v>400.1762016000001</x:v>
      </x:c>
      <x:c r="T373" s="10" t="n">
        <x:f>N373*'Assumptions'!$AA$139</x:f>
        <x:v>1063.7648870400003</x:v>
      </x:c>
      <x:c r="U373" s="10" t="n">
        <x:f>'Assumptions'!$AE$139*'Assumptions'!$D$11*(1+'Assumptions'!$D$13)^(3-1)</x:f>
        <x:v>0</x:v>
      </x:c>
      <x:c r="V373" s="10" t="n">
        <x:f>0</x:f>
        <x:v>0</x:v>
      </x:c>
      <x:c r="W373" s="10" t="n">
        <x:f>H373*('Assumptions'!$P$139+'Assumptions'!$Y$139)</x:f>
        <x:v>92.23200000000003</x:v>
      </x:c>
      <x:c r="X373" s="10" t="n">
        <x:f>N373/12*'Assumptions'!$AF$139</x:f>
        <x:v>1108.0884240000003</x:v>
      </x:c>
      <x:c r="Y373" s="10" t="n">
        <x:f>P373/12</x:f>
        <x:v>155.31576000000004</x:v>
      </x:c>
      <x:c r="Z373" s="10" t="n">
        <x:f>0</x:f>
        <x:v>0</x:v>
      </x:c>
      <x:c r="AA373" s="10" t="n">
        <x:f>Z373*'Assumptions'!$AC$139*'Assumptions'!$D$11*(1+'Assumptions'!$D$13)^(3-1)</x:f>
        <x:v>0</x:v>
      </x:c>
      <x:c r="AB373" s="10" t="n">
        <x:f>F373/1</x:f>
        <x:v>6.292000000000002</x:v>
      </x:c>
      <x:c r="AC373" s="10" t="n">
        <x:f>AB373/'Assumptions'!$AM$139</x:f>
        <x:v>62.920000000000016</x:v>
      </x:c>
      <x:c r="AD373" s="10" t="n">
        <x:f>IF(AB373=0,0,T373/AB373)</x:f>
        <x:v>169.06625668150033</x:v>
      </x:c>
      <x:c r="AE373" s="10" t="n">
        <x:f>AA373*'Assumptions'!$D$21</x:f>
        <x:v>0</x:v>
      </x:c>
    </x:row>
    <x:row r="374" ht="16" customHeight="1">
      <x:c r="A374" s="1"/>
      <x:c r="B374" s="1"/>
      <x:c r="C374" s="1" t="str">
        <x:v>DOT-111</x:v>
      </x:c>
      <x:c r="D374" s="10" t="str">
        <x:v>LesPetitFilms</x:v>
      </x:c>
      <x:c r="E374" s="10" t="n">
        <x:v>3</x:v>
      </x:c>
      <x:c r="F374" s="21" t="n">
        <x:f>F246*(1+'Assumptions'!$L$140)</x:f>
        <x:v>9.438000000000002</x:v>
      </x:c>
      <x:c r="G374" s="21" t="n">
        <x:f>H246*'Assumptions'!$K$140</x:f>
        <x:v>3.7380000000000004</x:v>
      </x:c>
      <x:c r="H374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374+G374,NA())</x:f>
        <x:v>13.176000000000002</x:v>
      </x:c>
      <x:c r="I374" s="22" t="n">
        <x:f>'Assumptions'!$H$140*IF('Assumptions'!$O$140=1,1,'Assumptions'!$D$10)*(1+'Assumptions'!$N$140)^(3-1)</x:f>
        <x:v>520.2</x:v>
      </x:c>
      <x:c r="J374" s="10" t="n">
        <x:f>H374*I374</x:f>
        <x:v>6854.155200000002</x:v>
      </x:c>
      <x:c r="K374" s="10" t="n">
        <x:f>J374*'Assumptions'!$T$140</x:f>
        <x:v>6854.155200000002</x:v>
      </x:c>
      <x:c r="L374" s="10" t="n">
        <x:f>K374*'Assumptions'!$U$140</x:f>
        <x:v>205.62465600000004</x:v>
      </x:c>
      <x:c r="M374" s="10" t="n">
        <x:f>K374*'Assumptions'!$V$140</x:f>
        <x:v>0</x:v>
      </x:c>
      <x:c r="N374" s="10" t="n">
        <x:f>K374-L374-M374</x:f>
        <x:v>6648.530544000002</x:v>
      </x:c>
      <x:c r="O374" s="10" t="n">
        <x:f>H374*'Assumptions'!$P$140*'Assumptions'!$Q$140*'Assumptions'!$D$11*(1+'Assumptions'!$D$13)^(3-1)</x:f>
        <x:v>1677.4102080000002</x:v>
      </x:c>
      <x:c r="P374" s="10" t="n">
        <x:f>H374*'Assumptions'!$R$140*'Assumptions'!$D$11*(1+'Assumptions'!$D$13)^(3-1)</x:f>
        <x:v>698.92092</x:v>
      </x:c>
      <x:c r="Q374" s="10" t="n">
        <x:f>J374*'Assumptions'!$S$140</x:f>
        <x:v>0</x:v>
      </x:c>
      <x:c r="R374" s="10" t="n">
        <x:f>H374*'Assumptions'!$Y$140*'Assumptions'!$Z$140*'Assumptions'!$D$11*(1+'Assumptions'!$D$13)^(3-1)</x:f>
        <x:v>209.67627600000003</x:v>
      </x:c>
      <x:c r="S374" s="10" t="n">
        <x:f>IF(I374=0,0,J374*'Assumptions'!$W$140+H374*'Assumptions'!$X$140)</x:f>
        <x:v>202.72330080000006</x:v>
      </x:c>
      <x:c r="T374" s="10" t="n">
        <x:f>N374*'Assumptions'!$AA$140</x:f>
        <x:v>531.8824435200002</x:v>
      </x:c>
      <x:c r="U374" s="10" t="n">
        <x:f>'Assumptions'!$AE$140*'Assumptions'!$D$11*(1+'Assumptions'!$D$13)^(3-1)</x:f>
        <x:v>0</x:v>
      </x:c>
      <x:c r="V374" s="10" t="n">
        <x:f>0</x:f>
        <x:v>0</x:v>
      </x:c>
      <x:c r="W374" s="10" t="n">
        <x:f>H374*('Assumptions'!$P$140+'Assumptions'!$Y$140)</x:f>
        <x:v>46.11600000000001</x:v>
      </x:c>
      <x:c r="X374" s="10" t="n">
        <x:f>N374/12*'Assumptions'!$AF$140</x:f>
        <x:v>554.0442120000001</x:v>
      </x:c>
      <x:c r="Y374" s="10" t="n">
        <x:f>P374/12</x:f>
        <x:v>58.243410000000004</x:v>
      </x:c>
      <x:c r="Z374" s="10" t="n">
        <x:f>0</x:f>
        <x:v>0</x:v>
      </x:c>
      <x:c r="AA374" s="10" t="n">
        <x:f>Z374*'Assumptions'!$AC$140*'Assumptions'!$D$11*(1+'Assumptions'!$D$13)^(3-1)</x:f>
        <x:v>0</x:v>
      </x:c>
      <x:c r="AB374" s="10" t="n">
        <x:f>F374/1</x:f>
        <x:v>9.438000000000002</x:v>
      </x:c>
      <x:c r="AC374" s="10" t="n">
        <x:f>AB374/'Assumptions'!$AM$140</x:f>
        <x:v>94.38000000000002</x:v>
      </x:c>
      <x:c r="AD374" s="10" t="n">
        <x:f>IF(AB374=0,0,T374/AB374)</x:f>
        <x:v>56.35541889383344</x:v>
      </x:c>
      <x:c r="AE374" s="10" t="n">
        <x:f>AA374*'Assumptions'!$D$21</x:f>
        <x:v>0</x:v>
      </x:c>
    </x:row>
    <x:row r="375" ht="16" customHeight="1">
      <x:c r="A375" s="1"/>
      <x:c r="B375" s="1"/>
      <x:c r="C375" s="1" t="str">
        <x:v>DOT-112</x:v>
      </x:c>
      <x:c r="D375" s="10" t="str">
        <x:v>Learn Anglais</x:v>
      </x:c>
      <x:c r="E375" s="10" t="n">
        <x:v>3</x:v>
      </x:c>
      <x:c r="F375" s="21" t="n">
        <x:f>F247*(1+'Assumptions'!$L$141)</x:f>
        <x:v>259.20000000000005</x:v>
      </x:c>
      <x:c r="G375" s="21" t="n">
        <x:f>H247*'Assumptions'!$K$141</x:f>
        <x:v>371.7</x:v>
      </x:c>
      <x:c r="H375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375+G375,NA())</x:f>
        <x:v>630.9000000000001</x:v>
      </x:c>
      <x:c r="I375" s="22" t="n">
        <x:f>'Assumptions'!$H$141*IF('Assumptions'!$O$141=1,1,'Assumptions'!$D$10)*(1+'Assumptions'!$N$141)^(3-1)</x:f>
        <x:v>46.818</x:v>
      </x:c>
      <x:c r="J375" s="10" t="n">
        <x:f>H375*I375</x:f>
        <x:v>29537.476200000005</x:v>
      </x:c>
      <x:c r="K375" s="10" t="n">
        <x:f>J375*'Assumptions'!$T$141</x:f>
        <x:v>9845.825400000002</x:v>
      </x:c>
      <x:c r="L375" s="10" t="n">
        <x:f>K375*'Assumptions'!$U$141</x:f>
        <x:v>295.37476200000003</x:v>
      </x:c>
      <x:c r="M375" s="10" t="n">
        <x:f>K375*'Assumptions'!$V$141</x:f>
        <x:v>0</x:v>
      </x:c>
      <x:c r="N375" s="10" t="n">
        <x:f>K375-L375-M375</x:f>
        <x:v>9550.450638000002</x:v>
      </x:c>
      <x:c r="O375" s="10" t="n">
        <x:f>H375*'Assumptions'!$P$141*'Assumptions'!$Q$141*'Assumptions'!$D$11*(1+'Assumptions'!$D$13)^(3-1)</x:f>
        <x:v>2342.6263350000004</x:v>
      </x:c>
      <x:c r="P375" s="10" t="n">
        <x:f>H375*'Assumptions'!$R$141*'Assumptions'!$D$11*(1+'Assumptions'!$D$13)^(3-1)</x:f>
        <x:v>0</x:v>
      </x:c>
      <x:c r="Q375" s="10" t="n">
        <x:f>J375*'Assumptions'!$S$141</x:f>
        <x:v>0</x:v>
      </x:c>
      <x:c r="R375" s="10" t="n">
        <x:f>H375*'Assumptions'!$Y$141*'Assumptions'!$Z$141*'Assumptions'!$D$11*(1+'Assumptions'!$D$13)^(3-1)</x:f>
        <x:v>3011.948145</x:v>
      </x:c>
      <x:c r="S375" s="10" t="n">
        <x:f>IF(I375=0,0,J375*'Assumptions'!$W$141+H375*'Assumptions'!$X$141)</x:f>
        <x:v>1045.8568098000003</x:v>
      </x:c>
      <x:c r="T375" s="10" t="n">
        <x:f>N375*'Assumptions'!$AA$141</x:f>
        <x:v>477.5225319000001</x:v>
      </x:c>
      <x:c r="U375" s="10" t="n">
        <x:f>'Assumptions'!$AE$141*'Assumptions'!$D$11*(1+'Assumptions'!$D$13)^(3-1)</x:f>
        <x:v>0</x:v>
      </x:c>
      <x:c r="V375" s="10" t="n">
        <x:f>0</x:f>
        <x:v>0</x:v>
      </x:c>
      <x:c r="W375" s="10" t="n">
        <x:f>H375*('Assumptions'!$P$141+'Assumptions'!$Y$141)</x:f>
        <x:v>157.72500000000002</x:v>
      </x:c>
      <x:c r="X375" s="10" t="n">
        <x:f>N375/12*'Assumptions'!$AF$141</x:f>
        <x:v>0</x:v>
      </x:c>
      <x:c r="Y375" s="10" t="n">
        <x:f>P375/12</x:f>
        <x:v>0</x:v>
      </x:c>
      <x:c r="Z375" s="10" t="n">
        <x:f>0</x:f>
        <x:v>0</x:v>
      </x:c>
      <x:c r="AA375" s="10" t="n">
        <x:f>Z375*'Assumptions'!$AC$141*'Assumptions'!$D$11*(1+'Assumptions'!$D$13)^(3-1)</x:f>
        <x:v>0</x:v>
      </x:c>
      <x:c r="AB375" s="10" t="n">
        <x:f>F375/1</x:f>
        <x:v>259.20000000000005</x:v>
      </x:c>
      <x:c r="AC375" s="10" t="n">
        <x:f>AB375/'Assumptions'!$AM$141</x:f>
        <x:v>5184.000000000001</x:v>
      </x:c>
      <x:c r="AD375" s="10" t="n">
        <x:f>IF(AB375=0,0,T375/AB375)</x:f>
        <x:v>1.8422937187500001</x:v>
      </x:c>
      <x:c r="AE375" s="10" t="n">
        <x:f>AA375*'Assumptions'!$D$21</x:f>
        <x:v>0</x:v>
      </x:c>
    </x:row>
    <x:row r="376" ht="16" customHeight="1">
      <x:c r="A376" s="1"/>
      <x:c r="B376" s="1"/>
      <x:c r="C376" s="1" t="str">
        <x:v>DOT-113</x:v>
      </x:c>
      <x:c r="D376" s="10" t="str">
        <x:v>Learn Anglais</x:v>
      </x:c>
      <x:c r="E376" s="10" t="n">
        <x:v>3</x:v>
      </x:c>
      <x:c r="F376" s="21" t="n">
        <x:f>F248*(1+'Assumptions'!$L$142)</x:f>
        <x:v>155.52</x:v>
      </x:c>
      <x:c r="G376" s="21" t="n">
        <x:f>H248*'Assumptions'!$K$142</x:f>
        <x:v>223.02</x:v>
      </x:c>
      <x:c r="H376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376+G376,NA())</x:f>
        <x:v>378.54</x:v>
      </x:c>
      <x:c r="I376" s="22" t="n">
        <x:f>'Assumptions'!$H$142*IF('Assumptions'!$O$142=1,1,'Assumptions'!$D$10)*(1+'Assumptions'!$N$142)^(3-1)</x:f>
        <x:v>88.434</x:v>
      </x:c>
      <x:c r="J376" s="10" t="n">
        <x:f>H376*I376</x:f>
        <x:v>33475.80636</x:v>
      </x:c>
      <x:c r="K376" s="10" t="n">
        <x:f>J376*'Assumptions'!$T$142</x:f>
        <x:v>10042.741908</x:v>
      </x:c>
      <x:c r="L376" s="10" t="n">
        <x:f>K376*'Assumptions'!$U$142</x:f>
        <x:v>301.28225724</x:v>
      </x:c>
      <x:c r="M376" s="10" t="n">
        <x:f>K376*'Assumptions'!$V$142</x:f>
        <x:v>0</x:v>
      </x:c>
      <x:c r="N376" s="10" t="n">
        <x:f>K376-L376-M376</x:f>
        <x:v>9741.45965076</x:v>
      </x:c>
      <x:c r="O376" s="10" t="n">
        <x:f>H376*'Assumptions'!$P$142*'Assumptions'!$Q$142*'Assumptions'!$D$11*(1+'Assumptions'!$D$13)^(3-1)</x:f>
        <x:v>1405.5758010000002</x:v>
      </x:c>
      <x:c r="P376" s="10" t="n">
        <x:f>H376*'Assumptions'!$R$142*'Assumptions'!$D$11*(1+'Assumptions'!$D$13)^(3-1)</x:f>
        <x:v>0</x:v>
      </x:c>
      <x:c r="Q376" s="10" t="n">
        <x:f>J376*'Assumptions'!$S$142</x:f>
        <x:v>0</x:v>
      </x:c>
      <x:c r="R376" s="10" t="n">
        <x:f>H376*'Assumptions'!$Y$142*'Assumptions'!$Z$142*'Assumptions'!$D$11*(1+'Assumptions'!$D$13)^(3-1)</x:f>
        <x:v>1807.168887</x:v>
      </x:c>
      <x:c r="S376" s="10" t="n">
        <x:f>IF(I376=0,0,J376*'Assumptions'!$W$142+H376*'Assumptions'!$X$142)</x:f>
        <x:v>1084.36038444</x:v>
      </x:c>
      <x:c r="T376" s="10" t="n">
        <x:f>N376*'Assumptions'!$AA$142</x:f>
        <x:v>487.072982538</x:v>
      </x:c>
      <x:c r="U376" s="10" t="n">
        <x:f>'Assumptions'!$AE$142*'Assumptions'!$D$11*(1+'Assumptions'!$D$13)^(3-1)</x:f>
        <x:v>0</x:v>
      </x:c>
      <x:c r="V376" s="10" t="n">
        <x:f>0</x:f>
        <x:v>0</x:v>
      </x:c>
      <x:c r="W376" s="10" t="n">
        <x:f>H376*('Assumptions'!$P$142+'Assumptions'!$Y$142)</x:f>
        <x:v>94.635</x:v>
      </x:c>
      <x:c r="X376" s="10" t="n">
        <x:f>N376/12*'Assumptions'!$AF$142</x:f>
        <x:v>0</x:v>
      </x:c>
      <x:c r="Y376" s="10" t="n">
        <x:f>P376/12</x:f>
        <x:v>0</x:v>
      </x:c>
      <x:c r="Z376" s="10" t="n">
        <x:f>0</x:f>
        <x:v>0</x:v>
      </x:c>
      <x:c r="AA376" s="10" t="n">
        <x:f>Z376*'Assumptions'!$AC$142*'Assumptions'!$D$11*(1+'Assumptions'!$D$13)^(3-1)</x:f>
        <x:v>0</x:v>
      </x:c>
      <x:c r="AB376" s="10" t="n">
        <x:f>F376/1</x:f>
        <x:v>155.52</x:v>
      </x:c>
      <x:c r="AC376" s="10" t="n">
        <x:f>AB376/'Assumptions'!$AM$142</x:f>
        <x:v>3110.4</x:v>
      </x:c>
      <x:c r="AD376" s="10" t="n">
        <x:f>IF(AB376=0,0,T376/AB376)</x:f>
        <x:v>3.1318993218749998</x:v>
      </x:c>
      <x:c r="AE376" s="10" t="n">
        <x:f>AA376*'Assumptions'!$D$21</x:f>
        <x:v>0</x:v>
      </x:c>
    </x:row>
    <x:row r="377" ht="16" customHeight="1">
      <x:c r="A377" s="1"/>
      <x:c r="B377" s="1"/>
      <x:c r="C377" s="1" t="str">
        <x:v>DOT-114</x:v>
      </x:c>
      <x:c r="D377" s="10" t="str">
        <x:v>Learn Anglais</x:v>
      </x:c>
      <x:c r="E377" s="10" t="n">
        <x:v>3</x:v>
      </x:c>
      <x:c r="F377" s="21" t="n">
        <x:f>F249*(1+'Assumptions'!$L$143)</x:f>
        <x:v>238.04999999999995</x:v>
      </x:c>
      <x:c r="G377" s="21" t="n">
        <x:f>H249*'Assumptions'!$K$143</x:f>
        <x:v>62.99999999999999</x:v>
      </x:c>
      <x:c r="H377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377+G377,NA())</x:f>
        <x:v>301.04999999999995</x:v>
      </x:c>
      <x:c r="I377" s="22" t="n">
        <x:f>'Assumptions'!$H$143*IF('Assumptions'!$O$143=1,1,'Assumptions'!$D$10)*(1+'Assumptions'!$N$143)^(3-1)</x:f>
        <x:v>30.171599999999998</x:v>
      </x:c>
      <x:c r="J377" s="10" t="n">
        <x:f>H377*I377</x:f>
        <x:v>9083.160179999997</x:v>
      </x:c>
      <x:c r="K377" s="10" t="n">
        <x:f>J377*'Assumptions'!$T$143</x:f>
        <x:v>9083.160179999997</x:v>
      </x:c>
      <x:c r="L377" s="10" t="n">
        <x:f>K377*'Assumptions'!$U$143</x:f>
        <x:v>272.4948053999999</x:v>
      </x:c>
      <x:c r="M377" s="10" t="n">
        <x:f>K377*'Assumptions'!$V$143</x:f>
        <x:v>0</x:v>
      </x:c>
      <x:c r="N377" s="10" t="n">
        <x:f>K377-L377-M377</x:f>
        <x:v>8810.665374599997</x:v>
      </x:c>
      <x:c r="O377" s="10" t="n">
        <x:f>H377*'Assumptions'!$P$143*'Assumptions'!$Q$143*'Assumptions'!$D$11*(1+'Assumptions'!$D$13)^(3-1)</x:f>
        <x:v>1676.7657112499996</x:v>
      </x:c>
      <x:c r="P377" s="10" t="n">
        <x:f>H377*'Assumptions'!$R$143*'Assumptions'!$D$11*(1+'Assumptions'!$D$13)^(3-1)</x:f>
        <x:v>0</x:v>
      </x:c>
      <x:c r="Q377" s="10" t="n">
        <x:f>J377*'Assumptions'!$S$143</x:f>
        <x:v>0</x:v>
      </x:c>
      <x:c r="R377" s="10" t="n">
        <x:f>H377*'Assumptions'!$Y$143*'Assumptions'!$Z$143*'Assumptions'!$D$11*(1+'Assumptions'!$D$13)^(3-1)</x:f>
        <x:v>958.1518349999998</x:v>
      </x:c>
      <x:c r="S377" s="10" t="n">
        <x:f>IF(I377=0,0,J377*'Assumptions'!$W$143+H377*'Assumptions'!$X$143)</x:f>
        <x:v>353.7266452199999</x:v>
      </x:c>
      <x:c r="T377" s="10" t="n">
        <x:f>N377*'Assumptions'!$AA$143</x:f>
        <x:v>440.5332687299999</x:v>
      </x:c>
      <x:c r="U377" s="10" t="n">
        <x:f>'Assumptions'!$AE$143*'Assumptions'!$D$11*(1+'Assumptions'!$D$13)^(3-1)</x:f>
        <x:v>0</x:v>
      </x:c>
      <x:c r="V377" s="10" t="n">
        <x:f>0</x:f>
        <x:v>0</x:v>
      </x:c>
      <x:c r="W377" s="10" t="n">
        <x:f>H377*('Assumptions'!$P$143+'Assumptions'!$Y$143)</x:f>
        <x:v>75.26249999999999</x:v>
      </x:c>
      <x:c r="X377" s="10" t="n">
        <x:f>N377/12*'Assumptions'!$AF$143</x:f>
        <x:v>0</x:v>
      </x:c>
      <x:c r="Y377" s="10" t="n">
        <x:f>P377/12</x:f>
        <x:v>0</x:v>
      </x:c>
      <x:c r="Z377" s="10" t="n">
        <x:f>0</x:f>
        <x:v>0</x:v>
      </x:c>
      <x:c r="AA377" s="10" t="n">
        <x:f>Z377*'Assumptions'!$AC$143*'Assumptions'!$D$11*(1+'Assumptions'!$D$13)^(3-1)</x:f>
        <x:v>0</x:v>
      </x:c>
      <x:c r="AB377" s="10" t="n">
        <x:f>F377/1</x:f>
        <x:v>238.04999999999995</x:v>
      </x:c>
      <x:c r="AC377" s="10" t="n">
        <x:f>AB377/'Assumptions'!$AM$143</x:f>
        <x:v>4760.999999999999</x:v>
      </x:c>
      <x:c r="AD377" s="10" t="n">
        <x:f>IF(AB377=0,0,T377/AB377)</x:f>
        <x:v>1.850591341020794</x:v>
      </x:c>
      <x:c r="AE377" s="10" t="n">
        <x:f>AA377*'Assumptions'!$D$21</x:f>
        <x:v>0</x:v>
      </x:c>
    </x:row>
    <x:row r="378" ht="16" customHeight="1">
      <x:c r="A378" s="1"/>
      <x:c r="B378" s="1"/>
      <x:c r="C378" s="1" t="str">
        <x:v>DOT-115</x:v>
      </x:c>
      <x:c r="D378" s="10" t="str">
        <x:v>Learn Anglais</x:v>
      </x:c>
      <x:c r="E378" s="10" t="n">
        <x:v>3</x:v>
      </x:c>
      <x:c r="F378" s="21" t="n">
        <x:f>F250*(1+'Assumptions'!$L$144)</x:f>
        <x:v>103.68000000000002</x:v>
      </x:c>
      <x:c r="G378" s="21" t="n">
        <x:f>H250*'Assumptions'!$K$144</x:f>
        <x:v>119.28000000000002</x:v>
      </x:c>
      <x:c r="H378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378+G378,NA())</x:f>
        <x:v>222.96000000000004</x:v>
      </x:c>
      <x:c r="I378" s="22" t="n">
        <x:f>'Assumptions'!$H$144*IF('Assumptions'!$O$144=1,1,'Assumptions'!$D$10)*(1+'Assumptions'!$N$144)^(3-1)</x:f>
        <x:v>46.818</x:v>
      </x:c>
      <x:c r="J378" s="10" t="n">
        <x:f>H378*I378</x:f>
        <x:v>10438.541280000001</x:v>
      </x:c>
      <x:c r="K378" s="10" t="n">
        <x:f>J378*'Assumptions'!$T$144</x:f>
        <x:v>3479.5137600000003</x:v>
      </x:c>
      <x:c r="L378" s="10" t="n">
        <x:f>K378*'Assumptions'!$U$144</x:f>
        <x:v>104.3854128</x:v>
      </x:c>
      <x:c r="M378" s="10" t="n">
        <x:f>K378*'Assumptions'!$V$144</x:f>
        <x:v>0</x:v>
      </x:c>
      <x:c r="N378" s="10" t="n">
        <x:f>K378-L378-M378</x:f>
        <x:v>3375.1283472000005</x:v>
      </x:c>
      <x:c r="O378" s="10" t="n">
        <x:f>H378*'Assumptions'!$P$144*'Assumptions'!$Q$144*'Assumptions'!$D$11*(1+'Assumptions'!$D$13)^(3-1)</x:f>
        <x:v>1241.825886</x:v>
      </x:c>
      <x:c r="P378" s="10" t="n">
        <x:f>H378*'Assumptions'!$R$144*'Assumptions'!$D$11*(1+'Assumptions'!$D$13)^(3-1)</x:f>
        <x:v>0</x:v>
      </x:c>
      <x:c r="Q378" s="10" t="n">
        <x:f>J378*'Assumptions'!$S$144</x:f>
        <x:v>0</x:v>
      </x:c>
      <x:c r="R378" s="10" t="n">
        <x:f>H378*'Assumptions'!$Y$144*'Assumptions'!$Z$144*'Assumptions'!$D$11*(1+'Assumptions'!$D$13)^(3-1)</x:f>
        <x:v>1064.422188</x:v>
      </x:c>
      <x:c r="S378" s="10" t="n">
        <x:f>IF(I378=0,0,J378*'Assumptions'!$W$144+H378*'Assumptions'!$X$144)</x:f>
        <x:v>369.60569712000006</x:v>
      </x:c>
      <x:c r="T378" s="10" t="n">
        <x:f>N378*'Assumptions'!$AA$144</x:f>
        <x:v>168.75641736000003</x:v>
      </x:c>
      <x:c r="U378" s="10" t="n">
        <x:f>'Assumptions'!$AE$144*'Assumptions'!$D$11*(1+'Assumptions'!$D$13)^(3-1)</x:f>
        <x:v>0</x:v>
      </x:c>
      <x:c r="V378" s="10" t="n">
        <x:f>0</x:f>
        <x:v>0</x:v>
      </x:c>
      <x:c r="W378" s="10" t="n">
        <x:f>H378*('Assumptions'!$P$144+'Assumptions'!$Y$144)</x:f>
        <x:v>66.888</x:v>
      </x:c>
      <x:c r="X378" s="10" t="n">
        <x:f>N378/12*'Assumptions'!$AF$144</x:f>
        <x:v>0</x:v>
      </x:c>
      <x:c r="Y378" s="10" t="n">
        <x:f>P378/12</x:f>
        <x:v>0</x:v>
      </x:c>
      <x:c r="Z378" s="10" t="n">
        <x:f>0</x:f>
        <x:v>0</x:v>
      </x:c>
      <x:c r="AA378" s="10" t="n">
        <x:f>Z378*'Assumptions'!$AC$144*'Assumptions'!$D$11*(1+'Assumptions'!$D$13)^(3-1)</x:f>
        <x:v>0</x:v>
      </x:c>
      <x:c r="AB378" s="10" t="n">
        <x:f>F378/1</x:f>
        <x:v>103.68000000000002</x:v>
      </x:c>
      <x:c r="AC378" s="10" t="n">
        <x:f>AB378/'Assumptions'!$AM$144</x:f>
        <x:v>2073.6000000000004</x:v>
      </x:c>
      <x:c r="AD378" s="10" t="n">
        <x:f>IF(AB378=0,0,T378/AB378)</x:f>
        <x:v>1.6276660625</x:v>
      </x:c>
      <x:c r="AE378" s="10" t="n">
        <x:f>AA378*'Assumptions'!$D$21</x:f>
        <x:v>0</x:v>
      </x:c>
    </x:row>
    <x:row r="379" ht="16" customHeight="1">
      <x:c r="A379" s="1"/>
      <x:c r="B379" s="1"/>
      <x:c r="C379" s="1" t="str">
        <x:v>DOT-116</x:v>
      </x:c>
      <x:c r="D379" s="10" t="str">
        <x:v>Fiefé</x:v>
      </x:c>
      <x:c r="E379" s="10" t="n">
        <x:v>3</x:v>
      </x:c>
      <x:c r="F379" s="21" t="n">
        <x:f>F251*(1+'Assumptions'!$L$145)</x:f>
        <x:v>42.14784</x:v>
      </x:c>
      <x:c r="G379" s="21" t="n">
        <x:f>H251*'Assumptions'!$K$145</x:f>
        <x:v>13.449599999999998</x:v>
      </x:c>
      <x:c r="H379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379+G379,NA())</x:f>
        <x:v>55.59744</x:v>
      </x:c>
      <x:c r="I379" s="22" t="n">
        <x:f>'Assumptions'!$H$145*IF('Assumptions'!$O$145=1,1,'Assumptions'!$D$10)*(1+'Assumptions'!$N$145)^(3-1)</x:f>
        <x:v>468.18</x:v>
      </x:c>
      <x:c r="J379" s="10" t="n">
        <x:f>H379*I379</x:f>
        <x:v>26029.6094592</x:v>
      </x:c>
      <x:c r="K379" s="10" t="n">
        <x:f>J379*'Assumptions'!$T$145</x:f>
        <x:v>26029.6094592</x:v>
      </x:c>
      <x:c r="L379" s="10" t="n">
        <x:f>K379*'Assumptions'!$U$145</x:f>
        <x:v>780.888283776</x:v>
      </x:c>
      <x:c r="M379" s="10" t="n">
        <x:f>K379*'Assumptions'!$V$145</x:f>
        <x:v>520.5921891840001</x:v>
      </x:c>
      <x:c r="N379" s="10" t="n">
        <x:f>K379-L379-M379</x:f>
        <x:v>24728.12898624</x:v>
      </x:c>
      <x:c r="O379" s="10" t="n">
        <x:f>H379*'Assumptions'!$P$145*'Assumptions'!$Q$145*'Assumptions'!$D$11*(1+'Assumptions'!$D$13)^(3-1)</x:f>
        <x:v>1474.5831024</x:v>
      </x:c>
      <x:c r="P379" s="10" t="n">
        <x:f>H379*'Assumptions'!$R$145*'Assumptions'!$D$11*(1+'Assumptions'!$D$13)^(3-1)</x:f>
        <x:v>14745.831024</x:v>
      </x:c>
      <x:c r="Q379" s="10" t="n">
        <x:f>J379*'Assumptions'!$S$145</x:f>
        <x:v>0</x:v>
      </x:c>
      <x:c r="R379" s="10" t="n">
        <x:f>H379*'Assumptions'!$Y$145*'Assumptions'!$Z$145*'Assumptions'!$D$11*(1+'Assumptions'!$D$13)^(3-1)</x:f>
        <x:v>265.424958432</x:v>
      </x:c>
      <x:c r="S379" s="10" t="n">
        <x:f>IF(I379=0,0,J379*'Assumptions'!$W$145+H379*'Assumptions'!$X$145)</x:f>
        <x:v>771.5379063168</x:v>
      </x:c>
      <x:c r="T379" s="10" t="n">
        <x:f>N379*'Assumptions'!$AA$145</x:f>
        <x:v>1978.2503188992</x:v>
      </x:c>
      <x:c r="U379" s="10" t="n">
        <x:f>'Assumptions'!$AE$145*'Assumptions'!$D$11*(1+'Assumptions'!$D$13)^(3-1)</x:f>
        <x:v>0</x:v>
      </x:c>
      <x:c r="V379" s="10" t="n">
        <x:f>0</x:f>
        <x:v>0</x:v>
      </x:c>
      <x:c r="W379" s="10" t="n">
        <x:f>H379*('Assumptions'!$P$145+'Assumptions'!$Y$145)</x:f>
        <x:v>36.138336</x:v>
      </x:c>
      <x:c r="X379" s="10" t="n">
        <x:f>N379/12*'Assumptions'!$AF$145</x:f>
        <x:v>0</x:v>
      </x:c>
      <x:c r="Y379" s="10" t="n">
        <x:f>P379/12</x:f>
        <x:v>1228.819252</x:v>
      </x:c>
      <x:c r="Z379" s="10" t="n">
        <x:f>0</x:f>
        <x:v>0</x:v>
      </x:c>
      <x:c r="AA379" s="10" t="n">
        <x:f>Z379*'Assumptions'!$AC$145*'Assumptions'!$D$11*(1+'Assumptions'!$D$13)^(3-1)</x:f>
        <x:v>0</x:v>
      </x:c>
      <x:c r="AB379" s="10" t="n">
        <x:f>F379/1</x:f>
        <x:v>42.14784</x:v>
      </x:c>
      <x:c r="AC379" s="10" t="n">
        <x:f>AB379/'Assumptions'!$AM$145</x:f>
        <x:v>1404.928</x:v>
      </x:c>
      <x:c r="AD379" s="10" t="n">
        <x:f>IF(AB379=0,0,T379/AB379)</x:f>
        <x:v>46.9359834074344</x:v>
      </x:c>
      <x:c r="AE379" s="10" t="n">
        <x:f>AA379*'Assumptions'!$D$21</x:f>
        <x:v>0</x:v>
      </x:c>
    </x:row>
    <x:row r="380" ht="16" customHeight="1">
      <x:c r="A380" s="1"/>
      <x:c r="B380" s="1"/>
      <x:c r="C380" s="1" t="str">
        <x:v>DOT-117</x:v>
      </x:c>
      <x:c r="D380" s="10" t="str">
        <x:v>Fiefé</x:v>
      </x:c>
      <x:c r="E380" s="10" t="n">
        <x:v>3</x:v>
      </x:c>
      <x:c r="F380" s="21" t="n">
        <x:f>F252*(1+'Assumptions'!$L$146)</x:f>
        <x:v>52.68480000000001</x:v>
      </x:c>
      <x:c r="G380" s="21" t="n">
        <x:f>H252*'Assumptions'!$K$146</x:f>
        <x:v>16.812</x:v>
      </x:c>
      <x:c r="H380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380+G380,NA())</x:f>
        <x:v>69.49680000000001</x:v>
      </x:c>
      <x:c r="I380" s="22" t="n">
        <x:f>'Assumptions'!$H$146*IF('Assumptions'!$O$146=1,1,'Assumptions'!$D$10)*(1+'Assumptions'!$N$146)^(3-1)</x:f>
        <x:v>182.07</x:v>
      </x:c>
      <x:c r="J380" s="10" t="n">
        <x:f>H380*I380</x:f>
        <x:v>12653.282376000001</x:v>
      </x:c>
      <x:c r="K380" s="10" t="n">
        <x:f>J380*'Assumptions'!$T$146</x:f>
        <x:v>12653.282376000001</x:v>
      </x:c>
      <x:c r="L380" s="10" t="n">
        <x:f>K380*'Assumptions'!$U$146</x:f>
        <x:v>379.59847128</x:v>
      </x:c>
      <x:c r="M380" s="10" t="n">
        <x:f>K380*'Assumptions'!$V$146</x:f>
        <x:v>253.06564752000003</x:v>
      </x:c>
      <x:c r="N380" s="10" t="n">
        <x:f>K380-L380-M380</x:f>
        <x:v>12020.618257200002</x:v>
      </x:c>
      <x:c r="O380" s="10" t="n">
        <x:f>H380*'Assumptions'!$P$146*'Assumptions'!$Q$146*'Assumptions'!$D$11*(1+'Assumptions'!$D$13)^(3-1)</x:f>
        <x:v>829.4529951000001</x:v>
      </x:c>
      <x:c r="P380" s="10" t="n">
        <x:f>H380*'Assumptions'!$R$146*'Assumptions'!$D$11*(1+'Assumptions'!$D$13)^(3-1)</x:f>
        <x:v>5898.332409600001</x:v>
      </x:c>
      <x:c r="Q380" s="10" t="n">
        <x:f>J380*'Assumptions'!$S$146</x:f>
        <x:v>0</x:v>
      </x:c>
      <x:c r="R380" s="10" t="n">
        <x:f>H380*'Assumptions'!$Y$146*'Assumptions'!$Z$146*'Assumptions'!$D$11*(1+'Assumptions'!$D$13)^(3-1)</x:f>
        <x:v>331.78119804000005</x:v>
      </x:c>
      <x:c r="S380" s="10" t="n">
        <x:f>IF(I380=0,0,J380*'Assumptions'!$W$146+H380*'Assumptions'!$X$146)</x:f>
        <x:v>387.7942289040001</x:v>
      </x:c>
      <x:c r="T380" s="10" t="n">
        <x:f>N380*'Assumptions'!$AA$146</x:f>
        <x:v>961.6494605760001</x:v>
      </x:c>
      <x:c r="U380" s="10" t="n">
        <x:f>'Assumptions'!$AE$146*'Assumptions'!$D$11*(1+'Assumptions'!$D$13)^(3-1)</x:f>
        <x:v>0</x:v>
      </x:c>
      <x:c r="V380" s="10" t="n">
        <x:f>0</x:f>
        <x:v>0</x:v>
      </x:c>
      <x:c r="W380" s="10" t="n">
        <x:f>H380*('Assumptions'!$P$146+'Assumptions'!$Y$146)</x:f>
        <x:v>27.798720000000003</x:v>
      </x:c>
      <x:c r="X380" s="10" t="n">
        <x:f>N380/12*'Assumptions'!$AF$146</x:f>
        <x:v>0</x:v>
      </x:c>
      <x:c r="Y380" s="10" t="n">
        <x:f>P380/12</x:f>
        <x:v>491.52770080000005</x:v>
      </x:c>
      <x:c r="Z380" s="10" t="n">
        <x:f>0</x:f>
        <x:v>0</x:v>
      </x:c>
      <x:c r="AA380" s="10" t="n">
        <x:f>Z380*'Assumptions'!$AC$146*'Assumptions'!$D$11*(1+'Assumptions'!$D$13)^(3-1)</x:f>
        <x:v>0</x:v>
      </x:c>
      <x:c r="AB380" s="10" t="n">
        <x:f>F380/1</x:f>
        <x:v>52.68480000000001</x:v>
      </x:c>
      <x:c r="AC380" s="10" t="n">
        <x:f>AB380/'Assumptions'!$AM$146</x:f>
        <x:v>1756.1600000000003</x:v>
      </x:c>
      <x:c r="AD380" s="10" t="n">
        <x:f>IF(AB380=0,0,T380/AB380)</x:f>
        <x:v>18.25288243622449</x:v>
      </x:c>
      <x:c r="AE380" s="10" t="n">
        <x:f>AA380*'Assumptions'!$D$21</x:f>
        <x:v>0</x:v>
      </x:c>
    </x:row>
    <x:row r="381" ht="16" customHeight="1">
      <x:c r="A381" s="1"/>
      <x:c r="B381" s="1"/>
      <x:c r="C381" s="1" t="str">
        <x:v>DOT-118</x:v>
      </x:c>
      <x:c r="D381" s="10" t="str">
        <x:v>Fiefé Design</x:v>
      </x:c>
      <x:c r="E381" s="10" t="n">
        <x:v>3</x:v>
      </x:c>
      <x:c r="F381" s="21" t="n">
        <x:f>F253*(1+'Assumptions'!$L$147)</x:f>
        <x:v>7.024640000000001</x:v>
      </x:c>
      <x:c r="G381" s="21" t="n">
        <x:f>H253*'Assumptions'!$K$147</x:f>
        <x:v>2.2416</x:v>
      </x:c>
      <x:c r="H381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381+G381,NA())</x:f>
        <x:v>9.26624</x:v>
      </x:c>
      <x:c r="I381" s="22" t="n">
        <x:f>'Assumptions'!$H$147*IF('Assumptions'!$O$147=1,1,'Assumptions'!$D$10)*(1+'Assumptions'!$N$147)^(3-1)</x:f>
        <x:v>2601</x:v>
      </x:c>
      <x:c r="J381" s="10" t="n">
        <x:f>H381*I381</x:f>
        <x:v>24101.49024</x:v>
      </x:c>
      <x:c r="K381" s="10" t="n">
        <x:f>J381*'Assumptions'!$T$147</x:f>
        <x:v>24101.49024</x:v>
      </x:c>
      <x:c r="L381" s="10" t="n">
        <x:f>K381*'Assumptions'!$U$147</x:f>
        <x:v>723.0447072</x:v>
      </x:c>
      <x:c r="M381" s="10" t="n">
        <x:f>K381*'Assumptions'!$V$147</x:f>
        <x:v>482.02980479999997</x:v>
      </x:c>
      <x:c r="N381" s="10" t="n">
        <x:f>K381-L381-M381</x:f>
        <x:v>22896.415728</x:v>
      </x:c>
      <x:c r="O381" s="10" t="n">
        <x:f>H381*'Assumptions'!$P$147*'Assumptions'!$Q$147*'Assumptions'!$D$11*(1+'Assumptions'!$D$13)^(3-1)</x:f>
        <x:v>4718.665927679999</x:v>
      </x:c>
      <x:c r="P381" s="10" t="n">
        <x:f>H381*'Assumptions'!$R$147*'Assumptions'!$D$11*(1+'Assumptions'!$D$13)^(3-1)</x:f>
        <x:v>8847.4986144</x:v>
      </x:c>
      <x:c r="Q381" s="10" t="n">
        <x:f>J381*'Assumptions'!$S$147</x:f>
        <x:v>0</x:v>
      </x:c>
      <x:c r="R381" s="10" t="n">
        <x:f>H381*'Assumptions'!$Y$147*'Assumptions'!$Z$147*'Assumptions'!$D$11*(1+'Assumptions'!$D$13)^(3-1)</x:f>
        <x:v>44.23749307199999</x:v>
      </x:c>
      <x:c r="S381" s="10" t="n">
        <x:f>IF(I381=0,0,J381*'Assumptions'!$W$147+H381*'Assumptions'!$X$147)</x:f>
        <x:v>701.7230889599999</x:v>
      </x:c>
      <x:c r="T381" s="10" t="n">
        <x:f>N381*'Assumptions'!$AA$147</x:f>
        <x:v>1831.71325824</x:v>
      </x:c>
      <x:c r="U381" s="10" t="n">
        <x:f>'Assumptions'!$AE$147*'Assumptions'!$D$11*(1+'Assumptions'!$D$13)^(3-1)</x:f>
        <x:v>0</x:v>
      </x:c>
      <x:c r="V381" s="10" t="n">
        <x:f>0</x:f>
        <x:v>0</x:v>
      </x:c>
      <x:c r="W381" s="10" t="n">
        <x:f>H381*('Assumptions'!$P$147+'Assumptions'!$Y$147)</x:f>
        <x:v>75.519856</x:v>
      </x:c>
      <x:c r="X381" s="10" t="n">
        <x:f>N381/12*'Assumptions'!$AF$147</x:f>
        <x:v>0</x:v>
      </x:c>
      <x:c r="Y381" s="10" t="n">
        <x:f>P381/12</x:f>
        <x:v>737.2915512</x:v>
      </x:c>
      <x:c r="Z381" s="10" t="n">
        <x:f>0</x:f>
        <x:v>0</x:v>
      </x:c>
      <x:c r="AA381" s="10" t="n">
        <x:f>Z381*'Assumptions'!$AC$147*'Assumptions'!$D$11*(1+'Assumptions'!$D$13)^(3-1)</x:f>
        <x:v>0</x:v>
      </x:c>
      <x:c r="AB381" s="10" t="n">
        <x:f>F381/1</x:f>
        <x:v>7.024640000000001</x:v>
      </x:c>
      <x:c r="AC381" s="10" t="n">
        <x:f>AB381/'Assumptions'!$AM$147</x:f>
        <x:v>234.15466666666669</x:v>
      </x:c>
      <x:c r="AD381" s="10" t="n">
        <x:f>IF(AB381=0,0,T381/AB381)</x:f>
        <x:v>260.75546337463555</x:v>
      </x:c>
      <x:c r="AE381" s="10" t="n">
        <x:f>AA381*'Assumptions'!$D$21</x:f>
        <x:v>0</x:v>
      </x:c>
    </x:row>
    <x:row r="382" ht="16" customHeight="1">
      <x:c r="A382" s="1"/>
      <x:c r="B382" s="1"/>
      <x:c r="C382" s="1" t="str">
        <x:v>DOT-119</x:v>
      </x:c>
      <x:c r="D382" s="10" t="str">
        <x:v>OsezArt</x:v>
      </x:c>
      <x:c r="E382" s="10" t="n">
        <x:v>3</x:v>
      </x:c>
      <x:c r="F382" s="21" t="n">
        <x:f>F254*(1+'Assumptions'!$L$148)</x:f>
        <x:v>5.184</x:v>
      </x:c>
      <x:c r="G382" s="21" t="n">
        <x:f>H254*'Assumptions'!$K$148</x:f>
        <x:v>5.9639999999999995</x:v>
      </x:c>
      <x:c r="H382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382+G382,NA())</x:f>
        <x:v>11.148</x:v>
      </x:c>
      <x:c r="I382" s="22" t="n">
        <x:f>'Assumptions'!$H$148*IF('Assumptions'!$O$148=1,1,'Assumptions'!$D$10)*(1+'Assumptions'!$N$148)^(3-1)</x:f>
        <x:v>5202</x:v>
      </x:c>
      <x:c r="J382" s="10" t="n">
        <x:f>H382*I382</x:f>
        <x:v>57991.896</x:v>
      </x:c>
      <x:c r="K382" s="10" t="n">
        <x:f>J382*'Assumptions'!$T$148</x:f>
        <x:v>11598.379200000001</x:v>
      </x:c>
      <x:c r="L382" s="10" t="n">
        <x:f>K382*'Assumptions'!$U$148</x:f>
        <x:v>347.95137600000004</x:v>
      </x:c>
      <x:c r="M382" s="10" t="n">
        <x:f>K382*'Assumptions'!$V$148</x:f>
        <x:v>0</x:v>
      </x:c>
      <x:c r="N382" s="10" t="n">
        <x:f>K382-L382-M382</x:f>
        <x:v>11250.427824</x:v>
      </x:c>
      <x:c r="O382" s="10" t="n">
        <x:f>H382*'Assumptions'!$P$148*'Assumptions'!$Q$148*'Assumptions'!$D$11*(1+'Assumptions'!$D$13)^(3-1)</x:f>
        <x:v>2838.459168</x:v>
      </x:c>
      <x:c r="P382" s="10" t="n">
        <x:f>H382*'Assumptions'!$R$148*'Assumptions'!$D$11*(1+'Assumptions'!$D$13)^(3-1)</x:f>
        <x:v>0</x:v>
      </x:c>
      <x:c r="Q382" s="10" t="n">
        <x:f>J382*'Assumptions'!$S$148</x:f>
        <x:v>0</x:v>
      </x:c>
      <x:c r="R382" s="10" t="n">
        <x:f>H382*'Assumptions'!$Y$148*'Assumptions'!$Z$148*'Assumptions'!$D$11*(1+'Assumptions'!$D$13)^(3-1)</x:f>
        <x:v>53.221109399999996</x:v>
      </x:c>
      <x:c r="S382" s="10" t="n">
        <x:f>IF(I382=0,0,J382*'Assumptions'!$W$148+H382*'Assumptions'!$X$148)</x:f>
        <x:v>1685.109384</x:v>
      </x:c>
      <x:c r="T382" s="10" t="n">
        <x:f>N382*'Assumptions'!$AA$148</x:f>
        <x:v>562.5213912</x:v>
      </x:c>
      <x:c r="U382" s="10" t="n">
        <x:f>'Assumptions'!$AE$148*'Assumptions'!$D$11*(1+'Assumptions'!$D$13)^(3-1)</x:f>
        <x:v>0</x:v>
      </x:c>
      <x:c r="V382" s="10" t="n">
        <x:f>0</x:f>
        <x:v>0</x:v>
      </x:c>
      <x:c r="W382" s="10" t="n">
        <x:f>H382*('Assumptions'!$P$148+'Assumptions'!$Y$148)</x:f>
        <x:v>46.2642</x:v>
      </x:c>
      <x:c r="X382" s="10" t="n">
        <x:f>N382/12*'Assumptions'!$AF$148</x:f>
        <x:v>0</x:v>
      </x:c>
      <x:c r="Y382" s="10" t="n">
        <x:f>P382/12</x:f>
        <x:v>0</x:v>
      </x:c>
      <x:c r="Z382" s="10" t="n">
        <x:f>0</x:f>
        <x:v>0</x:v>
      </x:c>
      <x:c r="AA382" s="10" t="n">
        <x:f>Z382*'Assumptions'!$AC$148*'Assumptions'!$D$11*(1+'Assumptions'!$D$13)^(3-1)</x:f>
        <x:v>0</x:v>
      </x:c>
      <x:c r="AB382" s="10" t="n">
        <x:f>F382/1</x:f>
        <x:v>5.184</x:v>
      </x:c>
      <x:c r="AC382" s="10" t="n">
        <x:f>AB382/'Assumptions'!$AM$148</x:f>
        <x:v>103.67999999999999</x:v>
      </x:c>
      <x:c r="AD382" s="10" t="n">
        <x:f>IF(AB382=0,0,T382/AB382)</x:f>
        <x:v>108.51107083333333</x:v>
      </x:c>
      <x:c r="AE382" s="10" t="n">
        <x:f>AA382*'Assumptions'!$D$21</x:f>
        <x:v>0</x:v>
      </x:c>
    </x:row>
    <x:row r="383" ht="16" customHeight="1">
      <x:c r="A383" s="1"/>
      <x:c r="B383" s="1"/>
      <x:c r="C383" s="1" t="str">
        <x:v>DOT-120</x:v>
      </x:c>
      <x:c r="D383" s="10" t="str">
        <x:v>OsezArt</x:v>
      </x:c>
      <x:c r="E383" s="10" t="n">
        <x:v>3</x:v>
      </x:c>
      <x:c r="F383" s="21" t="n">
        <x:f>F255*(1+'Assumptions'!$L$149)</x:f>
        <x:v>3.630000000000001</x:v>
      </x:c>
      <x:c r="G383" s="21" t="n">
        <x:f>H255*'Assumptions'!$K$149</x:f>
        <x:v>2.7750000000000004</x:v>
      </x:c>
      <x:c r="H383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383+G383,NA())</x:f>
        <x:v>6.405000000000001</x:v>
      </x:c>
      <x:c r="I383" s="22" t="n">
        <x:f>'Assumptions'!$H$149*IF('Assumptions'!$O$149=1,1,'Assumptions'!$D$10)*(1+'Assumptions'!$N$149)^(3-1)</x:f>
        <x:v>5202</x:v>
      </x:c>
      <x:c r="J383" s="10" t="n">
        <x:f>H383*I383</x:f>
        <x:v>33318.810000000005</x:v>
      </x:c>
      <x:c r="K383" s="10" t="n">
        <x:f>J383*'Assumptions'!$T$149</x:f>
        <x:v>33318.810000000005</x:v>
      </x:c>
      <x:c r="L383" s="10" t="n">
        <x:f>K383*'Assumptions'!$U$149</x:f>
        <x:v>999.5643000000001</x:v>
      </x:c>
      <x:c r="M383" s="10" t="n">
        <x:f>K383*'Assumptions'!$V$149</x:f>
        <x:v>0</x:v>
      </x:c>
      <x:c r="N383" s="10" t="n">
        <x:f>K383-L383-M383</x:f>
        <x:v>32319.245700000003</x:v>
      </x:c>
      <x:c r="O383" s="10" t="n">
        <x:f>H383*'Assumptions'!$P$149*'Assumptions'!$Q$149*'Assumptions'!$D$11*(1+'Assumptions'!$D$13)^(3-1)</x:f>
        <x:v>13250.375775000002</x:v>
      </x:c>
      <x:c r="P383" s="10" t="n">
        <x:f>H383*'Assumptions'!$R$149*'Assumptions'!$D$11*(1+'Assumptions'!$D$13)^(3-1)</x:f>
        <x:v>1698.766125</x:v>
      </x:c>
      <x:c r="Q383" s="10" t="n">
        <x:f>J383*'Assumptions'!$S$149</x:f>
        <x:v>0</x:v>
      </x:c>
      <x:c r="R383" s="10" t="n">
        <x:f>H383*'Assumptions'!$Y$149*'Assumptions'!$Z$149*'Assumptions'!$D$11*(1+'Assumptions'!$D$13)^(3-1)</x:f>
        <x:v>50.96298375000001</x:v>
      </x:c>
      <x:c r="S383" s="10" t="n">
        <x:f>IF(I383=0,0,J383*'Assumptions'!$W$149+H383*'Assumptions'!$X$149)</x:f>
        <x:v>968.1669900000003</x:v>
      </x:c>
      <x:c r="T383" s="10" t="n">
        <x:f>N383*'Assumptions'!$AA$149</x:f>
        <x:v>1292.7698280000002</x:v>
      </x:c>
      <x:c r="U383" s="10" t="n">
        <x:f>'Assumptions'!$AE$149*'Assumptions'!$D$11*(1+'Assumptions'!$D$13)^(3-1)</x:f>
        <x:v>0</x:v>
      </x:c>
      <x:c r="V383" s="10" t="n">
        <x:f>0</x:f>
        <x:v>0</x:v>
      </x:c>
      <x:c r="W383" s="10" t="n">
        <x:f>H383*('Assumptions'!$P$149+'Assumptions'!$Y$149)</x:f>
        <x:v>193.75125000000003</x:v>
      </x:c>
      <x:c r="X383" s="10" t="n">
        <x:f>N383/12*'Assumptions'!$AF$149</x:f>
        <x:v>2693.2704750000003</x:v>
      </x:c>
      <x:c r="Y383" s="10" t="n">
        <x:f>P383/12</x:f>
        <x:v>141.56384375000002</x:v>
      </x:c>
      <x:c r="Z383" s="10" t="n">
        <x:f>0</x:f>
        <x:v>0</x:v>
      </x:c>
      <x:c r="AA383" s="10" t="n">
        <x:f>Z383*'Assumptions'!$AC$149*'Assumptions'!$D$11*(1+'Assumptions'!$D$13)^(3-1)</x:f>
        <x:v>0</x:v>
      </x:c>
      <x:c r="AB383" s="10" t="n">
        <x:f>F383/1</x:f>
        <x:v>3.630000000000001</x:v>
      </x:c>
      <x:c r="AC383" s="10" t="n">
        <x:f>AB383/'Assumptions'!$AM$149</x:f>
        <x:v>18.150000000000002</x:v>
      </x:c>
      <x:c r="AD383" s="10" t="n">
        <x:f>IF(AB383=0,0,T383/AB383)</x:f>
        <x:v>356.1349388429752</x:v>
      </x:c>
      <x:c r="AE383" s="10" t="n">
        <x:f>AA383*'Assumptions'!$D$21</x:f>
        <x:v>0</x:v>
      </x:c>
    </x:row>
    <x:row r="384" ht="16" customHeight="1">
      <x:c r="A384" s="1"/>
      <x:c r="B384" s="1"/>
      <x:c r="C384" s="1" t="str">
        <x:v>DOT-121</x:v>
      </x:c>
      <x:c r="D384" s="10" t="str">
        <x:v>OsezArt</x:v>
      </x:c>
      <x:c r="E384" s="10" t="n">
        <x:v>3</x:v>
      </x:c>
      <x:c r="F384" s="21" t="n">
        <x:f>F256*(1+'Assumptions'!$L$150)</x:f>
        <x:v>3.630000000000001</x:v>
      </x:c>
      <x:c r="G384" s="21" t="n">
        <x:f>H256*'Assumptions'!$K$150</x:f>
        <x:v>2.4000000000000004</x:v>
      </x:c>
      <x:c r="H384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384+G384,NA())</x:f>
        <x:v>6.030000000000001</x:v>
      </x:c>
      <x:c r="I384" s="22" t="n">
        <x:f>'Assumptions'!$H$150*IF('Assumptions'!$O$150=1,1,'Assumptions'!$D$10)*(1+'Assumptions'!$N$150)^(3-1)</x:f>
        <x:v>3121.2</x:v>
      </x:c>
      <x:c r="J384" s="10" t="n">
        <x:f>H384*I384</x:f>
        <x:v>18820.836000000003</x:v>
      </x:c>
      <x:c r="K384" s="10" t="n">
        <x:f>J384*'Assumptions'!$T$150</x:f>
        <x:v>18820.836000000003</x:v>
      </x:c>
      <x:c r="L384" s="10" t="n">
        <x:f>K384*'Assumptions'!$U$150</x:f>
        <x:v>564.62508</x:v>
      </x:c>
      <x:c r="M384" s="10" t="n">
        <x:f>K384*'Assumptions'!$V$150</x:f>
        <x:v>0</x:v>
      </x:c>
      <x:c r="N384" s="10" t="n">
        <x:f>K384-L384-M384</x:f>
        <x:v>18256.21092</x:v>
      </x:c>
      <x:c r="O384" s="10" t="n">
        <x:f>H384*'Assumptions'!$P$150*'Assumptions'!$Q$150*'Assumptions'!$D$11*(1+'Assumptions'!$D$13)^(3-1)</x:f>
        <x:v>7484.755590000001</x:v>
      </x:c>
      <x:c r="P384" s="10" t="n">
        <x:f>H384*'Assumptions'!$R$150*'Assumptions'!$D$11*(1+'Assumptions'!$D$13)^(3-1)</x:f>
        <x:v>1279.4454000000003</x:v>
      </x:c>
      <x:c r="Q384" s="10" t="n">
        <x:f>J384*'Assumptions'!$S$150</x:f>
        <x:v>0</x:v>
      </x:c>
      <x:c r="R384" s="10" t="n">
        <x:f>H384*'Assumptions'!$Y$150*'Assumptions'!$Z$150*'Assumptions'!$D$11*(1+'Assumptions'!$D$13)^(3-1)</x:f>
        <x:v>47.97920250000001</x:v>
      </x:c>
      <x:c r="S384" s="10" t="n">
        <x:f>IF(I384=0,0,J384*'Assumptions'!$W$150+H384*'Assumptions'!$X$150)</x:f>
        <x:v>547.6132440000001</x:v>
      </x:c>
      <x:c r="T384" s="10" t="n">
        <x:f>N384*'Assumptions'!$AA$150</x:f>
        <x:v>730.2484368</x:v>
      </x:c>
      <x:c r="U384" s="10" t="n">
        <x:f>'Assumptions'!$AE$150*'Assumptions'!$D$11*(1+'Assumptions'!$D$13)^(3-1)</x:f>
        <x:v>0</x:v>
      </x:c>
      <x:c r="V384" s="10" t="n">
        <x:f>0</x:f>
        <x:v>0</x:v>
      </x:c>
      <x:c r="W384" s="10" t="n">
        <x:f>H384*('Assumptions'!$P$150+'Assumptions'!$Y$150)</x:f>
        <x:v>110.04750000000001</x:v>
      </x:c>
      <x:c r="X384" s="10" t="n">
        <x:f>N384/12*'Assumptions'!$AF$150</x:f>
        <x:v>1521.35091</x:v>
      </x:c>
      <x:c r="Y384" s="10" t="n">
        <x:f>P384/12</x:f>
        <x:v>106.62045000000002</x:v>
      </x:c>
      <x:c r="Z384" s="10" t="n">
        <x:f>0</x:f>
        <x:v>0</x:v>
      </x:c>
      <x:c r="AA384" s="10" t="n">
        <x:f>Z384*'Assumptions'!$AC$150*'Assumptions'!$D$11*(1+'Assumptions'!$D$13)^(3-1)</x:f>
        <x:v>0</x:v>
      </x:c>
      <x:c r="AB384" s="10" t="n">
        <x:f>F384/1</x:f>
        <x:v>3.630000000000001</x:v>
      </x:c>
      <x:c r="AC384" s="10" t="n">
        <x:f>AB384/'Assumptions'!$AM$150</x:f>
        <x:v>18.150000000000002</x:v>
      </x:c>
      <x:c r="AD384" s="10" t="n">
        <x:f>IF(AB384=0,0,T384/AB384)</x:f>
        <x:v>201.17036826446278</x:v>
      </x:c>
      <x:c r="AE384" s="10" t="n">
        <x:f>AA384*'Assumptions'!$D$21</x:f>
        <x:v>0</x:v>
      </x:c>
    </x:row>
    <x:row r="385" ht="16" customHeight="1">
      <x:c r="A385" s="1"/>
      <x:c r="B385" s="1"/>
      <x:c r="C385" s="1" t="str">
        <x:v>DOT-122</x:v>
      </x:c>
      <x:c r="D385" s="10" t="str">
        <x:v>OsezArt</x:v>
      </x:c>
      <x:c r="E385" s="10" t="n">
        <x:v>3</x:v>
      </x:c>
      <x:c r="F385" s="21" t="n">
        <x:f>F257*(1+'Assumptions'!$L$151)</x:f>
        <x:v>1.2100000000000002</x:v>
      </x:c>
      <x:c r="G385" s="21" t="n">
        <x:f>H257*'Assumptions'!$K$151</x:f>
        <x:v>0.8</x:v>
      </x:c>
      <x:c r="H385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385+G385,NA())</x:f>
        <x:v>2.0100000000000002</x:v>
      </x:c>
      <x:c r="I385" s="22" t="n">
        <x:f>'Assumptions'!$H$151*IF('Assumptions'!$O$151=1,1,'Assumptions'!$D$10)*(1+'Assumptions'!$N$151)^(3-1)</x:f>
        <x:v>10404</x:v>
      </x:c>
      <x:c r="J385" s="10" t="n">
        <x:f>H385*I385</x:f>
        <x:v>20912.04</x:v>
      </x:c>
      <x:c r="K385" s="10" t="n">
        <x:f>J385*'Assumptions'!$T$151</x:f>
        <x:v>20912.04</x:v>
      </x:c>
      <x:c r="L385" s="10" t="n">
        <x:f>K385*'Assumptions'!$U$151</x:f>
        <x:v>627.3612</x:v>
      </x:c>
      <x:c r="M385" s="10" t="n">
        <x:f>K385*'Assumptions'!$V$151</x:f>
        <x:v>0</x:v>
      </x:c>
      <x:c r="N385" s="10" t="n">
        <x:f>K385-L385-M385</x:f>
        <x:v>20284.6788</x:v>
      </x:c>
      <x:c r="O385" s="10" t="n">
        <x:f>H385*'Assumptions'!$P$151*'Assumptions'!$Q$151*'Assumptions'!$D$11*(1+'Assumptions'!$D$13)^(3-1)</x:f>
        <x:v>8316.3951</x:v>
      </x:c>
      <x:c r="P385" s="10" t="n">
        <x:f>H385*'Assumptions'!$R$151*'Assumptions'!$D$11*(1+'Assumptions'!$D$13)^(3-1)</x:f>
        <x:v>1066.2045</x:v>
      </x:c>
      <x:c r="Q385" s="10" t="n">
        <x:f>J385*'Assumptions'!$S$151</x:f>
        <x:v>0</x:v>
      </x:c>
      <x:c r="R385" s="10" t="n">
        <x:f>H385*'Assumptions'!$Y$151*'Assumptions'!$Z$151*'Assumptions'!$D$11*(1+'Assumptions'!$D$13)^(3-1)</x:f>
        <x:v>15.9930675</x:v>
      </x:c>
      <x:c r="S385" s="10" t="n">
        <x:f>IF(I385=0,0,J385*'Assumptions'!$W$151+H385*'Assumptions'!$X$151)</x:f>
        <x:v>607.05216</x:v>
      </x:c>
      <x:c r="T385" s="10" t="n">
        <x:f>N385*'Assumptions'!$AA$151</x:f>
        <x:v>811.3871520000001</x:v>
      </x:c>
      <x:c r="U385" s="10" t="n">
        <x:f>'Assumptions'!$AE$151*'Assumptions'!$D$11*(1+'Assumptions'!$D$13)^(3-1)</x:f>
        <x:v>0</x:v>
      </x:c>
      <x:c r="V385" s="10" t="n">
        <x:f>0</x:f>
        <x:v>0</x:v>
      </x:c>
      <x:c r="W385" s="10" t="n">
        <x:f>H385*('Assumptions'!$P$151+'Assumptions'!$Y$151)</x:f>
        <x:v>121.10250000000002</x:v>
      </x:c>
      <x:c r="X385" s="10" t="n">
        <x:f>N385/12*'Assumptions'!$AF$151</x:f>
        <x:v>1690.3899000000001</x:v>
      </x:c>
      <x:c r="Y385" s="10" t="n">
        <x:f>P385/12</x:f>
        <x:v>88.850375</x:v>
      </x:c>
      <x:c r="Z385" s="10" t="n">
        <x:f>0</x:f>
        <x:v>0</x:v>
      </x:c>
      <x:c r="AA385" s="10" t="n">
        <x:f>Z385*'Assumptions'!$AC$151*'Assumptions'!$D$11*(1+'Assumptions'!$D$13)^(3-1)</x:f>
        <x:v>0</x:v>
      </x:c>
      <x:c r="AB385" s="10" t="n">
        <x:f>F385/1</x:f>
        <x:v>1.2100000000000002</x:v>
      </x:c>
      <x:c r="AC385" s="10" t="n">
        <x:f>AB385/'Assumptions'!$AM$151</x:f>
        <x:v>6.050000000000001</x:v>
      </x:c>
      <x:c r="AD385" s="10" t="n">
        <x:f>IF(AB385=0,0,T385/AB385)</x:f>
        <x:v>670.567894214876</x:v>
      </x:c>
      <x:c r="AE385" s="10" t="n">
        <x:f>AA385*'Assumptions'!$D$21</x:f>
        <x:v>0</x:v>
      </x:c>
    </x:row>
    <x:row r="386" ht="16" customHeight="1">
      <x:c r="A386" s="1"/>
      <x:c r="B386" s="1"/>
      <x:c r="C386" s="1" t="str">
        <x:v>DOT-123</x:v>
      </x:c>
      <x:c r="D386" s="10" t="str">
        <x:v>FinBot research</x:v>
      </x:c>
      <x:c r="E386" s="10" t="n">
        <x:v>3</x:v>
      </x:c>
      <x:c r="F386" s="21" t="n">
        <x:f>F258*(1+'Assumptions'!$L$152)</x:f>
        <x:v>119.02499999999998</x:v>
      </x:c>
      <x:c r="G386" s="21" t="n">
        <x:f>H258*'Assumptions'!$K$152</x:f>
        <x:v>29.624999999999996</x:v>
      </x:c>
      <x:c r="H386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386+G386,NA())</x:f>
        <x:v>148.64999999999998</x:v>
      </x:c>
      <x:c r="I386" s="22" t="n">
        <x:f>'Assumptions'!$H$152*IF('Assumptions'!$O$152=1,1,'Assumptions'!$D$10)*(1+'Assumptions'!$N$152)^(3-1)</x:f>
        <x:v>30.171599999999998</x:v>
      </x:c>
      <x:c r="J386" s="10" t="n">
        <x:f>H386*I386</x:f>
        <x:v>4485.008339999999</x:v>
      </x:c>
      <x:c r="K386" s="10" t="n">
        <x:f>J386*'Assumptions'!$T$152</x:f>
        <x:v>4485.008339999999</x:v>
      </x:c>
      <x:c r="L386" s="10" t="n">
        <x:f>K386*'Assumptions'!$U$152</x:f>
        <x:v>134.55025019999997</x:v>
      </x:c>
      <x:c r="M386" s="10" t="n">
        <x:f>K386*'Assumptions'!$V$152</x:f>
        <x:v>0</x:v>
      </x:c>
      <x:c r="N386" s="10" t="n">
        <x:f>K386-L386-M386</x:f>
        <x:v>4350.4580897999995</x:v>
      </x:c>
      <x:c r="O386" s="10" t="n">
        <x:f>H386*'Assumptions'!$P$152*'Assumptions'!$Q$152*'Assumptions'!$D$11*(1+'Assumptions'!$D$13)^(3-1)</x:f>
        <x:v>1419.3250649999998</x:v>
      </x:c>
      <x:c r="P386" s="10" t="n">
        <x:f>H386*'Assumptions'!$R$152*'Assumptions'!$D$11*(1+'Assumptions'!$D$13)^(3-1)</x:f>
        <x:v>0</x:v>
      </x:c>
      <x:c r="Q386" s="10" t="n">
        <x:f>J386*'Assumptions'!$S$152</x:f>
        <x:v>0</x:v>
      </x:c>
      <x:c r="R386" s="10" t="n">
        <x:f>H386*'Assumptions'!$Y$152*'Assumptions'!$Z$152*'Assumptions'!$D$11*(1+'Assumptions'!$D$13)^(3-1)</x:f>
        <x:v>473.1083549999999</x:v>
      </x:c>
      <x:c r="S386" s="10" t="n">
        <x:f>IF(I386=0,0,J386*'Assumptions'!$W$152+H386*'Assumptions'!$X$152)</x:f>
        <x:v>174.66024185999999</x:v>
      </x:c>
      <x:c r="T386" s="10" t="n">
        <x:f>N386*'Assumptions'!$AA$152</x:f>
        <x:v>217.52290448999997</x:v>
      </x:c>
      <x:c r="U386" s="10" t="n">
        <x:f>'Assumptions'!$AE$152*'Assumptions'!$D$11*(1+'Assumptions'!$D$13)^(3-1)</x:f>
        <x:v>254.61599999999999</x:v>
      </x:c>
      <x:c r="V386" s="10" t="n">
        <x:f>0</x:f>
        <x:v>0</x:v>
      </x:c>
      <x:c r="W386" s="10" t="n">
        <x:f>H386*('Assumptions'!$P$152+'Assumptions'!$Y$152)</x:f>
        <x:v>44.595</x:v>
      </x:c>
      <x:c r="X386" s="10" t="n">
        <x:f>N386/12*'Assumptions'!$AF$152</x:f>
        <x:v>0</x:v>
      </x:c>
      <x:c r="Y386" s="10" t="n">
        <x:f>P386/12</x:f>
        <x:v>0</x:v>
      </x:c>
      <x:c r="Z386" s="10" t="n">
        <x:f>0</x:f>
        <x:v>0</x:v>
      </x:c>
      <x:c r="AA386" s="10" t="n">
        <x:f>Z386*'Assumptions'!$AC$152*'Assumptions'!$D$11*(1+'Assumptions'!$D$13)^(3-1)</x:f>
        <x:v>0</x:v>
      </x:c>
      <x:c r="AB386" s="10" t="n">
        <x:f>F386/12</x:f>
        <x:v>9.918749999999998</x:v>
      </x:c>
      <x:c r="AC386" s="10" t="n">
        <x:f>AB386/'Assumptions'!$AM$152</x:f>
        <x:v>198.37499999999994</x:v>
      </x:c>
      <x:c r="AD386" s="10" t="n">
        <x:f>IF(AB386=0,0,T386/AB386)</x:f>
        <x:v>21.930475562948963</x:v>
      </x:c>
      <x:c r="AE386" s="10" t="n">
        <x:f>AA386*'Assumptions'!$D$21</x:f>
        <x:v>0</x:v>
      </x:c>
    </x:row>
    <x:row r="387" ht="16" customHeight="1">
      <x:c r="A387" s="1"/>
      <x:c r="B387" s="1"/>
      <x:c r="C387" s="1" t="str">
        <x:v>DOT-124</x:v>
      </x:c>
      <x:c r="D387" s="10" t="str">
        <x:v>Functional Analysis</x:v>
      </x:c>
      <x:c r="E387" s="10" t="n">
        <x:v>3</x:v>
      </x:c>
      <x:c r="F387" s="21" t="n">
        <x:f>F259*(1+'Assumptions'!$L$153)</x:f>
        <x:v>238.04999999999995</x:v>
      </x:c>
      <x:c r="G387" s="21" t="n">
        <x:f>H259*'Assumptions'!$K$153</x:f>
        <x:v>59.24999999999999</x:v>
      </x:c>
      <x:c r="H387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387+G387,NA())</x:f>
        <x:v>297.29999999999995</x:v>
      </x:c>
      <x:c r="I387" s="22" t="n">
        <x:f>'Assumptions'!$H$153*IF('Assumptions'!$O$153=1,1,'Assumptions'!$D$10)*(1+'Assumptions'!$N$153)^(3-1)</x:f>
        <x:v>19.7676</x:v>
      </x:c>
      <x:c r="J387" s="10" t="n">
        <x:f>H387*I387</x:f>
        <x:v>5876.90748</x:v>
      </x:c>
      <x:c r="K387" s="10" t="n">
        <x:f>J387*'Assumptions'!$T$153</x:f>
        <x:v>5876.90748</x:v>
      </x:c>
      <x:c r="L387" s="10" t="n">
        <x:f>K387*'Assumptions'!$U$153</x:f>
        <x:v>176.3072244</x:v>
      </x:c>
      <x:c r="M387" s="10" t="n">
        <x:f>K387*'Assumptions'!$V$153</x:f>
        <x:v>0</x:v>
      </x:c>
      <x:c r="N387" s="10" t="n">
        <x:f>K387-L387-M387</x:f>
        <x:v>5700.6002556</x:v>
      </x:c>
      <x:c r="O387" s="10" t="n">
        <x:f>H387*'Assumptions'!$P$153*'Assumptions'!$Q$153*'Assumptions'!$D$11*(1+'Assumptions'!$D$13)^(3-1)</x:f>
        <x:v>1103.9194949999999</x:v>
      </x:c>
      <x:c r="P387" s="10" t="n">
        <x:f>H387*'Assumptions'!$R$153*'Assumptions'!$D$11*(1+'Assumptions'!$D$13)^(3-1)</x:f>
        <x:v>0</x:v>
      </x:c>
      <x:c r="Q387" s="10" t="n">
        <x:f>J387*'Assumptions'!$S$153</x:f>
        <x:v>0</x:v>
      </x:c>
      <x:c r="R387" s="10" t="n">
        <x:f>H387*'Assumptions'!$Y$153*'Assumptions'!$Z$153*'Assumptions'!$D$11*(1+'Assumptions'!$D$13)^(3-1)</x:f>
        <x:v>946.2167099999998</x:v>
      </x:c>
      <x:c r="S387" s="10" t="n">
        <x:f>IF(I387=0,0,J387*'Assumptions'!$W$153+H387*'Assumptions'!$X$153)</x:f>
        <x:v>259.62031692</x:v>
      </x:c>
      <x:c r="T387" s="10" t="n">
        <x:f>N387*'Assumptions'!$AA$153</x:f>
        <x:v>285.03001278000005</x:v>
      </x:c>
      <x:c r="U387" s="10" t="n">
        <x:f>'Assumptions'!$AE$153*'Assumptions'!$D$11*(1+'Assumptions'!$D$13)^(3-1)</x:f>
        <x:v>0</x:v>
      </x:c>
      <x:c r="V387" s="10" t="n">
        <x:f>0</x:f>
        <x:v>0</x:v>
      </x:c>
      <x:c r="W387" s="10" t="n">
        <x:f>H387*('Assumptions'!$P$153+'Assumptions'!$Y$153)</x:f>
        <x:v>59.459999999999994</x:v>
      </x:c>
      <x:c r="X387" s="10" t="n">
        <x:f>N387/12*'Assumptions'!$AF$153</x:f>
        <x:v>0</x:v>
      </x:c>
      <x:c r="Y387" s="10" t="n">
        <x:f>P387/12</x:f>
        <x:v>0</x:v>
      </x:c>
      <x:c r="Z387" s="10" t="n">
        <x:f>0</x:f>
        <x:v>0</x:v>
      </x:c>
      <x:c r="AA387" s="10" t="n">
        <x:f>Z387*'Assumptions'!$AC$153*'Assumptions'!$D$11*(1+'Assumptions'!$D$13)^(3-1)</x:f>
        <x:v>0</x:v>
      </x:c>
      <x:c r="AB387" s="10" t="n">
        <x:f>F387/1</x:f>
        <x:v>238.04999999999995</x:v>
      </x:c>
      <x:c r="AC387" s="10" t="n">
        <x:f>AB387/'Assumptions'!$AM$153</x:f>
        <x:v>4760.999999999999</x:v>
      </x:c>
      <x:c r="AD387" s="10" t="n">
        <x:f>IF(AB387=0,0,T387/AB387)</x:f>
        <x:v>1.197353550850662</x:v>
      </x:c>
      <x:c r="AE387" s="10" t="n">
        <x:f>AA387*'Assumptions'!$D$21</x:f>
        <x:v>0</x:v>
      </x:c>
    </x:row>
    <x:row r="388" ht="16" customHeight="1">
      <x:c r="A388" s="1"/>
      <x:c r="B388" s="1"/>
      <x:c r="C388" s="1" t="str">
        <x:v>DOT-125</x:v>
      </x:c>
      <x:c r="D388" s="10" t="str">
        <x:v>Functional Analysis</x:v>
      </x:c>
      <x:c r="E388" s="10" t="n">
        <x:v>3</x:v>
      </x:c>
      <x:c r="F388" s="21" t="n">
        <x:f>F260*(1+'Assumptions'!$L$154)</x:f>
        <x:v>21.78</x:v>
      </x:c>
      <x:c r="G388" s="21" t="n">
        <x:f>H260*'Assumptions'!$K$154</x:f>
        <x:v>14.4</x:v>
      </x:c>
      <x:c r="H388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388+G388,NA())</x:f>
        <x:v>36.18</x:v>
      </x:c>
      <x:c r="I388" s="22" t="n">
        <x:f>'Assumptions'!$H$154*IF('Assumptions'!$O$154=1,1,'Assumptions'!$D$10)*(1+'Assumptions'!$N$154)^(3-1)</x:f>
        <x:v>102.9996</x:v>
      </x:c>
      <x:c r="J388" s="10" t="n">
        <x:f>H388*I388</x:f>
        <x:v>3726.525528</x:v>
      </x:c>
      <x:c r="K388" s="10" t="n">
        <x:f>J388*'Assumptions'!$T$154</x:f>
        <x:v>3726.525528</x:v>
      </x:c>
      <x:c r="L388" s="10" t="n">
        <x:f>K388*'Assumptions'!$U$154</x:f>
        <x:v>111.79576584</x:v>
      </x:c>
      <x:c r="M388" s="10" t="n">
        <x:f>K388*'Assumptions'!$V$154</x:f>
        <x:v>0</x:v>
      </x:c>
      <x:c r="N388" s="10" t="n">
        <x:f>K388-L388-M388</x:f>
        <x:v>3614.72976216</x:v>
      </x:c>
      <x:c r="O388" s="10" t="n">
        <x:f>H388*'Assumptions'!$P$154*'Assumptions'!$Q$154*'Assumptions'!$D$11*(1+'Assumptions'!$D$13)^(3-1)</x:f>
        <x:v>1535.33448</x:v>
      </x:c>
      <x:c r="P388" s="10" t="n">
        <x:f>H388*'Assumptions'!$R$154*'Assumptions'!$D$11*(1+'Assumptions'!$D$13)^(3-1)</x:f>
        <x:v>0</x:v>
      </x:c>
      <x:c r="Q388" s="10" t="n">
        <x:f>J388*'Assumptions'!$S$154</x:f>
        <x:v>0</x:v>
      </x:c>
      <x:c r="R388" s="10" t="n">
        <x:f>H388*'Assumptions'!$Y$154*'Assumptions'!$Z$154*'Assumptions'!$D$11*(1+'Assumptions'!$D$13)^(3-1)</x:f>
        <x:v>287.875215</x:v>
      </x:c>
      <x:c r="S388" s="10" t="n">
        <x:f>IF(I388=0,0,J388*'Assumptions'!$W$154+H388*'Assumptions'!$X$154)</x:f>
        <x:v>118.923240312</x:v>
      </x:c>
      <x:c r="T388" s="10" t="n">
        <x:f>N388*'Assumptions'!$AA$154</x:f>
        <x:v>144.5891904864</x:v>
      </x:c>
      <x:c r="U388" s="10" t="n">
        <x:f>'Assumptions'!$AE$154*'Assumptions'!$D$11*(1+'Assumptions'!$D$13)^(3-1)</x:f>
        <x:v>0</x:v>
      </x:c>
      <x:c r="V388" s="10" t="n">
        <x:f>0</x:f>
        <x:v>0</x:v>
      </x:c>
      <x:c r="W388" s="10" t="n">
        <x:f>H388*('Assumptions'!$P$154+'Assumptions'!$Y$154)</x:f>
        <x:v>45.225</x:v>
      </x:c>
      <x:c r="X388" s="10" t="n">
        <x:f>N388/12*'Assumptions'!$AF$154</x:f>
        <x:v>301.22748018</x:v>
      </x:c>
      <x:c r="Y388" s="10" t="n">
        <x:f>P388/12</x:f>
        <x:v>0</x:v>
      </x:c>
      <x:c r="Z388" s="10" t="n">
        <x:f>0</x:f>
        <x:v>0</x:v>
      </x:c>
      <x:c r="AA388" s="10" t="n">
        <x:f>Z388*'Assumptions'!$AC$154*'Assumptions'!$D$11*(1+'Assumptions'!$D$13)^(3-1)</x:f>
        <x:v>0</x:v>
      </x:c>
      <x:c r="AB388" s="10" t="n">
        <x:f>F388/1</x:f>
        <x:v>21.78</x:v>
      </x:c>
      <x:c r="AC388" s="10" t="n">
        <x:f>AB388/'Assumptions'!$AM$154</x:f>
        <x:v>108.9</x:v>
      </x:c>
      <x:c r="AD388" s="10" t="n">
        <x:f>IF(AB388=0,0,T388/AB388)</x:f>
        <x:v>6.638622152727273</x:v>
      </x:c>
      <x:c r="AE388" s="10" t="n">
        <x:f>AA388*'Assumptions'!$D$21</x:f>
        <x:v>0</x:v>
      </x:c>
    </x:row>
    <x:row r="389" ht="16" customHeight="1">
      <x:c r="A389" s="1"/>
      <x:c r="B389" s="1"/>
      <x:c r="C389" s="1" t="str">
        <x:v>DOT-126</x:v>
      </x:c>
      <x:c r="D389" s="10" t="str">
        <x:v>Independent candy game</x:v>
      </x:c>
      <x:c r="E389" s="10" t="n">
        <x:v>3</x:v>
      </x:c>
      <x:c r="F389" s="21" t="n">
        <x:f>F261*(1+'Assumptions'!$L$155)</x:f>
        <x:v>595.125</x:v>
      </x:c>
      <x:c r="G389" s="21" t="n">
        <x:f>H261*'Assumptions'!$K$155</x:f>
        <x:v>148.125</x:v>
      </x:c>
      <x:c r="H389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389+G389,NA())</x:f>
        <x:v>743.25</x:v>
      </x:c>
      <x:c r="I389" s="22" t="n">
        <x:f>'Assumptions'!$H$155*IF('Assumptions'!$O$155=1,1,'Assumptions'!$D$10)*(1+'Assumptions'!$N$155)^(3-1)</x:f>
        <x:v>5.1915960000000005</x:v>
      </x:c>
      <x:c r="J389" s="10" t="n">
        <x:f>H389*I389</x:f>
        <x:v>3858.6537270000003</x:v>
      </x:c>
      <x:c r="K389" s="10" t="n">
        <x:f>J389*'Assumptions'!$T$155</x:f>
        <x:v>3858.6537270000003</x:v>
      </x:c>
      <x:c r="L389" s="10" t="n">
        <x:f>K389*'Assumptions'!$U$155</x:f>
        <x:v>115.75961181000001</x:v>
      </x:c>
      <x:c r="M389" s="10" t="n">
        <x:f>K389*'Assumptions'!$V$155</x:f>
        <x:v>0</x:v>
      </x:c>
      <x:c r="N389" s="10" t="n">
        <x:f>K389-L389-M389</x:f>
        <x:v>3742.8941151900003</x:v>
      </x:c>
      <x:c r="O389" s="10" t="n">
        <x:f>H389*'Assumptions'!$P$155*'Assumptions'!$Q$155*'Assumptions'!$D$11*(1+'Assumptions'!$D$13)^(3-1)</x:f>
        <x:v>551.9597474999999</x:v>
      </x:c>
      <x:c r="P389" s="10" t="n">
        <x:f>H389*'Assumptions'!$R$155*'Assumptions'!$D$11*(1+'Assumptions'!$D$13)^(3-1)</x:f>
        <x:v>0</x:v>
      </x:c>
      <x:c r="Q389" s="10" t="n">
        <x:f>J389*'Assumptions'!$S$155</x:f>
        <x:v>0</x:v>
      </x:c>
      <x:c r="R389" s="10" t="n">
        <x:f>H389*'Assumptions'!$Y$155*'Assumptions'!$Z$155*'Assumptions'!$D$11*(1+'Assumptions'!$D$13)^(3-1)</x:f>
        <x:v>2365.5417749999997</x:v>
      </x:c>
      <x:c r="S389" s="10" t="n">
        <x:f>IF(I389=0,0,J389*'Assumptions'!$W$155+H389*'Assumptions'!$X$155)</x:f>
        <x:v>334.875958083</x:v>
      </x:c>
      <x:c r="T389" s="10" t="n">
        <x:f>N389*'Assumptions'!$AA$155</x:f>
        <x:v>187.14470575950003</x:v>
      </x:c>
      <x:c r="U389" s="10" t="n">
        <x:f>'Assumptions'!$AE$155*'Assumptions'!$D$11*(1+'Assumptions'!$D$13)^(3-1)</x:f>
        <x:v>0</x:v>
      </x:c>
      <x:c r="V389" s="10" t="n">
        <x:f>0</x:f>
        <x:v>0</x:v>
      </x:c>
      <x:c r="W389" s="10" t="n">
        <x:f>H389*('Assumptions'!$P$155+'Assumptions'!$Y$155)</x:f>
        <x:v>89.19000000000001</x:v>
      </x:c>
      <x:c r="X389" s="10" t="n">
        <x:f>N389/12*'Assumptions'!$AF$155</x:f>
        <x:v>0</x:v>
      </x:c>
      <x:c r="Y389" s="10" t="n">
        <x:f>P389/12</x:f>
        <x:v>0</x:v>
      </x:c>
      <x:c r="Z389" s="10" t="n">
        <x:f>0</x:f>
        <x:v>0</x:v>
      </x:c>
      <x:c r="AA389" s="10" t="n">
        <x:f>Z389*'Assumptions'!$AC$155*'Assumptions'!$D$11*(1+'Assumptions'!$D$13)^(3-1)</x:f>
        <x:v>0</x:v>
      </x:c>
      <x:c r="AB389" s="10" t="n">
        <x:f>F389/1</x:f>
        <x:v>595.125</x:v>
      </x:c>
      <x:c r="AC389" s="10" t="n">
        <x:f>AB389/'Assumptions'!$AM$155</x:f>
        <x:v>11902.5</x:v>
      </x:c>
      <x:c r="AD389" s="10" t="n">
        <x:f>IF(AB389=0,0,T389/AB389)</x:f>
        <x:v>0.3144628536181475</x:v>
      </x:c>
      <x:c r="AE389" s="10" t="n">
        <x:f>AA389*'Assumptions'!$D$21</x:f>
        <x:v>0</x:v>
      </x:c>
    </x:row>
    <x:row r="390" ht="16" customHeight="1">
      <x:c r="A390" s="1"/>
      <x:c r="B390" s="1"/>
      <x:c r="C390" s="1" t="str">
        <x:v>DOT-127</x:v>
      </x:c>
      <x:c r="D390" s="10" t="str">
        <x:v>Learn Anglais</x:v>
      </x:c>
      <x:c r="E390" s="10" t="n">
        <x:v>3</x:v>
      </x:c>
      <x:c r="F390" s="21" t="n">
        <x:f>F262*(1+'Assumptions'!$L$156)</x:f>
        <x:v>129.60000000000002</x:v>
      </x:c>
      <x:c r="G390" s="21" t="n">
        <x:f>H262*'Assumptions'!$K$156</x:f>
        <x:v>185.85</x:v>
      </x:c>
      <x:c r="H390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390+G390,NA())</x:f>
        <x:v>315.45000000000005</x:v>
      </x:c>
      <x:c r="I390" s="22" t="n">
        <x:f>'Assumptions'!$H$156*IF('Assumptions'!$O$156=1,1,'Assumptions'!$D$10)*(1+'Assumptions'!$N$156)^(3-1)</x:f>
        <x:v>24.9696</x:v>
      </x:c>
      <x:c r="J390" s="10" t="n">
        <x:f>H390*I390</x:f>
        <x:v>7876.660320000001</x:v>
      </x:c>
      <x:c r="K390" s="10" t="n">
        <x:f>J390*'Assumptions'!$T$156</x:f>
        <x:v>2625.55344</x:v>
      </x:c>
      <x:c r="L390" s="10" t="n">
        <x:f>K390*'Assumptions'!$U$156</x:f>
        <x:v>78.7666032</x:v>
      </x:c>
      <x:c r="M390" s="10" t="n">
        <x:f>K390*'Assumptions'!$V$156</x:f>
        <x:v>0</x:v>
      </x:c>
      <x:c r="N390" s="10" t="n">
        <x:f>K390-L390-M390</x:f>
        <x:v>2546.7868368</x:v>
      </x:c>
      <x:c r="O390" s="10" t="n">
        <x:f>H390*'Assumptions'!$P$156*'Assumptions'!$Q$156*'Assumptions'!$D$11*(1+'Assumptions'!$D$13)^(3-1)</x:f>
        <x:v>1171.3131675000002</x:v>
      </x:c>
      <x:c r="P390" s="10" t="n">
        <x:f>H390*'Assumptions'!$R$156*'Assumptions'!$D$11*(1+'Assumptions'!$D$13)^(3-1)</x:f>
        <x:v>0</x:v>
      </x:c>
      <x:c r="Q390" s="10" t="n">
        <x:f>J390*'Assumptions'!$S$156</x:f>
        <x:v>0</x:v>
      </x:c>
      <x:c r="R390" s="10" t="n">
        <x:f>H390*'Assumptions'!$Y$156*'Assumptions'!$Z$156*'Assumptions'!$D$11*(1+'Assumptions'!$D$13)^(3-1)</x:f>
        <x:v>1505.9740725</x:v>
      </x:c>
      <x:c r="S390" s="10" t="n">
        <x:f>IF(I390=0,0,J390*'Assumptions'!$W$156+H390*'Assumptions'!$X$156)</x:f>
        <x:v>323.05814928000007</x:v>
      </x:c>
      <x:c r="T390" s="10" t="n">
        <x:f>N390*'Assumptions'!$AA$156</x:f>
        <x:v>127.33934184</x:v>
      </x:c>
      <x:c r="U390" s="10" t="n">
        <x:f>'Assumptions'!$AE$156*'Assumptions'!$D$11*(1+'Assumptions'!$D$13)^(3-1)</x:f>
        <x:v>0</x:v>
      </x:c>
      <x:c r="V390" s="10" t="n">
        <x:f>0</x:f>
        <x:v>0</x:v>
      </x:c>
      <x:c r="W390" s="10" t="n">
        <x:f>H390*('Assumptions'!$P$156+'Assumptions'!$Y$156)</x:f>
        <x:v>78.86250000000001</x:v>
      </x:c>
      <x:c r="X390" s="10" t="n">
        <x:f>N390/12*'Assumptions'!$AF$156</x:f>
        <x:v>0</x:v>
      </x:c>
      <x:c r="Y390" s="10" t="n">
        <x:f>P390/12</x:f>
        <x:v>0</x:v>
      </x:c>
      <x:c r="Z390" s="10" t="n">
        <x:f>0</x:f>
        <x:v>0</x:v>
      </x:c>
      <x:c r="AA390" s="10" t="n">
        <x:f>Z390*'Assumptions'!$AC$156*'Assumptions'!$D$11*(1+'Assumptions'!$D$13)^(3-1)</x:f>
        <x:v>0</x:v>
      </x:c>
      <x:c r="AB390" s="10" t="n">
        <x:f>F390/1</x:f>
        <x:v>129.60000000000002</x:v>
      </x:c>
      <x:c r="AC390" s="10" t="n">
        <x:f>AB390/'Assumptions'!$AM$156</x:f>
        <x:v>2592.0000000000005</x:v>
      </x:c>
      <x:c r="AD390" s="10" t="n">
        <x:f>IF(AB390=0,0,T390/AB390)</x:f>
        <x:v>0.9825566499999998</x:v>
      </x:c>
      <x:c r="AE390" s="10" t="n">
        <x:f>AA390*'Assumptions'!$D$21</x:f>
        <x:v>0</x:v>
      </x:c>
    </x:row>
    <x:row r="391" ht="16" customHeight="1">
      <x:c r="A391" s="1"/>
      <x:c r="B391" s="1"/>
      <x:c r="C391" s="1" t="str">
        <x:v>DOT-128</x:v>
      </x:c>
      <x:c r="D391" s="10" t="str">
        <x:v>Learn Anglais</x:v>
      </x:c>
      <x:c r="E391" s="10" t="n">
        <x:v>3</x:v>
      </x:c>
      <x:c r="F391" s="21" t="n">
        <x:f>F263*(1+'Assumptions'!$L$157)</x:f>
        <x:v>51.84000000000001</x:v>
      </x:c>
      <x:c r="G391" s="21" t="n">
        <x:f>H263*'Assumptions'!$K$157</x:f>
        <x:v>74.34</x:v>
      </x:c>
      <x:c r="H391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391+G391,NA())</x:f>
        <x:v>126.18</x:v>
      </x:c>
      <x:c r="I391" s="22" t="n">
        <x:f>'Assumptions'!$H$157*IF('Assumptions'!$O$157=1,1,'Assumptions'!$D$10)*(1+'Assumptions'!$N$157)^(3-1)</x:f>
        <x:v>171.666</x:v>
      </x:c>
      <x:c r="J391" s="10" t="n">
        <x:f>H391*I391</x:f>
        <x:v>21660.815880000002</x:v>
      </x:c>
      <x:c r="K391" s="10" t="n">
        <x:f>J391*'Assumptions'!$T$157</x:f>
        <x:v>6498.244764</x:v>
      </x:c>
      <x:c r="L391" s="10" t="n">
        <x:f>K391*'Assumptions'!$U$157</x:f>
        <x:v>194.94734291999998</x:v>
      </x:c>
      <x:c r="M391" s="10" t="n">
        <x:f>K391*'Assumptions'!$V$157</x:f>
        <x:v>0</x:v>
      </x:c>
      <x:c r="N391" s="10" t="n">
        <x:f>K391-L391-M391</x:f>
        <x:v>6303.29742108</x:v>
      </x:c>
      <x:c r="O391" s="10" t="n">
        <x:f>H391*'Assumptions'!$P$157*'Assumptions'!$Q$157*'Assumptions'!$D$11*(1+'Assumptions'!$D$13)^(3-1)</x:f>
        <x:v>468.52526700000004</x:v>
      </x:c>
      <x:c r="P391" s="10" t="n">
        <x:f>H391*'Assumptions'!$R$157*'Assumptions'!$D$11*(1+'Assumptions'!$D$13)^(3-1)</x:f>
        <x:v>0</x:v>
      </x:c>
      <x:c r="Q391" s="10" t="n">
        <x:f>J391*'Assumptions'!$S$157</x:f>
        <x:v>0</x:v>
      </x:c>
      <x:c r="R391" s="10" t="n">
        <x:f>H391*'Assumptions'!$Y$157*'Assumptions'!$Z$157*'Assumptions'!$D$11*(1+'Assumptions'!$D$13)^(3-1)</x:f>
        <x:v>602.3896289999999</x:v>
      </x:c>
      <x:c r="S391" s="10" t="n">
        <x:f>IF(I391=0,0,J391*'Assumptions'!$W$157+H391*'Assumptions'!$X$157)</x:f>
        <x:v>666.0176605200002</x:v>
      </x:c>
      <x:c r="T391" s="10" t="n">
        <x:f>N391*'Assumptions'!$AA$157</x:f>
        <x:v>315.16487105400006</x:v>
      </x:c>
      <x:c r="U391" s="10" t="n">
        <x:f>'Assumptions'!$AE$157*'Assumptions'!$D$11*(1+'Assumptions'!$D$13)^(3-1)</x:f>
        <x:v>0</x:v>
      </x:c>
      <x:c r="V391" s="10" t="n">
        <x:f>0</x:f>
        <x:v>0</x:v>
      </x:c>
      <x:c r="W391" s="10" t="n">
        <x:f>H391*('Assumptions'!$P$157+'Assumptions'!$Y$157)</x:f>
        <x:v>31.545</x:v>
      </x:c>
      <x:c r="X391" s="10" t="n">
        <x:f>N391/12*'Assumptions'!$AF$157</x:f>
        <x:v>0</x:v>
      </x:c>
      <x:c r="Y391" s="10" t="n">
        <x:f>P391/12</x:f>
        <x:v>0</x:v>
      </x:c>
      <x:c r="Z391" s="10" t="n">
        <x:f>0</x:f>
        <x:v>0</x:v>
      </x:c>
      <x:c r="AA391" s="10" t="n">
        <x:f>Z391*'Assumptions'!$AC$157*'Assumptions'!$D$11*(1+'Assumptions'!$D$13)^(3-1)</x:f>
        <x:v>0</x:v>
      </x:c>
      <x:c r="AB391" s="10" t="n">
        <x:f>F391/1</x:f>
        <x:v>51.84000000000001</x:v>
      </x:c>
      <x:c r="AC391" s="10" t="n">
        <x:f>AB391/'Assumptions'!$AM$157</x:f>
        <x:v>1036.8000000000002</x:v>
      </x:c>
      <x:c r="AD391" s="10" t="n">
        <x:f>IF(AB391=0,0,T391/AB391)</x:f>
        <x:v>6.079569271875</x:v>
      </x:c>
      <x:c r="AE391" s="10" t="n">
        <x:f>AA391*'Assumptions'!$D$21</x:f>
        <x:v>0</x:v>
      </x:c>
    </x:row>
    <x:row r="392" ht="16" customHeight="1">
      <x:c r="A392" s="1"/>
      <x:c r="B392" s="1"/>
      <x:c r="C392" s="1" t="str">
        <x:v>DOT-001</x:v>
      </x:c>
      <x:c r="D392" s="10" t="str">
        <x:v>ETV courses</x:v>
      </x:c>
      <x:c r="E392" s="10" t="n">
        <x:v>4</x:v>
      </x:c>
      <x:c r="F392" s="21" t="n">
        <x:f>F264*(1+'Assumptions'!$L$30)</x:f>
        <x:v>273.75749999999994</x:v>
      </x:c>
      <x:c r="G392" s="21" t="n">
        <x:f>H264*'Assumptions'!$K$30</x:f>
        <x:v>76.19999999999999</x:v>
      </x:c>
      <x:c r="H392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392+G392,NA())</x:f>
        <x:v>349.9574999999999</x:v>
      </x:c>
      <x:c r="I392" s="22" t="n">
        <x:f>'Assumptions'!$H$30*IF('Assumptions'!$O$30=1,1,'Assumptions'!$D$10)*(1+'Assumptions'!$N$30)^(4-1)</x:f>
        <x:v>29</x:v>
      </x:c>
      <x:c r="J392" s="10" t="n">
        <x:f>H392*I392</x:f>
        <x:v>10148.767499999998</x:v>
      </x:c>
      <x:c r="K392" s="10" t="n">
        <x:f>J392*'Assumptions'!$T$30</x:f>
        <x:v>10148.767499999998</x:v>
      </x:c>
      <x:c r="L392" s="10" t="n">
        <x:f>K392*'Assumptions'!$U$30</x:f>
        <x:v>304.46302499999996</x:v>
      </x:c>
      <x:c r="M392" s="10" t="n">
        <x:f>K392*'Assumptions'!$V$30</x:f>
        <x:v>0</x:v>
      </x:c>
      <x:c r="N392" s="10" t="n">
        <x:f>K392-L392-M392</x:f>
        <x:v>9844.304474999999</x:v>
      </x:c>
      <x:c r="O392" s="10" t="n">
        <x:f>H392*'Assumptions'!$P$30*'Assumptions'!$Q$30*'Assumptions'!$D$11*(1+'Assumptions'!$D$13)^(4-1)</x:f>
        <x:v>2007.6420477881245</x:v>
      </x:c>
      <x:c r="P392" s="10" t="n">
        <x:f>H392*'Assumptions'!$R$30*'Assumptions'!$D$11*(1+'Assumptions'!$D$13)^(4-1)</x:f>
        <x:v>0</x:v>
      </x:c>
      <x:c r="Q392" s="10" t="n">
        <x:f>J392*'Assumptions'!$S$30</x:f>
        <x:v>0</x:v>
      </x:c>
      <x:c r="R392" s="10" t="n">
        <x:f>H392*'Assumptions'!$Y$30*'Assumptions'!$Z$30*'Assumptions'!$D$11*(1+'Assumptions'!$D$13)^(4-1)</x:f>
        <x:v>1147.2240273074997</x:v>
      </x:c>
      <x:c r="S392" s="10" t="n">
        <x:f>IF(I392=0,0,J392*'Assumptions'!$W$30+H392*'Assumptions'!$X$30)</x:f>
        <x:v>399.3015074999999</x:v>
      </x:c>
      <x:c r="T392" s="10" t="n">
        <x:f>N392*'Assumptions'!$AA$30</x:f>
        <x:v>492.21522374999995</x:v>
      </x:c>
      <x:c r="U392" s="10" t="n">
        <x:f>'Assumptions'!$AE$30*'Assumptions'!$D$11*(1+'Assumptions'!$D$13)^(4-1)</x:f>
        <x:v>0</x:v>
      </x:c>
      <x:c r="V392" s="10" t="n">
        <x:f>0</x:f>
        <x:v>0</x:v>
      </x:c>
      <x:c r="W392" s="10" t="n">
        <x:f>H392*('Assumptions'!$P$30+'Assumptions'!$Y$30)</x:f>
        <x:v>87.48937499999998</x:v>
      </x:c>
      <x:c r="X392" s="10" t="n">
        <x:f>N392/12*'Assumptions'!$AF$30</x:f>
        <x:v>0</x:v>
      </x:c>
      <x:c r="Y392" s="10" t="n">
        <x:f>P392/12</x:f>
        <x:v>0</x:v>
      </x:c>
      <x:c r="Z392" s="10" t="n">
        <x:f>0</x:f>
        <x:v>0</x:v>
      </x:c>
      <x:c r="AA392" s="10" t="n">
        <x:f>Z392*'Assumptions'!$AC$30*'Assumptions'!$D$11*(1+'Assumptions'!$D$13)^(4-1)</x:f>
        <x:v>0</x:v>
      </x:c>
      <x:c r="AB392" s="10" t="n">
        <x:f>F392/1</x:f>
        <x:v>273.75749999999994</x:v>
      </x:c>
      <x:c r="AC392" s="10" t="n">
        <x:f>AB392/'Assumptions'!$AM$30</x:f>
        <x:v>5475.149999999999</x:v>
      </x:c>
      <x:c r="AD392" s="10" t="n">
        <x:f>IF(AB392=0,0,T392/AB392)</x:f>
        <x:v>1.7979972192542673</x:v>
      </x:c>
      <x:c r="AE392" s="10" t="n">
        <x:f>AA392*'Assumptions'!$D$21</x:f>
        <x:v>0</x:v>
      </x:c>
    </x:row>
    <x:row r="393" ht="16" customHeight="1">
      <x:c r="A393" s="1"/>
      <x:c r="B393" s="1"/>
      <x:c r="C393" s="1" t="str">
        <x:v>DOT-002</x:v>
      </x:c>
      <x:c r="D393" s="10" t="str">
        <x:v>ETV courses</x:v>
      </x:c>
      <x:c r="E393" s="10" t="n">
        <x:v>4</x:v>
      </x:c>
      <x:c r="F393" s="21" t="n">
        <x:f>F265*(1+'Assumptions'!$L$31)</x:f>
        <x:v>433.4493749999999</x:v>
      </x:c>
      <x:c r="G393" s="21" t="n">
        <x:f>H265*'Assumptions'!$K$31</x:f>
        <x:v>120.64999999999999</x:v>
      </x:c>
      <x:c r="H393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393+G393,NA())</x:f>
        <x:v>554.0993749999999</x:v>
      </x:c>
      <x:c r="I393" s="22" t="n">
        <x:f>'Assumptions'!$H$31*IF('Assumptions'!$O$31=1,1,'Assumptions'!$D$10)*(1+'Assumptions'!$N$31)^(4-1)</x:f>
        <x:v>41.38711200000001</x:v>
      </x:c>
      <x:c r="J393" s="10" t="n">
        <x:f>H393*I393</x:f>
        <x:v>22932.572892255</x:v>
      </x:c>
      <x:c r="K393" s="10" t="n">
        <x:f>J393*'Assumptions'!$T$31</x:f>
        <x:v>22932.572892255</x:v>
      </x:c>
      <x:c r="L393" s="10" t="n">
        <x:f>K393*'Assumptions'!$U$31</x:f>
        <x:v>687.97718676765</x:v>
      </x:c>
      <x:c r="M393" s="10" t="n">
        <x:f>K393*'Assumptions'!$V$31</x:f>
        <x:v>0</x:v>
      </x:c>
      <x:c r="N393" s="10" t="n">
        <x:f>K393-L393-M393</x:f>
        <x:v>22244.59570548735</x:v>
      </x:c>
      <x:c r="O393" s="10" t="n">
        <x:f>H393*'Assumptions'!$P$31*'Assumptions'!$Q$31*'Assumptions'!$D$11*(1+'Assumptions'!$D$13)^(4-1)</x:f>
        <x:v>3178.7665756645306</x:v>
      </x:c>
      <x:c r="P393" s="10" t="n">
        <x:f>H393*'Assumptions'!$R$31*'Assumptions'!$D$11*(1+'Assumptions'!$D$13)^(4-1)</x:f>
        <x:v>0</x:v>
      </x:c>
      <x:c r="Q393" s="10" t="n">
        <x:f>J393*'Assumptions'!$S$31</x:f>
        <x:v>0</x:v>
      </x:c>
      <x:c r="R393" s="10" t="n">
        <x:f>H393*'Assumptions'!$Y$31*'Assumptions'!$Z$31*'Assumptions'!$D$11*(1+'Assumptions'!$D$13)^(4-1)</x:f>
        <x:v>1816.4380432368748</x:v>
      </x:c>
      <x:c r="S393" s="10" t="n">
        <x:f>IF(I393=0,0,J393*'Assumptions'!$W$31+H393*'Assumptions'!$X$31)</x:f>
        <x:v>831.274426375395</x:v>
      </x:c>
      <x:c r="T393" s="10" t="n">
        <x:f>N393*'Assumptions'!$AA$31</x:f>
        <x:v>1112.2297852743675</x:v>
      </x:c>
      <x:c r="U393" s="10" t="n">
        <x:f>'Assumptions'!$AE$31*'Assumptions'!$D$11*(1+'Assumptions'!$D$13)^(4-1)</x:f>
        <x:v>0</x:v>
      </x:c>
      <x:c r="V393" s="10" t="n">
        <x:f>0</x:f>
        <x:v>0</x:v>
      </x:c>
      <x:c r="W393" s="10" t="n">
        <x:f>H393*('Assumptions'!$P$31+'Assumptions'!$Y$31)</x:f>
        <x:v>138.52484374999997</x:v>
      </x:c>
      <x:c r="X393" s="10" t="n">
        <x:f>N393/12*'Assumptions'!$AF$31</x:f>
        <x:v>0</x:v>
      </x:c>
      <x:c r="Y393" s="10" t="n">
        <x:f>P393/12</x:f>
        <x:v>0</x:v>
      </x:c>
      <x:c r="Z393" s="10" t="n">
        <x:f>0</x:f>
        <x:v>0</x:v>
      </x:c>
      <x:c r="AA393" s="10" t="n">
        <x:f>Z393*'Assumptions'!$AC$31*'Assumptions'!$D$11*(1+'Assumptions'!$D$13)^(4-1)</x:f>
        <x:v>0</x:v>
      </x:c>
      <x:c r="AB393" s="10" t="n">
        <x:f>F393/1</x:f>
        <x:v>433.4493749999999</x:v>
      </x:c>
      <x:c r="AC393" s="10" t="n">
        <x:f>AB393/'Assumptions'!$AM$31</x:f>
        <x:v>8668.987499999997</x:v>
      </x:c>
      <x:c r="AD393" s="10" t="n">
        <x:f>IF(AB393=0,0,T393/AB393)</x:f>
        <x:v>2.565996975481549</x:v>
      </x:c>
      <x:c r="AE393" s="10" t="n">
        <x:f>AA393*'Assumptions'!$D$21</x:f>
        <x:v>0</x:v>
      </x:c>
    </x:row>
    <x:row r="394" ht="16" customHeight="1">
      <x:c r="A394" s="1"/>
      <x:c r="B394" s="1"/>
      <x:c r="C394" s="1" t="str">
        <x:v>DOT-003</x:v>
      </x:c>
      <x:c r="D394" s="10" t="str">
        <x:v>ETV services</x:v>
      </x:c>
      <x:c r="E394" s="10" t="n">
        <x:v>4</x:v>
      </x:c>
      <x:c r="F394" s="21" t="n">
        <x:f>F266*(1+'Assumptions'!$L$32)</x:f>
        <x:v>7.986000000000002</x:v>
      </x:c>
      <x:c r="G394" s="21" t="n">
        <x:f>H266*'Assumptions'!$K$32</x:f>
        <x:v>6.780000000000001</x:v>
      </x:c>
      <x:c r="H394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394+G394,NA())</x:f>
        <x:v>14.766000000000004</x:v>
      </x:c>
      <x:c r="I394" s="22" t="n">
        <x:f>'Assumptions'!$H$32*IF('Assumptions'!$O$32=1,1,'Assumptions'!$D$10)*(1+'Assumptions'!$N$32)^(4-1)</x:f>
        <x:v>1857.1140000000003</x:v>
      </x:c>
      <x:c r="J394" s="10" t="n">
        <x:f>H394*I394</x:f>
        <x:v>27422.145324000012</x:v>
      </x:c>
      <x:c r="K394" s="10" t="n">
        <x:f>J394*'Assumptions'!$T$32</x:f>
        <x:v>27422.145324000012</x:v>
      </x:c>
      <x:c r="L394" s="10" t="n">
        <x:f>K394*'Assumptions'!$U$32</x:f>
        <x:v>822.6643597200003</x:v>
      </x:c>
      <x:c r="M394" s="10" t="n">
        <x:f>K394*'Assumptions'!$V$32</x:f>
        <x:v>0</x:v>
      </x:c>
      <x:c r="N394" s="10" t="n">
        <x:f>K394-L394-M394</x:f>
        <x:v>26599.48096428001</x:v>
      </x:c>
      <x:c r="O394" s="10" t="n">
        <x:f>H394*'Assumptions'!$P$32*'Assumptions'!$Q$32*'Assumptions'!$D$11*(1+'Assumptions'!$D$13)^(4-1)</x:f>
        <x:v>14521.686193800002</x:v>
      </x:c>
      <x:c r="P394" s="10" t="n">
        <x:f>H394*'Assumptions'!$R$32*'Assumptions'!$D$11*(1+'Assumptions'!$D$13)^(4-1)</x:f>
        <x:v>403.3801720500001</x:v>
      </x:c>
      <x:c r="Q394" s="10" t="n">
        <x:f>J394*'Assumptions'!$S$32</x:f>
        <x:v>0</x:v>
      </x:c>
      <x:c r="R394" s="10" t="n">
        <x:f>H394*'Assumptions'!$Y$32*'Assumptions'!$Z$32*'Assumptions'!$D$11*(1+'Assumptions'!$D$13)^(4-1)</x:f>
        <x:v>121.01405161500004</x:v>
      </x:c>
      <x:c r="S394" s="10" t="n">
        <x:f>IF(I394=0,0,J394*'Assumptions'!$W$32+H394*'Assumptions'!$X$32)</x:f>
        <x:v>799.6720143960003</x:v>
      </x:c>
      <x:c r="T394" s="10" t="n">
        <x:f>N394*'Assumptions'!$AA$32</x:f>
        <x:v>1063.9792385712003</x:v>
      </x:c>
      <x:c r="U394" s="10" t="n">
        <x:f>'Assumptions'!$AE$32*'Assumptions'!$D$11*(1+'Assumptions'!$D$13)^(4-1)</x:f>
        <x:v>0</x:v>
      </x:c>
      <x:c r="V394" s="10" t="n">
        <x:f>0</x:f>
        <x:v>0</x:v>
      </x:c>
      <x:c r="W394" s="10" t="n">
        <x:f>H394*('Assumptions'!$P$32+'Assumptions'!$Y$32)</x:f>
        <x:v>299.01150000000007</x:v>
      </x:c>
      <x:c r="X394" s="10" t="n">
        <x:f>N394/12*'Assumptions'!$AF$32</x:f>
        <x:v>2216.6234136900007</x:v>
      </x:c>
      <x:c r="Y394" s="10" t="n">
        <x:f>P394/12</x:f>
        <x:v>33.61501433750001</x:v>
      </x:c>
      <x:c r="Z394" s="10" t="n">
        <x:f>0</x:f>
        <x:v>0</x:v>
      </x:c>
      <x:c r="AA394" s="10" t="n">
        <x:f>Z394*'Assumptions'!$AC$32*'Assumptions'!$D$11*(1+'Assumptions'!$D$13)^(4-1)</x:f>
        <x:v>0</x:v>
      </x:c>
      <x:c r="AB394" s="10" t="n">
        <x:f>F394/1</x:f>
        <x:v>7.986000000000002</x:v>
      </x:c>
      <x:c r="AC394" s="10" t="n">
        <x:f>AB394/'Assumptions'!$AM$32</x:f>
        <x:v>39.93000000000001</x:v>
      </x:c>
      <x:c r="AD394" s="10" t="n">
        <x:f>IF(AB394=0,0,T394/AB394)</x:f>
        <x:v>133.23055829842224</x:v>
      </x:c>
      <x:c r="AE394" s="10" t="n">
        <x:f>AA394*'Assumptions'!$D$21</x:f>
        <x:v>0</x:v>
      </x:c>
    </x:row>
    <x:row r="395" ht="16" customHeight="1">
      <x:c r="A395" s="1"/>
      <x:c r="B395" s="1"/>
      <x:c r="C395" s="1" t="str">
        <x:v>DOT-004</x:v>
      </x:c>
      <x:c r="D395" s="10" t="str">
        <x:v>ETV services</x:v>
      </x:c>
      <x:c r="E395" s="10" t="n">
        <x:v>4</x:v>
      </x:c>
      <x:c r="F395" s="21" t="n">
        <x:f>F267*(1+'Assumptions'!$L$33)</x:f>
        <x:v>5.324000000000002</x:v>
      </x:c>
      <x:c r="G395" s="21" t="n">
        <x:f>H267*'Assumptions'!$K$33</x:f>
        <x:v>4.5200000000000005</x:v>
      </x:c>
      <x:c r="H395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395+G395,NA())</x:f>
        <x:v>9.844000000000001</x:v>
      </x:c>
      <x:c r="I395" s="22" t="n">
        <x:f>'Assumptions'!$H$33*IF('Assumptions'!$O$33=1,1,'Assumptions'!$D$10)*(1+'Assumptions'!$N$33)^(4-1)</x:f>
        <x:v>2653.0200000000004</x:v>
      </x:c>
      <x:c r="J395" s="10" t="n">
        <x:f>H395*I395</x:f>
        <x:v>26116.32888000001</x:v>
      </x:c>
      <x:c r="K395" s="10" t="n">
        <x:f>J395*'Assumptions'!$T$33</x:f>
        <x:v>26116.32888000001</x:v>
      </x:c>
      <x:c r="L395" s="10" t="n">
        <x:f>K395*'Assumptions'!$U$33</x:f>
        <x:v>783.4898664000002</x:v>
      </x:c>
      <x:c r="M395" s="10" t="n">
        <x:f>K395*'Assumptions'!$V$33</x:f>
        <x:v>0</x:v>
      </x:c>
      <x:c r="N395" s="10" t="n">
        <x:f>K395-L395-M395</x:f>
        <x:v>25332.83901360001</x:v>
      </x:c>
      <x:c r="O395" s="10" t="n">
        <x:f>H395*'Assumptions'!$P$33*'Assumptions'!$Q$33*'Assumptions'!$D$11*(1+'Assumptions'!$D$13)^(4-1)</x:f>
        <x:v>14521.686193800002</x:v>
      </x:c>
      <x:c r="P395" s="10" t="n">
        <x:f>H395*'Assumptions'!$R$33*'Assumptions'!$D$11*(1+'Assumptions'!$D$13)^(4-1)</x:f>
        <x:v>268.9201147</x:v>
      </x:c>
      <x:c r="Q395" s="10" t="n">
        <x:f>J395*'Assumptions'!$S$33</x:f>
        <x:v>0</x:v>
      </x:c>
      <x:c r="R395" s="10" t="n">
        <x:f>H395*'Assumptions'!$Y$33*'Assumptions'!$Z$33*'Assumptions'!$D$11*(1+'Assumptions'!$D$13)^(4-1)</x:f>
        <x:v>80.67603441000001</x:v>
      </x:c>
      <x:c r="S395" s="10" t="n">
        <x:f>IF(I395=0,0,J395*'Assumptions'!$W$33+H395*'Assumptions'!$X$33)</x:f>
        <x:v>760.3267375200003</x:v>
      </x:c>
      <x:c r="T395" s="10" t="n">
        <x:f>N395*'Assumptions'!$AA$33</x:f>
        <x:v>1013.3135605440003</x:v>
      </x:c>
      <x:c r="U395" s="10" t="n">
        <x:f>'Assumptions'!$AE$33*'Assumptions'!$D$11*(1+'Assumptions'!$D$13)^(4-1)</x:f>
        <x:v>0</x:v>
      </x:c>
      <x:c r="V395" s="10" t="n">
        <x:f>0</x:f>
        <x:v>0</x:v>
      </x:c>
      <x:c r="W395" s="10" t="n">
        <x:f>H395*('Assumptions'!$P$33+'Assumptions'!$Y$33)</x:f>
        <x:v>297.78100000000006</x:v>
      </x:c>
      <x:c r="X395" s="10" t="n">
        <x:f>N395/12*'Assumptions'!$AF$33</x:f>
        <x:v>2111.069917800001</x:v>
      </x:c>
      <x:c r="Y395" s="10" t="n">
        <x:f>P395/12</x:f>
        <x:v>22.410009558333332</x:v>
      </x:c>
      <x:c r="Z395" s="10" t="n">
        <x:f>0</x:f>
        <x:v>0</x:v>
      </x:c>
      <x:c r="AA395" s="10" t="n">
        <x:f>Z395*'Assumptions'!$AC$33*'Assumptions'!$D$11*(1+'Assumptions'!$D$13)^(4-1)</x:f>
        <x:v>0</x:v>
      </x:c>
      <x:c r="AB395" s="10" t="n">
        <x:f>F395/1</x:f>
        <x:v>5.324000000000002</x:v>
      </x:c>
      <x:c r="AC395" s="10" t="n">
        <x:f>AB395/'Assumptions'!$AM$33</x:f>
        <x:v>26.620000000000008</x:v>
      </x:c>
      <x:c r="AD395" s="10" t="n">
        <x:f>IF(AB395=0,0,T395/AB395)</x:f>
        <x:v>190.32936899774606</x:v>
      </x:c>
      <x:c r="AE395" s="10" t="n">
        <x:f>AA395*'Assumptions'!$D$21</x:f>
        <x:v>0</x:v>
      </x:c>
    </x:row>
    <x:row r="396" ht="16" customHeight="1">
      <x:c r="A396" s="1"/>
      <x:c r="B396" s="1"/>
      <x:c r="C396" s="1" t="str">
        <x:v>DOT-005</x:v>
      </x:c>
      <x:c r="D396" s="10" t="str">
        <x:v>ETV services</x:v>
      </x:c>
      <x:c r="E396" s="10" t="n">
        <x:v>4</x:v>
      </x:c>
      <x:c r="F396" s="21" t="n">
        <x:f>F268*(1+'Assumptions'!$L$34)</x:f>
        <x:v>5.324000000000002</x:v>
      </x:c>
      <x:c r="G396" s="21" t="n">
        <x:f>H268*'Assumptions'!$K$34</x:f>
        <x:v>4.5200000000000005</x:v>
      </x:c>
      <x:c r="H396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396+G396,NA())</x:f>
        <x:v>9.844000000000001</x:v>
      </x:c>
      <x:c r="I396" s="22" t="n">
        <x:f>'Assumptions'!$H$34*IF('Assumptions'!$O$34=1,1,'Assumptions'!$D$10)*(1+'Assumptions'!$N$34)^(4-1)</x:f>
        <x:v>1591.8120000000001</x:v>
      </x:c>
      <x:c r="J396" s="10" t="n">
        <x:f>H396*I396</x:f>
        <x:v>15669.797328000002</x:v>
      </x:c>
      <x:c r="K396" s="10" t="n">
        <x:f>J396*'Assumptions'!$T$34</x:f>
        <x:v>15669.797328000002</x:v>
      </x:c>
      <x:c r="L396" s="10" t="n">
        <x:f>K396*'Assumptions'!$U$34</x:f>
        <x:v>470.09391984000007</x:v>
      </x:c>
      <x:c r="M396" s="10" t="n">
        <x:f>K396*'Assumptions'!$V$34</x:f>
        <x:v>0</x:v>
      </x:c>
      <x:c r="N396" s="10" t="n">
        <x:f>K396-L396-M396</x:f>
        <x:v>15199.703408160003</x:v>
      </x:c>
      <x:c r="O396" s="10" t="n">
        <x:f>H396*'Assumptions'!$P$34*'Assumptions'!$Q$34*'Assumptions'!$D$11*(1+'Assumptions'!$D$13)^(4-1)</x:f>
        <x:v>8713.01171628</x:v>
      </x:c>
      <x:c r="P396" s="10" t="n">
        <x:f>H396*'Assumptions'!$R$34*'Assumptions'!$D$11*(1+'Assumptions'!$D$13)^(4-1)</x:f>
        <x:v>268.9201147</x:v>
      </x:c>
      <x:c r="Q396" s="10" t="n">
        <x:f>J396*'Assumptions'!$S$34</x:f>
        <x:v>0</x:v>
      </x:c>
      <x:c r="R396" s="10" t="n">
        <x:f>H396*'Assumptions'!$Y$34*'Assumptions'!$Z$34*'Assumptions'!$D$11*(1+'Assumptions'!$D$13)^(4-1)</x:f>
        <x:v>80.67603441000001</x:v>
      </x:c>
      <x:c r="S396" s="10" t="n">
        <x:f>IF(I396=0,0,J396*'Assumptions'!$W$34+H396*'Assumptions'!$X$34)</x:f>
        <x:v>457.3773225120001</x:v>
      </x:c>
      <x:c r="T396" s="10" t="n">
        <x:f>N396*'Assumptions'!$AA$34</x:f>
        <x:v>607.9881363264002</x:v>
      </x:c>
      <x:c r="U396" s="10" t="n">
        <x:f>'Assumptions'!$AE$34*'Assumptions'!$D$11*(1+'Assumptions'!$D$13)^(4-1)</x:f>
        <x:v>0</x:v>
      </x:c>
      <x:c r="V396" s="10" t="n">
        <x:f>0</x:f>
        <x:v>0</x:v>
      </x:c>
      <x:c r="W396" s="10" t="n">
        <x:f>H396*('Assumptions'!$P$34+'Assumptions'!$Y$34)</x:f>
        <x:v>179.65300000000002</x:v>
      </x:c>
      <x:c r="X396" s="10" t="n">
        <x:f>N396/12*'Assumptions'!$AF$34</x:f>
        <x:v>1266.6419506800003</x:v>
      </x:c>
      <x:c r="Y396" s="10" t="n">
        <x:f>P396/12</x:f>
        <x:v>22.410009558333332</x:v>
      </x:c>
      <x:c r="Z396" s="10" t="n">
        <x:f>0</x:f>
        <x:v>0</x:v>
      </x:c>
      <x:c r="AA396" s="10" t="n">
        <x:f>Z396*'Assumptions'!$AC$34*'Assumptions'!$D$11*(1+'Assumptions'!$D$13)^(4-1)</x:f>
        <x:v>0</x:v>
      </x:c>
      <x:c r="AB396" s="10" t="n">
        <x:f>F396/1</x:f>
        <x:v>5.324000000000002</x:v>
      </x:c>
      <x:c r="AC396" s="10" t="n">
        <x:f>AB396/'Assumptions'!$AM$34</x:f>
        <x:v>26.620000000000008</x:v>
      </x:c>
      <x:c r="AD396" s="10" t="n">
        <x:f>IF(AB396=0,0,T396/AB396)</x:f>
        <x:v>114.19762139864764</x:v>
      </x:c>
      <x:c r="AE396" s="10" t="n">
        <x:f>AA396*'Assumptions'!$D$21</x:f>
        <x:v>0</x:v>
      </x:c>
    </x:row>
    <x:row r="397" ht="16" customHeight="1">
      <x:c r="A397" s="1"/>
      <x:c r="B397" s="1"/>
      <x:c r="C397" s="1" t="str">
        <x:v>DOT-006</x:v>
      </x:c>
      <x:c r="D397" s="10" t="str">
        <x:v>ETV services</x:v>
      </x:c>
      <x:c r="E397" s="10" t="n">
        <x:v>4</x:v>
      </x:c>
      <x:c r="F397" s="21" t="n">
        <x:f>F269*(1+'Assumptions'!$L$35)</x:f>
        <x:v>7.986000000000002</x:v>
      </x:c>
      <x:c r="G397" s="21" t="n">
        <x:f>H269*'Assumptions'!$K$35</x:f>
        <x:v>6.780000000000001</x:v>
      </x:c>
      <x:c r="H397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397+G397,NA())</x:f>
        <x:v>14.766000000000004</x:v>
      </x:c>
      <x:c r="I397" s="22" t="n">
        <x:f>'Assumptions'!$H$35*IF('Assumptions'!$O$35=1,1,'Assumptions'!$D$10)*(1+'Assumptions'!$N$35)^(4-1)</x:f>
        <x:v>795.9060000000001</x:v>
      </x:c>
      <x:c r="J397" s="10" t="n">
        <x:f>H397*I397</x:f>
        <x:v>11752.347996000004</x:v>
      </x:c>
      <x:c r="K397" s="10" t="n">
        <x:f>J397*'Assumptions'!$T$35</x:f>
        <x:v>11752.347996000004</x:v>
      </x:c>
      <x:c r="L397" s="10" t="n">
        <x:f>K397*'Assumptions'!$U$35</x:f>
        <x:v>352.5704398800001</x:v>
      </x:c>
      <x:c r="M397" s="10" t="n">
        <x:f>K397*'Assumptions'!$V$35</x:f>
        <x:v>0</x:v>
      </x:c>
      <x:c r="N397" s="10" t="n">
        <x:f>K397-L397-M397</x:f>
        <x:v>11399.777556120003</x:v>
      </x:c>
      <x:c r="O397" s="10" t="n">
        <x:f>H397*'Assumptions'!$P$35*'Assumptions'!$Q$35*'Assumptions'!$D$11*(1+'Assumptions'!$D$13)^(4-1)</x:f>
        <x:v>5808.674477520001</x:v>
      </x:c>
      <x:c r="P397" s="10" t="n">
        <x:f>H397*'Assumptions'!$R$35*'Assumptions'!$D$11*(1+'Assumptions'!$D$13)^(4-1)</x:f>
        <x:v>403.3801720500001</x:v>
      </x:c>
      <x:c r="Q397" s="10" t="n">
        <x:f>J397*'Assumptions'!$S$35</x:f>
        <x:v>0</x:v>
      </x:c>
      <x:c r="R397" s="10" t="n">
        <x:f>H397*'Assumptions'!$Y$35*'Assumptions'!$Z$35*'Assumptions'!$D$11*(1+'Assumptions'!$D$13)^(4-1)</x:f>
        <x:v>121.01405161500004</x:v>
      </x:c>
      <x:c r="S397" s="10" t="n">
        <x:f>IF(I397=0,0,J397*'Assumptions'!$W$35+H397*'Assumptions'!$X$35)</x:f>
        <x:v>345.2478918840001</x:v>
      </x:c>
      <x:c r="T397" s="10" t="n">
        <x:f>N397*'Assumptions'!$AA$35</x:f>
        <x:v>455.9911022448001</x:v>
      </x:c>
      <x:c r="U397" s="10" t="n">
        <x:f>'Assumptions'!$AE$35*'Assumptions'!$D$11*(1+'Assumptions'!$D$13)^(4-1)</x:f>
        <x:v>0</x:v>
      </x:c>
      <x:c r="V397" s="10" t="n">
        <x:f>0</x:f>
        <x:v>0</x:v>
      </x:c>
      <x:c r="W397" s="10" t="n">
        <x:f>H397*('Assumptions'!$P$35+'Assumptions'!$Y$35)</x:f>
        <x:v>121.81950000000003</x:v>
      </x:c>
      <x:c r="X397" s="10" t="n">
        <x:f>N397/12*'Assumptions'!$AF$35</x:f>
        <x:v>949.9814630100003</x:v>
      </x:c>
      <x:c r="Y397" s="10" t="n">
        <x:f>P397/12</x:f>
        <x:v>33.61501433750001</x:v>
      </x:c>
      <x:c r="Z397" s="10" t="n">
        <x:f>0</x:f>
        <x:v>0</x:v>
      </x:c>
      <x:c r="AA397" s="10" t="n">
        <x:f>Z397*'Assumptions'!$AC$35*'Assumptions'!$D$11*(1+'Assumptions'!$D$13)^(4-1)</x:f>
        <x:v>0</x:v>
      </x:c>
      <x:c r="AB397" s="10" t="n">
        <x:f>F397/1</x:f>
        <x:v>7.986000000000002</x:v>
      </x:c>
      <x:c r="AC397" s="10" t="n">
        <x:f>AB397/'Assumptions'!$AM$35</x:f>
        <x:v>39.93000000000001</x:v>
      </x:c>
      <x:c r="AD397" s="10" t="n">
        <x:f>IF(AB397=0,0,T397/AB397)</x:f>
        <x:v>57.09881069932381</x:v>
      </x:c>
      <x:c r="AE397" s="10" t="n">
        <x:f>AA397*'Assumptions'!$D$21</x:f>
        <x:v>0</x:v>
      </x:c>
    </x:row>
    <x:row r="398" ht="16" customHeight="1">
      <x:c r="A398" s="1"/>
      <x:c r="B398" s="1"/>
      <x:c r="C398" s="1" t="str">
        <x:v>DOT-007</x:v>
      </x:c>
      <x:c r="D398" s="10" t="str">
        <x:v>BPA professional services</x:v>
      </x:c>
      <x:c r="E398" s="10" t="n">
        <x:v>4</x:v>
      </x:c>
      <x:c r="F398" s="21" t="n">
        <x:f>F270*(1+'Assumptions'!$L$36)</x:f>
        <x:v>31.94400000000001</x:v>
      </x:c>
      <x:c r="G398" s="21" t="n">
        <x:f>H270*'Assumptions'!$K$36</x:f>
        <x:v>25.620000000000005</x:v>
      </x:c>
      <x:c r="H398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398+G398,NA())</x:f>
        <x:v>57.564000000000014</x:v>
      </x:c>
      <x:c r="I398" s="22" t="n">
        <x:f>'Assumptions'!$H$36*IF('Assumptions'!$O$36=1,1,'Assumptions'!$D$10)*(1+'Assumptions'!$N$36)^(4-1)</x:f>
        <x:v>250</x:v>
      </x:c>
      <x:c r="J398" s="10" t="n">
        <x:f>H398*I398</x:f>
        <x:v>14391.000000000004</x:v>
      </x:c>
      <x:c r="K398" s="10" t="n">
        <x:f>J398*'Assumptions'!$T$36</x:f>
        <x:v>14391.000000000004</x:v>
      </x:c>
      <x:c r="L398" s="10" t="n">
        <x:f>K398*'Assumptions'!$U$36</x:f>
        <x:v>431.7300000000001</x:v>
      </x:c>
      <x:c r="M398" s="10" t="n">
        <x:f>K398*'Assumptions'!$V$36</x:f>
        <x:v>0</x:v>
      </x:c>
      <x:c r="N398" s="10" t="n">
        <x:f>K398-L398-M398</x:f>
        <x:v>13959.270000000004</x:v>
      </x:c>
      <x:c r="O398" s="10" t="n">
        <x:f>H398*'Assumptions'!$P$36*'Assumptions'!$Q$36*'Assumptions'!$D$11*(1+'Assumptions'!$D$13)^(4-1)</x:f>
        <x:v>3143.8288166594402</x:v>
      </x:c>
      <x:c r="P398" s="10" t="n">
        <x:f>H398*'Assumptions'!$R$36*'Assumptions'!$D$11*(1+'Assumptions'!$D$13)^(4-1)</x:f>
        <x:v>629.0173702800001</x:v>
      </x:c>
      <x:c r="Q398" s="10" t="n">
        <x:f>J398*'Assumptions'!$S$36</x:f>
        <x:v>0</x:v>
      </x:c>
      <x:c r="R398" s="10" t="n">
        <x:f>H398*'Assumptions'!$Y$36*'Assumptions'!$Z$36*'Assumptions'!$D$11*(1+'Assumptions'!$D$13)^(4-1)</x:f>
        <x:v>471.76302771000013</x:v>
      </x:c>
      <x:c r="S398" s="10" t="n">
        <x:f>IF(I398=0,0,J398*'Assumptions'!$W$36+H398*'Assumptions'!$X$36)</x:f>
        <x:v>434.6082000000001</x:v>
      </x:c>
      <x:c r="T398" s="10" t="n">
        <x:f>N398*'Assumptions'!$AA$36</x:f>
        <x:v>558.3708000000001</x:v>
      </x:c>
      <x:c r="U398" s="10" t="n">
        <x:f>'Assumptions'!$AE$36*'Assumptions'!$D$11*(1+'Assumptions'!$D$13)^(4-1)</x:f>
        <x:v>0</x:v>
      </x:c>
      <x:c r="V398" s="10" t="n">
        <x:f>0</x:f>
        <x:v>0</x:v>
      </x:c>
      <x:c r="W398" s="10" t="n">
        <x:f>H398*('Assumptions'!$P$36+'Assumptions'!$Y$36)</x:f>
        <x:v>62.34181200000001</x:v>
      </x:c>
      <x:c r="X398" s="10" t="n">
        <x:f>N398/12*'Assumptions'!$AF$36</x:f>
        <x:v>1163.2725000000003</x:v>
      </x:c>
      <x:c r="Y398" s="10" t="n">
        <x:f>P398/12</x:f>
        <x:v>52.41811419000001</x:v>
      </x:c>
      <x:c r="Z398" s="10" t="n">
        <x:f>0</x:f>
        <x:v>0</x:v>
      </x:c>
      <x:c r="AA398" s="10" t="n">
        <x:f>Z398*'Assumptions'!$AC$36*'Assumptions'!$D$11*(1+'Assumptions'!$D$13)^(4-1)</x:f>
        <x:v>0</x:v>
      </x:c>
      <x:c r="AB398" s="10" t="n">
        <x:f>F398/1</x:f>
        <x:v>31.94400000000001</x:v>
      </x:c>
      <x:c r="AC398" s="10" t="n">
        <x:f>AB398/'Assumptions'!$AM$36</x:f>
        <x:v>159.72000000000003</x:v>
      </x:c>
      <x:c r="AD398" s="10" t="n">
        <x:f>IF(AB398=0,0,T398/AB398)</x:f>
        <x:v>17.479676934635613</x:v>
      </x:c>
      <x:c r="AE398" s="10" t="n">
        <x:f>AA398*'Assumptions'!$D$21</x:f>
        <x:v>0</x:v>
      </x:c>
    </x:row>
    <x:row r="399" ht="16" customHeight="1">
      <x:c r="A399" s="1"/>
      <x:c r="B399" s="1"/>
      <x:c r="C399" s="1" t="str">
        <x:v>DOT-008</x:v>
      </x:c>
      <x:c r="D399" s="10" t="str">
        <x:v>BPA professional services</x:v>
      </x:c>
      <x:c r="E399" s="10" t="n">
        <x:v>4</x:v>
      </x:c>
      <x:c r="F399" s="21" t="n">
        <x:f>F271*(1+'Assumptions'!$L$37)</x:f>
        <x:v>11.979000000000001</x:v>
      </x:c>
      <x:c r="G399" s="21" t="n">
        <x:f>H271*'Assumptions'!$K$37</x:f>
        <x:v>9.6075</x:v>
      </x:c>
      <x:c r="H399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399+G399,NA())</x:f>
        <x:v>21.5865</x:v>
      </x:c>
      <x:c r="I399" s="22" t="n">
        <x:f>'Assumptions'!$H$37*IF('Assumptions'!$O$37=1,1,'Assumptions'!$D$10)*(1+'Assumptions'!$N$37)^(4-1)</x:f>
        <x:v>600</x:v>
      </x:c>
      <x:c r="J399" s="10" t="n">
        <x:f>H399*I399</x:f>
        <x:v>12951.900000000001</x:v>
      </x:c>
      <x:c r="K399" s="10" t="n">
        <x:f>J399*'Assumptions'!$T$37</x:f>
        <x:v>12951.900000000001</x:v>
      </x:c>
      <x:c r="L399" s="10" t="n">
        <x:f>K399*'Assumptions'!$U$37</x:f>
        <x:v>388.557</x:v>
      </x:c>
      <x:c r="M399" s="10" t="n">
        <x:f>K399*'Assumptions'!$V$37</x:f>
        <x:v>0</x:v>
      </x:c>
      <x:c r="N399" s="10" t="n">
        <x:f>K399-L399-M399</x:f>
        <x:v>12563.343</x:v>
      </x:c>
      <x:c r="O399" s="10" t="n">
        <x:f>H399*'Assumptions'!$P$37*'Assumptions'!$Q$37*'Assumptions'!$D$11*(1+'Assumptions'!$D$13)^(4-1)</x:f>
        <x:v>5661.15633252</x:v>
      </x:c>
      <x:c r="P399" s="10" t="n">
        <x:f>H399*'Assumptions'!$R$37*'Assumptions'!$D$11*(1+'Assumptions'!$D$13)^(4-1)</x:f>
        <x:v>235.881513855</x:v>
      </x:c>
      <x:c r="Q399" s="10" t="n">
        <x:f>J399*'Assumptions'!$S$37</x:f>
        <x:v>0</x:v>
      </x:c>
      <x:c r="R399" s="10" t="n">
        <x:f>H399*'Assumptions'!$Y$37*'Assumptions'!$Z$37*'Assumptions'!$D$11*(1+'Assumptions'!$D$13)^(4-1)</x:f>
        <x:v>176.91113539125</x:v>
      </x:c>
      <x:c r="S399" s="10" t="n">
        <x:f>IF(I399=0,0,J399*'Assumptions'!$W$37+H399*'Assumptions'!$X$37)</x:f>
        <x:v>382.08105000000006</x:v>
      </x:c>
      <x:c r="T399" s="10" t="n">
        <x:f>N399*'Assumptions'!$AA$37</x:f>
        <x:v>502.53372</x:v>
      </x:c>
      <x:c r="U399" s="10" t="n">
        <x:f>'Assumptions'!$AE$37*'Assumptions'!$D$11*(1+'Assumptions'!$D$13)^(4-1)</x:f>
        <x:v>0</x:v>
      </x:c>
      <x:c r="V399" s="10" t="n">
        <x:f>0</x:f>
        <x:v>0</x:v>
      </x:c>
      <x:c r="W399" s="10" t="n">
        <x:f>H399*('Assumptions'!$P$37+'Assumptions'!$Y$37)</x:f>
        <x:v>91.742625</x:v>
      </x:c>
      <x:c r="X399" s="10" t="n">
        <x:f>N399/12*'Assumptions'!$AF$37</x:f>
        <x:v>1046.94525</x:v>
      </x:c>
      <x:c r="Y399" s="10" t="n">
        <x:f>P399/12</x:f>
        <x:v>19.65679282125</x:v>
      </x:c>
      <x:c r="Z399" s="10" t="n">
        <x:f>0</x:f>
        <x:v>0</x:v>
      </x:c>
      <x:c r="AA399" s="10" t="n">
        <x:f>Z399*'Assumptions'!$AC$37*'Assumptions'!$D$11*(1+'Assumptions'!$D$13)^(4-1)</x:f>
        <x:v>0</x:v>
      </x:c>
      <x:c r="AB399" s="10" t="n">
        <x:f>F399/1</x:f>
        <x:v>11.979000000000001</x:v>
      </x:c>
      <x:c r="AC399" s="10" t="n">
        <x:f>AB399/'Assumptions'!$AM$37</x:f>
        <x:v>59.895</x:v>
      </x:c>
      <x:c r="AD399" s="10" t="n">
        <x:f>IF(AB399=0,0,T399/AB399)</x:f>
        <x:v>41.95122464312547</x:v>
      </x:c>
      <x:c r="AE399" s="10" t="n">
        <x:f>AA399*'Assumptions'!$D$21</x:f>
        <x:v>0</x:v>
      </x:c>
    </x:row>
    <x:row r="400" ht="16" customHeight="1">
      <x:c r="A400" s="1"/>
      <x:c r="B400" s="1"/>
      <x:c r="C400" s="1" t="str">
        <x:v>DOT-009</x:v>
      </x:c>
      <x:c r="D400" s="10" t="str">
        <x:v>BPA professional services</x:v>
      </x:c>
      <x:c r="E400" s="10" t="n">
        <x:v>4</x:v>
      </x:c>
      <x:c r="F400" s="21" t="n">
        <x:f>F272*(1+'Assumptions'!$L$38)</x:f>
        <x:v>7.986000000000002</x:v>
      </x:c>
      <x:c r="G400" s="21" t="n">
        <x:f>H272*'Assumptions'!$K$38</x:f>
        <x:v>6.405000000000001</x:v>
      </x:c>
      <x:c r="H400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400+G400,NA())</x:f>
        <x:v>14.391000000000004</x:v>
      </x:c>
      <x:c r="I400" s="22" t="n">
        <x:f>'Assumptions'!$H$38*IF('Assumptions'!$O$38=1,1,'Assumptions'!$D$10)*(1+'Assumptions'!$N$38)^(4-1)</x:f>
        <x:v>900</x:v>
      </x:c>
      <x:c r="J400" s="10" t="n">
        <x:f>H400*I400</x:f>
        <x:v>12951.900000000003</x:v>
      </x:c>
      <x:c r="K400" s="10" t="n">
        <x:f>J400*'Assumptions'!$T$38</x:f>
        <x:v>12951.900000000003</x:v>
      </x:c>
      <x:c r="L400" s="10" t="n">
        <x:f>K400*'Assumptions'!$U$38</x:f>
        <x:v>388.5570000000001</x:v>
      </x:c>
      <x:c r="M400" s="10" t="n">
        <x:f>K400*'Assumptions'!$V$38</x:f>
        <x:v>0</x:v>
      </x:c>
      <x:c r="N400" s="10" t="n">
        <x:f>K400-L400-M400</x:f>
        <x:v>12563.343000000003</x:v>
      </x:c>
      <x:c r="O400" s="10" t="n">
        <x:f>H400*'Assumptions'!$P$38*'Assumptions'!$Q$38*'Assumptions'!$D$11*(1+'Assumptions'!$D$13)^(4-1)</x:f>
        <x:v>5661.156332520001</x:v>
      </x:c>
      <x:c r="P400" s="10" t="n">
        <x:f>H400*'Assumptions'!$R$38*'Assumptions'!$D$11*(1+'Assumptions'!$D$13)^(4-1)</x:f>
        <x:v>157.25434257000003</x:v>
      </x:c>
      <x:c r="Q400" s="10" t="n">
        <x:f>J400*'Assumptions'!$S$38</x:f>
        <x:v>0</x:v>
      </x:c>
      <x:c r="R400" s="10" t="n">
        <x:f>H400*'Assumptions'!$Y$38*'Assumptions'!$Z$38*'Assumptions'!$D$11*(1+'Assumptions'!$D$13)^(4-1)</x:f>
        <x:v>117.94075692750003</x:v>
      </x:c>
      <x:c r="S400" s="10" t="n">
        <x:f>IF(I400=0,0,J400*'Assumptions'!$W$38+H400*'Assumptions'!$X$38)</x:f>
        <x:v>379.9224000000001</x:v>
      </x:c>
      <x:c r="T400" s="10" t="n">
        <x:f>N400*'Assumptions'!$AA$38</x:f>
        <x:v>502.53372000000013</x:v>
      </x:c>
      <x:c r="U400" s="10" t="n">
        <x:f>'Assumptions'!$AE$38*'Assumptions'!$D$11*(1+'Assumptions'!$D$13)^(4-1)</x:f>
        <x:v>0</x:v>
      </x:c>
      <x:c r="V400" s="10" t="n">
        <x:f>0</x:f>
        <x:v>0</x:v>
      </x:c>
      <x:c r="W400" s="10" t="n">
        <x:f>H400*('Assumptions'!$P$38+'Assumptions'!$Y$38)</x:f>
        <x:v>89.94375000000002</x:v>
      </x:c>
      <x:c r="X400" s="10" t="n">
        <x:f>N400/12*'Assumptions'!$AF$38</x:f>
        <x:v>1046.9452500000002</x:v>
      </x:c>
      <x:c r="Y400" s="10" t="n">
        <x:f>P400/12</x:f>
        <x:v>13.104528547500003</x:v>
      </x:c>
      <x:c r="Z400" s="10" t="n">
        <x:f>0</x:f>
        <x:v>0</x:v>
      </x:c>
      <x:c r="AA400" s="10" t="n">
        <x:f>Z400*'Assumptions'!$AC$38*'Assumptions'!$D$11*(1+'Assumptions'!$D$13)^(4-1)</x:f>
        <x:v>0</x:v>
      </x:c>
      <x:c r="AB400" s="10" t="n">
        <x:f>F400/1</x:f>
        <x:v>7.986000000000002</x:v>
      </x:c>
      <x:c r="AC400" s="10" t="n">
        <x:f>AB400/'Assumptions'!$AM$38</x:f>
        <x:v>39.93000000000001</x:v>
      </x:c>
      <x:c r="AD400" s="10" t="n">
        <x:f>IF(AB400=0,0,T400/AB400)</x:f>
        <x:v>62.9268369646882</x:v>
      </x:c>
      <x:c r="AE400" s="10" t="n">
        <x:f>AA400*'Assumptions'!$D$21</x:f>
        <x:v>0</x:v>
      </x:c>
    </x:row>
    <x:row r="401" ht="16" customHeight="1">
      <x:c r="A401" s="1"/>
      <x:c r="B401" s="1"/>
      <x:c r="C401" s="1" t="str">
        <x:v>DOT-010</x:v>
      </x:c>
      <x:c r="D401" s="10" t="str">
        <x:v>BPA professional services</x:v>
      </x:c>
      <x:c r="E401" s="10" t="n">
        <x:v>4</x:v>
      </x:c>
      <x:c r="F401" s="21" t="n">
        <x:f>F273*(1+'Assumptions'!$L$39)</x:f>
        <x:v>7.986000000000002</x:v>
      </x:c>
      <x:c r="G401" s="21" t="n">
        <x:f>H273*'Assumptions'!$K$39</x:f>
        <x:v>6.405000000000001</x:v>
      </x:c>
      <x:c r="H401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401+G401,NA())</x:f>
        <x:v>14.391000000000004</x:v>
      </x:c>
      <x:c r="I401" s="22" t="n">
        <x:f>'Assumptions'!$H$39*IF('Assumptions'!$O$39=1,1,'Assumptions'!$D$10)*(1+'Assumptions'!$N$39)^(4-1)</x:f>
        <x:v>1800</x:v>
      </x:c>
      <x:c r="J401" s="10" t="n">
        <x:f>H401*I401</x:f>
        <x:v>25903.800000000007</x:v>
      </x:c>
      <x:c r="K401" s="10" t="n">
        <x:f>J401*'Assumptions'!$T$39</x:f>
        <x:v>25903.800000000007</x:v>
      </x:c>
      <x:c r="L401" s="10" t="n">
        <x:f>K401*'Assumptions'!$U$39</x:f>
        <x:v>777.1140000000001</x:v>
      </x:c>
      <x:c r="M401" s="10" t="n">
        <x:f>K401*'Assumptions'!$V$39</x:f>
        <x:v>0</x:v>
      </x:c>
      <x:c r="N401" s="10" t="n">
        <x:f>K401-L401-M401</x:f>
        <x:v>25126.686000000005</x:v>
      </x:c>
      <x:c r="O401" s="10" t="n">
        <x:f>H401*'Assumptions'!$P$39*'Assumptions'!$Q$39*'Assumptions'!$D$11*(1+'Assumptions'!$D$13)^(4-1)</x:f>
        <x:v>11322.312665040003</x:v>
      </x:c>
      <x:c r="P401" s="10" t="n">
        <x:f>H401*'Assumptions'!$R$39*'Assumptions'!$D$11*(1+'Assumptions'!$D$13)^(4-1)</x:f>
        <x:v>157.25434257000003</x:v>
      </x:c>
      <x:c r="Q401" s="10" t="n">
        <x:f>J401*'Assumptions'!$S$39</x:f>
        <x:v>0</x:v>
      </x:c>
      <x:c r="R401" s="10" t="n">
        <x:f>H401*'Assumptions'!$Y$39*'Assumptions'!$Z$39*'Assumptions'!$D$11*(1+'Assumptions'!$D$13)^(4-1)</x:f>
        <x:v>117.94075692750003</x:v>
      </x:c>
      <x:c r="S401" s="10" t="n">
        <x:f>IF(I401=0,0,J401*'Assumptions'!$W$39+H401*'Assumptions'!$X$39)</x:f>
        <x:v>755.5275000000003</x:v>
      </x:c>
      <x:c r="T401" s="10" t="n">
        <x:f>N401*'Assumptions'!$AA$39</x:f>
        <x:v>1005.0674400000003</x:v>
      </x:c>
      <x:c r="U401" s="10" t="n">
        <x:f>'Assumptions'!$AE$39*'Assumptions'!$D$11*(1+'Assumptions'!$D$13)^(4-1)</x:f>
        <x:v>0</x:v>
      </x:c>
      <x:c r="V401" s="10" t="n">
        <x:f>0</x:f>
        <x:v>0</x:v>
      </x:c>
      <x:c r="W401" s="10" t="n">
        <x:f>H401*('Assumptions'!$P$39+'Assumptions'!$Y$39)</x:f>
        <x:v>176.28975000000005</x:v>
      </x:c>
      <x:c r="X401" s="10" t="n">
        <x:f>N401/12*'Assumptions'!$AF$39</x:f>
        <x:v>2093.8905000000004</x:v>
      </x:c>
      <x:c r="Y401" s="10" t="n">
        <x:f>P401/12</x:f>
        <x:v>13.104528547500003</x:v>
      </x:c>
      <x:c r="Z401" s="10" t="n">
        <x:f>0</x:f>
        <x:v>0</x:v>
      </x:c>
      <x:c r="AA401" s="10" t="n">
        <x:f>Z401*'Assumptions'!$AC$39*'Assumptions'!$D$11*(1+'Assumptions'!$D$13)^(4-1)</x:f>
        <x:v>0</x:v>
      </x:c>
      <x:c r="AB401" s="10" t="n">
        <x:f>F401/1</x:f>
        <x:v>7.986000000000002</x:v>
      </x:c>
      <x:c r="AC401" s="10" t="n">
        <x:f>AB401/'Assumptions'!$AM$39</x:f>
        <x:v>39.93000000000001</x:v>
      </x:c>
      <x:c r="AD401" s="10" t="n">
        <x:f>IF(AB401=0,0,T401/AB401)</x:f>
        <x:v>125.8536739293764</x:v>
      </x:c>
      <x:c r="AE401" s="10" t="n">
        <x:f>AA401*'Assumptions'!$D$21</x:f>
        <x:v>0</x:v>
      </x:c>
    </x:row>
    <x:row r="402" ht="16" customHeight="1">
      <x:c r="A402" s="1"/>
      <x:c r="B402" s="1"/>
      <x:c r="C402" s="1" t="str">
        <x:v>DOT-011</x:v>
      </x:c>
      <x:c r="D402" s="10" t="str">
        <x:v>BPA professional services</x:v>
      </x:c>
      <x:c r="E402" s="10" t="n">
        <x:v>4</x:v>
      </x:c>
      <x:c r="F402" s="21" t="n">
        <x:f>F274*(1+'Assumptions'!$L$40)</x:f>
        <x:v>23.958000000000002</x:v>
      </x:c>
      <x:c r="G402" s="21" t="n">
        <x:f>H274*'Assumptions'!$K$40</x:f>
        <x:v>19.215</x:v>
      </x:c>
      <x:c r="H402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402+G402,NA())</x:f>
        <x:v>43.173</x:v>
      </x:c>
      <x:c r="I402" s="22" t="n">
        <x:f>'Assumptions'!$H$40*IF('Assumptions'!$O$40=1,1,'Assumptions'!$D$10)*(1+'Assumptions'!$N$40)^(4-1)</x:f>
        <x:v>600</x:v>
      </x:c>
      <x:c r="J402" s="10" t="n">
        <x:f>H402*I402</x:f>
        <x:v>25903.800000000003</x:v>
      </x:c>
      <x:c r="K402" s="10" t="n">
        <x:f>J402*'Assumptions'!$T$40</x:f>
        <x:v>25903.800000000003</x:v>
      </x:c>
      <x:c r="L402" s="10" t="n">
        <x:f>K402*'Assumptions'!$U$40</x:f>
        <x:v>777.114</x:v>
      </x:c>
      <x:c r="M402" s="10" t="n">
        <x:f>K402*'Assumptions'!$V$40</x:f>
        <x:v>0</x:v>
      </x:c>
      <x:c r="N402" s="10" t="n">
        <x:f>K402-L402-M402</x:f>
        <x:v>25126.686</x:v>
      </x:c>
      <x:c r="O402" s="10" t="n">
        <x:f>H402*'Assumptions'!$P$40*'Assumptions'!$Q$40*'Assumptions'!$D$11*(1+'Assumptions'!$D$13)^(4-1)</x:f>
        <x:v>11322.31266504</x:v>
      </x:c>
      <x:c r="P402" s="10" t="n">
        <x:f>H402*'Assumptions'!$R$40*'Assumptions'!$D$11*(1+'Assumptions'!$D$13)^(4-1)</x:f>
        <x:v>471.76302771</x:v>
      </x:c>
      <x:c r="Q402" s="10" t="n">
        <x:f>J402*'Assumptions'!$S$40</x:f>
        <x:v>0</x:v>
      </x:c>
      <x:c r="R402" s="10" t="n">
        <x:f>H402*'Assumptions'!$Y$40*'Assumptions'!$Z$40*'Assumptions'!$D$11*(1+'Assumptions'!$D$13)^(4-1)</x:f>
        <x:v>353.8222707825</x:v>
      </x:c>
      <x:c r="S402" s="10" t="n">
        <x:f>IF(I402=0,0,J402*'Assumptions'!$W$40+H402*'Assumptions'!$X$40)</x:f>
        <x:v>764.1621000000001</x:v>
      </x:c>
      <x:c r="T402" s="10" t="n">
        <x:f>N402*'Assumptions'!$AA$40</x:f>
        <x:v>1005.06744</x:v>
      </x:c>
      <x:c r="U402" s="10" t="n">
        <x:f>'Assumptions'!$AE$40*'Assumptions'!$D$11*(1+'Assumptions'!$D$13)^(4-1)</x:f>
        <x:v>0</x:v>
      </x:c>
      <x:c r="V402" s="10" t="n">
        <x:f>0</x:f>
        <x:v>0</x:v>
      </x:c>
      <x:c r="W402" s="10" t="n">
        <x:f>H402*('Assumptions'!$P$40+'Assumptions'!$Y$40)</x:f>
        <x:v>183.48525</x:v>
      </x:c>
      <x:c r="X402" s="10" t="n">
        <x:f>N402/12*'Assumptions'!$AF$40</x:f>
        <x:v>2093.8905</x:v>
      </x:c>
      <x:c r="Y402" s="10" t="n">
        <x:f>P402/12</x:f>
        <x:v>39.3135856425</x:v>
      </x:c>
      <x:c r="Z402" s="10" t="n">
        <x:f>0</x:f>
        <x:v>0</x:v>
      </x:c>
      <x:c r="AA402" s="10" t="n">
        <x:f>Z402*'Assumptions'!$AC$40*'Assumptions'!$D$11*(1+'Assumptions'!$D$13)^(4-1)</x:f>
        <x:v>0</x:v>
      </x:c>
      <x:c r="AB402" s="10" t="n">
        <x:f>F402/12</x:f>
        <x:v>1.9965000000000002</x:v>
      </x:c>
      <x:c r="AC402" s="10" t="n">
        <x:f>AB402/'Assumptions'!$AM$40</x:f>
        <x:v>9.9825</x:v>
      </x:c>
      <x:c r="AD402" s="10" t="n">
        <x:f>IF(AB402=0,0,T402/AB402)</x:f>
        <x:v>503.4146957175056</x:v>
      </x:c>
      <x:c r="AE402" s="10" t="n">
        <x:f>AA402*'Assumptions'!$D$21</x:f>
        <x:v>0</x:v>
      </x:c>
    </x:row>
    <x:row r="403" ht="16" customHeight="1">
      <x:c r="A403" s="1"/>
      <x:c r="B403" s="1"/>
      <x:c r="C403" s="1" t="str">
        <x:v>DOT-012</x:v>
      </x:c>
      <x:c r="D403" s="10" t="str">
        <x:v>BPA professional services</x:v>
      </x:c>
      <x:c r="E403" s="10" t="n">
        <x:v>4</x:v>
      </x:c>
      <x:c r="F403" s="21" t="n">
        <x:f>F275*(1+'Assumptions'!$L$41)</x:f>
        <x:v>15.972000000000005</x:v>
      </x:c>
      <x:c r="G403" s="21" t="n">
        <x:f>H275*'Assumptions'!$K$41</x:f>
        <x:v>12.810000000000002</x:v>
      </x:c>
      <x:c r="H403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403+G403,NA())</x:f>
        <x:v>28.782000000000007</x:v>
      </x:c>
      <x:c r="I403" s="22" t="n">
        <x:f>'Assumptions'!$H$41*IF('Assumptions'!$O$41=1,1,'Assumptions'!$D$10)*(1+'Assumptions'!$N$41)^(4-1)</x:f>
        <x:v>1080</x:v>
      </x:c>
      <x:c r="J403" s="10" t="n">
        <x:f>H403*I403</x:f>
        <x:v>31084.56000000001</x:v>
      </x:c>
      <x:c r="K403" s="10" t="n">
        <x:f>J403*'Assumptions'!$T$41</x:f>
        <x:v>31084.56000000001</x:v>
      </x:c>
      <x:c r="L403" s="10" t="n">
        <x:f>K403*'Assumptions'!$U$41</x:f>
        <x:v>932.5368000000002</x:v>
      </x:c>
      <x:c r="M403" s="10" t="n">
        <x:f>K403*'Assumptions'!$V$41</x:f>
        <x:v>0</x:v>
      </x:c>
      <x:c r="N403" s="10" t="n">
        <x:f>K403-L403-M403</x:f>
        <x:v>30152.023200000007</x:v>
      </x:c>
      <x:c r="O403" s="10" t="n">
        <x:f>H403*'Assumptions'!$P$41*'Assumptions'!$Q$41*'Assumptions'!$D$11*(1+'Assumptions'!$D$13)^(4-1)</x:f>
        <x:v>15096.416886720004</x:v>
      </x:c>
      <x:c r="P403" s="10" t="n">
        <x:f>H403*'Assumptions'!$R$41*'Assumptions'!$D$11*(1+'Assumptions'!$D$13)^(4-1)</x:f>
        <x:v>314.50868514000007</x:v>
      </x:c>
      <x:c r="Q403" s="10" t="n">
        <x:f>J403*'Assumptions'!$S$41</x:f>
        <x:v>0</x:v>
      </x:c>
      <x:c r="R403" s="10" t="n">
        <x:f>H403*'Assumptions'!$Y$41*'Assumptions'!$Z$41*'Assumptions'!$D$11*(1+'Assumptions'!$D$13)^(4-1)</x:f>
        <x:v>235.88151385500007</x:v>
      </x:c>
      <x:c r="S403" s="10" t="n">
        <x:f>IF(I403=0,0,J403*'Assumptions'!$W$41+H403*'Assumptions'!$X$41)</x:f>
        <x:v>910.0868400000003</x:v>
      </x:c>
      <x:c r="T403" s="10" t="n">
        <x:f>N403*'Assumptions'!$AA$41</x:f>
        <x:v>1206.0809280000003</x:v>
      </x:c>
      <x:c r="U403" s="10" t="n">
        <x:f>'Assumptions'!$AE$41*'Assumptions'!$D$11*(1+'Assumptions'!$D$13)^(4-1)</x:f>
        <x:v>0</x:v>
      </x:c>
      <x:c r="V403" s="10" t="n">
        <x:f>0</x:f>
        <x:v>0</x:v>
      </x:c>
      <x:c r="W403" s="10" t="n">
        <x:f>H403*('Assumptions'!$P$41+'Assumptions'!$Y$41)</x:f>
        <x:v>237.45150000000007</x:v>
      </x:c>
      <x:c r="X403" s="10" t="n">
        <x:f>N403/12*'Assumptions'!$AF$41</x:f>
        <x:v>2512.6686000000004</x:v>
      </x:c>
      <x:c r="Y403" s="10" t="n">
        <x:f>P403/12</x:f>
        <x:v>26.209057095000006</x:v>
      </x:c>
      <x:c r="Z403" s="10" t="n">
        <x:f>0</x:f>
        <x:v>0</x:v>
      </x:c>
      <x:c r="AA403" s="10" t="n">
        <x:f>Z403*'Assumptions'!$AC$41*'Assumptions'!$D$11*(1+'Assumptions'!$D$13)^(4-1)</x:f>
        <x:v>0</x:v>
      </x:c>
      <x:c r="AB403" s="10" t="n">
        <x:f>F403/12</x:f>
        <x:v>1.3310000000000004</x:v>
      </x:c>
      <x:c r="AC403" s="10" t="n">
        <x:f>AB403/'Assumptions'!$AM$41</x:f>
        <x:v>6.655000000000002</x:v>
      </x:c>
      <x:c r="AD403" s="10" t="n">
        <x:f>IF(AB403=0,0,T403/AB403)</x:f>
        <x:v>906.1464522915101</x:v>
      </x:c>
      <x:c r="AE403" s="10" t="n">
        <x:f>AA403*'Assumptions'!$D$21</x:f>
        <x:v>0</x:v>
      </x:c>
    </x:row>
    <x:row r="404" ht="16" customHeight="1">
      <x:c r="A404" s="1"/>
      <x:c r="B404" s="1"/>
      <x:c r="C404" s="1" t="str">
        <x:v>DOT-013</x:v>
      </x:c>
      <x:c r="D404" s="10" t="str">
        <x:v>BPA professional services</x:v>
      </x:c>
      <x:c r="E404" s="10" t="n">
        <x:v>4</x:v>
      </x:c>
      <x:c r="F404" s="21" t="n">
        <x:f>F276*(1+'Assumptions'!$L$42)</x:f>
        <x:v>11.979000000000001</x:v>
      </x:c>
      <x:c r="G404" s="21" t="n">
        <x:f>H276*'Assumptions'!$K$42</x:f>
        <x:v>9.6075</x:v>
      </x:c>
      <x:c r="H404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404+G404,NA())</x:f>
        <x:v>21.5865</x:v>
      </x:c>
      <x:c r="I404" s="22" t="n">
        <x:f>'Assumptions'!$H$42*IF('Assumptions'!$O$42=1,1,'Assumptions'!$D$10)*(1+'Assumptions'!$N$42)^(4-1)</x:f>
        <x:v>2160</x:v>
      </x:c>
      <x:c r="J404" s="10" t="n">
        <x:f>H404*I404</x:f>
        <x:v>46626.840000000004</x:v>
      </x:c>
      <x:c r="K404" s="10" t="n">
        <x:f>J404*'Assumptions'!$T$42</x:f>
        <x:v>46626.840000000004</x:v>
      </x:c>
      <x:c r="L404" s="10" t="n">
        <x:f>K404*'Assumptions'!$U$42</x:f>
        <x:v>1398.8052</x:v>
      </x:c>
      <x:c r="M404" s="10" t="n">
        <x:f>K404*'Assumptions'!$V$42</x:f>
        <x:v>0</x:v>
      </x:c>
      <x:c r="N404" s="10" t="n">
        <x:f>K404-L404-M404</x:f>
        <x:v>45228.0348</x:v>
      </x:c>
      <x:c r="O404" s="10" t="n">
        <x:f>H404*'Assumptions'!$P$42*'Assumptions'!$Q$42*'Assumptions'!$D$11*(1+'Assumptions'!$D$13)^(4-1)</x:f>
        <x:v>22644.62533008</x:v>
      </x:c>
      <x:c r="P404" s="10" t="n">
        <x:f>H404*'Assumptions'!$R$42*'Assumptions'!$D$11*(1+'Assumptions'!$D$13)^(4-1)</x:f>
        <x:v>235.881513855</x:v>
      </x:c>
      <x:c r="Q404" s="10" t="n">
        <x:f>J404*'Assumptions'!$S$42</x:f>
        <x:v>0</x:v>
      </x:c>
      <x:c r="R404" s="10" t="n">
        <x:f>H404*'Assumptions'!$Y$42*'Assumptions'!$Z$42*'Assumptions'!$D$11*(1+'Assumptions'!$D$13)^(4-1)</x:f>
        <x:v>176.91113539125</x:v>
      </x:c>
      <x:c r="S404" s="10" t="n">
        <x:f>IF(I404=0,0,J404*'Assumptions'!$W$42+H404*'Assumptions'!$X$42)</x:f>
        <x:v>1358.6543100000001</x:v>
      </x:c>
      <x:c r="T404" s="10" t="n">
        <x:f>N404*'Assumptions'!$AA$42</x:f>
        <x:v>1809.121392</x:v>
      </x:c>
      <x:c r="U404" s="10" t="n">
        <x:f>'Assumptions'!$AE$42*'Assumptions'!$D$11*(1+'Assumptions'!$D$13)^(4-1)</x:f>
        <x:v>0</x:v>
      </x:c>
      <x:c r="V404" s="10" t="n">
        <x:f>0</x:f>
        <x:v>0</x:v>
      </x:c>
      <x:c r="W404" s="10" t="n">
        <x:f>H404*('Assumptions'!$P$42+'Assumptions'!$Y$42)</x:f>
        <x:v>350.780625</x:v>
      </x:c>
      <x:c r="X404" s="10" t="n">
        <x:f>N404/12*'Assumptions'!$AF$42</x:f>
        <x:v>3769.0029</x:v>
      </x:c>
      <x:c r="Y404" s="10" t="n">
        <x:f>P404/12</x:f>
        <x:v>19.65679282125</x:v>
      </x:c>
      <x:c r="Z404" s="10" t="n">
        <x:f>0</x:f>
        <x:v>0</x:v>
      </x:c>
      <x:c r="AA404" s="10" t="n">
        <x:f>Z404*'Assumptions'!$AC$42*'Assumptions'!$D$11*(1+'Assumptions'!$D$13)^(4-1)</x:f>
        <x:v>0</x:v>
      </x:c>
      <x:c r="AB404" s="10" t="n">
        <x:f>F404/12</x:f>
        <x:v>0.9982500000000001</x:v>
      </x:c>
      <x:c r="AC404" s="10" t="n">
        <x:f>AB404/'Assumptions'!$AM$42</x:f>
        <x:v>4.99125</x:v>
      </x:c>
      <x:c r="AD404" s="10" t="n">
        <x:f>IF(AB404=0,0,T404/AB404)</x:f>
        <x:v>1812.2929045830201</x:v>
      </x:c>
      <x:c r="AE404" s="10" t="n">
        <x:f>AA404*'Assumptions'!$D$21</x:f>
        <x:v>0</x:v>
      </x:c>
    </x:row>
    <x:row r="405" ht="16" customHeight="1">
      <x:c r="A405" s="1"/>
      <x:c r="B405" s="1"/>
      <x:c r="C405" s="1" t="str">
        <x:v>DOT-014</x:v>
      </x:c>
      <x:c r="D405" s="10" t="str">
        <x:v>BPA professional services</x:v>
      </x:c>
      <x:c r="E405" s="10" t="n">
        <x:v>4</x:v>
      </x:c>
      <x:c r="F405" s="21" t="n">
        <x:f>F277*(1+'Assumptions'!$L$43)</x:f>
        <x:v>7.986000000000002</x:v>
      </x:c>
      <x:c r="G405" s="21" t="n">
        <x:f>H277*'Assumptions'!$K$43</x:f>
        <x:v>6.405000000000001</x:v>
      </x:c>
      <x:c r="H405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405+G405,NA())</x:f>
        <x:v>14.391000000000004</x:v>
      </x:c>
      <x:c r="I405" s="22" t="n">
        <x:f>'Assumptions'!$H$43*IF('Assumptions'!$O$43=1,1,'Assumptions'!$D$10)*(1+'Assumptions'!$N$43)^(4-1)</x:f>
        <x:v>3000</x:v>
      </x:c>
      <x:c r="J405" s="10" t="n">
        <x:f>H405*I405</x:f>
        <x:v>43173.00000000001</x:v>
      </x:c>
      <x:c r="K405" s="10" t="n">
        <x:f>J405*'Assumptions'!$T$43</x:f>
        <x:v>43173.00000000001</x:v>
      </x:c>
      <x:c r="L405" s="10" t="n">
        <x:f>K405*'Assumptions'!$U$43</x:f>
        <x:v>1295.1900000000003</x:v>
      </x:c>
      <x:c r="M405" s="10" t="n">
        <x:f>K405*'Assumptions'!$V$43</x:f>
        <x:v>0</x:v>
      </x:c>
      <x:c r="N405" s="10" t="n">
        <x:f>K405-L405-M405</x:f>
        <x:v>41877.810000000005</x:v>
      </x:c>
      <x:c r="O405" s="10" t="n">
        <x:f>H405*'Assumptions'!$P$43*'Assumptions'!$Q$43*'Assumptions'!$D$11*(1+'Assumptions'!$D$13)^(4-1)</x:f>
        <x:v>18870.521108400004</x:v>
      </x:c>
      <x:c r="P405" s="10" t="n">
        <x:f>H405*'Assumptions'!$R$43*'Assumptions'!$D$11*(1+'Assumptions'!$D$13)^(4-1)</x:f>
        <x:v>157.25434257000003</x:v>
      </x:c>
      <x:c r="Q405" s="10" t="n">
        <x:f>J405*'Assumptions'!$S$43</x:f>
        <x:v>0</x:v>
      </x:c>
      <x:c r="R405" s="10" t="n">
        <x:f>H405*'Assumptions'!$Y$43*'Assumptions'!$Z$43*'Assumptions'!$D$11*(1+'Assumptions'!$D$13)^(4-1)</x:f>
        <x:v>117.94075692750003</x:v>
      </x:c>
      <x:c r="S405" s="10" t="n">
        <x:f>IF(I405=0,0,J405*'Assumptions'!$W$43+H405*'Assumptions'!$X$43)</x:f>
        <x:v>1256.3343000000002</x:v>
      </x:c>
      <x:c r="T405" s="10" t="n">
        <x:f>N405*'Assumptions'!$AA$43</x:f>
        <x:v>1675.1124000000002</x:v>
      </x:c>
      <x:c r="U405" s="10" t="n">
        <x:f>'Assumptions'!$AE$43*'Assumptions'!$D$11*(1+'Assumptions'!$D$13)^(4-1)</x:f>
        <x:v>0</x:v>
      </x:c>
      <x:c r="V405" s="10" t="n">
        <x:f>0</x:f>
        <x:v>0</x:v>
      </x:c>
      <x:c r="W405" s="10" t="n">
        <x:f>H405*('Assumptions'!$P$43+'Assumptions'!$Y$43)</x:f>
        <x:v>291.41775000000007</x:v>
      </x:c>
      <x:c r="X405" s="10" t="n">
        <x:f>N405/12*'Assumptions'!$AF$43</x:f>
        <x:v>3489.8175000000006</x:v>
      </x:c>
      <x:c r="Y405" s="10" t="n">
        <x:f>P405/12</x:f>
        <x:v>13.104528547500003</x:v>
      </x:c>
      <x:c r="Z405" s="10" t="n">
        <x:f>0</x:f>
        <x:v>0</x:v>
      </x:c>
      <x:c r="AA405" s="10" t="n">
        <x:f>Z405*'Assumptions'!$AC$43*'Assumptions'!$D$11*(1+'Assumptions'!$D$13)^(4-1)</x:f>
        <x:v>0</x:v>
      </x:c>
      <x:c r="AB405" s="10" t="n">
        <x:f>F405/12</x:f>
        <x:v>0.6655000000000002</x:v>
      </x:c>
      <x:c r="AC405" s="10" t="n">
        <x:f>AB405/'Assumptions'!$AM$43</x:f>
        <x:v>3.327500000000001</x:v>
      </x:c>
      <x:c r="AD405" s="10" t="n">
        <x:f>IF(AB405=0,0,T405/AB405)</x:f>
        <x:v>2517.073478587528</x:v>
      </x:c>
      <x:c r="AE405" s="10" t="n">
        <x:f>AA405*'Assumptions'!$D$21</x:f>
        <x:v>0</x:v>
      </x:c>
    </x:row>
    <x:row r="406" ht="16" customHeight="1">
      <x:c r="A406" s="1"/>
      <x:c r="B406" s="1"/>
      <x:c r="C406" s="1" t="str">
        <x:v>DOT-015</x:v>
      </x:c>
      <x:c r="D406" s="10" t="str">
        <x:v>BPA professional services</x:v>
      </x:c>
      <x:c r="E406" s="10" t="n">
        <x:v>4</x:v>
      </x:c>
      <x:c r="F406" s="21" t="n">
        <x:f>F278*(1+'Assumptions'!$L$44)</x:f>
        <x:v>6.655000000000001</x:v>
      </x:c>
      <x:c r="G406" s="21" t="n">
        <x:f>H278*'Assumptions'!$K$44</x:f>
        <x:v>5.3375</x:v>
      </x:c>
      <x:c r="H406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406+G406,NA())</x:f>
        <x:v>11.992500000000001</x:v>
      </x:c>
      <x:c r="I406" s="22" t="n">
        <x:f>'Assumptions'!$H$44*IF('Assumptions'!$O$44=1,1,'Assumptions'!$D$10)*(1+'Assumptions'!$N$44)^(4-1)</x:f>
        <x:v>1200</x:v>
      </x:c>
      <x:c r="J406" s="10" t="n">
        <x:f>H406*I406</x:f>
        <x:v>14391.000000000002</x:v>
      </x:c>
      <x:c r="K406" s="10" t="n">
        <x:f>J406*'Assumptions'!$T$44</x:f>
        <x:v>14391.000000000002</x:v>
      </x:c>
      <x:c r="L406" s="10" t="n">
        <x:f>K406*'Assumptions'!$U$44</x:f>
        <x:v>431.73</x:v>
      </x:c>
      <x:c r="M406" s="10" t="n">
        <x:f>K406*'Assumptions'!$V$44</x:f>
        <x:v>0</x:v>
      </x:c>
      <x:c r="N406" s="10" t="n">
        <x:f>K406-L406-M406</x:f>
        <x:v>13959.270000000002</x:v>
      </x:c>
      <x:c r="O406" s="10" t="n">
        <x:f>H406*'Assumptions'!$P$44*'Assumptions'!$Q$44*'Assumptions'!$D$11*(1+'Assumptions'!$D$13)^(4-1)</x:f>
        <x:v>7862.717128500001</x:v>
      </x:c>
      <x:c r="P406" s="10" t="n">
        <x:f>H406*'Assumptions'!$R$44*'Assumptions'!$D$11*(1+'Assumptions'!$D$13)^(4-1)</x:f>
        <x:v>131.04528547500001</x:v>
      </x:c>
      <x:c r="Q406" s="10" t="n">
        <x:f>J406*'Assumptions'!$S$44</x:f>
        <x:v>0</x:v>
      </x:c>
      <x:c r="R406" s="10" t="n">
        <x:f>H406*'Assumptions'!$Y$44*'Assumptions'!$Z$44*'Assumptions'!$D$11*(1+'Assumptions'!$D$13)^(4-1)</x:f>
        <x:v>98.28396410625001</x:v>
      </x:c>
      <x:c r="S406" s="10" t="n">
        <x:f>IF(I406=0,0,J406*'Assumptions'!$W$44+H406*'Assumptions'!$X$44)</x:f>
        <x:v>420.9367500000001</x:v>
      </x:c>
      <x:c r="T406" s="10" t="n">
        <x:f>N406*'Assumptions'!$AA$44</x:f>
        <x:v>558.3708000000001</x:v>
      </x:c>
      <x:c r="U406" s="10" t="n">
        <x:f>'Assumptions'!$AE$44*'Assumptions'!$D$11*(1+'Assumptions'!$D$13)^(4-1)</x:f>
        <x:v>0</x:v>
      </x:c>
      <x:c r="V406" s="10" t="n">
        <x:f>0</x:f>
        <x:v>0</x:v>
      </x:c>
      <x:c r="W406" s="10" t="n">
        <x:f>H406*('Assumptions'!$P$44+'Assumptions'!$Y$44)</x:f>
        <x:v>122.92312500000001</x:v>
      </x:c>
      <x:c r="X406" s="10" t="n">
        <x:f>N406/12*'Assumptions'!$AF$44</x:f>
        <x:v>1163.2725000000003</x:v>
      </x:c>
      <x:c r="Y406" s="10" t="n">
        <x:f>P406/12</x:f>
        <x:v>10.92044045625</x:v>
      </x:c>
      <x:c r="Z406" s="10" t="n">
        <x:f>0</x:f>
        <x:v>0</x:v>
      </x:c>
      <x:c r="AA406" s="10" t="n">
        <x:f>Z406*'Assumptions'!$AC$44*'Assumptions'!$D$11*(1+'Assumptions'!$D$13)^(4-1)</x:f>
        <x:v>0</x:v>
      </x:c>
      <x:c r="AB406" s="10" t="n">
        <x:f>F406/1</x:f>
        <x:v>6.655000000000001</x:v>
      </x:c>
      <x:c r="AC406" s="10" t="n">
        <x:f>AB406/'Assumptions'!$AM$44</x:f>
        <x:v>33.275000000000006</x:v>
      </x:c>
      <x:c r="AD406" s="10" t="n">
        <x:f>IF(AB406=0,0,T406/AB406)</x:f>
        <x:v>83.90244928625094</x:v>
      </x:c>
      <x:c r="AE406" s="10" t="n">
        <x:f>AA406*'Assumptions'!$D$21</x:f>
        <x:v>0</x:v>
      </x:c>
    </x:row>
    <x:row r="407" ht="16" customHeight="1">
      <x:c r="A407" s="1"/>
      <x:c r="B407" s="1"/>
      <x:c r="C407" s="1" t="str">
        <x:v>DOT-016</x:v>
      </x:c>
      <x:c r="D407" s="10" t="str">
        <x:v>BPA professional services</x:v>
      </x:c>
      <x:c r="E407" s="10" t="n">
        <x:v>4</x:v>
      </x:c>
      <x:c r="F407" s="21" t="n">
        <x:f>F279*(1+'Assumptions'!$L$45)</x:f>
        <x:v>3.993000000000001</x:v>
      </x:c>
      <x:c r="G407" s="21" t="n">
        <x:f>H279*'Assumptions'!$K$45</x:f>
        <x:v>3.2025000000000006</x:v>
      </x:c>
      <x:c r="H407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407+G407,NA())</x:f>
        <x:v>7.195500000000002</x:v>
      </x:c>
      <x:c r="I407" s="22" t="n">
        <x:f>'Assumptions'!$H$45*IF('Assumptions'!$O$45=1,1,'Assumptions'!$D$10)*(1+'Assumptions'!$N$45)^(4-1)</x:f>
        <x:v>1800</x:v>
      </x:c>
      <x:c r="J407" s="10" t="n">
        <x:f>H407*I407</x:f>
        <x:v>12951.900000000003</x:v>
      </x:c>
      <x:c r="K407" s="10" t="n">
        <x:f>J407*'Assumptions'!$T$45</x:f>
        <x:v>12951.900000000003</x:v>
      </x:c>
      <x:c r="L407" s="10" t="n">
        <x:f>K407*'Assumptions'!$U$45</x:f>
        <x:v>388.5570000000001</x:v>
      </x:c>
      <x:c r="M407" s="10" t="n">
        <x:f>K407*'Assumptions'!$V$45</x:f>
        <x:v>0</x:v>
      </x:c>
      <x:c r="N407" s="10" t="n">
        <x:f>K407-L407-M407</x:f>
        <x:v>12563.343000000003</x:v>
      </x:c>
      <x:c r="O407" s="10" t="n">
        <x:f>H407*'Assumptions'!$P$45*'Assumptions'!$Q$45*'Assumptions'!$D$11*(1+'Assumptions'!$D$13)^(4-1)</x:f>
        <x:v>2358.8151385500005</x:v>
      </x:c>
      <x:c r="P407" s="10" t="n">
        <x:f>H407*'Assumptions'!$R$45*'Assumptions'!$D$11*(1+'Assumptions'!$D$13)^(4-1)</x:f>
        <x:v>78.62717128500002</x:v>
      </x:c>
      <x:c r="Q407" s="10" t="n">
        <x:f>J407*'Assumptions'!$S$45</x:f>
        <x:v>0</x:v>
      </x:c>
      <x:c r="R407" s="10" t="n">
        <x:f>H407*'Assumptions'!$Y$45*'Assumptions'!$Z$45*'Assumptions'!$D$11*(1+'Assumptions'!$D$13)^(4-1)</x:f>
        <x:v>58.970378463750016</x:v>
      </x:c>
      <x:c r="S407" s="10" t="n">
        <x:f>IF(I407=0,0,J407*'Assumptions'!$W$45+H407*'Assumptions'!$X$45)</x:f>
        <x:v>377.76375000000013</x:v>
      </x:c>
      <x:c r="T407" s="10" t="n">
        <x:f>N407*'Assumptions'!$AA$45</x:f>
        <x:v>502.53372000000013</x:v>
      </x:c>
      <x:c r="U407" s="10" t="n">
        <x:f>'Assumptions'!$AE$45*'Assumptions'!$D$11*(1+'Assumptions'!$D$13)^(4-1)</x:f>
        <x:v>0</x:v>
      </x:c>
      <x:c r="V407" s="10" t="n">
        <x:f>0</x:f>
        <x:v>0</x:v>
      </x:c>
      <x:c r="W407" s="10" t="n">
        <x:f>H407*('Assumptions'!$P$45+'Assumptions'!$Y$45)</x:f>
        <x:v>37.77637500000001</x:v>
      </x:c>
      <x:c r="X407" s="10" t="n">
        <x:f>N407/12*'Assumptions'!$AF$45</x:f>
        <x:v>1046.9452500000002</x:v>
      </x:c>
      <x:c r="Y407" s="10" t="n">
        <x:f>P407/12</x:f>
        <x:v>6.552264273750001</x:v>
      </x:c>
      <x:c r="Z407" s="10" t="n">
        <x:f>0</x:f>
        <x:v>0</x:v>
      </x:c>
      <x:c r="AA407" s="10" t="n">
        <x:f>Z407*'Assumptions'!$AC$45*'Assumptions'!$D$11*(1+'Assumptions'!$D$13)^(4-1)</x:f>
        <x:v>0</x:v>
      </x:c>
      <x:c r="AB407" s="10" t="n">
        <x:f>F407/1</x:f>
        <x:v>3.993000000000001</x:v>
      </x:c>
      <x:c r="AC407" s="10" t="n">
        <x:f>AB407/'Assumptions'!$AM$45</x:f>
        <x:v>19.965000000000003</x:v>
      </x:c>
      <x:c r="AD407" s="10" t="n">
        <x:f>IF(AB407=0,0,T407/AB407)</x:f>
        <x:v>125.8536739293764</x:v>
      </x:c>
      <x:c r="AE407" s="10" t="n">
        <x:f>AA407*'Assumptions'!$D$21</x:f>
        <x:v>0</x:v>
      </x:c>
    </x:row>
    <x:row r="408" ht="16" customHeight="1">
      <x:c r="A408" s="1"/>
      <x:c r="B408" s="1"/>
      <x:c r="C408" s="1" t="str">
        <x:v>DOT-017</x:v>
      </x:c>
      <x:c r="D408" s="10" t="str">
        <x:v>BPA professional services</x:v>
      </x:c>
      <x:c r="E408" s="10" t="n">
        <x:v>4</x:v>
      </x:c>
      <x:c r="F408" s="21" t="n">
        <x:f>F280*(1+'Assumptions'!$L$46)</x:f>
        <x:v>3.993000000000001</x:v>
      </x:c>
      <x:c r="G408" s="21" t="n">
        <x:f>H280*'Assumptions'!$K$46</x:f>
        <x:v>3.2025000000000006</x:v>
      </x:c>
      <x:c r="H408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408+G408,NA())</x:f>
        <x:v>7.195500000000002</x:v>
      </x:c>
      <x:c r="I408" s="22" t="n">
        <x:f>'Assumptions'!$H$46*IF('Assumptions'!$O$46=1,1,'Assumptions'!$D$10)*(1+'Assumptions'!$N$46)^(4-1)</x:f>
        <x:v>1500</x:v>
      </x:c>
      <x:c r="J408" s="10" t="n">
        <x:f>H408*I408</x:f>
        <x:v>10793.250000000002</x:v>
      </x:c>
      <x:c r="K408" s="10" t="n">
        <x:f>J408*'Assumptions'!$T$46</x:f>
        <x:v>10793.250000000002</x:v>
      </x:c>
      <x:c r="L408" s="10" t="n">
        <x:f>K408*'Assumptions'!$U$46</x:f>
        <x:v>323.79750000000007</x:v>
      </x:c>
      <x:c r="M408" s="10" t="n">
        <x:f>K408*'Assumptions'!$V$46</x:f>
        <x:v>0</x:v>
      </x:c>
      <x:c r="N408" s="10" t="n">
        <x:f>K408-L408-M408</x:f>
        <x:v>10469.452500000001</x:v>
      </x:c>
      <x:c r="O408" s="10" t="n">
        <x:f>H408*'Assumptions'!$P$46*'Assumptions'!$Q$46*'Assumptions'!$D$11*(1+'Assumptions'!$D$13)^(4-1)</x:f>
        <x:v>2830.5781662600007</x:v>
      </x:c>
      <x:c r="P408" s="10" t="n">
        <x:f>H408*'Assumptions'!$R$46*'Assumptions'!$D$11*(1+'Assumptions'!$D$13)^(4-1)</x:f>
        <x:v>78.62717128500002</x:v>
      </x:c>
      <x:c r="Q408" s="10" t="n">
        <x:f>J408*'Assumptions'!$S$46</x:f>
        <x:v>0</x:v>
      </x:c>
      <x:c r="R408" s="10" t="n">
        <x:f>H408*'Assumptions'!$Y$46*'Assumptions'!$Z$46*'Assumptions'!$D$11*(1+'Assumptions'!$D$13)^(4-1)</x:f>
        <x:v>58.970378463750016</x:v>
      </x:c>
      <x:c r="S408" s="10" t="n">
        <x:f>IF(I408=0,0,J408*'Assumptions'!$W$46+H408*'Assumptions'!$X$46)</x:f>
        <x:v>315.1629000000001</x:v>
      </x:c>
      <x:c r="T408" s="10" t="n">
        <x:f>N408*'Assumptions'!$AA$46</x:f>
        <x:v>418.77810000000005</x:v>
      </x:c>
      <x:c r="U408" s="10" t="n">
        <x:f>'Assumptions'!$AE$46*'Assumptions'!$D$11*(1+'Assumptions'!$D$13)^(4-1)</x:f>
        <x:v>0</x:v>
      </x:c>
      <x:c r="V408" s="10" t="n">
        <x:f>0</x:f>
        <x:v>0</x:v>
      </x:c>
      <x:c r="W408" s="10" t="n">
        <x:f>H408*('Assumptions'!$P$46+'Assumptions'!$Y$46)</x:f>
        <x:v>44.97187500000001</x:v>
      </x:c>
      <x:c r="X408" s="10" t="n">
        <x:f>N408/12*'Assumptions'!$AF$46</x:f>
        <x:v>872.4543750000001</x:v>
      </x:c>
      <x:c r="Y408" s="10" t="n">
        <x:f>P408/12</x:f>
        <x:v>6.552264273750001</x:v>
      </x:c>
      <x:c r="Z408" s="10" t="n">
        <x:f>0</x:f>
        <x:v>0</x:v>
      </x:c>
      <x:c r="AA408" s="10" t="n">
        <x:f>Z408*'Assumptions'!$AC$46*'Assumptions'!$D$11*(1+'Assumptions'!$D$13)^(4-1)</x:f>
        <x:v>0</x:v>
      </x:c>
      <x:c r="AB408" s="10" t="n">
        <x:f>F408/1</x:f>
        <x:v>3.993000000000001</x:v>
      </x:c>
      <x:c r="AC408" s="10" t="n">
        <x:f>AB408/'Assumptions'!$AM$46</x:f>
        <x:v>19.965000000000003</x:v>
      </x:c>
      <x:c r="AD408" s="10" t="n">
        <x:f>IF(AB408=0,0,T408/AB408)</x:f>
        <x:v>104.87806160781365</x:v>
      </x:c>
      <x:c r="AE408" s="10" t="n">
        <x:f>AA408*'Assumptions'!$D$21</x:f>
        <x:v>0</x:v>
      </x:c>
    </x:row>
    <x:row r="409" ht="16" customHeight="1">
      <x:c r="A409" s="1"/>
      <x:c r="B409" s="1"/>
      <x:c r="C409" s="1" t="str">
        <x:v>DOT-018</x:v>
      </x:c>
      <x:c r="D409" s="10" t="str">
        <x:v>BPA professional services</x:v>
      </x:c>
      <x:c r="E409" s="10" t="n">
        <x:v>4</x:v>
      </x:c>
      <x:c r="F409" s="21" t="n">
        <x:f>F281*(1+'Assumptions'!$L$47)</x:f>
        <x:v>5.324000000000002</x:v>
      </x:c>
      <x:c r="G409" s="21" t="n">
        <x:f>H281*'Assumptions'!$K$47</x:f>
        <x:v>4.2700000000000005</x:v>
      </x:c>
      <x:c r="H409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409+G409,NA())</x:f>
        <x:v>9.594000000000001</x:v>
      </x:c>
      <x:c r="I409" s="22" t="n">
        <x:f>'Assumptions'!$H$47*IF('Assumptions'!$O$47=1,1,'Assumptions'!$D$10)*(1+'Assumptions'!$N$47)^(4-1)</x:f>
        <x:v>1200</x:v>
      </x:c>
      <x:c r="J409" s="10" t="n">
        <x:f>H409*I409</x:f>
        <x:v>11512.800000000001</x:v>
      </x:c>
      <x:c r="K409" s="10" t="n">
        <x:f>J409*'Assumptions'!$T$47</x:f>
        <x:v>11512.800000000001</x:v>
      </x:c>
      <x:c r="L409" s="10" t="n">
        <x:f>K409*'Assumptions'!$U$47</x:f>
        <x:v>345.384</x:v>
      </x:c>
      <x:c r="M409" s="10" t="n">
        <x:f>K409*'Assumptions'!$V$47</x:f>
        <x:v>0</x:v>
      </x:c>
      <x:c r="N409" s="10" t="n">
        <x:f>K409-L409-M409</x:f>
        <x:v>11167.416000000001</x:v>
      </x:c>
      <x:c r="O409" s="10" t="n">
        <x:f>H409*'Assumptions'!$P$47*'Assumptions'!$Q$47*'Assumptions'!$D$11*(1+'Assumptions'!$D$13)^(4-1)</x:f>
        <x:v>2516.0694811200005</x:v>
      </x:c>
      <x:c r="P409" s="10" t="n">
        <x:f>H409*'Assumptions'!$R$47*'Assumptions'!$D$11*(1+'Assumptions'!$D$13)^(4-1)</x:f>
        <x:v>104.83622838000001</x:v>
      </x:c>
      <x:c r="Q409" s="10" t="n">
        <x:f>J409*'Assumptions'!$S$47</x:f>
        <x:v>0</x:v>
      </x:c>
      <x:c r="R409" s="10" t="n">
        <x:f>H409*'Assumptions'!$Y$47*'Assumptions'!$Z$47*'Assumptions'!$D$11*(1+'Assumptions'!$D$13)^(4-1)</x:f>
        <x:v>78.62717128500002</x:v>
      </x:c>
      <x:c r="S409" s="10" t="n">
        <x:f>IF(I409=0,0,J409*'Assumptions'!$W$47+H409*'Assumptions'!$X$47)</x:f>
        <x:v>336.74940000000004</x:v>
      </x:c>
      <x:c r="T409" s="10" t="n">
        <x:f>N409*'Assumptions'!$AA$47</x:f>
        <x:v>446.69664000000006</x:v>
      </x:c>
      <x:c r="U409" s="10" t="n">
        <x:f>'Assumptions'!$AE$47*'Assumptions'!$D$11*(1+'Assumptions'!$D$13)^(4-1)</x:f>
        <x:v>0</x:v>
      </x:c>
      <x:c r="V409" s="10" t="n">
        <x:f>0</x:f>
        <x:v>0</x:v>
      </x:c>
      <x:c r="W409" s="10" t="n">
        <x:f>H409*('Assumptions'!$P$47+'Assumptions'!$Y$47)</x:f>
        <x:v>40.7745</x:v>
      </x:c>
      <x:c r="X409" s="10" t="n">
        <x:f>N409/12*'Assumptions'!$AF$47</x:f>
        <x:v>930.618</x:v>
      </x:c>
      <x:c r="Y409" s="10" t="n">
        <x:f>P409/12</x:f>
        <x:v>8.736352365</x:v>
      </x:c>
      <x:c r="Z409" s="10" t="n">
        <x:f>0</x:f>
        <x:v>0</x:v>
      </x:c>
      <x:c r="AA409" s="10" t="n">
        <x:f>Z409*'Assumptions'!$AC$47*'Assumptions'!$D$11*(1+'Assumptions'!$D$13)^(4-1)</x:f>
        <x:v>0</x:v>
      </x:c>
      <x:c r="AB409" s="10" t="n">
        <x:f>F409/1</x:f>
        <x:v>5.324000000000002</x:v>
      </x:c>
      <x:c r="AC409" s="10" t="n">
        <x:f>AB409/'Assumptions'!$AM$47</x:f>
        <x:v>26.620000000000008</x:v>
      </x:c>
      <x:c r="AD409" s="10" t="n">
        <x:f>IF(AB409=0,0,T409/AB409)</x:f>
        <x:v>83.90244928625093</x:v>
      </x:c>
      <x:c r="AE409" s="10" t="n">
        <x:f>AA409*'Assumptions'!$D$21</x:f>
        <x:v>0</x:v>
      </x:c>
    </x:row>
    <x:row r="410" ht="16" customHeight="1">
      <x:c r="A410" s="1"/>
      <x:c r="B410" s="1"/>
      <x:c r="C410" s="1" t="str">
        <x:v>DOT-019</x:v>
      </x:c>
      <x:c r="D410" s="10" t="str">
        <x:v>BPA professional services</x:v>
      </x:c>
      <x:c r="E410" s="10" t="n">
        <x:v>4</x:v>
      </x:c>
      <x:c r="F410" s="21" t="n">
        <x:f>F282*(1+'Assumptions'!$L$48)</x:f>
        <x:v>2.662000000000001</x:v>
      </x:c>
      <x:c r="G410" s="21" t="n">
        <x:f>H282*'Assumptions'!$K$48</x:f>
        <x:v>2.1350000000000002</x:v>
      </x:c>
      <x:c r="H410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410+G410,NA())</x:f>
        <x:v>4.797000000000001</x:v>
      </x:c>
      <x:c r="I410" s="22" t="n">
        <x:f>'Assumptions'!$H$48*IF('Assumptions'!$O$48=1,1,'Assumptions'!$D$10)*(1+'Assumptions'!$N$48)^(4-1)</x:f>
        <x:v>3000</x:v>
      </x:c>
      <x:c r="J410" s="10" t="n">
        <x:f>H410*I410</x:f>
        <x:v>14391.000000000002</x:v>
      </x:c>
      <x:c r="K410" s="10" t="n">
        <x:f>J410*'Assumptions'!$T$48</x:f>
        <x:v>14391.000000000002</x:v>
      </x:c>
      <x:c r="L410" s="10" t="n">
        <x:f>K410*'Assumptions'!$U$48</x:f>
        <x:v>431.73</x:v>
      </x:c>
      <x:c r="M410" s="10" t="n">
        <x:f>K410*'Assumptions'!$V$48</x:f>
        <x:v>0</x:v>
      </x:c>
      <x:c r="N410" s="10" t="n">
        <x:f>K410-L410-M410</x:f>
        <x:v>13959.270000000002</x:v>
      </x:c>
      <x:c r="O410" s="10" t="n">
        <x:f>H410*'Assumptions'!$P$48*'Assumptions'!$Q$48*'Assumptions'!$D$11*(1+'Assumptions'!$D$13)^(4-1)</x:f>
        <x:v>3774.1042216800006</x:v>
      </x:c>
      <x:c r="P410" s="10" t="n">
        <x:f>H410*'Assumptions'!$R$48*'Assumptions'!$D$11*(1+'Assumptions'!$D$13)^(4-1)</x:f>
        <x:v>52.418114190000004</x:v>
      </x:c>
      <x:c r="Q410" s="10" t="n">
        <x:f>J410*'Assumptions'!$S$48</x:f>
        <x:v>0</x:v>
      </x:c>
      <x:c r="R410" s="10" t="n">
        <x:f>H410*'Assumptions'!$Y$48*'Assumptions'!$Z$48*'Assumptions'!$D$11*(1+'Assumptions'!$D$13)^(4-1)</x:f>
        <x:v>39.31358564250001</x:v>
      </x:c>
      <x:c r="S410" s="10" t="n">
        <x:f>IF(I410=0,0,J410*'Assumptions'!$W$48+H410*'Assumptions'!$X$48)</x:f>
        <x:v>418.77810000000005</x:v>
      </x:c>
      <x:c r="T410" s="10" t="n">
        <x:f>N410*'Assumptions'!$AA$48</x:f>
        <x:v>558.3708000000001</x:v>
      </x:c>
      <x:c r="U410" s="10" t="n">
        <x:f>'Assumptions'!$AE$48*'Assumptions'!$D$11*(1+'Assumptions'!$D$13)^(4-1)</x:f>
        <x:v>0</x:v>
      </x:c>
      <x:c r="V410" s="10" t="n">
        <x:f>0</x:f>
        <x:v>0</x:v>
      </x:c>
      <x:c r="W410" s="10" t="n">
        <x:f>H410*('Assumptions'!$P$48+'Assumptions'!$Y$48)</x:f>
        <x:v>58.763250000000006</x:v>
      </x:c>
      <x:c r="X410" s="10" t="n">
        <x:f>N410/12*'Assumptions'!$AF$48</x:f>
        <x:v>1163.2725000000003</x:v>
      </x:c>
      <x:c r="Y410" s="10" t="n">
        <x:f>P410/12</x:f>
        <x:v>4.3681761825</x:v>
      </x:c>
      <x:c r="Z410" s="10" t="n">
        <x:f>0</x:f>
        <x:v>0</x:v>
      </x:c>
      <x:c r="AA410" s="10" t="n">
        <x:f>Z410*'Assumptions'!$AC$48*'Assumptions'!$D$11*(1+'Assumptions'!$D$13)^(4-1)</x:f>
        <x:v>0</x:v>
      </x:c>
      <x:c r="AB410" s="10" t="n">
        <x:f>F410/1</x:f>
        <x:v>2.662000000000001</x:v>
      </x:c>
      <x:c r="AC410" s="10" t="n">
        <x:f>AB410/'Assumptions'!$AM$48</x:f>
        <x:v>13.310000000000004</x:v>
      </x:c>
      <x:c r="AD410" s="10" t="n">
        <x:f>IF(AB410=0,0,T410/AB410)</x:f>
        <x:v>209.75612321562733</x:v>
      </x:c>
      <x:c r="AE410" s="10" t="n">
        <x:f>AA410*'Assumptions'!$D$21</x:f>
        <x:v>0</x:v>
      </x:c>
    </x:row>
    <x:row r="411" ht="16" customHeight="1">
      <x:c r="A411" s="1"/>
      <x:c r="B411" s="1"/>
      <x:c r="C411" s="1" t="str">
        <x:v>DOT-020</x:v>
      </x:c>
      <x:c r="D411" s="10" t="str">
        <x:v>BPA professional services</x:v>
      </x:c>
      <x:c r="E411" s="10" t="n">
        <x:v>4</x:v>
      </x:c>
      <x:c r="F411" s="21" t="n">
        <x:f>F283*(1+'Assumptions'!$L$49)</x:f>
        <x:v>3.993000000000001</x:v>
      </x:c>
      <x:c r="G411" s="21" t="n">
        <x:f>H283*'Assumptions'!$K$49</x:f>
        <x:v>3.2025000000000006</x:v>
      </x:c>
      <x:c r="H411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411+G411,NA())</x:f>
        <x:v>7.195500000000002</x:v>
      </x:c>
      <x:c r="I411" s="22" t="n">
        <x:f>'Assumptions'!$H$49*IF('Assumptions'!$O$49=1,1,'Assumptions'!$D$10)*(1+'Assumptions'!$N$49)^(4-1)</x:f>
        <x:v>1800</x:v>
      </x:c>
      <x:c r="J411" s="10" t="n">
        <x:f>H411*I411</x:f>
        <x:v>12951.900000000003</x:v>
      </x:c>
      <x:c r="K411" s="10" t="n">
        <x:f>J411*'Assumptions'!$T$49</x:f>
        <x:v>12951.900000000003</x:v>
      </x:c>
      <x:c r="L411" s="10" t="n">
        <x:f>K411*'Assumptions'!$U$49</x:f>
        <x:v>388.5570000000001</x:v>
      </x:c>
      <x:c r="M411" s="10" t="n">
        <x:f>K411*'Assumptions'!$V$49</x:f>
        <x:v>0</x:v>
      </x:c>
      <x:c r="N411" s="10" t="n">
        <x:f>K411-L411-M411</x:f>
        <x:v>12563.343000000003</x:v>
      </x:c>
      <x:c r="O411" s="10" t="n">
        <x:f>H411*'Assumptions'!$P$49*'Assumptions'!$Q$49*'Assumptions'!$D$11*(1+'Assumptions'!$D$13)^(4-1)</x:f>
        <x:v>2830.5781662600007</x:v>
      </x:c>
      <x:c r="P411" s="10" t="n">
        <x:f>H411*'Assumptions'!$R$49*'Assumptions'!$D$11*(1+'Assumptions'!$D$13)^(4-1)</x:f>
        <x:v>78.62717128500002</x:v>
      </x:c>
      <x:c r="Q411" s="10" t="n">
        <x:f>J411*'Assumptions'!$S$49</x:f>
        <x:v>0</x:v>
      </x:c>
      <x:c r="R411" s="10" t="n">
        <x:f>H411*'Assumptions'!$Y$49*'Assumptions'!$Z$49*'Assumptions'!$D$11*(1+'Assumptions'!$D$13)^(4-1)</x:f>
        <x:v>58.970378463750016</x:v>
      </x:c>
      <x:c r="S411" s="10" t="n">
        <x:f>IF(I411=0,0,J411*'Assumptions'!$W$49+H411*'Assumptions'!$X$49)</x:f>
        <x:v>377.76375000000013</x:v>
      </x:c>
      <x:c r="T411" s="10" t="n">
        <x:f>N411*'Assumptions'!$AA$49</x:f>
        <x:v>502.53372000000013</x:v>
      </x:c>
      <x:c r="U411" s="10" t="n">
        <x:f>'Assumptions'!$AE$49*'Assumptions'!$D$11*(1+'Assumptions'!$D$13)^(4-1)</x:f>
        <x:v>0</x:v>
      </x:c>
      <x:c r="V411" s="10" t="n">
        <x:f>0</x:f>
        <x:v>0</x:v>
      </x:c>
      <x:c r="W411" s="10" t="n">
        <x:f>H411*('Assumptions'!$P$49+'Assumptions'!$Y$49)</x:f>
        <x:v>44.97187500000001</x:v>
      </x:c>
      <x:c r="X411" s="10" t="n">
        <x:f>N411/12*'Assumptions'!$AF$49</x:f>
        <x:v>1046.9452500000002</x:v>
      </x:c>
      <x:c r="Y411" s="10" t="n">
        <x:f>P411/12</x:f>
        <x:v>6.552264273750001</x:v>
      </x:c>
      <x:c r="Z411" s="10" t="n">
        <x:f>0</x:f>
        <x:v>0</x:v>
      </x:c>
      <x:c r="AA411" s="10" t="n">
        <x:f>Z411*'Assumptions'!$AC$49*'Assumptions'!$D$11*(1+'Assumptions'!$D$13)^(4-1)</x:f>
        <x:v>0</x:v>
      </x:c>
      <x:c r="AB411" s="10" t="n">
        <x:f>F411/1</x:f>
        <x:v>3.993000000000001</x:v>
      </x:c>
      <x:c r="AC411" s="10" t="n">
        <x:f>AB411/'Assumptions'!$AM$49</x:f>
        <x:v>19.965000000000003</x:v>
      </x:c>
      <x:c r="AD411" s="10" t="n">
        <x:f>IF(AB411=0,0,T411/AB411)</x:f>
        <x:v>125.8536739293764</x:v>
      </x:c>
      <x:c r="AE411" s="10" t="n">
        <x:f>AA411*'Assumptions'!$D$21</x:f>
        <x:v>0</x:v>
      </x:c>
    </x:row>
    <x:row r="412" ht="16" customHeight="1">
      <x:c r="A412" s="1"/>
      <x:c r="B412" s="1"/>
      <x:c r="C412" s="1" t="str">
        <x:v>DOT-021</x:v>
      </x:c>
      <x:c r="D412" s="10" t="str">
        <x:v>BPA professional services</x:v>
      </x:c>
      <x:c r="E412" s="10" t="n">
        <x:v>4</x:v>
      </x:c>
      <x:c r="F412" s="21" t="n">
        <x:f>F284*(1+'Assumptions'!$L$50)</x:f>
        <x:v>2.662000000000001</x:v>
      </x:c>
      <x:c r="G412" s="21" t="n">
        <x:f>H284*'Assumptions'!$K$50</x:f>
        <x:v>2.1350000000000002</x:v>
      </x:c>
      <x:c r="H412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412+G412,NA())</x:f>
        <x:v>4.797000000000001</x:v>
      </x:c>
      <x:c r="I412" s="22" t="n">
        <x:f>'Assumptions'!$H$50*IF('Assumptions'!$O$50=1,1,'Assumptions'!$D$10)*(1+'Assumptions'!$N$50)^(4-1)</x:f>
        <x:v>4200</x:v>
      </x:c>
      <x:c r="J412" s="10" t="n">
        <x:f>H412*I412</x:f>
        <x:v>20147.4</x:v>
      </x:c>
      <x:c r="K412" s="10" t="n">
        <x:f>J412*'Assumptions'!$T$50</x:f>
        <x:v>20147.4</x:v>
      </x:c>
      <x:c r="L412" s="10" t="n">
        <x:f>K412*'Assumptions'!$U$50</x:f>
        <x:v>604.422</x:v>
      </x:c>
      <x:c r="M412" s="10" t="n">
        <x:f>K412*'Assumptions'!$V$50</x:f>
        <x:v>0</x:v>
      </x:c>
      <x:c r="N412" s="10" t="n">
        <x:f>K412-L412-M412</x:f>
        <x:v>19542.978000000003</x:v>
      </x:c>
      <x:c r="O412" s="10" t="n">
        <x:f>H412*'Assumptions'!$P$50*'Assumptions'!$Q$50*'Assumptions'!$D$11*(1+'Assumptions'!$D$13)^(4-1)</x:f>
        <x:v>3774.1042216800006</x:v>
      </x:c>
      <x:c r="P412" s="10" t="n">
        <x:f>H412*'Assumptions'!$R$50*'Assumptions'!$D$11*(1+'Assumptions'!$D$13)^(4-1)</x:f>
        <x:v>52.418114190000004</x:v>
      </x:c>
      <x:c r="Q412" s="10" t="n">
        <x:f>J412*'Assumptions'!$S$50</x:f>
        <x:v>0</x:v>
      </x:c>
      <x:c r="R412" s="10" t="n">
        <x:f>H412*'Assumptions'!$Y$50*'Assumptions'!$Z$50*'Assumptions'!$D$11*(1+'Assumptions'!$D$13)^(4-1)</x:f>
        <x:v>39.31358564250001</x:v>
      </x:c>
      <x:c r="S412" s="10" t="n">
        <x:f>IF(I412=0,0,J412*'Assumptions'!$W$50+H412*'Assumptions'!$X$50)</x:f>
        <x:v>585.7137000000001</x:v>
      </x:c>
      <x:c r="T412" s="10" t="n">
        <x:f>N412*'Assumptions'!$AA$50</x:f>
        <x:v>781.7191200000001</x:v>
      </x:c>
      <x:c r="U412" s="10" t="n">
        <x:f>'Assumptions'!$AE$50*'Assumptions'!$D$11*(1+'Assumptions'!$D$13)^(4-1)</x:f>
        <x:v>0</x:v>
      </x:c>
      <x:c r="V412" s="10" t="n">
        <x:f>0</x:f>
        <x:v>0</x:v>
      </x:c>
      <x:c r="W412" s="10" t="n">
        <x:f>H412*('Assumptions'!$P$50+'Assumptions'!$Y$50)</x:f>
        <x:v>58.763250000000006</x:v>
      </x:c>
      <x:c r="X412" s="10" t="n">
        <x:f>N412/12*'Assumptions'!$AF$50</x:f>
        <x:v>1628.5815000000002</x:v>
      </x:c>
      <x:c r="Y412" s="10" t="n">
        <x:f>P412/12</x:f>
        <x:v>4.3681761825</x:v>
      </x:c>
      <x:c r="Z412" s="10" t="n">
        <x:f>0</x:f>
        <x:v>0</x:v>
      </x:c>
      <x:c r="AA412" s="10" t="n">
        <x:f>Z412*'Assumptions'!$AC$50*'Assumptions'!$D$11*(1+'Assumptions'!$D$13)^(4-1)</x:f>
        <x:v>0</x:v>
      </x:c>
      <x:c r="AB412" s="10" t="n">
        <x:f>F412/1</x:f>
        <x:v>2.662000000000001</x:v>
      </x:c>
      <x:c r="AC412" s="10" t="n">
        <x:f>AB412/'Assumptions'!$AM$50</x:f>
        <x:v>13.310000000000004</x:v>
      </x:c>
      <x:c r="AD412" s="10" t="n">
        <x:f>IF(AB412=0,0,T412/AB412)</x:f>
        <x:v>293.6585725018782</x:v>
      </x:c>
      <x:c r="AE412" s="10" t="n">
        <x:f>AA412*'Assumptions'!$D$21</x:f>
        <x:v>0</x:v>
      </x:c>
    </x:row>
    <x:row r="413" ht="16" customHeight="1">
      <x:c r="A413" s="1"/>
      <x:c r="B413" s="1"/>
      <x:c r="C413" s="1" t="str">
        <x:v>DOT-022</x:v>
      </x:c>
      <x:c r="D413" s="10" t="str">
        <x:v>BPA professional services</x:v>
      </x:c>
      <x:c r="E413" s="10" t="n">
        <x:v>4</x:v>
      </x:c>
      <x:c r="F413" s="21" t="n">
        <x:f>F285*(1+'Assumptions'!$L$51)</x:f>
        <x:v>10.648000000000003</x:v>
      </x:c>
      <x:c r="G413" s="21" t="n">
        <x:f>H285*'Assumptions'!$K$51</x:f>
        <x:v>8.540000000000001</x:v>
      </x:c>
      <x:c r="H413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413+G413,NA())</x:f>
        <x:v>19.188000000000002</x:v>
      </x:c>
      <x:c r="I413" s="22" t="n">
        <x:f>'Assumptions'!$H$51*IF('Assumptions'!$O$51=1,1,'Assumptions'!$D$10)*(1+'Assumptions'!$N$51)^(4-1)</x:f>
        <x:v>900</x:v>
      </x:c>
      <x:c r="J413" s="10" t="n">
        <x:f>H413*I413</x:f>
        <x:v>17269.2</x:v>
      </x:c>
      <x:c r="K413" s="10" t="n">
        <x:f>J413*'Assumptions'!$T$51</x:f>
        <x:v>17269.2</x:v>
      </x:c>
      <x:c r="L413" s="10" t="n">
        <x:f>K413*'Assumptions'!$U$51</x:f>
        <x:v>518.076</x:v>
      </x:c>
      <x:c r="M413" s="10" t="n">
        <x:f>K413*'Assumptions'!$V$51</x:f>
        <x:v>0</x:v>
      </x:c>
      <x:c r="N413" s="10" t="n">
        <x:f>K413-L413-M413</x:f>
        <x:v>16751.124</x:v>
      </x:c>
      <x:c r="O413" s="10" t="n">
        <x:f>H413*'Assumptions'!$P$51*'Assumptions'!$Q$51*'Assumptions'!$D$11*(1+'Assumptions'!$D$13)^(4-1)</x:f>
        <x:v>3774.1042216800006</x:v>
      </x:c>
      <x:c r="P413" s="10" t="n">
        <x:f>H413*'Assumptions'!$R$51*'Assumptions'!$D$11*(1+'Assumptions'!$D$13)^(4-1)</x:f>
        <x:v>209.67245676000002</x:v>
      </x:c>
      <x:c r="Q413" s="10" t="n">
        <x:f>J413*'Assumptions'!$S$51</x:f>
        <x:v>0</x:v>
      </x:c>
      <x:c r="R413" s="10" t="n">
        <x:f>H413*'Assumptions'!$Y$51*'Assumptions'!$Z$51*'Assumptions'!$D$11*(1+'Assumptions'!$D$13)^(4-1)</x:f>
        <x:v>157.25434257000003</x:v>
      </x:c>
      <x:c r="S413" s="10" t="n">
        <x:f>IF(I413=0,0,J413*'Assumptions'!$W$51+H413*'Assumptions'!$X$51)</x:f>
        <x:v>506.56320000000005</x:v>
      </x:c>
      <x:c r="T413" s="10" t="n">
        <x:f>N413*'Assumptions'!$AA$51</x:f>
        <x:v>670.0449600000001</x:v>
      </x:c>
      <x:c r="U413" s="10" t="n">
        <x:f>'Assumptions'!$AE$51*'Assumptions'!$D$11*(1+'Assumptions'!$D$13)^(4-1)</x:f>
        <x:v>0</x:v>
      </x:c>
      <x:c r="V413" s="10" t="n">
        <x:f>0</x:f>
        <x:v>0</x:v>
      </x:c>
      <x:c r="W413" s="10" t="n">
        <x:f>H413*('Assumptions'!$P$51+'Assumptions'!$Y$51)</x:f>
        <x:v>62.361000000000004</x:v>
      </x:c>
      <x:c r="X413" s="10" t="n">
        <x:f>N413/12*'Assumptions'!$AF$51</x:f>
        <x:v>1395.927</x:v>
      </x:c>
      <x:c r="Y413" s="10" t="n">
        <x:f>P413/12</x:f>
        <x:v>17.47270473</x:v>
      </x:c>
      <x:c r="Z413" s="10" t="n">
        <x:f>0</x:f>
        <x:v>0</x:v>
      </x:c>
      <x:c r="AA413" s="10" t="n">
        <x:f>Z413*'Assumptions'!$AC$51*'Assumptions'!$D$11*(1+'Assumptions'!$D$13)^(4-1)</x:f>
        <x:v>0</x:v>
      </x:c>
      <x:c r="AB413" s="10" t="n">
        <x:f>F413/1</x:f>
        <x:v>10.648000000000003</x:v>
      </x:c>
      <x:c r="AC413" s="10" t="n">
        <x:f>AB413/'Assumptions'!$AM$51</x:f>
        <x:v>53.240000000000016</x:v>
      </x:c>
      <x:c r="AD413" s="10" t="n">
        <x:f>IF(AB413=0,0,T413/AB413)</x:f>
        <x:v>62.92683696468819</x:v>
      </x:c>
      <x:c r="AE413" s="10" t="n">
        <x:f>AA413*'Assumptions'!$D$21</x:f>
        <x:v>0</x:v>
      </x:c>
    </x:row>
    <x:row r="414" ht="16" customHeight="1">
      <x:c r="A414" s="1"/>
      <x:c r="B414" s="1"/>
      <x:c r="C414" s="1" t="str">
        <x:v>DOT-023</x:v>
      </x:c>
      <x:c r="D414" s="10" t="str">
        <x:v>BPA professional services</x:v>
      </x:c>
      <x:c r="E414" s="10" t="n">
        <x:v>4</x:v>
      </x:c>
      <x:c r="F414" s="21" t="n">
        <x:f>F286*(1+'Assumptions'!$L$52)</x:f>
        <x:v>6.655000000000001</x:v>
      </x:c>
      <x:c r="G414" s="21" t="n">
        <x:f>H286*'Assumptions'!$K$52</x:f>
        <x:v>5.3375</x:v>
      </x:c>
      <x:c r="H414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414+G414,NA())</x:f>
        <x:v>11.992500000000001</x:v>
      </x:c>
      <x:c r="I414" s="22" t="n">
        <x:f>'Assumptions'!$H$52*IF('Assumptions'!$O$52=1,1,'Assumptions'!$D$10)*(1+'Assumptions'!$N$52)^(4-1)</x:f>
        <x:v>1800</x:v>
      </x:c>
      <x:c r="J414" s="10" t="n">
        <x:f>H414*I414</x:f>
        <x:v>21586.500000000004</x:v>
      </x:c>
      <x:c r="K414" s="10" t="n">
        <x:f>J414*'Assumptions'!$T$52</x:f>
        <x:v>21586.500000000004</x:v>
      </x:c>
      <x:c r="L414" s="10" t="n">
        <x:f>K414*'Assumptions'!$U$52</x:f>
        <x:v>647.5950000000001</x:v>
      </x:c>
      <x:c r="M414" s="10" t="n">
        <x:f>K414*'Assumptions'!$V$52</x:f>
        <x:v>0</x:v>
      </x:c>
      <x:c r="N414" s="10" t="n">
        <x:f>K414-L414-M414</x:f>
        <x:v>20938.905000000002</x:v>
      </x:c>
      <x:c r="O414" s="10" t="n">
        <x:f>H414*'Assumptions'!$P$52*'Assumptions'!$Q$52*'Assumptions'!$D$11*(1+'Assumptions'!$D$13)^(4-1)</x:f>
        <x:v>4717.630277100001</x:v>
      </x:c>
      <x:c r="P414" s="10" t="n">
        <x:f>H414*'Assumptions'!$R$52*'Assumptions'!$D$11*(1+'Assumptions'!$D$13)^(4-1)</x:f>
        <x:v>131.04528547500001</x:v>
      </x:c>
      <x:c r="Q414" s="10" t="n">
        <x:f>J414*'Assumptions'!$S$52</x:f>
        <x:v>0</x:v>
      </x:c>
      <x:c r="R414" s="10" t="n">
        <x:f>H414*'Assumptions'!$Y$52*'Assumptions'!$Z$52*'Assumptions'!$D$11*(1+'Assumptions'!$D$13)^(4-1)</x:f>
        <x:v>98.28396410625001</x:v>
      </x:c>
      <x:c r="S414" s="10" t="n">
        <x:f>IF(I414=0,0,J414*'Assumptions'!$W$52+H414*'Assumptions'!$X$52)</x:f>
        <x:v>629.6062500000002</x:v>
      </x:c>
      <x:c r="T414" s="10" t="n">
        <x:f>N414*'Assumptions'!$AA$52</x:f>
        <x:v>837.5562000000001</x:v>
      </x:c>
      <x:c r="U414" s="10" t="n">
        <x:f>'Assumptions'!$AE$52*'Assumptions'!$D$11*(1+'Assumptions'!$D$13)^(4-1)</x:f>
        <x:v>0</x:v>
      </x:c>
      <x:c r="V414" s="10" t="n">
        <x:f>0</x:f>
        <x:v>0</x:v>
      </x:c>
      <x:c r="W414" s="10" t="n">
        <x:f>H414*('Assumptions'!$P$52+'Assumptions'!$Y$52)</x:f>
        <x:v>74.95312500000001</x:v>
      </x:c>
      <x:c r="X414" s="10" t="n">
        <x:f>N414/12*'Assumptions'!$AF$52</x:f>
        <x:v>1744.9087500000003</x:v>
      </x:c>
      <x:c r="Y414" s="10" t="n">
        <x:f>P414/12</x:f>
        <x:v>10.92044045625</x:v>
      </x:c>
      <x:c r="Z414" s="10" t="n">
        <x:f>0</x:f>
        <x:v>0</x:v>
      </x:c>
      <x:c r="AA414" s="10" t="n">
        <x:f>Z414*'Assumptions'!$AC$52*'Assumptions'!$D$11*(1+'Assumptions'!$D$13)^(4-1)</x:f>
        <x:v>0</x:v>
      </x:c>
      <x:c r="AB414" s="10" t="n">
        <x:f>F414/1</x:f>
        <x:v>6.655000000000001</x:v>
      </x:c>
      <x:c r="AC414" s="10" t="n">
        <x:f>AB414/'Assumptions'!$AM$52</x:f>
        <x:v>33.275000000000006</x:v>
      </x:c>
      <x:c r="AD414" s="10" t="n">
        <x:f>IF(AB414=0,0,T414/AB414)</x:f>
        <x:v>125.8536739293764</x:v>
      </x:c>
      <x:c r="AE414" s="10" t="n">
        <x:f>AA414*'Assumptions'!$D$21</x:f>
        <x:v>0</x:v>
      </x:c>
    </x:row>
    <x:row r="415" ht="16" customHeight="1">
      <x:c r="A415" s="1"/>
      <x:c r="B415" s="1"/>
      <x:c r="C415" s="1" t="str">
        <x:v>DOT-024</x:v>
      </x:c>
      <x:c r="D415" s="10" t="str">
        <x:v>BPA professional services</x:v>
      </x:c>
      <x:c r="E415" s="10" t="n">
        <x:v>4</x:v>
      </x:c>
      <x:c r="F415" s="21" t="n">
        <x:f>F287*(1+'Assumptions'!$L$53)</x:f>
        <x:v>33.27500000000001</x:v>
      </x:c>
      <x:c r="G415" s="21" t="n">
        <x:f>H287*'Assumptions'!$K$53</x:f>
        <x:v>25.125000000000004</x:v>
      </x:c>
      <x:c r="H415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415+G415,NA())</x:f>
        <x:v>58.40000000000002</x:v>
      </x:c>
      <x:c r="I415" s="22" t="n">
        <x:f>'Assumptions'!$H$53*IF('Assumptions'!$O$53=1,1,'Assumptions'!$D$10)*(1+'Assumptions'!$N$53)^(4-1)</x:f>
        <x:v>540</x:v>
      </x:c>
      <x:c r="J415" s="10" t="n">
        <x:f>H415*I415</x:f>
        <x:v>31536.00000000001</x:v>
      </x:c>
      <x:c r="K415" s="10" t="n">
        <x:f>J415*'Assumptions'!$T$53</x:f>
        <x:v>31536.00000000001</x:v>
      </x:c>
      <x:c r="L415" s="10" t="n">
        <x:f>K415*'Assumptions'!$U$53</x:f>
        <x:v>946.0800000000003</x:v>
      </x:c>
      <x:c r="M415" s="10" t="n">
        <x:f>K415*'Assumptions'!$V$53</x:f>
        <x:v>0</x:v>
      </x:c>
      <x:c r="N415" s="10" t="n">
        <x:f>K415-L415-M415</x:f>
        <x:v>30589.92000000001</x:v>
      </x:c>
      <x:c r="O415" s="10" t="n">
        <x:f>H415*'Assumptions'!$P$53*'Assumptions'!$Q$53*'Assumptions'!$D$11*(1+'Assumptions'!$D$13)^(4-1)</x:f>
        <x:v>7657.830816000003</x:v>
      </x:c>
      <x:c r="P415" s="10" t="n">
        <x:f>H415*'Assumptions'!$R$53*'Assumptions'!$D$11*(1+'Assumptions'!$D$13)^(4-1)</x:f>
        <x:v>638.1525680000002</x:v>
      </x:c>
      <x:c r="Q415" s="10" t="n">
        <x:f>J415*'Assumptions'!$S$53</x:f>
        <x:v>0</x:v>
      </x:c>
      <x:c r="R415" s="10" t="n">
        <x:f>H415*'Assumptions'!$Y$53*'Assumptions'!$Z$53*'Assumptions'!$D$11*(1+'Assumptions'!$D$13)^(4-1)</x:f>
        <x:v>478.6144260000002</x:v>
      </x:c>
      <x:c r="S415" s="10" t="n">
        <x:f>IF(I415=0,0,J415*'Assumptions'!$W$53+H415*'Assumptions'!$X$53)</x:f>
        <x:v>932.0640000000003</x:v>
      </x:c>
      <x:c r="T415" s="10" t="n">
        <x:f>N415*'Assumptions'!$AA$53</x:f>
        <x:v>1223.5968000000005</x:v>
      </x:c>
      <x:c r="U415" s="10" t="n">
        <x:f>'Assumptions'!$AE$53*'Assumptions'!$D$11*(1+'Assumptions'!$D$13)^(4-1)</x:f>
        <x:v>0</x:v>
      </x:c>
      <x:c r="V415" s="10" t="n">
        <x:f>0</x:f>
        <x:v>0</x:v>
      </x:c>
      <x:c r="W415" s="10" t="n">
        <x:f>H415*('Assumptions'!$P$53+'Assumptions'!$Y$53)</x:f>
        <x:v>131.40000000000003</x:v>
      </x:c>
      <x:c r="X415" s="10" t="n">
        <x:f>N415/12*'Assumptions'!$AF$53</x:f>
        <x:v>2549.1600000000008</x:v>
      </x:c>
      <x:c r="Y415" s="10" t="n">
        <x:f>P415/12</x:f>
        <x:v>53.17938066666668</x:v>
      </x:c>
      <x:c r="Z415" s="10" t="n">
        <x:f>0</x:f>
        <x:v>0</x:v>
      </x:c>
      <x:c r="AA415" s="10" t="n">
        <x:f>Z415*'Assumptions'!$AC$53*'Assumptions'!$D$11*(1+'Assumptions'!$D$13)^(4-1)</x:f>
        <x:v>0</x:v>
      </x:c>
      <x:c r="AB415" s="10" t="n">
        <x:f>F415/1</x:f>
        <x:v>33.27500000000001</x:v>
      </x:c>
      <x:c r="AC415" s="10" t="n">
        <x:f>AB415/'Assumptions'!$AM$53</x:f>
        <x:v>166.37500000000006</x:v>
      </x:c>
      <x:c r="AD415" s="10" t="n">
        <x:f>IF(AB415=0,0,T415/AB415)</x:f>
        <x:v>36.77225544703231</x:v>
      </x:c>
      <x:c r="AE415" s="10" t="n">
        <x:f>AA415*'Assumptions'!$D$21</x:f>
        <x:v>0</x:v>
      </x:c>
    </x:row>
    <x:row r="416" ht="16" customHeight="1">
      <x:c r="A416" s="1"/>
      <x:c r="B416" s="1"/>
      <x:c r="C416" s="1" t="str">
        <x:v>DOT-025</x:v>
      </x:c>
      <x:c r="D416" s="10" t="str">
        <x:v>BPA professional services</x:v>
      </x:c>
      <x:c r="E416" s="10" t="n">
        <x:v>4</x:v>
      </x:c>
      <x:c r="F416" s="21" t="n">
        <x:f>F288*(1+'Assumptions'!$L$54)</x:f>
        <x:v>13.310000000000002</x:v>
      </x:c>
      <x:c r="G416" s="21" t="n">
        <x:f>H288*'Assumptions'!$K$54</x:f>
        <x:v>10.05</x:v>
      </x:c>
      <x:c r="H416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416+G416,NA())</x:f>
        <x:v>23.360000000000003</x:v>
      </x:c>
      <x:c r="I416" s="22" t="n">
        <x:f>'Assumptions'!$H$54*IF('Assumptions'!$O$54=1,1,'Assumptions'!$D$10)*(1+'Assumptions'!$N$54)^(4-1)</x:f>
        <x:v>1020</x:v>
      </x:c>
      <x:c r="J416" s="10" t="n">
        <x:f>H416*I416</x:f>
        <x:v>23827.200000000004</x:v>
      </x:c>
      <x:c r="K416" s="10" t="n">
        <x:f>J416*'Assumptions'!$T$54</x:f>
        <x:v>23827.200000000004</x:v>
      </x:c>
      <x:c r="L416" s="10" t="n">
        <x:f>K416*'Assumptions'!$U$54</x:f>
        <x:v>714.8160000000001</x:v>
      </x:c>
      <x:c r="M416" s="10" t="n">
        <x:f>K416*'Assumptions'!$V$54</x:f>
        <x:v>0</x:v>
      </x:c>
      <x:c r="N416" s="10" t="n">
        <x:f>K416-L416-M416</x:f>
        <x:v>23112.384000000005</x:v>
      </x:c>
      <x:c r="O416" s="10" t="n">
        <x:f>H416*'Assumptions'!$P$54*'Assumptions'!$Q$54*'Assumptions'!$D$11*(1+'Assumptions'!$D$13)^(4-1)</x:f>
        <x:v>7657.830816000001</x:v>
      </x:c>
      <x:c r="P416" s="10" t="n">
        <x:f>H416*'Assumptions'!$R$54*'Assumptions'!$D$11*(1+'Assumptions'!$D$13)^(4-1)</x:f>
        <x:v>255.26102720000003</x:v>
      </x:c>
      <x:c r="Q416" s="10" t="n">
        <x:f>J416*'Assumptions'!$S$54</x:f>
        <x:v>0</x:v>
      </x:c>
      <x:c r="R416" s="10" t="n">
        <x:f>H416*'Assumptions'!$Y$54*'Assumptions'!$Z$54*'Assumptions'!$D$11*(1+'Assumptions'!$D$13)^(4-1)</x:f>
        <x:v>191.44577040000001</x:v>
      </x:c>
      <x:c r="S416" s="10" t="n">
        <x:f>IF(I416=0,0,J416*'Assumptions'!$W$54+H416*'Assumptions'!$X$54)</x:f>
        <x:v>697.9968000000002</x:v>
      </x:c>
      <x:c r="T416" s="10" t="n">
        <x:f>N416*'Assumptions'!$AA$54</x:f>
        <x:v>924.4953600000002</x:v>
      </x:c>
      <x:c r="U416" s="10" t="n">
        <x:f>'Assumptions'!$AE$54*'Assumptions'!$D$11*(1+'Assumptions'!$D$13)^(4-1)</x:f>
        <x:v>0</x:v>
      </x:c>
      <x:c r="V416" s="10" t="n">
        <x:f>0</x:f>
        <x:v>0</x:v>
      </x:c>
      <x:c r="W416" s="10" t="n">
        <x:f>H416*('Assumptions'!$P$54+'Assumptions'!$Y$54)</x:f>
        <x:v>122.64000000000001</x:v>
      </x:c>
      <x:c r="X416" s="10" t="n">
        <x:f>N416/12*'Assumptions'!$AF$54</x:f>
        <x:v>1926.0320000000004</x:v>
      </x:c>
      <x:c r="Y416" s="10" t="n">
        <x:f>P416/12</x:f>
        <x:v>21.27175226666667</x:v>
      </x:c>
      <x:c r="Z416" s="10" t="n">
        <x:f>0</x:f>
        <x:v>0</x:v>
      </x:c>
      <x:c r="AA416" s="10" t="n">
        <x:f>Z416*'Assumptions'!$AC$54*'Assumptions'!$D$11*(1+'Assumptions'!$D$13)^(4-1)</x:f>
        <x:v>0</x:v>
      </x:c>
      <x:c r="AB416" s="10" t="n">
        <x:f>F416/1</x:f>
        <x:v>13.310000000000002</x:v>
      </x:c>
      <x:c r="AC416" s="10" t="n">
        <x:f>AB416/'Assumptions'!$AM$54</x:f>
        <x:v>66.55000000000001</x:v>
      </x:c>
      <x:c r="AD416" s="10" t="n">
        <x:f>IF(AB416=0,0,T416/AB416)</x:f>
        <x:v>69.45870473328326</x:v>
      </x:c>
      <x:c r="AE416" s="10" t="n">
        <x:f>AA416*'Assumptions'!$D$21</x:f>
        <x:v>0</x:v>
      </x:c>
    </x:row>
    <x:row r="417" ht="16" customHeight="1">
      <x:c r="A417" s="1"/>
      <x:c r="B417" s="1"/>
      <x:c r="C417" s="1" t="str">
        <x:v>DOT-026</x:v>
      </x:c>
      <x:c r="D417" s="10" t="str">
        <x:v>BPA professional services</x:v>
      </x:c>
      <x:c r="E417" s="10" t="n">
        <x:v>4</x:v>
      </x:c>
      <x:c r="F417" s="21" t="n">
        <x:f>F289*(1+'Assumptions'!$L$55)</x:f>
        <x:v>5.324000000000002</x:v>
      </x:c>
      <x:c r="G417" s="21" t="n">
        <x:f>H289*'Assumptions'!$K$55</x:f>
        <x:v>4.0200000000000005</x:v>
      </x:c>
      <x:c r="H417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417+G417,NA())</x:f>
        <x:v>9.344000000000001</x:v>
      </x:c>
      <x:c r="I417" s="22" t="n">
        <x:f>'Assumptions'!$H$55*IF('Assumptions'!$O$55=1,1,'Assumptions'!$D$10)*(1+'Assumptions'!$N$55)^(4-1)</x:f>
        <x:v>1800</x:v>
      </x:c>
      <x:c r="J417" s="10" t="n">
        <x:f>H417*I417</x:f>
        <x:v>16819.2</x:v>
      </x:c>
      <x:c r="K417" s="10" t="n">
        <x:f>J417*'Assumptions'!$T$55</x:f>
        <x:v>16819.2</x:v>
      </x:c>
      <x:c r="L417" s="10" t="n">
        <x:f>K417*'Assumptions'!$U$55</x:f>
        <x:v>504.576</x:v>
      </x:c>
      <x:c r="M417" s="10" t="n">
        <x:f>K417*'Assumptions'!$V$55</x:f>
        <x:v>0</x:v>
      </x:c>
      <x:c r="N417" s="10" t="n">
        <x:f>K417-L417-M417</x:f>
        <x:v>16314.624</x:v>
      </x:c>
      <x:c r="O417" s="10" t="n">
        <x:f>H417*'Assumptions'!$P$55*'Assumptions'!$Q$55*'Assumptions'!$D$11*(1+'Assumptions'!$D$13)^(4-1)</x:f>
        <x:v>6126.2646528000005</x:v>
      </x:c>
      <x:c r="P417" s="10" t="n">
        <x:f>H417*'Assumptions'!$R$55*'Assumptions'!$D$11*(1+'Assumptions'!$D$13)^(4-1)</x:f>
        <x:v>102.10441088000002</x:v>
      </x:c>
      <x:c r="Q417" s="10" t="n">
        <x:f>J417*'Assumptions'!$S$55</x:f>
        <x:v>0</x:v>
      </x:c>
      <x:c r="R417" s="10" t="n">
        <x:f>H417*'Assumptions'!$Y$55*'Assumptions'!$Z$55*'Assumptions'!$D$11*(1+'Assumptions'!$D$13)^(4-1)</x:f>
        <x:v>76.57830816000002</x:v>
      </x:c>
      <x:c r="S417" s="10" t="n">
        <x:f>IF(I417=0,0,J417*'Assumptions'!$W$55+H417*'Assumptions'!$X$55)</x:f>
        <x:v>490.56000000000006</x:v>
      </x:c>
      <x:c r="T417" s="10" t="n">
        <x:f>N417*'Assumptions'!$AA$55</x:f>
        <x:v>652.58496</x:v>
      </x:c>
      <x:c r="U417" s="10" t="n">
        <x:f>'Assumptions'!$AE$55*'Assumptions'!$D$11*(1+'Assumptions'!$D$13)^(4-1)</x:f>
        <x:v>0</x:v>
      </x:c>
      <x:c r="V417" s="10" t="n">
        <x:f>0</x:f>
        <x:v>0</x:v>
      </x:c>
      <x:c r="W417" s="10" t="n">
        <x:f>H417*('Assumptions'!$P$55+'Assumptions'!$Y$55)</x:f>
        <x:v>95.77600000000001</x:v>
      </x:c>
      <x:c r="X417" s="10" t="n">
        <x:f>N417/12*'Assumptions'!$AF$55</x:f>
        <x:v>1359.552</x:v>
      </x:c>
      <x:c r="Y417" s="10" t="n">
        <x:f>P417/12</x:f>
        <x:v>8.508700906666668</x:v>
      </x:c>
      <x:c r="Z417" s="10" t="n">
        <x:f>0</x:f>
        <x:v>0</x:v>
      </x:c>
      <x:c r="AA417" s="10" t="n">
        <x:f>Z417*'Assumptions'!$AC$55*'Assumptions'!$D$11*(1+'Assumptions'!$D$13)^(4-1)</x:f>
        <x:v>0</x:v>
      </x:c>
      <x:c r="AB417" s="10" t="n">
        <x:f>F417/1</x:f>
        <x:v>5.324000000000002</x:v>
      </x:c>
      <x:c r="AC417" s="10" t="n">
        <x:f>AB417/'Assumptions'!$AM$55</x:f>
        <x:v>26.620000000000008</x:v>
      </x:c>
      <x:c r="AD417" s="10" t="n">
        <x:f>IF(AB417=0,0,T417/AB417)</x:f>
        <x:v>122.57418482344099</x:v>
      </x:c>
      <x:c r="AE417" s="10" t="n">
        <x:f>AA417*'Assumptions'!$D$21</x:f>
        <x:v>0</x:v>
      </x:c>
    </x:row>
    <x:row r="418" ht="16" customHeight="1">
      <x:c r="A418" s="1"/>
      <x:c r="B418" s="1"/>
      <x:c r="C418" s="1" t="str">
        <x:v>DOT-027</x:v>
      </x:c>
      <x:c r="D418" s="10" t="str">
        <x:v>BPA professional services</x:v>
      </x:c>
      <x:c r="E418" s="10" t="n">
        <x:v>4</x:v>
      </x:c>
      <x:c r="F418" s="21" t="n">
        <x:f>F290*(1+'Assumptions'!$L$56)</x:f>
        <x:v>5.324000000000002</x:v>
      </x:c>
      <x:c r="G418" s="21" t="n">
        <x:f>H290*'Assumptions'!$K$56</x:f>
        <x:v>4.0200000000000005</x:v>
      </x:c>
      <x:c r="H418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418+G418,NA())</x:f>
        <x:v>9.344000000000001</x:v>
      </x:c>
      <x:c r="I418" s="22" t="n">
        <x:f>'Assumptions'!$H$56*IF('Assumptions'!$O$56=1,1,'Assumptions'!$D$10)*(1+'Assumptions'!$N$56)^(4-1)</x:f>
        <x:v>1800</x:v>
      </x:c>
      <x:c r="J418" s="10" t="n">
        <x:f>H418*I418</x:f>
        <x:v>16819.2</x:v>
      </x:c>
      <x:c r="K418" s="10" t="n">
        <x:f>J418*'Assumptions'!$T$56</x:f>
        <x:v>16819.2</x:v>
      </x:c>
      <x:c r="L418" s="10" t="n">
        <x:f>K418*'Assumptions'!$U$56</x:f>
        <x:v>504.576</x:v>
      </x:c>
      <x:c r="M418" s="10" t="n">
        <x:f>K418*'Assumptions'!$V$56</x:f>
        <x:v>0</x:v>
      </x:c>
      <x:c r="N418" s="10" t="n">
        <x:f>K418-L418-M418</x:f>
        <x:v>16314.624</x:v>
      </x:c>
      <x:c r="O418" s="10" t="n">
        <x:f>H418*'Assumptions'!$P$56*'Assumptions'!$Q$56*'Assumptions'!$D$11*(1+'Assumptions'!$D$13)^(4-1)</x:f>
        <x:v>6126.2646528000005</x:v>
      </x:c>
      <x:c r="P418" s="10" t="n">
        <x:f>H418*'Assumptions'!$R$56*'Assumptions'!$D$11*(1+'Assumptions'!$D$13)^(4-1)</x:f>
        <x:v>102.10441088000002</x:v>
      </x:c>
      <x:c r="Q418" s="10" t="n">
        <x:f>J418*'Assumptions'!$S$56</x:f>
        <x:v>0</x:v>
      </x:c>
      <x:c r="R418" s="10" t="n">
        <x:f>H418*'Assumptions'!$Y$56*'Assumptions'!$Z$56*'Assumptions'!$D$11*(1+'Assumptions'!$D$13)^(4-1)</x:f>
        <x:v>76.57830816000002</x:v>
      </x:c>
      <x:c r="S418" s="10" t="n">
        <x:f>IF(I418=0,0,J418*'Assumptions'!$W$56+H418*'Assumptions'!$X$56)</x:f>
        <x:v>490.56000000000006</x:v>
      </x:c>
      <x:c r="T418" s="10" t="n">
        <x:f>N418*'Assumptions'!$AA$56</x:f>
        <x:v>652.58496</x:v>
      </x:c>
      <x:c r="U418" s="10" t="n">
        <x:f>'Assumptions'!$AE$56*'Assumptions'!$D$11*(1+'Assumptions'!$D$13)^(4-1)</x:f>
        <x:v>0</x:v>
      </x:c>
      <x:c r="V418" s="10" t="n">
        <x:f>0</x:f>
        <x:v>0</x:v>
      </x:c>
      <x:c r="W418" s="10" t="n">
        <x:f>H418*('Assumptions'!$P$56+'Assumptions'!$Y$56)</x:f>
        <x:v>95.77600000000001</x:v>
      </x:c>
      <x:c r="X418" s="10" t="n">
        <x:f>N418/12*'Assumptions'!$AF$56</x:f>
        <x:v>1359.552</x:v>
      </x:c>
      <x:c r="Y418" s="10" t="n">
        <x:f>P418/12</x:f>
        <x:v>8.508700906666668</x:v>
      </x:c>
      <x:c r="Z418" s="10" t="n">
        <x:f>0</x:f>
        <x:v>0</x:v>
      </x:c>
      <x:c r="AA418" s="10" t="n">
        <x:f>Z418*'Assumptions'!$AC$56*'Assumptions'!$D$11*(1+'Assumptions'!$D$13)^(4-1)</x:f>
        <x:v>0</x:v>
      </x:c>
      <x:c r="AB418" s="10" t="n">
        <x:f>F418/1</x:f>
        <x:v>5.324000000000002</x:v>
      </x:c>
      <x:c r="AC418" s="10" t="n">
        <x:f>AB418/'Assumptions'!$AM$56</x:f>
        <x:v>26.620000000000008</x:v>
      </x:c>
      <x:c r="AD418" s="10" t="n">
        <x:f>IF(AB418=0,0,T418/AB418)</x:f>
        <x:v>122.57418482344099</x:v>
      </x:c>
      <x:c r="AE418" s="10" t="n">
        <x:f>AA418*'Assumptions'!$D$21</x:f>
        <x:v>0</x:v>
      </x:c>
    </x:row>
    <x:row r="419" ht="16" customHeight="1">
      <x:c r="A419" s="1"/>
      <x:c r="B419" s="1"/>
      <x:c r="C419" s="1" t="str">
        <x:v>DOT-028</x:v>
      </x:c>
      <x:c r="D419" s="10" t="str">
        <x:v>BPA professional services</x:v>
      </x:c>
      <x:c r="E419" s="10" t="n">
        <x:v>4</x:v>
      </x:c>
      <x:c r="F419" s="21" t="n">
        <x:f>F291*(1+'Assumptions'!$L$57)</x:f>
        <x:v>2.662000000000001</x:v>
      </x:c>
      <x:c r="G419" s="21" t="n">
        <x:f>H291*'Assumptions'!$K$57</x:f>
        <x:v>2.0100000000000002</x:v>
      </x:c>
      <x:c r="H419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419+G419,NA())</x:f>
        <x:v>4.672000000000001</x:v>
      </x:c>
      <x:c r="I419" s="22" t="n">
        <x:f>'Assumptions'!$H$57*IF('Assumptions'!$O$57=1,1,'Assumptions'!$D$10)*(1+'Assumptions'!$N$57)^(4-1)</x:f>
        <x:v>1800</x:v>
      </x:c>
      <x:c r="J419" s="10" t="n">
        <x:f>H419*I419</x:f>
        <x:v>8409.6</x:v>
      </x:c>
      <x:c r="K419" s="10" t="n">
        <x:f>J419*'Assumptions'!$T$57</x:f>
        <x:v>8409.6</x:v>
      </x:c>
      <x:c r="L419" s="10" t="n">
        <x:f>K419*'Assumptions'!$U$57</x:f>
        <x:v>252.288</x:v>
      </x:c>
      <x:c r="M419" s="10" t="n">
        <x:f>K419*'Assumptions'!$V$57</x:f>
        <x:v>0</x:v>
      </x:c>
      <x:c r="N419" s="10" t="n">
        <x:f>K419-L419-M419</x:f>
        <x:v>8157.312</x:v>
      </x:c>
      <x:c r="O419" s="10" t="n">
        <x:f>H419*'Assumptions'!$P$57*'Assumptions'!$Q$57*'Assumptions'!$D$11*(1+'Assumptions'!$D$13)^(4-1)</x:f>
        <x:v>3675.7587916800007</x:v>
      </x:c>
      <x:c r="P419" s="10" t="n">
        <x:f>H419*'Assumptions'!$R$57*'Assumptions'!$D$11*(1+'Assumptions'!$D$13)^(4-1)</x:f>
        <x:v>51.05220544000001</x:v>
      </x:c>
      <x:c r="Q419" s="10" t="n">
        <x:f>J419*'Assumptions'!$S$57</x:f>
        <x:v>0</x:v>
      </x:c>
      <x:c r="R419" s="10" t="n">
        <x:f>H419*'Assumptions'!$Y$57*'Assumptions'!$Z$57*'Assumptions'!$D$11*(1+'Assumptions'!$D$13)^(4-1)</x:f>
        <x:v>38.28915408000001</x:v>
      </x:c>
      <x:c r="S419" s="10" t="n">
        <x:f>IF(I419=0,0,J419*'Assumptions'!$W$57+H419*'Assumptions'!$X$57)</x:f>
        <x:v>245.28000000000003</x:v>
      </x:c>
      <x:c r="T419" s="10" t="n">
        <x:f>N419*'Assumptions'!$AA$57</x:f>
        <x:v>326.29248</x:v>
      </x:c>
      <x:c r="U419" s="10" t="n">
        <x:f>'Assumptions'!$AE$57*'Assumptions'!$D$11*(1+'Assumptions'!$D$13)^(4-1)</x:f>
        <x:v>0</x:v>
      </x:c>
      <x:c r="V419" s="10" t="n">
        <x:f>0</x:f>
        <x:v>0</x:v>
      </x:c>
      <x:c r="W419" s="10" t="n">
        <x:f>H419*('Assumptions'!$P$57+'Assumptions'!$Y$57)</x:f>
        <x:v>57.232000000000006</x:v>
      </x:c>
      <x:c r="X419" s="10" t="n">
        <x:f>N419/12*'Assumptions'!$AF$57</x:f>
        <x:v>679.776</x:v>
      </x:c>
      <x:c r="Y419" s="10" t="n">
        <x:f>P419/12</x:f>
        <x:v>4.254350453333334</x:v>
      </x:c>
      <x:c r="Z419" s="10" t="n">
        <x:f>0</x:f>
        <x:v>0</x:v>
      </x:c>
      <x:c r="AA419" s="10" t="n">
        <x:f>Z419*'Assumptions'!$AC$57*'Assumptions'!$D$11*(1+'Assumptions'!$D$13)^(4-1)</x:f>
        <x:v>0</x:v>
      </x:c>
      <x:c r="AB419" s="10" t="n">
        <x:f>F419/1</x:f>
        <x:v>2.662000000000001</x:v>
      </x:c>
      <x:c r="AC419" s="10" t="n">
        <x:f>AB419/'Assumptions'!$AM$57</x:f>
        <x:v>13.310000000000004</x:v>
      </x:c>
      <x:c r="AD419" s="10" t="n">
        <x:f>IF(AB419=0,0,T419/AB419)</x:f>
        <x:v>122.57418482344099</x:v>
      </x:c>
      <x:c r="AE419" s="10" t="n">
        <x:f>AA419*'Assumptions'!$D$21</x:f>
        <x:v>0</x:v>
      </x:c>
    </x:row>
    <x:row r="420" ht="16" customHeight="1">
      <x:c r="A420" s="1"/>
      <x:c r="B420" s="1"/>
      <x:c r="C420" s="1" t="str">
        <x:v>DOT-029</x:v>
      </x:c>
      <x:c r="D420" s="10" t="str">
        <x:v>BPA professional services</x:v>
      </x:c>
      <x:c r="E420" s="10" t="n">
        <x:v>4</x:v>
      </x:c>
      <x:c r="F420" s="21" t="n">
        <x:f>F292*(1+'Assumptions'!$L$58)</x:f>
        <x:v>26.620000000000005</x:v>
      </x:c>
      <x:c r="G420" s="21" t="n">
        <x:f>H292*'Assumptions'!$K$58</x:f>
        <x:v>20.1</x:v>
      </x:c>
      <x:c r="H420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420+G420,NA())</x:f>
        <x:v>46.720000000000006</x:v>
      </x:c>
      <x:c r="I420" s="22" t="n">
        <x:f>'Assumptions'!$H$58*IF('Assumptions'!$O$58=1,1,'Assumptions'!$D$10)*(1+'Assumptions'!$N$58)^(4-1)</x:f>
        <x:v>180</x:v>
      </x:c>
      <x:c r="J420" s="10" t="n">
        <x:f>H420*I420</x:f>
        <x:v>8409.6</x:v>
      </x:c>
      <x:c r="K420" s="10" t="n">
        <x:f>J420*'Assumptions'!$T$58</x:f>
        <x:v>8409.6</x:v>
      </x:c>
      <x:c r="L420" s="10" t="n">
        <x:f>K420*'Assumptions'!$U$58</x:f>
        <x:v>252.288</x:v>
      </x:c>
      <x:c r="M420" s="10" t="n">
        <x:f>K420*'Assumptions'!$V$58</x:f>
        <x:v>0</x:v>
      </x:c>
      <x:c r="N420" s="10" t="n">
        <x:f>K420-L420-M420</x:f>
        <x:v>8157.312</x:v>
      </x:c>
      <x:c r="O420" s="10" t="n">
        <x:f>H420*'Assumptions'!$P$58*'Assumptions'!$Q$58*'Assumptions'!$D$11*(1+'Assumptions'!$D$13)^(4-1)</x:f>
        <x:v>3063.1323264000002</x:v>
      </x:c>
      <x:c r="P420" s="10" t="n">
        <x:f>H420*'Assumptions'!$R$58*'Assumptions'!$D$11*(1+'Assumptions'!$D$13)^(4-1)</x:f>
        <x:v>510.52205440000006</x:v>
      </x:c>
      <x:c r="Q420" s="10" t="n">
        <x:f>J420*'Assumptions'!$S$58</x:f>
        <x:v>0</x:v>
      </x:c>
      <x:c r="R420" s="10" t="n">
        <x:f>H420*'Assumptions'!$Y$58*'Assumptions'!$Z$58*'Assumptions'!$D$11*(1+'Assumptions'!$D$13)^(4-1)</x:f>
        <x:v>382.89154080000003</x:v>
      </x:c>
      <x:c r="S420" s="10" t="n">
        <x:f>IF(I420=0,0,J420*'Assumptions'!$W$58+H420*'Assumptions'!$X$58)</x:f>
        <x:v>257.8944</x:v>
      </x:c>
      <x:c r="T420" s="10" t="n">
        <x:f>N420*'Assumptions'!$AA$58</x:f>
        <x:v>326.29248</x:v>
      </x:c>
      <x:c r="U420" s="10" t="n">
        <x:f>'Assumptions'!$AE$58*'Assumptions'!$D$11*(1+'Assumptions'!$D$13)^(4-1)</x:f>
        <x:v>0</x:v>
      </x:c>
      <x:c r="V420" s="10" t="n">
        <x:f>0</x:f>
        <x:v>0</x:v>
      </x:c>
      <x:c r="W420" s="10" t="n">
        <x:f>H420*('Assumptions'!$P$58+'Assumptions'!$Y$58)</x:f>
        <x:v>58.400000000000006</x:v>
      </x:c>
      <x:c r="X420" s="10" t="n">
        <x:f>N420/12*'Assumptions'!$AF$58</x:f>
        <x:v>679.776</x:v>
      </x:c>
      <x:c r="Y420" s="10" t="n">
        <x:f>P420/12</x:f>
        <x:v>42.54350453333334</x:v>
      </x:c>
      <x:c r="Z420" s="10" t="n">
        <x:f>0</x:f>
        <x:v>0</x:v>
      </x:c>
      <x:c r="AA420" s="10" t="n">
        <x:f>Z420*'Assumptions'!$AC$58*'Assumptions'!$D$11*(1+'Assumptions'!$D$13)^(4-1)</x:f>
        <x:v>0</x:v>
      </x:c>
      <x:c r="AB420" s="10" t="n">
        <x:f>F420/1</x:f>
        <x:v>26.620000000000005</x:v>
      </x:c>
      <x:c r="AC420" s="10" t="n">
        <x:f>AB420/'Assumptions'!$AM$58</x:f>
        <x:v>133.10000000000002</x:v>
      </x:c>
      <x:c r="AD420" s="10" t="n">
        <x:f>IF(AB420=0,0,T420/AB420)</x:f>
        <x:v>12.2574184823441</x:v>
      </x:c>
      <x:c r="AE420" s="10" t="n">
        <x:f>AA420*'Assumptions'!$D$21</x:f>
        <x:v>0</x:v>
      </x:c>
    </x:row>
    <x:row r="421" ht="16" customHeight="1">
      <x:c r="A421" s="1"/>
      <x:c r="B421" s="1"/>
      <x:c r="C421" s="1" t="str">
        <x:v>DOT-030</x:v>
      </x:c>
      <x:c r="D421" s="10" t="str">
        <x:v>BPA professional services</x:v>
      </x:c>
      <x:c r="E421" s="10" t="n">
        <x:v>4</x:v>
      </x:c>
      <x:c r="F421" s="21" t="n">
        <x:f>F293*(1+'Assumptions'!$L$59)</x:f>
        <x:v>5.324000000000002</x:v>
      </x:c>
      <x:c r="G421" s="21" t="n">
        <x:f>H293*'Assumptions'!$K$59</x:f>
        <x:v>4.0200000000000005</x:v>
      </x:c>
      <x:c r="H421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421+G421,NA())</x:f>
        <x:v>9.344000000000001</x:v>
      </x:c>
      <x:c r="I421" s="22" t="n">
        <x:f>'Assumptions'!$H$59*IF('Assumptions'!$O$59=1,1,'Assumptions'!$D$10)*(1+'Assumptions'!$N$59)^(4-1)</x:f>
        <x:v>530.604</x:v>
      </x:c>
      <x:c r="J421" s="10" t="n">
        <x:f>H421*I421</x:f>
        <x:v>4957.963776000001</x:v>
      </x:c>
      <x:c r="K421" s="10" t="n">
        <x:f>J421*'Assumptions'!$T$59</x:f>
        <x:v>4957.963776000001</x:v>
      </x:c>
      <x:c r="L421" s="10" t="n">
        <x:f>K421*'Assumptions'!$U$59</x:f>
        <x:v>148.73891328000005</x:v>
      </x:c>
      <x:c r="M421" s="10" t="n">
        <x:f>K421*'Assumptions'!$V$59</x:f>
        <x:v>0</x:v>
      </x:c>
      <x:c r="N421" s="10" t="n">
        <x:f>K421-L421-M421</x:f>
        <x:v>4809.2248627200015</x:v>
      </x:c>
      <x:c r="O421" s="10" t="n">
        <x:f>H421*'Assumptions'!$P$59*'Assumptions'!$Q$59*'Assumptions'!$D$11*(1+'Assumptions'!$D$13)^(4-1)</x:f>
        <x:v>1837.8793958400004</x:v>
      </x:c>
      <x:c r="P421" s="10" t="n">
        <x:f>H421*'Assumptions'!$R$59*'Assumptions'!$D$11*(1+'Assumptions'!$D$13)^(4-1)</x:f>
        <x:v>102.10441088000002</x:v>
      </x:c>
      <x:c r="Q421" s="10" t="n">
        <x:f>J421*'Assumptions'!$S$59</x:f>
        <x:v>0</x:v>
      </x:c>
      <x:c r="R421" s="10" t="n">
        <x:f>H421*'Assumptions'!$Y$59*'Assumptions'!$Z$59*'Assumptions'!$D$11*(1+'Assumptions'!$D$13)^(4-1)</x:f>
        <x:v>76.57830816000002</x:v>
      </x:c>
      <x:c r="S421" s="10" t="n">
        <x:f>IF(I421=0,0,J421*'Assumptions'!$W$59+H421*'Assumptions'!$X$59)</x:f>
        <x:v>146.58414950400004</x:v>
      </x:c>
      <x:c r="T421" s="10" t="n">
        <x:f>N421*'Assumptions'!$AA$59</x:f>
        <x:v>192.36899450880006</x:v>
      </x:c>
      <x:c r="U421" s="10" t="n">
        <x:f>'Assumptions'!$AE$59*'Assumptions'!$D$11*(1+'Assumptions'!$D$13)^(4-1)</x:f>
        <x:v>0</x:v>
      </x:c>
      <x:c r="V421" s="10" t="n">
        <x:f>0</x:f>
        <x:v>0</x:v>
      </x:c>
      <x:c r="W421" s="10" t="n">
        <x:f>H421*('Assumptions'!$P$59+'Assumptions'!$Y$59)</x:f>
        <x:v>30.368000000000002</x:v>
      </x:c>
      <x:c r="X421" s="10" t="n">
        <x:f>N421/12*'Assumptions'!$AF$59</x:f>
        <x:v>400.76873856000014</x:v>
      </x:c>
      <x:c r="Y421" s="10" t="n">
        <x:f>P421/12</x:f>
        <x:v>8.508700906666668</x:v>
      </x:c>
      <x:c r="Z421" s="10" t="n">
        <x:f>0</x:f>
        <x:v>0</x:v>
      </x:c>
      <x:c r="AA421" s="10" t="n">
        <x:f>Z421*'Assumptions'!$AC$59*'Assumptions'!$D$11*(1+'Assumptions'!$D$13)^(4-1)</x:f>
        <x:v>0</x:v>
      </x:c>
      <x:c r="AB421" s="10" t="n">
        <x:f>F421/1</x:f>
        <x:v>5.324000000000002</x:v>
      </x:c>
      <x:c r="AC421" s="10" t="n">
        <x:f>AB421/'Assumptions'!$AM$59</x:f>
        <x:v>26.620000000000008</x:v>
      </x:c>
      <x:c r="AD421" s="10" t="n">
        <x:f>IF(AB421=0,0,T421/AB421)</x:f>
        <x:v>36.132418202253945</x:v>
      </x:c>
      <x:c r="AE421" s="10" t="n">
        <x:f>AA421*'Assumptions'!$D$21</x:f>
        <x:v>0</x:v>
      </x:c>
    </x:row>
    <x:row r="422" ht="16" customHeight="1">
      <x:c r="A422" s="1"/>
      <x:c r="B422" s="1"/>
      <x:c r="C422" s="1" t="str">
        <x:v>DOT-031</x:v>
      </x:c>
      <x:c r="D422" s="10" t="str">
        <x:v>BPA professional services</x:v>
      </x:c>
      <x:c r="E422" s="10" t="n">
        <x:v>4</x:v>
      </x:c>
      <x:c r="F422" s="21" t="n">
        <x:f>F294*(1+'Assumptions'!$L$60)</x:f>
        <x:v>2.662000000000001</x:v>
      </x:c>
      <x:c r="G422" s="21" t="n">
        <x:f>H294*'Assumptions'!$K$60</x:f>
        <x:v>2.1350000000000002</x:v>
      </x:c>
      <x:c r="H422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422+G422,NA())</x:f>
        <x:v>4.797000000000001</x:v>
      </x:c>
      <x:c r="I422" s="22" t="n">
        <x:f>'Assumptions'!$H$60*IF('Assumptions'!$O$60=1,1,'Assumptions'!$D$10)*(1+'Assumptions'!$N$60)^(4-1)</x:f>
        <x:v>5306.040000000001</x:v>
      </x:c>
      <x:c r="J422" s="10" t="n">
        <x:f>H422*I422</x:f>
        <x:v>25453.073880000007</x:v>
      </x:c>
      <x:c r="K422" s="10" t="n">
        <x:f>J422*'Assumptions'!$T$60</x:f>
        <x:v>25453.073880000007</x:v>
      </x:c>
      <x:c r="L422" s="10" t="n">
        <x:f>K422*'Assumptions'!$U$60</x:f>
        <x:v>763.5922164000002</x:v>
      </x:c>
      <x:c r="M422" s="10" t="n">
        <x:f>K422*'Assumptions'!$V$60</x:f>
        <x:v>0</x:v>
      </x:c>
      <x:c r="N422" s="10" t="n">
        <x:f>K422-L422-M422</x:f>
        <x:v>24689.481663600007</x:v>
      </x:c>
      <x:c r="O422" s="10" t="n">
        <x:f>H422*'Assumptions'!$P$60*'Assumptions'!$Q$60*'Assumptions'!$D$11*(1+'Assumptions'!$D$13)^(4-1)</x:f>
        <x:v>12580.347405600001</x:v>
      </x:c>
      <x:c r="P422" s="10" t="n">
        <x:f>H422*'Assumptions'!$R$60*'Assumptions'!$D$11*(1+'Assumptions'!$D$13)^(4-1)</x:f>
        <x:v>52.418114190000004</x:v>
      </x:c>
      <x:c r="Q422" s="10" t="n">
        <x:f>J422*'Assumptions'!$S$60</x:f>
        <x:v>0</x:v>
      </x:c>
      <x:c r="R422" s="10" t="n">
        <x:f>H422*'Assumptions'!$Y$60*'Assumptions'!$Z$60*'Assumptions'!$D$11*(1+'Assumptions'!$D$13)^(4-1)</x:f>
        <x:v>39.31358564250001</x:v>
      </x:c>
      <x:c r="S422" s="10" t="n">
        <x:f>IF(I422=0,0,J422*'Assumptions'!$W$60+H422*'Assumptions'!$X$60)</x:f>
        <x:v>739.5782425200003</x:v>
      </x:c>
      <x:c r="T422" s="10" t="n">
        <x:f>N422*'Assumptions'!$AA$60</x:f>
        <x:v>987.5792665440003</x:v>
      </x:c>
      <x:c r="U422" s="10" t="n">
        <x:f>'Assumptions'!$AE$60*'Assumptions'!$D$11*(1+'Assumptions'!$D$13)^(4-1)</x:f>
        <x:v>0</x:v>
      </x:c>
      <x:c r="V422" s="10" t="n">
        <x:f>0</x:f>
        <x:v>0</x:v>
      </x:c>
      <x:c r="W422" s="10" t="n">
        <x:f>H422*('Assumptions'!$P$60+'Assumptions'!$Y$60)</x:f>
        <x:v>193.07925000000003</x:v>
      </x:c>
      <x:c r="X422" s="10" t="n">
        <x:f>N422/12*'Assumptions'!$AF$60</x:f>
        <x:v>2057.4568053000007</x:v>
      </x:c>
      <x:c r="Y422" s="10" t="n">
        <x:f>P422/12</x:f>
        <x:v>4.3681761825</x:v>
      </x:c>
      <x:c r="Z422" s="10" t="n">
        <x:f>0</x:f>
        <x:v>0</x:v>
      </x:c>
      <x:c r="AA422" s="10" t="n">
        <x:f>Z422*'Assumptions'!$AC$60*'Assumptions'!$D$11*(1+'Assumptions'!$D$13)^(4-1)</x:f>
        <x:v>0</x:v>
      </x:c>
      <x:c r="AB422" s="10" t="n">
        <x:f>F422/1</x:f>
        <x:v>2.662000000000001</x:v>
      </x:c>
      <x:c r="AC422" s="10" t="n">
        <x:f>AB422/'Assumptions'!$AM$60</x:f>
        <x:v>13.310000000000004</x:v>
      </x:c>
      <x:c r="AD422" s="10" t="n">
        <x:f>IF(AB422=0,0,T422/AB422)</x:f>
        <x:v>370.9914600090158</x:v>
      </x:c>
      <x:c r="AE422" s="10" t="n">
        <x:f>AA422*'Assumptions'!$D$21</x:f>
        <x:v>0</x:v>
      </x:c>
    </x:row>
    <x:row r="423" ht="16" customHeight="1">
      <x:c r="A423" s="1"/>
      <x:c r="B423" s="1"/>
      <x:c r="C423" s="1" t="str">
        <x:v>DOT-032</x:v>
      </x:c>
      <x:c r="D423" s="10" t="str">
        <x:v>BPA professional services</x:v>
      </x:c>
      <x:c r="E423" s="10" t="n">
        <x:v>4</x:v>
      </x:c>
      <x:c r="F423" s="21" t="n">
        <x:f>F295*(1+'Assumptions'!$L$61)</x:f>
        <x:v>1.3310000000000004</x:v>
      </x:c>
      <x:c r="G423" s="21" t="n">
        <x:f>H295*'Assumptions'!$K$61</x:f>
        <x:v>1.0675000000000001</x:v>
      </x:c>
      <x:c r="H423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423+G423,NA())</x:f>
        <x:v>2.3985000000000003</x:v>
      </x:c>
      <x:c r="I423" s="22" t="n">
        <x:f>'Assumptions'!$H$61*IF('Assumptions'!$O$61=1,1,'Assumptions'!$D$10)*(1+'Assumptions'!$N$61)^(4-1)</x:f>
        <x:v>7959.060000000001</x:v>
      </x:c>
      <x:c r="J423" s="10" t="n">
        <x:f>H423*I423</x:f>
        <x:v>19089.805410000004</x:v>
      </x:c>
      <x:c r="K423" s="10" t="n">
        <x:f>J423*'Assumptions'!$T$61</x:f>
        <x:v>19089.805410000004</x:v>
      </x:c>
      <x:c r="L423" s="10" t="n">
        <x:f>K423*'Assumptions'!$U$61</x:f>
        <x:v>572.6941623000001</x:v>
      </x:c>
      <x:c r="M423" s="10" t="n">
        <x:f>K423*'Assumptions'!$V$61</x:f>
        <x:v>0</x:v>
      </x:c>
      <x:c r="N423" s="10" t="n">
        <x:f>K423-L423-M423</x:f>
        <x:v>18517.111247700006</x:v>
      </x:c>
      <x:c r="O423" s="10" t="n">
        <x:f>H423*'Assumptions'!$P$61*'Assumptions'!$Q$61*'Assumptions'!$D$11*(1+'Assumptions'!$D$13)^(4-1)</x:f>
        <x:v>9435.260554200002</x:v>
      </x:c>
      <x:c r="P423" s="10" t="n">
        <x:f>H423*'Assumptions'!$R$61*'Assumptions'!$D$11*(1+'Assumptions'!$D$13)^(4-1)</x:f>
        <x:v>26.209057095000002</x:v>
      </x:c>
      <x:c r="Q423" s="10" t="n">
        <x:f>J423*'Assumptions'!$S$61</x:f>
        <x:v>0</x:v>
      </x:c>
      <x:c r="R423" s="10" t="n">
        <x:f>H423*'Assumptions'!$Y$61*'Assumptions'!$Z$61*'Assumptions'!$D$11*(1+'Assumptions'!$D$13)^(4-1)</x:f>
        <x:v>19.656792821250004</x:v>
      </x:c>
      <x:c r="S423" s="10" t="n">
        <x:f>IF(I423=0,0,J423*'Assumptions'!$W$61+H423*'Assumptions'!$X$61)</x:f>
        <x:v>554.3239068900002</x:v>
      </x:c>
      <x:c r="T423" s="10" t="n">
        <x:f>N423*'Assumptions'!$AA$61</x:f>
        <x:v>740.6844499080003</x:v>
      </x:c>
      <x:c r="U423" s="10" t="n">
        <x:f>'Assumptions'!$AE$61*'Assumptions'!$D$11*(1+'Assumptions'!$D$13)^(4-1)</x:f>
        <x:v>0</x:v>
      </x:c>
      <x:c r="V423" s="10" t="n">
        <x:f>0</x:f>
        <x:v>0</x:v>
      </x:c>
      <x:c r="W423" s="10" t="n">
        <x:f>H423*('Assumptions'!$P$61+'Assumptions'!$Y$61)</x:f>
        <x:v>144.50962500000003</x:v>
      </x:c>
      <x:c r="X423" s="10" t="n">
        <x:f>N423/12*'Assumptions'!$AF$61</x:f>
        <x:v>1543.0926039750004</x:v>
      </x:c>
      <x:c r="Y423" s="10" t="n">
        <x:f>P423/12</x:f>
        <x:v>2.18408809125</x:v>
      </x:c>
      <x:c r="Z423" s="10" t="n">
        <x:f>0</x:f>
        <x:v>0</x:v>
      </x:c>
      <x:c r="AA423" s="10" t="n">
        <x:f>Z423*'Assumptions'!$AC$61*'Assumptions'!$D$11*(1+'Assumptions'!$D$13)^(4-1)</x:f>
        <x:v>0</x:v>
      </x:c>
      <x:c r="AB423" s="10" t="n">
        <x:f>F423/1</x:f>
        <x:v>1.3310000000000004</x:v>
      </x:c>
      <x:c r="AC423" s="10" t="n">
        <x:f>AB423/'Assumptions'!$AM$61</x:f>
        <x:v>6.655000000000002</x:v>
      </x:c>
      <x:c r="AD423" s="10" t="n">
        <x:f>IF(AB423=0,0,T423/AB423)</x:f>
        <x:v>556.4871900135237</x:v>
      </x:c>
      <x:c r="AE423" s="10" t="n">
        <x:f>AA423*'Assumptions'!$D$21</x:f>
        <x:v>0</x:v>
      </x:c>
    </x:row>
    <x:row r="424" ht="16" customHeight="1">
      <x:c r="A424" s="1"/>
      <x:c r="B424" s="1"/>
      <x:c r="C424" s="1" t="str">
        <x:v>DOT-033</x:v>
      </x:c>
      <x:c r="D424" s="10" t="str">
        <x:v>CornerFlow</x:v>
      </x:c>
      <x:c r="E424" s="10" t="n">
        <x:v>4</x:v>
      </x:c>
      <x:c r="F424" s="21" t="n">
        <x:f>F296*(1+'Assumptions'!$L$62)</x:f>
        <x:v>62.20800000000001</x:v>
      </x:c>
      <x:c r="G424" s="21" t="n">
        <x:f>H296*'Assumptions'!$K$62</x:f>
        <x:v>78.036</x:v>
      </x:c>
      <x:c r="H424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424+G424,NA())</x:f>
        <x:v>140.24400000000003</x:v>
      </x:c>
      <x:c r="I424" s="22" t="n">
        <x:f>'Assumptions'!$H$62*IF('Assumptions'!$O$62=1,1,'Assumptions'!$D$10)*(1+'Assumptions'!$N$62)^(4-1)</x:f>
        <x:v>51.99919200000001</x:v>
      </x:c>
      <x:c r="J424" s="10" t="n">
        <x:f>H424*I424</x:f>
        <x:v>7292.574682848002</x:v>
      </x:c>
      <x:c r="K424" s="10" t="n">
        <x:f>J424*'Assumptions'!$T$62</x:f>
        <x:v>7292.574682848002</x:v>
      </x:c>
      <x:c r="L424" s="10" t="n">
        <x:f>K424*'Assumptions'!$U$62</x:f>
        <x:v>218.77724048544007</x:v>
      </x:c>
      <x:c r="M424" s="10" t="n">
        <x:f>K424*'Assumptions'!$V$62</x:f>
        <x:v>0</x:v>
      </x:c>
      <x:c r="N424" s="10" t="n">
        <x:f>K424-L424-M424</x:f>
        <x:v>7073.797442362562</x:v>
      </x:c>
      <x:c r="O424" s="10" t="n">
        <x:f>H424*'Assumptions'!$P$62*'Assumptions'!$Q$62*'Assumptions'!$D$11*(1+'Assumptions'!$D$13)^(4-1)</x:f>
        <x:v>804.5541282870001</x:v>
      </x:c>
      <x:c r="P424" s="10" t="n">
        <x:f>H424*'Assumptions'!$R$62*'Assumptions'!$D$11*(1+'Assumptions'!$D$13)^(4-1)</x:f>
        <x:v>0</x:v>
      </x:c>
      <x:c r="Q424" s="10" t="n">
        <x:f>J424*'Assumptions'!$S$62</x:f>
        <x:v>0</x:v>
      </x:c>
      <x:c r="R424" s="10" t="n">
        <x:f>H424*'Assumptions'!$Y$62*'Assumptions'!$Z$62*'Assumptions'!$D$11*(1+'Assumptions'!$D$13)^(4-1)</x:f>
        <x:v>689.617824246</x:v>
      </x:c>
      <x:c r="S424" s="10" t="n">
        <x:f>IF(I424=0,0,J424*'Assumptions'!$W$62+H424*'Assumptions'!$X$62)</x:f>
        <x:v>253.5578658025921</x:v>
      </x:c>
      <x:c r="T424" s="10" t="n">
        <x:f>N424*'Assumptions'!$AA$62</x:f>
        <x:v>353.6898721181281</x:v>
      </x:c>
      <x:c r="U424" s="10" t="n">
        <x:f>'Assumptions'!$AE$62*'Assumptions'!$D$11*(1+'Assumptions'!$D$13)^(4-1)</x:f>
        <x:v>131.12724</x:v>
      </x:c>
      <x:c r="V424" s="10" t="n">
        <x:f>0</x:f>
        <x:v>0</x:v>
      </x:c>
      <x:c r="W424" s="10" t="n">
        <x:f>H424*('Assumptions'!$P$62+'Assumptions'!$Y$62)</x:f>
        <x:v>42.07320000000001</x:v>
      </x:c>
      <x:c r="X424" s="10" t="n">
        <x:f>N424/12*'Assumptions'!$AF$62</x:f>
        <x:v>0</x:v>
      </x:c>
      <x:c r="Y424" s="10" t="n">
        <x:f>P424/12</x:f>
        <x:v>0</x:v>
      </x:c>
      <x:c r="Z424" s="10" t="n">
        <x:f>0</x:f>
        <x:v>0</x:v>
      </x:c>
      <x:c r="AA424" s="10" t="n">
        <x:f>Z424*'Assumptions'!$AC$62*'Assumptions'!$D$11*(1+'Assumptions'!$D$13)^(4-1)</x:f>
        <x:v>0</x:v>
      </x:c>
      <x:c r="AB424" s="10" t="n">
        <x:f>F424/12</x:f>
        <x:v>5.184000000000001</x:v>
      </x:c>
      <x:c r="AC424" s="10" t="n">
        <x:f>AB424/'Assumptions'!$AM$62</x:f>
        <x:v>103.68000000000002</x:v>
      </x:c>
      <x:c r="AD424" s="10" t="n">
        <x:f>IF(AB424=0,0,T424/AB424)</x:f>
        <x:v>68.22721298575</x:v>
      </x:c>
      <x:c r="AE424" s="10" t="n">
        <x:f>AA424*'Assumptions'!$D$21</x:f>
        <x:v>0</x:v>
      </x:c>
    </x:row>
    <x:row r="425" ht="16" customHeight="1">
      <x:c r="A425" s="1"/>
      <x:c r="B425" s="1"/>
      <x:c r="C425" s="1" t="str">
        <x:v>DOT-034</x:v>
      </x:c>
      <x:c r="D425" s="10" t="str">
        <x:v>CornerFlow</x:v>
      </x:c>
      <x:c r="E425" s="10" t="n">
        <x:v>4</x:v>
      </x:c>
      <x:c r="F425" s="21" t="n">
        <x:f>F297*(1+'Assumptions'!$L$63)</x:f>
        <x:v>13.310000000000002</x:v>
      </x:c>
      <x:c r="G425" s="21" t="n">
        <x:f>H297*'Assumptions'!$K$63</x:f>
        <x:v>10.05</x:v>
      </x:c>
      <x:c r="H425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425+G425,NA())</x:f>
        <x:v>23.360000000000003</x:v>
      </x:c>
      <x:c r="I425" s="22" t="n">
        <x:f>'Assumptions'!$H$63*IF('Assumptions'!$O$63=1,1,'Assumptions'!$D$10)*(1+'Assumptions'!$N$63)^(4-1)</x:f>
        <x:v>211.18039200000004</x:v>
      </x:c>
      <x:c r="J425" s="10" t="n">
        <x:f>H425*I425</x:f>
        <x:v>4933.173957120001</x:v>
      </x:c>
      <x:c r="K425" s="10" t="n">
        <x:f>J425*'Assumptions'!$T$63</x:f>
        <x:v>4933.173957120001</x:v>
      </x:c>
      <x:c r="L425" s="10" t="n">
        <x:f>K425*'Assumptions'!$U$63</x:f>
        <x:v>147.99521871360002</x:v>
      </x:c>
      <x:c r="M425" s="10" t="n">
        <x:f>K425*'Assumptions'!$V$63</x:f>
        <x:v>0</x:v>
      </x:c>
      <x:c r="N425" s="10" t="n">
        <x:f>K425-L425-M425</x:f>
        <x:v>4785.178738406401</x:v>
      </x:c>
      <x:c r="O425" s="10" t="n">
        <x:f>H425*'Assumptions'!$P$63*'Assumptions'!$Q$63*'Assumptions'!$D$11*(1+'Assumptions'!$D$13)^(4-1)</x:f>
        <x:v>2042.0882176000002</x:v>
      </x:c>
      <x:c r="P425" s="10" t="n">
        <x:f>H425*'Assumptions'!$R$63*'Assumptions'!$D$11*(1+'Assumptions'!$D$13)^(4-1)</x:f>
        <x:v>0</x:v>
      </x:c>
      <x:c r="Q425" s="10" t="n">
        <x:f>J425*'Assumptions'!$S$63</x:f>
        <x:v>0</x:v>
      </x:c>
      <x:c r="R425" s="10" t="n">
        <x:f>H425*'Assumptions'!$Y$63*'Assumptions'!$Z$63*'Assumptions'!$D$11*(1+'Assumptions'!$D$13)^(4-1)</x:f>
        <x:v>191.44577040000001</x:v>
      </x:c>
      <x:c r="S425" s="10" t="n">
        <x:f>IF(I425=0,0,J425*'Assumptions'!$W$63+H425*'Assumptions'!$X$63)</x:f>
        <x:v>150.07004475648006</x:v>
      </x:c>
      <x:c r="T425" s="10" t="n">
        <x:f>N425*'Assumptions'!$AA$63</x:f>
        <x:v>191.40714953625604</x:v>
      </x:c>
      <x:c r="U425" s="10" t="n">
        <x:f>'Assumptions'!$AE$63*'Assumptions'!$D$11*(1+'Assumptions'!$D$13)^(4-1)</x:f>
        <x:v>0</x:v>
      </x:c>
      <x:c r="V425" s="10" t="n">
        <x:f>0</x:f>
        <x:v>0</x:v>
      </x:c>
      <x:c r="W425" s="10" t="n">
        <x:f>H425*('Assumptions'!$P$63+'Assumptions'!$Y$63)</x:f>
        <x:v>52.56000000000001</x:v>
      </x:c>
      <x:c r="X425" s="10" t="n">
        <x:f>N425/12*'Assumptions'!$AF$63</x:f>
        <x:v>398.7648948672001</x:v>
      </x:c>
      <x:c r="Y425" s="10" t="n">
        <x:f>P425/12</x:f>
        <x:v>0</x:v>
      </x:c>
      <x:c r="Z425" s="10" t="n">
        <x:f>0</x:f>
        <x:v>0</x:v>
      </x:c>
      <x:c r="AA425" s="10" t="n">
        <x:f>Z425*'Assumptions'!$AC$63*'Assumptions'!$D$11*(1+'Assumptions'!$D$13)^(4-1)</x:f>
        <x:v>0</x:v>
      </x:c>
      <x:c r="AB425" s="10" t="n">
        <x:f>F425/1</x:f>
        <x:v>13.310000000000002</x:v>
      </x:c>
      <x:c r="AC425" s="10" t="n">
        <x:f>AB425/'Assumptions'!$AM$63</x:f>
        <x:v>66.55000000000001</x:v>
      </x:c>
      <x:c r="AD425" s="10" t="n">
        <x:f>IF(AB425=0,0,T425/AB425)</x:f>
        <x:v>14.380702444497071</x:v>
      </x:c>
      <x:c r="AE425" s="10" t="n">
        <x:f>AA425*'Assumptions'!$D$21</x:f>
        <x:v>0</x:v>
      </x:c>
    </x:row>
    <x:row r="426" ht="16" customHeight="1">
      <x:c r="A426" s="1"/>
      <x:c r="B426" s="1"/>
      <x:c r="C426" s="1" t="str">
        <x:v>DOT-035</x:v>
      </x:c>
      <x:c r="D426" s="10" t="str">
        <x:v>Spindle</x:v>
      </x:c>
      <x:c r="E426" s="10" t="n">
        <x:v>4</x:v>
      </x:c>
      <x:c r="F426" s="21" t="n">
        <x:f>F298*(1+'Assumptions'!$L$64)</x:f>
        <x:v>62.20800000000001</x:v>
      </x:c>
      <x:c r="G426" s="21" t="n">
        <x:f>H298*'Assumptions'!$K$64</x:f>
        <x:v>78.036</x:v>
      </x:c>
      <x:c r="H426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426+G426,NA())</x:f>
        <x:v>140.24400000000003</x:v>
      </x:c>
      <x:c r="I426" s="22" t="n">
        <x:f>'Assumptions'!$H$64*IF('Assumptions'!$O$64=1,1,'Assumptions'!$D$10)*(1+'Assumptions'!$N$64)^(4-1)</x:f>
        <x:v>51.99919200000001</x:v>
      </x:c>
      <x:c r="J426" s="10" t="n">
        <x:f>H426*I426</x:f>
        <x:v>7292.574682848002</x:v>
      </x:c>
      <x:c r="K426" s="10" t="n">
        <x:f>J426*'Assumptions'!$T$64</x:f>
        <x:v>7292.574682848002</x:v>
      </x:c>
      <x:c r="L426" s="10" t="n">
        <x:f>K426*'Assumptions'!$U$64</x:f>
        <x:v>218.77724048544007</x:v>
      </x:c>
      <x:c r="M426" s="10" t="n">
        <x:f>K426*'Assumptions'!$V$64</x:f>
        <x:v>0</x:v>
      </x:c>
      <x:c r="N426" s="10" t="n">
        <x:f>K426-L426-M426</x:f>
        <x:v>7073.797442362562</x:v>
      </x:c>
      <x:c r="O426" s="10" t="n">
        <x:f>H426*'Assumptions'!$P$64*'Assumptions'!$Q$64*'Assumptions'!$D$11*(1+'Assumptions'!$D$13)^(4-1)</x:f>
        <x:v>804.5541282870001</x:v>
      </x:c>
      <x:c r="P426" s="10" t="n">
        <x:f>H426*'Assumptions'!$R$64*'Assumptions'!$D$11*(1+'Assumptions'!$D$13)^(4-1)</x:f>
        <x:v>0</x:v>
      </x:c>
      <x:c r="Q426" s="10" t="n">
        <x:f>J426*'Assumptions'!$S$64</x:f>
        <x:v>0</x:v>
      </x:c>
      <x:c r="R426" s="10" t="n">
        <x:f>H426*'Assumptions'!$Y$64*'Assumptions'!$Z$64*'Assumptions'!$D$11*(1+'Assumptions'!$D$13)^(4-1)</x:f>
        <x:v>689.617824246</x:v>
      </x:c>
      <x:c r="S426" s="10" t="n">
        <x:f>IF(I426=0,0,J426*'Assumptions'!$W$64+H426*'Assumptions'!$X$64)</x:f>
        <x:v>253.5578658025921</x:v>
      </x:c>
      <x:c r="T426" s="10" t="n">
        <x:f>N426*'Assumptions'!$AA$64</x:f>
        <x:v>353.6898721181281</x:v>
      </x:c>
      <x:c r="U426" s="10" t="n">
        <x:f>'Assumptions'!$AE$64*'Assumptions'!$D$11*(1+'Assumptions'!$D$13)^(4-1)</x:f>
        <x:v>131.12724</x:v>
      </x:c>
      <x:c r="V426" s="10" t="n">
        <x:f>0</x:f>
        <x:v>0</x:v>
      </x:c>
      <x:c r="W426" s="10" t="n">
        <x:f>H426*('Assumptions'!$P$64+'Assumptions'!$Y$64)</x:f>
        <x:v>42.07320000000001</x:v>
      </x:c>
      <x:c r="X426" s="10" t="n">
        <x:f>N426/12*'Assumptions'!$AF$64</x:f>
        <x:v>0</x:v>
      </x:c>
      <x:c r="Y426" s="10" t="n">
        <x:f>P426/12</x:f>
        <x:v>0</x:v>
      </x:c>
      <x:c r="Z426" s="10" t="n">
        <x:f>0</x:f>
        <x:v>0</x:v>
      </x:c>
      <x:c r="AA426" s="10" t="n">
        <x:f>Z426*'Assumptions'!$AC$64*'Assumptions'!$D$11*(1+'Assumptions'!$D$13)^(4-1)</x:f>
        <x:v>0</x:v>
      </x:c>
      <x:c r="AB426" s="10" t="n">
        <x:f>F426/12</x:f>
        <x:v>5.184000000000001</x:v>
      </x:c>
      <x:c r="AC426" s="10" t="n">
        <x:f>AB426/'Assumptions'!$AM$64</x:f>
        <x:v>103.68000000000002</x:v>
      </x:c>
      <x:c r="AD426" s="10" t="n">
        <x:f>IF(AB426=0,0,T426/AB426)</x:f>
        <x:v>68.22721298575</x:v>
      </x:c>
      <x:c r="AE426" s="10" t="n">
        <x:f>AA426*'Assumptions'!$D$21</x:f>
        <x:v>0</x:v>
      </x:c>
    </x:row>
    <x:row r="427" ht="16" customHeight="1">
      <x:c r="A427" s="1"/>
      <x:c r="B427" s="1"/>
      <x:c r="C427" s="1" t="str">
        <x:v>DOT-036</x:v>
      </x:c>
      <x:c r="D427" s="10" t="str">
        <x:v>Spindle</x:v>
      </x:c>
      <x:c r="E427" s="10" t="n">
        <x:v>4</x:v>
      </x:c>
      <x:c r="F427" s="21" t="n">
        <x:f>F299*(1+'Assumptions'!$L$65)</x:f>
        <x:v>13.310000000000002</x:v>
      </x:c>
      <x:c r="G427" s="21" t="n">
        <x:f>H299*'Assumptions'!$K$65</x:f>
        <x:v>10.05</x:v>
      </x:c>
      <x:c r="H427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427+G427,NA())</x:f>
        <x:v>23.360000000000003</x:v>
      </x:c>
      <x:c r="I427" s="22" t="n">
        <x:f>'Assumptions'!$H$65*IF('Assumptions'!$O$65=1,1,'Assumptions'!$D$10)*(1+'Assumptions'!$N$65)^(4-1)</x:f>
        <x:v>211.18039200000004</x:v>
      </x:c>
      <x:c r="J427" s="10" t="n">
        <x:f>H427*I427</x:f>
        <x:v>4933.173957120001</x:v>
      </x:c>
      <x:c r="K427" s="10" t="n">
        <x:f>J427*'Assumptions'!$T$65</x:f>
        <x:v>4933.173957120001</x:v>
      </x:c>
      <x:c r="L427" s="10" t="n">
        <x:f>K427*'Assumptions'!$U$65</x:f>
        <x:v>147.99521871360002</x:v>
      </x:c>
      <x:c r="M427" s="10" t="n">
        <x:f>K427*'Assumptions'!$V$65</x:f>
        <x:v>0</x:v>
      </x:c>
      <x:c r="N427" s="10" t="n">
        <x:f>K427-L427-M427</x:f>
        <x:v>4785.178738406401</x:v>
      </x:c>
      <x:c r="O427" s="10" t="n">
        <x:f>H427*'Assumptions'!$P$65*'Assumptions'!$Q$65*'Assumptions'!$D$11*(1+'Assumptions'!$D$13)^(4-1)</x:f>
        <x:v>2042.0882176000002</x:v>
      </x:c>
      <x:c r="P427" s="10" t="n">
        <x:f>H427*'Assumptions'!$R$65*'Assumptions'!$D$11*(1+'Assumptions'!$D$13)^(4-1)</x:f>
        <x:v>0</x:v>
      </x:c>
      <x:c r="Q427" s="10" t="n">
        <x:f>J427*'Assumptions'!$S$65</x:f>
        <x:v>0</x:v>
      </x:c>
      <x:c r="R427" s="10" t="n">
        <x:f>H427*'Assumptions'!$Y$65*'Assumptions'!$Z$65*'Assumptions'!$D$11*(1+'Assumptions'!$D$13)^(4-1)</x:f>
        <x:v>191.44577040000001</x:v>
      </x:c>
      <x:c r="S427" s="10" t="n">
        <x:f>IF(I427=0,0,J427*'Assumptions'!$W$65+H427*'Assumptions'!$X$65)</x:f>
        <x:v>150.07004475648006</x:v>
      </x:c>
      <x:c r="T427" s="10" t="n">
        <x:f>N427*'Assumptions'!$AA$65</x:f>
        <x:v>191.40714953625604</x:v>
      </x:c>
      <x:c r="U427" s="10" t="n">
        <x:f>'Assumptions'!$AE$65*'Assumptions'!$D$11*(1+'Assumptions'!$D$13)^(4-1)</x:f>
        <x:v>0</x:v>
      </x:c>
      <x:c r="V427" s="10" t="n">
        <x:f>0</x:f>
        <x:v>0</x:v>
      </x:c>
      <x:c r="W427" s="10" t="n">
        <x:f>H427*('Assumptions'!$P$65+'Assumptions'!$Y$65)</x:f>
        <x:v>52.56000000000001</x:v>
      </x:c>
      <x:c r="X427" s="10" t="n">
        <x:f>N427/12*'Assumptions'!$AF$65</x:f>
        <x:v>398.7648948672001</x:v>
      </x:c>
      <x:c r="Y427" s="10" t="n">
        <x:f>P427/12</x:f>
        <x:v>0</x:v>
      </x:c>
      <x:c r="Z427" s="10" t="n">
        <x:f>0</x:f>
        <x:v>0</x:v>
      </x:c>
      <x:c r="AA427" s="10" t="n">
        <x:f>Z427*'Assumptions'!$AC$65*'Assumptions'!$D$11*(1+'Assumptions'!$D$13)^(4-1)</x:f>
        <x:v>0</x:v>
      </x:c>
      <x:c r="AB427" s="10" t="n">
        <x:f>F427/1</x:f>
        <x:v>13.310000000000002</x:v>
      </x:c>
      <x:c r="AC427" s="10" t="n">
        <x:f>AB427/'Assumptions'!$AM$65</x:f>
        <x:v>66.55000000000001</x:v>
      </x:c>
      <x:c r="AD427" s="10" t="n">
        <x:f>IF(AB427=0,0,T427/AB427)</x:f>
        <x:v>14.380702444497071</x:v>
      </x:c>
      <x:c r="AE427" s="10" t="n">
        <x:f>AA427*'Assumptions'!$D$21</x:f>
        <x:v>0</x:v>
      </x:c>
    </x:row>
    <x:row r="428" ht="16" customHeight="1">
      <x:c r="A428" s="1"/>
      <x:c r="B428" s="1"/>
      <x:c r="C428" s="1" t="str">
        <x:v>DOT-037</x:v>
      </x:c>
      <x:c r="D428" s="10" t="str">
        <x:v>Maison Contour</x:v>
      </x:c>
      <x:c r="E428" s="10" t="n">
        <x:v>4</x:v>
      </x:c>
      <x:c r="F428" s="21" t="n">
        <x:f>F300*(1+'Assumptions'!$L$66)</x:f>
        <x:v>62.20800000000001</x:v>
      </x:c>
      <x:c r="G428" s="21" t="n">
        <x:f>H300*'Assumptions'!$K$66</x:f>
        <x:v>78.036</x:v>
      </x:c>
      <x:c r="H428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428+G428,NA())</x:f>
        <x:v>140.24400000000003</x:v>
      </x:c>
      <x:c r="I428" s="22" t="n">
        <x:f>'Assumptions'!$H$66*IF('Assumptions'!$O$66=1,1,'Assumptions'!$D$10)*(1+'Assumptions'!$N$66)^(4-1)</x:f>
        <x:v>83.83543200000001</x:v>
      </x:c>
      <x:c r="J428" s="10" t="n">
        <x:f>H428*I428</x:f>
        <x:v>11757.416325408003</x:v>
      </x:c>
      <x:c r="K428" s="10" t="n">
        <x:f>J428*'Assumptions'!$T$66</x:f>
        <x:v>11757.416325408003</x:v>
      </x:c>
      <x:c r="L428" s="10" t="n">
        <x:f>K428*'Assumptions'!$U$66</x:f>
        <x:v>352.72248976224006</x:v>
      </x:c>
      <x:c r="M428" s="10" t="n">
        <x:f>K428*'Assumptions'!$V$66</x:f>
        <x:v>0</x:v>
      </x:c>
      <x:c r="N428" s="10" t="n">
        <x:f>K428-L428-M428</x:f>
        <x:v>11404.693835645763</x:v>
      </x:c>
      <x:c r="O428" s="10" t="n">
        <x:f>H428*'Assumptions'!$P$66*'Assumptions'!$Q$66*'Assumptions'!$D$11*(1+'Assumptions'!$D$13)^(4-1)</x:f>
        <x:v>804.5541282870001</x:v>
      </x:c>
      <x:c r="P428" s="10" t="n">
        <x:f>H428*'Assumptions'!$R$66*'Assumptions'!$D$11*(1+'Assumptions'!$D$13)^(4-1)</x:f>
        <x:v>0</x:v>
      </x:c>
      <x:c r="Q428" s="10" t="n">
        <x:f>J428*'Assumptions'!$S$66</x:f>
        <x:v>0</x:v>
      </x:c>
      <x:c r="R428" s="10" t="n">
        <x:f>H428*'Assumptions'!$Y$66*'Assumptions'!$Z$66*'Assumptions'!$D$11*(1+'Assumptions'!$D$13)^(4-1)</x:f>
        <x:v>689.617824246</x:v>
      </x:c>
      <x:c r="S428" s="10" t="n">
        <x:f>IF(I428=0,0,J428*'Assumptions'!$W$66+H428*'Assumptions'!$X$66)</x:f>
        <x:v>383.03827343683207</x:v>
      </x:c>
      <x:c r="T428" s="10" t="n">
        <x:f>N428*'Assumptions'!$AA$66</x:f>
        <x:v>570.2346917822882</x:v>
      </x:c>
      <x:c r="U428" s="10" t="n">
        <x:f>'Assumptions'!$AE$66*'Assumptions'!$D$11*(1+'Assumptions'!$D$13)^(4-1)</x:f>
        <x:v>131.12724</x:v>
      </x:c>
      <x:c r="V428" s="10" t="n">
        <x:f>0</x:f>
        <x:v>0</x:v>
      </x:c>
      <x:c r="W428" s="10" t="n">
        <x:f>H428*('Assumptions'!$P$66+'Assumptions'!$Y$66)</x:f>
        <x:v>42.07320000000001</x:v>
      </x:c>
      <x:c r="X428" s="10" t="n">
        <x:f>N428/12*'Assumptions'!$AF$66</x:f>
        <x:v>0</x:v>
      </x:c>
      <x:c r="Y428" s="10" t="n">
        <x:f>P428/12</x:f>
        <x:v>0</x:v>
      </x:c>
      <x:c r="Z428" s="10" t="n">
        <x:f>0</x:f>
        <x:v>0</x:v>
      </x:c>
      <x:c r="AA428" s="10" t="n">
        <x:f>Z428*'Assumptions'!$AC$66*'Assumptions'!$D$11*(1+'Assumptions'!$D$13)^(4-1)</x:f>
        <x:v>0</x:v>
      </x:c>
      <x:c r="AB428" s="10" t="n">
        <x:f>F428/12</x:f>
        <x:v>5.184000000000001</x:v>
      </x:c>
      <x:c r="AC428" s="10" t="n">
        <x:f>AB428/'Assumptions'!$AM$66</x:f>
        <x:v>103.68000000000002</x:v>
      </x:c>
      <x:c r="AD428" s="10" t="n">
        <x:f>IF(AB428=0,0,T428/AB428)</x:f>
        <x:v>109.99897603825002</x:v>
      </x:c>
      <x:c r="AE428" s="10" t="n">
        <x:f>AA428*'Assumptions'!$D$21</x:f>
        <x:v>0</x:v>
      </x:c>
    </x:row>
    <x:row r="429" ht="16" customHeight="1">
      <x:c r="A429" s="1"/>
      <x:c r="B429" s="1"/>
      <x:c r="C429" s="1" t="str">
        <x:v>DOT-038</x:v>
      </x:c>
      <x:c r="D429" s="10" t="str">
        <x:v>Maison Contour</x:v>
      </x:c>
      <x:c r="E429" s="10" t="n">
        <x:v>4</x:v>
      </x:c>
      <x:c r="F429" s="21" t="n">
        <x:f>F301*(1+'Assumptions'!$L$67)</x:f>
        <x:v>13.310000000000002</x:v>
      </x:c>
      <x:c r="G429" s="21" t="n">
        <x:f>H301*'Assumptions'!$K$67</x:f>
        <x:v>10.05</x:v>
      </x:c>
      <x:c r="H429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429+G429,NA())</x:f>
        <x:v>23.360000000000003</x:v>
      </x:c>
      <x:c r="I429" s="22" t="n">
        <x:f>'Assumptions'!$H$67*IF('Assumptions'!$O$67=1,1,'Assumptions'!$D$10)*(1+'Assumptions'!$N$67)^(4-1)</x:f>
        <x:v>211.18039200000004</x:v>
      </x:c>
      <x:c r="J429" s="10" t="n">
        <x:f>H429*I429</x:f>
        <x:v>4933.173957120001</x:v>
      </x:c>
      <x:c r="K429" s="10" t="n">
        <x:f>J429*'Assumptions'!$T$67</x:f>
        <x:v>4933.173957120001</x:v>
      </x:c>
      <x:c r="L429" s="10" t="n">
        <x:f>K429*'Assumptions'!$U$67</x:f>
        <x:v>147.99521871360002</x:v>
      </x:c>
      <x:c r="M429" s="10" t="n">
        <x:f>K429*'Assumptions'!$V$67</x:f>
        <x:v>0</x:v>
      </x:c>
      <x:c r="N429" s="10" t="n">
        <x:f>K429-L429-M429</x:f>
        <x:v>4785.178738406401</x:v>
      </x:c>
      <x:c r="O429" s="10" t="n">
        <x:f>H429*'Assumptions'!$P$67*'Assumptions'!$Q$67*'Assumptions'!$D$11*(1+'Assumptions'!$D$13)^(4-1)</x:f>
        <x:v>2042.0882176000002</x:v>
      </x:c>
      <x:c r="P429" s="10" t="n">
        <x:f>H429*'Assumptions'!$R$67*'Assumptions'!$D$11*(1+'Assumptions'!$D$13)^(4-1)</x:f>
        <x:v>0</x:v>
      </x:c>
      <x:c r="Q429" s="10" t="n">
        <x:f>J429*'Assumptions'!$S$67</x:f>
        <x:v>0</x:v>
      </x:c>
      <x:c r="R429" s="10" t="n">
        <x:f>H429*'Assumptions'!$Y$67*'Assumptions'!$Z$67*'Assumptions'!$D$11*(1+'Assumptions'!$D$13)^(4-1)</x:f>
        <x:v>191.44577040000001</x:v>
      </x:c>
      <x:c r="S429" s="10" t="n">
        <x:f>IF(I429=0,0,J429*'Assumptions'!$W$67+H429*'Assumptions'!$X$67)</x:f>
        <x:v>150.07004475648006</x:v>
      </x:c>
      <x:c r="T429" s="10" t="n">
        <x:f>N429*'Assumptions'!$AA$67</x:f>
        <x:v>191.40714953625604</x:v>
      </x:c>
      <x:c r="U429" s="10" t="n">
        <x:f>'Assumptions'!$AE$67*'Assumptions'!$D$11*(1+'Assumptions'!$D$13)^(4-1)</x:f>
        <x:v>0</x:v>
      </x:c>
      <x:c r="V429" s="10" t="n">
        <x:f>0</x:f>
        <x:v>0</x:v>
      </x:c>
      <x:c r="W429" s="10" t="n">
        <x:f>H429*('Assumptions'!$P$67+'Assumptions'!$Y$67)</x:f>
        <x:v>52.56000000000001</x:v>
      </x:c>
      <x:c r="X429" s="10" t="n">
        <x:f>N429/12*'Assumptions'!$AF$67</x:f>
        <x:v>398.7648948672001</x:v>
      </x:c>
      <x:c r="Y429" s="10" t="n">
        <x:f>P429/12</x:f>
        <x:v>0</x:v>
      </x:c>
      <x:c r="Z429" s="10" t="n">
        <x:f>0</x:f>
        <x:v>0</x:v>
      </x:c>
      <x:c r="AA429" s="10" t="n">
        <x:f>Z429*'Assumptions'!$AC$67*'Assumptions'!$D$11*(1+'Assumptions'!$D$13)^(4-1)</x:f>
        <x:v>0</x:v>
      </x:c>
      <x:c r="AB429" s="10" t="n">
        <x:f>F429/1</x:f>
        <x:v>13.310000000000002</x:v>
      </x:c>
      <x:c r="AC429" s="10" t="n">
        <x:f>AB429/'Assumptions'!$AM$67</x:f>
        <x:v>66.55000000000001</x:v>
      </x:c>
      <x:c r="AD429" s="10" t="n">
        <x:f>IF(AB429=0,0,T429/AB429)</x:f>
        <x:v>14.380702444497071</x:v>
      </x:c>
      <x:c r="AE429" s="10" t="n">
        <x:f>AA429*'Assumptions'!$D$21</x:f>
        <x:v>0</x:v>
      </x:c>
    </x:row>
    <x:row r="430" ht="16" customHeight="1">
      <x:c r="A430" s="1"/>
      <x:c r="B430" s="1"/>
      <x:c r="C430" s="1" t="str">
        <x:v>DOT-039</x:v>
      </x:c>
      <x:c r="D430" s="10" t="str">
        <x:v>DishLoom US</x:v>
      </x:c>
      <x:c r="E430" s="10" t="n">
        <x:v>4</x:v>
      </x:c>
      <x:c r="F430" s="21" t="n">
        <x:f>F302*(1+'Assumptions'!$L$68)</x:f>
        <x:v>62.20800000000001</x:v>
      </x:c>
      <x:c r="G430" s="21" t="n">
        <x:f>H302*'Assumptions'!$K$68</x:f>
        <x:v>78.036</x:v>
      </x:c>
      <x:c r="H430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430+G430,NA())</x:f>
        <x:v>140.24400000000003</x:v>
      </x:c>
      <x:c r="I430" s="22" t="n">
        <x:f>'Assumptions'!$H$68*IF('Assumptions'!$O$68=1,1,'Assumptions'!$D$10)*(1+'Assumptions'!$N$68)^(4-1)</x:f>
        <x:v>41.38711200000001</x:v>
      </x:c>
      <x:c r="J430" s="10" t="n">
        <x:f>H430*I430</x:f>
        <x:v>5804.294135328002</x:v>
      </x:c>
      <x:c r="K430" s="10" t="n">
        <x:f>J430*'Assumptions'!$T$68</x:f>
        <x:v>5804.294135328002</x:v>
      </x:c>
      <x:c r="L430" s="10" t="n">
        <x:f>K430*'Assumptions'!$U$68</x:f>
        <x:v>174.12882405984004</x:v>
      </x:c>
      <x:c r="M430" s="10" t="n">
        <x:f>K430*'Assumptions'!$V$68</x:f>
        <x:v>0</x:v>
      </x:c>
      <x:c r="N430" s="10" t="n">
        <x:f>K430-L430-M430</x:f>
        <x:v>5630.165311268162</x:v>
      </x:c>
      <x:c r="O430" s="10" t="n">
        <x:f>H430*'Assumptions'!$P$68*'Assumptions'!$Q$68*'Assumptions'!$D$11*(1+'Assumptions'!$D$13)^(4-1)</x:f>
        <x:v>804.5541282870001</x:v>
      </x:c>
      <x:c r="P430" s="10" t="n">
        <x:f>H430*'Assumptions'!$R$68*'Assumptions'!$D$11*(1+'Assumptions'!$D$13)^(4-1)</x:f>
        <x:v>0</x:v>
      </x:c>
      <x:c r="Q430" s="10" t="n">
        <x:f>J430*'Assumptions'!$S$68</x:f>
        <x:v>0</x:v>
      </x:c>
      <x:c r="R430" s="10" t="n">
        <x:f>H430*'Assumptions'!$Y$68*'Assumptions'!$Z$68*'Assumptions'!$D$11*(1+'Assumptions'!$D$13)^(4-1)</x:f>
        <x:v>689.617824246</x:v>
      </x:c>
      <x:c r="S430" s="10" t="n">
        <x:f>IF(I430=0,0,J430*'Assumptions'!$W$68+H430*'Assumptions'!$X$68)</x:f>
        <x:v>210.39772992451208</x:v>
      </x:c>
      <x:c r="T430" s="10" t="n">
        <x:f>N430*'Assumptions'!$AA$68</x:f>
        <x:v>281.50826556340814</x:v>
      </x:c>
      <x:c r="U430" s="10" t="n">
        <x:f>'Assumptions'!$AE$68*'Assumptions'!$D$11*(1+'Assumptions'!$D$13)^(4-1)</x:f>
        <x:v>131.12724</x:v>
      </x:c>
      <x:c r="V430" s="10" t="n">
        <x:f>0</x:f>
        <x:v>0</x:v>
      </x:c>
      <x:c r="W430" s="10" t="n">
        <x:f>H430*('Assumptions'!$P$68+'Assumptions'!$Y$68)</x:f>
        <x:v>42.07320000000001</x:v>
      </x:c>
      <x:c r="X430" s="10" t="n">
        <x:f>N430/12*'Assumptions'!$AF$68</x:f>
        <x:v>0</x:v>
      </x:c>
      <x:c r="Y430" s="10" t="n">
        <x:f>P430/12</x:f>
        <x:v>0</x:v>
      </x:c>
      <x:c r="Z430" s="10" t="n">
        <x:f>0</x:f>
        <x:v>0</x:v>
      </x:c>
      <x:c r="AA430" s="10" t="n">
        <x:f>Z430*'Assumptions'!$AC$68*'Assumptions'!$D$11*(1+'Assumptions'!$D$13)^(4-1)</x:f>
        <x:v>0</x:v>
      </x:c>
      <x:c r="AB430" s="10" t="n">
        <x:f>F430/12</x:f>
        <x:v>5.184000000000001</x:v>
      </x:c>
      <x:c r="AC430" s="10" t="n">
        <x:f>AB430/'Assumptions'!$AM$68</x:f>
        <x:v>103.68000000000002</x:v>
      </x:c>
      <x:c r="AD430" s="10" t="n">
        <x:f>IF(AB430=0,0,T430/AB430)</x:f>
        <x:v>54.303291968250015</x:v>
      </x:c>
      <x:c r="AE430" s="10" t="n">
        <x:f>AA430*'Assumptions'!$D$21</x:f>
        <x:v>0</x:v>
      </x:c>
    </x:row>
    <x:row r="431" ht="16" customHeight="1">
      <x:c r="A431" s="1"/>
      <x:c r="B431" s="1"/>
      <x:c r="C431" s="1" t="str">
        <x:v>DOT-040</x:v>
      </x:c>
      <x:c r="D431" s="10" t="str">
        <x:v>DishLoom US</x:v>
      </x:c>
      <x:c r="E431" s="10" t="n">
        <x:v>4</x:v>
      </x:c>
      <x:c r="F431" s="21" t="n">
        <x:f>F303*(1+'Assumptions'!$L$69)</x:f>
        <x:v>124.41600000000003</x:v>
      </x:c>
      <x:c r="G431" s="21" t="n">
        <x:f>H303*'Assumptions'!$K$69</x:f>
        <x:v>156.072</x:v>
      </x:c>
      <x:c r="H431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431+G431,NA())</x:f>
        <x:v>280.48800000000006</x:v>
      </x:c>
      <x:c r="I431" s="22" t="n">
        <x:f>'Assumptions'!$H$69*IF('Assumptions'!$O$69=1,1,'Assumptions'!$D$10)*(1+'Assumptions'!$N$69)^(4-1)</x:f>
        <x:v>9.550872000000002</x:v>
      </x:c>
      <x:c r="J431" s="10" t="n">
        <x:f>H431*I431</x:f>
        <x:v>2678.904985536001</x:v>
      </x:c>
      <x:c r="K431" s="10" t="n">
        <x:f>J431*'Assumptions'!$T$69</x:f>
        <x:v>2678.904985536001</x:v>
      </x:c>
      <x:c r="L431" s="10" t="n">
        <x:f>K431*'Assumptions'!$U$69</x:f>
        <x:v>80.36714956608002</x:v>
      </x:c>
      <x:c r="M431" s="10" t="n">
        <x:f>K431*'Assumptions'!$V$69</x:f>
        <x:v>0</x:v>
      </x:c>
      <x:c r="N431" s="10" t="n">
        <x:f>K431-L431-M431</x:f>
        <x:v>2598.5378359699207</x:v>
      </x:c>
      <x:c r="O431" s="10" t="n">
        <x:f>H431*'Assumptions'!$P$69*'Assumptions'!$Q$69*'Assumptions'!$D$11*(1+'Assumptions'!$D$13)^(4-1)</x:f>
        <x:v>536.3694188580001</x:v>
      </x:c>
      <x:c r="P431" s="10" t="n">
        <x:f>H431*'Assumptions'!$R$69*'Assumptions'!$D$11*(1+'Assumptions'!$D$13)^(4-1)</x:f>
        <x:v>0</x:v>
      </x:c>
      <x:c r="Q431" s="10" t="n">
        <x:f>J431*'Assumptions'!$S$69</x:f>
        <x:v>0</x:v>
      </x:c>
      <x:c r="R431" s="10" t="n">
        <x:f>H431*'Assumptions'!$Y$69*'Assumptions'!$Z$69*'Assumptions'!$D$11*(1+'Assumptions'!$D$13)^(4-1)</x:f>
        <x:v>1379.235648492</x:v>
      </x:c>
      <x:c r="S431" s="10" t="n">
        <x:f>IF(I431=0,0,J431*'Assumptions'!$W$69+H431*'Assumptions'!$X$69)</x:f>
        <x:v>161.83464458054402</x:v>
      </x:c>
      <x:c r="T431" s="10" t="n">
        <x:f>N431*'Assumptions'!$AA$69</x:f>
        <x:v>129.92689179849603</x:v>
      </x:c>
      <x:c r="U431" s="10" t="n">
        <x:f>'Assumptions'!$AE$69*'Assumptions'!$D$11*(1+'Assumptions'!$D$13)^(4-1)</x:f>
        <x:v>0</x:v>
      </x:c>
      <x:c r="V431" s="10" t="n">
        <x:f>0</x:f>
        <x:v>0</x:v>
      </x:c>
      <x:c r="W431" s="10" t="n">
        <x:f>H431*('Assumptions'!$P$69+'Assumptions'!$Y$69)</x:f>
        <x:v>56.097600000000014</x:v>
      </x:c>
      <x:c r="X431" s="10" t="n">
        <x:f>N431/12*'Assumptions'!$AF$69</x:f>
        <x:v>0</x:v>
      </x:c>
      <x:c r="Y431" s="10" t="n">
        <x:f>P431/12</x:f>
        <x:v>0</x:v>
      </x:c>
      <x:c r="Z431" s="10" t="n">
        <x:f>0</x:f>
        <x:v>0</x:v>
      </x:c>
      <x:c r="AA431" s="10" t="n">
        <x:f>Z431*'Assumptions'!$AC$69*'Assumptions'!$D$11*(1+'Assumptions'!$D$13)^(4-1)</x:f>
        <x:v>0</x:v>
      </x:c>
      <x:c r="AB431" s="10" t="n">
        <x:f>F431/1</x:f>
        <x:v>124.41600000000003</x:v>
      </x:c>
      <x:c r="AC431" s="10" t="n">
        <x:f>AB431/'Assumptions'!$AM$69</x:f>
        <x:v>2488.32</x:v>
      </x:c>
      <x:c r="AD431" s="10" t="n">
        <x:f>IF(AB431=0,0,T431/AB431)</x:f>
        <x:v>1.0442940763125</x:v>
      </x:c>
      <x:c r="AE431" s="10" t="n">
        <x:f>AA431*'Assumptions'!$D$21</x:f>
        <x:v>0</x:v>
      </x:c>
    </x:row>
    <x:row r="432" ht="16" customHeight="1">
      <x:c r="A432" s="1"/>
      <x:c r="B432" s="1"/>
      <x:c r="C432" s="1" t="str">
        <x:v>DOT-041</x:v>
      </x:c>
      <x:c r="D432" s="10" t="str">
        <x:v>DishLoom US</x:v>
      </x:c>
      <x:c r="E432" s="10" t="n">
        <x:v>4</x:v>
      </x:c>
      <x:c r="F432" s="21" t="n">
        <x:f>F304*(1+'Assumptions'!$L$70)</x:f>
        <x:v>155.52</x:v>
      </x:c>
      <x:c r="G432" s="21" t="n">
        <x:f>H304*'Assumptions'!$K$70</x:f>
        <x:v>195.09000000000003</x:v>
      </x:c>
      <x:c r="H432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432+G432,NA())</x:f>
        <x:v>350.61</x:v>
      </x:c>
      <x:c r="I432" s="22" t="n">
        <x:f>'Assumptions'!$H$70*IF('Assumptions'!$O$70=1,1,'Assumptions'!$D$10)*(1+'Assumptions'!$N$70)^(4-1)</x:f>
        <x:v>106.12080000000002</x:v>
      </x:c>
      <x:c r="J432" s="10" t="n">
        <x:f>H432*I432</x:f>
        <x:v>37207.01368800001</x:v>
      </x:c>
      <x:c r="K432" s="10" t="n">
        <x:f>J432*'Assumptions'!$T$70</x:f>
        <x:v>5581.052053200001</x:v>
      </x:c>
      <x:c r="L432" s="10" t="n">
        <x:f>K432*'Assumptions'!$U$70</x:f>
        <x:v>167.43156159600002</x:v>
      </x:c>
      <x:c r="M432" s="10" t="n">
        <x:f>K432*'Assumptions'!$V$70</x:f>
        <x:v>0</x:v>
      </x:c>
      <x:c r="N432" s="10" t="n">
        <x:f>K432-L432-M432</x:f>
        <x:v>5413.620491604001</x:v>
      </x:c>
      <x:c r="O432" s="10" t="n">
        <x:f>H432*'Assumptions'!$P$70*'Assumptions'!$Q$70*'Assumptions'!$D$11*(1+'Assumptions'!$D$13)^(4-1)</x:f>
        <x:v>1340.923547145</x:v>
      </x:c>
      <x:c r="P432" s="10" t="n">
        <x:f>H432*'Assumptions'!$R$70*'Assumptions'!$D$11*(1+'Assumptions'!$D$13)^(4-1)</x:f>
        <x:v>0</x:v>
      </x:c>
      <x:c r="Q432" s="10" t="n">
        <x:f>J432*'Assumptions'!$S$70</x:f>
        <x:v>0</x:v>
      </x:c>
      <x:c r="R432" s="10" t="n">
        <x:f>H432*'Assumptions'!$Y$70*'Assumptions'!$Z$70*'Assumptions'!$D$11*(1+'Assumptions'!$D$13)^(4-1)</x:f>
        <x:v>1724.0445606150001</x:v>
      </x:c>
      <x:c r="S432" s="10" t="n">
        <x:f>IF(I432=0,0,J432*'Assumptions'!$W$70+H432*'Assumptions'!$X$70)</x:f>
        <x:v>1184.1863969520002</x:v>
      </x:c>
      <x:c r="T432" s="10" t="n">
        <x:f>N432*'Assumptions'!$AA$70</x:f>
        <x:v>270.6810245802</x:v>
      </x:c>
      <x:c r="U432" s="10" t="n">
        <x:f>'Assumptions'!$AE$70*'Assumptions'!$D$11*(1+'Assumptions'!$D$13)^(4-1)</x:f>
        <x:v>0</x:v>
      </x:c>
      <x:c r="V432" s="10" t="n">
        <x:f>0</x:f>
        <x:v>0</x:v>
      </x:c>
      <x:c r="W432" s="10" t="n">
        <x:f>H432*('Assumptions'!$P$70+'Assumptions'!$Y$70)</x:f>
        <x:v>87.6525</x:v>
      </x:c>
      <x:c r="X432" s="10" t="n">
        <x:f>N432/12*'Assumptions'!$AF$70</x:f>
        <x:v>0</x:v>
      </x:c>
      <x:c r="Y432" s="10" t="n">
        <x:f>P432/12</x:f>
        <x:v>0</x:v>
      </x:c>
      <x:c r="Z432" s="10" t="n">
        <x:f>0</x:f>
        <x:v>0</x:v>
      </x:c>
      <x:c r="AA432" s="10" t="n">
        <x:f>Z432*'Assumptions'!$AC$70*'Assumptions'!$D$11*(1+'Assumptions'!$D$13)^(4-1)</x:f>
        <x:v>0</x:v>
      </x:c>
      <x:c r="AB432" s="10" t="n">
        <x:f>F432/1</x:f>
        <x:v>155.52</x:v>
      </x:c>
      <x:c r="AC432" s="10" t="n">
        <x:f>AB432/'Assumptions'!$AM$70</x:f>
        <x:v>3110.4</x:v>
      </x:c>
      <x:c r="AD432" s="10" t="n">
        <x:f>IF(AB432=0,0,T432/AB432)</x:f>
        <x:v>1.7404901271875</x:v>
      </x:c>
      <x:c r="AE432" s="10" t="n">
        <x:f>AA432*'Assumptions'!$D$21</x:f>
        <x:v>0</x:v>
      </x:c>
    </x:row>
    <x:row r="433" ht="16" customHeight="1">
      <x:c r="A433" s="1"/>
      <x:c r="B433" s="1"/>
      <x:c r="C433" s="1" t="str">
        <x:v>DOT-042</x:v>
      </x:c>
      <x:c r="D433" s="10" t="str">
        <x:v>Is Makes Travel Easy</x:v>
      </x:c>
      <x:c r="E433" s="10" t="n">
        <x:v>4</x:v>
      </x:c>
      <x:c r="F433" s="21" t="n">
        <x:f>F305*(1+'Assumptions'!$L$71)</x:f>
        <x:v>186.624</x:v>
      </x:c>
      <x:c r="G433" s="21" t="n">
        <x:f>H305*'Assumptions'!$K$71</x:f>
        <x:v>264.978</x:v>
      </x:c>
      <x:c r="H433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433+G433,NA())</x:f>
        <x:v>451.602</x:v>
      </x:c>
      <x:c r="I433" s="22" t="n">
        <x:f>'Assumptions'!$H$71*IF('Assumptions'!$O$71=1,1,'Assumptions'!$D$10)*(1+'Assumptions'!$N$71)^(4-1)</x:f>
        <x:v>30.775032000000003</x:v>
      </x:c>
      <x:c r="J433" s="10" t="n">
        <x:f>H433*I433</x:f>
        <x:v>13898.066001264</x:v>
      </x:c>
      <x:c r="K433" s="10" t="n">
        <x:f>J433*'Assumptions'!$T$71</x:f>
        <x:v>13898.066001264</x:v>
      </x:c>
      <x:c r="L433" s="10" t="n">
        <x:f>K433*'Assumptions'!$U$71</x:f>
        <x:v>416.94198003791996</x:v>
      </x:c>
      <x:c r="M433" s="10" t="n">
        <x:f>K433*'Assumptions'!$V$71</x:f>
        <x:v>0</x:v>
      </x:c>
      <x:c r="N433" s="10" t="n">
        <x:f>K433-L433-M433</x:f>
        <x:v>13481.12402122608</x:v>
      </x:c>
      <x:c r="O433" s="10" t="n">
        <x:f>H433*'Assumptions'!$P$71*'Assumptions'!$Q$71*'Assumptions'!$D$11*(1+'Assumptions'!$D$13)^(4-1)</x:f>
        <x:v>1727.1719452890002</x:v>
      </x:c>
      <x:c r="P433" s="10" t="n">
        <x:f>H433*'Assumptions'!$R$71*'Assumptions'!$D$11*(1+'Assumptions'!$D$13)^(4-1)</x:f>
        <x:v>0</x:v>
      </x:c>
      <x:c r="Q433" s="10" t="n">
        <x:f>J433*'Assumptions'!$S$71</x:f>
        <x:v>0</x:v>
      </x:c>
      <x:c r="R433" s="10" t="n">
        <x:f>H433*'Assumptions'!$Y$71*'Assumptions'!$Z$71*'Assumptions'!$D$11*(1+'Assumptions'!$D$13)^(4-1)</x:f>
        <x:v>2220.649643943</x:v>
      </x:c>
      <x:c r="S433" s="10" t="n">
        <x:f>IF(I433=0,0,J433*'Assumptions'!$W$71+H433*'Assumptions'!$X$71)</x:f>
        <x:v>538.524514036656</x:v>
      </x:c>
      <x:c r="T433" s="10" t="n">
        <x:f>N433*'Assumptions'!$AA$71</x:f>
        <x:v>674.056201061304</x:v>
      </x:c>
      <x:c r="U433" s="10" t="n">
        <x:f>'Assumptions'!$AE$71*'Assumptions'!$D$11*(1+'Assumptions'!$D$13)^(4-1)</x:f>
        <x:v>262.25448</x:v>
      </x:c>
      <x:c r="V433" s="10" t="n">
        <x:f>0</x:f>
        <x:v>0</x:v>
      </x:c>
      <x:c r="W433" s="10" t="n">
        <x:f>H433*('Assumptions'!$P$71+'Assumptions'!$Y$71)</x:f>
        <x:v>112.9005</x:v>
      </x:c>
      <x:c r="X433" s="10" t="n">
        <x:f>N433/12*'Assumptions'!$AF$71</x:f>
        <x:v>0</x:v>
      </x:c>
      <x:c r="Y433" s="10" t="n">
        <x:f>P433/12</x:f>
        <x:v>0</x:v>
      </x:c>
      <x:c r="Z433" s="10" t="n">
        <x:f>0</x:f>
        <x:v>0</x:v>
      </x:c>
      <x:c r="AA433" s="10" t="n">
        <x:f>Z433*'Assumptions'!$AC$71*'Assumptions'!$D$11*(1+'Assumptions'!$D$13)^(4-1)</x:f>
        <x:v>0</x:v>
      </x:c>
      <x:c r="AB433" s="10" t="n">
        <x:f>F433/1</x:f>
        <x:v>186.624</x:v>
      </x:c>
      <x:c r="AC433" s="10" t="n">
        <x:f>AB433/'Assumptions'!$AM$71</x:f>
        <x:v>3732.4799999999996</x:v>
      </x:c>
      <x:c r="AD433" s="10" t="n">
        <x:f>IF(AB433=0,0,T433/AB433)</x:f>
        <x:v>3.61184092646875</x:v>
      </x:c>
      <x:c r="AE433" s="10" t="n">
        <x:f>AA433*'Assumptions'!$D$21</x:f>
        <x:v>0</x:v>
      </x:c>
    </x:row>
    <x:row r="434" ht="16" customHeight="1">
      <x:c r="A434" s="1"/>
      <x:c r="B434" s="1"/>
      <x:c r="C434" s="1" t="str">
        <x:v>DOT-043</x:v>
      </x:c>
      <x:c r="D434" s="10" t="str">
        <x:v>Is Makes Travel Easy</x:v>
      </x:c>
      <x:c r="E434" s="10" t="n">
        <x:v>4</x:v>
      </x:c>
      <x:c r="F434" s="21" t="n">
        <x:f>F306*(1+'Assumptions'!$L$72)</x:f>
        <x:v>93.312</x:v>
      </x:c>
      <x:c r="G434" s="21" t="n">
        <x:f>H306*'Assumptions'!$K$72</x:f>
        <x:v>132.489</x:v>
      </x:c>
      <x:c r="H434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434+G434,NA())</x:f>
        <x:v>225.801</x:v>
      </x:c>
      <x:c r="I434" s="22" t="n">
        <x:f>'Assumptions'!$H$72*IF('Assumptions'!$O$72=1,1,'Assumptions'!$D$10)*(1+'Assumptions'!$N$72)^(4-1)</x:f>
        <x:v>20.162952000000004</x:v>
      </x:c>
      <x:c r="J434" s="10" t="n">
        <x:f>H434*I434</x:f>
        <x:v>4552.814724552</x:v>
      </x:c>
      <x:c r="K434" s="10" t="n">
        <x:f>J434*'Assumptions'!$T$72</x:f>
        <x:v>4552.814724552</x:v>
      </x:c>
      <x:c r="L434" s="10" t="n">
        <x:f>K434*'Assumptions'!$U$72</x:f>
        <x:v>136.58444173656</x:v>
      </x:c>
      <x:c r="M434" s="10" t="n">
        <x:f>K434*'Assumptions'!$V$72</x:f>
        <x:v>0</x:v>
      </x:c>
      <x:c r="N434" s="10" t="n">
        <x:f>K434-L434-M434</x:f>
        <x:v>4416.230282815441</x:v>
      </x:c>
      <x:c r="O434" s="10" t="n">
        <x:f>H434*'Assumptions'!$P$72*'Assumptions'!$Q$72*'Assumptions'!$D$11*(1+'Assumptions'!$D$13)^(4-1)</x:f>
        <x:v>863.5859726445001</x:v>
      </x:c>
      <x:c r="P434" s="10" t="n">
        <x:f>H434*'Assumptions'!$R$72*'Assumptions'!$D$11*(1+'Assumptions'!$D$13)^(4-1)</x:f>
        <x:v>0</x:v>
      </x:c>
      <x:c r="Q434" s="10" t="n">
        <x:f>J434*'Assumptions'!$S$72</x:f>
        <x:v>0</x:v>
      </x:c>
      <x:c r="R434" s="10" t="n">
        <x:f>H434*'Assumptions'!$Y$72*'Assumptions'!$Z$72*'Assumptions'!$D$11*(1+'Assumptions'!$D$13)^(4-1)</x:f>
        <x:v>1110.3248219715</x:v>
      </x:c>
      <x:c r="S434" s="10" t="n">
        <x:f>IF(I434=0,0,J434*'Assumptions'!$W$72+H434*'Assumptions'!$X$72)</x:f>
        <x:v>199.771927012008</x:v>
      </x:c>
      <x:c r="T434" s="10" t="n">
        <x:f>N434*'Assumptions'!$AA$72</x:f>
        <x:v>220.81151414077203</x:v>
      </x:c>
      <x:c r="U434" s="10" t="n">
        <x:f>'Assumptions'!$AE$72*'Assumptions'!$D$11*(1+'Assumptions'!$D$13)^(4-1)</x:f>
        <x:v>0</x:v>
      </x:c>
      <x:c r="V434" s="10" t="n">
        <x:f>0</x:f>
        <x:v>0</x:v>
      </x:c>
      <x:c r="W434" s="10" t="n">
        <x:f>H434*('Assumptions'!$P$72+'Assumptions'!$Y$72)</x:f>
        <x:v>56.45025</x:v>
      </x:c>
      <x:c r="X434" s="10" t="n">
        <x:f>N434/12*'Assumptions'!$AF$72</x:f>
        <x:v>0</x:v>
      </x:c>
      <x:c r="Y434" s="10" t="n">
        <x:f>P434/12</x:f>
        <x:v>0</x:v>
      </x:c>
      <x:c r="Z434" s="10" t="n">
        <x:f>0</x:f>
        <x:v>0</x:v>
      </x:c>
      <x:c r="AA434" s="10" t="n">
        <x:f>Z434*'Assumptions'!$AC$72*'Assumptions'!$D$11*(1+'Assumptions'!$D$13)^(4-1)</x:f>
        <x:v>0</x:v>
      </x:c>
      <x:c r="AB434" s="10" t="n">
        <x:f>F434/12</x:f>
        <x:v>7.776</x:v>
      </x:c>
      <x:c r="AC434" s="10" t="n">
        <x:f>AB434/'Assumptions'!$AM$72</x:f>
        <x:v>155.51999999999998</x:v>
      </x:c>
      <x:c r="AD434" s="10" t="n">
        <x:f>IF(AB434=0,0,T434/AB434)</x:f>
        <x:v>28.396542456375006</x:v>
      </x:c>
      <x:c r="AE434" s="10" t="n">
        <x:f>AA434*'Assumptions'!$D$21</x:f>
        <x:v>0</x:v>
      </x:c>
    </x:row>
    <x:row r="435" ht="16" customHeight="1">
      <x:c r="A435" s="1"/>
      <x:c r="B435" s="1"/>
      <x:c r="C435" s="1" t="str">
        <x:v>DOT-044</x:v>
      </x:c>
      <x:c r="D435" s="10" t="str">
        <x:v>Is Makes Travel Easy</x:v>
      </x:c>
      <x:c r="E435" s="10" t="n">
        <x:v>4</x:v>
      </x:c>
      <x:c r="F435" s="21" t="n">
        <x:f>F307*(1+'Assumptions'!$L$73)</x:f>
        <x:v>41.527200000000015</x:v>
      </x:c>
      <x:c r="G435" s="21" t="n">
        <x:f>H307*'Assumptions'!$K$73</x:f>
        <x:v>18.960900000000002</x:v>
      </x:c>
      <x:c r="H435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435+G435,NA())</x:f>
        <x:v>60.48810000000002</x:v>
      </x:c>
      <x:c r="I435" s="22" t="n">
        <x:f>'Assumptions'!$H$73*IF('Assumptions'!$O$73=1,1,'Assumptions'!$D$10)*(1+'Assumptions'!$N$73)^(4-1)</x:f>
        <x:v>51.99919200000001</x:v>
      </x:c>
      <x:c r="J435" s="10" t="n">
        <x:f>H435*I435</x:f>
        <x:v>3145.332325615201</x:v>
      </x:c>
      <x:c r="K435" s="10" t="n">
        <x:f>J435*'Assumptions'!$T$73</x:f>
        <x:v>3145.332325615201</x:v>
      </x:c>
      <x:c r="L435" s="10" t="n">
        <x:f>K435*'Assumptions'!$U$73</x:f>
        <x:v>94.35996976845603</x:v>
      </x:c>
      <x:c r="M435" s="10" t="n">
        <x:f>K435*'Assumptions'!$V$73</x:f>
        <x:v>0</x:v>
      </x:c>
      <x:c r="N435" s="10" t="n">
        <x:f>K435-L435-M435</x:f>
        <x:v>3050.9723558467454</x:v>
      </x:c>
      <x:c r="O435" s="10" t="n">
        <x:f>H435*'Assumptions'!$P$73*'Assumptions'!$Q$73*'Assumptions'!$D$11*(1+'Assumptions'!$D$13)^(4-1)</x:f>
        <x:v>578.3485754261252</x:v>
      </x:c>
      <x:c r="P435" s="10" t="n">
        <x:f>H435*'Assumptions'!$R$73*'Assumptions'!$D$11*(1+'Assumptions'!$D$13)^(4-1)</x:f>
        <x:v>0</x:v>
      </x:c>
      <x:c r="Q435" s="10" t="n">
        <x:f>J435*'Assumptions'!$S$73</x:f>
        <x:v>0</x:v>
      </x:c>
      <x:c r="R435" s="10" t="n">
        <x:f>H435*'Assumptions'!$Y$73*'Assumptions'!$Z$73*'Assumptions'!$D$11*(1+'Assumptions'!$D$13)^(4-1)</x:f>
        <x:v>991.4547007305002</x:v>
      </x:c>
      <x:c r="S435" s="10" t="n">
        <x:f>IF(I435=0,0,J435*'Assumptions'!$W$73+H435*'Assumptions'!$X$73)</x:f>
        <x:v>109.36106744284085</x:v>
      </x:c>
      <x:c r="T435" s="10" t="n">
        <x:f>N435*'Assumptions'!$AA$73</x:f>
        <x:v>244.07778846773962</x:v>
      </x:c>
      <x:c r="U435" s="10" t="n">
        <x:f>'Assumptions'!$AE$73*'Assumptions'!$D$11*(1+'Assumptions'!$D$13)^(4-1)</x:f>
        <x:v>0</x:v>
      </x:c>
      <x:c r="V435" s="10" t="n">
        <x:f>0</x:f>
        <x:v>0</x:v>
      </x:c>
      <x:c r="W435" s="10" t="n">
        <x:f>H435*('Assumptions'!$P$73+'Assumptions'!$Y$73)</x:f>
        <x:v>45.36607500000001</x:v>
      </x:c>
      <x:c r="X435" s="10" t="n">
        <x:f>N435/12*'Assumptions'!$AF$73</x:f>
        <x:v>254.2476963205621</x:v>
      </x:c>
      <x:c r="Y435" s="10" t="n">
        <x:f>P435/12</x:f>
        <x:v>0</x:v>
      </x:c>
      <x:c r="Z435" s="10" t="n">
        <x:f>0</x:f>
        <x:v>0</x:v>
      </x:c>
      <x:c r="AA435" s="10" t="n">
        <x:f>Z435*'Assumptions'!$AC$73*'Assumptions'!$D$11*(1+'Assumptions'!$D$13)^(4-1)</x:f>
        <x:v>0</x:v>
      </x:c>
      <x:c r="AB435" s="10" t="n">
        <x:f>F435/1</x:f>
        <x:v>41.527200000000015</x:v>
      </x:c>
      <x:c r="AC435" s="10" t="n">
        <x:f>AB435/'Assumptions'!$AM$73</x:f>
        <x:v>415.2720000000001</x:v>
      </x:c>
      <x:c r="AD435" s="10" t="n">
        <x:f>IF(AB435=0,0,T435/AB435)</x:f>
        <x:v>5.87754022586978</x:v>
      </x:c>
      <x:c r="AE435" s="10" t="n">
        <x:f>AA435*'Assumptions'!$D$21</x:f>
        <x:v>0</x:v>
      </x:c>
    </x:row>
    <x:row r="436" ht="16" customHeight="1">
      <x:c r="A436" s="1"/>
      <x:c r="B436" s="1"/>
      <x:c r="C436" s="1" t="str">
        <x:v>DOT-045</x:v>
      </x:c>
      <x:c r="D436" s="10" t="str">
        <x:v>Is Makes Travel Easy</x:v>
      </x:c>
      <x:c r="E436" s="10" t="n">
        <x:v>4</x:v>
      </x:c>
      <x:c r="F436" s="21" t="n">
        <x:f>F308*(1+'Assumptions'!$L$74)</x:f>
        <x:v>124.41600000000003</x:v>
      </x:c>
      <x:c r="G436" s="21" t="n">
        <x:f>H308*'Assumptions'!$K$74</x:f>
        <x:v>176.652</x:v>
      </x:c>
      <x:c r="H436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436+G436,NA())</x:f>
        <x:v>301.068</x:v>
      </x:c>
      <x:c r="I436" s="22" t="n">
        <x:f>'Assumptions'!$H$74*IF('Assumptions'!$O$74=1,1,'Assumptions'!$D$10)*(1+'Assumptions'!$N$74)^(4-1)</x:f>
        <x:v>159.18120000000002</x:v>
      </x:c>
      <x:c r="J436" s="10" t="n">
        <x:f>H436*I436</x:f>
        <x:v>47924.365521600004</x:v>
      </x:c>
      <x:c r="K436" s="10" t="n">
        <x:f>J436*'Assumptions'!$T$74</x:f>
        <x:v>4792.43655216</x:v>
      </x:c>
      <x:c r="L436" s="10" t="n">
        <x:f>K436*'Assumptions'!$U$74</x:f>
        <x:v>143.7730965648</x:v>
      </x:c>
      <x:c r="M436" s="10" t="n">
        <x:f>K436*'Assumptions'!$V$74</x:f>
        <x:v>0</x:v>
      </x:c>
      <x:c r="N436" s="10" t="n">
        <x:f>K436-L436-M436</x:f>
        <x:v>4648.6634555952005</x:v>
      </x:c>
      <x:c r="O436" s="10" t="n">
        <x:f>H436*'Assumptions'!$P$74*'Assumptions'!$Q$74*'Assumptions'!$D$11*(1+'Assumptions'!$D$13)^(4-1)</x:f>
        <x:v>1151.447963526</x:v>
      </x:c>
      <x:c r="P436" s="10" t="n">
        <x:f>H436*'Assumptions'!$R$74*'Assumptions'!$D$11*(1+'Assumptions'!$D$13)^(4-1)</x:f>
        <x:v>0</x:v>
      </x:c>
      <x:c r="Q436" s="10" t="n">
        <x:f>J436*'Assumptions'!$S$74</x:f>
        <x:v>0</x:v>
      </x:c>
      <x:c r="R436" s="10" t="n">
        <x:f>H436*'Assumptions'!$Y$74*'Assumptions'!$Z$74*'Assumptions'!$D$11*(1+'Assumptions'!$D$13)^(4-1)</x:f>
        <x:v>1480.4330959619997</x:v>
      </x:c>
      <x:c r="S436" s="10" t="n">
        <x:f>IF(I436=0,0,J436*'Assumptions'!$W$74+H436*'Assumptions'!$X$74)</x:f>
        <x:v>1480.1270001264002</x:v>
      </x:c>
      <x:c r="T436" s="10" t="n">
        <x:f>N436*'Assumptions'!$AA$74</x:f>
        <x:v>232.43317277976004</x:v>
      </x:c>
      <x:c r="U436" s="10" t="n">
        <x:f>'Assumptions'!$AE$74*'Assumptions'!$D$11*(1+'Assumptions'!$D$13)^(4-1)</x:f>
        <x:v>0</x:v>
      </x:c>
      <x:c r="V436" s="10" t="n">
        <x:f>0</x:f>
        <x:v>0</x:v>
      </x:c>
      <x:c r="W436" s="10" t="n">
        <x:f>H436*('Assumptions'!$P$74+'Assumptions'!$Y$74)</x:f>
        <x:v>75.267</x:v>
      </x:c>
      <x:c r="X436" s="10" t="n">
        <x:f>N436/12*'Assumptions'!$AF$74</x:f>
        <x:v>0</x:v>
      </x:c>
      <x:c r="Y436" s="10" t="n">
        <x:f>P436/12</x:f>
        <x:v>0</x:v>
      </x:c>
      <x:c r="Z436" s="10" t="n">
        <x:f>0</x:f>
        <x:v>0</x:v>
      </x:c>
      <x:c r="AA436" s="10" t="n">
        <x:f>Z436*'Assumptions'!$AC$74*'Assumptions'!$D$11*(1+'Assumptions'!$D$13)^(4-1)</x:f>
        <x:v>0</x:v>
      </x:c>
      <x:c r="AB436" s="10" t="n">
        <x:f>F436/1</x:f>
        <x:v>124.41600000000003</x:v>
      </x:c>
      <x:c r="AC436" s="10" t="n">
        <x:f>AB436/'Assumptions'!$AM$74</x:f>
        <x:v>2488.32</x:v>
      </x:c>
      <x:c r="AD436" s="10" t="n">
        <x:f>IF(AB436=0,0,T436/AB436)</x:f>
        <x:v>1.86819358265625</x:v>
      </x:c>
      <x:c r="AE436" s="10" t="n">
        <x:f>AA436*'Assumptions'!$D$21</x:f>
        <x:v>0</x:v>
      </x:c>
    </x:row>
    <x:row r="437" ht="16" customHeight="1">
      <x:c r="A437" s="1"/>
      <x:c r="B437" s="1"/>
      <x:c r="C437" s="1" t="str">
        <x:v>DOT-046</x:v>
      </x:c>
      <x:c r="D437" s="10" t="str">
        <x:v>Turbo Tax - Made Easy!</x:v>
      </x:c>
      <x:c r="E437" s="10" t="n">
        <x:v>4</x:v>
      </x:c>
      <x:c r="F437" s="21" t="n">
        <x:f>F309*(1+'Assumptions'!$L$75)</x:f>
        <x:v>342.196875</x:v>
      </x:c>
      <x:c r="G437" s="21" t="n">
        <x:f>H309*'Assumptions'!$K$75</x:f>
        <x:v>94.46875</x:v>
      </x:c>
      <x:c r="H437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437+G437,NA())</x:f>
        <x:v>436.665625</x:v>
      </x:c>
      <x:c r="I437" s="22" t="n">
        <x:f>'Assumptions'!$H$75*IF('Assumptions'!$O$75=1,1,'Assumptions'!$D$10)*(1+'Assumptions'!$N$75)^(4-1)</x:f>
        <x:v>149</x:v>
      </x:c>
      <x:c r="J437" s="10" t="n">
        <x:f>H437*I437</x:f>
        <x:v>65063.178125</x:v>
      </x:c>
      <x:c r="K437" s="10" t="n">
        <x:f>J437*'Assumptions'!$T$75</x:f>
        <x:v>65063.178125</x:v>
      </x:c>
      <x:c r="L437" s="10" t="n">
        <x:f>K437*'Assumptions'!$U$75</x:f>
        <x:v>1951.89534375</x:v>
      </x:c>
      <x:c r="M437" s="10" t="n">
        <x:f>K437*'Assumptions'!$V$75</x:f>
        <x:v>0</x:v>
      </x:c>
      <x:c r="N437" s="10" t="n">
        <x:f>K437-L437-M437</x:f>
        <x:v>63111.282781249996</x:v>
      </x:c>
      <x:c r="O437" s="10" t="n">
        <x:f>H437*'Assumptions'!$P$75*'Assumptions'!$Q$75*'Assumptions'!$D$11*(1+'Assumptions'!$D$13)^(4-1)</x:f>
        <x:v>2505.0706716492186</x:v>
      </x:c>
      <x:c r="P437" s="10" t="n">
        <x:f>H437*'Assumptions'!$R$75*'Assumptions'!$D$11*(1+'Assumptions'!$D$13)^(4-1)</x:f>
        <x:v>0</x:v>
      </x:c>
      <x:c r="Q437" s="10" t="n">
        <x:f>J437*'Assumptions'!$S$75</x:f>
        <x:v>0</x:v>
      </x:c>
      <x:c r="R437" s="10" t="n">
        <x:f>H437*'Assumptions'!$Y$75*'Assumptions'!$Z$75*'Assumptions'!$D$11*(1+'Assumptions'!$D$13)^(4-1)</x:f>
        <x:v>1431.4689552281247</x:v>
      </x:c>
      <x:c r="S437" s="10" t="n">
        <x:f>IF(I437=0,0,J437*'Assumptions'!$W$75+H437*'Assumptions'!$X$75)</x:f>
        <x:v>2017.831853125</x:v>
      </x:c>
      <x:c r="T437" s="10" t="n">
        <x:f>N437*'Assumptions'!$AA$75</x:f>
        <x:v>3155.5641390625</x:v>
      </x:c>
      <x:c r="U437" s="10" t="n">
        <x:f>'Assumptions'!$AE$75*'Assumptions'!$D$11*(1+'Assumptions'!$D$13)^(4-1)</x:f>
        <x:v>0</x:v>
      </x:c>
      <x:c r="V437" s="10" t="n">
        <x:f>0</x:f>
        <x:v>0</x:v>
      </x:c>
      <x:c r="W437" s="10" t="n">
        <x:f>H437*('Assumptions'!$P$75+'Assumptions'!$Y$75)</x:f>
        <x:v>109.16640625</x:v>
      </x:c>
      <x:c r="X437" s="10" t="n">
        <x:f>N437/12*'Assumptions'!$AF$75</x:f>
        <x:v>0</x:v>
      </x:c>
      <x:c r="Y437" s="10" t="n">
        <x:f>P437/12</x:f>
        <x:v>0</x:v>
      </x:c>
      <x:c r="Z437" s="10" t="n">
        <x:f>0</x:f>
        <x:v>0</x:v>
      </x:c>
      <x:c r="AA437" s="10" t="n">
        <x:f>Z437*'Assumptions'!$AC$75*'Assumptions'!$D$11*(1+'Assumptions'!$D$13)^(4-1)</x:f>
        <x:v>0</x:v>
      </x:c>
      <x:c r="AB437" s="10" t="n">
        <x:f>F437/1</x:f>
        <x:v>342.196875</x:v>
      </x:c>
      <x:c r="AC437" s="10" t="n">
        <x:f>AB437/'Assumptions'!$AM$75</x:f>
        <x:v>6843.937499999999</x:v>
      </x:c>
      <x:c r="AD437" s="10" t="n">
        <x:f>IF(AB437=0,0,T437/AB437)</x:f>
        <x:v>9.221487306283848</x:v>
      </x:c>
      <x:c r="AE437" s="10" t="n">
        <x:f>AA437*'Assumptions'!$D$21</x:f>
        <x:v>0</x:v>
      </x:c>
    </x:row>
    <x:row r="438" ht="16" customHeight="1">
      <x:c r="A438" s="1"/>
      <x:c r="B438" s="1"/>
      <x:c r="C438" s="1" t="str">
        <x:v>DOT-047</x:v>
      </x:c>
      <x:c r="D438" s="10" t="str">
        <x:v>LavaLearning adult</x:v>
      </x:c>
      <x:c r="E438" s="10" t="n">
        <x:v>4</x:v>
      </x:c>
      <x:c r="F438" s="21" t="n">
        <x:f>F310*(1+'Assumptions'!$L$76)</x:f>
        <x:v>228.13124999999994</x:v>
      </x:c>
      <x:c r="G438" s="21" t="n">
        <x:f>H310*'Assumptions'!$K$76</x:f>
        <x:v>62.71874999999999</x:v>
      </x:c>
      <x:c r="H438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438+G438,NA())</x:f>
        <x:v>290.8499999999999</x:v>
      </x:c>
      <x:c r="I438" s="22" t="n">
        <x:f>'Assumptions'!$H$76*IF('Assumptions'!$O$76=1,1,'Assumptions'!$D$10)*(1+'Assumptions'!$N$76)^(4-1)</x:f>
        <x:v>79</x:v>
      </x:c>
      <x:c r="J438" s="10" t="n">
        <x:f>H438*I438</x:f>
        <x:v>22977.149999999994</x:v>
      </x:c>
      <x:c r="K438" s="10" t="n">
        <x:f>J438*'Assumptions'!$T$76</x:f>
        <x:v>22977.149999999994</x:v>
      </x:c>
      <x:c r="L438" s="10" t="n">
        <x:f>K438*'Assumptions'!$U$76</x:f>
        <x:v>689.3144999999998</x:v>
      </x:c>
      <x:c r="M438" s="10" t="n">
        <x:f>K438*'Assumptions'!$V$76</x:f>
        <x:v>0</x:v>
      </x:c>
      <x:c r="N438" s="10" t="n">
        <x:f>K438-L438-M438</x:f>
        <x:v>22287.835499999994</x:v>
      </x:c>
      <x:c r="O438" s="10" t="n">
        <x:f>H438*'Assumptions'!$P$76*'Assumptions'!$Q$76*'Assumptions'!$D$11*(1+'Assumptions'!$D$13)^(4-1)</x:f>
        <x:v>1668.5531517374993</x:v>
      </x:c>
      <x:c r="P438" s="10" t="n">
        <x:f>H438*'Assumptions'!$R$76*'Assumptions'!$D$11*(1+'Assumptions'!$D$13)^(4-1)</x:f>
        <x:v>0</x:v>
      </x:c>
      <x:c r="Q438" s="10" t="n">
        <x:f>J438*'Assumptions'!$S$76</x:f>
        <x:v>0</x:v>
      </x:c>
      <x:c r="R438" s="10" t="n">
        <x:f>H438*'Assumptions'!$Y$76*'Assumptions'!$Z$76*'Assumptions'!$D$11*(1+'Assumptions'!$D$13)^(4-1)</x:f>
        <x:v>953.4589438499999</x:v>
      </x:c>
      <x:c r="S438" s="10" t="n">
        <x:f>IF(I438=0,0,J438*'Assumptions'!$W$76+H438*'Assumptions'!$X$76)</x:f>
        <x:v>753.5923499999999</x:v>
      </x:c>
      <x:c r="T438" s="10" t="n">
        <x:f>N438*'Assumptions'!$AA$76</x:f>
        <x:v>1114.3917749999998</x:v>
      </x:c>
      <x:c r="U438" s="10" t="n">
        <x:f>'Assumptions'!$AE$76*'Assumptions'!$D$11*(1+'Assumptions'!$D$13)^(4-1)</x:f>
        <x:v>0</x:v>
      </x:c>
      <x:c r="V438" s="10" t="n">
        <x:f>0</x:f>
        <x:v>0</x:v>
      </x:c>
      <x:c r="W438" s="10" t="n">
        <x:f>H438*('Assumptions'!$P$76+'Assumptions'!$Y$76)</x:f>
        <x:v>72.71249999999998</x:v>
      </x:c>
      <x:c r="X438" s="10" t="n">
        <x:f>N438/12*'Assumptions'!$AF$76</x:f>
        <x:v>0</x:v>
      </x:c>
      <x:c r="Y438" s="10" t="n">
        <x:f>P438/12</x:f>
        <x:v>0</x:v>
      </x:c>
      <x:c r="Z438" s="10" t="n">
        <x:f>0</x:f>
        <x:v>0</x:v>
      </x:c>
      <x:c r="AA438" s="10" t="n">
        <x:f>Z438*'Assumptions'!$AC$76*'Assumptions'!$D$11*(1+'Assumptions'!$D$13)^(4-1)</x:f>
        <x:v>0</x:v>
      </x:c>
      <x:c r="AB438" s="10" t="n">
        <x:f>F438/1</x:f>
        <x:v>228.13124999999994</x:v>
      </x:c>
      <x:c r="AC438" s="10" t="n">
        <x:f>AB438/'Assumptions'!$AM$76</x:f>
        <x:v>4562.624999999998</x:v>
      </x:c>
      <x:c r="AD438" s="10" t="n">
        <x:f>IF(AB438=0,0,T438/AB438)</x:f>
        <x:v>4.884871209007973</x:v>
      </x:c>
      <x:c r="AE438" s="10" t="n">
        <x:f>AA438*'Assumptions'!$D$21</x:f>
        <x:v>0</x:v>
      </x:c>
    </x:row>
    <x:row r="439" ht="16" customHeight="1">
      <x:c r="A439" s="1"/>
      <x:c r="B439" s="1"/>
      <x:c r="C439" s="1" t="str">
        <x:v>DOT-048</x:v>
      </x:c>
      <x:c r="D439" s="10" t="str">
        <x:v>Turbo Tax - Made Easy!</x:v>
      </x:c>
      <x:c r="E439" s="10" t="n">
        <x:v>4</x:v>
      </x:c>
      <x:c r="F439" s="21" t="n">
        <x:f>F311*(1+'Assumptions'!$L$77)</x:f>
        <x:v>684.39375</x:v>
      </x:c>
      <x:c r="G439" s="21" t="n">
        <x:f>H311*'Assumptions'!$K$77</x:f>
        <x:v>188.9375</x:v>
      </x:c>
      <x:c r="H439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439+G439,NA())</x:f>
        <x:v>873.33125</x:v>
      </x:c>
      <x:c r="I439" s="22" t="n">
        <x:f>'Assumptions'!$H$77*IF('Assumptions'!$O$77=1,1,'Assumptions'!$D$10)*(1+'Assumptions'!$N$77)^(4-1)</x:f>
        <x:v>20.162952000000004</x:v>
      </x:c>
      <x:c r="J439" s="10" t="n">
        <x:f>H439*I439</x:f>
        <x:v>17608.936073850004</x:v>
      </x:c>
      <x:c r="K439" s="10" t="n">
        <x:f>J439*'Assumptions'!$T$77</x:f>
        <x:v>17608.936073850004</x:v>
      </x:c>
      <x:c r="L439" s="10" t="n">
        <x:f>K439*'Assumptions'!$U$77</x:f>
        <x:v>528.2680822155</x:v>
      </x:c>
      <x:c r="M439" s="10" t="n">
        <x:f>K439*'Assumptions'!$V$77</x:f>
        <x:v>0</x:v>
      </x:c>
      <x:c r="N439" s="10" t="n">
        <x:f>K439-L439-M439</x:f>
        <x:v>17080.667991634502</x:v>
      </x:c>
      <x:c r="O439" s="10" t="n">
        <x:f>H439*'Assumptions'!$P$77*'Assumptions'!$Q$77*'Assumptions'!$D$11*(1+'Assumptions'!$D$13)^(4-1)</x:f>
        <x:v>5010.141343298437</x:v>
      </x:c>
      <x:c r="P439" s="10" t="n">
        <x:f>H439*'Assumptions'!$R$77*'Assumptions'!$D$11*(1+'Assumptions'!$D$13)^(4-1)</x:f>
        <x:v>0</x:v>
      </x:c>
      <x:c r="Q439" s="10" t="n">
        <x:f>J439*'Assumptions'!$S$77</x:f>
        <x:v>0</x:v>
      </x:c>
      <x:c r="R439" s="10" t="n">
        <x:f>H439*'Assumptions'!$Y$77*'Assumptions'!$Z$77*'Assumptions'!$D$11*(1+'Assumptions'!$D$13)^(4-1)</x:f>
        <x:v>2862.9379104562495</x:v>
      </x:c>
      <x:c r="S439" s="10" t="n">
        <x:f>IF(I439=0,0,J439*'Assumptions'!$W$77+H439*'Assumptions'!$X$77)</x:f>
        <x:v>772.6585211416501</x:v>
      </x:c>
      <x:c r="T439" s="10" t="n">
        <x:f>N439*'Assumptions'!$AA$77</x:f>
        <x:v>854.0333995817251</x:v>
      </x:c>
      <x:c r="U439" s="10" t="n">
        <x:f>'Assumptions'!$AE$77*'Assumptions'!$D$11*(1+'Assumptions'!$D$13)^(4-1)</x:f>
        <x:v>0</x:v>
      </x:c>
      <x:c r="V439" s="10" t="n">
        <x:f>0</x:f>
        <x:v>0</x:v>
      </x:c>
      <x:c r="W439" s="10" t="n">
        <x:f>H439*('Assumptions'!$P$77+'Assumptions'!$Y$77)</x:f>
        <x:v>218.3328125</x:v>
      </x:c>
      <x:c r="X439" s="10" t="n">
        <x:f>N439/12*'Assumptions'!$AF$77</x:f>
        <x:v>0</x:v>
      </x:c>
      <x:c r="Y439" s="10" t="n">
        <x:f>P439/12</x:f>
        <x:v>0</x:v>
      </x:c>
      <x:c r="Z439" s="10" t="n">
        <x:f>0</x:f>
        <x:v>0</x:v>
      </x:c>
      <x:c r="AA439" s="10" t="n">
        <x:f>Z439*'Assumptions'!$AC$77*'Assumptions'!$D$11*(1+'Assumptions'!$D$13)^(4-1)</x:f>
        <x:v>0</x:v>
      </x:c>
      <x:c r="AB439" s="10" t="n">
        <x:f>F439/1</x:f>
        <x:v>684.39375</x:v>
      </x:c>
      <x:c r="AC439" s="10" t="n">
        <x:f>AB439/'Assumptions'!$AM$77</x:f>
        <x:v>13687.874999999998</x:v>
      </x:c>
      <x:c r="AD439" s="10" t="n">
        <x:f>IF(AB439=0,0,T439/AB439)</x:f>
        <x:v>1.2478684961423525</x:v>
      </x:c>
      <x:c r="AE439" s="10" t="n">
        <x:f>AA439*'Assumptions'!$D$21</x:f>
        <x:v>0</x:v>
      </x:c>
    </x:row>
    <x:row r="440" ht="16" customHeight="1">
      <x:c r="A440" s="1"/>
      <x:c r="B440" s="1"/>
      <x:c r="C440" s="1" t="str">
        <x:v>DOT-049</x:v>
      </x:c>
      <x:c r="D440" s="10" t="str">
        <x:v>Turbo Tax - Made Easy!</x:v>
      </x:c>
      <x:c r="E440" s="10" t="n">
        <x:v>4</x:v>
      </x:c>
      <x:c r="F440" s="21" t="n">
        <x:f>F312*(1+'Assumptions'!$L$78)</x:f>
        <x:v>228.13124999999994</x:v>
      </x:c>
      <x:c r="G440" s="21" t="n">
        <x:f>H312*'Assumptions'!$K$78</x:f>
        <x:v>61.93749999999999</x:v>
      </x:c>
      <x:c r="H440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440+G440,NA())</x:f>
        <x:v>290.0687499999999</x:v>
      </x:c>
      <x:c r="I440" s="22" t="n">
        <x:f>'Assumptions'!$H$78*IF('Assumptions'!$O$78=1,1,'Assumptions'!$D$10)*(1+'Assumptions'!$N$78)^(4-1)</x:f>
        <x:v>20.162952000000004</x:v>
      </x:c>
      <x:c r="J440" s="10" t="n">
        <x:f>H440*I440</x:f>
        <x:v>5848.64228295</x:v>
      </x:c>
      <x:c r="K440" s="10" t="n">
        <x:f>J440*'Assumptions'!$T$78</x:f>
        <x:v>5848.64228295</x:v>
      </x:c>
      <x:c r="L440" s="10" t="n">
        <x:f>K440*'Assumptions'!$U$78</x:f>
        <x:v>175.4592684885</x:v>
      </x:c>
      <x:c r="M440" s="10" t="n">
        <x:f>K440*'Assumptions'!$V$78</x:f>
        <x:v>0</x:v>
      </x:c>
      <x:c r="N440" s="10" t="n">
        <x:f>K440-L440-M440</x:f>
        <x:v>5673.1830144615</x:v>
      </x:c>
      <x:c r="O440" s="10" t="n">
        <x:f>H440*'Assumptions'!$P$78*'Assumptions'!$Q$78*'Assumptions'!$D$11*(1+'Assumptions'!$D$13)^(4-1)</x:f>
        <x:v>1664.0712636515618</x:v>
      </x:c>
      <x:c r="P440" s="10" t="n">
        <x:f>H440*'Assumptions'!$R$78*'Assumptions'!$D$11*(1+'Assumptions'!$D$13)^(4-1)</x:f>
        <x:v>0</x:v>
      </x:c>
      <x:c r="Q440" s="10" t="n">
        <x:f>J440*'Assumptions'!$S$78</x:f>
        <x:v>0</x:v>
      </x:c>
      <x:c r="R440" s="10" t="n">
        <x:f>H440*'Assumptions'!$Y$78*'Assumptions'!$Z$78*'Assumptions'!$D$11*(1+'Assumptions'!$D$13)^(4-1)</x:f>
        <x:v>950.8978649437498</x:v>
      </x:c>
      <x:c r="S440" s="10" t="n">
        <x:f>IF(I440=0,0,J440*'Assumptions'!$W$78+H440*'Assumptions'!$X$78)</x:f>
        <x:v>256.63125120555</x:v>
      </x:c>
      <x:c r="T440" s="10" t="n">
        <x:f>N440*'Assumptions'!$AA$78</x:f>
        <x:v>283.659150723075</x:v>
      </x:c>
      <x:c r="U440" s="10" t="n">
        <x:f>'Assumptions'!$AE$78*'Assumptions'!$D$11*(1+'Assumptions'!$D$13)^(4-1)</x:f>
        <x:v>0</x:v>
      </x:c>
      <x:c r="V440" s="10" t="n">
        <x:f>0</x:f>
        <x:v>0</x:v>
      </x:c>
      <x:c r="W440" s="10" t="n">
        <x:f>H440*('Assumptions'!$P$78+'Assumptions'!$Y$78)</x:f>
        <x:v>72.51718749999998</x:v>
      </x:c>
      <x:c r="X440" s="10" t="n">
        <x:f>N440/12*'Assumptions'!$AF$78</x:f>
        <x:v>0</x:v>
      </x:c>
      <x:c r="Y440" s="10" t="n">
        <x:f>P440/12</x:f>
        <x:v>0</x:v>
      </x:c>
      <x:c r="Z440" s="10" t="n">
        <x:f>0</x:f>
        <x:v>0</x:v>
      </x:c>
      <x:c r="AA440" s="10" t="n">
        <x:f>Z440*'Assumptions'!$AC$78*'Assumptions'!$D$11*(1+'Assumptions'!$D$13)^(4-1)</x:f>
        <x:v>0</x:v>
      </x:c>
      <x:c r="AB440" s="10" t="n">
        <x:f>F440/1</x:f>
        <x:v>228.13124999999994</x:v>
      </x:c>
      <x:c r="AC440" s="10" t="n">
        <x:f>AB440/'Assumptions'!$AM$78</x:f>
        <x:v>4562.624999999998</x:v>
      </x:c>
      <x:c r="AD440" s="10" t="n">
        <x:f>IF(AB440=0,0,T440/AB440)</x:f>
        <x:v>1.2434033071886255</x:v>
      </x:c>
      <x:c r="AE440" s="10" t="n">
        <x:f>AA440*'Assumptions'!$D$21</x:f>
        <x:v>0</x:v>
      </x:c>
    </x:row>
    <x:row r="441" ht="16" customHeight="1">
      <x:c r="A441" s="1"/>
      <x:c r="B441" s="1"/>
      <x:c r="C441" s="1" t="str">
        <x:v>DOT-050</x:v>
      </x:c>
      <x:c r="D441" s="10" t="str">
        <x:v>LavaLearning adult</x:v>
      </x:c>
      <x:c r="E441" s="10" t="n">
        <x:v>4</x:v>
      </x:c>
      <x:c r="F441" s="21" t="n">
        <x:f>F313*(1+'Assumptions'!$L$79)</x:f>
        <x:v>684.39375</x:v>
      </x:c>
      <x:c r="G441" s="21" t="n">
        <x:f>H313*'Assumptions'!$K$79</x:f>
        <x:v>188.15625</x:v>
      </x:c>
      <x:c r="H441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441+G441,NA())</x:f>
        <x:v>872.55</x:v>
      </x:c>
      <x:c r="I441" s="22" t="n">
        <x:f>'Assumptions'!$H$79*IF('Assumptions'!$O$79=1,1,'Assumptions'!$D$10)*(1+'Assumptions'!$N$79)^(4-1)</x:f>
        <x:v>20.162952000000004</x:v>
      </x:c>
      <x:c r="J441" s="10" t="n">
        <x:f>H441*I441</x:f>
        <x:v>17593.183767600003</x:v>
      </x:c>
      <x:c r="K441" s="10" t="n">
        <x:f>J441*'Assumptions'!$T$79</x:f>
        <x:v>17593.183767600003</x:v>
      </x:c>
      <x:c r="L441" s="10" t="n">
        <x:f>K441*'Assumptions'!$U$79</x:f>
        <x:v>527.7955130280001</x:v>
      </x:c>
      <x:c r="M441" s="10" t="n">
        <x:f>K441*'Assumptions'!$V$79</x:f>
        <x:v>0</x:v>
      </x:c>
      <x:c r="N441" s="10" t="n">
        <x:f>K441-L441-M441</x:f>
        <x:v>17065.388254572004</x:v>
      </x:c>
      <x:c r="O441" s="10" t="n">
        <x:f>H441*'Assumptions'!$P$79*'Assumptions'!$Q$79*'Assumptions'!$D$11*(1+'Assumptions'!$D$13)^(4-1)</x:f>
        <x:v>5005.6594552125</x:v>
      </x:c>
      <x:c r="P441" s="10" t="n">
        <x:f>H441*'Assumptions'!$R$79*'Assumptions'!$D$11*(1+'Assumptions'!$D$13)^(4-1)</x:f>
        <x:v>0</x:v>
      </x:c>
      <x:c r="Q441" s="10" t="n">
        <x:f>J441*'Assumptions'!$S$79</x:f>
        <x:v>0</x:v>
      </x:c>
      <x:c r="R441" s="10" t="n">
        <x:f>H441*'Assumptions'!$Y$79*'Assumptions'!$Z$79*'Assumptions'!$D$11*(1+'Assumptions'!$D$13)^(4-1)</x:f>
        <x:v>2860.3768315499997</x:v>
      </x:c>
      <x:c r="S441" s="10" t="n">
        <x:f>IF(I441=0,0,J441*'Assumptions'!$W$79+H441*'Assumptions'!$X$79)</x:f>
        <x:v>771.9673292604001</x:v>
      </x:c>
      <x:c r="T441" s="10" t="n">
        <x:f>N441*'Assumptions'!$AA$79</x:f>
        <x:v>853.2694127286003</x:v>
      </x:c>
      <x:c r="U441" s="10" t="n">
        <x:f>'Assumptions'!$AE$79*'Assumptions'!$D$11*(1+'Assumptions'!$D$13)^(4-1)</x:f>
        <x:v>0</x:v>
      </x:c>
      <x:c r="V441" s="10" t="n">
        <x:f>0</x:f>
        <x:v>0</x:v>
      </x:c>
      <x:c r="W441" s="10" t="n">
        <x:f>H441*('Assumptions'!$P$79+'Assumptions'!$Y$79)</x:f>
        <x:v>218.1375</x:v>
      </x:c>
      <x:c r="X441" s="10" t="n">
        <x:f>N441/12*'Assumptions'!$AF$79</x:f>
        <x:v>0</x:v>
      </x:c>
      <x:c r="Y441" s="10" t="n">
        <x:f>P441/12</x:f>
        <x:v>0</x:v>
      </x:c>
      <x:c r="Z441" s="10" t="n">
        <x:f>0</x:f>
        <x:v>0</x:v>
      </x:c>
      <x:c r="AA441" s="10" t="n">
        <x:f>Z441*'Assumptions'!$AC$79*'Assumptions'!$D$11*(1+'Assumptions'!$D$13)^(4-1)</x:f>
        <x:v>0</x:v>
      </x:c>
      <x:c r="AB441" s="10" t="n">
        <x:f>F441/1</x:f>
        <x:v>684.39375</x:v>
      </x:c>
      <x:c r="AC441" s="10" t="n">
        <x:f>AB441/'Assumptions'!$AM$79</x:f>
        <x:v>13687.874999999998</x:v>
      </x:c>
      <x:c r="AD441" s="10" t="n">
        <x:f>IF(AB441=0,0,T441/AB441)</x:f>
        <x:v>1.246752198903921</x:v>
      </x:c>
      <x:c r="AE441" s="10" t="n">
        <x:f>AA441*'Assumptions'!$D$21</x:f>
        <x:v>0</x:v>
      </x:c>
    </x:row>
    <x:row r="442" ht="16" customHeight="1">
      <x:c r="A442" s="1"/>
      <x:c r="B442" s="1"/>
      <x:c r="C442" s="1" t="str">
        <x:v>DOT-051</x:v>
      </x:c>
      <x:c r="D442" s="10" t="str">
        <x:v>LavaLearning adult</x:v>
      </x:c>
      <x:c r="E442" s="10" t="n">
        <x:v>4</x:v>
      </x:c>
      <x:c r="F442" s="21" t="n">
        <x:f>F314*(1+'Assumptions'!$L$80)</x:f>
        <x:v>136.87874999999997</x:v>
      </x:c>
      <x:c r="G442" s="21" t="n">
        <x:f>H314*'Assumptions'!$K$80</x:f>
        <x:v>37.162499999999994</x:v>
      </x:c>
      <x:c r="H442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442+G442,NA())</x:f>
        <x:v>174.04124999999996</x:v>
      </x:c>
      <x:c r="I442" s="22" t="n">
        <x:f>'Assumptions'!$H$80*IF('Assumptions'!$O$80=1,1,'Assumptions'!$D$10)*(1+'Assumptions'!$N$80)^(4-1)</x:f>
        <x:v>30.775032000000003</x:v>
      </x:c>
      <x:c r="J442" s="10" t="n">
        <x:f>H442*I442</x:f>
        <x:v>5356.125038069999</x:v>
      </x:c>
      <x:c r="K442" s="10" t="n">
        <x:f>J442*'Assumptions'!$T$80</x:f>
        <x:v>5356.125038069999</x:v>
      </x:c>
      <x:c r="L442" s="10" t="n">
        <x:f>K442*'Assumptions'!$U$80</x:f>
        <x:v>160.68375114209996</x:v>
      </x:c>
      <x:c r="M442" s="10" t="n">
        <x:f>K442*'Assumptions'!$V$80</x:f>
        <x:v>0</x:v>
      </x:c>
      <x:c r="N442" s="10" t="n">
        <x:f>K442-L442-M442</x:f>
        <x:v>5195.4412869278995</x:v>
      </x:c>
      <x:c r="O442" s="10" t="n">
        <x:f>H442*'Assumptions'!$P$80*'Assumptions'!$Q$80*'Assumptions'!$D$11*(1+'Assumptions'!$D$13)^(4-1)</x:f>
        <x:v>998.4427581909373</x:v>
      </x:c>
      <x:c r="P442" s="10" t="n">
        <x:f>H442*'Assumptions'!$R$80*'Assumptions'!$D$11*(1+'Assumptions'!$D$13)^(4-1)</x:f>
        <x:v>0</x:v>
      </x:c>
      <x:c r="Q442" s="10" t="n">
        <x:f>J442*'Assumptions'!$S$80</x:f>
        <x:v>0</x:v>
      </x:c>
      <x:c r="R442" s="10" t="n">
        <x:f>H442*'Assumptions'!$Y$80*'Assumptions'!$Z$80*'Assumptions'!$D$11*(1+'Assumptions'!$D$13)^(4-1)</x:f>
        <x:v>570.5387189662498</x:v>
      </x:c>
      <x:c r="S442" s="10" t="n">
        <x:f>IF(I442=0,0,J442*'Assumptions'!$W$80+H442*'Assumptions'!$X$80)</x:f>
        <x:v>207.54000110402998</x:v>
      </x:c>
      <x:c r="T442" s="10" t="n">
        <x:f>N442*'Assumptions'!$AA$80</x:f>
        <x:v>259.772064346395</x:v>
      </x:c>
      <x:c r="U442" s="10" t="n">
        <x:f>'Assumptions'!$AE$80*'Assumptions'!$D$11*(1+'Assumptions'!$D$13)^(4-1)</x:f>
        <x:v>0</x:v>
      </x:c>
      <x:c r="V442" s="10" t="n">
        <x:f>0</x:f>
        <x:v>0</x:v>
      </x:c>
      <x:c r="W442" s="10" t="n">
        <x:f>H442*('Assumptions'!$P$80+'Assumptions'!$Y$80)</x:f>
        <x:v>43.51031249999999</x:v>
      </x:c>
      <x:c r="X442" s="10" t="n">
        <x:f>N442/12*'Assumptions'!$AF$80</x:f>
        <x:v>0</x:v>
      </x:c>
      <x:c r="Y442" s="10" t="n">
        <x:f>P442/12</x:f>
        <x:v>0</x:v>
      </x:c>
      <x:c r="Z442" s="10" t="n">
        <x:f>0</x:f>
        <x:v>0</x:v>
      </x:c>
      <x:c r="AA442" s="10" t="n">
        <x:f>Z442*'Assumptions'!$AC$80*'Assumptions'!$D$11*(1+'Assumptions'!$D$13)^(4-1)</x:f>
        <x:v>0</x:v>
      </x:c>
      <x:c r="AB442" s="10" t="n">
        <x:f>F442/1</x:f>
        <x:v>136.87874999999997</x:v>
      </x:c>
      <x:c r="AC442" s="10" t="n">
        <x:f>AB442/'Assumptions'!$AM$80</x:f>
        <x:v>2737.5749999999994</x:v>
      </x:c>
      <x:c r="AD442" s="10" t="n">
        <x:f>IF(AB442=0,0,T442/AB442)</x:f>
        <x:v>1.8978261004457964</x:v>
      </x:c>
      <x:c r="AE442" s="10" t="n">
        <x:f>AA442*'Assumptions'!$D$21</x:f>
        <x:v>0</x:v>
      </x:c>
    </x:row>
    <x:row r="443" ht="16" customHeight="1">
      <x:c r="A443" s="1"/>
      <x:c r="B443" s="1"/>
      <x:c r="C443" s="1" t="str">
        <x:v>DOT-052</x:v>
      </x:c>
      <x:c r="D443" s="10" t="str">
        <x:v>LavaLearning Model Life</x:v>
      </x:c>
      <x:c r="E443" s="10" t="n">
        <x:v>4</x:v>
      </x:c>
      <x:c r="F443" s="21" t="n">
        <x:f>F315*(1+'Assumptions'!$L$81)</x:f>
        <x:v>0</x:v>
      </x:c>
      <x:c r="G443" s="21" t="n">
        <x:f>H315*'Assumptions'!$K$81</x:f>
        <x:v>0</x:v>
      </x:c>
      <x:c r="H443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443+G443,NA())</x:f>
        <x:v>0</x:v>
      </x:c>
      <x:c r="I443" s="22" t="n">
        <x:f>'Assumptions'!$H$81*IF('Assumptions'!$O$81=1,1,'Assumptions'!$D$10)*(1+'Assumptions'!$N$81)^(4-1)</x:f>
        <x:v>0</x:v>
      </x:c>
      <x:c r="J443" s="10" t="n">
        <x:f>H443*I443</x:f>
        <x:v>0</x:v>
      </x:c>
      <x:c r="K443" s="10" t="n">
        <x:f>J443*'Assumptions'!$T$81</x:f>
        <x:v>0</x:v>
      </x:c>
      <x:c r="L443" s="10" t="n">
        <x:f>K443*'Assumptions'!$U$81</x:f>
        <x:v>0</x:v>
      </x:c>
      <x:c r="M443" s="10" t="n">
        <x:f>K443*'Assumptions'!$V$81</x:f>
        <x:v>0</x:v>
      </x:c>
      <x:c r="N443" s="10" t="n">
        <x:f>K443-L443-M443</x:f>
        <x:v>0</x:v>
      </x:c>
      <x:c r="O443" s="10" t="n">
        <x:f>H443*'Assumptions'!$P$81*'Assumptions'!$Q$81*'Assumptions'!$D$11*(1+'Assumptions'!$D$13)^(4-1)</x:f>
        <x:v>0</x:v>
      </x:c>
      <x:c r="P443" s="10" t="n">
        <x:f>H443*'Assumptions'!$R$81*'Assumptions'!$D$11*(1+'Assumptions'!$D$13)^(4-1)</x:f>
        <x:v>0</x:v>
      </x:c>
      <x:c r="Q443" s="10" t="n">
        <x:f>J443*'Assumptions'!$S$81</x:f>
        <x:v>0</x:v>
      </x:c>
      <x:c r="R443" s="10" t="n">
        <x:f>H443*'Assumptions'!$Y$81*'Assumptions'!$Z$81*'Assumptions'!$D$11*(1+'Assumptions'!$D$13)^(4-1)</x:f>
        <x:v>0</x:v>
      </x:c>
      <x:c r="S443" s="10" t="n">
        <x:f>IF(I443=0,0,J443*'Assumptions'!$W$81+H443*'Assumptions'!$X$81)</x:f>
        <x:v>0</x:v>
      </x:c>
      <x:c r="T443" s="10" t="n">
        <x:f>N443*'Assumptions'!$AA$81</x:f>
        <x:v>0</x:v>
      </x:c>
      <x:c r="U443" s="10" t="n">
        <x:f>'Assumptions'!$AE$81*'Assumptions'!$D$11*(1+'Assumptions'!$D$13)^(4-1)</x:f>
        <x:v>0</x:v>
      </x:c>
      <x:c r="V443" s="10" t="n">
        <x:f>0</x:f>
        <x:v>0</x:v>
      </x:c>
      <x:c r="W443" s="10" t="n">
        <x:f>H443*('Assumptions'!$P$81+'Assumptions'!$Y$81)</x:f>
        <x:v>0</x:v>
      </x:c>
      <x:c r="X443" s="10" t="n">
        <x:f>N443/12*'Assumptions'!$AF$81</x:f>
        <x:v>0</x:v>
      </x:c>
      <x:c r="Y443" s="10" t="n">
        <x:f>P443/12</x:f>
        <x:v>0</x:v>
      </x:c>
      <x:c r="Z443" s="10" t="n">
        <x:f>0</x:f>
        <x:v>0</x:v>
      </x:c>
      <x:c r="AA443" s="10" t="n">
        <x:f>Z443*'Assumptions'!$AC$81*'Assumptions'!$D$11*(1+'Assumptions'!$D$13)^(4-1)</x:f>
        <x:v>0</x:v>
      </x:c>
      <x:c r="AB443" s="10" t="n">
        <x:f>F443/1</x:f>
        <x:v>0</x:v>
      </x:c>
      <x:c r="AC443" s="10" t="n">
        <x:f>AB443/'Assumptions'!$AM$81</x:f>
        <x:v>0</x:v>
      </x:c>
      <x:c r="AD443" s="10" t="n">
        <x:f>IF(AB443=0,0,T443/AB443)</x:f>
        <x:v>0</x:v>
      </x:c>
      <x:c r="AE443" s="10" t="n">
        <x:f>AA443*'Assumptions'!$D$21</x:f>
        <x:v>0</x:v>
      </x:c>
    </x:row>
    <x:row r="444" ht="16" customHeight="1">
      <x:c r="A444" s="1"/>
      <x:c r="B444" s="1"/>
      <x:c r="C444" s="1" t="str">
        <x:v>DOT-053</x:v>
      </x:c>
      <x:c r="D444" s="10" t="str">
        <x:v>LavaLearning Kids</x:v>
      </x:c>
      <x:c r="E444" s="10" t="n">
        <x:v>4</x:v>
      </x:c>
      <x:c r="F444" s="21" t="n">
        <x:f>F316*(1+'Assumptions'!$L$82)</x:f>
        <x:v>684.39375</x:v>
      </x:c>
      <x:c r="G444" s="21" t="n">
        <x:f>H316*'Assumptions'!$K$82</x:f>
        <x:v>185.8125</x:v>
      </x:c>
      <x:c r="H444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444+G444,NA())</x:f>
        <x:v>870.20625</x:v>
      </x:c>
      <x:c r="I444" s="22" t="n">
        <x:f>'Assumptions'!$H$82*IF('Assumptions'!$O$82=1,1,'Assumptions'!$D$10)*(1+'Assumptions'!$N$82)^(4-1)</x:f>
        <x:v>20.162952000000004</x:v>
      </x:c>
      <x:c r="J444" s="10" t="n">
        <x:f>H444*I444</x:f>
        <x:v>17545.926848850002</x:v>
      </x:c>
      <x:c r="K444" s="10" t="n">
        <x:f>J444*'Assumptions'!$T$82</x:f>
        <x:v>17545.926848850002</x:v>
      </x:c>
      <x:c r="L444" s="10" t="n">
        <x:f>K444*'Assumptions'!$U$82</x:f>
        <x:v>526.3778054655</x:v>
      </x:c>
      <x:c r="M444" s="10" t="n">
        <x:f>K444*'Assumptions'!$V$82</x:f>
        <x:v>0</x:v>
      </x:c>
      <x:c r="N444" s="10" t="n">
        <x:f>K444-L444-M444</x:f>
        <x:v>17019.5490433845</x:v>
      </x:c>
      <x:c r="O444" s="10" t="n">
        <x:f>H444*'Assumptions'!$P$82*'Assumptions'!$Q$82*'Assumptions'!$D$11*(1+'Assumptions'!$D$13)^(4-1)</x:f>
        <x:v>4992.213790954687</x:v>
      </x:c>
      <x:c r="P444" s="10" t="n">
        <x:f>H444*'Assumptions'!$R$82*'Assumptions'!$D$11*(1+'Assumptions'!$D$13)^(4-1)</x:f>
        <x:v>0</x:v>
      </x:c>
      <x:c r="Q444" s="10" t="n">
        <x:f>J444*'Assumptions'!$S$82</x:f>
        <x:v>0</x:v>
      </x:c>
      <x:c r="R444" s="10" t="n">
        <x:f>H444*'Assumptions'!$Y$82*'Assumptions'!$Z$82*'Assumptions'!$D$11*(1+'Assumptions'!$D$13)^(4-1)</x:f>
        <x:v>2852.69359483125</x:v>
      </x:c>
      <x:c r="S444" s="10" t="n">
        <x:f>IF(I444=0,0,J444*'Assumptions'!$W$82+H444*'Assumptions'!$X$82)</x:f>
        <x:v>769.8937536166501</x:v>
      </x:c>
      <x:c r="T444" s="10" t="n">
        <x:f>N444*'Assumptions'!$AA$82</x:f>
        <x:v>850.9774521692251</x:v>
      </x:c>
      <x:c r="U444" s="10" t="n">
        <x:f>'Assumptions'!$AE$82*'Assumptions'!$D$11*(1+'Assumptions'!$D$13)^(4-1)</x:f>
        <x:v>262.25448</x:v>
      </x:c>
      <x:c r="V444" s="10" t="n">
        <x:f>0</x:f>
        <x:v>0</x:v>
      </x:c>
      <x:c r="W444" s="10" t="n">
        <x:f>H444*('Assumptions'!$P$82+'Assumptions'!$Y$82)</x:f>
        <x:v>217.5515625</x:v>
      </x:c>
      <x:c r="X444" s="10" t="n">
        <x:f>N444/12*'Assumptions'!$AF$82</x:f>
        <x:v>0</x:v>
      </x:c>
      <x:c r="Y444" s="10" t="n">
        <x:f>P444/12</x:f>
        <x:v>0</x:v>
      </x:c>
      <x:c r="Z444" s="10" t="n">
        <x:f>0</x:f>
        <x:v>0</x:v>
      </x:c>
      <x:c r="AA444" s="10" t="n">
        <x:f>Z444*'Assumptions'!$AC$82*'Assumptions'!$D$11*(1+'Assumptions'!$D$13)^(4-1)</x:f>
        <x:v>0</x:v>
      </x:c>
      <x:c r="AB444" s="10" t="n">
        <x:f>F444/1</x:f>
        <x:v>684.39375</x:v>
      </x:c>
      <x:c r="AC444" s="10" t="n">
        <x:f>AB444/'Assumptions'!$AM$82</x:f>
        <x:v>13687.874999999998</x:v>
      </x:c>
      <x:c r="AD444" s="10" t="n">
        <x:f>IF(AB444=0,0,T444/AB444)</x:f>
        <x:v>1.2434033071886252</x:v>
      </x:c>
      <x:c r="AE444" s="10" t="n">
        <x:f>AA444*'Assumptions'!$D$21</x:f>
        <x:v>0</x:v>
      </x:c>
    </x:row>
    <x:row r="445" ht="16" customHeight="1">
      <x:c r="A445" s="1"/>
      <x:c r="B445" s="1"/>
      <x:c r="C445" s="1" t="str">
        <x:v>DOT-054</x:v>
      </x:c>
      <x:c r="D445" s="10" t="str">
        <x:v>VraiSkill adult</x:v>
      </x:c>
      <x:c r="E445" s="10" t="n">
        <x:v>4</x:v>
      </x:c>
      <x:c r="F445" s="21" t="n">
        <x:f>F317*(1+'Assumptions'!$L$83)</x:f>
        <x:v>1368.7875</x:v>
      </x:c>
      <x:c r="G445" s="21" t="n">
        <x:f>H317*'Assumptions'!$K$83</x:f>
        <x:v>376.3125</x:v>
      </x:c>
      <x:c r="H445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445+G445,NA())</x:f>
        <x:v>1745.1</x:v>
      </x:c>
      <x:c r="I445" s="22" t="n">
        <x:f>'Assumptions'!$H$83*IF('Assumptions'!$O$83=1,1,'Assumptions'!$D$10)*(1+'Assumptions'!$N$83)^(4-1)</x:f>
        <x:v>10.601467920000001</x:v>
      </x:c>
      <x:c r="J445" s="10" t="n">
        <x:f>H445*I445</x:f>
        <x:v>18500.621667192</x:v>
      </x:c>
      <x:c r="K445" s="10" t="n">
        <x:f>J445*'Assumptions'!$T$83</x:f>
        <x:v>18500.621667192</x:v>
      </x:c>
      <x:c r="L445" s="10" t="n">
        <x:f>K445*'Assumptions'!$U$83</x:f>
        <x:v>555.01865001576</x:v>
      </x:c>
      <x:c r="M445" s="10" t="n">
        <x:f>K445*'Assumptions'!$V$83</x:f>
        <x:v>0</x:v>
      </x:c>
      <x:c r="N445" s="10" t="n">
        <x:f>K445-L445-M445</x:f>
        <x:v>17945.60301717624</x:v>
      </x:c>
      <x:c r="O445" s="10" t="n">
        <x:f>H445*'Assumptions'!$P$83*'Assumptions'!$Q$83*'Assumptions'!$D$11*(1+'Assumptions'!$D$13)^(4-1)</x:f>
        <x:v>10011.318910425</x:v>
      </x:c>
      <x:c r="P445" s="10" t="n">
        <x:f>H445*'Assumptions'!$R$83*'Assumptions'!$D$11*(1+'Assumptions'!$D$13)^(4-1)</x:f>
        <x:v>0</x:v>
      </x:c>
      <x:c r="Q445" s="10" t="n">
        <x:f>J445*'Assumptions'!$S$83</x:f>
        <x:v>0</x:v>
      </x:c>
      <x:c r="R445" s="10" t="n">
        <x:f>H445*'Assumptions'!$Y$83*'Assumptions'!$Z$83*'Assumptions'!$D$11*(1+'Assumptions'!$D$13)^(4-1)</x:f>
        <x:v>5720.753663099999</x:v>
      </x:c>
      <x:c r="S445" s="10" t="n">
        <x:f>IF(I445=0,0,J445*'Assumptions'!$W$83+H445*'Assumptions'!$X$83)</x:f>
        <x:v>1060.048028348568</x:v>
      </x:c>
      <x:c r="T445" s="10" t="n">
        <x:f>N445*'Assumptions'!$AA$83</x:f>
        <x:v>897.280150858812</x:v>
      </x:c>
      <x:c r="U445" s="10" t="n">
        <x:f>'Assumptions'!$AE$83*'Assumptions'!$D$11*(1+'Assumptions'!$D$13)^(4-1)</x:f>
        <x:v>262.25448</x:v>
      </x:c>
      <x:c r="V445" s="10" t="n">
        <x:f>0</x:f>
        <x:v>0</x:v>
      </x:c>
      <x:c r="W445" s="10" t="n">
        <x:f>H445*('Assumptions'!$P$83+'Assumptions'!$Y$83)</x:f>
        <x:v>436.275</x:v>
      </x:c>
      <x:c r="X445" s="10" t="n">
        <x:f>N445/12*'Assumptions'!$AF$83</x:f>
        <x:v>0</x:v>
      </x:c>
      <x:c r="Y445" s="10" t="n">
        <x:f>P445/12</x:f>
        <x:v>0</x:v>
      </x:c>
      <x:c r="Z445" s="10" t="n">
        <x:f>0</x:f>
        <x:v>0</x:v>
      </x:c>
      <x:c r="AA445" s="10" t="n">
        <x:f>Z445*'Assumptions'!$AC$83*'Assumptions'!$D$11*(1+'Assumptions'!$D$13)^(4-1)</x:f>
        <x:v>0</x:v>
      </x:c>
      <x:c r="AB445" s="10" t="n">
        <x:f>F445/1</x:f>
        <x:v>1368.7875</x:v>
      </x:c>
      <x:c r="AC445" s="10" t="n">
        <x:f>AB445/'Assumptions'!$AM$83</x:f>
        <x:v>27375.749999999996</x:v>
      </x:c>
      <x:c r="AD445" s="10" t="n">
        <x:f>IF(AB445=0,0,T445/AB445)</x:f>
        <x:v>0.6555291824763245</x:v>
      </x:c>
      <x:c r="AE445" s="10" t="n">
        <x:f>AA445*'Assumptions'!$D$21</x:f>
        <x:v>0</x:v>
      </x:c>
    </x:row>
    <x:row r="446" ht="16" customHeight="1">
      <x:c r="A446" s="1"/>
      <x:c r="B446" s="1"/>
      <x:c r="C446" s="1" t="str">
        <x:v>DOT-055</x:v>
      </x:c>
      <x:c r="D446" s="10" t="str">
        <x:v>VraiSkill adult</x:v>
      </x:c>
      <x:c r="E446" s="10" t="n">
        <x:v>4</x:v>
      </x:c>
      <x:c r="F446" s="21" t="n">
        <x:f>F318*(1+'Assumptions'!$L$84)</x:f>
        <x:v>456.2624999999999</x:v>
      </x:c>
      <x:c r="G446" s="21" t="n">
        <x:f>H318*'Assumptions'!$K$84</x:f>
        <x:v>125.43749999999999</x:v>
      </x:c>
      <x:c r="H446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446+G446,NA())</x:f>
        <x:v>581.6999999999998</x:v>
      </x:c>
      <x:c r="I446" s="22" t="n">
        <x:f>'Assumptions'!$H$84*IF('Assumptions'!$O$84=1,1,'Assumptions'!$D$10)*(1+'Assumptions'!$N$84)^(4-1)</x:f>
        <x:v>25.468992000000004</x:v>
      </x:c>
      <x:c r="J446" s="10" t="n">
        <x:f>H446*I446</x:f>
        <x:v>14815.312646399998</x:v>
      </x:c>
      <x:c r="K446" s="10" t="n">
        <x:f>J446*'Assumptions'!$T$84</x:f>
        <x:v>14815.312646399998</x:v>
      </x:c>
      <x:c r="L446" s="10" t="n">
        <x:f>K446*'Assumptions'!$U$84</x:f>
        <x:v>444.4593793919999</x:v>
      </x:c>
      <x:c r="M446" s="10" t="n">
        <x:f>K446*'Assumptions'!$V$84</x:f>
        <x:v>0</x:v>
      </x:c>
      <x:c r="N446" s="10" t="n">
        <x:f>K446-L446-M446</x:f>
        <x:v>14370.853267007999</x:v>
      </x:c>
      <x:c r="O446" s="10" t="n">
        <x:f>H446*'Assumptions'!$P$84*'Assumptions'!$Q$84*'Assumptions'!$D$11*(1+'Assumptions'!$D$13)^(4-1)</x:f>
        <x:v>3337.1063034749986</x:v>
      </x:c>
      <x:c r="P446" s="10" t="n">
        <x:f>H446*'Assumptions'!$R$84*'Assumptions'!$D$11*(1+'Assumptions'!$D$13)^(4-1)</x:f>
        <x:v>0</x:v>
      </x:c>
      <x:c r="Q446" s="10" t="n">
        <x:f>J446*'Assumptions'!$S$84</x:f>
        <x:v>0</x:v>
      </x:c>
      <x:c r="R446" s="10" t="n">
        <x:f>H446*'Assumptions'!$Y$84*'Assumptions'!$Z$84*'Assumptions'!$D$11*(1+'Assumptions'!$D$13)^(4-1)</x:f>
        <x:v>1906.9178876999997</x:v>
      </x:c>
      <x:c r="S446" s="10" t="n">
        <x:f>IF(I446=0,0,J446*'Assumptions'!$W$84+H446*'Assumptions'!$X$84)</x:f>
        <x:v>604.1540667456</x:v>
      </x:c>
      <x:c r="T446" s="10" t="n">
        <x:f>N446*'Assumptions'!$AA$84</x:f>
        <x:v>718.5426633504</x:v>
      </x:c>
      <x:c r="U446" s="10" t="n">
        <x:f>'Assumptions'!$AE$84*'Assumptions'!$D$11*(1+'Assumptions'!$D$13)^(4-1)</x:f>
        <x:v>0</x:v>
      </x:c>
      <x:c r="V446" s="10" t="n">
        <x:f>0</x:f>
        <x:v>0</x:v>
      </x:c>
      <x:c r="W446" s="10" t="n">
        <x:f>H446*('Assumptions'!$P$84+'Assumptions'!$Y$84)</x:f>
        <x:v>145.42499999999995</x:v>
      </x:c>
      <x:c r="X446" s="10" t="n">
        <x:f>N446/12*'Assumptions'!$AF$84</x:f>
        <x:v>0</x:v>
      </x:c>
      <x:c r="Y446" s="10" t="n">
        <x:f>P446/12</x:f>
        <x:v>0</x:v>
      </x:c>
      <x:c r="Z446" s="10" t="n">
        <x:f>0</x:f>
        <x:v>0</x:v>
      </x:c>
      <x:c r="AA446" s="10" t="n">
        <x:f>Z446*'Assumptions'!$AC$84*'Assumptions'!$D$11*(1+'Assumptions'!$D$13)^(4-1)</x:f>
        <x:v>0</x:v>
      </x:c>
      <x:c r="AB446" s="10" t="n">
        <x:f>F446/1</x:f>
        <x:v>456.2624999999999</x:v>
      </x:c>
      <x:c r="AC446" s="10" t="n">
        <x:f>AB446/'Assumptions'!$AM$84</x:f>
        <x:v>9125.249999999996</x:v>
      </x:c>
      <x:c r="AD446" s="10" t="n">
        <x:f>IF(AB446=0,0,T446/AB446)</x:f>
        <x:v>1.574844882826005</x:v>
      </x:c>
      <x:c r="AE446" s="10" t="n">
        <x:f>AA446*'Assumptions'!$D$21</x:f>
        <x:v>0</x:v>
      </x:c>
    </x:row>
    <x:row r="447" ht="16" customHeight="1">
      <x:c r="A447" s="1"/>
      <x:c r="B447" s="1"/>
      <x:c r="C447" s="1" t="str">
        <x:v>DOT-056</x:v>
      </x:c>
      <x:c r="D447" s="10" t="str">
        <x:v>VraiSkill teen</x:v>
      </x:c>
      <x:c r="E447" s="10" t="n">
        <x:v>4</x:v>
      </x:c>
      <x:c r="F447" s="21" t="n">
        <x:f>F319*(1+'Assumptions'!$L$85)</x:f>
        <x:v>456.2624999999999</x:v>
      </x:c>
      <x:c r="G447" s="21" t="n">
        <x:f>H319*'Assumptions'!$K$85</x:f>
        <x:v>123.87499999999999</x:v>
      </x:c>
      <x:c r="H447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447+G447,NA())</x:f>
        <x:v>580.1374999999998</x:v>
      </x:c>
      <x:c r="I447" s="22" t="n">
        <x:f>'Assumptions'!$H$85*IF('Assumptions'!$O$85=1,1,'Assumptions'!$D$10)*(1+'Assumptions'!$N$85)^(4-1)</x:f>
        <x:v>25.468992000000004</x:v>
      </x:c>
      <x:c r="J447" s="10" t="n">
        <x:f>H447*I447</x:f>
        <x:v>14775.517346399998</x:v>
      </x:c>
      <x:c r="K447" s="10" t="n">
        <x:f>J447*'Assumptions'!$T$85</x:f>
        <x:v>14775.517346399998</x:v>
      </x:c>
      <x:c r="L447" s="10" t="n">
        <x:f>K447*'Assumptions'!$U$85</x:f>
        <x:v>443.2655203919999</x:v>
      </x:c>
      <x:c r="M447" s="10" t="n">
        <x:f>K447*'Assumptions'!$V$85</x:f>
        <x:v>0</x:v>
      </x:c>
      <x:c r="N447" s="10" t="n">
        <x:f>K447-L447-M447</x:f>
        <x:v>14332.251826007998</x:v>
      </x:c>
      <x:c r="O447" s="10" t="n">
        <x:f>H447*'Assumptions'!$P$85*'Assumptions'!$Q$85*'Assumptions'!$D$11*(1+'Assumptions'!$D$13)^(4-1)</x:f>
        <x:v>3328.1425273031236</x:v>
      </x:c>
      <x:c r="P447" s="10" t="n">
        <x:f>H447*'Assumptions'!$R$85*'Assumptions'!$D$11*(1+'Assumptions'!$D$13)^(4-1)</x:f>
        <x:v>0</x:v>
      </x:c>
      <x:c r="Q447" s="10" t="n">
        <x:f>J447*'Assumptions'!$S$85</x:f>
        <x:v>0</x:v>
      </x:c>
      <x:c r="R447" s="10" t="n">
        <x:f>H447*'Assumptions'!$Y$85*'Assumptions'!$Z$85*'Assumptions'!$D$11*(1+'Assumptions'!$D$13)^(4-1)</x:f>
        <x:v>1901.7957298874996</x:v>
      </x:c>
      <x:c r="S447" s="10" t="n">
        <x:f>IF(I447=0,0,J447*'Assumptions'!$W$85+H447*'Assumptions'!$X$85)</x:f>
        <x:v>602.5312530455999</x:v>
      </x:c>
      <x:c r="T447" s="10" t="n">
        <x:f>N447*'Assumptions'!$AA$85</x:f>
        <x:v>716.6125913003999</x:v>
      </x:c>
      <x:c r="U447" s="10" t="n">
        <x:f>'Assumptions'!$AE$85*'Assumptions'!$D$11*(1+'Assumptions'!$D$13)^(4-1)</x:f>
        <x:v>262.25448</x:v>
      </x:c>
      <x:c r="V447" s="10" t="n">
        <x:f>0</x:f>
        <x:v>0</x:v>
      </x:c>
      <x:c r="W447" s="10" t="n">
        <x:f>H447*('Assumptions'!$P$85+'Assumptions'!$Y$85)</x:f>
        <x:v>145.03437499999995</x:v>
      </x:c>
      <x:c r="X447" s="10" t="n">
        <x:f>N447/12*'Assumptions'!$AF$85</x:f>
        <x:v>0</x:v>
      </x:c>
      <x:c r="Y447" s="10" t="n">
        <x:f>P447/12</x:f>
        <x:v>0</x:v>
      </x:c>
      <x:c r="Z447" s="10" t="n">
        <x:f>0</x:f>
        <x:v>0</x:v>
      </x:c>
      <x:c r="AA447" s="10" t="n">
        <x:f>Z447*'Assumptions'!$AC$85*'Assumptions'!$D$11*(1+'Assumptions'!$D$13)^(4-1)</x:f>
        <x:v>0</x:v>
      </x:c>
      <x:c r="AB447" s="10" t="n">
        <x:f>F447/1</x:f>
        <x:v>456.2624999999999</x:v>
      </x:c>
      <x:c r="AC447" s="10" t="n">
        <x:f>AB447/'Assumptions'!$AM$85</x:f>
        <x:v>9125.249999999996</x:v>
      </x:c>
      <x:c r="AD447" s="10" t="n">
        <x:f>IF(AB447=0,0,T447/AB447)</x:f>
        <x:v>1.5706147038172107</x:v>
      </x:c>
      <x:c r="AE447" s="10" t="n">
        <x:f>AA447*'Assumptions'!$D$21</x:f>
        <x:v>0</x:v>
      </x:c>
    </x:row>
    <x:row r="448" ht="16" customHeight="1">
      <x:c r="A448" s="1"/>
      <x:c r="B448" s="1"/>
      <x:c r="C448" s="1" t="str">
        <x:v>DOT-057</x:v>
      </x:c>
      <x:c r="D448" s="10" t="str">
        <x:v>VraiSkill Model Life</x:v>
      </x:c>
      <x:c r="E448" s="10" t="n">
        <x:v>4</x:v>
      </x:c>
      <x:c r="F448" s="21" t="n">
        <x:f>F320*(1+'Assumptions'!$L$86)</x:f>
        <x:v>0</x:v>
      </x:c>
      <x:c r="G448" s="21" t="n">
        <x:f>H320*'Assumptions'!$K$86</x:f>
        <x:v>0</x:v>
      </x:c>
      <x:c r="H448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448+G448,NA())</x:f>
        <x:v>0</x:v>
      </x:c>
      <x:c r="I448" s="22" t="n">
        <x:f>'Assumptions'!$H$86*IF('Assumptions'!$O$86=1,1,'Assumptions'!$D$10)*(1+'Assumptions'!$N$86)^(4-1)</x:f>
        <x:v>0</x:v>
      </x:c>
      <x:c r="J448" s="10" t="n">
        <x:f>H448*I448</x:f>
        <x:v>0</x:v>
      </x:c>
      <x:c r="K448" s="10" t="n">
        <x:f>J448*'Assumptions'!$T$86</x:f>
        <x:v>0</x:v>
      </x:c>
      <x:c r="L448" s="10" t="n">
        <x:f>K448*'Assumptions'!$U$86</x:f>
        <x:v>0</x:v>
      </x:c>
      <x:c r="M448" s="10" t="n">
        <x:f>K448*'Assumptions'!$V$86</x:f>
        <x:v>0</x:v>
      </x:c>
      <x:c r="N448" s="10" t="n">
        <x:f>K448-L448-M448</x:f>
        <x:v>0</x:v>
      </x:c>
      <x:c r="O448" s="10" t="n">
        <x:f>H448*'Assumptions'!$P$86*'Assumptions'!$Q$86*'Assumptions'!$D$11*(1+'Assumptions'!$D$13)^(4-1)</x:f>
        <x:v>0</x:v>
      </x:c>
      <x:c r="P448" s="10" t="n">
        <x:f>H448*'Assumptions'!$R$86*'Assumptions'!$D$11*(1+'Assumptions'!$D$13)^(4-1)</x:f>
        <x:v>0</x:v>
      </x:c>
      <x:c r="Q448" s="10" t="n">
        <x:f>J448*'Assumptions'!$S$86</x:f>
        <x:v>0</x:v>
      </x:c>
      <x:c r="R448" s="10" t="n">
        <x:f>H448*'Assumptions'!$Y$86*'Assumptions'!$Z$86*'Assumptions'!$D$11*(1+'Assumptions'!$D$13)^(4-1)</x:f>
        <x:v>0</x:v>
      </x:c>
      <x:c r="S448" s="10" t="n">
        <x:f>IF(I448=0,0,J448*'Assumptions'!$W$86+H448*'Assumptions'!$X$86)</x:f>
        <x:v>0</x:v>
      </x:c>
      <x:c r="T448" s="10" t="n">
        <x:f>N448*'Assumptions'!$AA$86</x:f>
        <x:v>0</x:v>
      </x:c>
      <x:c r="U448" s="10" t="n">
        <x:f>'Assumptions'!$AE$86*'Assumptions'!$D$11*(1+'Assumptions'!$D$13)^(4-1)</x:f>
        <x:v>0</x:v>
      </x:c>
      <x:c r="V448" s="10" t="n">
        <x:f>0</x:f>
        <x:v>0</x:v>
      </x:c>
      <x:c r="W448" s="10" t="n">
        <x:f>H448*('Assumptions'!$P$86+'Assumptions'!$Y$86)</x:f>
        <x:v>0</x:v>
      </x:c>
      <x:c r="X448" s="10" t="n">
        <x:f>N448/12*'Assumptions'!$AF$86</x:f>
        <x:v>0</x:v>
      </x:c>
      <x:c r="Y448" s="10" t="n">
        <x:f>P448/12</x:f>
        <x:v>0</x:v>
      </x:c>
      <x:c r="Z448" s="10" t="n">
        <x:f>0</x:f>
        <x:v>0</x:v>
      </x:c>
      <x:c r="AA448" s="10" t="n">
        <x:f>Z448*'Assumptions'!$AC$86*'Assumptions'!$D$11*(1+'Assumptions'!$D$13)^(4-1)</x:f>
        <x:v>0</x:v>
      </x:c>
      <x:c r="AB448" s="10" t="n">
        <x:f>F448/1</x:f>
        <x:v>0</x:v>
      </x:c>
      <x:c r="AC448" s="10" t="n">
        <x:f>AB448/'Assumptions'!$AM$86</x:f>
        <x:v>0</x:v>
      </x:c>
      <x:c r="AD448" s="10" t="n">
        <x:f>IF(AB448=0,0,T448/AB448)</x:f>
        <x:v>0</x:v>
      </x:c>
      <x:c r="AE448" s="10" t="n">
        <x:f>AA448*'Assumptions'!$D$21</x:f>
        <x:v>0</x:v>
      </x:c>
    </x:row>
    <x:row r="449" ht="16" customHeight="1">
      <x:c r="A449" s="1"/>
      <x:c r="B449" s="1"/>
      <x:c r="C449" s="1" t="str">
        <x:v>DOT-058</x:v>
      </x:c>
      <x:c r="D449" s="10" t="str">
        <x:v>Model Life</x:v>
      </x:c>
      <x:c r="E449" s="10" t="n">
        <x:v>4</x:v>
      </x:c>
      <x:c r="F449" s="21" t="n">
        <x:f>F321*(1+'Assumptions'!$L$87)</x:f>
        <x:v>248.83200000000005</x:v>
      </x:c>
      <x:c r="G449" s="21" t="n">
        <x:f>H321*'Assumptions'!$K$87</x:f>
        <x:v>312.144</x:v>
      </x:c>
      <x:c r="H449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449+G449,NA())</x:f>
        <x:v>560.9760000000001</x:v>
      </x:c>
      <x:c r="I449" s="22" t="n">
        <x:f>'Assumptions'!$H$87*IF('Assumptions'!$O$87=1,1,'Assumptions'!$D$10)*(1+'Assumptions'!$N$87)^(4-1)</x:f>
        <x:v>15.918120000000002</x:v>
      </x:c>
      <x:c r="J449" s="10" t="n">
        <x:f>H449*I449</x:f>
        <x:v>8929.683285120003</x:v>
      </x:c>
      <x:c r="K449" s="10" t="n">
        <x:f>J449*'Assumptions'!$T$87</x:f>
        <x:v>8929.683285120003</x:v>
      </x:c>
      <x:c r="L449" s="10" t="n">
        <x:f>K449*'Assumptions'!$U$87</x:f>
        <x:v>267.8904985536001</x:v>
      </x:c>
      <x:c r="M449" s="10" t="n">
        <x:f>K449*'Assumptions'!$V$87</x:f>
        <x:v>0</x:v>
      </x:c>
      <x:c r="N449" s="10" t="n">
        <x:f>K449-L449-M449</x:f>
        <x:v>8661.792786566402</x:v>
      </x:c>
      <x:c r="O449" s="10" t="n">
        <x:f>H449*'Assumptions'!$P$87*'Assumptions'!$Q$87*'Assumptions'!$D$11*(1+'Assumptions'!$D$13)^(4-1)</x:f>
        <x:v>2145.4776754320005</x:v>
      </x:c>
      <x:c r="P449" s="10" t="n">
        <x:f>H449*'Assumptions'!$R$87*'Assumptions'!$D$11*(1+'Assumptions'!$D$13)^(4-1)</x:f>
        <x:v>0</x:v>
      </x:c>
      <x:c r="Q449" s="10" t="n">
        <x:f>J449*'Assumptions'!$S$87</x:f>
        <x:v>0</x:v>
      </x:c>
      <x:c r="R449" s="10" t="n">
        <x:f>H449*'Assumptions'!$Y$87*'Assumptions'!$Z$87*'Assumptions'!$D$11*(1+'Assumptions'!$D$13)^(4-1)</x:f>
        <x:v>2758.471296984</x:v>
      </x:c>
      <x:c r="S449" s="10" t="n">
        <x:f>IF(I449=0,0,J449*'Assumptions'!$W$87+H449*'Assumptions'!$X$87)</x:f>
        <x:v>427.2536152684802</x:v>
      </x:c>
      <x:c r="T449" s="10" t="n">
        <x:f>N449*'Assumptions'!$AA$87</x:f>
        <x:v>433.0896393283201</x:v>
      </x:c>
      <x:c r="U449" s="10" t="n">
        <x:f>'Assumptions'!$AE$87*'Assumptions'!$D$11*(1+'Assumptions'!$D$13)^(4-1)</x:f>
        <x:v>65.56362</x:v>
      </x:c>
      <x:c r="V449" s="10" t="n">
        <x:f>0</x:f>
        <x:v>0</x:v>
      </x:c>
      <x:c r="W449" s="10" t="n">
        <x:f>H449*('Assumptions'!$P$87+'Assumptions'!$Y$87)</x:f>
        <x:v>140.24400000000003</x:v>
      </x:c>
      <x:c r="X449" s="10" t="n">
        <x:f>N449/12*'Assumptions'!$AF$87</x:f>
        <x:v>0</x:v>
      </x:c>
      <x:c r="Y449" s="10" t="n">
        <x:f>P449/12</x:f>
        <x:v>0</x:v>
      </x:c>
      <x:c r="Z449" s="10" t="n">
        <x:f>0</x:f>
        <x:v>0</x:v>
      </x:c>
      <x:c r="AA449" s="10" t="n">
        <x:f>Z449*'Assumptions'!$AC$87*'Assumptions'!$D$11*(1+'Assumptions'!$D$13)^(4-1)</x:f>
        <x:v>0</x:v>
      </x:c>
      <x:c r="AB449" s="10" t="n">
        <x:f>F449/12</x:f>
        <x:v>20.736000000000004</x:v>
      </x:c>
      <x:c r="AC449" s="10" t="n">
        <x:f>AB449/'Assumptions'!$AM$87</x:f>
        <x:v>414.7200000000001</x:v>
      </x:c>
      <x:c r="AD449" s="10" t="n">
        <x:f>IF(AB449=0,0,T449/AB449)</x:f>
        <x:v>20.885881526250003</x:v>
      </x:c>
      <x:c r="AE449" s="10" t="n">
        <x:f>AA449*'Assumptions'!$D$21</x:f>
        <x:v>0</x:v>
      </x:c>
    </x:row>
    <x:row r="450" ht="16" customHeight="1">
      <x:c r="A450" s="1"/>
      <x:c r="B450" s="1"/>
      <x:c r="C450" s="1" t="str">
        <x:v>DOT-059</x:v>
      </x:c>
      <x:c r="D450" s="10" t="str">
        <x:v>Model Life</x:v>
      </x:c>
      <x:c r="E450" s="10" t="n">
        <x:v>4</x:v>
      </x:c>
      <x:c r="F450" s="21" t="n">
        <x:f>F322*(1+'Assumptions'!$L$88)</x:f>
        <x:v>62.20800000000001</x:v>
      </x:c>
      <x:c r="G450" s="21" t="n">
        <x:f>H322*'Assumptions'!$K$88</x:f>
        <x:v>78.036</x:v>
      </x:c>
      <x:c r="H450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450+G450,NA())</x:f>
        <x:v>140.24400000000003</x:v>
      </x:c>
      <x:c r="I450" s="22" t="n">
        <x:f>'Assumptions'!$H$88*IF('Assumptions'!$O$88=1,1,'Assumptions'!$D$10)*(1+'Assumptions'!$N$88)^(4-1)</x:f>
        <x:v>83.83543200000001</x:v>
      </x:c>
      <x:c r="J450" s="10" t="n">
        <x:f>H450*I450</x:f>
        <x:v>11757.416325408003</x:v>
      </x:c>
      <x:c r="K450" s="10" t="n">
        <x:f>J450*'Assumptions'!$T$88</x:f>
        <x:v>11757.416325408003</x:v>
      </x:c>
      <x:c r="L450" s="10" t="n">
        <x:f>K450*'Assumptions'!$U$88</x:f>
        <x:v>352.72248976224006</x:v>
      </x:c>
      <x:c r="M450" s="10" t="n">
        <x:f>K450*'Assumptions'!$V$88</x:f>
        <x:v>0</x:v>
      </x:c>
      <x:c r="N450" s="10" t="n">
        <x:f>K450-L450-M450</x:f>
        <x:v>11404.693835645763</x:v>
      </x:c>
      <x:c r="O450" s="10" t="n">
        <x:f>H450*'Assumptions'!$P$88*'Assumptions'!$Q$88*'Assumptions'!$D$11*(1+'Assumptions'!$D$13)^(4-1)</x:f>
        <x:v>536.3694188580001</x:v>
      </x:c>
      <x:c r="P450" s="10" t="n">
        <x:f>H450*'Assumptions'!$R$88*'Assumptions'!$D$11*(1+'Assumptions'!$D$13)^(4-1)</x:f>
        <x:v>0</x:v>
      </x:c>
      <x:c r="Q450" s="10" t="n">
        <x:f>J450*'Assumptions'!$S$88</x:f>
        <x:v>0</x:v>
      </x:c>
      <x:c r="R450" s="10" t="n">
        <x:f>H450*'Assumptions'!$Y$88*'Assumptions'!$Z$88*'Assumptions'!$D$11*(1+'Assumptions'!$D$13)^(4-1)</x:f>
        <x:v>689.617824246</x:v>
      </x:c>
      <x:c r="S450" s="10" t="n">
        <x:f>IF(I450=0,0,J450*'Assumptions'!$W$88+H450*'Assumptions'!$X$88)</x:f>
        <x:v>383.03827343683207</x:v>
      </x:c>
      <x:c r="T450" s="10" t="n">
        <x:f>N450*'Assumptions'!$AA$88</x:f>
        <x:v>570.2346917822882</x:v>
      </x:c>
      <x:c r="U450" s="10" t="n">
        <x:f>'Assumptions'!$AE$88*'Assumptions'!$D$11*(1+'Assumptions'!$D$13)^(4-1)</x:f>
        <x:v>65.56362</x:v>
      </x:c>
      <x:c r="V450" s="10" t="n">
        <x:f>0</x:f>
        <x:v>0</x:v>
      </x:c>
      <x:c r="W450" s="10" t="n">
        <x:f>H450*('Assumptions'!$P$88+'Assumptions'!$Y$88)</x:f>
        <x:v>35.06100000000001</x:v>
      </x:c>
      <x:c r="X450" s="10" t="n">
        <x:f>N450/12*'Assumptions'!$AF$88</x:f>
        <x:v>0</x:v>
      </x:c>
      <x:c r="Y450" s="10" t="n">
        <x:f>P450/12</x:f>
        <x:v>0</x:v>
      </x:c>
      <x:c r="Z450" s="10" t="n">
        <x:f>0</x:f>
        <x:v>0</x:v>
      </x:c>
      <x:c r="AA450" s="10" t="n">
        <x:f>Z450*'Assumptions'!$AC$88*'Assumptions'!$D$11*(1+'Assumptions'!$D$13)^(4-1)</x:f>
        <x:v>0</x:v>
      </x:c>
      <x:c r="AB450" s="10" t="n">
        <x:f>F450/12</x:f>
        <x:v>5.184000000000001</x:v>
      </x:c>
      <x:c r="AC450" s="10" t="n">
        <x:f>AB450/'Assumptions'!$AM$88</x:f>
        <x:v>103.68000000000002</x:v>
      </x:c>
      <x:c r="AD450" s="10" t="n">
        <x:f>IF(AB450=0,0,T450/AB450)</x:f>
        <x:v>109.99897603825002</x:v>
      </x:c>
      <x:c r="AE450" s="10" t="n">
        <x:f>AA450*'Assumptions'!$D$21</x:f>
        <x:v>0</x:v>
      </x:c>
    </x:row>
    <x:row r="451" ht="16" customHeight="1">
      <x:c r="A451" s="1"/>
      <x:c r="B451" s="1"/>
      <x:c r="C451" s="1" t="str">
        <x:v>DOT-060</x:v>
      </x:c>
      <x:c r="D451" s="10" t="str">
        <x:v>Model Life</x:v>
      </x:c>
      <x:c r="E451" s="10" t="n">
        <x:v>4</x:v>
      </x:c>
      <x:c r="F451" s="21" t="n">
        <x:f>F323*(1+'Assumptions'!$L$89)</x:f>
        <x:v>62.20800000000001</x:v>
      </x:c>
      <x:c r="G451" s="21" t="n">
        <x:f>H323*'Assumptions'!$K$89</x:f>
        <x:v>78.036</x:v>
      </x:c>
      <x:c r="H451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451+G451,NA())</x:f>
        <x:v>140.24400000000003</x:v>
      </x:c>
      <x:c r="I451" s="22" t="n">
        <x:f>'Assumptions'!$H$89*IF('Assumptions'!$O$89=1,1,'Assumptions'!$D$10)*(1+'Assumptions'!$N$89)^(4-1)</x:f>
        <x:v>62.61127200000001</x:v>
      </x:c>
      <x:c r="J451" s="10" t="n">
        <x:f>H451*I451</x:f>
        <x:v>8780.855230368003</x:v>
      </x:c>
      <x:c r="K451" s="10" t="n">
        <x:f>J451*'Assumptions'!$T$89</x:f>
        <x:v>8780.855230368003</x:v>
      </x:c>
      <x:c r="L451" s="10" t="n">
        <x:f>K451*'Assumptions'!$U$89</x:f>
        <x:v>263.42565691104005</x:v>
      </x:c>
      <x:c r="M451" s="10" t="n">
        <x:f>K451*'Assumptions'!$V$89</x:f>
        <x:v>0</x:v>
      </x:c>
      <x:c r="N451" s="10" t="n">
        <x:f>K451-L451-M451</x:f>
        <x:v>8517.429573456962</x:v>
      </x:c>
      <x:c r="O451" s="10" t="n">
        <x:f>H451*'Assumptions'!$P$89*'Assumptions'!$Q$89*'Assumptions'!$D$11*(1+'Assumptions'!$D$13)^(4-1)</x:f>
        <x:v>536.3694188580001</x:v>
      </x:c>
      <x:c r="P451" s="10" t="n">
        <x:f>H451*'Assumptions'!$R$89*'Assumptions'!$D$11*(1+'Assumptions'!$D$13)^(4-1)</x:f>
        <x:v>0</x:v>
      </x:c>
      <x:c r="Q451" s="10" t="n">
        <x:f>J451*'Assumptions'!$S$89</x:f>
        <x:v>0</x:v>
      </x:c>
      <x:c r="R451" s="10" t="n">
        <x:f>H451*'Assumptions'!$Y$89*'Assumptions'!$Z$89*'Assumptions'!$D$11*(1+'Assumptions'!$D$13)^(4-1)</x:f>
        <x:v>689.617824246</x:v>
      </x:c>
      <x:c r="S451" s="10" t="n">
        <x:f>IF(I451=0,0,J451*'Assumptions'!$W$89+H451*'Assumptions'!$X$89)</x:f>
        <x:v>296.7180016806721</x:v>
      </x:c>
      <x:c r="T451" s="10" t="n">
        <x:f>N451*'Assumptions'!$AA$89</x:f>
        <x:v>425.8714786728481</x:v>
      </x:c>
      <x:c r="U451" s="10" t="n">
        <x:f>'Assumptions'!$AE$89*'Assumptions'!$D$11*(1+'Assumptions'!$D$13)^(4-1)</x:f>
        <x:v>65.56362</x:v>
      </x:c>
      <x:c r="V451" s="10" t="n">
        <x:f>0</x:f>
        <x:v>0</x:v>
      </x:c>
      <x:c r="W451" s="10" t="n">
        <x:f>H451*('Assumptions'!$P$89+'Assumptions'!$Y$89)</x:f>
        <x:v>35.06100000000001</x:v>
      </x:c>
      <x:c r="X451" s="10" t="n">
        <x:f>N451/12*'Assumptions'!$AF$89</x:f>
        <x:v>0</x:v>
      </x:c>
      <x:c r="Y451" s="10" t="n">
        <x:f>P451/12</x:f>
        <x:v>0</x:v>
      </x:c>
      <x:c r="Z451" s="10" t="n">
        <x:f>0</x:f>
        <x:v>0</x:v>
      </x:c>
      <x:c r="AA451" s="10" t="n">
        <x:f>Z451*'Assumptions'!$AC$89*'Assumptions'!$D$11*(1+'Assumptions'!$D$13)^(4-1)</x:f>
        <x:v>0</x:v>
      </x:c>
      <x:c r="AB451" s="10" t="n">
        <x:f>F451/12</x:f>
        <x:v>5.184000000000001</x:v>
      </x:c>
      <x:c r="AC451" s="10" t="n">
        <x:f>AB451/'Assumptions'!$AM$89</x:f>
        <x:v>103.68000000000002</x:v>
      </x:c>
      <x:c r="AD451" s="10" t="n">
        <x:f>IF(AB451=0,0,T451/AB451)</x:f>
        <x:v>82.15113400325001</x:v>
      </x:c>
      <x:c r="AE451" s="10" t="n">
        <x:f>AA451*'Assumptions'!$D$21</x:f>
        <x:v>0</x:v>
      </x:c>
    </x:row>
    <x:row r="452" ht="16" customHeight="1">
      <x:c r="A452" s="1"/>
      <x:c r="B452" s="1"/>
      <x:c r="C452" s="1" t="str">
        <x:v>DOT-061</x:v>
      </x:c>
      <x:c r="D452" s="10" t="str">
        <x:v>Model Life</x:v>
      </x:c>
      <x:c r="E452" s="10" t="n">
        <x:v>4</x:v>
      </x:c>
      <x:c r="F452" s="21" t="n">
        <x:f>F324*(1+'Assumptions'!$L$90)</x:f>
        <x:v>31.104000000000006</x:v>
      </x:c>
      <x:c r="G452" s="21" t="n">
        <x:f>H324*'Assumptions'!$K$90</x:f>
        <x:v>39.018</x:v>
      </x:c>
      <x:c r="H452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452+G452,NA())</x:f>
        <x:v>70.12200000000001</x:v>
      </x:c>
      <x:c r="I452" s="22" t="n">
        <x:f>'Assumptions'!$H$90*IF('Assumptions'!$O$90=1,1,'Assumptions'!$D$10)*(1+'Assumptions'!$N$90)^(4-1)</x:f>
        <x:v>105.05959200000001</x:v>
      </x:c>
      <x:c r="J452" s="10" t="n">
        <x:f>H452*I452</x:f>
        <x:v>7366.988710224002</x:v>
      </x:c>
      <x:c r="K452" s="10" t="n">
        <x:f>J452*'Assumptions'!$T$90</x:f>
        <x:v>7366.988710224002</x:v>
      </x:c>
      <x:c r="L452" s="10" t="n">
        <x:f>K452*'Assumptions'!$U$90</x:f>
        <x:v>221.00966130672003</x:v>
      </x:c>
      <x:c r="M452" s="10" t="n">
        <x:f>K452*'Assumptions'!$V$90</x:f>
        <x:v>0</x:v>
      </x:c>
      <x:c r="N452" s="10" t="n">
        <x:f>K452-L452-M452</x:f>
        <x:v>7145.979048917282</x:v>
      </x:c>
      <x:c r="O452" s="10" t="n">
        <x:f>H452*'Assumptions'!$P$90*'Assumptions'!$Q$90*'Assumptions'!$D$11*(1+'Assumptions'!$D$13)^(4-1)</x:f>
        <x:v>268.18470942900007</x:v>
      </x:c>
      <x:c r="P452" s="10" t="n">
        <x:f>H452*'Assumptions'!$R$90*'Assumptions'!$D$11*(1+'Assumptions'!$D$13)^(4-1)</x:f>
        <x:v>0</x:v>
      </x:c>
      <x:c r="Q452" s="10" t="n">
        <x:f>J452*'Assumptions'!$S$90</x:f>
        <x:v>0</x:v>
      </x:c>
      <x:c r="R452" s="10" t="n">
        <x:f>H452*'Assumptions'!$Y$90*'Assumptions'!$Z$90*'Assumptions'!$D$11*(1+'Assumptions'!$D$13)^(4-1)</x:f>
        <x:v>344.808912123</x:v>
      </x:c>
      <x:c r="S452" s="10" t="n">
        <x:f>IF(I452=0,0,J452*'Assumptions'!$W$90+H452*'Assumptions'!$X$90)</x:f>
        <x:v>234.67927259649605</x:v>
      </x:c>
      <x:c r="T452" s="10" t="n">
        <x:f>N452*'Assumptions'!$AA$90</x:f>
        <x:v>357.29895244586413</x:v>
      </x:c>
      <x:c r="U452" s="10" t="n">
        <x:f>'Assumptions'!$AE$90*'Assumptions'!$D$11*(1+'Assumptions'!$D$13)^(4-1)</x:f>
        <x:v>65.56362</x:v>
      </x:c>
      <x:c r="V452" s="10" t="n">
        <x:f>0</x:f>
        <x:v>0</x:v>
      </x:c>
      <x:c r="W452" s="10" t="n">
        <x:f>H452*('Assumptions'!$P$90+'Assumptions'!$Y$90)</x:f>
        <x:v>17.530500000000004</x:v>
      </x:c>
      <x:c r="X452" s="10" t="n">
        <x:f>N452/12*'Assumptions'!$AF$90</x:f>
        <x:v>0</x:v>
      </x:c>
      <x:c r="Y452" s="10" t="n">
        <x:f>P452/12</x:f>
        <x:v>0</x:v>
      </x:c>
      <x:c r="Z452" s="10" t="n">
        <x:f>0</x:f>
        <x:v>0</x:v>
      </x:c>
      <x:c r="AA452" s="10" t="n">
        <x:f>Z452*'Assumptions'!$AC$90*'Assumptions'!$D$11*(1+'Assumptions'!$D$13)^(4-1)</x:f>
        <x:v>0</x:v>
      </x:c>
      <x:c r="AB452" s="10" t="n">
        <x:f>F452/12</x:f>
        <x:v>2.5920000000000005</x:v>
      </x:c>
      <x:c r="AC452" s="10" t="n">
        <x:f>AB452/'Assumptions'!$AM$90</x:f>
        <x:v>51.84000000000001</x:v>
      </x:c>
      <x:c r="AD452" s="10" t="n">
        <x:f>IF(AB452=0,0,T452/AB452)</x:f>
        <x:v>137.84681807325003</x:v>
      </x:c>
      <x:c r="AE452" s="10" t="n">
        <x:f>AA452*'Assumptions'!$D$21</x:f>
        <x:v>0</x:v>
      </x:c>
    </x:row>
    <x:row r="453" ht="16" customHeight="1">
      <x:c r="A453" s="1"/>
      <x:c r="B453" s="1"/>
      <x:c r="C453" s="1" t="str">
        <x:v>DOT-062</x:v>
      </x:c>
      <x:c r="D453" s="10" t="str">
        <x:v>Model Life</x:v>
      </x:c>
      <x:c r="E453" s="10" t="n">
        <x:v>4</x:v>
      </x:c>
      <x:c r="F453" s="21" t="n">
        <x:f>F325*(1+'Assumptions'!$L$91)</x:f>
        <x:v>31.104000000000006</x:v>
      </x:c>
      <x:c r="G453" s="21" t="n">
        <x:f>H325*'Assumptions'!$K$91</x:f>
        <x:v>39.018</x:v>
      </x:c>
      <x:c r="H453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453+G453,NA())</x:f>
        <x:v>70.12200000000001</x:v>
      </x:c>
      <x:c r="I453" s="22" t="n">
        <x:f>'Assumptions'!$H$91*IF('Assumptions'!$O$91=1,1,'Assumptions'!$D$10)*(1+'Assumptions'!$N$91)^(4-1)</x:f>
        <x:v>51.99919200000001</x:v>
      </x:c>
      <x:c r="J453" s="10" t="n">
        <x:f>H453*I453</x:f>
        <x:v>3646.287341424001</x:v>
      </x:c>
      <x:c r="K453" s="10" t="n">
        <x:f>J453*'Assumptions'!$T$91</x:f>
        <x:v>3646.287341424001</x:v>
      </x:c>
      <x:c r="L453" s="10" t="n">
        <x:f>K453*'Assumptions'!$U$91</x:f>
        <x:v>109.38862024272004</x:v>
      </x:c>
      <x:c r="M453" s="10" t="n">
        <x:f>K453*'Assumptions'!$V$91</x:f>
        <x:v>0</x:v>
      </x:c>
      <x:c r="N453" s="10" t="n">
        <x:f>K453-L453-M453</x:f>
        <x:v>3536.898721181281</x:v>
      </x:c>
      <x:c r="O453" s="10" t="n">
        <x:f>H453*'Assumptions'!$P$91*'Assumptions'!$Q$91*'Assumptions'!$D$11*(1+'Assumptions'!$D$13)^(4-1)</x:f>
        <x:v>268.18470942900007</x:v>
      </x:c>
      <x:c r="P453" s="10" t="n">
        <x:f>H453*'Assumptions'!$R$91*'Assumptions'!$D$11*(1+'Assumptions'!$D$13)^(4-1)</x:f>
        <x:v>0</x:v>
      </x:c>
      <x:c r="Q453" s="10" t="n">
        <x:f>J453*'Assumptions'!$S$91</x:f>
        <x:v>0</x:v>
      </x:c>
      <x:c r="R453" s="10" t="n">
        <x:f>H453*'Assumptions'!$Y$91*'Assumptions'!$Z$91*'Assumptions'!$D$11*(1+'Assumptions'!$D$13)^(4-1)</x:f>
        <x:v>344.808912123</x:v>
      </x:c>
      <x:c r="S453" s="10" t="n">
        <x:f>IF(I453=0,0,J453*'Assumptions'!$W$91+H453*'Assumptions'!$X$91)</x:f>
        <x:v>126.77893290129605</x:v>
      </x:c>
      <x:c r="T453" s="10" t="n">
        <x:f>N453*'Assumptions'!$AA$91</x:f>
        <x:v>176.84493605906405</x:v>
      </x:c>
      <x:c r="U453" s="10" t="n">
        <x:f>'Assumptions'!$AE$91*'Assumptions'!$D$11*(1+'Assumptions'!$D$13)^(4-1)</x:f>
        <x:v>65.56362</x:v>
      </x:c>
      <x:c r="V453" s="10" t="n">
        <x:f>0</x:f>
        <x:v>0</x:v>
      </x:c>
      <x:c r="W453" s="10" t="n">
        <x:f>H453*('Assumptions'!$P$91+'Assumptions'!$Y$91)</x:f>
        <x:v>17.530500000000004</x:v>
      </x:c>
      <x:c r="X453" s="10" t="n">
        <x:f>N453/12*'Assumptions'!$AF$91</x:f>
        <x:v>0</x:v>
      </x:c>
      <x:c r="Y453" s="10" t="n">
        <x:f>P453/12</x:f>
        <x:v>0</x:v>
      </x:c>
      <x:c r="Z453" s="10" t="n">
        <x:f>0</x:f>
        <x:v>0</x:v>
      </x:c>
      <x:c r="AA453" s="10" t="n">
        <x:f>Z453*'Assumptions'!$AC$91*'Assumptions'!$D$11*(1+'Assumptions'!$D$13)^(4-1)</x:f>
        <x:v>0</x:v>
      </x:c>
      <x:c r="AB453" s="10" t="n">
        <x:f>F453/12</x:f>
        <x:v>2.5920000000000005</x:v>
      </x:c>
      <x:c r="AC453" s="10" t="n">
        <x:f>AB453/'Assumptions'!$AM$91</x:f>
        <x:v>51.84000000000001</x:v>
      </x:c>
      <x:c r="AD453" s="10" t="n">
        <x:f>IF(AB453=0,0,T453/AB453)</x:f>
        <x:v>68.22721298575</x:v>
      </x:c>
      <x:c r="AE453" s="10" t="n">
        <x:f>AA453*'Assumptions'!$D$21</x:f>
        <x:v>0</x:v>
      </x:c>
    </x:row>
    <x:row r="454" ht="16" customHeight="1">
      <x:c r="A454" s="1"/>
      <x:c r="B454" s="1"/>
      <x:c r="C454" s="1" t="str">
        <x:v>DOT-063</x:v>
      </x:c>
      <x:c r="D454" s="10" t="str">
        <x:v>S’otality cleaning</x:v>
      </x:c>
      <x:c r="E454" s="10" t="n">
        <x:v>4</x:v>
      </x:c>
      <x:c r="F454" s="21" t="n">
        <x:f>F326*(1+'Assumptions'!$L$92)</x:f>
        <x:v>63.88800000000002</x:v>
      </x:c>
      <x:c r="G454" s="21" t="n">
        <x:f>H326*'Assumptions'!$K$92</x:f>
        <x:v>73.296</x:v>
      </x:c>
      <x:c r="H454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454+G454,NA())</x:f>
        <x:v>137.18400000000003</x:v>
      </x:c>
      <x:c r="I454" s="22" t="n">
        <x:f>'Assumptions'!$H$92*IF('Assumptions'!$O$92=1,1,'Assumptions'!$D$10)*(1+'Assumptions'!$N$92)^(4-1)</x:f>
        <x:v>158.11999200000002</x:v>
      </x:c>
      <x:c r="J454" s="10" t="n">
        <x:f>H454*I454</x:f>
        <x:v>21691.532982528006</x:v>
      </x:c>
      <x:c r="K454" s="10" t="n">
        <x:f>J454*'Assumptions'!$T$92</x:f>
        <x:v>21691.532982528006</x:v>
      </x:c>
      <x:c r="L454" s="10" t="n">
        <x:f>K454*'Assumptions'!$U$92</x:f>
        <x:v>650.7459894758401</x:v>
      </x:c>
      <x:c r="M454" s="10" t="n">
        <x:f>K454*'Assumptions'!$V$92</x:f>
        <x:v>0</x:v>
      </x:c>
      <x:c r="N454" s="10" t="n">
        <x:f>K454-L454-M454</x:f>
        <x:v>21040.786993052167</x:v>
      </x:c>
      <x:c r="O454" s="10" t="n">
        <x:f>H454*'Assumptions'!$P$92*'Assumptions'!$Q$92*'Assumptions'!$D$11*(1+'Assumptions'!$D$13)^(4-1)</x:f>
        <x:v>524.6663126880002</x:v>
      </x:c>
      <x:c r="P454" s="10" t="n">
        <x:f>H454*'Assumptions'!$R$92*'Assumptions'!$D$11*(1+'Assumptions'!$D$13)^(4-1)</x:f>
        <x:v>1199.2372861440003</x:v>
      </x:c>
      <x:c r="Q454" s="10" t="n">
        <x:f>J454*'Assumptions'!$S$92</x:f>
        <x:v>14099.496438643204</x:v>
      </x:c>
      <x:c r="R454" s="10" t="n">
        <x:f>H454*'Assumptions'!$Y$92*'Assumptions'!$Z$92*'Assumptions'!$D$11*(1+'Assumptions'!$D$13)^(4-1)</x:f>
        <x:v>899.4279646080001</x:v>
      </x:c>
      <x:c r="S454" s="10" t="n">
        <x:f>IF(I454=0,0,J454*'Assumptions'!$W$92+H454*'Assumptions'!$X$92)</x:f>
        <x:v>670.2096564933122</x:v>
      </x:c>
      <x:c r="T454" s="10" t="n">
        <x:f>N454*'Assumptions'!$AA$92</x:f>
        <x:v>841.6314797220866</x:v>
      </x:c>
      <x:c r="U454" s="10" t="n">
        <x:f>'Assumptions'!$AE$92*'Assumptions'!$D$11*(1+'Assumptions'!$D$13)^(4-1)</x:f>
        <x:v>0</x:v>
      </x:c>
      <x:c r="V454" s="10" t="n">
        <x:f>0</x:f>
        <x:v>0</x:v>
      </x:c>
      <x:c r="W454" s="10" t="n">
        <x:f>H454*('Assumptions'!$P$92+'Assumptions'!$Y$92)</x:f>
        <x:v>41.155200000000015</x:v>
      </x:c>
      <x:c r="X454" s="10" t="n">
        <x:f>N454/12*'Assumptions'!$AF$92</x:f>
        <x:v>0</x:v>
      </x:c>
      <x:c r="Y454" s="10" t="n">
        <x:f>P454/12</x:f>
        <x:v>99.93644051200003</x:v>
      </x:c>
      <x:c r="Z454" s="10" t="n">
        <x:f>0</x:f>
        <x:v>0</x:v>
      </x:c>
      <x:c r="AA454" s="10" t="n">
        <x:f>Z454*'Assumptions'!$AC$92*'Assumptions'!$D$11*(1+'Assumptions'!$D$13)^(4-1)</x:f>
        <x:v>0</x:v>
      </x:c>
      <x:c r="AB454" s="10" t="n">
        <x:f>F454/1</x:f>
        <x:v>63.88800000000002</x:v>
      </x:c>
      <x:c r="AC454" s="10" t="n">
        <x:f>AB454/'Assumptions'!$AM$92</x:f>
        <x:v>425.92000000000013</x:v>
      </x:c>
      <x:c r="AD454" s="10" t="n">
        <x:f>IF(AB454=0,0,T454/AB454)</x:f>
        <x:v>13.173545575414575</x:v>
      </x:c>
      <x:c r="AE454" s="10" t="n">
        <x:f>AA454*'Assumptions'!$D$21</x:f>
        <x:v>0</x:v>
      </x:c>
    </x:row>
    <x:row r="455" ht="16" customHeight="1">
      <x:c r="A455" s="1"/>
      <x:c r="B455" s="1"/>
      <x:c r="C455" s="1" t="str">
        <x:v>DOT-064</x:v>
      </x:c>
      <x:c r="D455" s="10" t="str">
        <x:v>S’otality cleaning</x:v>
      </x:c>
      <x:c r="E455" s="10" t="n">
        <x:v>4</x:v>
      </x:c>
      <x:c r="F455" s="21" t="n">
        <x:f>F327*(1+'Assumptions'!$L$93)</x:f>
        <x:v>95.83200000000001</x:v>
      </x:c>
      <x:c r="G455" s="21" t="n">
        <x:f>H327*'Assumptions'!$K$93</x:f>
        <x:v>109.944</x:v>
      </x:c>
      <x:c r="H455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455+G455,NA())</x:f>
        <x:v>205.776</x:v>
      </x:c>
      <x:c r="I455" s="22" t="n">
        <x:f>'Assumptions'!$H$93*IF('Assumptions'!$O$93=1,1,'Assumptions'!$D$10)*(1+'Assumptions'!$N$93)^(4-1)</x:f>
        <x:v>147.50791200000003</x:v>
      </x:c>
      <x:c r="J455" s="10" t="n">
        <x:f>H455*I455</x:f>
        <x:v>30353.588099712008</x:v>
      </x:c>
      <x:c r="K455" s="10" t="n">
        <x:f>J455*'Assumptions'!$T$93</x:f>
        <x:v>30353.588099712008</x:v>
      </x:c>
      <x:c r="L455" s="10" t="n">
        <x:f>K455*'Assumptions'!$U$93</x:f>
        <x:v>910.6076429913602</x:v>
      </x:c>
      <x:c r="M455" s="10" t="n">
        <x:f>K455*'Assumptions'!$V$93</x:f>
        <x:v>0</x:v>
      </x:c>
      <x:c r="N455" s="10" t="n">
        <x:f>K455-L455-M455</x:f>
        <x:v>29442.98045672065</x:v>
      </x:c>
      <x:c r="O455" s="10" t="n">
        <x:f>H455*'Assumptions'!$P$93*'Assumptions'!$Q$93*'Assumptions'!$D$11*(1+'Assumptions'!$D$13)^(4-1)</x:f>
        <x:v>786.9994690320001</x:v>
      </x:c>
      <x:c r="P455" s="10" t="n">
        <x:f>H455*'Assumptions'!$R$93*'Assumptions'!$D$11*(1+'Assumptions'!$D$13)^(4-1)</x:f>
        <x:v>1798.855929216</x:v>
      </x:c>
      <x:c r="Q455" s="10" t="n">
        <x:f>J455*'Assumptions'!$S$93</x:f>
        <x:v>19729.832264812805</x:v>
      </x:c>
      <x:c r="R455" s="10" t="n">
        <x:f>H455*'Assumptions'!$Y$93*'Assumptions'!$Z$93*'Assumptions'!$D$11*(1+'Assumptions'!$D$13)^(4-1)</x:f>
        <x:v>1349.141946912</x:v>
      </x:c>
      <x:c r="S455" s="10" t="n">
        <x:f>IF(I455=0,0,J455*'Assumptions'!$W$93+H455*'Assumptions'!$X$93)</x:f>
        <x:v>941.9868548916482</x:v>
      </x:c>
      <x:c r="T455" s="10" t="n">
        <x:f>N455*'Assumptions'!$AA$93</x:f>
        <x:v>1177.719218268826</x:v>
      </x:c>
      <x:c r="U455" s="10" t="n">
        <x:f>'Assumptions'!$AE$93*'Assumptions'!$D$11*(1+'Assumptions'!$D$13)^(4-1)</x:f>
        <x:v>0</x:v>
      </x:c>
      <x:c r="V455" s="10" t="n">
        <x:f>0</x:f>
        <x:v>0</x:v>
      </x:c>
      <x:c r="W455" s="10" t="n">
        <x:f>H455*('Assumptions'!$P$93+'Assumptions'!$Y$93)</x:f>
        <x:v>61.73280000000001</x:v>
      </x:c>
      <x:c r="X455" s="10" t="n">
        <x:f>N455/12*'Assumptions'!$AF$93</x:f>
        <x:v>0</x:v>
      </x:c>
      <x:c r="Y455" s="10" t="n">
        <x:f>P455/12</x:f>
        <x:v>149.904660768</x:v>
      </x:c>
      <x:c r="Z455" s="10" t="n">
        <x:f>0</x:f>
        <x:v>0</x:v>
      </x:c>
      <x:c r="AA455" s="10" t="n">
        <x:f>Z455*'Assumptions'!$AC$93*'Assumptions'!$D$11*(1+'Assumptions'!$D$13)^(4-1)</x:f>
        <x:v>0</x:v>
      </x:c>
      <x:c r="AB455" s="10" t="n">
        <x:f>F455/1</x:f>
        <x:v>95.83200000000001</x:v>
      </x:c>
      <x:c r="AC455" s="10" t="n">
        <x:f>AB455/'Assumptions'!$AM$93</x:f>
        <x:v>638.8800000000001</x:v>
      </x:c>
      <x:c r="AD455" s="10" t="n">
        <x:f>IF(AB455=0,0,T455/AB455)</x:f>
        <x:v>12.289414999883398</x:v>
      </x:c>
      <x:c r="AE455" s="10" t="n">
        <x:f>AA455*'Assumptions'!$D$21</x:f>
        <x:v>0</x:v>
      </x:c>
    </x:row>
    <x:row r="456" ht="16" customHeight="1">
      <x:c r="A456" s="1"/>
      <x:c r="B456" s="1"/>
      <x:c r="C456" s="1" t="str">
        <x:v>DOT-065</x:v>
      </x:c>
      <x:c r="D456" s="10" t="str">
        <x:v>S’otality cleaning</x:v>
      </x:c>
      <x:c r="E456" s="10" t="n">
        <x:v>4</x:v>
      </x:c>
      <x:c r="F456" s="21" t="n">
        <x:f>F328*(1+'Assumptions'!$L$94)</x:f>
        <x:v>63.88800000000002</x:v>
      </x:c>
      <x:c r="G456" s="21" t="n">
        <x:f>H328*'Assumptions'!$K$94</x:f>
        <x:v>73.296</x:v>
      </x:c>
      <x:c r="H456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456+G456,NA())</x:f>
        <x:v>137.18400000000003</x:v>
      </x:c>
      <x:c r="I456" s="22" t="n">
        <x:f>'Assumptions'!$H$94*IF('Assumptions'!$O$94=1,1,'Assumptions'!$D$10)*(1+'Assumptions'!$N$94)^(4-1)</x:f>
        <x:v>168.73207200000002</x:v>
      </x:c>
      <x:c r="J456" s="10" t="n">
        <x:f>H456*I456</x:f>
        <x:v>23147.340565248007</x:v>
      </x:c>
      <x:c r="K456" s="10" t="n">
        <x:f>J456*'Assumptions'!$T$94</x:f>
        <x:v>23147.340565248007</x:v>
      </x:c>
      <x:c r="L456" s="10" t="n">
        <x:f>K456*'Assumptions'!$U$94</x:f>
        <x:v>694.4202169574402</x:v>
      </x:c>
      <x:c r="M456" s="10" t="n">
        <x:f>K456*'Assumptions'!$V$94</x:f>
        <x:v>0</x:v>
      </x:c>
      <x:c r="N456" s="10" t="n">
        <x:f>K456-L456-M456</x:f>
        <x:v>22452.920348290565</x:v>
      </x:c>
      <x:c r="O456" s="10" t="n">
        <x:f>H456*'Assumptions'!$P$94*'Assumptions'!$Q$94*'Assumptions'!$D$11*(1+'Assumptions'!$D$13)^(4-1)</x:f>
        <x:v>524.6663126880002</x:v>
      </x:c>
      <x:c r="P456" s="10" t="n">
        <x:f>H456*'Assumptions'!$R$94*'Assumptions'!$D$11*(1+'Assumptions'!$D$13)^(4-1)</x:f>
        <x:v>1199.2372861440003</x:v>
      </x:c>
      <x:c r="Q456" s="10" t="n">
        <x:f>J456*'Assumptions'!$S$94</x:f>
        <x:v>15045.771367411206</x:v>
      </x:c>
      <x:c r="R456" s="10" t="n">
        <x:f>H456*'Assumptions'!$Y$94*'Assumptions'!$Z$94*'Assumptions'!$D$11*(1+'Assumptions'!$D$13)^(4-1)</x:f>
        <x:v>899.4279646080001</x:v>
      </x:c>
      <x:c r="S456" s="10" t="n">
        <x:f>IF(I456=0,0,J456*'Assumptions'!$W$94+H456*'Assumptions'!$X$94)</x:f>
        <x:v>712.4280763921922</x:v>
      </x:c>
      <x:c r="T456" s="10" t="n">
        <x:f>N456*'Assumptions'!$AA$94</x:f>
        <x:v>898.1168139316226</x:v>
      </x:c>
      <x:c r="U456" s="10" t="n">
        <x:f>'Assumptions'!$AE$94*'Assumptions'!$D$11*(1+'Assumptions'!$D$13)^(4-1)</x:f>
        <x:v>0</x:v>
      </x:c>
      <x:c r="V456" s="10" t="n">
        <x:f>0</x:f>
        <x:v>0</x:v>
      </x:c>
      <x:c r="W456" s="10" t="n">
        <x:f>H456*('Assumptions'!$P$94+'Assumptions'!$Y$94)</x:f>
        <x:v>41.155200000000015</x:v>
      </x:c>
      <x:c r="X456" s="10" t="n">
        <x:f>N456/12*'Assumptions'!$AF$94</x:f>
        <x:v>0</x:v>
      </x:c>
      <x:c r="Y456" s="10" t="n">
        <x:f>P456/12</x:f>
        <x:v>99.93644051200003</x:v>
      </x:c>
      <x:c r="Z456" s="10" t="n">
        <x:f>0</x:f>
        <x:v>0</x:v>
      </x:c>
      <x:c r="AA456" s="10" t="n">
        <x:f>Z456*'Assumptions'!$AC$94*'Assumptions'!$D$11*(1+'Assumptions'!$D$13)^(4-1)</x:f>
        <x:v>0</x:v>
      </x:c>
      <x:c r="AB456" s="10" t="n">
        <x:f>F456/1</x:f>
        <x:v>63.88800000000002</x:v>
      </x:c>
      <x:c r="AC456" s="10" t="n">
        <x:f>AB456/'Assumptions'!$AM$94</x:f>
        <x:v>425.92000000000013</x:v>
      </x:c>
      <x:c r="AD456" s="10" t="n">
        <x:f>IF(AB456=0,0,T456/AB456)</x:f>
        <x:v>14.057676150945753</x:v>
      </x:c>
      <x:c r="AE456" s="10" t="n">
        <x:f>AA456*'Assumptions'!$D$21</x:f>
        <x:v>0</x:v>
      </x:c>
    </x:row>
    <x:row r="457" ht="16" customHeight="1">
      <x:c r="A457" s="1"/>
      <x:c r="B457" s="1"/>
      <x:c r="C457" s="1" t="str">
        <x:v>DOT-066</x:v>
      </x:c>
      <x:c r="D457" s="10" t="str">
        <x:v>S’otality cleaning</x:v>
      </x:c>
      <x:c r="E457" s="10" t="n">
        <x:v>4</x:v>
      </x:c>
      <x:c r="F457" s="21" t="n">
        <x:f>F329*(1+'Assumptions'!$L$95)</x:f>
        <x:v>95.83200000000001</x:v>
      </x:c>
      <x:c r="G457" s="21" t="n">
        <x:f>H329*'Assumptions'!$K$95</x:f>
        <x:v>109.944</x:v>
      </x:c>
      <x:c r="H457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457+G457,NA())</x:f>
        <x:v>205.776</x:v>
      </x:c>
      <x:c r="I457" s="22" t="n">
        <x:f>'Assumptions'!$H$95*IF('Assumptions'!$O$95=1,1,'Assumptions'!$D$10)*(1+'Assumptions'!$N$95)^(4-1)</x:f>
        <x:v>158.11999200000002</x:v>
      </x:c>
      <x:c r="J457" s="10" t="n">
        <x:f>H457*I457</x:f>
        <x:v>32537.299473792005</x:v>
      </x:c>
      <x:c r="K457" s="10" t="n">
        <x:f>J457*'Assumptions'!$T$95</x:f>
        <x:v>32537.299473792005</x:v>
      </x:c>
      <x:c r="L457" s="10" t="n">
        <x:f>K457*'Assumptions'!$U$95</x:f>
        <x:v>976.1189842137601</x:v>
      </x:c>
      <x:c r="M457" s="10" t="n">
        <x:f>K457*'Assumptions'!$V$95</x:f>
        <x:v>0</x:v>
      </x:c>
      <x:c r="N457" s="10" t="n">
        <x:f>K457-L457-M457</x:f>
        <x:v>31561.180489578244</x:v>
      </x:c>
      <x:c r="O457" s="10" t="n">
        <x:f>H457*'Assumptions'!$P$95*'Assumptions'!$Q$95*'Assumptions'!$D$11*(1+'Assumptions'!$D$13)^(4-1)</x:f>
        <x:v>786.9994690320001</x:v>
      </x:c>
      <x:c r="P457" s="10" t="n">
        <x:f>H457*'Assumptions'!$R$95*'Assumptions'!$D$11*(1+'Assumptions'!$D$13)^(4-1)</x:f>
        <x:v>1798.855929216</x:v>
      </x:c>
      <x:c r="Q457" s="10" t="n">
        <x:f>J457*'Assumptions'!$S$95</x:f>
        <x:v>21149.244657964806</x:v>
      </x:c>
      <x:c r="R457" s="10" t="n">
        <x:f>H457*'Assumptions'!$Y$95*'Assumptions'!$Z$95*'Assumptions'!$D$11*(1+'Assumptions'!$D$13)^(4-1)</x:f>
        <x:v>1349.141946912</x:v>
      </x:c>
      <x:c r="S457" s="10" t="n">
        <x:f>IF(I457=0,0,J457*'Assumptions'!$W$95+H457*'Assumptions'!$X$95)</x:f>
        <x:v>1005.3144847399682</x:v>
      </x:c>
      <x:c r="T457" s="10" t="n">
        <x:f>N457*'Assumptions'!$AA$95</x:f>
        <x:v>1262.4472195831297</x:v>
      </x:c>
      <x:c r="U457" s="10" t="n">
        <x:f>'Assumptions'!$AE$95*'Assumptions'!$D$11*(1+'Assumptions'!$D$13)^(4-1)</x:f>
        <x:v>0</x:v>
      </x:c>
      <x:c r="V457" s="10" t="n">
        <x:f>0</x:f>
        <x:v>0</x:v>
      </x:c>
      <x:c r="W457" s="10" t="n">
        <x:f>H457*('Assumptions'!$P$95+'Assumptions'!$Y$95)</x:f>
        <x:v>61.73280000000001</x:v>
      </x:c>
      <x:c r="X457" s="10" t="n">
        <x:f>N457/12*'Assumptions'!$AF$95</x:f>
        <x:v>0</x:v>
      </x:c>
      <x:c r="Y457" s="10" t="n">
        <x:f>P457/12</x:f>
        <x:v>149.904660768</x:v>
      </x:c>
      <x:c r="Z457" s="10" t="n">
        <x:f>0</x:f>
        <x:v>0</x:v>
      </x:c>
      <x:c r="AA457" s="10" t="n">
        <x:f>Z457*'Assumptions'!$AC$95*'Assumptions'!$D$11*(1+'Assumptions'!$D$13)^(4-1)</x:f>
        <x:v>0</x:v>
      </x:c>
      <x:c r="AB457" s="10" t="n">
        <x:f>F457/1</x:f>
        <x:v>95.83200000000001</x:v>
      </x:c>
      <x:c r="AC457" s="10" t="n">
        <x:f>AB457/'Assumptions'!$AM$95</x:f>
        <x:v>638.8800000000001</x:v>
      </x:c>
      <x:c r="AD457" s="10" t="n">
        <x:f>IF(AB457=0,0,T457/AB457)</x:f>
        <x:v>13.173545575414575</x:v>
      </x:c>
      <x:c r="AE457" s="10" t="n">
        <x:f>AA457*'Assumptions'!$D$21</x:f>
        <x:v>0</x:v>
      </x:c>
    </x:row>
    <x:row r="458" ht="16" customHeight="1">
      <x:c r="A458" s="1"/>
      <x:c r="B458" s="1"/>
      <x:c r="C458" s="1" t="str">
        <x:v>DOT-067</x:v>
      </x:c>
      <x:c r="D458" s="10" t="str">
        <x:v>S’otality cleaning</x:v>
      </x:c>
      <x:c r="E458" s="10" t="n">
        <x:v>4</x:v>
      </x:c>
      <x:c r="F458" s="21" t="n">
        <x:f>F330*(1+'Assumptions'!$L$96)</x:f>
        <x:v>42.59200000000001</x:v>
      </x:c>
      <x:c r="G458" s="21" t="n">
        <x:f>H330*'Assumptions'!$K$96</x:f>
        <x:v>48.864</x:v>
      </x:c>
      <x:c r="H458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458+G458,NA())</x:f>
        <x:v>91.45600000000002</x:v>
      </x:c>
      <x:c r="I458" s="22" t="n">
        <x:f>'Assumptions'!$H$96*IF('Assumptions'!$O$96=1,1,'Assumptions'!$D$10)*(1+'Assumptions'!$N$96)^(4-1)</x:f>
        <x:v>211.18039200000004</x:v>
      </x:c>
      <x:c r="J458" s="10" t="n">
        <x:f>H458*I458</x:f>
        <x:v>19313.71393075201</x:v>
      </x:c>
      <x:c r="K458" s="10" t="n">
        <x:f>J458*'Assumptions'!$T$96</x:f>
        <x:v>19313.71393075201</x:v>
      </x:c>
      <x:c r="L458" s="10" t="n">
        <x:f>K458*'Assumptions'!$U$96</x:f>
        <x:v>579.4114179225602</x:v>
      </x:c>
      <x:c r="M458" s="10" t="n">
        <x:f>K458*'Assumptions'!$V$96</x:f>
        <x:v>0</x:v>
      </x:c>
      <x:c r="N458" s="10" t="n">
        <x:f>K458-L458-M458</x:f>
        <x:v>18734.302512829447</x:v>
      </x:c>
      <x:c r="O458" s="10" t="n">
        <x:f>H458*'Assumptions'!$P$96*'Assumptions'!$Q$96*'Assumptions'!$D$11*(1+'Assumptions'!$D$13)^(4-1)</x:f>
        <x:v>349.7775417920001</x:v>
      </x:c>
      <x:c r="P458" s="10" t="n">
        <x:f>H458*'Assumptions'!$R$96*'Assumptions'!$D$11*(1+'Assumptions'!$D$13)^(4-1)</x:f>
        <x:v>799.4915240960001</x:v>
      </x:c>
      <x:c r="Q458" s="10" t="n">
        <x:f>J458*'Assumptions'!$S$96</x:f>
        <x:v>12553.914054988805</x:v>
      </x:c>
      <x:c r="R458" s="10" t="n">
        <x:f>H458*'Assumptions'!$Y$96*'Assumptions'!$Z$96*'Assumptions'!$D$11*(1+'Assumptions'!$D$13)^(4-1)</x:f>
        <x:v>599.6186430720002</x:v>
      </x:c>
      <x:c r="S458" s="10" t="n">
        <x:f>IF(I458=0,0,J458*'Assumptions'!$W$96+H458*'Assumptions'!$X$96)</x:f>
        <x:v>587.5345039918084</x:v>
      </x:c>
      <x:c r="T458" s="10" t="n">
        <x:f>N458*'Assumptions'!$AA$96</x:f>
        <x:v>749.3721005131779</x:v>
      </x:c>
      <x:c r="U458" s="10" t="n">
        <x:f>'Assumptions'!$AE$96*'Assumptions'!$D$11*(1+'Assumptions'!$D$13)^(4-1)</x:f>
        <x:v>0</x:v>
      </x:c>
      <x:c r="V458" s="10" t="n">
        <x:f>0</x:f>
        <x:v>0</x:v>
      </x:c>
      <x:c r="W458" s="10" t="n">
        <x:f>H458*('Assumptions'!$P$96+'Assumptions'!$Y$96)</x:f>
        <x:v>27.43680000000001</x:v>
      </x:c>
      <x:c r="X458" s="10" t="n">
        <x:f>N458/12*'Assumptions'!$AF$96</x:f>
        <x:v>0</x:v>
      </x:c>
      <x:c r="Y458" s="10" t="n">
        <x:f>P458/12</x:f>
        <x:v>66.62429367466667</x:v>
      </x:c>
      <x:c r="Z458" s="10" t="n">
        <x:f>0</x:f>
        <x:v>0</x:v>
      </x:c>
      <x:c r="AA458" s="10" t="n">
        <x:f>Z458*'Assumptions'!$AC$96*'Assumptions'!$D$11*(1+'Assumptions'!$D$13)^(4-1)</x:f>
        <x:v>0</x:v>
      </x:c>
      <x:c r="AB458" s="10" t="n">
        <x:f>F458/1</x:f>
        <x:v>42.59200000000001</x:v>
      </x:c>
      <x:c r="AC458" s="10" t="n">
        <x:f>AB458/'Assumptions'!$AM$96</x:f>
        <x:v>283.9466666666668</x:v>
      </x:c>
      <x:c r="AD458" s="10" t="n">
        <x:f>IF(AB458=0,0,T458/AB458)</x:f>
        <x:v>17.594198453070476</x:v>
      </x:c>
      <x:c r="AE458" s="10" t="n">
        <x:f>AA458*'Assumptions'!$D$21</x:f>
        <x:v>0</x:v>
      </x:c>
    </x:row>
    <x:row r="459" ht="16" customHeight="1">
      <x:c r="A459" s="1"/>
      <x:c r="B459" s="1"/>
      <x:c r="C459" s="1" t="str">
        <x:v>DOT-068</x:v>
      </x:c>
      <x:c r="D459" s="10" t="str">
        <x:v>S’otality cleaning</x:v>
      </x:c>
      <x:c r="E459" s="10" t="n">
        <x:v>4</x:v>
      </x:c>
      <x:c r="F459" s="21" t="n">
        <x:f>F331*(1+'Assumptions'!$L$97)</x:f>
        <x:v>63.88800000000002</x:v>
      </x:c>
      <x:c r="G459" s="21" t="n">
        <x:f>H331*'Assumptions'!$K$97</x:f>
        <x:v>73.296</x:v>
      </x:c>
      <x:c r="H459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459+G459,NA())</x:f>
        <x:v>137.18400000000003</x:v>
      </x:c>
      <x:c r="I459" s="22" t="n">
        <x:f>'Assumptions'!$H$97*IF('Assumptions'!$O$97=1,1,'Assumptions'!$D$10)*(1+'Assumptions'!$N$97)^(4-1)</x:f>
        <x:v>200.56831200000002</x:v>
      </x:c>
      <x:c r="J459" s="10" t="n">
        <x:f>H459*I459</x:f>
        <x:v>27514.76331340801</x:v>
      </x:c>
      <x:c r="K459" s="10" t="n">
        <x:f>J459*'Assumptions'!$T$97</x:f>
        <x:v>27514.76331340801</x:v>
      </x:c>
      <x:c r="L459" s="10" t="n">
        <x:f>K459*'Assumptions'!$U$97</x:f>
        <x:v>825.4428994022403</x:v>
      </x:c>
      <x:c r="M459" s="10" t="n">
        <x:f>K459*'Assumptions'!$V$97</x:f>
        <x:v>0</x:v>
      </x:c>
      <x:c r="N459" s="10" t="n">
        <x:f>K459-L459-M459</x:f>
        <x:v>26689.320414005768</x:v>
      </x:c>
      <x:c r="O459" s="10" t="n">
        <x:f>H459*'Assumptions'!$P$97*'Assumptions'!$Q$97*'Assumptions'!$D$11*(1+'Assumptions'!$D$13)^(4-1)</x:f>
        <x:v>524.6663126880002</x:v>
      </x:c>
      <x:c r="P459" s="10" t="n">
        <x:f>H459*'Assumptions'!$R$97*'Assumptions'!$D$11*(1+'Assumptions'!$D$13)^(4-1)</x:f>
        <x:v>1199.2372861440003</x:v>
      </x:c>
      <x:c r="Q459" s="10" t="n">
        <x:f>J459*'Assumptions'!$S$97</x:f>
        <x:v>17884.596153715207</x:v>
      </x:c>
      <x:c r="R459" s="10" t="n">
        <x:f>H459*'Assumptions'!$Y$97*'Assumptions'!$Z$97*'Assumptions'!$D$11*(1+'Assumptions'!$D$13)^(4-1)</x:f>
        <x:v>899.4279646080001</x:v>
      </x:c>
      <x:c r="S459" s="10" t="n">
        <x:f>IF(I459=0,0,J459*'Assumptions'!$W$97+H459*'Assumptions'!$X$97)</x:f>
        <x:v>839.0833360888323</x:v>
      </x:c>
      <x:c r="T459" s="10" t="n">
        <x:f>N459*'Assumptions'!$AA$97</x:f>
        <x:v>1067.5728165602306</x:v>
      </x:c>
      <x:c r="U459" s="10" t="n">
        <x:f>'Assumptions'!$AE$97*'Assumptions'!$D$11*(1+'Assumptions'!$D$13)^(4-1)</x:f>
        <x:v>0</x:v>
      </x:c>
      <x:c r="V459" s="10" t="n">
        <x:f>0</x:f>
        <x:v>0</x:v>
      </x:c>
      <x:c r="W459" s="10" t="n">
        <x:f>H459*('Assumptions'!$P$97+'Assumptions'!$Y$97)</x:f>
        <x:v>41.155200000000015</x:v>
      </x:c>
      <x:c r="X459" s="10" t="n">
        <x:f>N459/12*'Assumptions'!$AF$97</x:f>
        <x:v>0</x:v>
      </x:c>
      <x:c r="Y459" s="10" t="n">
        <x:f>P459/12</x:f>
        <x:v>99.93644051200003</x:v>
      </x:c>
      <x:c r="Z459" s="10" t="n">
        <x:f>0</x:f>
        <x:v>0</x:v>
      </x:c>
      <x:c r="AA459" s="10" t="n">
        <x:f>Z459*'Assumptions'!$AC$97*'Assumptions'!$D$11*(1+'Assumptions'!$D$13)^(4-1)</x:f>
        <x:v>0</x:v>
      </x:c>
      <x:c r="AB459" s="10" t="n">
        <x:f>F459/1</x:f>
        <x:v>63.88800000000002</x:v>
      </x:c>
      <x:c r="AC459" s="10" t="n">
        <x:f>AB459/'Assumptions'!$AM$97</x:f>
        <x:v>425.92000000000013</x:v>
      </x:c>
      <x:c r="AD459" s="10" t="n">
        <x:f>IF(AB459=0,0,T459/AB459)</x:f>
        <x:v>16.71006787753929</x:v>
      </x:c>
      <x:c r="AE459" s="10" t="n">
        <x:f>AA459*'Assumptions'!$D$21</x:f>
        <x:v>0</x:v>
      </x:c>
    </x:row>
    <x:row r="460" ht="16" customHeight="1">
      <x:c r="A460" s="1"/>
      <x:c r="B460" s="1"/>
      <x:c r="C460" s="1" t="str">
        <x:v>DOT-069</x:v>
      </x:c>
      <x:c r="D460" s="10" t="str">
        <x:v>S’otality cleaning</x:v>
      </x:c>
      <x:c r="E460" s="10" t="n">
        <x:v>4</x:v>
      </x:c>
      <x:c r="F460" s="21" t="n">
        <x:f>F332*(1+'Assumptions'!$L$98)</x:f>
        <x:v>21.296000000000006</x:v>
      </x:c>
      <x:c r="G460" s="21" t="n">
        <x:f>H332*'Assumptions'!$K$98</x:f>
        <x:v>24.432</x:v>
      </x:c>
      <x:c r="H460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460+G460,NA())</x:f>
        <x:v>45.72800000000001</x:v>
      </x:c>
      <x:c r="I460" s="22" t="n">
        <x:f>'Assumptions'!$H$98*IF('Assumptions'!$O$98=1,1,'Assumptions'!$D$10)*(1+'Assumptions'!$N$98)^(4-1)</x:f>
        <x:v>317.30119200000007</x:v>
      </x:c>
      <x:c r="J460" s="10" t="n">
        <x:f>H460*I460</x:f>
        <x:v>14509.548907776007</x:v>
      </x:c>
      <x:c r="K460" s="10" t="n">
        <x:f>J460*'Assumptions'!$T$98</x:f>
        <x:v>14509.548907776007</x:v>
      </x:c>
      <x:c r="L460" s="10" t="n">
        <x:f>K460*'Assumptions'!$U$98</x:f>
        <x:v>435.2864672332802</x:v>
      </x:c>
      <x:c r="M460" s="10" t="n">
        <x:f>K460*'Assumptions'!$V$98</x:f>
        <x:v>0</x:v>
      </x:c>
      <x:c r="N460" s="10" t="n">
        <x:f>K460-L460-M460</x:f>
        <x:v>14074.262440542727</x:v>
      </x:c>
      <x:c r="O460" s="10" t="n">
        <x:f>H460*'Assumptions'!$P$98*'Assumptions'!$Q$98*'Assumptions'!$D$11*(1+'Assumptions'!$D$13)^(4-1)</x:f>
        <x:v>174.88877089600004</x:v>
      </x:c>
      <x:c r="P460" s="10" t="n">
        <x:f>H460*'Assumptions'!$R$98*'Assumptions'!$D$11*(1+'Assumptions'!$D$13)^(4-1)</x:f>
        <x:v>399.7457620480001</x:v>
      </x:c>
      <x:c r="Q460" s="10" t="n">
        <x:f>J460*'Assumptions'!$S$98</x:f>
        <x:v>9431.206790054404</x:v>
      </x:c>
      <x:c r="R460" s="10" t="n">
        <x:f>H460*'Assumptions'!$Y$98*'Assumptions'!$Z$98*'Assumptions'!$D$11*(1+'Assumptions'!$D$13)^(4-1)</x:f>
        <x:v>299.8093215360001</x:v>
      </x:c>
      <x:c r="S460" s="10" t="n">
        <x:f>IF(I460=0,0,J460*'Assumptions'!$W$98+H460*'Assumptions'!$X$98)</x:f>
        <x:v>434.4953183255042</x:v>
      </x:c>
      <x:c r="T460" s="10" t="n">
        <x:f>N460*'Assumptions'!$AA$98</x:f>
        <x:v>562.9704976217091</x:v>
      </x:c>
      <x:c r="U460" s="10" t="n">
        <x:f>'Assumptions'!$AE$98*'Assumptions'!$D$11*(1+'Assumptions'!$D$13)^(4-1)</x:f>
        <x:v>0</x:v>
      </x:c>
      <x:c r="V460" s="10" t="n">
        <x:f>0</x:f>
        <x:v>0</x:v>
      </x:c>
      <x:c r="W460" s="10" t="n">
        <x:f>H460*('Assumptions'!$P$98+'Assumptions'!$Y$98)</x:f>
        <x:v>13.718400000000004</x:v>
      </x:c>
      <x:c r="X460" s="10" t="n">
        <x:f>N460/12*'Assumptions'!$AF$98</x:f>
        <x:v>0</x:v>
      </x:c>
      <x:c r="Y460" s="10" t="n">
        <x:f>P460/12</x:f>
        <x:v>33.31214683733334</x:v>
      </x:c>
      <x:c r="Z460" s="10" t="n">
        <x:f>0</x:f>
        <x:v>0</x:v>
      </x:c>
      <x:c r="AA460" s="10" t="n">
        <x:f>Z460*'Assumptions'!$AC$98*'Assumptions'!$D$11*(1+'Assumptions'!$D$13)^(4-1)</x:f>
        <x:v>0</x:v>
      </x:c>
      <x:c r="AB460" s="10" t="n">
        <x:f>F460/1</x:f>
        <x:v>21.296000000000006</x:v>
      </x:c>
      <x:c r="AC460" s="10" t="n">
        <x:f>AB460/'Assumptions'!$AM$98</x:f>
        <x:v>141.9733333333334</x:v>
      </x:c>
      <x:c r="AD460" s="10" t="n">
        <x:f>IF(AB460=0,0,T460/AB460)</x:f>
        <x:v>26.435504208382277</x:v>
      </x:c>
      <x:c r="AE460" s="10" t="n">
        <x:f>AA460*'Assumptions'!$D$21</x:f>
        <x:v>0</x:v>
      </x:c>
    </x:row>
    <x:row r="461" ht="16" customHeight="1">
      <x:c r="A461" s="1"/>
      <x:c r="B461" s="1"/>
      <x:c r="C461" s="1" t="str">
        <x:v>DOT-070</x:v>
      </x:c>
      <x:c r="D461" s="10" t="str">
        <x:v>S’otality laundry</x:v>
      </x:c>
      <x:c r="E461" s="10" t="n">
        <x:v>4</x:v>
      </x:c>
      <x:c r="F461" s="21" t="n">
        <x:f>F333*(1+'Assumptions'!$L$99)</x:f>
        <x:v>191.66400000000002</x:v>
      </x:c>
      <x:c r="G461" s="21" t="n">
        <x:f>H333*'Assumptions'!$K$99</x:f>
        <x:v>219.888</x:v>
      </x:c>
      <x:c r="H461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461+G461,NA())</x:f>
        <x:v>411.552</x:v>
      </x:c>
      <x:c r="I461" s="22" t="n">
        <x:f>'Assumptions'!$H$99*IF('Assumptions'!$O$99=1,1,'Assumptions'!$D$10)*(1+'Assumptions'!$N$99)^(4-1)</x:f>
        <x:v>63.67248000000001</x:v>
      </x:c>
      <x:c r="J461" s="10" t="n">
        <x:f>H461*I461</x:f>
        <x:v>26204.536488960006</x:v>
      </x:c>
      <x:c r="K461" s="10" t="n">
        <x:f>J461*'Assumptions'!$T$99</x:f>
        <x:v>26204.536488960006</x:v>
      </x:c>
      <x:c r="L461" s="10" t="n">
        <x:f>K461*'Assumptions'!$U$99</x:f>
        <x:v>786.1360946688002</x:v>
      </x:c>
      <x:c r="M461" s="10" t="n">
        <x:f>K461*'Assumptions'!$V$99</x:f>
        <x:v>0</x:v>
      </x:c>
      <x:c r="N461" s="10" t="n">
        <x:f>K461-L461-M461</x:f>
        <x:v>25418.400394291206</x:v>
      </x:c>
      <x:c r="O461" s="10" t="n">
        <x:f>H461*'Assumptions'!$P$99*'Assumptions'!$Q$99*'Assumptions'!$D$11*(1+'Assumptions'!$D$13)^(4-1)</x:f>
        <x:v>1573.9989380640002</x:v>
      </x:c>
      <x:c r="P461" s="10" t="n">
        <x:f>H461*'Assumptions'!$R$99*'Assumptions'!$D$11*(1+'Assumptions'!$D$13)^(4-1)</x:f>
        <x:v>0</x:v>
      </x:c>
      <x:c r="Q461" s="10" t="n">
        <x:f>J461*'Assumptions'!$S$99</x:f>
        <x:v>17032.948717824005</x:v>
      </x:c>
      <x:c r="R461" s="10" t="n">
        <x:f>H461*'Assumptions'!$Y$99*'Assumptions'!$Z$99*'Assumptions'!$D$11*(1+'Assumptions'!$D$13)^(4-1)</x:f>
        <x:v>2698.283893824</x:v>
      </x:c>
      <x:c r="S461" s="10" t="n">
        <x:f>IF(I461=0,0,J461*'Assumptions'!$W$99+H461*'Assumptions'!$X$99)</x:f>
        <x:v>883.3971581798402</x:v>
      </x:c>
      <x:c r="T461" s="10" t="n">
        <x:f>N461*'Assumptions'!$AA$99</x:f>
        <x:v>1016.7360157716482</x:v>
      </x:c>
      <x:c r="U461" s="10" t="n">
        <x:f>'Assumptions'!$AE$99*'Assumptions'!$D$11*(1+'Assumptions'!$D$13)^(4-1)</x:f>
        <x:v>0</x:v>
      </x:c>
      <x:c r="V461" s="10" t="n">
        <x:f>0</x:f>
        <x:v>0</x:v>
      </x:c>
      <x:c r="W461" s="10" t="n">
        <x:f>H461*('Assumptions'!$P$99+'Assumptions'!$Y$99)</x:f>
        <x:v>123.46560000000002</x:v>
      </x:c>
      <x:c r="X461" s="10" t="n">
        <x:f>N461/12*'Assumptions'!$AF$99</x:f>
        <x:v>0</x:v>
      </x:c>
      <x:c r="Y461" s="10" t="n">
        <x:f>P461/12</x:f>
        <x:v>0</x:v>
      </x:c>
      <x:c r="Z461" s="10" t="n">
        <x:f>0</x:f>
        <x:v>0</x:v>
      </x:c>
      <x:c r="AA461" s="10" t="n">
        <x:f>Z461*'Assumptions'!$AC$99*'Assumptions'!$D$11*(1+'Assumptions'!$D$13)^(4-1)</x:f>
        <x:v>0</x:v>
      </x:c>
      <x:c r="AB461" s="10" t="n">
        <x:f>F461/1</x:f>
        <x:v>191.66400000000002</x:v>
      </x:c>
      <x:c r="AC461" s="10" t="n">
        <x:f>AB461/'Assumptions'!$AM$99</x:f>
        <x:v>1277.7600000000002</x:v>
      </x:c>
      <x:c r="AD461" s="10" t="n">
        <x:f>IF(AB461=0,0,T461/AB461)</x:f>
        <x:v>5.304783453187079</x:v>
      </x:c>
      <x:c r="AE461" s="10" t="n">
        <x:f>AA461*'Assumptions'!$D$21</x:f>
        <x:v>0</x:v>
      </x:c>
    </x:row>
    <x:row r="462" ht="16" customHeight="1">
      <x:c r="A462" s="1"/>
      <x:c r="B462" s="1"/>
      <x:c r="C462" s="1" t="str">
        <x:v>DOT-071</x:v>
      </x:c>
      <x:c r="D462" s="10" t="str">
        <x:v>S’otality Personal Chef</x:v>
      </x:c>
      <x:c r="E462" s="10" t="n">
        <x:v>4</x:v>
      </x:c>
      <x:c r="F462" s="21" t="n">
        <x:f>F334*(1+'Assumptions'!$L$100)</x:f>
        <x:v>31.94400000000001</x:v>
      </x:c>
      <x:c r="G462" s="21" t="n">
        <x:f>H334*'Assumptions'!$K$100</x:f>
        <x:v>33.408</x:v>
      </x:c>
      <x:c r="H462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462+G462,NA())</x:f>
        <x:v>65.352</x:v>
      </x:c>
      <x:c r="I462" s="22" t="n">
        <x:f>'Assumptions'!$H$100*IF('Assumptions'!$O$100=1,1,'Assumptions'!$D$10)*(1+'Assumptions'!$N$100)^(4-1)</x:f>
        <x:v>689.7852000000001</x:v>
      </x:c>
      <x:c r="J462" s="10" t="n">
        <x:f>H462*I462</x:f>
        <x:v>45078.842390400016</x:v>
      </x:c>
      <x:c r="K462" s="10" t="n">
        <x:f>J462*'Assumptions'!$T$100</x:f>
        <x:v>45078.842390400016</x:v>
      </x:c>
      <x:c r="L462" s="10" t="n">
        <x:f>K462*'Assumptions'!$U$100</x:f>
        <x:v>1352.3652717120003</x:v>
      </x:c>
      <x:c r="M462" s="10" t="n">
        <x:f>K462*'Assumptions'!$V$100</x:f>
        <x:v>0</x:v>
      </x:c>
      <x:c r="N462" s="10" t="n">
        <x:f>K462-L462-M462</x:f>
        <x:v>43726.47711868802</x:v>
      </x:c>
      <x:c r="O462" s="10" t="n">
        <x:f>H462*'Assumptions'!$P$100*'Assumptions'!$Q$100*'Assumptions'!$D$11*(1+'Assumptions'!$D$13)^(4-1)</x:f>
        <x:v>1428.23789808</x:v>
      </x:c>
      <x:c r="P462" s="10" t="n">
        <x:f>H462*'Assumptions'!$R$100*'Assumptions'!$D$11*(1+'Assumptions'!$D$13)^(4-1)</x:f>
        <x:v>7141.189490400001</x:v>
      </x:c>
      <x:c r="Q462" s="10" t="n">
        <x:f>J462*'Assumptions'!$S$100</x:f>
        <x:v>22539.421195200008</x:v>
      </x:c>
      <x:c r="R462" s="10" t="n">
        <x:f>H462*'Assumptions'!$Y$100*'Assumptions'!$Z$100*'Assumptions'!$D$11*(1+'Assumptions'!$D$13)^(4-1)</x:f>
        <x:v>428.47136942400005</x:v>
      </x:c>
      <x:c r="S462" s="10" t="n">
        <x:f>IF(I462=0,0,J462*'Assumptions'!$W$100+H462*'Assumptions'!$X$100)</x:f>
        <x:v>1326.8920293216006</x:v>
      </x:c>
      <x:c r="T462" s="10" t="n">
        <x:f>N462*'Assumptions'!$AA$100</x:f>
        <x:v>1749.0590847475207</x:v>
      </x:c>
      <x:c r="U462" s="10" t="n">
        <x:f>'Assumptions'!$AE$100*'Assumptions'!$D$11*(1+'Assumptions'!$D$13)^(4-1)</x:f>
        <x:v>0</x:v>
      </x:c>
      <x:c r="V462" s="10" t="n">
        <x:f>0</x:f>
        <x:v>0</x:v>
      </x:c>
      <x:c r="W462" s="10" t="n">
        <x:f>H462*('Assumptions'!$P$100+'Assumptions'!$Y$100)</x:f>
        <x:v>45.7464</x:v>
      </x:c>
      <x:c r="X462" s="10" t="n">
        <x:f>N462/12*'Assumptions'!$AF$100</x:f>
        <x:v>0</x:v>
      </x:c>
      <x:c r="Y462" s="10" t="n">
        <x:f>P462/12</x:f>
        <x:v>595.0991242000001</x:v>
      </x:c>
      <x:c r="Z462" s="10" t="n">
        <x:f>0</x:f>
        <x:v>0</x:v>
      </x:c>
      <x:c r="AA462" s="10" t="n">
        <x:f>Z462*'Assumptions'!$AC$100*'Assumptions'!$D$11*(1+'Assumptions'!$D$13)^(4-1)</x:f>
        <x:v>0</x:v>
      </x:c>
      <x:c r="AB462" s="10" t="n">
        <x:f>F462/1</x:f>
        <x:v>31.94400000000001</x:v>
      </x:c>
      <x:c r="AC462" s="10" t="n">
        <x:f>AB462/'Assumptions'!$AM$100</x:f>
        <x:v>212.96000000000006</x:v>
      </x:c>
      <x:c r="AD462" s="10" t="n">
        <x:f>IF(AB462=0,0,T462/AB462)</x:f>
        <x:v>54.75391575092412</x:v>
      </x:c>
      <x:c r="AE462" s="10" t="n">
        <x:f>AA462*'Assumptions'!$D$21</x:f>
        <x:v>0</x:v>
      </x:c>
    </x:row>
    <x:row r="463" ht="16" customHeight="1">
      <x:c r="A463" s="1"/>
      <x:c r="B463" s="1"/>
      <x:c r="C463" s="1" t="str">
        <x:v>DOT-072</x:v>
      </x:c>
      <x:c r="D463" s="10" t="str">
        <x:v>S’otality interiors</x:v>
      </x:c>
      <x:c r="E463" s="10" t="n">
        <x:v>4</x:v>
      </x:c>
      <x:c r="F463" s="21" t="n">
        <x:f>F335*(1+'Assumptions'!$L$101)</x:f>
        <x:v>11.979000000000001</x:v>
      </x:c>
      <x:c r="G463" s="21" t="n">
        <x:f>H335*'Assumptions'!$K$101</x:f>
        <x:v>9.6075</x:v>
      </x:c>
      <x:c r="H463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463+G463,NA())</x:f>
        <x:v>21.5865</x:v>
      </x:c>
      <x:c r="I463" s="22" t="n">
        <x:f>'Assumptions'!$H$101*IF('Assumptions'!$O$101=1,1,'Assumptions'!$D$10)*(1+'Assumptions'!$N$101)^(4-1)</x:f>
        <x:v>1591.8120000000001</x:v>
      </x:c>
      <x:c r="J463" s="10" t="n">
        <x:f>H463*I463</x:f>
        <x:v>34361.64973800001</x:v>
      </x:c>
      <x:c r="K463" s="10" t="n">
        <x:f>J463*'Assumptions'!$T$101</x:f>
        <x:v>34361.64973800001</x:v>
      </x:c>
      <x:c r="L463" s="10" t="n">
        <x:f>K463*'Assumptions'!$U$101</x:f>
        <x:v>1030.8494921400002</x:v>
      </x:c>
      <x:c r="M463" s="10" t="n">
        <x:f>K463*'Assumptions'!$V$101</x:f>
        <x:v>0</x:v>
      </x:c>
      <x:c r="N463" s="10" t="n">
        <x:f>K463-L463-M463</x:f>
        <x:v>33330.80024586001</x:v>
      </x:c>
      <x:c r="O463" s="10" t="n">
        <x:f>H463*'Assumptions'!$P$101*'Assumptions'!$Q$101*'Assumptions'!$D$11*(1+'Assumptions'!$D$13)^(4-1)</x:f>
        <x:v>12973.483262025002</x:v>
      </x:c>
      <x:c r="P463" s="10" t="n">
        <x:f>H463*'Assumptions'!$R$101*'Assumptions'!$D$11*(1+'Assumptions'!$D$13)^(4-1)</x:f>
        <x:v>1179.407569275</x:v>
      </x:c>
      <x:c r="Q463" s="10" t="n">
        <x:f>J463*'Assumptions'!$S$101</x:f>
        <x:v>0</x:v>
      </x:c>
      <x:c r="R463" s="10" t="n">
        <x:f>H463*'Assumptions'!$Y$101*'Assumptions'!$Z$101*'Assumptions'!$D$11*(1+'Assumptions'!$D$13)^(4-1)</x:f>
        <x:v>176.91113539125</x:v>
      </x:c>
      <x:c r="S463" s="10" t="n">
        <x:f>IF(I463=0,0,J463*'Assumptions'!$W$101+H463*'Assumptions'!$X$101)</x:f>
        <x:v>1002.9637924020003</x:v>
      </x:c>
      <x:c r="T463" s="10" t="n">
        <x:f>N463*'Assumptions'!$AA$101</x:f>
        <x:v>1333.2320098344005</x:v>
      </x:c>
      <x:c r="U463" s="10" t="n">
        <x:f>'Assumptions'!$AE$101*'Assumptions'!$D$11*(1+'Assumptions'!$D$13)^(4-1)</x:f>
        <x:v>0</x:v>
      </x:c>
      <x:c r="V463" s="10" t="n">
        <x:f>0</x:f>
        <x:v>0</x:v>
      </x:c>
      <x:c r="W463" s="10" t="n">
        <x:f>H463*('Assumptions'!$P$101+'Assumptions'!$Y$101)</x:f>
        <x:v>221.261625</x:v>
      </x:c>
      <x:c r="X463" s="10" t="n">
        <x:f>N463/12*'Assumptions'!$AF$101</x:f>
        <x:v>2777.5666871550006</x:v>
      </x:c>
      <x:c r="Y463" s="10" t="n">
        <x:f>P463/12</x:f>
        <x:v>98.28396410625</x:v>
      </x:c>
      <x:c r="Z463" s="10" t="n">
        <x:f>0</x:f>
        <x:v>0</x:v>
      </x:c>
      <x:c r="AA463" s="10" t="n">
        <x:f>Z463*'Assumptions'!$AC$101*'Assumptions'!$D$11*(1+'Assumptions'!$D$13)^(4-1)</x:f>
        <x:v>0</x:v>
      </x:c>
      <x:c r="AB463" s="10" t="n">
        <x:f>F463/1</x:f>
        <x:v>11.979000000000001</x:v>
      </x:c>
      <x:c r="AC463" s="10" t="n">
        <x:f>AB463/'Assumptions'!$AM$101</x:f>
        <x:v>59.895</x:v>
      </x:c>
      <x:c r="AD463" s="10" t="n">
        <x:f>IF(AB463=0,0,T463/AB463)</x:f>
        <x:v>111.29743800270477</x:v>
      </x:c>
      <x:c r="AE463" s="10" t="n">
        <x:f>AA463*'Assumptions'!$D$21</x:f>
        <x:v>0</x:v>
      </x:c>
    </x:row>
    <x:row r="464" ht="16" customHeight="1">
      <x:c r="A464" s="1"/>
      <x:c r="B464" s="1"/>
      <x:c r="C464" s="1" t="str">
        <x:v>DOT-073</x:v>
      </x:c>
      <x:c r="D464" s="10" t="str">
        <x:v>S’otality interiors</x:v>
      </x:c>
      <x:c r="E464" s="10" t="n">
        <x:v>4</x:v>
      </x:c>
      <x:c r="F464" s="21" t="n">
        <x:f>F336*(1+'Assumptions'!$L$102)</x:f>
        <x:v>31.94400000000001</x:v>
      </x:c>
      <x:c r="G464" s="21" t="n">
        <x:f>H336*'Assumptions'!$K$102</x:f>
        <x:v>36.648</x:v>
      </x:c>
      <x:c r="H464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464+G464,NA())</x:f>
        <x:v>68.59200000000001</x:v>
      </x:c>
      <x:c r="I464" s="22" t="n">
        <x:f>'Assumptions'!$H$102*IF('Assumptions'!$O$102=1,1,'Assumptions'!$D$10)*(1+'Assumptions'!$N$102)^(4-1)</x:f>
        <x:v>318.36240000000004</x:v>
      </x:c>
      <x:c r="J464" s="10" t="n">
        <x:f>H464*I464</x:f>
        <x:v>21837.113740800007</x:v>
      </x:c>
      <x:c r="K464" s="10" t="n">
        <x:f>J464*'Assumptions'!$T$102</x:f>
        <x:v>21837.113740800007</x:v>
      </x:c>
      <x:c r="L464" s="10" t="n">
        <x:f>K464*'Assumptions'!$U$102</x:f>
        <x:v>655.1134122240002</x:v>
      </x:c>
      <x:c r="M464" s="10" t="n">
        <x:f>K464*'Assumptions'!$V$102</x:f>
        <x:v>0</x:v>
      </x:c>
      <x:c r="N464" s="10" t="n">
        <x:f>K464-L464-M464</x:f>
        <x:v>21182.000328576007</x:v>
      </x:c>
      <x:c r="O464" s="10" t="n">
        <x:f>H464*'Assumptions'!$P$102*'Assumptions'!$Q$102*'Assumptions'!$D$11*(1+'Assumptions'!$D$13)^(4-1)</x:f>
        <x:v>655.83289086</x:v>
      </x:c>
      <x:c r="P464" s="10" t="n">
        <x:f>H464*'Assumptions'!$R$102*'Assumptions'!$D$11*(1+'Assumptions'!$D$13)^(4-1)</x:f>
        <x:v>0</x:v>
      </x:c>
      <x:c r="Q464" s="10" t="n">
        <x:f>J464*'Assumptions'!$S$102</x:f>
        <x:v>13102.268244480003</x:v>
      </x:c>
      <x:c r="R464" s="10" t="n">
        <x:f>H464*'Assumptions'!$Y$102*'Assumptions'!$Z$102*'Assumptions'!$D$11*(1+'Assumptions'!$D$13)^(4-1)</x:f>
        <x:v>449.71398230400007</x:v>
      </x:c>
      <x:c r="S464" s="10" t="n">
        <x:f>IF(I464=0,0,J464*'Assumptions'!$W$102+H464*'Assumptions'!$X$102)</x:f>
        <x:v>653.8538984832002</x:v>
      </x:c>
      <x:c r="T464" s="10" t="n">
        <x:f>N464*'Assumptions'!$AA$102</x:f>
        <x:v>847.2800131430403</x:v>
      </x:c>
      <x:c r="U464" s="10" t="n">
        <x:f>'Assumptions'!$AE$102*'Assumptions'!$D$11*(1+'Assumptions'!$D$13)^(4-1)</x:f>
        <x:v>0</x:v>
      </x:c>
      <x:c r="V464" s="10" t="n">
        <x:f>0</x:f>
        <x:v>0</x:v>
      </x:c>
      <x:c r="W464" s="10" t="n">
        <x:f>H464*('Assumptions'!$P$102+'Assumptions'!$Y$102)</x:f>
        <x:v>30.866400000000006</x:v>
      </x:c>
      <x:c r="X464" s="10" t="n">
        <x:f>N464/12*'Assumptions'!$AF$102</x:f>
        <x:v>0</x:v>
      </x:c>
      <x:c r="Y464" s="10" t="n">
        <x:f>P464/12</x:f>
        <x:v>0</x:v>
      </x:c>
      <x:c r="Z464" s="10" t="n">
        <x:f>0</x:f>
        <x:v>0</x:v>
      </x:c>
      <x:c r="AA464" s="10" t="n">
        <x:f>Z464*'Assumptions'!$AC$102*'Assumptions'!$D$11*(1+'Assumptions'!$D$13)^(4-1)</x:f>
        <x:v>0</x:v>
      </x:c>
      <x:c r="AB464" s="10" t="n">
        <x:f>F464/1</x:f>
        <x:v>31.94400000000001</x:v>
      </x:c>
      <x:c r="AC464" s="10" t="n">
        <x:f>AB464/'Assumptions'!$AM$102</x:f>
        <x:v>212.96000000000006</x:v>
      </x:c>
      <x:c r="AD464" s="10" t="n">
        <x:f>IF(AB464=0,0,T464/AB464)</x:f>
        <x:v>26.52391726593539</x:v>
      </x:c>
      <x:c r="AE464" s="10" t="n">
        <x:f>AA464*'Assumptions'!$D$21</x:f>
        <x:v>0</x:v>
      </x:c>
    </x:row>
    <x:row r="465" ht="16" customHeight="1">
      <x:c r="A465" s="1"/>
      <x:c r="B465" s="1"/>
      <x:c r="C465" s="1" t="str">
        <x:v>DOT-074</x:v>
      </x:c>
      <x:c r="D465" s="10" t="str">
        <x:v>S’otality interiors</x:v>
      </x:c>
      <x:c r="E465" s="10" t="n">
        <x:v>4</x:v>
      </x:c>
      <x:c r="F465" s="21" t="n">
        <x:f>F337*(1+'Assumptions'!$L$103)</x:f>
        <x:v>12.4416</x:v>
      </x:c>
      <x:c r="G465" s="21" t="n">
        <x:f>H337*'Assumptions'!$K$103</x:f>
        <x:v>17.6652</x:v>
      </x:c>
      <x:c r="H465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465+G465,NA())</x:f>
        <x:v>30.1068</x:v>
      </x:c>
      <x:c r="I465" s="22" t="n">
        <x:f>'Assumptions'!$H$103*IF('Assumptions'!$O$103=1,1,'Assumptions'!$D$10)*(1+'Assumptions'!$N$103)^(4-1)</x:f>
        <x:v>1591.8120000000001</x:v>
      </x:c>
      <x:c r="J465" s="10" t="n">
        <x:f>H465*I465</x:f>
        <x:v>47924.365521600004</x:v>
      </x:c>
      <x:c r="K465" s="10" t="n">
        <x:f>J465*'Assumptions'!$T$103</x:f>
        <x:v>4792.43655216</x:v>
      </x:c>
      <x:c r="L465" s="10" t="n">
        <x:f>K465*'Assumptions'!$U$103</x:f>
        <x:v>143.7730965648</x:v>
      </x:c>
      <x:c r="M465" s="10" t="n">
        <x:f>K465*'Assumptions'!$V$103</x:f>
        <x:v>0</x:v>
      </x:c>
      <x:c r="N465" s="10" t="n">
        <x:f>K465-L465-M465</x:f>
        <x:v>4648.6634555952005</x:v>
      </x:c>
      <x:c r="O465" s="10" t="n">
        <x:f>H465*'Assumptions'!$P$103*'Assumptions'!$Q$103*'Assumptions'!$D$11*(1+'Assumptions'!$D$13)^(4-1)</x:f>
        <x:v>1315.9405297439998</x:v>
      </x:c>
      <x:c r="P465" s="10" t="n">
        <x:f>H465*'Assumptions'!$R$103*'Assumptions'!$D$11*(1+'Assumptions'!$D$13)^(4-1)</x:f>
        <x:v>0</x:v>
      </x:c>
      <x:c r="Q465" s="10" t="n">
        <x:f>J465*'Assumptions'!$S$103</x:f>
        <x:v>0</x:v>
      </x:c>
      <x:c r="R465" s="10" t="n">
        <x:f>H465*'Assumptions'!$Y$103*'Assumptions'!$Z$103*'Assumptions'!$D$11*(1+'Assumptions'!$D$13)^(4-1)</x:f>
        <x:v>148.0433095962</x:v>
      </x:c>
      <x:c r="S465" s="10" t="n">
        <x:f>IF(I465=0,0,J465*'Assumptions'!$W$103+H465*'Assumptions'!$X$103)</x:f>
        <x:v>1398.8386401264002</x:v>
      </x:c>
      <x:c r="T465" s="10" t="n">
        <x:f>N465*'Assumptions'!$AA$103</x:f>
        <x:v>232.43317277976004</x:v>
      </x:c>
      <x:c r="U465" s="10" t="n">
        <x:f>'Assumptions'!$AE$103*'Assumptions'!$D$11*(1+'Assumptions'!$D$13)^(4-1)</x:f>
        <x:v>0</x:v>
      </x:c>
      <x:c r="V465" s="10" t="n">
        <x:f>0</x:f>
        <x:v>0</x:v>
      </x:c>
      <x:c r="W465" s="10" t="n">
        <x:f>H465*('Assumptions'!$P$103+'Assumptions'!$Y$103)</x:f>
        <x:v>34.62282</x:v>
      </x:c>
      <x:c r="X465" s="10" t="n">
        <x:f>N465/12*'Assumptions'!$AF$103</x:f>
        <x:v>0</x:v>
      </x:c>
      <x:c r="Y465" s="10" t="n">
        <x:f>P465/12</x:f>
        <x:v>0</x:v>
      </x:c>
      <x:c r="Z465" s="10" t="n">
        <x:f>0</x:f>
        <x:v>0</x:v>
      </x:c>
      <x:c r="AA465" s="10" t="n">
        <x:f>Z465*'Assumptions'!$AC$103*'Assumptions'!$D$11*(1+'Assumptions'!$D$13)^(4-1)</x:f>
        <x:v>0</x:v>
      </x:c>
      <x:c r="AB465" s="10" t="n">
        <x:f>F465/1</x:f>
        <x:v>12.4416</x:v>
      </x:c>
      <x:c r="AC465" s="10" t="n">
        <x:f>AB465/'Assumptions'!$AM$103</x:f>
        <x:v>248.83199999999997</x:v>
      </x:c>
      <x:c r="AD465" s="10" t="n">
        <x:f>IF(AB465=0,0,T465/AB465)</x:f>
        <x:v>18.681935826562505</x:v>
      </x:c>
      <x:c r="AE465" s="10" t="n">
        <x:f>AA465*'Assumptions'!$D$21</x:f>
        <x:v>0</x:v>
      </x:c>
    </x:row>
    <x:row r="466" ht="16" customHeight="1">
      <x:c r="A466" s="1"/>
      <x:c r="B466" s="1"/>
      <x:c r="C466" s="1" t="str">
        <x:v>DOT-075</x:v>
      </x:c>
      <x:c r="D466" s="10" t="str">
        <x:v>S’otality concierge</x:v>
      </x:c>
      <x:c r="E466" s="10" t="n">
        <x:v>4</x:v>
      </x:c>
      <x:c r="F466" s="21" t="n">
        <x:f>F338*(1+'Assumptions'!$L$104)</x:f>
        <x:v>159.72000000000003</x:v>
      </x:c>
      <x:c r="G466" s="21" t="n">
        <x:f>H338*'Assumptions'!$K$104</x:f>
        <x:v>128.10000000000002</x:v>
      </x:c>
      <x:c r="H466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466+G466,NA())</x:f>
        <x:v>287.82000000000005</x:v>
      </x:c>
      <x:c r="I466" s="22" t="n">
        <x:f>'Assumptions'!$H$104*IF('Assumptions'!$O$104=1,1,'Assumptions'!$D$10)*(1+'Assumptions'!$N$104)^(4-1)</x:f>
        <x:v>79.59060000000001</x:v>
      </x:c>
      <x:c r="J466" s="10" t="n">
        <x:f>H466*I466</x:f>
        <x:v>22907.766492000006</x:v>
      </x:c>
      <x:c r="K466" s="10" t="n">
        <x:f>J466*'Assumptions'!$T$104</x:f>
        <x:v>22907.766492000006</x:v>
      </x:c>
      <x:c r="L466" s="10" t="n">
        <x:f>K466*'Assumptions'!$U$104</x:f>
        <x:v>687.2329947600001</x:v>
      </x:c>
      <x:c r="M466" s="10" t="n">
        <x:f>K466*'Assumptions'!$V$104</x:f>
        <x:v>0</x:v>
      </x:c>
      <x:c r="N466" s="10" t="n">
        <x:f>K466-L466-M466</x:f>
        <x:v>22220.533497240005</x:v>
      </x:c>
      <x:c r="O466" s="10" t="n">
        <x:f>H466*'Assumptions'!$P$104*'Assumptions'!$Q$104*'Assumptions'!$D$11*(1+'Assumptions'!$D$13)^(4-1)</x:f>
        <x:v>8255.852984925</x:v>
      </x:c>
      <x:c r="P466" s="10" t="n">
        <x:f>H466*'Assumptions'!$R$104*'Assumptions'!$D$11*(1+'Assumptions'!$D$13)^(4-1)</x:f>
        <x:v>0</x:v>
      </x:c>
      <x:c r="Q466" s="10" t="n">
        <x:f>J466*'Assumptions'!$S$104</x:f>
        <x:v>0</x:v>
      </x:c>
      <x:c r="R466" s="10" t="n">
        <x:f>H466*'Assumptions'!$Y$104*'Assumptions'!$Z$104*'Assumptions'!$D$11*(1+'Assumptions'!$D$13)^(4-1)</x:f>
        <x:v>2358.8151385500005</x:v>
      </x:c>
      <x:c r="S466" s="10" t="n">
        <x:f>IF(I466=0,0,J466*'Assumptions'!$W$104+H466*'Assumptions'!$X$104)</x:f>
        <x:v>750.6712282680002</x:v>
      </x:c>
      <x:c r="T466" s="10" t="n">
        <x:f>N466*'Assumptions'!$AA$104</x:f>
        <x:v>888.8213398896003</x:v>
      </x:c>
      <x:c r="U466" s="10" t="n">
        <x:f>'Assumptions'!$AE$104*'Assumptions'!$D$11*(1+'Assumptions'!$D$13)^(4-1)</x:f>
        <x:v>0</x:v>
      </x:c>
      <x:c r="V466" s="10" t="n">
        <x:f>0</x:f>
        <x:v>0</x:v>
      </x:c>
      <x:c r="W466" s="10" t="n">
        <x:f>H466*('Assumptions'!$P$104+'Assumptions'!$Y$104)</x:f>
        <x:v>287.82000000000005</x:v>
      </x:c>
      <x:c r="X466" s="10" t="n">
        <x:f>N466/12*'Assumptions'!$AF$104</x:f>
        <x:v>1851.7111247700004</x:v>
      </x:c>
      <x:c r="Y466" s="10" t="n">
        <x:f>P466/12</x:f>
        <x:v>0</x:v>
      </x:c>
      <x:c r="Z466" s="10" t="n">
        <x:f>0</x:f>
        <x:v>0</x:v>
      </x:c>
      <x:c r="AA466" s="10" t="n">
        <x:f>Z466*'Assumptions'!$AC$104*'Assumptions'!$D$11*(1+'Assumptions'!$D$13)^(4-1)</x:f>
        <x:v>0</x:v>
      </x:c>
      <x:c r="AB466" s="10" t="n">
        <x:f>F466/1</x:f>
        <x:v>159.72000000000003</x:v>
      </x:c>
      <x:c r="AC466" s="10" t="n">
        <x:f>AB466/'Assumptions'!$AM$104</x:f>
        <x:v>798.6000000000001</x:v>
      </x:c>
      <x:c r="AD466" s="10" t="n">
        <x:f>IF(AB466=0,0,T466/AB466)</x:f>
        <x:v>5.564871900135238</x:v>
      </x:c>
      <x:c r="AE466" s="10" t="n">
        <x:f>AA466*'Assumptions'!$D$21</x:f>
        <x:v>0</x:v>
      </x:c>
    </x:row>
    <x:row r="467" ht="16" customHeight="1">
      <x:c r="A467" s="1"/>
      <x:c r="B467" s="1"/>
      <x:c r="C467" s="1" t="str">
        <x:v>DOT-076</x:v>
      </x:c>
      <x:c r="D467" s="10" t="str">
        <x:v>S’otality administration</x:v>
      </x:c>
      <x:c r="E467" s="10" t="n">
        <x:v>4</x:v>
      </x:c>
      <x:c r="F467" s="21" t="n">
        <x:f>F339*(1+'Assumptions'!$L$105)</x:f>
        <x:v>319.44000000000005</x:v>
      </x:c>
      <x:c r="G467" s="21" t="n">
        <x:f>H339*'Assumptions'!$K$105</x:f>
        <x:v>256.20000000000005</x:v>
      </x:c>
      <x:c r="H467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467+G467,NA())</x:f>
        <x:v>575.6400000000001</x:v>
      </x:c>
      <x:c r="I467" s="22" t="n">
        <x:f>'Assumptions'!$H$105*IF('Assumptions'!$O$105=1,1,'Assumptions'!$D$10)*(1+'Assumptions'!$N$105)^(4-1)</x:f>
        <x:v>63.67248000000001</x:v>
      </x:c>
      <x:c r="J467" s="10" t="n">
        <x:f>H467*I467</x:f>
        <x:v>36652.42638720001</x:v>
      </x:c>
      <x:c r="K467" s="10" t="n">
        <x:f>J467*'Assumptions'!$T$105</x:f>
        <x:v>36652.42638720001</x:v>
      </x:c>
      <x:c r="L467" s="10" t="n">
        <x:f>K467*'Assumptions'!$U$105</x:f>
        <x:v>1099.5727916160001</x:v>
      </x:c>
      <x:c r="M467" s="10" t="n">
        <x:f>K467*'Assumptions'!$V$105</x:f>
        <x:v>0</x:v>
      </x:c>
      <x:c r="N467" s="10" t="n">
        <x:f>K467-L467-M467</x:f>
        <x:v>35552.853595584005</x:v>
      </x:c>
      <x:c r="O467" s="10" t="n">
        <x:f>H467*'Assumptions'!$P$105*'Assumptions'!$Q$105*'Assumptions'!$D$11*(1+'Assumptions'!$D$13)^(4-1)</x:f>
        <x:v>18870.521108400004</x:v>
      </x:c>
      <x:c r="P467" s="10" t="n">
        <x:f>H467*'Assumptions'!$R$105*'Assumptions'!$D$11*(1+'Assumptions'!$D$13)^(4-1)</x:f>
        <x:v>0</x:v>
      </x:c>
      <x:c r="Q467" s="10" t="n">
        <x:f>J467*'Assumptions'!$S$105</x:f>
        <x:v>0</x:v>
      </x:c>
      <x:c r="R467" s="10" t="n">
        <x:f>H467*'Assumptions'!$Y$105*'Assumptions'!$Z$105*'Assumptions'!$D$11*(1+'Assumptions'!$D$13)^(4-1)</x:f>
        <x:v>4717.630277100001</x:v>
      </x:c>
      <x:c r="S467" s="10" t="n">
        <x:f>IF(I467=0,0,J467*'Assumptions'!$W$105+H467*'Assumptions'!$X$105)</x:f>
        <x:v>1235.6123652288004</x:v>
      </x:c>
      <x:c r="T467" s="10" t="n">
        <x:f>N467*'Assumptions'!$AA$105</x:f>
        <x:v>1422.1141438233603</x:v>
      </x:c>
      <x:c r="U467" s="10" t="n">
        <x:f>'Assumptions'!$AE$105*'Assumptions'!$D$11*(1+'Assumptions'!$D$13)^(4-1)</x:f>
        <x:v>0</x:v>
      </x:c>
      <x:c r="V467" s="10" t="n">
        <x:f>0</x:f>
        <x:v>0</x:v>
      </x:c>
      <x:c r="W467" s="10" t="n">
        <x:f>H467*('Assumptions'!$P$105+'Assumptions'!$Y$105)</x:f>
        <x:v>719.5500000000002</x:v>
      </x:c>
      <x:c r="X467" s="10" t="n">
        <x:f>N467/12*'Assumptions'!$AF$105</x:f>
        <x:v>2962.7377996320006</x:v>
      </x:c>
      <x:c r="Y467" s="10" t="n">
        <x:f>P467/12</x:f>
        <x:v>0</x:v>
      </x:c>
      <x:c r="Z467" s="10" t="n">
        <x:f>0</x:f>
        <x:v>0</x:v>
      </x:c>
      <x:c r="AA467" s="10" t="n">
        <x:f>Z467*'Assumptions'!$AC$105*'Assumptions'!$D$11*(1+'Assumptions'!$D$13)^(4-1)</x:f>
        <x:v>0</x:v>
      </x:c>
      <x:c r="AB467" s="10" t="n">
        <x:f>F467/1</x:f>
        <x:v>319.44000000000005</x:v>
      </x:c>
      <x:c r="AC467" s="10" t="n">
        <x:f>AB467/'Assumptions'!$AM$105</x:f>
        <x:v>1597.2000000000003</x:v>
      </x:c>
      <x:c r="AD467" s="10" t="n">
        <x:f>IF(AB467=0,0,T467/AB467)</x:f>
        <x:v>4.45189752010819</x:v>
      </x:c>
      <x:c r="AE467" s="10" t="n">
        <x:f>AA467*'Assumptions'!$D$21</x:f>
        <x:v>0</x:v>
      </x:c>
    </x:row>
    <x:row r="468" ht="16" customHeight="1">
      <x:c r="A468" s="1"/>
      <x:c r="B468" s="1"/>
      <x:c r="C468" s="1" t="str">
        <x:v>DOT-077</x:v>
      </x:c>
      <x:c r="D468" s="10" t="str">
        <x:v>S’otality bike tours</x:v>
      </x:c>
      <x:c r="E468" s="10" t="n">
        <x:v>4</x:v>
      </x:c>
      <x:c r="F468" s="21" t="n">
        <x:f>F340*(1+'Assumptions'!$L$106)</x:f>
        <x:v>127.77600000000004</x:v>
      </x:c>
      <x:c r="G468" s="21" t="n">
        <x:f>H340*'Assumptions'!$K$106</x:f>
        <x:v>133.632</x:v>
      </x:c>
      <x:c r="H468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468+G468,NA())</x:f>
        <x:v>261.408</x:v>
      </x:c>
      <x:c r="I468" s="22" t="n">
        <x:f>'Assumptions'!$H$106*IF('Assumptions'!$O$106=1,1,'Assumptions'!$D$10)*(1+'Assumptions'!$N$106)^(4-1)</x:f>
        <x:v>68.97852</x:v>
      </x:c>
      <x:c r="J468" s="10" t="n">
        <x:f>H468*I468</x:f>
        <x:v>18031.536956160002</x:v>
      </x:c>
      <x:c r="K468" s="10" t="n">
        <x:f>J468*'Assumptions'!$T$106</x:f>
        <x:v>18031.536956160002</x:v>
      </x:c>
      <x:c r="L468" s="10" t="n">
        <x:f>K468*'Assumptions'!$U$106</x:f>
        <x:v>540.9461086848</x:v>
      </x:c>
      <x:c r="M468" s="10" t="n">
        <x:f>K468*'Assumptions'!$V$106</x:f>
        <x:v>0</x:v>
      </x:c>
      <x:c r="N468" s="10" t="n">
        <x:f>K468-L468-M468</x:f>
        <x:v>17490.590847475203</x:v>
      </x:c>
      <x:c r="O468" s="10" t="n">
        <x:f>H468*'Assumptions'!$P$106*'Assumptions'!$Q$106*'Assumptions'!$D$11*(1+'Assumptions'!$D$13)^(4-1)</x:f>
        <x:v>1499.6497929839998</x:v>
      </x:c>
      <x:c r="P468" s="10" t="n">
        <x:f>H468*'Assumptions'!$R$106*'Assumptions'!$D$11*(1+'Assumptions'!$D$13)^(4-1)</x:f>
        <x:v>1428.23789808</x:v>
      </x:c>
      <x:c r="Q468" s="10" t="n">
        <x:f>J468*'Assumptions'!$S$106</x:f>
        <x:v>8114.191630272001</x:v>
      </x:c>
      <x:c r="R468" s="10" t="n">
        <x:f>H468*'Assumptions'!$Y$106*'Assumptions'!$Z$106*'Assumptions'!$D$11*(1+'Assumptions'!$D$13)^(4-1)</x:f>
        <x:v>1713.8854776960002</x:v>
      </x:c>
      <x:c r="S468" s="10" t="n">
        <x:f>IF(I468=0,0,J468*'Assumptions'!$W$106+H468*'Assumptions'!$X$106)</x:f>
        <x:v>601.3369717286402</x:v>
      </x:c>
      <x:c r="T468" s="10" t="n">
        <x:f>N468*'Assumptions'!$AA$106</x:f>
        <x:v>699.6236338990082</x:v>
      </x:c>
      <x:c r="U468" s="10" t="n">
        <x:f>'Assumptions'!$AE$106*'Assumptions'!$D$11*(1+'Assumptions'!$D$13)^(4-1)</x:f>
        <x:v>0</x:v>
      </x:c>
      <x:c r="V468" s="10" t="n">
        <x:f>0</x:f>
        <x:v>0</x:v>
      </x:c>
      <x:c r="W468" s="10" t="n">
        <x:f>H468*('Assumptions'!$P$106+'Assumptions'!$Y$106)</x:f>
        <x:v>91.4928</x:v>
      </x:c>
      <x:c r="X468" s="10" t="n">
        <x:f>N468/12*'Assumptions'!$AF$106</x:f>
        <x:v>0</x:v>
      </x:c>
      <x:c r="Y468" s="10" t="n">
        <x:f>P468/12</x:f>
        <x:v>119.01982484</x:v>
      </x:c>
      <x:c r="Z468" s="10" t="n">
        <x:f>0</x:f>
        <x:v>0</x:v>
      </x:c>
      <x:c r="AA468" s="10" t="n">
        <x:f>Z468*'Assumptions'!$AC$106*'Assumptions'!$D$11*(1+'Assumptions'!$D$13)^(4-1)</x:f>
        <x:v>0</x:v>
      </x:c>
      <x:c r="AB468" s="10" t="n">
        <x:f>F468/1</x:f>
        <x:v>127.77600000000004</x:v>
      </x:c>
      <x:c r="AC468" s="10" t="n">
        <x:f>AB468/'Assumptions'!$AM$106</x:f>
        <x:v>851.8400000000003</x:v>
      </x:c>
      <x:c r="AD468" s="10" t="n">
        <x:f>IF(AB468=0,0,T468/AB468)</x:f>
        <x:v>5.475391575092411</x:v>
      </x:c>
      <x:c r="AE468" s="10" t="n">
        <x:f>AA468*'Assumptions'!$D$21</x:f>
        <x:v>0</x:v>
      </x:c>
    </x:row>
    <x:row r="469" ht="16" customHeight="1">
      <x:c r="A469" s="1"/>
      <x:c r="B469" s="1"/>
      <x:c r="C469" s="1" t="str">
        <x:v>DOT-078</x:v>
      </x:c>
      <x:c r="D469" s="10" t="str">
        <x:v>S’otality editorial</x:v>
      </x:c>
      <x:c r="E469" s="10" t="n">
        <x:v>4</x:v>
      </x:c>
      <x:c r="F469" s="21" t="n">
        <x:f>F341*(1+'Assumptions'!$L$107)</x:f>
        <x:v>10.381800000000004</x:v>
      </x:c>
      <x:c r="G469" s="21" t="n">
        <x:f>H341*'Assumptions'!$K$107</x:f>
        <x:v>4.6116</x:v>
      </x:c>
      <x:c r="H469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469+G469,NA())</x:f>
        <x:v>14.993400000000005</x:v>
      </x:c>
      <x:c r="I469" s="22" t="n">
        <x:f>'Assumptions'!$H$107*IF('Assumptions'!$O$107=1,1,'Assumptions'!$D$10)*(1+'Assumptions'!$N$107)^(4-1)</x:f>
        <x:v>265.302</x:v>
      </x:c>
      <x:c r="J469" s="10" t="n">
        <x:f>H469*I469</x:f>
        <x:v>3977.7790068000018</x:v>
      </x:c>
      <x:c r="K469" s="10" t="n">
        <x:f>J469*'Assumptions'!$T$107</x:f>
        <x:v>3977.7790068000018</x:v>
      </x:c>
      <x:c r="L469" s="10" t="n">
        <x:f>K469*'Assumptions'!$U$107</x:f>
        <x:v>119.33337020400005</x:v>
      </x:c>
      <x:c r="M469" s="10" t="n">
        <x:f>K469*'Assumptions'!$V$107</x:f>
        <x:v>0</x:v>
      </x:c>
      <x:c r="N469" s="10" t="n">
        <x:f>K469-L469-M469</x:f>
        <x:v>3858.445636596002</x:v>
      </x:c>
      <x:c r="O469" s="10" t="n">
        <x:f>H469*'Assumptions'!$P$107*'Assumptions'!$Q$107*'Assumptions'!$D$11*(1+'Assumptions'!$D$13)^(4-1)</x:f>
        <x:v>1310.6954401440005</x:v>
      </x:c>
      <x:c r="P469" s="10" t="n">
        <x:f>H469*'Assumptions'!$R$107*'Assumptions'!$D$11*(1+'Assumptions'!$D$13)^(4-1)</x:f>
        <x:v>0</x:v>
      </x:c>
      <x:c r="Q469" s="10" t="n">
        <x:f>J469*'Assumptions'!$S$107</x:f>
        <x:v>0</x:v>
      </x:c>
      <x:c r="R469" s="10" t="n">
        <x:f>H469*'Assumptions'!$Y$107*'Assumptions'!$Z$107*'Assumptions'!$D$11*(1+'Assumptions'!$D$13)^(4-1)</x:f>
        <x:v>245.75539502700008</x:v>
      </x:c>
      <x:c r="S469" s="10" t="n">
        <x:f>IF(I469=0,0,J469*'Assumptions'!$W$107+H469*'Assumptions'!$X$107)</x:f>
        <x:v>119.85361119720005</x:v>
      </x:c>
      <x:c r="T469" s="10" t="n">
        <x:f>N469*'Assumptions'!$AA$107</x:f>
        <x:v>308.6756509276801</x:v>
      </x:c>
      <x:c r="U469" s="10" t="n">
        <x:f>'Assumptions'!$AE$107*'Assumptions'!$D$11*(1+'Assumptions'!$D$13)^(4-1)</x:f>
        <x:v>0</x:v>
      </x:c>
      <x:c r="V469" s="10" t="n">
        <x:f>0</x:f>
        <x:v>0</x:v>
      </x:c>
      <x:c r="W469" s="10" t="n">
        <x:f>H469*('Assumptions'!$P$107+'Assumptions'!$Y$107)</x:f>
        <x:v>37.483500000000014</x:v>
      </x:c>
      <x:c r="X469" s="10" t="n">
        <x:f>N469/12*'Assumptions'!$AF$107</x:f>
        <x:v>321.53713638300013</x:v>
      </x:c>
      <x:c r="Y469" s="10" t="n">
        <x:f>P469/12</x:f>
        <x:v>0</x:v>
      </x:c>
      <x:c r="Z469" s="10" t="n">
        <x:f>0</x:f>
        <x:v>0</x:v>
      </x:c>
      <x:c r="AA469" s="10" t="n">
        <x:f>Z469*'Assumptions'!$AC$107*'Assumptions'!$D$11*(1+'Assumptions'!$D$13)^(4-1)</x:f>
        <x:v>0</x:v>
      </x:c>
      <x:c r="AB469" s="10" t="n">
        <x:f>F469/1</x:f>
        <x:v>10.381800000000004</x:v>
      </x:c>
      <x:c r="AC469" s="10" t="n">
        <x:f>AB469/'Assumptions'!$AM$107</x:f>
        <x:v>103.81800000000003</x:v>
      </x:c>
      <x:c r="AD469" s="10" t="n">
        <x:f>IF(AB469=0,0,T469/AB469)</x:f>
        <x:v>29.732382720499338</x:v>
      </x:c>
      <x:c r="AE469" s="10" t="n">
        <x:f>AA469*'Assumptions'!$D$21</x:f>
        <x:v>0</x:v>
      </x:c>
    </x:row>
    <x:row r="470" ht="16" customHeight="1">
      <x:c r="A470" s="1"/>
      <x:c r="B470" s="1"/>
      <x:c r="C470" s="1" t="str">
        <x:v>DOT-079</x:v>
      </x:c>
      <x:c r="D470" s="10" t="str">
        <x:v>S’otality editorial</x:v>
      </x:c>
      <x:c r="E470" s="10" t="n">
        <x:v>4</x:v>
      </x:c>
      <x:c r="F470" s="21" t="n">
        <x:f>F342*(1+'Assumptions'!$L$108)</x:f>
        <x:v>3.4606000000000012</x:v>
      </x:c>
      <x:c r="G470" s="21" t="n">
        <x:f>H342*'Assumptions'!$K$108</x:f>
        <x:v>1.5372000000000003</x:v>
      </x:c>
      <x:c r="H470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470+G470,NA())</x:f>
        <x:v>4.997800000000002</x:v>
      </x:c>
      <x:c r="I470" s="22" t="n">
        <x:f>'Assumptions'!$H$108*IF('Assumptions'!$O$108=1,1,'Assumptions'!$D$10)*(1+'Assumptions'!$N$108)^(4-1)</x:f>
        <x:v>1061.208</x:v>
      </x:c>
      <x:c r="J470" s="10" t="n">
        <x:f>H470*I470</x:f>
        <x:v>5303.705342400002</x:v>
      </x:c>
      <x:c r="K470" s="10" t="n">
        <x:f>J470*'Assumptions'!$T$108</x:f>
        <x:v>5303.705342400002</x:v>
      </x:c>
      <x:c r="L470" s="10" t="n">
        <x:f>K470*'Assumptions'!$U$108</x:f>
        <x:v>159.11116027200006</x:v>
      </x:c>
      <x:c r="M470" s="10" t="n">
        <x:f>K470*'Assumptions'!$V$108</x:f>
        <x:v>0</x:v>
      </x:c>
      <x:c r="N470" s="10" t="n">
        <x:f>K470-L470-M470</x:f>
        <x:v>5144.594182128002</x:v>
      </x:c>
      <x:c r="O470" s="10" t="n">
        <x:f>H470*'Assumptions'!$P$108*'Assumptions'!$Q$108*'Assumptions'!$D$11*(1+'Assumptions'!$D$13)^(4-1)</x:f>
        <x:v>1747.5939201920005</x:v>
      </x:c>
      <x:c r="P470" s="10" t="n">
        <x:f>H470*'Assumptions'!$R$108*'Assumptions'!$D$11*(1+'Assumptions'!$D$13)^(4-1)</x:f>
        <x:v>546.1231000600002</x:v>
      </x:c>
      <x:c r="Q470" s="10" t="n">
        <x:f>J470*'Assumptions'!$S$108</x:f>
        <x:v>0</x:v>
      </x:c>
      <x:c r="R470" s="10" t="n">
        <x:f>H470*'Assumptions'!$Y$108*'Assumptions'!$Z$108*'Assumptions'!$D$11*(1+'Assumptions'!$D$13)^(4-1)</x:f>
        <x:v>81.91846500900003</x:v>
      </x:c>
      <x:c r="S470" s="10" t="n">
        <x:f>IF(I470=0,0,J470*'Assumptions'!$W$108+H470*'Assumptions'!$X$108)</x:f>
        <x:v>155.30679492960007</x:v>
      </x:c>
      <x:c r="T470" s="10" t="n">
        <x:f>N470*'Assumptions'!$AA$108</x:f>
        <x:v>411.5675345702402</x:v>
      </x:c>
      <x:c r="U470" s="10" t="n">
        <x:f>'Assumptions'!$AE$108*'Assumptions'!$D$11*(1+'Assumptions'!$D$13)^(4-1)</x:f>
        <x:v>0</x:v>
      </x:c>
      <x:c r="V470" s="10" t="n">
        <x:f>0</x:f>
        <x:v>0</x:v>
      </x:c>
      <x:c r="W470" s="10" t="n">
        <x:f>H470*('Assumptions'!$P$108+'Assumptions'!$Y$108)</x:f>
        <x:v>42.48130000000001</x:v>
      </x:c>
      <x:c r="X470" s="10" t="n">
        <x:f>N470/12*'Assumptions'!$AF$108</x:f>
        <x:v>428.7161818440002</x:v>
      </x:c>
      <x:c r="Y470" s="10" t="n">
        <x:f>P470/12</x:f>
        <x:v>45.51025833833335</x:v>
      </x:c>
      <x:c r="Z470" s="10" t="n">
        <x:f>0</x:f>
        <x:v>0</x:v>
      </x:c>
      <x:c r="AA470" s="10" t="n">
        <x:f>Z470*'Assumptions'!$AC$108*'Assumptions'!$D$11*(1+'Assumptions'!$D$13)^(4-1)</x:f>
        <x:v>0</x:v>
      </x:c>
      <x:c r="AB470" s="10" t="n">
        <x:f>F470/1</x:f>
        <x:v>3.4606000000000012</x:v>
      </x:c>
      <x:c r="AC470" s="10" t="n">
        <x:f>AB470/'Assumptions'!$AM$108</x:f>
        <x:v>34.60600000000001</x:v>
      </x:c>
      <x:c r="AD470" s="10" t="n">
        <x:f>IF(AB470=0,0,T470/AB470)</x:f>
        <x:v>118.92953088199735</x:v>
      </x:c>
      <x:c r="AE470" s="10" t="n">
        <x:f>AA470*'Assumptions'!$D$21</x:f>
        <x:v>0</x:v>
      </x:c>
    </x:row>
    <x:row r="471" ht="16" customHeight="1">
      <x:c r="A471" s="1"/>
      <x:c r="B471" s="1"/>
      <x:c r="C471" s="1" t="str">
        <x:v>DOT-080</x:v>
      </x:c>
      <x:c r="D471" s="10" t="str">
        <x:v>Tomato Odyssey</x:v>
      </x:c>
      <x:c r="E471" s="10" t="n">
        <x:v>4</x:v>
      </x:c>
      <x:c r="F471" s="21" t="n">
        <x:f>F343*(1+'Assumptions'!$L$109)</x:f>
        <x:v>10.381800000000004</x:v>
      </x:c>
      <x:c r="G471" s="21" t="n">
        <x:f>H343*'Assumptions'!$K$109</x:f>
        <x:v>4.6116</x:v>
      </x:c>
      <x:c r="H471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471+G471,NA())</x:f>
        <x:v>14.993400000000005</x:v>
      </x:c>
      <x:c r="I471" s="22" t="n">
        <x:f>'Assumptions'!$H$109*IF('Assumptions'!$O$109=1,1,'Assumptions'!$D$10)*(1+'Assumptions'!$N$109)^(4-1)</x:f>
        <x:v>265.302</x:v>
      </x:c>
      <x:c r="J471" s="10" t="n">
        <x:f>H471*I471</x:f>
        <x:v>3977.7790068000018</x:v>
      </x:c>
      <x:c r="K471" s="10" t="n">
        <x:f>J471*'Assumptions'!$T$109</x:f>
        <x:v>3977.7790068000018</x:v>
      </x:c>
      <x:c r="L471" s="10" t="n">
        <x:f>K471*'Assumptions'!$U$109</x:f>
        <x:v>119.33337020400005</x:v>
      </x:c>
      <x:c r="M471" s="10" t="n">
        <x:f>K471*'Assumptions'!$V$109</x:f>
        <x:v>0</x:v>
      </x:c>
      <x:c r="N471" s="10" t="n">
        <x:f>K471-L471-M471</x:f>
        <x:v>3858.445636596002</x:v>
      </x:c>
      <x:c r="O471" s="10" t="n">
        <x:f>H471*'Assumptions'!$P$109*'Assumptions'!$Q$109*'Assumptions'!$D$11*(1+'Assumptions'!$D$13)^(4-1)</x:f>
        <x:v>1310.6954401440005</x:v>
      </x:c>
      <x:c r="P471" s="10" t="n">
        <x:f>H471*'Assumptions'!$R$109*'Assumptions'!$D$11*(1+'Assumptions'!$D$13)^(4-1)</x:f>
        <x:v>0</x:v>
      </x:c>
      <x:c r="Q471" s="10" t="n">
        <x:f>J471*'Assumptions'!$S$109</x:f>
        <x:v>0</x:v>
      </x:c>
      <x:c r="R471" s="10" t="n">
        <x:f>H471*'Assumptions'!$Y$109*'Assumptions'!$Z$109*'Assumptions'!$D$11*(1+'Assumptions'!$D$13)^(4-1)</x:f>
        <x:v>245.75539502700008</x:v>
      </x:c>
      <x:c r="S471" s="10" t="n">
        <x:f>IF(I471=0,0,J471*'Assumptions'!$W$109+H471*'Assumptions'!$X$109)</x:f>
        <x:v>119.85361119720005</x:v>
      </x:c>
      <x:c r="T471" s="10" t="n">
        <x:f>N471*'Assumptions'!$AA$109</x:f>
        <x:v>308.6756509276801</x:v>
      </x:c>
      <x:c r="U471" s="10" t="n">
        <x:f>'Assumptions'!$AE$109*'Assumptions'!$D$11*(1+'Assumptions'!$D$13)^(4-1)</x:f>
        <x:v>0</x:v>
      </x:c>
      <x:c r="V471" s="10" t="n">
        <x:f>0</x:f>
        <x:v>0</x:v>
      </x:c>
      <x:c r="W471" s="10" t="n">
        <x:f>H471*('Assumptions'!$P$109+'Assumptions'!$Y$109)</x:f>
        <x:v>37.483500000000014</x:v>
      </x:c>
      <x:c r="X471" s="10" t="n">
        <x:f>N471/12*'Assumptions'!$AF$109</x:f>
        <x:v>321.53713638300013</x:v>
      </x:c>
      <x:c r="Y471" s="10" t="n">
        <x:f>P471/12</x:f>
        <x:v>0</x:v>
      </x:c>
      <x:c r="Z471" s="10" t="n">
        <x:f>0</x:f>
        <x:v>0</x:v>
      </x:c>
      <x:c r="AA471" s="10" t="n">
        <x:f>Z471*'Assumptions'!$AC$109*'Assumptions'!$D$11*(1+'Assumptions'!$D$13)^(4-1)</x:f>
        <x:v>0</x:v>
      </x:c>
      <x:c r="AB471" s="10" t="n">
        <x:f>F471/1</x:f>
        <x:v>10.381800000000004</x:v>
      </x:c>
      <x:c r="AC471" s="10" t="n">
        <x:f>AB471/'Assumptions'!$AM$109</x:f>
        <x:v>103.81800000000003</x:v>
      </x:c>
      <x:c r="AD471" s="10" t="n">
        <x:f>IF(AB471=0,0,T471/AB471)</x:f>
        <x:v>29.732382720499338</x:v>
      </x:c>
      <x:c r="AE471" s="10" t="n">
        <x:f>AA471*'Assumptions'!$D$21</x:f>
        <x:v>0</x:v>
      </x:c>
    </x:row>
    <x:row r="472" ht="16" customHeight="1">
      <x:c r="A472" s="1"/>
      <x:c r="B472" s="1"/>
      <x:c r="C472" s="1" t="str">
        <x:v>DOT-081</x:v>
      </x:c>
      <x:c r="D472" s="10" t="str">
        <x:v>Tomato Odyssey</x:v>
      </x:c>
      <x:c r="E472" s="10" t="n">
        <x:v>4</x:v>
      </x:c>
      <x:c r="F472" s="21" t="n">
        <x:f>F344*(1+'Assumptions'!$L$110)</x:f>
        <x:v>3.4606000000000012</x:v>
      </x:c>
      <x:c r="G472" s="21" t="n">
        <x:f>H344*'Assumptions'!$K$110</x:f>
        <x:v>1.5372000000000003</x:v>
      </x:c>
      <x:c r="H472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472+G472,NA())</x:f>
        <x:v>4.997800000000002</x:v>
      </x:c>
      <x:c r="I472" s="22" t="n">
        <x:f>'Assumptions'!$H$110*IF('Assumptions'!$O$110=1,1,'Assumptions'!$D$10)*(1+'Assumptions'!$N$110)^(4-1)</x:f>
        <x:v>1061.208</x:v>
      </x:c>
      <x:c r="J472" s="10" t="n">
        <x:f>H472*I472</x:f>
        <x:v>5303.705342400002</x:v>
      </x:c>
      <x:c r="K472" s="10" t="n">
        <x:f>J472*'Assumptions'!$T$110</x:f>
        <x:v>5303.705342400002</x:v>
      </x:c>
      <x:c r="L472" s="10" t="n">
        <x:f>K472*'Assumptions'!$U$110</x:f>
        <x:v>159.11116027200006</x:v>
      </x:c>
      <x:c r="M472" s="10" t="n">
        <x:f>K472*'Assumptions'!$V$110</x:f>
        <x:v>0</x:v>
      </x:c>
      <x:c r="N472" s="10" t="n">
        <x:f>K472-L472-M472</x:f>
        <x:v>5144.594182128002</x:v>
      </x:c>
      <x:c r="O472" s="10" t="n">
        <x:f>H472*'Assumptions'!$P$110*'Assumptions'!$Q$110*'Assumptions'!$D$11*(1+'Assumptions'!$D$13)^(4-1)</x:f>
        <x:v>1747.5939201920005</x:v>
      </x:c>
      <x:c r="P472" s="10" t="n">
        <x:f>H472*'Assumptions'!$R$110*'Assumptions'!$D$11*(1+'Assumptions'!$D$13)^(4-1)</x:f>
        <x:v>546.1231000600002</x:v>
      </x:c>
      <x:c r="Q472" s="10" t="n">
        <x:f>J472*'Assumptions'!$S$110</x:f>
        <x:v>0</x:v>
      </x:c>
      <x:c r="R472" s="10" t="n">
        <x:f>H472*'Assumptions'!$Y$110*'Assumptions'!$Z$110*'Assumptions'!$D$11*(1+'Assumptions'!$D$13)^(4-1)</x:f>
        <x:v>81.91846500900003</x:v>
      </x:c>
      <x:c r="S472" s="10" t="n">
        <x:f>IF(I472=0,0,J472*'Assumptions'!$W$110+H472*'Assumptions'!$X$110)</x:f>
        <x:v>155.30679492960007</x:v>
      </x:c>
      <x:c r="T472" s="10" t="n">
        <x:f>N472*'Assumptions'!$AA$110</x:f>
        <x:v>411.5675345702402</x:v>
      </x:c>
      <x:c r="U472" s="10" t="n">
        <x:f>'Assumptions'!$AE$110*'Assumptions'!$D$11*(1+'Assumptions'!$D$13)^(4-1)</x:f>
        <x:v>0</x:v>
      </x:c>
      <x:c r="V472" s="10" t="n">
        <x:f>0</x:f>
        <x:v>0</x:v>
      </x:c>
      <x:c r="W472" s="10" t="n">
        <x:f>H472*('Assumptions'!$P$110+'Assumptions'!$Y$110)</x:f>
        <x:v>42.48130000000001</x:v>
      </x:c>
      <x:c r="X472" s="10" t="n">
        <x:f>N472/12*'Assumptions'!$AF$110</x:f>
        <x:v>428.7161818440002</x:v>
      </x:c>
      <x:c r="Y472" s="10" t="n">
        <x:f>P472/12</x:f>
        <x:v>45.51025833833335</x:v>
      </x:c>
      <x:c r="Z472" s="10" t="n">
        <x:f>0</x:f>
        <x:v>0</x:v>
      </x:c>
      <x:c r="AA472" s="10" t="n">
        <x:f>Z472*'Assumptions'!$AC$110*'Assumptions'!$D$11*(1+'Assumptions'!$D$13)^(4-1)</x:f>
        <x:v>0</x:v>
      </x:c>
      <x:c r="AB472" s="10" t="n">
        <x:f>F472/1</x:f>
        <x:v>3.4606000000000012</x:v>
      </x:c>
      <x:c r="AC472" s="10" t="n">
        <x:f>AB472/'Assumptions'!$AM$110</x:f>
        <x:v>34.60600000000001</x:v>
      </x:c>
      <x:c r="AD472" s="10" t="n">
        <x:f>IF(AB472=0,0,T472/AB472)</x:f>
        <x:v>118.92953088199735</x:v>
      </x:c>
      <x:c r="AE472" s="10" t="n">
        <x:f>AA472*'Assumptions'!$D$21</x:f>
        <x:v>0</x:v>
      </x:c>
    </x:row>
    <x:row r="473" ht="16" customHeight="1">
      <x:c r="A473" s="1"/>
      <x:c r="B473" s="1"/>
      <x:c r="C473" s="1" t="str">
        <x:v>DOT-082</x:v>
      </x:c>
      <x:c r="D473" s="10" t="str">
        <x:v>Semajes Studio</x:v>
      </x:c>
      <x:c r="E473" s="10" t="n">
        <x:v>4</x:v>
      </x:c>
      <x:c r="F473" s="21" t="n">
        <x:f>F345*(1+'Assumptions'!$L$111)</x:f>
        <x:v>23.958000000000002</x:v>
      </x:c>
      <x:c r="G473" s="21" t="n">
        <x:f>H345*'Assumptions'!$K$111</x:f>
        <x:v>19.215</x:v>
      </x:c>
      <x:c r="H473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473+G473,NA())</x:f>
        <x:v>43.173</x:v>
      </x:c>
      <x:c r="I473" s="22" t="n">
        <x:f>'Assumptions'!$H$111*IF('Assumptions'!$O$111=1,1,'Assumptions'!$D$10)*(1+'Assumptions'!$N$111)^(4-1)</x:f>
        <x:v>583.6644000000001</x:v>
      </x:c>
      <x:c r="J473" s="10" t="n">
        <x:f>H473*I473</x:f>
        <x:v>25198.543141200007</x:v>
      </x:c>
      <x:c r="K473" s="10" t="n">
        <x:f>J473*'Assumptions'!$T$111</x:f>
        <x:v>25198.543141200007</x:v>
      </x:c>
      <x:c r="L473" s="10" t="n">
        <x:f>K473*'Assumptions'!$U$111</x:f>
        <x:v>755.9562942360002</x:v>
      </x:c>
      <x:c r="M473" s="10" t="n">
        <x:f>K473*'Assumptions'!$V$111</x:f>
        <x:v>0</x:v>
      </x:c>
      <x:c r="N473" s="10" t="n">
        <x:f>K473-L473-M473</x:f>
        <x:v>24442.586846964008</x:v>
      </x:c>
      <x:c r="O473" s="10" t="n">
        <x:f>H473*'Assumptions'!$P$111*'Assumptions'!$Q$111*'Assumptions'!$D$11*(1+'Assumptions'!$D$13)^(4-1)</x:f>
        <x:v>14152.890831300001</x:v>
      </x:c>
      <x:c r="P473" s="10" t="n">
        <x:f>H473*'Assumptions'!$R$111*'Assumptions'!$D$11*(1+'Assumptions'!$D$13)^(4-1)</x:f>
        <x:v>3774.10422168</x:v>
      </x:c>
      <x:c r="Q473" s="10" t="n">
        <x:f>J473*'Assumptions'!$S$111</x:f>
        <x:v>0</x:v>
      </x:c>
      <x:c r="R473" s="10" t="n">
        <x:f>H473*'Assumptions'!$Y$111*'Assumptions'!$Z$111*'Assumptions'!$D$11*(1+'Assumptions'!$D$13)^(4-1)</x:f>
        <x:v>353.8222707825</x:v>
      </x:c>
      <x:c r="S473" s="10" t="n">
        <x:f>IF(I473=0,0,J473*'Assumptions'!$W$111+H473*'Assumptions'!$X$111)</x:f>
        <x:v>743.7096510948003</x:v>
      </x:c>
      <x:c r="T473" s="10" t="n">
        <x:f>N473*'Assumptions'!$AA$111</x:f>
        <x:v>977.7034738785603</x:v>
      </x:c>
      <x:c r="U473" s="10" t="n">
        <x:f>'Assumptions'!$AE$111*'Assumptions'!$D$11*(1+'Assumptions'!$D$13)^(4-1)</x:f>
        <x:v>0</x:v>
      </x:c>
      <x:c r="V473" s="10" t="n">
        <x:f>0</x:f>
        <x:v>0</x:v>
      </x:c>
      <x:c r="W473" s="10" t="n">
        <x:f>H473*('Assumptions'!$P$111+'Assumptions'!$Y$111)</x:f>
        <x:v>269.83125</x:v>
      </x:c>
      <x:c r="X473" s="10" t="n">
        <x:f>N473/12*'Assumptions'!$AF$111</x:f>
        <x:v>2036.8822372470006</x:v>
      </x:c>
      <x:c r="Y473" s="10" t="n">
        <x:f>P473/12</x:f>
        <x:v>314.50868514</x:v>
      </x:c>
      <x:c r="Z473" s="10" t="n">
        <x:f>0</x:f>
        <x:v>0</x:v>
      </x:c>
      <x:c r="AA473" s="10" t="n">
        <x:f>Z473*'Assumptions'!$AC$111*'Assumptions'!$D$11*(1+'Assumptions'!$D$13)^(4-1)</x:f>
        <x:v>0</x:v>
      </x:c>
      <x:c r="AB473" s="10" t="n">
        <x:f>F473/1</x:f>
        <x:v>23.958000000000002</x:v>
      </x:c>
      <x:c r="AC473" s="10" t="n">
        <x:f>AB473/'Assumptions'!$AM$111</x:f>
        <x:v>119.79</x:v>
      </x:c>
      <x:c r="AD473" s="10" t="n">
        <x:f>IF(AB473=0,0,T473/AB473)</x:f>
        <x:v>40.80906060099174</x:v>
      </x:c>
      <x:c r="AE473" s="10" t="n">
        <x:f>AA473*'Assumptions'!$D$21</x:f>
        <x:v>0</x:v>
      </x:c>
    </x:row>
    <x:row r="474" ht="16" customHeight="1">
      <x:c r="A474" s="1"/>
      <x:c r="B474" s="1"/>
      <x:c r="C474" s="1" t="str">
        <x:v>DOT-083</x:v>
      </x:c>
      <x:c r="D474" s="10" t="str">
        <x:v>Semajes Studio</x:v>
      </x:c>
      <x:c r="E474" s="10" t="n">
        <x:v>4</x:v>
      </x:c>
      <x:c r="F474" s="21" t="n">
        <x:f>F346*(1+'Assumptions'!$L$112)</x:f>
        <x:v>11.979000000000001</x:v>
      </x:c>
      <x:c r="G474" s="21" t="n">
        <x:f>H346*'Assumptions'!$K$112</x:f>
        <x:v>9.6075</x:v>
      </x:c>
      <x:c r="H474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474+G474,NA())</x:f>
        <x:v>21.5865</x:v>
      </x:c>
      <x:c r="I474" s="22" t="n">
        <x:f>'Assumptions'!$H$112*IF('Assumptions'!$O$112=1,1,'Assumptions'!$D$10)*(1+'Assumptions'!$N$112)^(4-1)</x:f>
        <x:v>1273.4496000000001</x:v>
      </x:c>
      <x:c r="J474" s="10" t="n">
        <x:f>H474*I474</x:f>
        <x:v>27489.319790400004</x:v>
      </x:c>
      <x:c r="K474" s="10" t="n">
        <x:f>J474*'Assumptions'!$T$112</x:f>
        <x:v>27489.319790400004</x:v>
      </x:c>
      <x:c r="L474" s="10" t="n">
        <x:f>K474*'Assumptions'!$U$112</x:f>
        <x:v>824.6795937120002</x:v>
      </x:c>
      <x:c r="M474" s="10" t="n">
        <x:f>K474*'Assumptions'!$V$112</x:f>
        <x:v>0</x:v>
      </x:c>
      <x:c r="N474" s="10" t="n">
        <x:f>K474-L474-M474</x:f>
        <x:v>26664.640196688004</x:v>
      </x:c>
      <x:c r="O474" s="10" t="n">
        <x:f>H474*'Assumptions'!$P$112*'Assumptions'!$Q$112*'Assumptions'!$D$11*(1+'Assumptions'!$D$13)^(4-1)</x:f>
        <x:v>11794.07569275</x:v>
      </x:c>
      <x:c r="P474" s="10" t="n">
        <x:f>H474*'Assumptions'!$R$112*'Assumptions'!$D$11*(1+'Assumptions'!$D$13)^(4-1)</x:f>
        <x:v>3538.2227078250003</x:v>
      </x:c>
      <x:c r="Q474" s="10" t="n">
        <x:f>J474*'Assumptions'!$S$112</x:f>
        <x:v>0</x:v>
      </x:c>
      <x:c r="R474" s="10" t="n">
        <x:f>H474*'Assumptions'!$Y$112*'Assumptions'!$Z$112*'Assumptions'!$D$11*(1+'Assumptions'!$D$13)^(4-1)</x:f>
        <x:v>176.91113539125</x:v>
      </x:c>
      <x:c r="S474" s="10" t="n">
        <x:f>IF(I474=0,0,J474*'Assumptions'!$W$112+H474*'Assumptions'!$X$112)</x:f>
        <x:v>803.6662239216001</x:v>
      </x:c>
      <x:c r="T474" s="10" t="n">
        <x:f>N474*'Assumptions'!$AA$112</x:f>
        <x:v>1066.5856078675201</x:v>
      </x:c>
      <x:c r="U474" s="10" t="n">
        <x:f>'Assumptions'!$AE$112*'Assumptions'!$D$11*(1+'Assumptions'!$D$13)^(4-1)</x:f>
        <x:v>0</x:v>
      </x:c>
      <x:c r="V474" s="10" t="n">
        <x:f>0</x:f>
        <x:v>0</x:v>
      </x:c>
      <x:c r="W474" s="10" t="n">
        <x:f>H474*('Assumptions'!$P$112+'Assumptions'!$Y$112)</x:f>
        <x:v>221.261625</x:v>
      </x:c>
      <x:c r="X474" s="10" t="n">
        <x:f>N474/12*'Assumptions'!$AF$112</x:f>
        <x:v>2222.0533497240003</x:v>
      </x:c>
      <x:c r="Y474" s="10" t="n">
        <x:f>P474/12</x:f>
        <x:v>294.85189231875</x:v>
      </x:c>
      <x:c r="Z474" s="10" t="n">
        <x:f>0</x:f>
        <x:v>0</x:v>
      </x:c>
      <x:c r="AA474" s="10" t="n">
        <x:f>Z474*'Assumptions'!$AC$112*'Assumptions'!$D$11*(1+'Assumptions'!$D$13)^(4-1)</x:f>
        <x:v>0</x:v>
      </x:c>
      <x:c r="AB474" s="10" t="n">
        <x:f>F474/1</x:f>
        <x:v>11.979000000000001</x:v>
      </x:c>
      <x:c r="AC474" s="10" t="n">
        <x:f>AB474/'Assumptions'!$AM$112</x:f>
        <x:v>59.895</x:v>
      </x:c>
      <x:c r="AD474" s="10" t="n">
        <x:f>IF(AB474=0,0,T474/AB474)</x:f>
        <x:v>89.03795040216379</x:v>
      </x:c>
      <x:c r="AE474" s="10" t="n">
        <x:f>AA474*'Assumptions'!$D$21</x:f>
        <x:v>0</x:v>
      </x:c>
    </x:row>
    <x:row r="475" ht="16" customHeight="1">
      <x:c r="A475" s="1"/>
      <x:c r="B475" s="1"/>
      <x:c r="C475" s="1" t="str">
        <x:v>DOT-084</x:v>
      </x:c>
      <x:c r="D475" s="10" t="str">
        <x:v>Semajes Studio</x:v>
      </x:c>
      <x:c r="E475" s="10" t="n">
        <x:v>4</x:v>
      </x:c>
      <x:c r="F475" s="21" t="n">
        <x:f>F347*(1+'Assumptions'!$L$113)</x:f>
        <x:v>79.86000000000001</x:v>
      </x:c>
      <x:c r="G475" s="21" t="n">
        <x:f>H347*'Assumptions'!$K$113</x:f>
        <x:v>64.05000000000001</x:v>
      </x:c>
      <x:c r="H475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475+G475,NA())</x:f>
        <x:v>143.91000000000003</x:v>
      </x:c>
      <x:c r="I475" s="22" t="n">
        <x:f>'Assumptions'!$H$113*IF('Assumptions'!$O$113=1,1,'Assumptions'!$D$10)*(1+'Assumptions'!$N$113)^(4-1)</x:f>
        <x:v>37.14228000000001</x:v>
      </x:c>
      <x:c r="J475" s="10" t="n">
        <x:f>H475*I475</x:f>
        <x:v>5345.145514800002</x:v>
      </x:c>
      <x:c r="K475" s="10" t="n">
        <x:f>J475*'Assumptions'!$T$113</x:f>
        <x:v>5345.145514800002</x:v>
      </x:c>
      <x:c r="L475" s="10" t="n">
        <x:f>K475*'Assumptions'!$U$113</x:f>
        <x:v>160.35436544400005</x:v>
      </x:c>
      <x:c r="M475" s="10" t="n">
        <x:f>K475*'Assumptions'!$V$113</x:f>
        <x:v>0</x:v>
      </x:c>
      <x:c r="N475" s="10" t="n">
        <x:f>K475-L475-M475</x:f>
        <x:v>5184.791149356002</x:v>
      </x:c>
      <x:c r="O475" s="10" t="n">
        <x:f>H475*'Assumptions'!$P$113*'Assumptions'!$Q$113*'Assumptions'!$D$11*(1+'Assumptions'!$D$13)^(4-1)</x:f>
        <x:v>786.2717128500002</x:v>
      </x:c>
      <x:c r="P475" s="10" t="n">
        <x:f>H475*'Assumptions'!$R$113*'Assumptions'!$D$11*(1+'Assumptions'!$D$13)^(4-1)</x:f>
        <x:v>0</x:v>
      </x:c>
      <x:c r="Q475" s="10" t="n">
        <x:f>J475*'Assumptions'!$S$113</x:f>
        <x:v>0</x:v>
      </x:c>
      <x:c r="R475" s="10" t="n">
        <x:f>H475*'Assumptions'!$Y$113*'Assumptions'!$Z$113*'Assumptions'!$D$11*(1+'Assumptions'!$D$13)^(4-1)</x:f>
        <x:v>1179.4075692750002</x:v>
      </x:c>
      <x:c r="S475" s="10" t="n">
        <x:f>IF(I475=0,0,J475*'Assumptions'!$W$113+H475*'Assumptions'!$X$113)</x:f>
        <x:v>198.18221992920007</x:v>
      </x:c>
      <x:c r="T475" s="10" t="n">
        <x:f>N475*'Assumptions'!$AA$113</x:f>
        <x:v>207.3916459742401</x:v>
      </x:c>
      <x:c r="U475" s="10" t="n">
        <x:f>'Assumptions'!$AE$113*'Assumptions'!$D$11*(1+'Assumptions'!$D$13)^(4-1)</x:f>
        <x:v>0</x:v>
      </x:c>
      <x:c r="V475" s="10" t="n">
        <x:f>0</x:f>
        <x:v>0</x:v>
      </x:c>
      <x:c r="W475" s="10" t="n">
        <x:f>H475*('Assumptions'!$P$113+'Assumptions'!$Y$113)</x:f>
        <x:v>50.368500000000004</x:v>
      </x:c>
      <x:c r="X475" s="10" t="n">
        <x:f>N475/12*'Assumptions'!$AF$113</x:f>
        <x:v>432.0659291130002</x:v>
      </x:c>
      <x:c r="Y475" s="10" t="n">
        <x:f>P475/12</x:f>
        <x:v>0</x:v>
      </x:c>
      <x:c r="Z475" s="10" t="n">
        <x:f>0</x:f>
        <x:v>0</x:v>
      </x:c>
      <x:c r="AA475" s="10" t="n">
        <x:f>Z475*'Assumptions'!$AC$113*'Assumptions'!$D$11*(1+'Assumptions'!$D$13)^(4-1)</x:f>
        <x:v>0</x:v>
      </x:c>
      <x:c r="AB475" s="10" t="n">
        <x:f>F475/1</x:f>
        <x:v>79.86000000000001</x:v>
      </x:c>
      <x:c r="AC475" s="10" t="n">
        <x:f>AB475/'Assumptions'!$AM$113</x:f>
        <x:v>399.30000000000007</x:v>
      </x:c>
      <x:c r="AD475" s="10" t="n">
        <x:f>IF(AB475=0,0,T475/AB475)</x:f>
        <x:v>2.5969402200631113</x:v>
      </x:c>
      <x:c r="AE475" s="10" t="n">
        <x:f>AA475*'Assumptions'!$D$21</x:f>
        <x:v>0</x:v>
      </x:c>
    </x:row>
    <x:row r="476" ht="16" customHeight="1">
      <x:c r="A476" s="1"/>
      <x:c r="B476" s="1"/>
      <x:c r="C476" s="1" t="str">
        <x:v>DOT-085</x:v>
      </x:c>
      <x:c r="D476" s="10" t="str">
        <x:v>Semajes Studio</x:v>
      </x:c>
      <x:c r="E476" s="10" t="n">
        <x:v>4</x:v>
      </x:c>
      <x:c r="F476" s="21" t="n">
        <x:f>F348*(1+'Assumptions'!$L$114)</x:f>
        <x:v>23.958000000000002</x:v>
      </x:c>
      <x:c r="G476" s="21" t="n">
        <x:f>H348*'Assumptions'!$K$114</x:f>
        <x:v>19.215</x:v>
      </x:c>
      <x:c r="H476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476+G476,NA())</x:f>
        <x:v>43.173</x:v>
      </x:c>
      <x:c r="I476" s="22" t="n">
        <x:f>'Assumptions'!$H$114*IF('Assumptions'!$O$114=1,1,'Assumptions'!$D$10)*(1+'Assumptions'!$N$114)^(4-1)</x:f>
        <x:v>159.18120000000002</x:v>
      </x:c>
      <x:c r="J476" s="10" t="n">
        <x:f>H476*I476</x:f>
        <x:v>6872.329947600001</x:v>
      </x:c>
      <x:c r="K476" s="10" t="n">
        <x:f>J476*'Assumptions'!$T$114</x:f>
        <x:v>6872.329947600001</x:v>
      </x:c>
      <x:c r="L476" s="10" t="n">
        <x:f>K476*'Assumptions'!$U$114</x:f>
        <x:v>206.16989842800004</x:v>
      </x:c>
      <x:c r="M476" s="10" t="n">
        <x:f>K476*'Assumptions'!$V$114</x:f>
        <x:v>0</x:v>
      </x:c>
      <x:c r="N476" s="10" t="n">
        <x:f>K476-L476-M476</x:f>
        <x:v>6666.160049172001</x:v>
      </x:c>
      <x:c r="O476" s="10" t="n">
        <x:f>H476*'Assumptions'!$P$114*'Assumptions'!$Q$114*'Assumptions'!$D$11*(1+'Assumptions'!$D$13)^(4-1)</x:f>
        <x:v>589.7037846375</x:v>
      </x:c>
      <x:c r="P476" s="10" t="n">
        <x:f>H476*'Assumptions'!$R$114*'Assumptions'!$D$11*(1+'Assumptions'!$D$13)^(4-1)</x:f>
        <x:v>0</x:v>
      </x:c>
      <x:c r="Q476" s="10" t="n">
        <x:f>J476*'Assumptions'!$S$114</x:f>
        <x:v>0</x:v>
      </x:c>
      <x:c r="R476" s="10" t="n">
        <x:f>H476*'Assumptions'!$Y$114*'Assumptions'!$Z$114*'Assumptions'!$D$11*(1+'Assumptions'!$D$13)^(4-1)</x:f>
        <x:v>353.8222707825</x:v>
      </x:c>
      <x:c r="S476" s="10" t="n">
        <x:f>IF(I476=0,0,J476*'Assumptions'!$W$114+H476*'Assumptions'!$X$114)</x:f>
        <x:v>212.24946848040003</x:v>
      </x:c>
      <x:c r="T476" s="10" t="n">
        <x:f>N476*'Assumptions'!$AA$114</x:f>
        <x:v>266.64640196688003</x:v>
      </x:c>
      <x:c r="U476" s="10" t="n">
        <x:f>'Assumptions'!$AE$114*'Assumptions'!$D$11*(1+'Assumptions'!$D$13)^(4-1)</x:f>
        <x:v>0</x:v>
      </x:c>
      <x:c r="V476" s="10" t="n">
        <x:f>0</x:f>
        <x:v>0</x:v>
      </x:c>
      <x:c r="W476" s="10" t="n">
        <x:f>H476*('Assumptions'!$P$114+'Assumptions'!$Y$114)</x:f>
        <x:v>21.5865</x:v>
      </x:c>
      <x:c r="X476" s="10" t="n">
        <x:f>N476/12*'Assumptions'!$AF$114</x:f>
        <x:v>555.5133374310001</x:v>
      </x:c>
      <x:c r="Y476" s="10" t="n">
        <x:f>P476/12</x:f>
        <x:v>0</x:v>
      </x:c>
      <x:c r="Z476" s="10" t="n">
        <x:f>0</x:f>
        <x:v>0</x:v>
      </x:c>
      <x:c r="AA476" s="10" t="n">
        <x:f>Z476*'Assumptions'!$AC$114*'Assumptions'!$D$11*(1+'Assumptions'!$D$13)^(4-1)</x:f>
        <x:v>0</x:v>
      </x:c>
      <x:c r="AB476" s="10" t="n">
        <x:f>F476/1</x:f>
        <x:v>23.958000000000002</x:v>
      </x:c>
      <x:c r="AC476" s="10" t="n">
        <x:f>AB476/'Assumptions'!$AM$114</x:f>
        <x:v>119.79</x:v>
      </x:c>
      <x:c r="AD476" s="10" t="n">
        <x:f>IF(AB476=0,0,T476/AB476)</x:f>
        <x:v>11.129743800270473</x:v>
      </x:c>
      <x:c r="AE476" s="10" t="n">
        <x:f>AA476*'Assumptions'!$D$21</x:f>
        <x:v>0</x:v>
      </x:c>
    </x:row>
    <x:row r="477" ht="16" customHeight="1">
      <x:c r="A477" s="1"/>
      <x:c r="B477" s="1"/>
      <x:c r="C477" s="1" t="str">
        <x:v>DOT-086</x:v>
      </x:c>
      <x:c r="D477" s="10" t="str">
        <x:v>Semajes Studio</x:v>
      </x:c>
      <x:c r="E477" s="10" t="n">
        <x:v>4</x:v>
      </x:c>
      <x:c r="F477" s="21" t="n">
        <x:f>F349*(1+'Assumptions'!$L$115)</x:f>
        <x:v>11.979000000000001</x:v>
      </x:c>
      <x:c r="G477" s="21" t="n">
        <x:f>H349*'Assumptions'!$K$115</x:f>
        <x:v>9.6075</x:v>
      </x:c>
      <x:c r="H477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477+G477,NA())</x:f>
        <x:v>21.5865</x:v>
      </x:c>
      <x:c r="I477" s="22" t="n">
        <x:f>'Assumptions'!$H$115*IF('Assumptions'!$O$115=1,1,'Assumptions'!$D$10)*(1+'Assumptions'!$N$115)^(4-1)</x:f>
        <x:v>530.604</x:v>
      </x:c>
      <x:c r="J477" s="10" t="n">
        <x:f>H477*I477</x:f>
        <x:v>11453.883246000001</x:v>
      </x:c>
      <x:c r="K477" s="10" t="n">
        <x:f>J477*'Assumptions'!$T$115</x:f>
        <x:v>11453.883246000001</x:v>
      </x:c>
      <x:c r="L477" s="10" t="n">
        <x:f>K477*'Assumptions'!$U$115</x:f>
        <x:v>343.61649738</x:v>
      </x:c>
      <x:c r="M477" s="10" t="n">
        <x:f>K477*'Assumptions'!$V$115</x:f>
        <x:v>0</x:v>
      </x:c>
      <x:c r="N477" s="10" t="n">
        <x:f>K477-L477-M477</x:f>
        <x:v>11110.26674862</x:v>
      </x:c>
      <x:c r="O477" s="10" t="n">
        <x:f>H477*'Assumptions'!$P$115*'Assumptions'!$Q$115*'Assumptions'!$D$11*(1+'Assumptions'!$D$13)^(4-1)</x:f>
        <x:v>1179.407569275</x:v>
      </x:c>
      <x:c r="P477" s="10" t="n">
        <x:f>H477*'Assumptions'!$R$115*'Assumptions'!$D$11*(1+'Assumptions'!$D$13)^(4-1)</x:f>
        <x:v>0</x:v>
      </x:c>
      <x:c r="Q477" s="10" t="n">
        <x:f>J477*'Assumptions'!$S$115</x:f>
        <x:v>0</x:v>
      </x:c>
      <x:c r="R477" s="10" t="n">
        <x:f>H477*'Assumptions'!$Y$115*'Assumptions'!$Z$115*'Assumptions'!$D$11*(1+'Assumptions'!$D$13)^(4-1)</x:f>
        <x:v>176.91113539125</x:v>
      </x:c>
      <x:c r="S477" s="10" t="n">
        <x:f>IF(I477=0,0,J477*'Assumptions'!$W$115+H477*'Assumptions'!$X$115)</x:f>
        <x:v>338.6385641340001</x:v>
      </x:c>
      <x:c r="T477" s="10" t="n">
        <x:f>N477*'Assumptions'!$AA$115</x:f>
        <x:v>444.4106699448</x:v>
      </x:c>
      <x:c r="U477" s="10" t="n">
        <x:f>'Assumptions'!$AE$115*'Assumptions'!$D$11*(1+'Assumptions'!$D$13)^(4-1)</x:f>
        <x:v>0</x:v>
      </x:c>
      <x:c r="V477" s="10" t="n">
        <x:f>0</x:f>
        <x:v>0</x:v>
      </x:c>
      <x:c r="W477" s="10" t="n">
        <x:f>H477*('Assumptions'!$P$115+'Assumptions'!$Y$115)</x:f>
        <x:v>26.983125</x:v>
      </x:c>
      <x:c r="X477" s="10" t="n">
        <x:f>N477/12*'Assumptions'!$AF$115</x:f>
        <x:v>925.8555623850001</x:v>
      </x:c>
      <x:c r="Y477" s="10" t="n">
        <x:f>P477/12</x:f>
        <x:v>0</x:v>
      </x:c>
      <x:c r="Z477" s="10" t="n">
        <x:f>0</x:f>
        <x:v>0</x:v>
      </x:c>
      <x:c r="AA477" s="10" t="n">
        <x:f>Z477*'Assumptions'!$AC$115*'Assumptions'!$D$11*(1+'Assumptions'!$D$13)^(4-1)</x:f>
        <x:v>0</x:v>
      </x:c>
      <x:c r="AB477" s="10" t="n">
        <x:f>F477/1</x:f>
        <x:v>11.979000000000001</x:v>
      </x:c>
      <x:c r="AC477" s="10" t="n">
        <x:f>AB477/'Assumptions'!$AM$115</x:f>
        <x:v>59.895</x:v>
      </x:c>
      <x:c r="AD477" s="10" t="n">
        <x:f>IF(AB477=0,0,T477/AB477)</x:f>
        <x:v>37.09914600090158</x:v>
      </x:c>
      <x:c r="AE477" s="10" t="n">
        <x:f>AA477*'Assumptions'!$D$21</x:f>
        <x:v>0</x:v>
      </x:c>
    </x:row>
    <x:row r="478" ht="16" customHeight="1">
      <x:c r="A478" s="1"/>
      <x:c r="B478" s="1"/>
      <x:c r="C478" s="1" t="str">
        <x:v>DOT-087</x:v>
      </x:c>
      <x:c r="D478" s="10" t="str">
        <x:v>Semajes Studio</x:v>
      </x:c>
      <x:c r="E478" s="10" t="n">
        <x:v>4</x:v>
      </x:c>
      <x:c r="F478" s="21" t="n">
        <x:f>F350*(1+'Assumptions'!$L$116)</x:f>
        <x:v>118.01395200000003</x:v>
      </x:c>
      <x:c r="G478" s="21" t="n">
        <x:f>H350*'Assumptions'!$K$116</x:f>
        <x:v>42.50808000000001</x:v>
      </x:c>
      <x:c r="H478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478+G478,NA())</x:f>
        <x:v>160.52203200000002</x:v>
      </x:c>
      <x:c r="I478" s="22" t="n">
        <x:f>'Assumptions'!$H$116*IF('Assumptions'!$O$116=1,1,'Assumptions'!$D$10)*(1+'Assumptions'!$N$116)^(4-1)</x:f>
        <x:v>100.81476000000002</x:v>
      </x:c>
      <x:c r="J478" s="10" t="n">
        <x:f>H478*I478</x:f>
        <x:v>16182.990130792326</x:v>
      </x:c>
      <x:c r="K478" s="10" t="n">
        <x:f>J478*'Assumptions'!$T$116</x:f>
        <x:v>16182.990130792326</x:v>
      </x:c>
      <x:c r="L478" s="10" t="n">
        <x:f>K478*'Assumptions'!$U$116</x:f>
        <x:v>485.48970392376975</x:v>
      </x:c>
      <x:c r="M478" s="10" t="n">
        <x:f>K478*'Assumptions'!$V$116</x:f>
        <x:v>323.65980261584656</x:v>
      </x:c>
      <x:c r="N478" s="10" t="n">
        <x:f>K478-L478-M478</x:f>
        <x:v>15373.84062425271</x:v>
      </x:c>
      <x:c r="O478" s="10" t="n">
        <x:f>H478*'Assumptions'!$P$116*'Assumptions'!$Q$116*'Assumptions'!$D$11*(1+'Assumptions'!$D$13)^(4-1)</x:f>
        <x:v>1315.55068845948</x:v>
      </x:c>
      <x:c r="P478" s="10" t="n">
        <x:f>H478*'Assumptions'!$R$116*'Assumptions'!$D$11*(1+'Assumptions'!$D$13)^(4-1)</x:f>
        <x:v>6139.236546144241</x:v>
      </x:c>
      <x:c r="Q478" s="10" t="n">
        <x:f>J478*'Assumptions'!$S$116</x:f>
        <x:v>0</x:v>
      </x:c>
      <x:c r="R478" s="10" t="n">
        <x:f>H478*'Assumptions'!$Y$116*'Assumptions'!$Z$116*'Assumptions'!$D$11*(1+'Assumptions'!$D$13)^(4-1)</x:f>
        <x:v>789.330413075688</x:v>
      </x:c>
      <x:c r="S478" s="10" t="n">
        <x:f>IF(I478=0,0,J478*'Assumptions'!$W$116+H478*'Assumptions'!$X$116)</x:f>
        <x:v>517.4633233929775</x:v>
      </x:c>
      <x:c r="T478" s="10" t="n">
        <x:f>N478*'Assumptions'!$AA$116</x:f>
        <x:v>1229.9072499402168</x:v>
      </x:c>
      <x:c r="U478" s="10" t="n">
        <x:f>'Assumptions'!$AE$116*'Assumptions'!$D$11*(1+'Assumptions'!$D$13)^(4-1)</x:f>
        <x:v>0</x:v>
      </x:c>
      <x:c r="V478" s="10" t="n">
        <x:f>0</x:f>
        <x:v>0</x:v>
      </x:c>
      <x:c r="W478" s="10" t="n">
        <x:f>H478*('Assumptions'!$P$116+'Assumptions'!$Y$116)</x:f>
        <x:v>48.1566096</x:v>
      </x:c>
      <x:c r="X478" s="10" t="n">
        <x:f>N478/12*'Assumptions'!$AF$116</x:f>
        <x:v>0</x:v>
      </x:c>
      <x:c r="Y478" s="10" t="n">
        <x:f>P478/12</x:f>
        <x:v>511.6030455120201</x:v>
      </x:c>
      <x:c r="Z478" s="10" t="n">
        <x:f>0</x:f>
        <x:v>0</x:v>
      </x:c>
      <x:c r="AA478" s="10" t="n">
        <x:f>Z478*'Assumptions'!$AC$116*'Assumptions'!$D$11*(1+'Assumptions'!$D$13)^(4-1)</x:f>
        <x:v>0</x:v>
      </x:c>
      <x:c r="AB478" s="10" t="n">
        <x:f>F478/1</x:f>
        <x:v>118.01395200000003</x:v>
      </x:c>
      <x:c r="AC478" s="10" t="n">
        <x:f>AB478/'Assumptions'!$AM$116</x:f>
        <x:v>3933.798400000001</x:v>
      </x:c>
      <x:c r="AD478" s="10" t="n">
        <x:f>IF(AB478=0,0,T478/AB478)</x:f>
        <x:v>10.421710561309027</x:v>
      </x:c>
      <x:c r="AE478" s="10" t="n">
        <x:f>AA478*'Assumptions'!$D$21</x:f>
        <x:v>0</x:v>
      </x:c>
    </x:row>
    <x:row r="479" ht="16" customHeight="1">
      <x:c r="A479" s="1"/>
      <x:c r="B479" s="1"/>
      <x:c r="C479" s="1" t="str">
        <x:v>DOT-088</x:v>
      </x:c>
      <x:c r="D479" s="10" t="str">
        <x:v>Semajes Studio</x:v>
      </x:c>
      <x:c r="E479" s="10" t="n">
        <x:v>4</x:v>
      </x:c>
      <x:c r="F479" s="21" t="n">
        <x:f>F351*(1+'Assumptions'!$L$117)</x:f>
        <x:v>59.006976000000016</x:v>
      </x:c>
      <x:c r="G479" s="21" t="n">
        <x:f>H351*'Assumptions'!$K$117</x:f>
        <x:v>21.254040000000003</x:v>
      </x:c>
      <x:c r="H479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479+G479,NA())</x:f>
        <x:v>80.26101600000001</x:v>
      </x:c>
      <x:c r="I479" s="22" t="n">
        <x:f>'Assumptions'!$H$117*IF('Assumptions'!$O$117=1,1,'Assumptions'!$D$10)*(1+'Assumptions'!$N$117)^(4-1)</x:f>
        <x:v>265.302</x:v>
      </x:c>
      <x:c r="J479" s="10" t="n">
        <x:f>H479*I479</x:f>
        <x:v>21293.408066832006</x:v>
      </x:c>
      <x:c r="K479" s="10" t="n">
        <x:f>J479*'Assumptions'!$T$117</x:f>
        <x:v>21293.408066832006</x:v>
      </x:c>
      <x:c r="L479" s="10" t="n">
        <x:f>K479*'Assumptions'!$U$117</x:f>
        <x:v>638.8022420049601</x:v>
      </x:c>
      <x:c r="M479" s="10" t="n">
        <x:f>K479*'Assumptions'!$V$117</x:f>
        <x:v>425.8681613366401</x:v>
      </x:c>
      <x:c r="N479" s="10" t="n">
        <x:f>K479-L479-M479</x:f>
        <x:v>20228.737663490407</x:v>
      </x:c>
      <x:c r="O479" s="10" t="n">
        <x:f>H479*'Assumptions'!$P$117*'Assumptions'!$Q$117*'Assumptions'!$D$11*(1+'Assumptions'!$D$13)^(4-1)</x:f>
        <x:v>1096.2922403829002</x:v>
      </x:c>
      <x:c r="P479" s="10" t="n">
        <x:f>H479*'Assumptions'!$R$117*'Assumptions'!$D$11*(1+'Assumptions'!$D$13)^(4-1)</x:f>
        <x:v>9647.371715369522</x:v>
      </x:c>
      <x:c r="Q479" s="10" t="n">
        <x:f>J479*'Assumptions'!$S$117</x:f>
        <x:v>0</x:v>
      </x:c>
      <x:c r="R479" s="10" t="n">
        <x:f>H479*'Assumptions'!$Y$117*'Assumptions'!$Z$117*'Assumptions'!$D$11*(1+'Assumptions'!$D$13)^(4-1)</x:f>
        <x:v>394.665206537844</x:v>
      </x:c>
      <x:c r="S479" s="10" t="n">
        <x:f>IF(I479=0,0,J479*'Assumptions'!$W$117+H479*'Assumptions'!$X$117)</x:f>
        <x:v>641.5871387381281</x:v>
      </x:c>
      <x:c r="T479" s="10" t="n">
        <x:f>N479*'Assumptions'!$AA$117</x:f>
        <x:v>1618.2990130792325</x:v>
      </x:c>
      <x:c r="U479" s="10" t="n">
        <x:f>'Assumptions'!$AE$117*'Assumptions'!$D$11*(1+'Assumptions'!$D$13)^(4-1)</x:f>
        <x:v>0</x:v>
      </x:c>
      <x:c r="V479" s="10" t="n">
        <x:f>0</x:f>
        <x:v>0</x:v>
      </x:c>
      <x:c r="W479" s="10" t="n">
        <x:f>H479*('Assumptions'!$P$117+'Assumptions'!$Y$117)</x:f>
        <x:v>32.10440640000001</x:v>
      </x:c>
      <x:c r="X479" s="10" t="n">
        <x:f>N479/12*'Assumptions'!$AF$117</x:f>
        <x:v>0</x:v>
      </x:c>
      <x:c r="Y479" s="10" t="n">
        <x:f>P479/12</x:f>
        <x:v>803.9476429474602</x:v>
      </x:c>
      <x:c r="Z479" s="10" t="n">
        <x:f>0</x:f>
        <x:v>0</x:v>
      </x:c>
      <x:c r="AA479" s="10" t="n">
        <x:f>Z479*'Assumptions'!$AC$117*'Assumptions'!$D$11*(1+'Assumptions'!$D$13)^(4-1)</x:f>
        <x:v>0</x:v>
      </x:c>
      <x:c r="AB479" s="10" t="n">
        <x:f>F479/1</x:f>
        <x:v>59.006976000000016</x:v>
      </x:c>
      <x:c r="AC479" s="10" t="n">
        <x:f>AB479/'Assumptions'!$AM$117</x:f>
        <x:v>1966.8992000000005</x:v>
      </x:c>
      <x:c r="AD479" s="10" t="n">
        <x:f>IF(AB479=0,0,T479/AB479)</x:f>
        <x:v>27.42555410870796</x:v>
      </x:c>
      <x:c r="AE479" s="10" t="n">
        <x:f>AA479*'Assumptions'!$D$21</x:f>
        <x:v>0</x:v>
      </x:c>
    </x:row>
    <x:row r="480" ht="16" customHeight="1">
      <x:c r="A480" s="1"/>
      <x:c r="B480" s="1"/>
      <x:c r="C480" s="1" t="str">
        <x:v>DOT-089</x:v>
      </x:c>
      <x:c r="D480" s="10" t="str">
        <x:v>Semajes Studio</x:v>
      </x:c>
      <x:c r="E480" s="10" t="n">
        <x:v>4</x:v>
      </x:c>
      <x:c r="F480" s="21" t="n">
        <x:f>F352*(1+'Assumptions'!$L$118)</x:f>
        <x:v>23.602790400000004</x:v>
      </x:c>
      <x:c r="G480" s="21" t="n">
        <x:f>H352*'Assumptions'!$K$118</x:f>
        <x:v>8.501616</x:v>
      </x:c>
      <x:c r="H480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480+G480,NA())</x:f>
        <x:v>32.1044064</x:v>
      </x:c>
      <x:c r="I480" s="22" t="n">
        <x:f>'Assumptions'!$H$118*IF('Assumptions'!$O$118=1,1,'Assumptions'!$D$10)*(1+'Assumptions'!$N$118)^(4-1)</x:f>
        <x:v>185.71140000000003</x:v>
      </x:c>
      <x:c r="J480" s="10" t="n">
        <x:f>H480*I480</x:f>
        <x:v>5962.154258712962</x:v>
      </x:c>
      <x:c r="K480" s="10" t="n">
        <x:f>J480*'Assumptions'!$T$118</x:f>
        <x:v>5962.154258712962</x:v>
      </x:c>
      <x:c r="L480" s="10" t="n">
        <x:f>K480*'Assumptions'!$U$118</x:f>
        <x:v>178.86462776138885</x:v>
      </x:c>
      <x:c r="M480" s="10" t="n">
        <x:f>K480*'Assumptions'!$V$118</x:f>
        <x:v>119.24308517425924</x:v>
      </x:c>
      <x:c r="N480" s="10" t="n">
        <x:f>K480-L480-M480</x:f>
        <x:v>5664.046545777313</x:v>
      </x:c>
      <x:c r="O480" s="10" t="n">
        <x:f>H480*'Assumptions'!$P$118*'Assumptions'!$Q$118*'Assumptions'!$D$11*(1+'Assumptions'!$D$13)^(4-1)</x:f>
        <x:v>877.03379230632</x:v>
      </x:c>
      <x:c r="P480" s="10" t="n">
        <x:f>H480*'Assumptions'!$R$118*'Assumptions'!$D$11*(1+'Assumptions'!$D$13)^(4-1)</x:f>
        <x:v>3157.321652302752</x:v>
      </x:c>
      <x:c r="Q480" s="10" t="n">
        <x:f>J480*'Assumptions'!$S$118</x:f>
        <x:v>0</x:v>
      </x:c>
      <x:c r="R480" s="10" t="n">
        <x:f>H480*'Assumptions'!$Y$118*'Assumptions'!$Z$118*'Assumptions'!$D$11*(1+'Assumptions'!$D$13)^(4-1)</x:f>
        <x:v>157.8660826151376</x:v>
      </x:c>
      <x:c r="S480" s="10" t="n">
        <x:f>IF(I480=0,0,J480*'Assumptions'!$W$118+H480*'Assumptions'!$X$118)</x:f>
        <x:v>182.5337954226759</x:v>
      </x:c>
      <x:c r="T480" s="10" t="n">
        <x:f>N480*'Assumptions'!$AA$118</x:f>
        <x:v>453.12372366218506</x:v>
      </x:c>
      <x:c r="U480" s="10" t="n">
        <x:f>'Assumptions'!$AE$118*'Assumptions'!$D$11*(1+'Assumptions'!$D$13)^(4-1)</x:f>
        <x:v>0</x:v>
      </x:c>
      <x:c r="V480" s="10" t="n">
        <x:f>0</x:f>
        <x:v>0</x:v>
      </x:c>
      <x:c r="W480" s="10" t="n">
        <x:f>H480*('Assumptions'!$P$118+'Assumptions'!$Y$118)</x:f>
        <x:v>20.867864160000003</x:v>
      </x:c>
      <x:c r="X480" s="10" t="n">
        <x:f>N480/12*'Assumptions'!$AF$118</x:f>
        <x:v>0</x:v>
      </x:c>
      <x:c r="Y480" s="10" t="n">
        <x:f>P480/12</x:f>
        <x:v>263.110137691896</x:v>
      </x:c>
      <x:c r="Z480" s="10" t="n">
        <x:f>0</x:f>
        <x:v>0</x:v>
      </x:c>
      <x:c r="AA480" s="10" t="n">
        <x:f>Z480*'Assumptions'!$AC$118*'Assumptions'!$D$11*(1+'Assumptions'!$D$13)^(4-1)</x:f>
        <x:v>0</x:v>
      </x:c>
      <x:c r="AB480" s="10" t="n">
        <x:f>F480/1</x:f>
        <x:v>23.602790400000004</x:v>
      </x:c>
      <x:c r="AC480" s="10" t="n">
        <x:f>AB480/'Assumptions'!$AM$118</x:f>
        <x:v>786.7596800000001</x:v>
      </x:c>
      <x:c r="AD480" s="10" t="n">
        <x:f>IF(AB480=0,0,T480/AB480)</x:f>
        <x:v>19.197887876095574</x:v>
      </x:c>
      <x:c r="AE480" s="10" t="n">
        <x:f>AA480*'Assumptions'!$D$21</x:f>
        <x:v>0</x:v>
      </x:c>
    </x:row>
    <x:row r="481" ht="16" customHeight="1">
      <x:c r="A481" s="1"/>
      <x:c r="B481" s="1"/>
      <x:c r="C481" s="1" t="str">
        <x:v>DOT-090</x:v>
      </x:c>
      <x:c r="D481" s="10" t="str">
        <x:v>Semajes Marketplace</x:v>
      </x:c>
      <x:c r="E481" s="10" t="n">
        <x:v>4</x:v>
      </x:c>
      <x:c r="F481" s="21" t="n">
        <x:f>F353*(1+'Assumptions'!$L$119)</x:f>
        <x:v>62.20800000000001</x:v>
      </x:c>
      <x:c r="G481" s="21" t="n">
        <x:f>H353*'Assumptions'!$K$119</x:f>
        <x:v>78.036</x:v>
      </x:c>
      <x:c r="H481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481+G481,NA())</x:f>
        <x:v>140.24400000000003</x:v>
      </x:c>
      <x:c r="I481" s="22" t="n">
        <x:f>'Assumptions'!$H$119*IF('Assumptions'!$O$119=1,1,'Assumptions'!$D$10)*(1+'Assumptions'!$N$119)^(4-1)</x:f>
        <x:v>636.7248000000001</x:v>
      </x:c>
      <x:c r="J481" s="10" t="n">
        <x:f>H481*I481</x:f>
        <x:v>89296.83285120003</x:v>
      </x:c>
      <x:c r="K481" s="10" t="n">
        <x:f>J481*'Assumptions'!$T$119</x:f>
        <x:v>13394.524927680004</x:v>
      </x:c>
      <x:c r="L481" s="10" t="n">
        <x:f>K481*'Assumptions'!$U$119</x:f>
        <x:v>401.8357478304001</x:v>
      </x:c>
      <x:c r="M481" s="10" t="n">
        <x:f>K481*'Assumptions'!$V$119</x:f>
        <x:v>0</x:v>
      </x:c>
      <x:c r="N481" s="10" t="n">
        <x:f>K481-L481-M481</x:f>
        <x:v>12992.689179849604</x:v>
      </x:c>
      <x:c r="O481" s="10" t="n">
        <x:f>H481*'Assumptions'!$P$119*'Assumptions'!$Q$119*'Assumptions'!$D$11*(1+'Assumptions'!$D$13)^(4-1)</x:f>
        <x:v>1340.9235471450002</x:v>
      </x:c>
      <x:c r="P481" s="10" t="n">
        <x:f>H481*'Assumptions'!$R$119*'Assumptions'!$D$11*(1+'Assumptions'!$D$13)^(4-1)</x:f>
        <x:v>0</x:v>
      </x:c>
      <x:c r="Q481" s="10" t="n">
        <x:f>J481*'Assumptions'!$S$119</x:f>
        <x:v>0</x:v>
      </x:c>
      <x:c r="R481" s="10" t="n">
        <x:f>H481*'Assumptions'!$Y$119*'Assumptions'!$Z$119*'Assumptions'!$D$11*(1+'Assumptions'!$D$13)^(4-1)</x:f>
        <x:v>689.617824246</x:v>
      </x:c>
      <x:c r="S481" s="10" t="n">
        <x:f>IF(I481=0,0,J481*'Assumptions'!$W$119+H481*'Assumptions'!$X$119)</x:f>
        <x:v>2631.681352684801</x:v>
      </x:c>
      <x:c r="T481" s="10" t="n">
        <x:f>N481*'Assumptions'!$AA$119</x:f>
        <x:v>649.6344589924802</x:v>
      </x:c>
      <x:c r="U481" s="10" t="n">
        <x:f>'Assumptions'!$AE$119*'Assumptions'!$D$11*(1+'Assumptions'!$D$13)^(4-1)</x:f>
        <x:v>262.25448</x:v>
      </x:c>
      <x:c r="V481" s="10" t="n">
        <x:f>0</x:f>
        <x:v>0</x:v>
      </x:c>
      <x:c r="W481" s="10" t="n">
        <x:f>H481*('Assumptions'!$P$119+'Assumptions'!$Y$119)</x:f>
        <x:v>56.097600000000014</x:v>
      </x:c>
      <x:c r="X481" s="10" t="n">
        <x:f>N481/12*'Assumptions'!$AF$119</x:f>
        <x:v>0</x:v>
      </x:c>
      <x:c r="Y481" s="10" t="n">
        <x:f>P481/12</x:f>
        <x:v>0</x:v>
      </x:c>
      <x:c r="Z481" s="10" t="n">
        <x:f>0</x:f>
        <x:v>0</x:v>
      </x:c>
      <x:c r="AA481" s="10" t="n">
        <x:f>Z481*'Assumptions'!$AC$119*'Assumptions'!$D$11*(1+'Assumptions'!$D$13)^(4-1)</x:f>
        <x:v>0</x:v>
      </x:c>
      <x:c r="AB481" s="10" t="n">
        <x:f>F481/1</x:f>
        <x:v>62.20800000000001</x:v>
      </x:c>
      <x:c r="AC481" s="10" t="n">
        <x:f>AB481/'Assumptions'!$AM$119</x:f>
        <x:v>1244.16</x:v>
      </x:c>
      <x:c r="AD481" s="10" t="n">
        <x:f>IF(AB481=0,0,T481/AB481)</x:f>
        <x:v>10.442940763125002</x:v>
      </x:c>
      <x:c r="AE481" s="10" t="n">
        <x:f>AA481*'Assumptions'!$D$21</x:f>
        <x:v>0</x:v>
      </x:c>
    </x:row>
    <x:row r="482" ht="16" customHeight="1">
      <x:c r="A482" s="1"/>
      <x:c r="B482" s="1"/>
      <x:c r="C482" s="1" t="str">
        <x:v>DOT-091</x:v>
      </x:c>
      <x:c r="D482" s="10" t="str">
        <x:v>Semajes Marketplace</x:v>
      </x:c>
      <x:c r="E482" s="10" t="n">
        <x:v>4</x:v>
      </x:c>
      <x:c r="F482" s="21" t="n">
        <x:f>F354*(1+'Assumptions'!$L$120)</x:f>
        <x:v>124.41600000000003</x:v>
      </x:c>
      <x:c r="G482" s="21" t="n">
        <x:f>H354*'Assumptions'!$K$120</x:f>
        <x:v>156.072</x:v>
      </x:c>
      <x:c r="H482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482+G482,NA())</x:f>
        <x:v>280.48800000000006</x:v>
      </x:c>
      <x:c r="I482" s="22" t="n">
        <x:f>'Assumptions'!$H$120*IF('Assumptions'!$O$120=1,1,'Assumptions'!$D$10)*(1+'Assumptions'!$N$120)^(4-1)</x:f>
        <x:v>79.59060000000001</x:v>
      </x:c>
      <x:c r="J482" s="10" t="n">
        <x:f>H482*I482</x:f>
        <x:v>22324.208212800007</x:v>
      </x:c>
      <x:c r="K482" s="10" t="n">
        <x:f>J482*'Assumptions'!$T$120</x:f>
        <x:v>4464.841642560002</x:v>
      </x:c>
      <x:c r="L482" s="10" t="n">
        <x:f>K482*'Assumptions'!$U$120</x:f>
        <x:v>133.94524927680004</x:v>
      </x:c>
      <x:c r="M482" s="10" t="n">
        <x:f>K482*'Assumptions'!$V$120</x:f>
        <x:v>0</x:v>
      </x:c>
      <x:c r="N482" s="10" t="n">
        <x:f>K482-L482-M482</x:f>
        <x:v>4330.896393283201</x:v>
      </x:c>
      <x:c r="O482" s="10" t="n">
        <x:f>H482*'Assumptions'!$P$120*'Assumptions'!$Q$120*'Assumptions'!$D$11*(1+'Assumptions'!$D$13)^(4-1)</x:f>
        <x:v>1072.7388377160003</x:v>
      </x:c>
      <x:c r="P482" s="10" t="n">
        <x:f>H482*'Assumptions'!$R$120*'Assumptions'!$D$11*(1+'Assumptions'!$D$13)^(4-1)</x:f>
        <x:v>0</x:v>
      </x:c>
      <x:c r="Q482" s="10" t="n">
        <x:f>J482*'Assumptions'!$S$120</x:f>
        <x:v>0</x:v>
      </x:c>
      <x:c r="R482" s="10" t="n">
        <x:f>H482*'Assumptions'!$Y$120*'Assumptions'!$Z$120*'Assumptions'!$D$11*(1+'Assumptions'!$D$13)^(4-1)</x:f>
        <x:v>1379.235648492</x:v>
      </x:c>
      <x:c r="S482" s="10" t="n">
        <x:f>IF(I482=0,0,J482*'Assumptions'!$W$120+H482*'Assumptions'!$X$120)</x:f>
        <x:v>731.5484381712002</x:v>
      </x:c>
      <x:c r="T482" s="10" t="n">
        <x:f>N482*'Assumptions'!$AA$120</x:f>
        <x:v>216.54481966416006</x:v>
      </x:c>
      <x:c r="U482" s="10" t="n">
        <x:f>'Assumptions'!$AE$120*'Assumptions'!$D$11*(1+'Assumptions'!$D$13)^(4-1)</x:f>
        <x:v>0</x:v>
      </x:c>
      <x:c r="V482" s="10" t="n">
        <x:f>0</x:f>
        <x:v>0</x:v>
      </x:c>
      <x:c r="W482" s="10" t="n">
        <x:f>H482*('Assumptions'!$P$120+'Assumptions'!$Y$120)</x:f>
        <x:v>70.12200000000001</x:v>
      </x:c>
      <x:c r="X482" s="10" t="n">
        <x:f>N482/12*'Assumptions'!$AF$120</x:f>
        <x:v>0</x:v>
      </x:c>
      <x:c r="Y482" s="10" t="n">
        <x:f>P482/12</x:f>
        <x:v>0</x:v>
      </x:c>
      <x:c r="Z482" s="10" t="n">
        <x:f>0</x:f>
        <x:v>0</x:v>
      </x:c>
      <x:c r="AA482" s="10" t="n">
        <x:f>Z482*'Assumptions'!$AC$120*'Assumptions'!$D$11*(1+'Assumptions'!$D$13)^(4-1)</x:f>
        <x:v>0</x:v>
      </x:c>
      <x:c r="AB482" s="10" t="n">
        <x:f>F482/1</x:f>
        <x:v>124.41600000000003</x:v>
      </x:c>
      <x:c r="AC482" s="10" t="n">
        <x:f>AB482/'Assumptions'!$AM$120</x:f>
        <x:v>2488.32</x:v>
      </x:c>
      <x:c r="AD482" s="10" t="n">
        <x:f>IF(AB482=0,0,T482/AB482)</x:f>
        <x:v>1.7404901271875002</x:v>
      </x:c>
      <x:c r="AE482" s="10" t="n">
        <x:f>AA482*'Assumptions'!$D$21</x:f>
        <x:v>0</x:v>
      </x:c>
    </x:row>
    <x:row r="483" ht="16" customHeight="1">
      <x:c r="A483" s="1"/>
      <x:c r="B483" s="1"/>
      <x:c r="C483" s="1" t="str">
        <x:v>DOT-092</x:v>
      </x:c>
      <x:c r="D483" s="10" t="str">
        <x:v>Semajes Marketplace</x:v>
      </x:c>
      <x:c r="E483" s="10" t="n">
        <x:v>4</x:v>
      </x:c>
      <x:c r="F483" s="21" t="n">
        <x:f>F355*(1+'Assumptions'!$L$121)</x:f>
        <x:v>62.20800000000001</x:v>
      </x:c>
      <x:c r="G483" s="21" t="n">
        <x:f>H355*'Assumptions'!$K$121</x:f>
        <x:v>78.036</x:v>
      </x:c>
      <x:c r="H483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483+G483,NA())</x:f>
        <x:v>140.24400000000003</x:v>
      </x:c>
      <x:c r="I483" s="22" t="n">
        <x:f>'Assumptions'!$H$121*IF('Assumptions'!$O$121=1,1,'Assumptions'!$D$10)*(1+'Assumptions'!$N$121)^(4-1)</x:f>
        <x:v>265.302</x:v>
      </x:c>
      <x:c r="J483" s="10" t="n">
        <x:f>H483*I483</x:f>
        <x:v>37207.013688000014</x:v>
      </x:c>
      <x:c r="K483" s="10" t="n">
        <x:f>J483*'Assumptions'!$T$121</x:f>
        <x:v>7441.402737600003</x:v>
      </x:c>
      <x:c r="L483" s="10" t="n">
        <x:f>K483*'Assumptions'!$U$121</x:f>
        <x:v>223.24208212800008</x:v>
      </x:c>
      <x:c r="M483" s="10" t="n">
        <x:f>K483*'Assumptions'!$V$121</x:f>
        <x:v>0</x:v>
      </x:c>
      <x:c r="N483" s="10" t="n">
        <x:f>K483-L483-M483</x:f>
        <x:v>7218.160655472003</x:v>
      </x:c>
      <x:c r="O483" s="10" t="n">
        <x:f>H483*'Assumptions'!$P$121*'Assumptions'!$Q$121*'Assumptions'!$D$11*(1+'Assumptions'!$D$13)^(4-1)</x:f>
        <x:v>804.5541282870001</x:v>
      </x:c>
      <x:c r="P483" s="10" t="n">
        <x:f>H483*'Assumptions'!$R$121*'Assumptions'!$D$11*(1+'Assumptions'!$D$13)^(4-1)</x:f>
        <x:v>0</x:v>
      </x:c>
      <x:c r="Q483" s="10" t="n">
        <x:f>J483*'Assumptions'!$S$121</x:f>
        <x:v>0</x:v>
      </x:c>
      <x:c r="R483" s="10" t="n">
        <x:f>H483*'Assumptions'!$Y$121*'Assumptions'!$Z$121*'Assumptions'!$D$11*(1+'Assumptions'!$D$13)^(4-1)</x:f>
        <x:v>689.617824246</x:v>
      </x:c>
      <x:c r="S483" s="10" t="n">
        <x:f>IF(I483=0,0,J483*'Assumptions'!$W$121+H483*'Assumptions'!$X$121)</x:f>
        <x:v>1121.0765969520005</x:v>
      </x:c>
      <x:c r="T483" s="10" t="n">
        <x:f>N483*'Assumptions'!$AA$121</x:f>
        <x:v>360.90803277360015</x:v>
      </x:c>
      <x:c r="U483" s="10" t="n">
        <x:f>'Assumptions'!$AE$121*'Assumptions'!$D$11*(1+'Assumptions'!$D$13)^(4-1)</x:f>
        <x:v>0</x:v>
      </x:c>
      <x:c r="V483" s="10" t="n">
        <x:f>0</x:f>
        <x:v>0</x:v>
      </x:c>
      <x:c r="W483" s="10" t="n">
        <x:f>H483*('Assumptions'!$P$121+'Assumptions'!$Y$121)</x:f>
        <x:v>42.07320000000001</x:v>
      </x:c>
      <x:c r="X483" s="10" t="n">
        <x:f>N483/12*'Assumptions'!$AF$121</x:f>
        <x:v>0</x:v>
      </x:c>
      <x:c r="Y483" s="10" t="n">
        <x:f>P483/12</x:f>
        <x:v>0</x:v>
      </x:c>
      <x:c r="Z483" s="10" t="n">
        <x:f>0</x:f>
        <x:v>0</x:v>
      </x:c>
      <x:c r="AA483" s="10" t="n">
        <x:f>Z483*'Assumptions'!$AC$121*'Assumptions'!$D$11*(1+'Assumptions'!$D$13)^(4-1)</x:f>
        <x:v>0</x:v>
      </x:c>
      <x:c r="AB483" s="10" t="n">
        <x:f>F483/1</x:f>
        <x:v>62.20800000000001</x:v>
      </x:c>
      <x:c r="AC483" s="10" t="n">
        <x:f>AB483/'Assumptions'!$AM$121</x:f>
        <x:v>1244.16</x:v>
      </x:c>
      <x:c r="AD483" s="10" t="n">
        <x:f>IF(AB483=0,0,T483/AB483)</x:f>
        <x:v>5.801633757291668</x:v>
      </x:c>
      <x:c r="AE483" s="10" t="n">
        <x:f>AA483*'Assumptions'!$D$21</x:f>
        <x:v>0</x:v>
      </x:c>
    </x:row>
    <x:row r="484" ht="16" customHeight="1">
      <x:c r="A484" s="1"/>
      <x:c r="B484" s="1"/>
      <x:c r="C484" s="1" t="str">
        <x:v>DOT-093</x:v>
      </x:c>
      <x:c r="D484" s="10" t="str">
        <x:v>Semajes Marketplace</x:v>
      </x:c>
      <x:c r="E484" s="10" t="n">
        <x:v>4</x:v>
      </x:c>
      <x:c r="F484" s="21" t="n">
        <x:f>F356*(1+'Assumptions'!$L$122)</x:f>
        <x:v>12.4416</x:v>
      </x:c>
      <x:c r="G484" s="21" t="n">
        <x:f>H356*'Assumptions'!$K$122</x:f>
        <x:v>15.607199999999999</x:v>
      </x:c>
      <x:c r="H484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484+G484,NA())</x:f>
        <x:v>28.0488</x:v>
      </x:c>
      <x:c r="I484" s="22" t="n">
        <x:f>'Assumptions'!$H$122*IF('Assumptions'!$O$122=1,1,'Assumptions'!$D$10)*(1+'Assumptions'!$N$122)^(4-1)</x:f>
        <x:v>530.604</x:v>
      </x:c>
      <x:c r="J484" s="10" t="n">
        <x:f>H484*I484</x:f>
        <x:v>14882.8054752</x:v>
      </x:c>
      <x:c r="K484" s="10" t="n">
        <x:f>J484*'Assumptions'!$T$122</x:f>
        <x:v>2232.42082128</x:v>
      </x:c>
      <x:c r="L484" s="10" t="n">
        <x:f>K484*'Assumptions'!$U$122</x:f>
        <x:v>66.97262463839999</x:v>
      </x:c>
      <x:c r="M484" s="10" t="n">
        <x:f>K484*'Assumptions'!$V$122</x:f>
        <x:v>0</x:v>
      </x:c>
      <x:c r="N484" s="10" t="n">
        <x:f>K484-L484-M484</x:f>
        <x:v>2165.4481966416</x:v>
      </x:c>
      <x:c r="O484" s="10" t="n">
        <x:f>H484*'Assumptions'!$P$122*'Assumptions'!$Q$122*'Assumptions'!$D$11*(1+'Assumptions'!$D$13)^(4-1)</x:f>
        <x:v>268.184709429</x:v>
      </x:c>
      <x:c r="P484" s="10" t="n">
        <x:f>H484*'Assumptions'!$R$122*'Assumptions'!$D$11*(1+'Assumptions'!$D$13)^(4-1)</x:f>
        <x:v>0</x:v>
      </x:c>
      <x:c r="Q484" s="10" t="n">
        <x:f>J484*'Assumptions'!$S$122</x:f>
        <x:v>0</x:v>
      </x:c>
      <x:c r="R484" s="10" t="n">
        <x:f>H484*'Assumptions'!$Y$122*'Assumptions'!$Z$122*'Assumptions'!$D$11*(1+'Assumptions'!$D$13)^(4-1)</x:f>
        <x:v>137.9235648492</x:v>
      </x:c>
      <x:c r="S484" s="10" t="n">
        <x:f>IF(I484=0,0,J484*'Assumptions'!$W$122+H484*'Assumptions'!$X$122)</x:f>
        <x:v>440.0159987808001</x:v>
      </x:c>
      <x:c r="T484" s="10" t="n">
        <x:f>N484*'Assumptions'!$AA$122</x:f>
        <x:v>108.27240983208002</x:v>
      </x:c>
      <x:c r="U484" s="10" t="n">
        <x:f>'Assumptions'!$AE$122*'Assumptions'!$D$11*(1+'Assumptions'!$D$13)^(4-1)</x:f>
        <x:v>0</x:v>
      </x:c>
      <x:c r="V484" s="10" t="n">
        <x:f>0</x:f>
        <x:v>0</x:v>
      </x:c>
      <x:c r="W484" s="10" t="n">
        <x:f>H484*('Assumptions'!$P$122+'Assumptions'!$Y$122)</x:f>
        <x:v>11.219520000000001</x:v>
      </x:c>
      <x:c r="X484" s="10" t="n">
        <x:f>N484/12*'Assumptions'!$AF$122</x:f>
        <x:v>0</x:v>
      </x:c>
      <x:c r="Y484" s="10" t="n">
        <x:f>P484/12</x:f>
        <x:v>0</x:v>
      </x:c>
      <x:c r="Z484" s="10" t="n">
        <x:f>0</x:f>
        <x:v>0</x:v>
      </x:c>
      <x:c r="AA484" s="10" t="n">
        <x:f>Z484*'Assumptions'!$AC$122*'Assumptions'!$D$11*(1+'Assumptions'!$D$13)^(4-1)</x:f>
        <x:v>0</x:v>
      </x:c>
      <x:c r="AB484" s="10" t="n">
        <x:f>F484/1</x:f>
        <x:v>12.4416</x:v>
      </x:c>
      <x:c r="AC484" s="10" t="n">
        <x:f>AB484/'Assumptions'!$AM$122</x:f>
        <x:v>248.83199999999997</x:v>
      </x:c>
      <x:c r="AD484" s="10" t="n">
        <x:f>IF(AB484=0,0,T484/AB484)</x:f>
        <x:v>8.702450635937502</x:v>
      </x:c>
      <x:c r="AE484" s="10" t="n">
        <x:f>AA484*'Assumptions'!$D$21</x:f>
        <x:v>0</x:v>
      </x:c>
    </x:row>
    <x:row r="485" ht="16" customHeight="1">
      <x:c r="A485" s="1"/>
      <x:c r="B485" s="1"/>
      <x:c r="C485" s="1" t="str">
        <x:v>DOT-094</x:v>
      </x:c>
      <x:c r="D485" s="10" t="str">
        <x:v>Semajes premium and media</x:v>
      </x:c>
      <x:c r="E485" s="10" t="n">
        <x:v>4</x:v>
      </x:c>
      <x:c r="F485" s="21" t="n">
        <x:f>F357*(1+'Assumptions'!$L$123)</x:f>
        <x:v>62.20800000000001</x:v>
      </x:c>
      <x:c r="G485" s="21" t="n">
        <x:f>H357*'Assumptions'!$K$123</x:f>
        <x:v>78.036</x:v>
      </x:c>
      <x:c r="H485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485+G485,NA())</x:f>
        <x:v>140.24400000000003</x:v>
      </x:c>
      <x:c r="I485" s="22" t="n">
        <x:f>'Assumptions'!$H$123*IF('Assumptions'!$O$123=1,1,'Assumptions'!$D$10)*(1+'Assumptions'!$N$123)^(4-1)</x:f>
        <x:v>9.550872000000002</x:v>
      </x:c>
      <x:c r="J485" s="10" t="n">
        <x:f>H485*I485</x:f>
        <x:v>1339.4524927680004</x:v>
      </x:c>
      <x:c r="K485" s="10" t="n">
        <x:f>J485*'Assumptions'!$T$123</x:f>
        <x:v>1339.4524927680004</x:v>
      </x:c>
      <x:c r="L485" s="10" t="n">
        <x:f>K485*'Assumptions'!$U$123</x:f>
        <x:v>40.18357478304001</x:v>
      </x:c>
      <x:c r="M485" s="10" t="n">
        <x:f>K485*'Assumptions'!$V$123</x:f>
        <x:v>0</x:v>
      </x:c>
      <x:c r="N485" s="10" t="n">
        <x:f>K485-L485-M485</x:f>
        <x:v>1299.2689179849604</x:v>
      </x:c>
      <x:c r="O485" s="10" t="n">
        <x:f>H485*'Assumptions'!$P$123*'Assumptions'!$Q$123*'Assumptions'!$D$11*(1+'Assumptions'!$D$13)^(4-1)</x:f>
        <x:v>268.18470942900007</x:v>
      </x:c>
      <x:c r="P485" s="10" t="n">
        <x:f>H485*'Assumptions'!$R$123*'Assumptions'!$D$11*(1+'Assumptions'!$D$13)^(4-1)</x:f>
        <x:v>0</x:v>
      </x:c>
      <x:c r="Q485" s="10" t="n">
        <x:f>J485*'Assumptions'!$S$123</x:f>
        <x:v>0</x:v>
      </x:c>
      <x:c r="R485" s="10" t="n">
        <x:f>H485*'Assumptions'!$Y$123*'Assumptions'!$Z$123*'Assumptions'!$D$11*(1+'Assumptions'!$D$13)^(4-1)</x:f>
        <x:v>689.617824246</x:v>
      </x:c>
      <x:c r="S485" s="10" t="n">
        <x:f>IF(I485=0,0,J485*'Assumptions'!$W$123+H485*'Assumptions'!$X$123)</x:f>
        <x:v>80.91732229027201</x:v>
      </x:c>
      <x:c r="T485" s="10" t="n">
        <x:f>N485*'Assumptions'!$AA$123</x:f>
        <x:v>64.96344589924801</x:v>
      </x:c>
      <x:c r="U485" s="10" t="n">
        <x:f>'Assumptions'!$AE$123*'Assumptions'!$D$11*(1+'Assumptions'!$D$13)^(4-1)</x:f>
        <x:v>0</x:v>
      </x:c>
      <x:c r="V485" s="10" t="n">
        <x:f>0</x:f>
        <x:v>0</x:v>
      </x:c>
      <x:c r="W485" s="10" t="n">
        <x:f>H485*('Assumptions'!$P$123+'Assumptions'!$Y$123)</x:f>
        <x:v>28.048800000000007</x:v>
      </x:c>
      <x:c r="X485" s="10" t="n">
        <x:f>N485/12*'Assumptions'!$AF$123</x:f>
        <x:v>0</x:v>
      </x:c>
      <x:c r="Y485" s="10" t="n">
        <x:f>P485/12</x:f>
        <x:v>0</x:v>
      </x:c>
      <x:c r="Z485" s="10" t="n">
        <x:f>0</x:f>
        <x:v>0</x:v>
      </x:c>
      <x:c r="AA485" s="10" t="n">
        <x:f>Z485*'Assumptions'!$AC$123*'Assumptions'!$D$11*(1+'Assumptions'!$D$13)^(4-1)</x:f>
        <x:v>0</x:v>
      </x:c>
      <x:c r="AB485" s="10" t="n">
        <x:f>F485/12</x:f>
        <x:v>5.184000000000001</x:v>
      </x:c>
      <x:c r="AC485" s="10" t="n">
        <x:f>AB485/'Assumptions'!$AM$123</x:f>
        <x:v>103.68000000000002</x:v>
      </x:c>
      <x:c r="AD485" s="10" t="n">
        <x:f>IF(AB485=0,0,T485/AB485)</x:f>
        <x:v>12.53152891575</x:v>
      </x:c>
      <x:c r="AE485" s="10" t="n">
        <x:f>AA485*'Assumptions'!$D$21</x:f>
        <x:v>0</x:v>
      </x:c>
    </x:row>
    <x:row r="486" ht="16" customHeight="1">
      <x:c r="A486" s="1"/>
      <x:c r="B486" s="1"/>
      <x:c r="C486" s="1" t="str">
        <x:v>DOT-095</x:v>
      </x:c>
      <x:c r="D486" s="10" t="str">
        <x:v>Semajes premium and media</x:v>
      </x:c>
      <x:c r="E486" s="10" t="n">
        <x:v>4</x:v>
      </x:c>
      <x:c r="F486" s="21" t="n">
        <x:f>F358*(1+'Assumptions'!$L$124)</x:f>
        <x:v>62.20800000000001</x:v>
      </x:c>
      <x:c r="G486" s="21" t="n">
        <x:f>H358*'Assumptions'!$K$124</x:f>
        <x:v>78.036</x:v>
      </x:c>
      <x:c r="H486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486+G486,NA())</x:f>
        <x:v>140.24400000000003</x:v>
      </x:c>
      <x:c r="I486" s="22" t="n">
        <x:f>'Assumptions'!$H$124*IF('Assumptions'!$O$124=1,1,'Assumptions'!$D$10)*(1+'Assumptions'!$N$124)^(4-1)</x:f>
        <x:v>20.162952000000004</x:v>
      </x:c>
      <x:c r="J486" s="10" t="n">
        <x:f>H486*I486</x:f>
        <x:v>2827.733040288001</x:v>
      </x:c>
      <x:c r="K486" s="10" t="n">
        <x:f>J486*'Assumptions'!$T$124</x:f>
        <x:v>2827.733040288001</x:v>
      </x:c>
      <x:c r="L486" s="10" t="n">
        <x:f>K486*'Assumptions'!$U$124</x:f>
        <x:v>84.83199120864003</x:v>
      </x:c>
      <x:c r="M486" s="10" t="n">
        <x:f>K486*'Assumptions'!$V$124</x:f>
        <x:v>0</x:v>
      </x:c>
      <x:c r="N486" s="10" t="n">
        <x:f>K486-L486-M486</x:f>
        <x:v>2742.901049079361</x:v>
      </x:c>
      <x:c r="O486" s="10" t="n">
        <x:f>H486*'Assumptions'!$P$124*'Assumptions'!$Q$124*'Assumptions'!$D$11*(1+'Assumptions'!$D$13)^(4-1)</x:f>
        <x:v>536.3694188580001</x:v>
      </x:c>
      <x:c r="P486" s="10" t="n">
        <x:f>H486*'Assumptions'!$R$124*'Assumptions'!$D$11*(1+'Assumptions'!$D$13)^(4-1)</x:f>
        <x:v>0</x:v>
      </x:c>
      <x:c r="Q486" s="10" t="n">
        <x:f>J486*'Assumptions'!$S$124</x:f>
        <x:v>0</x:v>
      </x:c>
      <x:c r="R486" s="10" t="n">
        <x:f>H486*'Assumptions'!$Y$124*'Assumptions'!$Z$124*'Assumptions'!$D$11*(1+'Assumptions'!$D$13)^(4-1)</x:f>
        <x:v>689.617824246</x:v>
      </x:c>
      <x:c r="S486" s="10" t="n">
        <x:f>IF(I486=0,0,J486*'Assumptions'!$W$124+H486*'Assumptions'!$X$124)</x:f>
        <x:v>124.07745816835205</x:v>
      </x:c>
      <x:c r="T486" s="10" t="n">
        <x:f>N486*'Assumptions'!$AA$124</x:f>
        <x:v>137.14505245396808</x:v>
      </x:c>
      <x:c r="U486" s="10" t="n">
        <x:f>'Assumptions'!$AE$124*'Assumptions'!$D$11*(1+'Assumptions'!$D$13)^(4-1)</x:f>
        <x:v>0</x:v>
      </x:c>
      <x:c r="V486" s="10" t="n">
        <x:f>0</x:f>
        <x:v>0</x:v>
      </x:c>
      <x:c r="W486" s="10" t="n">
        <x:f>H486*('Assumptions'!$P$124+'Assumptions'!$Y$124)</x:f>
        <x:v>35.06100000000001</x:v>
      </x:c>
      <x:c r="X486" s="10" t="n">
        <x:f>N486/12*'Assumptions'!$AF$124</x:f>
        <x:v>0</x:v>
      </x:c>
      <x:c r="Y486" s="10" t="n">
        <x:f>P486/12</x:f>
        <x:v>0</x:v>
      </x:c>
      <x:c r="Z486" s="10" t="n">
        <x:f>0</x:f>
        <x:v>0</x:v>
      </x:c>
      <x:c r="AA486" s="10" t="n">
        <x:f>Z486*'Assumptions'!$AC$124*'Assumptions'!$D$11*(1+'Assumptions'!$D$13)^(4-1)</x:f>
        <x:v>0</x:v>
      </x:c>
      <x:c r="AB486" s="10" t="n">
        <x:f>F486/12</x:f>
        <x:v>5.184000000000001</x:v>
      </x:c>
      <x:c r="AC486" s="10" t="n">
        <x:f>AB486/'Assumptions'!$AM$124</x:f>
        <x:v>103.68000000000002</x:v>
      </x:c>
      <x:c r="AD486" s="10" t="n">
        <x:f>IF(AB486=0,0,T486/AB486)</x:f>
        <x:v>26.45544993325001</x:v>
      </x:c>
      <x:c r="AE486" s="10" t="n">
        <x:f>AA486*'Assumptions'!$D$21</x:f>
        <x:v>0</x:v>
      </x:c>
    </x:row>
    <x:row r="487" ht="16" customHeight="1">
      <x:c r="A487" s="1"/>
      <x:c r="B487" s="1"/>
      <x:c r="C487" s="1" t="str">
        <x:v>DOT-096</x:v>
      </x:c>
      <x:c r="D487" s="10" t="str">
        <x:v>Semajes premium and media</x:v>
      </x:c>
      <x:c r="E487" s="10" t="n">
        <x:v>4</x:v>
      </x:c>
      <x:c r="F487" s="21" t="n">
        <x:f>F359*(1+'Assumptions'!$L$125)</x:f>
        <x:v>31.104000000000006</x:v>
      </x:c>
      <x:c r="G487" s="21" t="n">
        <x:f>H359*'Assumptions'!$K$125</x:f>
        <x:v>39.018</x:v>
      </x:c>
      <x:c r="H487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487+G487,NA())</x:f>
        <x:v>70.12200000000001</x:v>
      </x:c>
      <x:c r="I487" s="22" t="n">
        <x:f>'Assumptions'!$H$125*IF('Assumptions'!$O$125=1,1,'Assumptions'!$D$10)*(1+'Assumptions'!$N$125)^(4-1)</x:f>
        <x:v>41.38711200000001</x:v>
      </x:c>
      <x:c r="J487" s="10" t="n">
        <x:f>H487*I487</x:f>
        <x:v>2902.147067664001</x:v>
      </x:c>
      <x:c r="K487" s="10" t="n">
        <x:f>J487*'Assumptions'!$T$125</x:f>
        <x:v>2902.147067664001</x:v>
      </x:c>
      <x:c r="L487" s="10" t="n">
        <x:f>K487*'Assumptions'!$U$125</x:f>
        <x:v>87.06441202992002</x:v>
      </x:c>
      <x:c r="M487" s="10" t="n">
        <x:f>K487*'Assumptions'!$V$125</x:f>
        <x:v>0</x:v>
      </x:c>
      <x:c r="N487" s="10" t="n">
        <x:f>K487-L487-M487</x:f>
        <x:v>2815.082655634081</x:v>
      </x:c>
      <x:c r="O487" s="10" t="n">
        <x:f>H487*'Assumptions'!$P$125*'Assumptions'!$Q$125*'Assumptions'!$D$11*(1+'Assumptions'!$D$13)^(4-1)</x:f>
        <x:v>536.3694188580001</x:v>
      </x:c>
      <x:c r="P487" s="10" t="n">
        <x:f>H487*'Assumptions'!$R$125*'Assumptions'!$D$11*(1+'Assumptions'!$D$13)^(4-1)</x:f>
        <x:v>0</x:v>
      </x:c>
      <x:c r="Q487" s="10" t="n">
        <x:f>J487*'Assumptions'!$S$125</x:f>
        <x:v>0</x:v>
      </x:c>
      <x:c r="R487" s="10" t="n">
        <x:f>H487*'Assumptions'!$Y$125*'Assumptions'!$Z$125*'Assumptions'!$D$11*(1+'Assumptions'!$D$13)^(4-1)</x:f>
        <x:v>344.808912123</x:v>
      </x:c>
      <x:c r="S487" s="10" t="n">
        <x:f>IF(I487=0,0,J487*'Assumptions'!$W$125+H487*'Assumptions'!$X$125)</x:f>
        <x:v>105.19886496225604</x:v>
      </x:c>
      <x:c r="T487" s="10" t="n">
        <x:f>N487*'Assumptions'!$AA$125</x:f>
        <x:v>140.75413278170407</x:v>
      </x:c>
      <x:c r="U487" s="10" t="n">
        <x:f>'Assumptions'!$AE$125*'Assumptions'!$D$11*(1+'Assumptions'!$D$13)^(4-1)</x:f>
        <x:v>0</x:v>
      </x:c>
      <x:c r="V487" s="10" t="n">
        <x:f>0</x:f>
        <x:v>0</x:v>
      </x:c>
      <x:c r="W487" s="10" t="n">
        <x:f>H487*('Assumptions'!$P$125+'Assumptions'!$Y$125)</x:f>
        <x:v>24.542700000000004</x:v>
      </x:c>
      <x:c r="X487" s="10" t="n">
        <x:f>N487/12*'Assumptions'!$AF$125</x:f>
        <x:v>0</x:v>
      </x:c>
      <x:c r="Y487" s="10" t="n">
        <x:f>P487/12</x:f>
        <x:v>0</x:v>
      </x:c>
      <x:c r="Z487" s="10" t="n">
        <x:f>0</x:f>
        <x:v>0</x:v>
      </x:c>
      <x:c r="AA487" s="10" t="n">
        <x:f>Z487*'Assumptions'!$AC$125*'Assumptions'!$D$11*(1+'Assumptions'!$D$13)^(4-1)</x:f>
        <x:v>0</x:v>
      </x:c>
      <x:c r="AB487" s="10" t="n">
        <x:f>F487/12</x:f>
        <x:v>2.5920000000000005</x:v>
      </x:c>
      <x:c r="AC487" s="10" t="n">
        <x:f>AB487/'Assumptions'!$AM$125</x:f>
        <x:v>51.84000000000001</x:v>
      </x:c>
      <x:c r="AD487" s="10" t="n">
        <x:f>IF(AB487=0,0,T487/AB487)</x:f>
        <x:v>54.303291968250015</x:v>
      </x:c>
      <x:c r="AE487" s="10" t="n">
        <x:f>AA487*'Assumptions'!$D$21</x:f>
        <x:v>0</x:v>
      </x:c>
    </x:row>
    <x:row r="488" ht="16" customHeight="1">
      <x:c r="A488" s="1"/>
      <x:c r="B488" s="1"/>
      <x:c r="C488" s="1" t="str">
        <x:v>DOT-097</x:v>
      </x:c>
      <x:c r="D488" s="10" t="str">
        <x:v>Semajes premium and media</x:v>
      </x:c>
      <x:c r="E488" s="10" t="n">
        <x:v>4</x:v>
      </x:c>
      <x:c r="F488" s="21" t="n">
        <x:f>F360*(1+'Assumptions'!$L$126)</x:f>
        <x:v>18.662399999999998</x:v>
      </x:c>
      <x:c r="G488" s="21" t="n">
        <x:f>H360*'Assumptions'!$K$126</x:f>
        <x:v>23.410800000000002</x:v>
      </x:c>
      <x:c r="H488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488+G488,NA())</x:f>
        <x:v>42.0732</x:v>
      </x:c>
      <x:c r="I488" s="22" t="n">
        <x:f>'Assumptions'!$H$126*IF('Assumptions'!$O$126=1,1,'Assumptions'!$D$10)*(1+'Assumptions'!$N$126)^(4-1)</x:f>
        <x:v>105.05959200000001</x:v>
      </x:c>
      <x:c r="J488" s="10" t="n">
        <x:f>H488*I488</x:f>
        <x:v>4420.1932261344</x:v>
      </x:c>
      <x:c r="K488" s="10" t="n">
        <x:f>J488*'Assumptions'!$T$126</x:f>
        <x:v>4420.1932261344</x:v>
      </x:c>
      <x:c r="L488" s="10" t="n">
        <x:f>K488*'Assumptions'!$U$126</x:f>
        <x:v>132.605796784032</x:v>
      </x:c>
      <x:c r="M488" s="10" t="n">
        <x:f>K488*'Assumptions'!$V$126</x:f>
        <x:v>0</x:v>
      </x:c>
      <x:c r="N488" s="10" t="n">
        <x:f>K488-L488-M488</x:f>
        <x:v>4287.5874293503675</x:v>
      </x:c>
      <x:c r="O488" s="10" t="n">
        <x:f>H488*'Assumptions'!$P$126*'Assumptions'!$Q$126*'Assumptions'!$D$11*(1+'Assumptions'!$D$13)^(4-1)</x:f>
        <x:v>1609.1082565739998</x:v>
      </x:c>
      <x:c r="P488" s="10" t="n">
        <x:f>H488*'Assumptions'!$R$126*'Assumptions'!$D$11*(1+'Assumptions'!$D$13)^(4-1)</x:f>
        <x:v>0</x:v>
      </x:c>
      <x:c r="Q488" s="10" t="n">
        <x:f>J488*'Assumptions'!$S$126</x:f>
        <x:v>0</x:v>
      </x:c>
      <x:c r="R488" s="10" t="n">
        <x:f>H488*'Assumptions'!$Y$126*'Assumptions'!$Z$126*'Assumptions'!$D$11*(1+'Assumptions'!$D$13)^(4-1)</x:f>
        <x:v>206.8853472738</x:v>
      </x:c>
      <x:c r="S488" s="10" t="n">
        <x:f>IF(I488=0,0,J488*'Assumptions'!$W$126+H488*'Assumptions'!$X$126)</x:f>
        <x:v>140.8075635578976</x:v>
      </x:c>
      <x:c r="T488" s="10" t="n">
        <x:f>N488*'Assumptions'!$AA$126</x:f>
        <x:v>214.37937146751838</x:v>
      </x:c>
      <x:c r="U488" s="10" t="n">
        <x:f>'Assumptions'!$AE$126*'Assumptions'!$D$11*(1+'Assumptions'!$D$13)^(4-1)</x:f>
        <x:v>0</x:v>
      </x:c>
      <x:c r="V488" s="10" t="n">
        <x:f>0</x:f>
        <x:v>0</x:v>
      </x:c>
      <x:c r="W488" s="10" t="n">
        <x:f>H488*('Assumptions'!$P$126+'Assumptions'!$Y$126)</x:f>
        <x:v>48.38417999999999</x:v>
      </x:c>
      <x:c r="X488" s="10" t="n">
        <x:f>N488/12*'Assumptions'!$AF$126</x:f>
        <x:v>0</x:v>
      </x:c>
      <x:c r="Y488" s="10" t="n">
        <x:f>P488/12</x:f>
        <x:v>0</x:v>
      </x:c>
      <x:c r="Z488" s="10" t="n">
        <x:f>0</x:f>
        <x:v>0</x:v>
      </x:c>
      <x:c r="AA488" s="10" t="n">
        <x:f>Z488*'Assumptions'!$AC$126*'Assumptions'!$D$11*(1+'Assumptions'!$D$13)^(4-1)</x:f>
        <x:v>0</x:v>
      </x:c>
      <x:c r="AB488" s="10" t="n">
        <x:f>F488/1</x:f>
        <x:v>18.662399999999998</x:v>
      </x:c>
      <x:c r="AC488" s="10" t="n">
        <x:f>AB488/'Assumptions'!$AM$126</x:f>
        <x:v>373.24799999999993</x:v>
      </x:c>
      <x:c r="AD488" s="10" t="n">
        <x:f>IF(AB488=0,0,T488/AB488)</x:f>
        <x:v>11.4872348394375</x:v>
      </x:c>
      <x:c r="AE488" s="10" t="n">
        <x:f>AA488*'Assumptions'!$D$21</x:f>
        <x:v>0</x:v>
      </x:c>
    </x:row>
    <x:row r="489" ht="16" customHeight="1">
      <x:c r="A489" s="1"/>
      <x:c r="B489" s="1"/>
      <x:c r="C489" s="1" t="str">
        <x:v>DOT-098</x:v>
      </x:c>
      <x:c r="D489" s="10" t="str">
        <x:v>Semajes premium and media</x:v>
      </x:c>
      <x:c r="E489" s="10" t="n">
        <x:v>4</x:v>
      </x:c>
      <x:c r="F489" s="21" t="n">
        <x:f>F361*(1+'Assumptions'!$L$127)</x:f>
        <x:v>9.331199999999999</x:v>
      </x:c>
      <x:c r="G489" s="21" t="n">
        <x:f>H361*'Assumptions'!$K$127</x:f>
        <x:v>11.705400000000001</x:v>
      </x:c>
      <x:c r="H489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489+G489,NA())</x:f>
        <x:v>21.0366</x:v>
      </x:c>
      <x:c r="I489" s="22" t="n">
        <x:f>'Assumptions'!$H$127*IF('Assumptions'!$O$127=1,1,'Assumptions'!$D$10)*(1+'Assumptions'!$N$127)^(4-1)</x:f>
        <x:v>264.24079200000006</x:v>
      </x:c>
      <x:c r="J489" s="10" t="n">
        <x:f>H489*I489</x:f>
        <x:v>5558.727844987201</x:v>
      </x:c>
      <x:c r="K489" s="10" t="n">
        <x:f>J489*'Assumptions'!$T$127</x:f>
        <x:v>5558.727844987201</x:v>
      </x:c>
      <x:c r="L489" s="10" t="n">
        <x:f>K489*'Assumptions'!$U$127</x:f>
        <x:v>166.76183534961604</x:v>
      </x:c>
      <x:c r="M489" s="10" t="n">
        <x:f>K489*'Assumptions'!$V$127</x:f>
        <x:v>0</x:v>
      </x:c>
      <x:c r="N489" s="10" t="n">
        <x:f>K489-L489-M489</x:f>
        <x:v>5391.966009637585</x:v>
      </x:c>
      <x:c r="O489" s="10" t="n">
        <x:f>H489*'Assumptions'!$P$127*'Assumptions'!$Q$127*'Assumptions'!$D$11*(1+'Assumptions'!$D$13)^(4-1)</x:f>
        <x:v>2413.6623848609997</x:v>
      </x:c>
      <x:c r="P489" s="10" t="n">
        <x:f>H489*'Assumptions'!$R$127*'Assumptions'!$D$11*(1+'Assumptions'!$D$13)^(4-1)</x:f>
        <x:v>0</x:v>
      </x:c>
      <x:c r="Q489" s="10" t="n">
        <x:f>J489*'Assumptions'!$S$127</x:f>
        <x:v>0</x:v>
      </x:c>
      <x:c r="R489" s="10" t="n">
        <x:f>H489*'Assumptions'!$Y$127*'Assumptions'!$Z$127*'Assumptions'!$D$11*(1+'Assumptions'!$D$13)^(4-1)</x:f>
        <x:v>103.4426736369</x:v>
      </x:c>
      <x:c r="S489" s="10" t="n">
        <x:f>IF(I489=0,0,J489*'Assumptions'!$W$127+H489*'Assumptions'!$X$127)</x:f>
        <x:v>167.51408750462883</x:v>
      </x:c>
      <x:c r="T489" s="10" t="n">
        <x:f>N489*'Assumptions'!$AA$127</x:f>
        <x:v>269.5983004818792</x:v>
      </x:c>
      <x:c r="U489" s="10" t="n">
        <x:f>'Assumptions'!$AE$127*'Assumptions'!$D$11*(1+'Assumptions'!$D$13)^(4-1)</x:f>
        <x:v>0</x:v>
      </x:c>
      <x:c r="V489" s="10" t="n">
        <x:f>0</x:f>
        <x:v>0</x:v>
      </x:c>
      <x:c r="W489" s="10" t="n">
        <x:f>H489*('Assumptions'!$P$127+'Assumptions'!$Y$127)</x:f>
        <x:v>66.26529</x:v>
      </x:c>
      <x:c r="X489" s="10" t="n">
        <x:f>N489/12*'Assumptions'!$AF$127</x:f>
        <x:v>0</x:v>
      </x:c>
      <x:c r="Y489" s="10" t="n">
        <x:f>P489/12</x:f>
        <x:v>0</x:v>
      </x:c>
      <x:c r="Z489" s="10" t="n">
        <x:f>0</x:f>
        <x:v>0</x:v>
      </x:c>
      <x:c r="AA489" s="10" t="n">
        <x:f>Z489*'Assumptions'!$AC$127*'Assumptions'!$D$11*(1+'Assumptions'!$D$13)^(4-1)</x:f>
        <x:v>0</x:v>
      </x:c>
      <x:c r="AB489" s="10" t="n">
        <x:f>F489/1</x:f>
        <x:v>9.331199999999999</x:v>
      </x:c>
      <x:c r="AC489" s="10" t="n">
        <x:f>AB489/'Assumptions'!$AM$127</x:f>
        <x:v>186.62399999999997</x:v>
      </x:c>
      <x:c r="AD489" s="10" t="n">
        <x:f>IF(AB489=0,0,T489/AB489)</x:f>
        <x:v>28.892136111312507</x:v>
      </x:c>
      <x:c r="AE489" s="10" t="n">
        <x:f>AA489*'Assumptions'!$D$21</x:f>
        <x:v>0</x:v>
      </x:c>
    </x:row>
    <x:row r="490" ht="16" customHeight="1">
      <x:c r="A490" s="1"/>
      <x:c r="B490" s="1"/>
      <x:c r="C490" s="1" t="str">
        <x:v>DOT-099</x:v>
      </x:c>
      <x:c r="D490" s="10" t="str">
        <x:v>Semajes premium and media</x:v>
      </x:c>
      <x:c r="E490" s="10" t="n">
        <x:v>4</x:v>
      </x:c>
      <x:c r="F490" s="21" t="n">
        <x:f>F362*(1+'Assumptions'!$L$128)</x:f>
        <x:v>31.104000000000006</x:v>
      </x:c>
      <x:c r="G490" s="21" t="n">
        <x:f>H362*'Assumptions'!$K$128</x:f>
        <x:v>39.018</x:v>
      </x:c>
      <x:c r="H490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490+G490,NA())</x:f>
        <x:v>70.12200000000001</x:v>
      </x:c>
      <x:c r="I490" s="22" t="n">
        <x:f>'Assumptions'!$H$128*IF('Assumptions'!$O$128=1,1,'Assumptions'!$D$10)*(1+'Assumptions'!$N$128)^(4-1)</x:f>
        <x:v>30.775032000000003</x:v>
      </x:c>
      <x:c r="J490" s="10" t="n">
        <x:f>H490*I490</x:f>
        <x:v>2158.0067939040005</x:v>
      </x:c>
      <x:c r="K490" s="10" t="n">
        <x:f>J490*'Assumptions'!$T$128</x:f>
        <x:v>2158.0067939040005</x:v>
      </x:c>
      <x:c r="L490" s="10" t="n">
        <x:f>K490*'Assumptions'!$U$128</x:f>
        <x:v>64.74020381712</x:v>
      </x:c>
      <x:c r="M490" s="10" t="n">
        <x:f>K490*'Assumptions'!$V$128</x:f>
        <x:v>0</x:v>
      </x:c>
      <x:c r="N490" s="10" t="n">
        <x:f>K490-L490-M490</x:f>
        <x:v>2093.2665900868806</x:v>
      </x:c>
      <x:c r="O490" s="10" t="n">
        <x:f>H490*'Assumptions'!$P$128*'Assumptions'!$Q$128*'Assumptions'!$D$11*(1+'Assumptions'!$D$13)^(4-1)</x:f>
        <x:v>402.27706414350007</x:v>
      </x:c>
      <x:c r="P490" s="10" t="n">
        <x:f>H490*'Assumptions'!$R$128*'Assumptions'!$D$11*(1+'Assumptions'!$D$13)^(4-1)</x:f>
        <x:v>0</x:v>
      </x:c>
      <x:c r="Q490" s="10" t="n">
        <x:f>J490*'Assumptions'!$S$128</x:f>
        <x:v>0</x:v>
      </x:c>
      <x:c r="R490" s="10" t="n">
        <x:f>H490*'Assumptions'!$Y$128*'Assumptions'!$Z$128*'Assumptions'!$D$11*(1+'Assumptions'!$D$13)^(4-1)</x:f>
        <x:v>344.808912123</x:v>
      </x:c>
      <x:c r="S490" s="10" t="n">
        <x:f>IF(I490=0,0,J490*'Assumptions'!$W$128+H490*'Assumptions'!$X$128)</x:f>
        <x:v>83.61879702321602</x:v>
      </x:c>
      <x:c r="T490" s="10" t="n">
        <x:f>N490*'Assumptions'!$AA$128</x:f>
        <x:v>104.66332950434403</x:v>
      </x:c>
      <x:c r="U490" s="10" t="n">
        <x:f>'Assumptions'!$AE$128*'Assumptions'!$D$11*(1+'Assumptions'!$D$13)^(4-1)</x:f>
        <x:v>0</x:v>
      </x:c>
      <x:c r="V490" s="10" t="n">
        <x:f>0</x:f>
        <x:v>0</x:v>
      </x:c>
      <x:c r="W490" s="10" t="n">
        <x:f>H490*('Assumptions'!$P$128+'Assumptions'!$Y$128)</x:f>
        <x:v>21.036600000000004</x:v>
      </x:c>
      <x:c r="X490" s="10" t="n">
        <x:f>N490/12*'Assumptions'!$AF$128</x:f>
        <x:v>0</x:v>
      </x:c>
      <x:c r="Y490" s="10" t="n">
        <x:f>P490/12</x:f>
        <x:v>0</x:v>
      </x:c>
      <x:c r="Z490" s="10" t="n">
        <x:f>0</x:f>
        <x:v>0</x:v>
      </x:c>
      <x:c r="AA490" s="10" t="n">
        <x:f>Z490*'Assumptions'!$AC$128*'Assumptions'!$D$11*(1+'Assumptions'!$D$13)^(4-1)</x:f>
        <x:v>0</x:v>
      </x:c>
      <x:c r="AB490" s="10" t="n">
        <x:f>F490/1</x:f>
        <x:v>31.104000000000006</x:v>
      </x:c>
      <x:c r="AC490" s="10" t="n">
        <x:f>AB490/'Assumptions'!$AM$128</x:f>
        <x:v>622.08</x:v>
      </x:c>
      <x:c r="AD490" s="10" t="n">
        <x:f>IF(AB490=0,0,T490/AB490)</x:f>
        <x:v>3.364947579229167</x:v>
      </x:c>
      <x:c r="AE490" s="10" t="n">
        <x:f>AA490*'Assumptions'!$D$21</x:f>
        <x:v>0</x:v>
      </x:c>
    </x:row>
    <x:row r="491" ht="16" customHeight="1">
      <x:c r="A491" s="1"/>
      <x:c r="B491" s="1"/>
      <x:c r="C491" s="1" t="str">
        <x:v>DOT-100</x:v>
      </x:c>
      <x:c r="D491" s="10" t="str">
        <x:v>Semajes courses</x:v>
      </x:c>
      <x:c r="E491" s="10" t="n">
        <x:v>4</x:v>
      </x:c>
      <x:c r="F491" s="21" t="n">
        <x:f>F363*(1+'Assumptions'!$L$129)</x:f>
        <x:v>273.75749999999994</x:v>
      </x:c>
      <x:c r="G491" s="21" t="n">
        <x:f>H363*'Assumptions'!$K$129</x:f>
        <x:v>75.26249999999999</x:v>
      </x:c>
      <x:c r="H491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491+G491,NA())</x:f>
        <x:v>349.0199999999999</x:v>
      </x:c>
      <x:c r="I491" s="22" t="n">
        <x:f>'Assumptions'!$H$129*IF('Assumptions'!$O$129=1,1,'Assumptions'!$D$10)*(1+'Assumptions'!$N$129)^(4-1)</x:f>
        <x:v>41.38711200000001</x:v>
      </x:c>
      <x:c r="J491" s="10" t="n">
        <x:f>H491*I491</x:f>
        <x:v>14444.92983024</x:v>
      </x:c>
      <x:c r="K491" s="10" t="n">
        <x:f>J491*'Assumptions'!$T$129</x:f>
        <x:v>14444.92983024</x:v>
      </x:c>
      <x:c r="L491" s="10" t="n">
        <x:f>K491*'Assumptions'!$U$129</x:f>
        <x:v>433.3478949072</x:v>
      </x:c>
      <x:c r="M491" s="10" t="n">
        <x:f>K491*'Assumptions'!$V$129</x:f>
        <x:v>0</x:v>
      </x:c>
      <x:c r="N491" s="10" t="n">
        <x:f>K491-L491-M491</x:f>
        <x:v>14011.5819353328</x:v>
      </x:c>
      <x:c r="O491" s="10" t="n">
        <x:f>H491*'Assumptions'!$P$129*'Assumptions'!$Q$129*'Assumptions'!$D$11*(1+'Assumptions'!$D$13)^(4-1)</x:f>
        <x:v>2002.2637820849995</x:v>
      </x:c>
      <x:c r="P491" s="10" t="n">
        <x:f>H491*'Assumptions'!$R$129*'Assumptions'!$D$11*(1+'Assumptions'!$D$13)^(4-1)</x:f>
        <x:v>0</x:v>
      </x:c>
      <x:c r="Q491" s="10" t="n">
        <x:f>J491*'Assumptions'!$S$129</x:f>
        <x:v>0</x:v>
      </x:c>
      <x:c r="R491" s="10" t="n">
        <x:f>H491*'Assumptions'!$Y$129*'Assumptions'!$Z$129*'Assumptions'!$D$11*(1+'Assumptions'!$D$13)^(4-1)</x:f>
        <x:v>1144.1507326199996</x:v>
      </x:c>
      <x:c r="S491" s="10" t="n">
        <x:f>IF(I491=0,0,J491*'Assumptions'!$W$129+H491*'Assumptions'!$X$129)</x:f>
        <x:v>523.60896507696</x:v>
      </x:c>
      <x:c r="T491" s="10" t="n">
        <x:f>N491*'Assumptions'!$AA$129</x:f>
        <x:v>700.5790967666401</x:v>
      </x:c>
      <x:c r="U491" s="10" t="n">
        <x:f>'Assumptions'!$AE$129*'Assumptions'!$D$11*(1+'Assumptions'!$D$13)^(4-1)</x:f>
        <x:v>0</x:v>
      </x:c>
      <x:c r="V491" s="10" t="n">
        <x:f>0</x:f>
        <x:v>0</x:v>
      </x:c>
      <x:c r="W491" s="10" t="n">
        <x:f>H491*('Assumptions'!$P$129+'Assumptions'!$Y$129)</x:f>
        <x:v>87.25499999999998</x:v>
      </x:c>
      <x:c r="X491" s="10" t="n">
        <x:f>N491/12*'Assumptions'!$AF$129</x:f>
        <x:v>0</x:v>
      </x:c>
      <x:c r="Y491" s="10" t="n">
        <x:f>P491/12</x:f>
        <x:v>0</x:v>
      </x:c>
      <x:c r="Z491" s="10" t="n">
        <x:f>0</x:f>
        <x:v>0</x:v>
      </x:c>
      <x:c r="AA491" s="10" t="n">
        <x:f>Z491*'Assumptions'!$AC$129*'Assumptions'!$D$11*(1+'Assumptions'!$D$13)^(4-1)</x:f>
        <x:v>0</x:v>
      </x:c>
      <x:c r="AB491" s="10" t="n">
        <x:f>F491/1</x:f>
        <x:v>273.75749999999994</x:v>
      </x:c>
      <x:c r="AC491" s="10" t="n">
        <x:f>AB491/'Assumptions'!$AM$129</x:f>
        <x:v>5475.149999999999</x:v>
      </x:c>
      <x:c r="AD491" s="10" t="n">
        <x:f>IF(AB491=0,0,T491/AB491)</x:f>
        <x:v>2.5591229345922586</x:v>
      </x:c>
      <x:c r="AE491" s="10" t="n">
        <x:f>AA491*'Assumptions'!$D$21</x:f>
        <x:v>0</x:v>
      </x:c>
    </x:row>
    <x:row r="492" ht="16" customHeight="1">
      <x:c r="A492" s="1"/>
      <x:c r="B492" s="1"/>
      <x:c r="C492" s="1" t="str">
        <x:v>DOT-101</x:v>
      </x:c>
      <x:c r="D492" s="10" t="str">
        <x:v>Sleepy Face</x:v>
      </x:c>
      <x:c r="E492" s="10" t="n">
        <x:v>4</x:v>
      </x:c>
      <x:c r="F492" s="21" t="n">
        <x:f>F364*(1+'Assumptions'!$L$130)</x:f>
        <x:v>236.02790400000006</x:v>
      </x:c>
      <x:c r="G492" s="21" t="n">
        <x:f>H364*'Assumptions'!$K$130</x:f>
        <x:v>83.39616000000001</x:v>
      </x:c>
      <x:c r="H492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492+G492,NA())</x:f>
        <x:v>319.42406400000004</x:v>
      </x:c>
      <x:c r="I492" s="22" t="n">
        <x:f>'Assumptions'!$H$130*IF('Assumptions'!$O$130=1,1,'Assumptions'!$D$10)*(1+'Assumptions'!$N$130)^(4-1)</x:f>
        <x:v>100.81476000000002</x:v>
      </x:c>
      <x:c r="J492" s="10" t="n">
        <x:f>H492*I492</x:f>
        <x:v>32202.660350384653</x:v>
      </x:c>
      <x:c r="K492" s="10" t="n">
        <x:f>J492*'Assumptions'!$T$130</x:f>
        <x:v>32202.660350384653</x:v>
      </x:c>
      <x:c r="L492" s="10" t="n">
        <x:f>K492*'Assumptions'!$U$130</x:f>
        <x:v>2576.2128280307725</x:v>
      </x:c>
      <x:c r="M492" s="10" t="n">
        <x:f>K492*'Assumptions'!$V$130</x:f>
        <x:v>644.0532070076931</x:v>
      </x:c>
      <x:c r="N492" s="10" t="n">
        <x:f>K492-L492-M492</x:f>
        <x:v>28982.394315346188</x:v>
      </x:c>
      <x:c r="O492" s="10" t="n">
        <x:f>H492*'Assumptions'!$P$130*'Assumptions'!$Q$130*'Assumptions'!$D$11*(1+'Assumptions'!$D$13)^(4-1)</x:f>
        <x:v>1832.4773207082721</x:v>
      </x:c>
      <x:c r="P492" s="10" t="n">
        <x:f>H492*'Assumptions'!$R$130*'Assumptions'!$D$11*(1+'Assumptions'!$D$13)^(4-1)</x:f>
        <x:v>10471.298975475842</x:v>
      </x:c>
      <x:c r="Q492" s="10" t="n">
        <x:f>J492*'Assumptions'!$S$130</x:f>
        <x:v>0</x:v>
      </x:c>
      <x:c r="R492" s="10" t="n">
        <x:f>H492*'Assumptions'!$Y$130*'Assumptions'!$Z$130*'Assumptions'!$D$11*(1+'Assumptions'!$D$13)^(4-1)</x:f>
        <x:v>1570.6948463213764</x:v>
      </x:c>
      <x:c r="S492" s="10" t="n">
        <x:f>IF(I492=0,0,J492*'Assumptions'!$W$130+H492*'Assumptions'!$X$130)</x:f>
        <x:v>1029.704369361155</x:v>
      </x:c>
      <x:c r="T492" s="10" t="n">
        <x:f>N492*'Assumptions'!$AA$130</x:f>
        <x:v>2318.591545227695</x:v>
      </x:c>
      <x:c r="U492" s="10" t="n">
        <x:f>'Assumptions'!$AE$130*'Assumptions'!$D$11*(1+'Assumptions'!$D$13)^(4-1)</x:f>
        <x:v>0</x:v>
      </x:c>
      <x:c r="V492" s="10" t="n">
        <x:f>0</x:f>
        <x:v>0</x:v>
      </x:c>
      <x:c r="W492" s="10" t="n">
        <x:f>H492*('Assumptions'!$P$130+'Assumptions'!$Y$130)</x:f>
        <x:v>95.82721920000002</x:v>
      </x:c>
      <x:c r="X492" s="10" t="n">
        <x:f>N492/12*'Assumptions'!$AF$130</x:f>
        <x:v>0</x:v>
      </x:c>
      <x:c r="Y492" s="10" t="n">
        <x:f>P492/12</x:f>
        <x:v>872.6082479563202</x:v>
      </x:c>
      <x:c r="Z492" s="10" t="n">
        <x:f>0</x:f>
        <x:v>0</x:v>
      </x:c>
      <x:c r="AA492" s="10" t="n">
        <x:f>Z492*'Assumptions'!$AC$130*'Assumptions'!$D$11*(1+'Assumptions'!$D$13)^(4-1)</x:f>
        <x:v>0</x:v>
      </x:c>
      <x:c r="AB492" s="10" t="n">
        <x:f>F492/1</x:f>
        <x:v>236.02790400000006</x:v>
      </x:c>
      <x:c r="AC492" s="10" t="n">
        <x:f>AB492/'Assumptions'!$AM$130</x:f>
        <x:v>7867.596800000002</x:v>
      </x:c>
      <x:c r="AD492" s="10" t="n">
        <x:f>IF(AB492=0,0,T492/AB492)</x:f>
        <x:v>9.823378956191952</x:v>
      </x:c>
      <x:c r="AE492" s="10" t="n">
        <x:f>AA492*'Assumptions'!$D$21</x:f>
        <x:v>0</x:v>
      </x:c>
    </x:row>
    <x:row r="493" ht="16" customHeight="1">
      <x:c r="A493" s="1"/>
      <x:c r="B493" s="1"/>
      <x:c r="C493" s="1" t="str">
        <x:v>DOT-102</x:v>
      </x:c>
      <x:c r="D493" s="10" t="str">
        <x:v>Sleepy Face</x:v>
      </x:c>
      <x:c r="E493" s="10" t="n">
        <x:v>4</x:v>
      </x:c>
      <x:c r="F493" s="21" t="n">
        <x:f>F365*(1+'Assumptions'!$L$131)</x:f>
        <x:v>354.04185600000005</x:v>
      </x:c>
      <x:c r="G493" s="21" t="n">
        <x:f>H365*'Assumptions'!$K$131</x:f>
        <x:v>125.09424000000001</x:v>
      </x:c>
      <x:c r="H493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493+G493,NA())</x:f>
        <x:v>479.13609600000007</x:v>
      </x:c>
      <x:c r="I493" s="22" t="n">
        <x:f>'Assumptions'!$H$131*IF('Assumptions'!$O$131=1,1,'Assumptions'!$D$10)*(1+'Assumptions'!$N$131)^(4-1)</x:f>
        <x:v>175.09932000000003</x:v>
      </x:c>
      <x:c r="J493" s="10" t="n">
        <x:f>H493*I493</x:f>
        <x:v>83896.40459705474</x:v>
      </x:c>
      <x:c r="K493" s="10" t="n">
        <x:f>J493*'Assumptions'!$T$131</x:f>
        <x:v>83896.40459705474</x:v>
      </x:c>
      <x:c r="L493" s="10" t="n">
        <x:f>K493*'Assumptions'!$U$131</x:f>
        <x:v>6711.712367764379</x:v>
      </x:c>
      <x:c r="M493" s="10" t="n">
        <x:f>K493*'Assumptions'!$V$131</x:f>
        <x:v>1677.9280919410949</x:v>
      </x:c>
      <x:c r="N493" s="10" t="n">
        <x:f>K493-L493-M493</x:f>
        <x:v>75506.76413734927</x:v>
      </x:c>
      <x:c r="O493" s="10" t="n">
        <x:f>H493*'Assumptions'!$P$131*'Assumptions'!$Q$131*'Assumptions'!$D$11*(1+'Assumptions'!$D$13)^(4-1)</x:f>
        <x:v>2748.715981062408</x:v>
      </x:c>
      <x:c r="P493" s="10" t="n">
        <x:f>H493*'Assumptions'!$R$131*'Assumptions'!$D$11*(1+'Assumptions'!$D$13)^(4-1)</x:f>
        <x:v>31413.896926427526</x:v>
      </x:c>
      <x:c r="Q493" s="10" t="n">
        <x:f>J493*'Assumptions'!$S$131</x:f>
        <x:v>0</x:v>
      </x:c>
      <x:c r="R493" s="10" t="n">
        <x:f>H493*'Assumptions'!$Y$131*'Assumptions'!$Z$131*'Assumptions'!$D$11*(1+'Assumptions'!$D$13)^(4-1)</x:f>
        <x:v>2356.042269482064</x:v>
      </x:c>
      <x:c r="S493" s="10" t="n">
        <x:f>IF(I493=0,0,J493*'Assumptions'!$W$131+H493*'Assumptions'!$X$131)</x:f>
        <x:v>2576.7365621145877</x:v>
      </x:c>
      <x:c r="T493" s="10" t="n">
        <x:f>N493*'Assumptions'!$AA$131</x:f>
        <x:v>6040.541130987941</x:v>
      </x:c>
      <x:c r="U493" s="10" t="n">
        <x:f>'Assumptions'!$AE$131*'Assumptions'!$D$11*(1+'Assumptions'!$D$13)^(4-1)</x:f>
        <x:v>0</x:v>
      </x:c>
      <x:c r="V493" s="10" t="n">
        <x:f>0</x:f>
        <x:v>0</x:v>
      </x:c>
      <x:c r="W493" s="10" t="n">
        <x:f>H493*('Assumptions'!$P$131+'Assumptions'!$Y$131)</x:f>
        <x:v>143.7408288</x:v>
      </x:c>
      <x:c r="X493" s="10" t="n">
        <x:f>N493/12*'Assumptions'!$AF$131</x:f>
        <x:v>0</x:v>
      </x:c>
      <x:c r="Y493" s="10" t="n">
        <x:f>P493/12</x:f>
        <x:v>2617.8247438689605</x:v>
      </x:c>
      <x:c r="Z493" s="10" t="n">
        <x:f>0</x:f>
        <x:v>0</x:v>
      </x:c>
      <x:c r="AA493" s="10" t="n">
        <x:f>Z493*'Assumptions'!$AC$131*'Assumptions'!$D$11*(1+'Assumptions'!$D$13)^(4-1)</x:f>
        <x:v>0</x:v>
      </x:c>
      <x:c r="AB493" s="10" t="n">
        <x:f>F493/1</x:f>
        <x:v>354.04185600000005</x:v>
      </x:c>
      <x:c r="AC493" s="10" t="n">
        <x:f>AB493/'Assumptions'!$AM$131</x:f>
        <x:v>11801.395200000003</x:v>
      </x:c>
      <x:c r="AD493" s="10" t="n">
        <x:f>IF(AB493=0,0,T493/AB493)</x:f>
        <x:v>17.061658187070233</x:v>
      </x:c>
      <x:c r="AE493" s="10" t="n">
        <x:f>AA493*'Assumptions'!$D$21</x:f>
        <x:v>0</x:v>
      </x:c>
    </x:row>
    <x:row r="494" ht="16" customHeight="1">
      <x:c r="A494" s="1"/>
      <x:c r="B494" s="1"/>
      <x:c r="C494" s="1" t="str">
        <x:v>DOT-103</x:v>
      </x:c>
      <x:c r="D494" s="10" t="str">
        <x:v>Sleepy Face</x:v>
      </x:c>
      <x:c r="E494" s="10" t="n">
        <x:v>4</x:v>
      </x:c>
      <x:c r="F494" s="21" t="n">
        <x:f>F366*(1+'Assumptions'!$L$132)</x:f>
        <x:v>78.67596800000001</x:v>
      </x:c>
      <x:c r="G494" s="21" t="n">
        <x:f>H366*'Assumptions'!$K$132</x:f>
        <x:v>27.79872</x:v>
      </x:c>
      <x:c r="H494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494+G494,NA())</x:f>
        <x:v>106.47468800000001</x:v>
      </x:c>
      <x:c r="I494" s="22" t="n">
        <x:f>'Assumptions'!$H$132*IF('Assumptions'!$O$132=1,1,'Assumptions'!$D$10)*(1+'Assumptions'!$N$132)^(4-1)</x:f>
        <x:v>238.77180000000004</x:v>
      </x:c>
      <x:c r="J494" s="10" t="n">
        <x:f>H494*I494</x:f>
        <x:v>25423.152908198408</x:v>
      </x:c>
      <x:c r="K494" s="10" t="n">
        <x:f>J494*'Assumptions'!$T$132</x:f>
        <x:v>25423.152908198408</x:v>
      </x:c>
      <x:c r="L494" s="10" t="n">
        <x:f>K494*'Assumptions'!$U$132</x:f>
        <x:v>2033.8522326558727</x:v>
      </x:c>
      <x:c r="M494" s="10" t="n">
        <x:f>K494*'Assumptions'!$V$132</x:f>
        <x:v>508.4630581639682</x:v>
      </x:c>
      <x:c r="N494" s="10" t="n">
        <x:f>K494-L494-M494</x:f>
        <x:v>22880.837617378565</x:v>
      </x:c>
      <x:c r="O494" s="10" t="n">
        <x:f>H494*'Assumptions'!$P$132*'Assumptions'!$Q$132*'Assumptions'!$D$11*(1+'Assumptions'!$D$13)^(4-1)</x:f>
        <x:v>610.825773569424</x:v>
      </x:c>
      <x:c r="P494" s="10" t="n">
        <x:f>H494*'Assumptions'!$R$132*'Assumptions'!$D$11*(1+'Assumptions'!$D$13)^(4-1)</x:f>
        <x:v>10471.298975475842</x:v>
      </x:c>
      <x:c r="Q494" s="10" t="n">
        <x:f>J494*'Assumptions'!$S$132</x:f>
        <x:v>0</x:v>
      </x:c>
      <x:c r="R494" s="10" t="n">
        <x:f>H494*'Assumptions'!$Y$132*'Assumptions'!$Z$132*'Assumptions'!$D$11*(1+'Assumptions'!$D$13)^(4-1)</x:f>
        <x:v>523.564948773792</x:v>
      </x:c>
      <x:c r="S494" s="10" t="n">
        <x:f>IF(I494=0,0,J494*'Assumptions'!$W$132+H494*'Assumptions'!$X$132)</x:f>
        <x:v>769.2138407377538</x:v>
      </x:c>
      <x:c r="T494" s="10" t="n">
        <x:f>N494*'Assumptions'!$AA$132</x:f>
        <x:v>1830.4670093902853</x:v>
      </x:c>
      <x:c r="U494" s="10" t="n">
        <x:f>'Assumptions'!$AE$132*'Assumptions'!$D$11*(1+'Assumptions'!$D$13)^(4-1)</x:f>
        <x:v>0</x:v>
      </x:c>
      <x:c r="V494" s="10" t="n">
        <x:f>0</x:f>
        <x:v>0</x:v>
      </x:c>
      <x:c r="W494" s="10" t="n">
        <x:f>H494*('Assumptions'!$P$132+'Assumptions'!$Y$132)</x:f>
        <x:v>31.942406400000003</x:v>
      </x:c>
      <x:c r="X494" s="10" t="n">
        <x:f>N494/12*'Assumptions'!$AF$132</x:f>
        <x:v>0</x:v>
      </x:c>
      <x:c r="Y494" s="10" t="n">
        <x:f>P494/12</x:f>
        <x:v>872.6082479563202</x:v>
      </x:c>
      <x:c r="Z494" s="10" t="n">
        <x:f>0</x:f>
        <x:v>0</x:v>
      </x:c>
      <x:c r="AA494" s="10" t="n">
        <x:f>Z494*'Assumptions'!$AC$132*'Assumptions'!$D$11*(1+'Assumptions'!$D$13)^(4-1)</x:f>
        <x:v>0</x:v>
      </x:c>
      <x:c r="AB494" s="10" t="n">
        <x:f>F494/1</x:f>
        <x:v>78.67596800000001</x:v>
      </x:c>
      <x:c r="AC494" s="10" t="n">
        <x:f>AB494/'Assumptions'!$AM$132</x:f>
        <x:v>2622.532266666667</x:v>
      </x:c>
      <x:c r="AD494" s="10" t="n">
        <x:f>IF(AB494=0,0,T494/AB494)</x:f>
        <x:v>23.265897527823046</x:v>
      </x:c>
      <x:c r="AE494" s="10" t="n">
        <x:f>AA494*'Assumptions'!$D$21</x:f>
        <x:v>0</x:v>
      </x:c>
    </x:row>
    <x:row r="495" ht="16" customHeight="1">
      <x:c r="A495" s="1"/>
      <x:c r="B495" s="1"/>
      <x:c r="C495" s="1" t="str">
        <x:v>DOT-104</x:v>
      </x:c>
      <x:c r="D495" s="10" t="str">
        <x:v>Sleepy Face</x:v>
      </x:c>
      <x:c r="E495" s="10" t="n">
        <x:v>4</x:v>
      </x:c>
      <x:c r="F495" s="21" t="n">
        <x:f>F367*(1+'Assumptions'!$L$133)</x:f>
        <x:v>236.02790400000006</x:v>
      </x:c>
      <x:c r="G495" s="21" t="n">
        <x:f>H367*'Assumptions'!$K$133</x:f>
        <x:v>83.39616000000001</x:v>
      </x:c>
      <x:c r="H495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495+G495,NA())</x:f>
        <x:v>319.42406400000004</x:v>
      </x:c>
      <x:c r="I495" s="22" t="n">
        <x:f>'Assumptions'!$H$133*IF('Assumptions'!$O$133=1,1,'Assumptions'!$D$10)*(1+'Assumptions'!$N$133)^(4-1)</x:f>
        <x:v>100.81476000000002</x:v>
      </x:c>
      <x:c r="J495" s="10" t="n">
        <x:f>H495*I495</x:f>
        <x:v>32202.660350384653</x:v>
      </x:c>
      <x:c r="K495" s="10" t="n">
        <x:f>J495*'Assumptions'!$T$133</x:f>
        <x:v>32202.660350384653</x:v>
      </x:c>
      <x:c r="L495" s="10" t="n">
        <x:f>K495*'Assumptions'!$U$133</x:f>
        <x:v>2576.2128280307725</x:v>
      </x:c>
      <x:c r="M495" s="10" t="n">
        <x:f>K495*'Assumptions'!$V$133</x:f>
        <x:v>644.0532070076931</x:v>
      </x:c>
      <x:c r="N495" s="10" t="n">
        <x:f>K495-L495-M495</x:f>
        <x:v>28982.394315346188</x:v>
      </x:c>
      <x:c r="O495" s="10" t="n">
        <x:f>H495*'Assumptions'!$P$133*'Assumptions'!$Q$133*'Assumptions'!$D$11*(1+'Assumptions'!$D$13)^(4-1)</x:f>
        <x:v>1832.4773207082721</x:v>
      </x:c>
      <x:c r="P495" s="10" t="n">
        <x:f>H495*'Assumptions'!$R$133*'Assumptions'!$D$11*(1+'Assumptions'!$D$13)^(4-1)</x:f>
        <x:v>12216.515471388482</x:v>
      </x:c>
      <x:c r="Q495" s="10" t="n">
        <x:f>J495*'Assumptions'!$S$133</x:f>
        <x:v>0</x:v>
      </x:c>
      <x:c r="R495" s="10" t="n">
        <x:f>H495*'Assumptions'!$Y$133*'Assumptions'!$Z$133*'Assumptions'!$D$11*(1+'Assumptions'!$D$13)^(4-1)</x:f>
        <x:v>1570.6948463213764</x:v>
      </x:c>
      <x:c r="S495" s="10" t="n">
        <x:f>IF(I495=0,0,J495*'Assumptions'!$W$133+H495*'Assumptions'!$X$133)</x:f>
        <x:v>1029.704369361155</x:v>
      </x:c>
      <x:c r="T495" s="10" t="n">
        <x:f>N495*'Assumptions'!$AA$133</x:f>
        <x:v>2318.591545227695</x:v>
      </x:c>
      <x:c r="U495" s="10" t="n">
        <x:f>'Assumptions'!$AE$133*'Assumptions'!$D$11*(1+'Assumptions'!$D$13)^(4-1)</x:f>
        <x:v>0</x:v>
      </x:c>
      <x:c r="V495" s="10" t="n">
        <x:f>0</x:f>
        <x:v>0</x:v>
      </x:c>
      <x:c r="W495" s="10" t="n">
        <x:f>H495*('Assumptions'!$P$133+'Assumptions'!$Y$133)</x:f>
        <x:v>95.82721920000002</x:v>
      </x:c>
      <x:c r="X495" s="10" t="n">
        <x:f>N495/12*'Assumptions'!$AF$133</x:f>
        <x:v>0</x:v>
      </x:c>
      <x:c r="Y495" s="10" t="n">
        <x:f>P495/12</x:f>
        <x:v>1018.0429559490402</x:v>
      </x:c>
      <x:c r="Z495" s="10" t="n">
        <x:f>0</x:f>
        <x:v>0</x:v>
      </x:c>
      <x:c r="AA495" s="10" t="n">
        <x:f>Z495*'Assumptions'!$AC$133*'Assumptions'!$D$11*(1+'Assumptions'!$D$13)^(4-1)</x:f>
        <x:v>0</x:v>
      </x:c>
      <x:c r="AB495" s="10" t="n">
        <x:f>F495/1</x:f>
        <x:v>236.02790400000006</x:v>
      </x:c>
      <x:c r="AC495" s="10" t="n">
        <x:f>AB495/'Assumptions'!$AM$133</x:f>
        <x:v>7867.596800000002</x:v>
      </x:c>
      <x:c r="AD495" s="10" t="n">
        <x:f>IF(AB495=0,0,T495/AB495)</x:f>
        <x:v>9.823378956191952</x:v>
      </x:c>
      <x:c r="AE495" s="10" t="n">
        <x:f>AA495*'Assumptions'!$D$21</x:f>
        <x:v>0</x:v>
      </x:c>
    </x:row>
    <x:row r="496" ht="16" customHeight="1">
      <x:c r="A496" s="1"/>
      <x:c r="B496" s="1"/>
      <x:c r="C496" s="1" t="str">
        <x:v>DOT-105</x:v>
      </x:c>
      <x:c r="D496" s="10" t="str">
        <x:v>Sleepy Face</x:v>
      </x:c>
      <x:c r="E496" s="10" t="n">
        <x:v>4</x:v>
      </x:c>
      <x:c r="F496" s="21" t="n">
        <x:f>F368*(1+'Assumptions'!$L$134)</x:f>
        <x:v>118.01395200000003</x:v>
      </x:c>
      <x:c r="G496" s="21" t="n">
        <x:f>H368*'Assumptions'!$K$134</x:f>
        <x:v>41.698080000000004</x:v>
      </x:c>
      <x:c r="H496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496+G496,NA())</x:f>
        <x:v>159.71203200000002</x:v>
      </x:c>
      <x:c r="I496" s="22" t="n">
        <x:f>'Assumptions'!$H$134*IF('Assumptions'!$O$134=1,1,'Assumptions'!$D$10)*(1+'Assumptions'!$N$134)^(4-1)</x:f>
        <x:v>185.71140000000003</x:v>
      </x:c>
      <x:c r="J496" s="10" t="n">
        <x:f>H496*I496</x:f>
        <x:v>29660.345059564806</x:v>
      </x:c>
      <x:c r="K496" s="10" t="n">
        <x:f>J496*'Assumptions'!$T$134</x:f>
        <x:v>29660.345059564806</x:v>
      </x:c>
      <x:c r="L496" s="10" t="n">
        <x:f>K496*'Assumptions'!$U$134</x:f>
        <x:v>2372.827604765185</x:v>
      </x:c>
      <x:c r="M496" s="10" t="n">
        <x:f>K496*'Assumptions'!$V$134</x:f>
        <x:v>593.2069011912962</x:v>
      </x:c>
      <x:c r="N496" s="10" t="n">
        <x:f>K496-L496-M496</x:f>
        <x:v>26694.310553608324</x:v>
      </x:c>
      <x:c r="O496" s="10" t="n">
        <x:f>H496*'Assumptions'!$P$134*'Assumptions'!$Q$134*'Assumptions'!$D$11*(1+'Assumptions'!$D$13)^(4-1)</x:f>
        <x:v>916.2386603541361</x:v>
      </x:c>
      <x:c r="P496" s="10" t="n">
        <x:f>H496*'Assumptions'!$R$134*'Assumptions'!$D$11*(1+'Assumptions'!$D$13)^(4-1)</x:f>
        <x:v>11343.907223432161</x:v>
      </x:c>
      <x:c r="Q496" s="10" t="n">
        <x:f>J496*'Assumptions'!$S$134</x:f>
        <x:v>0</x:v>
      </x:c>
      <x:c r="R496" s="10" t="n">
        <x:f>H496*'Assumptions'!$Y$134*'Assumptions'!$Z$134*'Assumptions'!$D$11*(1+'Assumptions'!$D$13)^(4-1)</x:f>
        <x:v>785.3474231606882</x:v>
      </x:c>
      <x:c r="S496" s="10" t="n">
        <x:f>IF(I496=0,0,J496*'Assumptions'!$W$134+H496*'Assumptions'!$X$134)</x:f>
        <x:v>908.0636163273793</x:v>
      </x:c>
      <x:c r="T496" s="10" t="n">
        <x:f>N496*'Assumptions'!$AA$134</x:f>
        <x:v>2135.544844288666</x:v>
      </x:c>
      <x:c r="U496" s="10" t="n">
        <x:f>'Assumptions'!$AE$134*'Assumptions'!$D$11*(1+'Assumptions'!$D$13)^(4-1)</x:f>
        <x:v>0</x:v>
      </x:c>
      <x:c r="V496" s="10" t="n">
        <x:f>0</x:f>
        <x:v>0</x:v>
      </x:c>
      <x:c r="W496" s="10" t="n">
        <x:f>H496*('Assumptions'!$P$134+'Assumptions'!$Y$134)</x:f>
        <x:v>47.91360960000001</x:v>
      </x:c>
      <x:c r="X496" s="10" t="n">
        <x:f>N496/12*'Assumptions'!$AF$134</x:f>
        <x:v>0</x:v>
      </x:c>
      <x:c r="Y496" s="10" t="n">
        <x:f>P496/12</x:f>
        <x:v>945.3256019526801</x:v>
      </x:c>
      <x:c r="Z496" s="10" t="n">
        <x:f>0</x:f>
        <x:v>0</x:v>
      </x:c>
      <x:c r="AA496" s="10" t="n">
        <x:f>Z496*'Assumptions'!$AC$134*'Assumptions'!$D$11*(1+'Assumptions'!$D$13)^(4-1)</x:f>
        <x:v>0</x:v>
      </x:c>
      <x:c r="AB496" s="10" t="n">
        <x:f>F496/1</x:f>
        <x:v>118.01395200000003</x:v>
      </x:c>
      <x:c r="AC496" s="10" t="n">
        <x:f>AB496/'Assumptions'!$AM$134</x:f>
        <x:v>3933.798400000001</x:v>
      </x:c>
      <x:c r="AD496" s="10" t="n">
        <x:f>IF(AB496=0,0,T496/AB496)</x:f>
        <x:v>18.095698077195696</x:v>
      </x:c>
      <x:c r="AE496" s="10" t="n">
        <x:f>AA496*'Assumptions'!$D$21</x:f>
        <x:v>0</x:v>
      </x:c>
    </x:row>
    <x:row r="497" ht="16" customHeight="1">
      <x:c r="A497" s="1"/>
      <x:c r="B497" s="1"/>
      <x:c r="C497" s="1" t="str">
        <x:v>DOT-106</x:v>
      </x:c>
      <x:c r="D497" s="10" t="str">
        <x:v>QzoticMusic</x:v>
      </x:c>
      <x:c r="E497" s="10" t="n">
        <x:v>4</x:v>
      </x:c>
      <x:c r="F497" s="21" t="n">
        <x:f>F369*(1+'Assumptions'!$L$135)</x:f>
        <x:v>684.39375</x:v>
      </x:c>
      <x:c r="G497" s="21" t="n">
        <x:f>H369*'Assumptions'!$K$135</x:f>
        <x:v>185.8125</x:v>
      </x:c>
      <x:c r="H497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497+G497,NA())</x:f>
        <x:v>870.20625</x:v>
      </x:c>
      <x:c r="I497" s="22" t="n">
        <x:f>'Assumptions'!$H$135*IF('Assumptions'!$O$135=1,1,'Assumptions'!$D$10)*(1+'Assumptions'!$N$135)^(4-1)</x:f>
        <x:v>5.306040000000001</x:v>
      </x:c>
      <x:c r="J497" s="10" t="n">
        <x:f>H497*I497</x:f>
        <x:v>4617.349170750001</x:v>
      </x:c>
      <x:c r="K497" s="10" t="n">
        <x:f>J497*'Assumptions'!$T$135</x:f>
        <x:v>4617.349170750001</x:v>
      </x:c>
      <x:c r="L497" s="10" t="n">
        <x:f>K497*'Assumptions'!$U$135</x:f>
        <x:v>138.52047512250002</x:v>
      </x:c>
      <x:c r="M497" s="10" t="n">
        <x:f>K497*'Assumptions'!$V$135</x:f>
        <x:v>0</x:v>
      </x:c>
      <x:c r="N497" s="10" t="n">
        <x:f>K497-L497-M497</x:f>
        <x:v>4478.828695627501</x:v>
      </x:c>
      <x:c r="O497" s="10" t="n">
        <x:f>H497*'Assumptions'!$P$135*'Assumptions'!$Q$135*'Assumptions'!$D$11*(1+'Assumptions'!$D$13)^(4-1)</x:f>
        <x:v>665.628505460625</x:v>
      </x:c>
      <x:c r="P497" s="10" t="n">
        <x:f>H497*'Assumptions'!$R$135*'Assumptions'!$D$11*(1+'Assumptions'!$D$13)^(4-1)</x:f>
        <x:v>0</x:v>
      </x:c>
      <x:c r="Q497" s="10" t="n">
        <x:f>J497*'Assumptions'!$S$135</x:f>
        <x:v>0</x:v>
      </x:c>
      <x:c r="R497" s="10" t="n">
        <x:f>H497*'Assumptions'!$Y$135*'Assumptions'!$Z$135*'Assumptions'!$D$11*(1+'Assumptions'!$D$13)^(4-1)</x:f>
        <x:v>2852.69359483125</x:v>
      </x:c>
      <x:c r="S497" s="10" t="n">
        <x:f>IF(I497=0,0,J497*'Assumptions'!$W$135+H497*'Assumptions'!$X$135)</x:f>
        <x:v>394.96500095174997</x:v>
      </x:c>
      <x:c r="T497" s="10" t="n">
        <x:f>N497*'Assumptions'!$AA$135</x:f>
        <x:v>223.94143478137505</x:v>
      </x:c>
      <x:c r="U497" s="10" t="n">
        <x:f>'Assumptions'!$AE$135*'Assumptions'!$D$11*(1+'Assumptions'!$D$13)^(4-1)</x:f>
        <x:v>0</x:v>
      </x:c>
      <x:c r="V497" s="10" t="n">
        <x:f>0</x:f>
        <x:v>0</x:v>
      </x:c>
      <x:c r="W497" s="10" t="n">
        <x:f>H497*('Assumptions'!$P$135+'Assumptions'!$Y$135)</x:f>
        <x:v>104.42475</x:v>
      </x:c>
      <x:c r="X497" s="10" t="n">
        <x:f>N497/12*'Assumptions'!$AF$135</x:f>
        <x:v>0</x:v>
      </x:c>
      <x:c r="Y497" s="10" t="n">
        <x:f>P497/12</x:f>
        <x:v>0</x:v>
      </x:c>
      <x:c r="Z497" s="10" t="n">
        <x:f>0</x:f>
        <x:v>0</x:v>
      </x:c>
      <x:c r="AA497" s="10" t="n">
        <x:f>Z497*'Assumptions'!$AC$135*'Assumptions'!$D$11*(1+'Assumptions'!$D$13)^(4-1)</x:f>
        <x:v>0</x:v>
      </x:c>
      <x:c r="AB497" s="10" t="n">
        <x:f>F497/12</x:f>
        <x:v>57.0328125</x:v>
      </x:c>
      <x:c r="AC497" s="10" t="n">
        <x:f>AB497/'Assumptions'!$AM$135</x:f>
        <x:v>1140.65625</x:v>
      </x:c>
      <x:c r="AD497" s="10" t="n">
        <x:f>IF(AB497=0,0,T497/AB497)</x:f>
        <x:v>3.926536759543027</x:v>
      </x:c>
      <x:c r="AE497" s="10" t="n">
        <x:f>AA497*'Assumptions'!$D$21</x:f>
        <x:v>0</x:v>
      </x:c>
    </x:row>
    <x:row r="498" ht="16" customHeight="1">
      <x:c r="A498" s="1"/>
      <x:c r="B498" s="1"/>
      <x:c r="C498" s="1" t="str">
        <x:v>DOT-107</x:v>
      </x:c>
      <x:c r="D498" s="10" t="str">
        <x:v>QzoticMusic</x:v>
      </x:c>
      <x:c r="E498" s="10" t="n">
        <x:v>4</x:v>
      </x:c>
      <x:c r="F498" s="21" t="n">
        <x:f>F370*(1+'Assumptions'!$L$136)</x:f>
        <x:v>207.63600000000008</x:v>
      </x:c>
      <x:c r="G498" s="21" t="n">
        <x:f>H370*'Assumptions'!$K$136</x:f>
        <x:v>92.23200000000001</x:v>
      </x:c>
      <x:c r="H498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498+G498,NA())</x:f>
        <x:v>299.8680000000001</x:v>
      </x:c>
      <x:c r="I498" s="22" t="n">
        <x:f>'Assumptions'!$H$136*IF('Assumptions'!$O$136=1,1,'Assumptions'!$D$10)*(1+'Assumptions'!$N$136)^(4-1)</x:f>
        <x:v>26.530200000000004</x:v>
      </x:c>
      <x:c r="J498" s="10" t="n">
        <x:f>H498*I498</x:f>
        <x:v>7955.558013600004</x:v>
      </x:c>
      <x:c r="K498" s="10" t="n">
        <x:f>J498*'Assumptions'!$T$136</x:f>
        <x:v>7955.558013600004</x:v>
      </x:c>
      <x:c r="L498" s="10" t="n">
        <x:f>K498*'Assumptions'!$U$136</x:f>
        <x:v>238.66674040800012</x:v>
      </x:c>
      <x:c r="M498" s="10" t="n">
        <x:f>K498*'Assumptions'!$V$136</x:f>
        <x:v>0</x:v>
      </x:c>
      <x:c r="N498" s="10" t="n">
        <x:f>K498-L498-M498</x:f>
        <x:v>7716.8912731920045</x:v>
      </x:c>
      <x:c r="O498" s="10" t="n">
        <x:f>H498*'Assumptions'!$P$136*'Assumptions'!$Q$136*'Assumptions'!$D$11*(1+'Assumptions'!$D$13)^(4-1)</x:f>
        <x:v>1720.2877651890008</x:v>
      </x:c>
      <x:c r="P498" s="10" t="n">
        <x:f>H498*'Assumptions'!$R$136*'Assumptions'!$D$11*(1+'Assumptions'!$D$13)^(4-1)</x:f>
        <x:v>3276.7386003600013</x:v>
      </x:c>
      <x:c r="Q498" s="10" t="n">
        <x:f>J498*'Assumptions'!$S$136</x:f>
        <x:v>0</x:v>
      </x:c>
      <x:c r="R498" s="10" t="n">
        <x:f>H498*'Assumptions'!$Y$136*'Assumptions'!$Z$136*'Assumptions'!$D$11*(1+'Assumptions'!$D$13)^(4-1)</x:f>
        <x:v>4915.1079005400015</x:v>
      </x:c>
      <x:c r="S498" s="10" t="n">
        <x:f>IF(I498=0,0,J498*'Assumptions'!$W$136+H498*'Assumptions'!$X$136)</x:f>
        <x:v>320.67158239440016</x:v>
      </x:c>
      <x:c r="T498" s="10" t="n">
        <x:f>N498*'Assumptions'!$AA$136</x:f>
        <x:v>617.3513018553604</x:v>
      </x:c>
      <x:c r="U498" s="10" t="n">
        <x:f>'Assumptions'!$AE$136*'Assumptions'!$D$11*(1+'Assumptions'!$D$13)^(4-1)</x:f>
        <x:v>0</x:v>
      </x:c>
      <x:c r="V498" s="10" t="n">
        <x:f>0</x:f>
        <x:v>0</x:v>
      </x:c>
      <x:c r="W498" s="10" t="n">
        <x:f>H498*('Assumptions'!$P$136+'Assumptions'!$Y$136)</x:f>
        <x:v>194.91420000000008</x:v>
      </x:c>
      <x:c r="X498" s="10" t="n">
        <x:f>N498/12*'Assumptions'!$AF$136</x:f>
        <x:v>643.0742727660004</x:v>
      </x:c>
      <x:c r="Y498" s="10" t="n">
        <x:f>P498/12</x:f>
        <x:v>273.0615500300001</x:v>
      </x:c>
      <x:c r="Z498" s="10" t="n">
        <x:f>0</x:f>
        <x:v>0</x:v>
      </x:c>
      <x:c r="AA498" s="10" t="n">
        <x:f>Z498*'Assumptions'!$AC$136*'Assumptions'!$D$11*(1+'Assumptions'!$D$13)^(4-1)</x:f>
        <x:v>0</x:v>
      </x:c>
      <x:c r="AB498" s="10" t="n">
        <x:f>F498/1</x:f>
        <x:v>207.63600000000008</x:v>
      </x:c>
      <x:c r="AC498" s="10" t="n">
        <x:f>AB498/'Assumptions'!$AM$136</x:f>
        <x:v>2076.3600000000006</x:v>
      </x:c>
      <x:c r="AD498" s="10" t="n">
        <x:f>IF(AB498=0,0,T498/AB498)</x:f>
        <x:v>2.973238272049934</x:v>
      </x:c>
      <x:c r="AE498" s="10" t="n">
        <x:f>AA498*'Assumptions'!$D$21</x:f>
        <x:v>0</x:v>
      </x:c>
    </x:row>
    <x:row r="499" ht="16" customHeight="1">
      <x:c r="A499" s="1"/>
      <x:c r="B499" s="1"/>
      <x:c r="C499" s="1" t="str">
        <x:v>DOT-108</x:v>
      </x:c>
      <x:c r="D499" s="10" t="str">
        <x:v>QzoticMusic</x:v>
      </x:c>
      <x:c r="E499" s="10" t="n">
        <x:v>4</x:v>
      </x:c>
      <x:c r="F499" s="21" t="n">
        <x:f>F371*(1+'Assumptions'!$L$137)</x:f>
        <x:v>10.381800000000004</x:v>
      </x:c>
      <x:c r="G499" s="21" t="n">
        <x:f>H371*'Assumptions'!$K$137</x:f>
        <x:v>4.6116</x:v>
      </x:c>
      <x:c r="H499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499+G499,NA())</x:f>
        <x:v>14.993400000000005</x:v>
      </x:c>
      <x:c r="I499" s="22" t="n">
        <x:f>'Assumptions'!$H$137*IF('Assumptions'!$O$137=1,1,'Assumptions'!$D$10)*(1+'Assumptions'!$N$137)^(4-1)</x:f>
        <x:v>265.302</x:v>
      </x:c>
      <x:c r="J499" s="10" t="n">
        <x:f>H499*I499</x:f>
        <x:v>3977.7790068000018</x:v>
      </x:c>
      <x:c r="K499" s="10" t="n">
        <x:f>J499*'Assumptions'!$T$137</x:f>
        <x:v>3977.7790068000018</x:v>
      </x:c>
      <x:c r="L499" s="10" t="n">
        <x:f>K499*'Assumptions'!$U$137</x:f>
        <x:v>119.33337020400005</x:v>
      </x:c>
      <x:c r="M499" s="10" t="n">
        <x:f>K499*'Assumptions'!$V$137</x:f>
        <x:v>0</x:v>
      </x:c>
      <x:c r="N499" s="10" t="n">
        <x:f>K499-L499-M499</x:f>
        <x:v>3858.445636596002</x:v>
      </x:c>
      <x:c r="O499" s="10" t="n">
        <x:f>H499*'Assumptions'!$P$137*'Assumptions'!$Q$137*'Assumptions'!$D$11*(1+'Assumptions'!$D$13)^(4-1)</x:f>
        <x:v>1310.6954401440005</x:v>
      </x:c>
      <x:c r="P499" s="10" t="n">
        <x:f>H499*'Assumptions'!$R$137*'Assumptions'!$D$11*(1+'Assumptions'!$D$13)^(4-1)</x:f>
        <x:v>0</x:v>
      </x:c>
      <x:c r="Q499" s="10" t="n">
        <x:f>J499*'Assumptions'!$S$137</x:f>
        <x:v>0</x:v>
      </x:c>
      <x:c r="R499" s="10" t="n">
        <x:f>H499*'Assumptions'!$Y$137*'Assumptions'!$Z$137*'Assumptions'!$D$11*(1+'Assumptions'!$D$13)^(4-1)</x:f>
        <x:v>245.75539502700008</x:v>
      </x:c>
      <x:c r="S499" s="10" t="n">
        <x:f>IF(I499=0,0,J499*'Assumptions'!$W$137+H499*'Assumptions'!$X$137)</x:f>
        <x:v>119.85361119720005</x:v>
      </x:c>
      <x:c r="T499" s="10" t="n">
        <x:f>N499*'Assumptions'!$AA$137</x:f>
        <x:v>308.6756509276801</x:v>
      </x:c>
      <x:c r="U499" s="10" t="n">
        <x:f>'Assumptions'!$AE$137*'Assumptions'!$D$11*(1+'Assumptions'!$D$13)^(4-1)</x:f>
        <x:v>0</x:v>
      </x:c>
      <x:c r="V499" s="10" t="n">
        <x:f>0</x:f>
        <x:v>0</x:v>
      </x:c>
      <x:c r="W499" s="10" t="n">
        <x:f>H499*('Assumptions'!$P$137+'Assumptions'!$Y$137)</x:f>
        <x:v>37.483500000000014</x:v>
      </x:c>
      <x:c r="X499" s="10" t="n">
        <x:f>N499/12*'Assumptions'!$AF$137</x:f>
        <x:v>321.53713638300013</x:v>
      </x:c>
      <x:c r="Y499" s="10" t="n">
        <x:f>P499/12</x:f>
        <x:v>0</x:v>
      </x:c>
      <x:c r="Z499" s="10" t="n">
        <x:f>0</x:f>
        <x:v>0</x:v>
      </x:c>
      <x:c r="AA499" s="10" t="n">
        <x:f>Z499*'Assumptions'!$AC$137*'Assumptions'!$D$11*(1+'Assumptions'!$D$13)^(4-1)</x:f>
        <x:v>0</x:v>
      </x:c>
      <x:c r="AB499" s="10" t="n">
        <x:f>F499/1</x:f>
        <x:v>10.381800000000004</x:v>
      </x:c>
      <x:c r="AC499" s="10" t="n">
        <x:f>AB499/'Assumptions'!$AM$137</x:f>
        <x:v>103.81800000000003</x:v>
      </x:c>
      <x:c r="AD499" s="10" t="n">
        <x:f>IF(AB499=0,0,T499/AB499)</x:f>
        <x:v>29.732382720499338</x:v>
      </x:c>
      <x:c r="AE499" s="10" t="n">
        <x:f>AA499*'Assumptions'!$D$21</x:f>
        <x:v>0</x:v>
      </x:c>
    </x:row>
    <x:row r="500" ht="16" customHeight="1">
      <x:c r="A500" s="1"/>
      <x:c r="B500" s="1"/>
      <x:c r="C500" s="1" t="str">
        <x:v>DOT-109</x:v>
      </x:c>
      <x:c r="D500" s="10" t="str">
        <x:v>LesPetitFilms</x:v>
      </x:c>
      <x:c r="E500" s="10" t="n">
        <x:v>4</x:v>
      </x:c>
      <x:c r="F500" s="21" t="n">
        <x:f>F372*(1+'Assumptions'!$L$138)</x:f>
        <x:v>6.9212000000000025</x:v>
      </x:c>
      <x:c r="G500" s="21" t="n">
        <x:f>H372*'Assumptions'!$K$138</x:f>
        <x:v>3.0744000000000007</x:v>
      </x:c>
      <x:c r="H500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500+G500,NA())</x:f>
        <x:v>9.995600000000003</x:v>
      </x:c>
      <x:c r="I500" s="22" t="n">
        <x:f>'Assumptions'!$H$138*IF('Assumptions'!$O$138=1,1,'Assumptions'!$D$10)*(1+'Assumptions'!$N$138)^(4-1)</x:f>
        <x:v>3714.2280000000005</x:v>
      </x:c>
      <x:c r="J500" s="10" t="n">
        <x:f>H500*I500</x:f>
        <x:v>37125.937396800015</x:v>
      </x:c>
      <x:c r="K500" s="10" t="n">
        <x:f>J500*'Assumptions'!$T$138</x:f>
        <x:v>37125.937396800015</x:v>
      </x:c>
      <x:c r="L500" s="10" t="n">
        <x:f>K500*'Assumptions'!$U$138</x:f>
        <x:v>1113.7781219040005</x:v>
      </x:c>
      <x:c r="M500" s="10" t="n">
        <x:f>K500*'Assumptions'!$V$138</x:f>
        <x:v>0</x:v>
      </x:c>
      <x:c r="N500" s="10" t="n">
        <x:f>K500-L500-M500</x:f>
        <x:v>36012.15927489602</x:v>
      </x:c>
      <x:c r="O500" s="10" t="n">
        <x:f>H500*'Assumptions'!$P$138*'Assumptions'!$Q$138*'Assumptions'!$D$11*(1+'Assumptions'!$D$13)^(4-1)</x:f>
        <x:v>12287.769751350002</x:v>
      </x:c>
      <x:c r="P500" s="10" t="n">
        <x:f>H500*'Assumptions'!$R$138*'Assumptions'!$D$11*(1+'Assumptions'!$D$13)^(4-1)</x:f>
        <x:v>3822.861700420001</x:v>
      </x:c>
      <x:c r="Q500" s="10" t="n">
        <x:f>J500*'Assumptions'!$S$138</x:f>
        <x:v>0</x:v>
      </x:c>
      <x:c r="R500" s="10" t="n">
        <x:f>H500*'Assumptions'!$Y$138*'Assumptions'!$Z$138*'Assumptions'!$D$11*(1+'Assumptions'!$D$13)^(4-1)</x:f>
        <x:v>163.83693001800006</x:v>
      </x:c>
      <x:c r="S500" s="10" t="n">
        <x:f>IF(I500=0,0,J500*'Assumptions'!$W$138+H500*'Assumptions'!$X$138)</x:f>
        <x:v>1079.6508645072004</x:v>
      </x:c>
      <x:c r="T500" s="10" t="n">
        <x:f>N500*'Assumptions'!$AA$138</x:f>
        <x:v>2880.9727419916812</x:v>
      </x:c>
      <x:c r="U500" s="10" t="n">
        <x:f>'Assumptions'!$AE$138*'Assumptions'!$D$11*(1+'Assumptions'!$D$13)^(4-1)</x:f>
        <x:v>0</x:v>
      </x:c>
      <x:c r="V500" s="10" t="n">
        <x:f>0</x:f>
        <x:v>0</x:v>
      </x:c>
      <x:c r="W500" s="10" t="n">
        <x:f>H500*('Assumptions'!$P$138+'Assumptions'!$Y$138)</x:f>
        <x:v>254.88780000000008</x:v>
      </x:c>
      <x:c r="X500" s="10" t="n">
        <x:f>N500/12*'Assumptions'!$AF$138</x:f>
        <x:v>3001.0132729080015</x:v>
      </x:c>
      <x:c r="Y500" s="10" t="n">
        <x:f>P500/12</x:f>
        <x:v>318.5718083683334</x:v>
      </x:c>
      <x:c r="Z500" s="10" t="n">
        <x:f>0</x:f>
        <x:v>0</x:v>
      </x:c>
      <x:c r="AA500" s="10" t="n">
        <x:f>Z500*'Assumptions'!$AC$138*'Assumptions'!$D$11*(1+'Assumptions'!$D$13)^(4-1)</x:f>
        <x:v>0</x:v>
      </x:c>
      <x:c r="AB500" s="10" t="n">
        <x:f>F500/1</x:f>
        <x:v>6.9212000000000025</x:v>
      </x:c>
      <x:c r="AC500" s="10" t="n">
        <x:f>AB500/'Assumptions'!$AM$138</x:f>
        <x:v>69.21200000000002</x:v>
      </x:c>
      <x:c r="AD500" s="10" t="n">
        <x:f>IF(AB500=0,0,T500/AB500)</x:f>
        <x:v>416.2533580869907</x:v>
      </x:c>
      <x:c r="AE500" s="10" t="n">
        <x:f>AA500*'Assumptions'!$D$21</x:f>
        <x:v>0</x:v>
      </x:c>
    </x:row>
    <x:row r="501" ht="16" customHeight="1">
      <x:c r="A501" s="1"/>
      <x:c r="B501" s="1"/>
      <x:c r="C501" s="1" t="str">
        <x:v>DOT-110</x:v>
      </x:c>
      <x:c r="D501" s="10" t="str">
        <x:v>LesPetitFilms</x:v>
      </x:c>
      <x:c r="E501" s="10" t="n">
        <x:v>4</x:v>
      </x:c>
      <x:c r="F501" s="21" t="n">
        <x:f>F373*(1+'Assumptions'!$L$139)</x:f>
        <x:v>6.9212000000000025</x:v>
      </x:c>
      <x:c r="G501" s="21" t="n">
        <x:f>H373*'Assumptions'!$K$139</x:f>
        <x:v>3.0744000000000007</x:v>
      </x:c>
      <x:c r="H501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501+G501,NA())</x:f>
        <x:v>9.995600000000003</x:v>
      </x:c>
      <x:c r="I501" s="22" t="n">
        <x:f>'Assumptions'!$H$139*IF('Assumptions'!$O$139=1,1,'Assumptions'!$D$10)*(1+'Assumptions'!$N$139)^(4-1)</x:f>
        <x:v>1591.8120000000001</x:v>
      </x:c>
      <x:c r="J501" s="10" t="n">
        <x:f>H501*I501</x:f>
        <x:v>15911.116027200007</x:v>
      </x:c>
      <x:c r="K501" s="10" t="n">
        <x:f>J501*'Assumptions'!$T$139</x:f>
        <x:v>15911.116027200007</x:v>
      </x:c>
      <x:c r="L501" s="10" t="n">
        <x:f>K501*'Assumptions'!$U$139</x:f>
        <x:v>477.3334808160002</x:v>
      </x:c>
      <x:c r="M501" s="10" t="n">
        <x:f>K501*'Assumptions'!$V$139</x:f>
        <x:v>0</x:v>
      </x:c>
      <x:c r="N501" s="10" t="n">
        <x:f>K501-L501-M501</x:f>
        <x:v>15433.782546384007</x:v>
      </x:c>
      <x:c r="O501" s="10" t="n">
        <x:f>H501*'Assumptions'!$P$139*'Assumptions'!$Q$139*'Assumptions'!$D$11*(1+'Assumptions'!$D$13)^(4-1)</x:f>
        <x:v>4915.1079005400015</x:v>
      </x:c>
      <x:c r="P501" s="10" t="n">
        <x:f>H501*'Assumptions'!$R$139*'Assumptions'!$D$11*(1+'Assumptions'!$D$13)^(4-1)</x:f>
        <x:v>2184.4924002400007</x:v>
      </x:c>
      <x:c r="Q501" s="10" t="n">
        <x:f>J501*'Assumptions'!$S$139</x:f>
        <x:v>0</x:v>
      </x:c>
      <x:c r="R501" s="10" t="n">
        <x:f>H501*'Assumptions'!$Y$139*'Assumptions'!$Z$139*'Assumptions'!$D$11*(1+'Assumptions'!$D$13)^(4-1)</x:f>
        <x:v>163.83693001800006</x:v>
      </x:c>
      <x:c r="S501" s="10" t="n">
        <x:f>IF(I501=0,0,J501*'Assumptions'!$W$139+H501*'Assumptions'!$X$139)</x:f>
        <x:v>464.4210447888002</x:v>
      </x:c>
      <x:c r="T501" s="10" t="n">
        <x:f>N501*'Assumptions'!$AA$139</x:f>
        <x:v>1234.7026037107205</x:v>
      </x:c>
      <x:c r="U501" s="10" t="n">
        <x:f>'Assumptions'!$AE$139*'Assumptions'!$D$11*(1+'Assumptions'!$D$13)^(4-1)</x:f>
        <x:v>0</x:v>
      </x:c>
      <x:c r="V501" s="10" t="n">
        <x:f>0</x:f>
        <x:v>0</x:v>
      </x:c>
      <x:c r="W501" s="10" t="n">
        <x:f>H501*('Assumptions'!$P$139+'Assumptions'!$Y$139)</x:f>
        <x:v>104.95380000000003</x:v>
      </x:c>
      <x:c r="X501" s="10" t="n">
        <x:f>N501/12*'Assumptions'!$AF$139</x:f>
        <x:v>1286.1485455320005</x:v>
      </x:c>
      <x:c r="Y501" s="10" t="n">
        <x:f>P501/12</x:f>
        <x:v>182.0410333533334</x:v>
      </x:c>
      <x:c r="Z501" s="10" t="n">
        <x:f>0</x:f>
        <x:v>0</x:v>
      </x:c>
      <x:c r="AA501" s="10" t="n">
        <x:f>Z501*'Assumptions'!$AC$139*'Assumptions'!$D$11*(1+'Assumptions'!$D$13)^(4-1)</x:f>
        <x:v>0</x:v>
      </x:c>
      <x:c r="AB501" s="10" t="n">
        <x:f>F501/1</x:f>
        <x:v>6.9212000000000025</x:v>
      </x:c>
      <x:c r="AC501" s="10" t="n">
        <x:f>AB501/'Assumptions'!$AM$139</x:f>
        <x:v>69.21200000000002</x:v>
      </x:c>
      <x:c r="AD501" s="10" t="n">
        <x:f>IF(AB501=0,0,T501/AB501)</x:f>
        <x:v>178.394296322996</x:v>
      </x:c>
      <x:c r="AE501" s="10" t="n">
        <x:f>AA501*'Assumptions'!$D$21</x:f>
        <x:v>0</x:v>
      </x:c>
    </x:row>
    <x:row r="502" ht="16" customHeight="1">
      <x:c r="A502" s="1"/>
      <x:c r="B502" s="1"/>
      <x:c r="C502" s="1" t="str">
        <x:v>DOT-111</x:v>
      </x:c>
      <x:c r="D502" s="10" t="str">
        <x:v>LesPetitFilms</x:v>
      </x:c>
      <x:c r="E502" s="10" t="n">
        <x:v>4</x:v>
      </x:c>
      <x:c r="F502" s="21" t="n">
        <x:f>F374*(1+'Assumptions'!$L$140)</x:f>
        <x:v>10.381800000000004</x:v>
      </x:c>
      <x:c r="G502" s="21" t="n">
        <x:f>H374*'Assumptions'!$K$140</x:f>
        <x:v>4.6116</x:v>
      </x:c>
      <x:c r="H502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502+G502,NA())</x:f>
        <x:v>14.993400000000005</x:v>
      </x:c>
      <x:c r="I502" s="22" t="n">
        <x:f>'Assumptions'!$H$140*IF('Assumptions'!$O$140=1,1,'Assumptions'!$D$10)*(1+'Assumptions'!$N$140)^(4-1)</x:f>
        <x:v>530.604</x:v>
      </x:c>
      <x:c r="J502" s="10" t="n">
        <x:f>H502*I502</x:f>
        <x:v>7955.5580136000035</x:v>
      </x:c>
      <x:c r="K502" s="10" t="n">
        <x:f>J502*'Assumptions'!$T$140</x:f>
        <x:v>7955.5580136000035</x:v>
      </x:c>
      <x:c r="L502" s="10" t="n">
        <x:f>K502*'Assumptions'!$U$140</x:f>
        <x:v>238.6667404080001</x:v>
      </x:c>
      <x:c r="M502" s="10" t="n">
        <x:f>K502*'Assumptions'!$V$140</x:f>
        <x:v>0</x:v>
      </x:c>
      <x:c r="N502" s="10" t="n">
        <x:f>K502-L502-M502</x:f>
        <x:v>7716.891273192004</x:v>
      </x:c>
      <x:c r="O502" s="10" t="n">
        <x:f>H502*'Assumptions'!$P$140*'Assumptions'!$Q$140*'Assumptions'!$D$11*(1+'Assumptions'!$D$13)^(4-1)</x:f>
        <x:v>1966.0431602160006</x:v>
      </x:c>
      <x:c r="P502" s="10" t="n">
        <x:f>H502*'Assumptions'!$R$140*'Assumptions'!$D$11*(1+'Assumptions'!$D$13)^(4-1)</x:f>
        <x:v>819.1846500900002</x:v>
      </x:c>
      <x:c r="Q502" s="10" t="n">
        <x:f>J502*'Assumptions'!$S$140</x:f>
        <x:v>0</x:v>
      </x:c>
      <x:c r="R502" s="10" t="n">
        <x:f>H502*'Assumptions'!$Y$140*'Assumptions'!$Z$140*'Assumptions'!$D$11*(1+'Assumptions'!$D$13)^(4-1)</x:f>
        <x:v>245.75539502700008</x:v>
      </x:c>
      <x:c r="S502" s="10" t="n">
        <x:f>IF(I502=0,0,J502*'Assumptions'!$W$140+H502*'Assumptions'!$X$140)</x:f>
        <x:v>235.2092023944001</x:v>
      </x:c>
      <x:c r="T502" s="10" t="n">
        <x:f>N502*'Assumptions'!$AA$140</x:f>
        <x:v>617.3513018553602</x:v>
      </x:c>
      <x:c r="U502" s="10" t="n">
        <x:f>'Assumptions'!$AE$140*'Assumptions'!$D$11*(1+'Assumptions'!$D$13)^(4-1)</x:f>
        <x:v>0</x:v>
      </x:c>
      <x:c r="V502" s="10" t="n">
        <x:f>0</x:f>
        <x:v>0</x:v>
      </x:c>
      <x:c r="W502" s="10" t="n">
        <x:f>H502*('Assumptions'!$P$140+'Assumptions'!$Y$140)</x:f>
        <x:v>52.476900000000015</x:v>
      </x:c>
      <x:c r="X502" s="10" t="n">
        <x:f>N502/12*'Assumptions'!$AF$140</x:f>
        <x:v>643.0742727660003</x:v>
      </x:c>
      <x:c r="Y502" s="10" t="n">
        <x:f>P502/12</x:f>
        <x:v>68.26538750750002</x:v>
      </x:c>
      <x:c r="Z502" s="10" t="n">
        <x:f>0</x:f>
        <x:v>0</x:v>
      </x:c>
      <x:c r="AA502" s="10" t="n">
        <x:f>Z502*'Assumptions'!$AC$140*'Assumptions'!$D$11*(1+'Assumptions'!$D$13)^(4-1)</x:f>
        <x:v>0</x:v>
      </x:c>
      <x:c r="AB502" s="10" t="n">
        <x:f>F502/1</x:f>
        <x:v>10.381800000000004</x:v>
      </x:c>
      <x:c r="AC502" s="10" t="n">
        <x:f>AB502/'Assumptions'!$AM$140</x:f>
        <x:v>103.81800000000003</x:v>
      </x:c>
      <x:c r="AD502" s="10" t="n">
        <x:f>IF(AB502=0,0,T502/AB502)</x:f>
        <x:v>59.464765440998676</x:v>
      </x:c>
      <x:c r="AE502" s="10" t="n">
        <x:f>AA502*'Assumptions'!$D$21</x:f>
        <x:v>0</x:v>
      </x:c>
    </x:row>
    <x:row r="503" ht="16" customHeight="1">
      <x:c r="A503" s="1"/>
      <x:c r="B503" s="1"/>
      <x:c r="C503" s="1" t="str">
        <x:v>DOT-112</x:v>
      </x:c>
      <x:c r="D503" s="10" t="str">
        <x:v>Learn Anglais</x:v>
      </x:c>
      <x:c r="E503" s="10" t="n">
        <x:v>4</x:v>
      </x:c>
      <x:c r="F503" s="21" t="n">
        <x:f>F375*(1+'Assumptions'!$L$141)</x:f>
        <x:v>311.04</x:v>
      </x:c>
      <x:c r="G503" s="21" t="n">
        <x:f>H375*'Assumptions'!$K$141</x:f>
        <x:v>441.63000000000005</x:v>
      </x:c>
      <x:c r="H503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503+G503,NA())</x:f>
        <x:v>752.6700000000001</x:v>
      </x:c>
      <x:c r="I503" s="22" t="n">
        <x:f>'Assumptions'!$H$141*IF('Assumptions'!$O$141=1,1,'Assumptions'!$D$10)*(1+'Assumptions'!$N$141)^(4-1)</x:f>
        <x:v>47.754360000000005</x:v>
      </x:c>
      <x:c r="J503" s="10" t="n">
        <x:f>H503*I503</x:f>
        <x:v>35943.27414120001</x:v>
      </x:c>
      <x:c r="K503" s="10" t="n">
        <x:f>J503*'Assumptions'!$T$141</x:f>
        <x:v>11981.091380400003</x:v>
      </x:c>
      <x:c r="L503" s="10" t="n">
        <x:f>K503*'Assumptions'!$U$141</x:f>
        <x:v>359.4327414120001</x:v>
      </x:c>
      <x:c r="M503" s="10" t="n">
        <x:f>K503*'Assumptions'!$V$141</x:f>
        <x:v>0</x:v>
      </x:c>
      <x:c r="N503" s="10" t="n">
        <x:f>K503-L503-M503</x:f>
        <x:v>11621.658638988003</x:v>
      </x:c>
      <x:c r="O503" s="10" t="n">
        <x:f>H503*'Assumptions'!$P$141*'Assumptions'!$Q$141*'Assumptions'!$D$11*(1+'Assumptions'!$D$13)^(4-1)</x:f>
        <x:v>2878.619908815</x:v>
      </x:c>
      <x:c r="P503" s="10" t="n">
        <x:f>H503*'Assumptions'!$R$141*'Assumptions'!$D$11*(1+'Assumptions'!$D$13)^(4-1)</x:f>
        <x:v>0</x:v>
      </x:c>
      <x:c r="Q503" s="10" t="n">
        <x:f>J503*'Assumptions'!$S$141</x:f>
        <x:v>0</x:v>
      </x:c>
      <x:c r="R503" s="10" t="n">
        <x:f>H503*'Assumptions'!$Y$141*'Assumptions'!$Z$141*'Assumptions'!$D$11*(1+'Assumptions'!$D$13)^(4-1)</x:f>
        <x:v>3701.0827399050004</x:v>
      </x:c>
      <x:c r="S503" s="10" t="n">
        <x:f>IF(I503=0,0,J503*'Assumptions'!$W$141+H503*'Assumptions'!$X$141)</x:f>
        <x:v>1268.1559500948003</x:v>
      </x:c>
      <x:c r="T503" s="10" t="n">
        <x:f>N503*'Assumptions'!$AA$141</x:f>
        <x:v>581.0829319494002</x:v>
      </x:c>
      <x:c r="U503" s="10" t="n">
        <x:f>'Assumptions'!$AE$141*'Assumptions'!$D$11*(1+'Assumptions'!$D$13)^(4-1)</x:f>
        <x:v>0</x:v>
      </x:c>
      <x:c r="V503" s="10" t="n">
        <x:f>0</x:f>
        <x:v>0</x:v>
      </x:c>
      <x:c r="W503" s="10" t="n">
        <x:f>H503*('Assumptions'!$P$141+'Assumptions'!$Y$141)</x:f>
        <x:v>188.16750000000002</x:v>
      </x:c>
      <x:c r="X503" s="10" t="n">
        <x:f>N503/12*'Assumptions'!$AF$141</x:f>
        <x:v>0</x:v>
      </x:c>
      <x:c r="Y503" s="10" t="n">
        <x:f>P503/12</x:f>
        <x:v>0</x:v>
      </x:c>
      <x:c r="Z503" s="10" t="n">
        <x:f>0</x:f>
        <x:v>0</x:v>
      </x:c>
      <x:c r="AA503" s="10" t="n">
        <x:f>Z503*'Assumptions'!$AC$141*'Assumptions'!$D$11*(1+'Assumptions'!$D$13)^(4-1)</x:f>
        <x:v>0</x:v>
      </x:c>
      <x:c r="AB503" s="10" t="n">
        <x:f>F503/1</x:f>
        <x:v>311.04</x:v>
      </x:c>
      <x:c r="AC503" s="10" t="n">
        <x:f>AB503/'Assumptions'!$AM$141</x:f>
        <x:v>6220.8</x:v>
      </x:c>
      <x:c r="AD503" s="10" t="n">
        <x:f>IF(AB503=0,0,T503/AB503)</x:f>
        <x:v>1.8681935826562504</x:v>
      </x:c>
      <x:c r="AE503" s="10" t="n">
        <x:f>AA503*'Assumptions'!$D$21</x:f>
        <x:v>0</x:v>
      </x:c>
    </x:row>
    <x:row r="504" ht="16" customHeight="1">
      <x:c r="A504" s="1"/>
      <x:c r="B504" s="1"/>
      <x:c r="C504" s="1" t="str">
        <x:v>DOT-113</x:v>
      </x:c>
      <x:c r="D504" s="10" t="str">
        <x:v>Learn Anglais</x:v>
      </x:c>
      <x:c r="E504" s="10" t="n">
        <x:v>4</x:v>
      </x:c>
      <x:c r="F504" s="21" t="n">
        <x:f>F376*(1+'Assumptions'!$L$142)</x:f>
        <x:v>186.624</x:v>
      </x:c>
      <x:c r="G504" s="21" t="n">
        <x:f>H376*'Assumptions'!$K$142</x:f>
        <x:v>264.978</x:v>
      </x:c>
      <x:c r="H504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504+G504,NA())</x:f>
        <x:v>451.602</x:v>
      </x:c>
      <x:c r="I504" s="22" t="n">
        <x:f>'Assumptions'!$H$142*IF('Assumptions'!$O$142=1,1,'Assumptions'!$D$10)*(1+'Assumptions'!$N$142)^(4-1)</x:f>
        <x:v>90.20268000000002</x:v>
      </x:c>
      <x:c r="J504" s="10" t="n">
        <x:f>H504*I504</x:f>
        <x:v>40735.71069336001</x:v>
      </x:c>
      <x:c r="K504" s="10" t="n">
        <x:f>J504*'Assumptions'!$T$142</x:f>
        <x:v>12220.713208008003</x:v>
      </x:c>
      <x:c r="L504" s="10" t="n">
        <x:f>K504*'Assumptions'!$U$142</x:f>
        <x:v>366.6213962402401</x:v>
      </x:c>
      <x:c r="M504" s="10" t="n">
        <x:f>K504*'Assumptions'!$V$142</x:f>
        <x:v>0</x:v>
      </x:c>
      <x:c r="N504" s="10" t="n">
        <x:f>K504-L504-M504</x:f>
        <x:v>11854.091811767763</x:v>
      </x:c>
      <x:c r="O504" s="10" t="n">
        <x:f>H504*'Assumptions'!$P$142*'Assumptions'!$Q$142*'Assumptions'!$D$11*(1+'Assumptions'!$D$13)^(4-1)</x:f>
        <x:v>1727.1719452890002</x:v>
      </x:c>
      <x:c r="P504" s="10" t="n">
        <x:f>H504*'Assumptions'!$R$142*'Assumptions'!$D$11*(1+'Assumptions'!$D$13)^(4-1)</x:f>
        <x:v>0</x:v>
      </x:c>
      <x:c r="Q504" s="10" t="n">
        <x:f>J504*'Assumptions'!$S$142</x:f>
        <x:v>0</x:v>
      </x:c>
      <x:c r="R504" s="10" t="n">
        <x:f>H504*'Assumptions'!$Y$142*'Assumptions'!$Z$142*'Assumptions'!$D$11*(1+'Assumptions'!$D$13)^(4-1)</x:f>
        <x:v>2220.649643943</x:v>
      </x:c>
      <x:c r="S504" s="10" t="n">
        <x:f>IF(I504=0,0,J504*'Assumptions'!$W$142+H504*'Assumptions'!$X$142)</x:f>
        <x:v>1316.8162101074404</x:v>
      </x:c>
      <x:c r="T504" s="10" t="n">
        <x:f>N504*'Assumptions'!$AA$142</x:f>
        <x:v>592.7045905883882</x:v>
      </x:c>
      <x:c r="U504" s="10" t="n">
        <x:f>'Assumptions'!$AE$142*'Assumptions'!$D$11*(1+'Assumptions'!$D$13)^(4-1)</x:f>
        <x:v>0</x:v>
      </x:c>
      <x:c r="V504" s="10" t="n">
        <x:f>0</x:f>
        <x:v>0</x:v>
      </x:c>
      <x:c r="W504" s="10" t="n">
        <x:f>H504*('Assumptions'!$P$142+'Assumptions'!$Y$142)</x:f>
        <x:v>112.9005</x:v>
      </x:c>
      <x:c r="X504" s="10" t="n">
        <x:f>N504/12*'Assumptions'!$AF$142</x:f>
        <x:v>0</x:v>
      </x:c>
      <x:c r="Y504" s="10" t="n">
        <x:f>P504/12</x:f>
        <x:v>0</x:v>
      </x:c>
      <x:c r="Z504" s="10" t="n">
        <x:f>0</x:f>
        <x:v>0</x:v>
      </x:c>
      <x:c r="AA504" s="10" t="n">
        <x:f>Z504*'Assumptions'!$AC$142*'Assumptions'!$D$11*(1+'Assumptions'!$D$13)^(4-1)</x:f>
        <x:v>0</x:v>
      </x:c>
      <x:c r="AB504" s="10" t="n">
        <x:f>F504/1</x:f>
        <x:v>186.624</x:v>
      </x:c>
      <x:c r="AC504" s="10" t="n">
        <x:f>AB504/'Assumptions'!$AM$142</x:f>
        <x:v>3732.4799999999996</x:v>
      </x:c>
      <x:c r="AD504" s="10" t="n">
        <x:f>IF(AB504=0,0,T504/AB504)</x:f>
        <x:v>3.175929090515626</x:v>
      </x:c>
      <x:c r="AE504" s="10" t="n">
        <x:f>AA504*'Assumptions'!$D$21</x:f>
        <x:v>0</x:v>
      </x:c>
    </x:row>
    <x:row r="505" ht="16" customHeight="1">
      <x:c r="A505" s="1"/>
      <x:c r="B505" s="1"/>
      <x:c r="C505" s="1" t="str">
        <x:v>DOT-114</x:v>
      </x:c>
      <x:c r="D505" s="10" t="str">
        <x:v>Learn Anglais</x:v>
      </x:c>
      <x:c r="E505" s="10" t="n">
        <x:v>4</x:v>
      </x:c>
      <x:c r="F505" s="21" t="n">
        <x:f>F377*(1+'Assumptions'!$L$143)</x:f>
        <x:v>273.75749999999994</x:v>
      </x:c>
      <x:c r="G505" s="21" t="n">
        <x:f>H377*'Assumptions'!$K$143</x:f>
        <x:v>75.26249999999999</x:v>
      </x:c>
      <x:c r="H505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505+G505,NA())</x:f>
        <x:v>349.0199999999999</x:v>
      </x:c>
      <x:c r="I505" s="22" t="n">
        <x:f>'Assumptions'!$H$143*IF('Assumptions'!$O$143=1,1,'Assumptions'!$D$10)*(1+'Assumptions'!$N$143)^(4-1)</x:f>
        <x:v>30.775032000000003</x:v>
      </x:c>
      <x:c r="J505" s="10" t="n">
        <x:f>H505*I505</x:f>
        <x:v>10741.101668639998</x:v>
      </x:c>
      <x:c r="K505" s="10" t="n">
        <x:f>J505*'Assumptions'!$T$143</x:f>
        <x:v>10741.101668639998</x:v>
      </x:c>
      <x:c r="L505" s="10" t="n">
        <x:f>K505*'Assumptions'!$U$143</x:f>
        <x:v>322.2330500591999</x:v>
      </x:c>
      <x:c r="M505" s="10" t="n">
        <x:f>K505*'Assumptions'!$V$143</x:f>
        <x:v>0</x:v>
      </x:c>
      <x:c r="N505" s="10" t="n">
        <x:f>K505-L505-M505</x:f>
        <x:v>10418.868618580798</x:v>
      </x:c>
      <x:c r="O505" s="10" t="n">
        <x:f>H505*'Assumptions'!$P$143*'Assumptions'!$Q$143*'Assumptions'!$D$11*(1+'Assumptions'!$D$13)^(4-1)</x:f>
        <x:v>2002.2637820849995</x:v>
      </x:c>
      <x:c r="P505" s="10" t="n">
        <x:f>H505*'Assumptions'!$R$143*'Assumptions'!$D$11*(1+'Assumptions'!$D$13)^(4-1)</x:f>
        <x:v>0</x:v>
      </x:c>
      <x:c r="Q505" s="10" t="n">
        <x:f>J505*'Assumptions'!$S$143</x:f>
        <x:v>0</x:v>
      </x:c>
      <x:c r="R505" s="10" t="n">
        <x:f>H505*'Assumptions'!$Y$143*'Assumptions'!$Z$143*'Assumptions'!$D$11*(1+'Assumptions'!$D$13)^(4-1)</x:f>
        <x:v>1144.1507326199996</x:v>
      </x:c>
      <x:c r="S505" s="10" t="n">
        <x:f>IF(I505=0,0,J505*'Assumptions'!$W$143+H505*'Assumptions'!$X$143)</x:f>
        <x:v>416.19794839055993</x:v>
      </x:c>
      <x:c r="T505" s="10" t="n">
        <x:f>N505*'Assumptions'!$AA$143</x:f>
        <x:v>520.9434309290399</x:v>
      </x:c>
      <x:c r="U505" s="10" t="n">
        <x:f>'Assumptions'!$AE$143*'Assumptions'!$D$11*(1+'Assumptions'!$D$13)^(4-1)</x:f>
        <x:v>0</x:v>
      </x:c>
      <x:c r="V505" s="10" t="n">
        <x:f>0</x:f>
        <x:v>0</x:v>
      </x:c>
      <x:c r="W505" s="10" t="n">
        <x:f>H505*('Assumptions'!$P$143+'Assumptions'!$Y$143)</x:f>
        <x:v>87.25499999999998</x:v>
      </x:c>
      <x:c r="X505" s="10" t="n">
        <x:f>N505/12*'Assumptions'!$AF$143</x:f>
        <x:v>0</x:v>
      </x:c>
      <x:c r="Y505" s="10" t="n">
        <x:f>P505/12</x:f>
        <x:v>0</x:v>
      </x:c>
      <x:c r="Z505" s="10" t="n">
        <x:f>0</x:f>
        <x:v>0</x:v>
      </x:c>
      <x:c r="AA505" s="10" t="n">
        <x:f>Z505*'Assumptions'!$AC$143*'Assumptions'!$D$11*(1+'Assumptions'!$D$13)^(4-1)</x:f>
        <x:v>0</x:v>
      </x:c>
      <x:c r="AB505" s="10" t="n">
        <x:f>F505/1</x:f>
        <x:v>273.75749999999994</x:v>
      </x:c>
      <x:c r="AC505" s="10" t="n">
        <x:f>AB505/'Assumptions'!$AM$143</x:f>
        <x:v>5475.149999999999</x:v>
      </x:c>
      <x:c r="AD505" s="10" t="n">
        <x:f>IF(AB505=0,0,T505/AB505)</x:f>
        <x:v>1.9029375667480892</x:v>
      </x:c>
      <x:c r="AE505" s="10" t="n">
        <x:f>AA505*'Assumptions'!$D$21</x:f>
        <x:v>0</x:v>
      </x:c>
    </x:row>
    <x:row r="506" ht="16" customHeight="1">
      <x:c r="A506" s="1"/>
      <x:c r="B506" s="1"/>
      <x:c r="C506" s="1" t="str">
        <x:v>DOT-115</x:v>
      </x:c>
      <x:c r="D506" s="10" t="str">
        <x:v>Learn Anglais</x:v>
      </x:c>
      <x:c r="E506" s="10" t="n">
        <x:v>4</x:v>
      </x:c>
      <x:c r="F506" s="21" t="n">
        <x:f>F378*(1+'Assumptions'!$L$144)</x:f>
        <x:v>124.41600000000003</x:v>
      </x:c>
      <x:c r="G506" s="21" t="n">
        <x:f>H378*'Assumptions'!$K$144</x:f>
        <x:v>156.072</x:v>
      </x:c>
      <x:c r="H506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506+G506,NA())</x:f>
        <x:v>280.48800000000006</x:v>
      </x:c>
      <x:c r="I506" s="22" t="n">
        <x:f>'Assumptions'!$H$144*IF('Assumptions'!$O$144=1,1,'Assumptions'!$D$10)*(1+'Assumptions'!$N$144)^(4-1)</x:f>
        <x:v>47.754360000000005</x:v>
      </x:c>
      <x:c r="J506" s="10" t="n">
        <x:f>H506*I506</x:f>
        <x:v>13394.524927680004</x:v>
      </x:c>
      <x:c r="K506" s="10" t="n">
        <x:f>J506*'Assumptions'!$T$144</x:f>
        <x:v>4464.841642560001</x:v>
      </x:c>
      <x:c r="L506" s="10" t="n">
        <x:f>K506*'Assumptions'!$U$144</x:f>
        <x:v>133.9452492768</x:v>
      </x:c>
      <x:c r="M506" s="10" t="n">
        <x:f>K506*'Assumptions'!$V$144</x:f>
        <x:v>0</x:v>
      </x:c>
      <x:c r="N506" s="10" t="n">
        <x:f>K506-L506-M506</x:f>
        <x:v>4330.896393283201</x:v>
      </x:c>
      <x:c r="O506" s="10" t="n">
        <x:f>H506*'Assumptions'!$P$144*'Assumptions'!$Q$144*'Assumptions'!$D$11*(1+'Assumptions'!$D$13)^(4-1)</x:f>
        <x:v>1609.1082565740003</x:v>
      </x:c>
      <x:c r="P506" s="10" t="n">
        <x:f>H506*'Assumptions'!$R$144*'Assumptions'!$D$11*(1+'Assumptions'!$D$13)^(4-1)</x:f>
        <x:v>0</x:v>
      </x:c>
      <x:c r="Q506" s="10" t="n">
        <x:f>J506*'Assumptions'!$S$144</x:f>
        <x:v>0</x:v>
      </x:c>
      <x:c r="R506" s="10" t="n">
        <x:f>H506*'Assumptions'!$Y$144*'Assumptions'!$Z$144*'Assumptions'!$D$11*(1+'Assumptions'!$D$13)^(4-1)</x:f>
        <x:v>1379.235648492</x:v>
      </x:c>
      <x:c r="S506" s="10" t="n">
        <x:f>IF(I506=0,0,J506*'Assumptions'!$W$144+H506*'Assumptions'!$X$144)</x:f>
        <x:v>472.58762290272017</x:v>
      </x:c>
      <x:c r="T506" s="10" t="n">
        <x:f>N506*'Assumptions'!$AA$144</x:f>
        <x:v>216.54481966416006</x:v>
      </x:c>
      <x:c r="U506" s="10" t="n">
        <x:f>'Assumptions'!$AE$144*'Assumptions'!$D$11*(1+'Assumptions'!$D$13)^(4-1)</x:f>
        <x:v>0</x:v>
      </x:c>
      <x:c r="V506" s="10" t="n">
        <x:f>0</x:f>
        <x:v>0</x:v>
      </x:c>
      <x:c r="W506" s="10" t="n">
        <x:f>H506*('Assumptions'!$P$144+'Assumptions'!$Y$144)</x:f>
        <x:v>84.14640000000001</x:v>
      </x:c>
      <x:c r="X506" s="10" t="n">
        <x:f>N506/12*'Assumptions'!$AF$144</x:f>
        <x:v>0</x:v>
      </x:c>
      <x:c r="Y506" s="10" t="n">
        <x:f>P506/12</x:f>
        <x:v>0</x:v>
      </x:c>
      <x:c r="Z506" s="10" t="n">
        <x:f>0</x:f>
        <x:v>0</x:v>
      </x:c>
      <x:c r="AA506" s="10" t="n">
        <x:f>Z506*'Assumptions'!$AC$144*'Assumptions'!$D$11*(1+'Assumptions'!$D$13)^(4-1)</x:f>
        <x:v>0</x:v>
      </x:c>
      <x:c r="AB506" s="10" t="n">
        <x:f>F506/1</x:f>
        <x:v>124.41600000000003</x:v>
      </x:c>
      <x:c r="AC506" s="10" t="n">
        <x:f>AB506/'Assumptions'!$AM$144</x:f>
        <x:v>2488.32</x:v>
      </x:c>
      <x:c r="AD506" s="10" t="n">
        <x:f>IF(AB506=0,0,T506/AB506)</x:f>
        <x:v>1.7404901271875002</x:v>
      </x:c>
      <x:c r="AE506" s="10" t="n">
        <x:f>AA506*'Assumptions'!$D$21</x:f>
        <x:v>0</x:v>
      </x:c>
    </x:row>
    <x:row r="507" ht="16" customHeight="1">
      <x:c r="A507" s="1"/>
      <x:c r="B507" s="1"/>
      <x:c r="C507" s="1" t="str">
        <x:v>DOT-116</x:v>
      </x:c>
      <x:c r="D507" s="10" t="str">
        <x:v>Fiefé</x:v>
      </x:c>
      <x:c r="E507" s="10" t="n">
        <x:v>4</x:v>
      </x:c>
      <x:c r="F507" s="21" t="n">
        <x:f>F379*(1+'Assumptions'!$L$145)</x:f>
        <x:v>47.20558080000001</x:v>
      </x:c>
      <x:c r="G507" s="21" t="n">
        <x:f>H379*'Assumptions'!$K$145</x:f>
        <x:v>16.679232</x:v>
      </x:c>
      <x:c r="H507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507+G507,NA())</x:f>
        <x:v>63.884812800000006</x:v>
      </x:c>
      <x:c r="I507" s="22" t="n">
        <x:f>'Assumptions'!$H$145*IF('Assumptions'!$O$145=1,1,'Assumptions'!$D$10)*(1+'Assumptions'!$N$145)^(4-1)</x:f>
        <x:v>477.5436000000001</x:v>
      </x:c>
      <x:c r="J507" s="10" t="n">
        <x:f>H507*I507</x:f>
        <x:v>30507.78348983809</x:v>
      </x:c>
      <x:c r="K507" s="10" t="n">
        <x:f>J507*'Assumptions'!$T$145</x:f>
        <x:v>30507.78348983809</x:v>
      </x:c>
      <x:c r="L507" s="10" t="n">
        <x:f>K507*'Assumptions'!$U$145</x:f>
        <x:v>915.2335046951426</x:v>
      </x:c>
      <x:c r="M507" s="10" t="n">
        <x:f>K507*'Assumptions'!$V$145</x:f>
        <x:v>610.1556697967618</x:v>
      </x:c>
      <x:c r="N507" s="10" t="n">
        <x:f>K507-L507-M507</x:f>
        <x:v>28982.394315346188</x:v>
      </x:c>
      <x:c r="O507" s="10" t="n">
        <x:f>H507*'Assumptions'!$P$145*'Assumptions'!$Q$145*'Assumptions'!$D$11*(1+'Assumptions'!$D$13)^(4-1)</x:f>
        <x:v>1745.2164959126403</x:v>
      </x:c>
      <x:c r="P507" s="10" t="n">
        <x:f>H507*'Assumptions'!$R$145*'Assumptions'!$D$11*(1+'Assumptions'!$D$13)^(4-1)</x:f>
        <x:v>17452.164959126403</x:v>
      </x:c>
      <x:c r="Q507" s="10" t="n">
        <x:f>J507*'Assumptions'!$S$145</x:f>
        <x:v>0</x:v>
      </x:c>
      <x:c r="R507" s="10" t="n">
        <x:f>H507*'Assumptions'!$Y$145*'Assumptions'!$Z$145*'Assumptions'!$D$11*(1+'Assumptions'!$D$13)^(4-1)</x:f>
        <x:v>314.1389692642752</x:v>
      </x:c>
      <x:c r="S507" s="10" t="n">
        <x:f>IF(I507=0,0,J507*'Assumptions'!$W$145+H507*'Assumptions'!$X$145)</x:f>
        <x:v>903.8911650453047</x:v>
      </x:c>
      <x:c r="T507" s="10" t="n">
        <x:f>N507*'Assumptions'!$AA$145</x:f>
        <x:v>2318.591545227695</x:v>
      </x:c>
      <x:c r="U507" s="10" t="n">
        <x:f>'Assumptions'!$AE$145*'Assumptions'!$D$11*(1+'Assumptions'!$D$13)^(4-1)</x:f>
        <x:v>0</x:v>
      </x:c>
      <x:c r="V507" s="10" t="n">
        <x:f>0</x:f>
        <x:v>0</x:v>
      </x:c>
      <x:c r="W507" s="10" t="n">
        <x:f>H507*('Assumptions'!$P$145+'Assumptions'!$Y$145)</x:f>
        <x:v>41.52512832000001</x:v>
      </x:c>
      <x:c r="X507" s="10" t="n">
        <x:f>N507/12*'Assumptions'!$AF$145</x:f>
        <x:v>0</x:v>
      </x:c>
      <x:c r="Y507" s="10" t="n">
        <x:f>P507/12</x:f>
        <x:v>1454.3470799272002</x:v>
      </x:c>
      <x:c r="Z507" s="10" t="n">
        <x:f>0</x:f>
        <x:v>0</x:v>
      </x:c>
      <x:c r="AA507" s="10" t="n">
        <x:f>Z507*'Assumptions'!$AC$145*'Assumptions'!$D$11*(1+'Assumptions'!$D$13)^(4-1)</x:f>
        <x:v>0</x:v>
      </x:c>
      <x:c r="AB507" s="10" t="n">
        <x:f>F507/1</x:f>
        <x:v>47.20558080000001</x:v>
      </x:c>
      <x:c r="AC507" s="10" t="n">
        <x:f>AB507/'Assumptions'!$AM$145</x:f>
        <x:v>1573.5193600000002</x:v>
      </x:c>
      <x:c r="AD507" s="10" t="n">
        <x:f>IF(AB507=0,0,T507/AB507)</x:f>
        <x:v>49.11689478095977</x:v>
      </x:c>
      <x:c r="AE507" s="10" t="n">
        <x:f>AA507*'Assumptions'!$D$21</x:f>
        <x:v>0</x:v>
      </x:c>
    </x:row>
    <x:row r="508" ht="16" customHeight="1">
      <x:c r="A508" s="1"/>
      <x:c r="B508" s="1"/>
      <x:c r="C508" s="1" t="str">
        <x:v>DOT-117</x:v>
      </x:c>
      <x:c r="D508" s="10" t="str">
        <x:v>Fiefé</x:v>
      </x:c>
      <x:c r="E508" s="10" t="n">
        <x:v>4</x:v>
      </x:c>
      <x:c r="F508" s="21" t="n">
        <x:f>F380*(1+'Assumptions'!$L$146)</x:f>
        <x:v>59.006976000000016</x:v>
      </x:c>
      <x:c r="G508" s="21" t="n">
        <x:f>H380*'Assumptions'!$K$146</x:f>
        <x:v>20.849040000000002</x:v>
      </x:c>
      <x:c r="H508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508+G508,NA())</x:f>
        <x:v>79.85601600000001</x:v>
      </x:c>
      <x:c r="I508" s="22" t="n">
        <x:f>'Assumptions'!$H$146*IF('Assumptions'!$O$146=1,1,'Assumptions'!$D$10)*(1+'Assumptions'!$N$146)^(4-1)</x:f>
        <x:v>185.71140000000003</x:v>
      </x:c>
      <x:c r="J508" s="10" t="n">
        <x:f>H508*I508</x:f>
        <x:v>14830.172529782403</x:v>
      </x:c>
      <x:c r="K508" s="10" t="n">
        <x:f>J508*'Assumptions'!$T$146</x:f>
        <x:v>14830.172529782403</x:v>
      </x:c>
      <x:c r="L508" s="10" t="n">
        <x:f>K508*'Assumptions'!$U$146</x:f>
        <x:v>444.90517589347206</x:v>
      </x:c>
      <x:c r="M508" s="10" t="n">
        <x:f>K508*'Assumptions'!$V$146</x:f>
        <x:v>296.6034505956481</x:v>
      </x:c>
      <x:c r="N508" s="10" t="n">
        <x:f>K508-L508-M508</x:f>
        <x:v>14088.663903293282</x:v>
      </x:c>
      <x:c r="O508" s="10" t="n">
        <x:f>H508*'Assumptions'!$P$146*'Assumptions'!$Q$146*'Assumptions'!$D$11*(1+'Assumptions'!$D$13)^(4-1)</x:f>
        <x:v>981.6842789508602</x:v>
      </x:c>
      <x:c r="P508" s="10" t="n">
        <x:f>H508*'Assumptions'!$R$146*'Assumptions'!$D$11*(1+'Assumptions'!$D$13)^(4-1)</x:f>
        <x:v>6980.865983650561</x:v>
      </x:c>
      <x:c r="Q508" s="10" t="n">
        <x:f>J508*'Assumptions'!$S$146</x:f>
        <x:v>0</x:v>
      </x:c>
      <x:c r="R508" s="10" t="n">
        <x:f>H508*'Assumptions'!$Y$146*'Assumptions'!$Z$146*'Assumptions'!$D$11*(1+'Assumptions'!$D$13)^(4-1)</x:f>
        <x:v>392.6737115803441</x:v>
      </x:c>
      <x:c r="S508" s="10" t="n">
        <x:f>IF(I508=0,0,J508*'Assumptions'!$W$146+H508*'Assumptions'!$X$146)</x:f>
        <x:v>454.0318081636897</x:v>
      </x:c>
      <x:c r="T508" s="10" t="n">
        <x:f>N508*'Assumptions'!$AA$146</x:f>
        <x:v>1127.0931122634627</x:v>
      </x:c>
      <x:c r="U508" s="10" t="n">
        <x:f>'Assumptions'!$AE$146*'Assumptions'!$D$11*(1+'Assumptions'!$D$13)^(4-1)</x:f>
        <x:v>0</x:v>
      </x:c>
      <x:c r="V508" s="10" t="n">
        <x:f>0</x:f>
        <x:v>0</x:v>
      </x:c>
      <x:c r="W508" s="10" t="n">
        <x:f>H508*('Assumptions'!$P$146+'Assumptions'!$Y$146)</x:f>
        <x:v>31.942406400000007</x:v>
      </x:c>
      <x:c r="X508" s="10" t="n">
        <x:f>N508/12*'Assumptions'!$AF$146</x:f>
        <x:v>0</x:v>
      </x:c>
      <x:c r="Y508" s="10" t="n">
        <x:f>P508/12</x:f>
        <x:v>581.7388319708801</x:v>
      </x:c>
      <x:c r="Z508" s="10" t="n">
        <x:f>0</x:f>
        <x:v>0</x:v>
      </x:c>
      <x:c r="AA508" s="10" t="n">
        <x:f>Z508*'Assumptions'!$AC$146*'Assumptions'!$D$11*(1+'Assumptions'!$D$13)^(4-1)</x:f>
        <x:v>0</x:v>
      </x:c>
      <x:c r="AB508" s="10" t="n">
        <x:f>F508/1</x:f>
        <x:v>59.006976000000016</x:v>
      </x:c>
      <x:c r="AC508" s="10" t="n">
        <x:f>AB508/'Assumptions'!$AM$146</x:f>
        <x:v>1966.8992000000005</x:v>
      </x:c>
      <x:c r="AD508" s="10" t="n">
        <x:f>IF(AB508=0,0,T508/AB508)</x:f>
        <x:v>19.101014637039906</x:v>
      </x:c>
      <x:c r="AE508" s="10" t="n">
        <x:f>AA508*'Assumptions'!$D$21</x:f>
        <x:v>0</x:v>
      </x:c>
    </x:row>
    <x:row r="509" ht="16" customHeight="1">
      <x:c r="A509" s="1"/>
      <x:c r="B509" s="1"/>
      <x:c r="C509" s="1" t="str">
        <x:v>DOT-118</x:v>
      </x:c>
      <x:c r="D509" s="10" t="str">
        <x:v>Fiefé Design</x:v>
      </x:c>
      <x:c r="E509" s="10" t="n">
        <x:v>4</x:v>
      </x:c>
      <x:c r="F509" s="21" t="n">
        <x:f>F381*(1+'Assumptions'!$L$147)</x:f>
        <x:v>7.867596800000001</x:v>
      </x:c>
      <x:c r="G509" s="21" t="n">
        <x:f>H381*'Assumptions'!$K$147</x:f>
        <x:v>2.7798719999999997</x:v>
      </x:c>
      <x:c r="H509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509+G509,NA())</x:f>
        <x:v>10.6474688</x:v>
      </x:c>
      <x:c r="I509" s="22" t="n">
        <x:f>'Assumptions'!$H$147*IF('Assumptions'!$O$147=1,1,'Assumptions'!$D$10)*(1+'Assumptions'!$N$147)^(4-1)</x:f>
        <x:v>2653.0200000000004</x:v>
      </x:c>
      <x:c r="J509" s="10" t="n">
        <x:f>H509*I509</x:f>
        <x:v>28247.947675776006</x:v>
      </x:c>
      <x:c r="K509" s="10" t="n">
        <x:f>J509*'Assumptions'!$T$147</x:f>
        <x:v>28247.947675776006</x:v>
      </x:c>
      <x:c r="L509" s="10" t="n">
        <x:f>K509*'Assumptions'!$U$147</x:f>
        <x:v>847.4384302732801</x:v>
      </x:c>
      <x:c r="M509" s="10" t="n">
        <x:f>K509*'Assumptions'!$V$147</x:f>
        <x:v>564.9589535155201</x:v>
      </x:c>
      <x:c r="N509" s="10" t="n">
        <x:f>K509-L509-M509</x:f>
        <x:v>26835.550291987205</x:v>
      </x:c>
      <x:c r="O509" s="10" t="n">
        <x:f>H509*'Assumptions'!$P$147*'Assumptions'!$Q$147*'Assumptions'!$D$11*(1+'Assumptions'!$D$13)^(4-1)</x:f>
        <x:v>5584.692786920447</x:v>
      </x:c>
      <x:c r="P509" s="10" t="n">
        <x:f>H509*'Assumptions'!$R$147*'Assumptions'!$D$11*(1+'Assumptions'!$D$13)^(4-1)</x:f>
        <x:v>10471.29897547584</x:v>
      </x:c>
      <x:c r="Q509" s="10" t="n">
        <x:f>J509*'Assumptions'!$S$147</x:f>
        <x:v>0</x:v>
      </x:c>
      <x:c r="R509" s="10" t="n">
        <x:f>H509*'Assumptions'!$Y$147*'Assumptions'!$Z$147*'Assumptions'!$D$11*(1+'Assumptions'!$D$13)^(4-1)</x:f>
        <x:v>52.3564948773792</x:v>
      </x:c>
      <x:c r="S509" s="10" t="n">
        <x:f>IF(I509=0,0,J509*'Assumptions'!$W$147+H509*'Assumptions'!$X$147)</x:f>
        <x:v>822.3847232375042</x:v>
      </x:c>
      <x:c r="T509" s="10" t="n">
        <x:f>N509*'Assumptions'!$AA$147</x:f>
        <x:v>2146.8440233589763</x:v>
      </x:c>
      <x:c r="U509" s="10" t="n">
        <x:f>'Assumptions'!$AE$147*'Assumptions'!$D$11*(1+'Assumptions'!$D$13)^(4-1)</x:f>
        <x:v>0</x:v>
      </x:c>
      <x:c r="V509" s="10" t="n">
        <x:f>0</x:f>
        <x:v>0</x:v>
      </x:c>
      <x:c r="W509" s="10" t="n">
        <x:f>H509*('Assumptions'!$P$147+'Assumptions'!$Y$147)</x:f>
        <x:v>86.77687072</x:v>
      </x:c>
      <x:c r="X509" s="10" t="n">
        <x:f>N509/12*'Assumptions'!$AF$147</x:f>
        <x:v>0</x:v>
      </x:c>
      <x:c r="Y509" s="10" t="n">
        <x:f>P509/12</x:f>
        <x:v>872.60824795632</x:v>
      </x:c>
      <x:c r="Z509" s="10" t="n">
        <x:f>0</x:f>
        <x:v>0</x:v>
      </x:c>
      <x:c r="AA509" s="10" t="n">
        <x:f>Z509*'Assumptions'!$AC$147*'Assumptions'!$D$11*(1+'Assumptions'!$D$13)^(4-1)</x:f>
        <x:v>0</x:v>
      </x:c>
      <x:c r="AB509" s="10" t="n">
        <x:f>F509/1</x:f>
        <x:v>7.867596800000001</x:v>
      </x:c>
      <x:c r="AC509" s="10" t="n">
        <x:f>AB509/'Assumptions'!$AM$147</x:f>
        <x:v>262.2532266666667</x:v>
      </x:c>
      <x:c r="AD509" s="10" t="n">
        <x:f>IF(AB509=0,0,T509/AB509)</x:f>
        <x:v>272.87163767199866</x:v>
      </x:c>
      <x:c r="AE509" s="10" t="n">
        <x:f>AA509*'Assumptions'!$D$21</x:f>
        <x:v>0</x:v>
      </x:c>
    </x:row>
    <x:row r="510" ht="16" customHeight="1">
      <x:c r="A510" s="1"/>
      <x:c r="B510" s="1"/>
      <x:c r="C510" s="1" t="str">
        <x:v>DOT-119</x:v>
      </x:c>
      <x:c r="D510" s="10" t="str">
        <x:v>OsezArt</x:v>
      </x:c>
      <x:c r="E510" s="10" t="n">
        <x:v>4</x:v>
      </x:c>
      <x:c r="F510" s="21" t="n">
        <x:f>F382*(1+'Assumptions'!$L$148)</x:f>
        <x:v>6.2208</x:v>
      </x:c>
      <x:c r="G510" s="21" t="n">
        <x:f>H382*'Assumptions'!$K$148</x:f>
        <x:v>7.803599999999999</x:v>
      </x:c>
      <x:c r="H510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510+G510,NA())</x:f>
        <x:v>14.0244</x:v>
      </x:c>
      <x:c r="I510" s="22" t="n">
        <x:f>'Assumptions'!$H$148*IF('Assumptions'!$O$148=1,1,'Assumptions'!$D$10)*(1+'Assumptions'!$N$148)^(4-1)</x:f>
        <x:v>5306.040000000001</x:v>
      </x:c>
      <x:c r="J510" s="10" t="n">
        <x:f>H510*I510</x:f>
        <x:v>74414.02737600001</x:v>
      </x:c>
      <x:c r="K510" s="10" t="n">
        <x:f>J510*'Assumptions'!$T$148</x:f>
        <x:v>14882.805475200003</x:v>
      </x:c>
      <x:c r="L510" s="10" t="n">
        <x:f>K510*'Assumptions'!$U$148</x:f>
        <x:v>446.48416425600004</x:v>
      </x:c>
      <x:c r="M510" s="10" t="n">
        <x:f>K510*'Assumptions'!$V$148</x:f>
        <x:v>0</x:v>
      </x:c>
      <x:c r="N510" s="10" t="n">
        <x:f>K510-L510-M510</x:f>
        <x:v>14436.321310944002</x:v>
      </x:c>
      <x:c r="O510" s="10" t="n">
        <x:f>H510*'Assumptions'!$P$148*'Assumptions'!$Q$148*'Assumptions'!$D$11*(1+'Assumptions'!$D$13)^(4-1)</x:f>
        <x:v>3677.9617293119995</x:v>
      </x:c>
      <x:c r="P510" s="10" t="n">
        <x:f>H510*'Assumptions'!$R$148*'Assumptions'!$D$11*(1+'Assumptions'!$D$13)^(4-1)</x:f>
        <x:v>0</x:v>
      </x:c>
      <x:c r="Q510" s="10" t="n">
        <x:f>J510*'Assumptions'!$S$148</x:f>
        <x:v>0</x:v>
      </x:c>
      <x:c r="R510" s="10" t="n">
        <x:f>H510*'Assumptions'!$Y$148*'Assumptions'!$Z$148*'Assumptions'!$D$11*(1+'Assumptions'!$D$13)^(4-1)</x:f>
        <x:v>68.9617824246</x:v>
      </x:c>
      <x:c r="S510" s="10" t="n">
        <x:f>IF(I510=0,0,J510*'Assumptions'!$W$148+H510*'Assumptions'!$X$148)</x:f>
        <x:v>2162.2141139040004</x:v>
      </x:c>
      <x:c r="T510" s="10" t="n">
        <x:f>N510*'Assumptions'!$AA$148</x:f>
        <x:v>721.8160655472002</x:v>
      </x:c>
      <x:c r="U510" s="10" t="n">
        <x:f>'Assumptions'!$AE$148*'Assumptions'!$D$11*(1+'Assumptions'!$D$13)^(4-1)</x:f>
        <x:v>0</x:v>
      </x:c>
      <x:c r="V510" s="10" t="n">
        <x:f>0</x:f>
        <x:v>0</x:v>
      </x:c>
      <x:c r="W510" s="10" t="n">
        <x:f>H510*('Assumptions'!$P$148+'Assumptions'!$Y$148)</x:f>
        <x:v>58.201260000000005</x:v>
      </x:c>
      <x:c r="X510" s="10" t="n">
        <x:f>N510/12*'Assumptions'!$AF$148</x:f>
        <x:v>0</x:v>
      </x:c>
      <x:c r="Y510" s="10" t="n">
        <x:f>P510/12</x:f>
        <x:v>0</x:v>
      </x:c>
      <x:c r="Z510" s="10" t="n">
        <x:f>0</x:f>
        <x:v>0</x:v>
      </x:c>
      <x:c r="AA510" s="10" t="n">
        <x:f>Z510*'Assumptions'!$AC$148*'Assumptions'!$D$11*(1+'Assumptions'!$D$13)^(4-1)</x:f>
        <x:v>0</x:v>
      </x:c>
      <x:c r="AB510" s="10" t="n">
        <x:f>F510/1</x:f>
        <x:v>6.2208</x:v>
      </x:c>
      <x:c r="AC510" s="10" t="n">
        <x:f>AB510/'Assumptions'!$AM$148</x:f>
        <x:v>124.41599999999998</x:v>
      </x:c>
      <x:c r="AD510" s="10" t="n">
        <x:f>IF(AB510=0,0,T510/AB510)</x:f>
        <x:v>116.03267514583337</x:v>
      </x:c>
      <x:c r="AE510" s="10" t="n">
        <x:f>AA510*'Assumptions'!$D$21</x:f>
        <x:v>0</x:v>
      </x:c>
    </x:row>
    <x:row r="511" ht="16" customHeight="1">
      <x:c r="A511" s="1"/>
      <x:c r="B511" s="1"/>
      <x:c r="C511" s="1" t="str">
        <x:v>DOT-120</x:v>
      </x:c>
      <x:c r="D511" s="10" t="str">
        <x:v>OsezArt</x:v>
      </x:c>
      <x:c r="E511" s="10" t="n">
        <x:v>4</x:v>
      </x:c>
      <x:c r="F511" s="21" t="n">
        <x:f>F383*(1+'Assumptions'!$L$149)</x:f>
        <x:v>3.993000000000001</x:v>
      </x:c>
      <x:c r="G511" s="21" t="n">
        <x:f>H383*'Assumptions'!$K$149</x:f>
        <x:v>3.2025000000000006</x:v>
      </x:c>
      <x:c r="H511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511+G511,NA())</x:f>
        <x:v>7.195500000000002</x:v>
      </x:c>
      <x:c r="I511" s="22" t="n">
        <x:f>'Assumptions'!$H$149*IF('Assumptions'!$O$149=1,1,'Assumptions'!$D$10)*(1+'Assumptions'!$N$149)^(4-1)</x:f>
        <x:v>5306.040000000001</x:v>
      </x:c>
      <x:c r="J511" s="10" t="n">
        <x:f>H511*I511</x:f>
        <x:v>38179.610820000016</x:v>
      </x:c>
      <x:c r="K511" s="10" t="n">
        <x:f>J511*'Assumptions'!$T$149</x:f>
        <x:v>38179.610820000016</x:v>
      </x:c>
      <x:c r="L511" s="10" t="n">
        <x:f>K511*'Assumptions'!$U$149</x:f>
        <x:v>1145.3883246000005</x:v>
      </x:c>
      <x:c r="M511" s="10" t="n">
        <x:f>K511*'Assumptions'!$V$149</x:f>
        <x:v>0</x:v>
      </x:c>
      <x:c r="N511" s="10" t="n">
        <x:f>K511-L511-M511</x:f>
        <x:v>37034.22249540001</x:v>
      </x:c>
      <x:c r="O511" s="10" t="n">
        <x:f>H511*'Assumptions'!$P$149*'Assumptions'!$Q$149*'Assumptions'!$D$11*(1+'Assumptions'!$D$13)^(4-1)</x:f>
        <x:v>15332.298400575004</x:v>
      </x:c>
      <x:c r="P511" s="10" t="n">
        <x:f>H511*'Assumptions'!$R$149*'Assumptions'!$D$11*(1+'Assumptions'!$D$13)^(4-1)</x:f>
        <x:v>1965.6792821250006</x:v>
      </x:c>
      <x:c r="Q511" s="10" t="n">
        <x:f>J511*'Assumptions'!$S$149</x:f>
        <x:v>0</x:v>
      </x:c>
      <x:c r="R511" s="10" t="n">
        <x:f>H511*'Assumptions'!$Y$149*'Assumptions'!$Z$149*'Assumptions'!$D$11*(1+'Assumptions'!$D$13)^(4-1)</x:f>
        <x:v>58.970378463750016</x:v>
      </x:c>
      <x:c r="S511" s="10" t="n">
        <x:f>IF(I511=0,0,J511*'Assumptions'!$W$149+H511*'Assumptions'!$X$149)</x:f>
        <x:v>1109.3673637800007</x:v>
      </x:c>
      <x:c r="T511" s="10" t="n">
        <x:f>N511*'Assumptions'!$AA$149</x:f>
        <x:v>1481.3688998160005</x:v>
      </x:c>
      <x:c r="U511" s="10" t="n">
        <x:f>'Assumptions'!$AE$149*'Assumptions'!$D$11*(1+'Assumptions'!$D$13)^(4-1)</x:f>
        <x:v>0</x:v>
      </x:c>
      <x:c r="V511" s="10" t="n">
        <x:f>0</x:f>
        <x:v>0</x:v>
      </x:c>
      <x:c r="W511" s="10" t="n">
        <x:f>H511*('Assumptions'!$P$149+'Assumptions'!$Y$149)</x:f>
        <x:v>217.66387500000005</x:v>
      </x:c>
      <x:c r="X511" s="10" t="n">
        <x:f>N511/12*'Assumptions'!$AF$149</x:f>
        <x:v>3086.185207950001</x:v>
      </x:c>
      <x:c r="Y511" s="10" t="n">
        <x:f>P511/12</x:f>
        <x:v>163.80660684375005</x:v>
      </x:c>
      <x:c r="Z511" s="10" t="n">
        <x:f>0</x:f>
        <x:v>0</x:v>
      </x:c>
      <x:c r="AA511" s="10" t="n">
        <x:f>Z511*'Assumptions'!$AC$149*'Assumptions'!$D$11*(1+'Assumptions'!$D$13)^(4-1)</x:f>
        <x:v>0</x:v>
      </x:c>
      <x:c r="AB511" s="10" t="n">
        <x:f>F511/1</x:f>
        <x:v>3.993000000000001</x:v>
      </x:c>
      <x:c r="AC511" s="10" t="n">
        <x:f>AB511/'Assumptions'!$AM$149</x:f>
        <x:v>19.965000000000003</x:v>
      </x:c>
      <x:c r="AD511" s="10" t="n">
        <x:f>IF(AB511=0,0,T511/AB511)</x:f>
        <x:v>370.9914600090158</x:v>
      </x:c>
      <x:c r="AE511" s="10" t="n">
        <x:f>AA511*'Assumptions'!$D$21</x:f>
        <x:v>0</x:v>
      </x:c>
    </x:row>
    <x:row r="512" ht="16" customHeight="1">
      <x:c r="A512" s="1"/>
      <x:c r="B512" s="1"/>
      <x:c r="C512" s="1" t="str">
        <x:v>DOT-121</x:v>
      </x:c>
      <x:c r="D512" s="10" t="str">
        <x:v>OsezArt</x:v>
      </x:c>
      <x:c r="E512" s="10" t="n">
        <x:v>4</x:v>
      </x:c>
      <x:c r="F512" s="21" t="n">
        <x:f>F384*(1+'Assumptions'!$L$150)</x:f>
        <x:v>3.993000000000001</x:v>
      </x:c>
      <x:c r="G512" s="21" t="n">
        <x:f>H384*'Assumptions'!$K$150</x:f>
        <x:v>3.0150000000000006</x:v>
      </x:c>
      <x:c r="H512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512+G512,NA())</x:f>
        <x:v>7.008000000000002</x:v>
      </x:c>
      <x:c r="I512" s="22" t="n">
        <x:f>'Assumptions'!$H$150*IF('Assumptions'!$O$150=1,1,'Assumptions'!$D$10)*(1+'Assumptions'!$N$150)^(4-1)</x:f>
        <x:v>3183.6240000000003</x:v>
      </x:c>
      <x:c r="J512" s="10" t="n">
        <x:f>H512*I512</x:f>
        <x:v>22310.836992000008</x:v>
      </x:c>
      <x:c r="K512" s="10" t="n">
        <x:f>J512*'Assumptions'!$T$150</x:f>
        <x:v>22310.836992000008</x:v>
      </x:c>
      <x:c r="L512" s="10" t="n">
        <x:f>K512*'Assumptions'!$U$150</x:f>
        <x:v>669.3251097600003</x:v>
      </x:c>
      <x:c r="M512" s="10" t="n">
        <x:f>K512*'Assumptions'!$V$150</x:f>
        <x:v>0</x:v>
      </x:c>
      <x:c r="N512" s="10" t="n">
        <x:f>K512-L512-M512</x:f>
        <x:v>21641.511882240007</x:v>
      </x:c>
      <x:c r="O512" s="10" t="n">
        <x:f>H512*'Assumptions'!$P$150*'Assumptions'!$Q$150*'Assumptions'!$D$11*(1+'Assumptions'!$D$13)^(4-1)</x:f>
        <x:v>8959.662054720002</x:v>
      </x:c>
      <x:c r="P512" s="10" t="n">
        <x:f>H512*'Assumptions'!$R$150*'Assumptions'!$D$11*(1+'Assumptions'!$D$13)^(4-1)</x:f>
        <x:v>1531.5661632000003</x:v>
      </x:c>
      <x:c r="Q512" s="10" t="n">
        <x:f>J512*'Assumptions'!$S$150</x:f>
        <x:v>0</x:v>
      </x:c>
      <x:c r="R512" s="10" t="n">
        <x:f>H512*'Assumptions'!$Y$150*'Assumptions'!$Z$150*'Assumptions'!$D$11*(1+'Assumptions'!$D$13)^(4-1)</x:f>
        <x:v>57.43373112000002</x:v>
      </x:c>
      <x:c r="S512" s="10" t="n">
        <x:f>IF(I512=0,0,J512*'Assumptions'!$W$150+H512*'Assumptions'!$X$150)</x:f>
        <x:v>649.1166727680003</x:v>
      </x:c>
      <x:c r="T512" s="10" t="n">
        <x:f>N512*'Assumptions'!$AA$150</x:f>
        <x:v>865.6604752896003</x:v>
      </x:c>
      <x:c r="U512" s="10" t="n">
        <x:f>'Assumptions'!$AE$150*'Assumptions'!$D$11*(1+'Assumptions'!$D$13)^(4-1)</x:f>
        <x:v>0</x:v>
      </x:c>
      <x:c r="V512" s="10" t="n">
        <x:f>0</x:f>
        <x:v>0</x:v>
      </x:c>
      <x:c r="W512" s="10" t="n">
        <x:f>H512*('Assumptions'!$P$150+'Assumptions'!$Y$150)</x:f>
        <x:v>127.89600000000003</x:v>
      </x:c>
      <x:c r="X512" s="10" t="n">
        <x:f>N512/12*'Assumptions'!$AF$150</x:f>
        <x:v>1803.4593235200007</x:v>
      </x:c>
      <x:c r="Y512" s="10" t="n">
        <x:f>P512/12</x:f>
        <x:v>127.63051360000003</x:v>
      </x:c>
      <x:c r="Z512" s="10" t="n">
        <x:f>0</x:f>
        <x:v>0</x:v>
      </x:c>
      <x:c r="AA512" s="10" t="n">
        <x:f>Z512*'Assumptions'!$AC$150*'Assumptions'!$D$11*(1+'Assumptions'!$D$13)^(4-1)</x:f>
        <x:v>0</x:v>
      </x:c>
      <x:c r="AB512" s="10" t="n">
        <x:f>F512/1</x:f>
        <x:v>3.993000000000001</x:v>
      </x:c>
      <x:c r="AC512" s="10" t="n">
        <x:f>AB512/'Assumptions'!$AM$150</x:f>
        <x:v>19.965000000000003</x:v>
      </x:c>
      <x:c r="AD512" s="10" t="n">
        <x:f>IF(AB512=0,0,T512/AB512)</x:f>
        <x:v>216.79450921352367</x:v>
      </x:c>
      <x:c r="AE512" s="10" t="n">
        <x:f>AA512*'Assumptions'!$D$21</x:f>
        <x:v>0</x:v>
      </x:c>
    </x:row>
    <x:row r="513" ht="16" customHeight="1">
      <x:c r="A513" s="1"/>
      <x:c r="B513" s="1"/>
      <x:c r="C513" s="1" t="str">
        <x:v>DOT-122</x:v>
      </x:c>
      <x:c r="D513" s="10" t="str">
        <x:v>OsezArt</x:v>
      </x:c>
      <x:c r="E513" s="10" t="n">
        <x:v>4</x:v>
      </x:c>
      <x:c r="F513" s="21" t="n">
        <x:f>F385*(1+'Assumptions'!$L$151)</x:f>
        <x:v>1.3310000000000004</x:v>
      </x:c>
      <x:c r="G513" s="21" t="n">
        <x:f>H385*'Assumptions'!$K$151</x:f>
        <x:v>1.0050000000000001</x:v>
      </x:c>
      <x:c r="H513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513+G513,NA())</x:f>
        <x:v>2.3360000000000003</x:v>
      </x:c>
      <x:c r="I513" s="22" t="n">
        <x:f>'Assumptions'!$H$151*IF('Assumptions'!$O$151=1,1,'Assumptions'!$D$10)*(1+'Assumptions'!$N$151)^(4-1)</x:f>
        <x:v>10612.080000000002</x:v>
      </x:c>
      <x:c r="J513" s="10" t="n">
        <x:f>H513*I513</x:f>
        <x:v>24789.818880000006</x:v>
      </x:c>
      <x:c r="K513" s="10" t="n">
        <x:f>J513*'Assumptions'!$T$151</x:f>
        <x:v>24789.818880000006</x:v>
      </x:c>
      <x:c r="L513" s="10" t="n">
        <x:f>K513*'Assumptions'!$U$151</x:f>
        <x:v>743.6945664000002</x:v>
      </x:c>
      <x:c r="M513" s="10" t="n">
        <x:f>K513*'Assumptions'!$V$151</x:f>
        <x:v>0</x:v>
      </x:c>
      <x:c r="N513" s="10" t="n">
        <x:f>K513-L513-M513</x:f>
        <x:v>24046.124313600005</x:v>
      </x:c>
      <x:c r="O513" s="10" t="n">
        <x:f>H513*'Assumptions'!$P$151*'Assumptions'!$Q$151*'Assumptions'!$D$11*(1+'Assumptions'!$D$13)^(4-1)</x:f>
        <x:v>9955.180060800001</x:v>
      </x:c>
      <x:c r="P513" s="10" t="n">
        <x:f>H513*'Assumptions'!$R$151*'Assumptions'!$D$11*(1+'Assumptions'!$D$13)^(4-1)</x:f>
        <x:v>1276.3051360000002</x:v>
      </x:c>
      <x:c r="Q513" s="10" t="n">
        <x:f>J513*'Assumptions'!$S$151</x:f>
        <x:v>0</x:v>
      </x:c>
      <x:c r="R513" s="10" t="n">
        <x:f>H513*'Assumptions'!$Y$151*'Assumptions'!$Z$151*'Assumptions'!$D$11*(1+'Assumptions'!$D$13)^(4-1)</x:f>
        <x:v>19.144577040000005</x:v>
      </x:c>
      <x:c r="S513" s="10" t="n">
        <x:f>IF(I513=0,0,J513*'Assumptions'!$W$151+H513*'Assumptions'!$X$151)</x:f>
        <x:v>719.6055475200002</x:v>
      </x:c>
      <x:c r="T513" s="10" t="n">
        <x:f>N513*'Assumptions'!$AA$151</x:f>
        <x:v>961.8449725440003</x:v>
      </x:c>
      <x:c r="U513" s="10" t="n">
        <x:f>'Assumptions'!$AE$151*'Assumptions'!$D$11*(1+'Assumptions'!$D$13)^(4-1)</x:f>
        <x:v>0</x:v>
      </x:c>
      <x:c r="V513" s="10" t="n">
        <x:f>0</x:f>
        <x:v>0</x:v>
      </x:c>
      <x:c r="W513" s="10" t="n">
        <x:f>H513*('Assumptions'!$P$151+'Assumptions'!$Y$151)</x:f>
        <x:v>140.74400000000003</x:v>
      </x:c>
      <x:c r="X513" s="10" t="n">
        <x:f>N513/12*'Assumptions'!$AF$151</x:f>
        <x:v>2003.8436928000003</x:v>
      </x:c>
      <x:c r="Y513" s="10" t="n">
        <x:f>P513/12</x:f>
        <x:v>106.35876133333335</x:v>
      </x:c>
      <x:c r="Z513" s="10" t="n">
        <x:f>0</x:f>
        <x:v>0</x:v>
      </x:c>
      <x:c r="AA513" s="10" t="n">
        <x:f>Z513*'Assumptions'!$AC$151*'Assumptions'!$D$11*(1+'Assumptions'!$D$13)^(4-1)</x:f>
        <x:v>0</x:v>
      </x:c>
      <x:c r="AB513" s="10" t="n">
        <x:f>F513/1</x:f>
        <x:v>1.3310000000000004</x:v>
      </x:c>
      <x:c r="AC513" s="10" t="n">
        <x:f>AB513/'Assumptions'!$AM$151</x:f>
        <x:v>6.655000000000002</x:v>
      </x:c>
      <x:c r="AD513" s="10" t="n">
        <x:f>IF(AB513=0,0,T513/AB513)</x:f>
        <x:v>722.6483640450789</x:v>
      </x:c>
      <x:c r="AE513" s="10" t="n">
        <x:f>AA513*'Assumptions'!$D$21</x:f>
        <x:v>0</x:v>
      </x:c>
    </x:row>
    <x:row r="514" ht="16" customHeight="1">
      <x:c r="A514" s="1"/>
      <x:c r="B514" s="1"/>
      <x:c r="C514" s="1" t="str">
        <x:v>DOT-123</x:v>
      </x:c>
      <x:c r="D514" s="10" t="str">
        <x:v>FinBot research</x:v>
      </x:c>
      <x:c r="E514" s="10" t="n">
        <x:v>4</x:v>
      </x:c>
      <x:c r="F514" s="21" t="n">
        <x:f>F386*(1+'Assumptions'!$L$152)</x:f>
        <x:v>136.87874999999997</x:v>
      </x:c>
      <x:c r="G514" s="21" t="n">
        <x:f>H386*'Assumptions'!$K$152</x:f>
        <x:v>37.162499999999994</x:v>
      </x:c>
      <x:c r="H514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514+G514,NA())</x:f>
        <x:v>174.04124999999996</x:v>
      </x:c>
      <x:c r="I514" s="22" t="n">
        <x:f>'Assumptions'!$H$152*IF('Assumptions'!$O$152=1,1,'Assumptions'!$D$10)*(1+'Assumptions'!$N$152)^(4-1)</x:f>
        <x:v>30.775032000000003</x:v>
      </x:c>
      <x:c r="J514" s="10" t="n">
        <x:f>H514*I514</x:f>
        <x:v>5356.125038069999</x:v>
      </x:c>
      <x:c r="K514" s="10" t="n">
        <x:f>J514*'Assumptions'!$T$152</x:f>
        <x:v>5356.125038069999</x:v>
      </x:c>
      <x:c r="L514" s="10" t="n">
        <x:f>K514*'Assumptions'!$U$152</x:f>
        <x:v>160.68375114209996</x:v>
      </x:c>
      <x:c r="M514" s="10" t="n">
        <x:f>K514*'Assumptions'!$V$152</x:f>
        <x:v>0</x:v>
      </x:c>
      <x:c r="N514" s="10" t="n">
        <x:f>K514-L514-M514</x:f>
        <x:v>5195.4412869278995</x:v>
      </x:c>
      <x:c r="O514" s="10" t="n">
        <x:f>H514*'Assumptions'!$P$152*'Assumptions'!$Q$152*'Assumptions'!$D$11*(1+'Assumptions'!$D$13)^(4-1)</x:f>
        <x:v>1711.6161568987498</x:v>
      </x:c>
      <x:c r="P514" s="10" t="n">
        <x:f>H514*'Assumptions'!$R$152*'Assumptions'!$D$11*(1+'Assumptions'!$D$13)^(4-1)</x:f>
        <x:v>0</x:v>
      </x:c>
      <x:c r="Q514" s="10" t="n">
        <x:f>J514*'Assumptions'!$S$152</x:f>
        <x:v>0</x:v>
      </x:c>
      <x:c r="R514" s="10" t="n">
        <x:f>H514*'Assumptions'!$Y$152*'Assumptions'!$Z$152*'Assumptions'!$D$11*(1+'Assumptions'!$D$13)^(4-1)</x:f>
        <x:v>570.5387189662498</x:v>
      </x:c>
      <x:c r="S514" s="10" t="n">
        <x:f>IF(I514=0,0,J514*'Assumptions'!$W$152+H514*'Assumptions'!$X$152)</x:f>
        <x:v>207.54000110402998</x:v>
      </x:c>
      <x:c r="T514" s="10" t="n">
        <x:f>N514*'Assumptions'!$AA$152</x:f>
        <x:v>259.772064346395</x:v>
      </x:c>
      <x:c r="U514" s="10" t="n">
        <x:f>'Assumptions'!$AE$152*'Assumptions'!$D$11*(1+'Assumptions'!$D$13)^(4-1)</x:f>
        <x:v>262.25448</x:v>
      </x:c>
      <x:c r="V514" s="10" t="n">
        <x:f>0</x:f>
        <x:v>0</x:v>
      </x:c>
      <x:c r="W514" s="10" t="n">
        <x:f>H514*('Assumptions'!$P$152+'Assumptions'!$Y$152)</x:f>
        <x:v>52.212374999999994</x:v>
      </x:c>
      <x:c r="X514" s="10" t="n">
        <x:f>N514/12*'Assumptions'!$AF$152</x:f>
        <x:v>0</x:v>
      </x:c>
      <x:c r="Y514" s="10" t="n">
        <x:f>P514/12</x:f>
        <x:v>0</x:v>
      </x:c>
      <x:c r="Z514" s="10" t="n">
        <x:f>0</x:f>
        <x:v>0</x:v>
      </x:c>
      <x:c r="AA514" s="10" t="n">
        <x:f>Z514*'Assumptions'!$AC$152*'Assumptions'!$D$11*(1+'Assumptions'!$D$13)^(4-1)</x:f>
        <x:v>0</x:v>
      </x:c>
      <x:c r="AB514" s="10" t="n">
        <x:f>F514/12</x:f>
        <x:v>11.406562499999998</x:v>
      </x:c>
      <x:c r="AC514" s="10" t="n">
        <x:f>AB514/'Assumptions'!$AM$152</x:f>
        <x:v>228.13124999999994</x:v>
      </x:c>
      <x:c r="AD514" s="10" t="n">
        <x:f>IF(AB514=0,0,T514/AB514)</x:f>
        <x:v>22.773913205349555</x:v>
      </x:c>
      <x:c r="AE514" s="10" t="n">
        <x:f>AA514*'Assumptions'!$D$21</x:f>
        <x:v>0</x:v>
      </x:c>
    </x:row>
    <x:row r="515" ht="16" customHeight="1">
      <x:c r="A515" s="1"/>
      <x:c r="B515" s="1"/>
      <x:c r="C515" s="1" t="str">
        <x:v>DOT-124</x:v>
      </x:c>
      <x:c r="D515" s="10" t="str">
        <x:v>Functional Analysis</x:v>
      </x:c>
      <x:c r="E515" s="10" t="n">
        <x:v>4</x:v>
      </x:c>
      <x:c r="F515" s="21" t="n">
        <x:f>F387*(1+'Assumptions'!$L$153)</x:f>
        <x:v>273.75749999999994</x:v>
      </x:c>
      <x:c r="G515" s="21" t="n">
        <x:f>H387*'Assumptions'!$K$153</x:f>
        <x:v>74.32499999999999</x:v>
      </x:c>
      <x:c r="H515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515+G515,NA())</x:f>
        <x:v>348.0824999999999</x:v>
      </x:c>
      <x:c r="I515" s="22" t="n">
        <x:f>'Assumptions'!$H$153*IF('Assumptions'!$O$153=1,1,'Assumptions'!$D$10)*(1+'Assumptions'!$N$153)^(4-1)</x:f>
        <x:v>20.162952000000004</x:v>
      </x:c>
      <x:c r="J515" s="10" t="n">
        <x:f>H515*I515</x:f>
        <x:v>7018.37073954</x:v>
      </x:c>
      <x:c r="K515" s="10" t="n">
        <x:f>J515*'Assumptions'!$T$153</x:f>
        <x:v>7018.37073954</x:v>
      </x:c>
      <x:c r="L515" s="10" t="n">
        <x:f>K515*'Assumptions'!$U$153</x:f>
        <x:v>210.5511221862</x:v>
      </x:c>
      <x:c r="M515" s="10" t="n">
        <x:f>K515*'Assumptions'!$V$153</x:f>
        <x:v>0</x:v>
      </x:c>
      <x:c r="N515" s="10" t="n">
        <x:f>K515-L515-M515</x:f>
        <x:v>6807.8196173538</x:v>
      </x:c>
      <x:c r="O515" s="10" t="n">
        <x:f>H515*'Assumptions'!$P$153*'Assumptions'!$Q$153*'Assumptions'!$D$11*(1+'Assumptions'!$D$13)^(4-1)</x:f>
        <x:v>1331.2570109212497</x:v>
      </x:c>
      <x:c r="P515" s="10" t="n">
        <x:f>H515*'Assumptions'!$R$153*'Assumptions'!$D$11*(1+'Assumptions'!$D$13)^(4-1)</x:f>
        <x:v>0</x:v>
      </x:c>
      <x:c r="Q515" s="10" t="n">
        <x:f>J515*'Assumptions'!$S$153</x:f>
        <x:v>0</x:v>
      </x:c>
      <x:c r="R515" s="10" t="n">
        <x:f>H515*'Assumptions'!$Y$153*'Assumptions'!$Z$153*'Assumptions'!$D$11*(1+'Assumptions'!$D$13)^(4-1)</x:f>
        <x:v>1141.0774379324996</x:v>
      </x:c>
      <x:c r="S515" s="10" t="n">
        <x:f>IF(I515=0,0,J515*'Assumptions'!$W$153+H515*'Assumptions'!$X$153)</x:f>
        <x:v>307.95750144666</x:v>
      </x:c>
      <x:c r="T515" s="10" t="n">
        <x:f>N515*'Assumptions'!$AA$153</x:f>
        <x:v>340.39098086769</x:v>
      </x:c>
      <x:c r="U515" s="10" t="n">
        <x:f>'Assumptions'!$AE$153*'Assumptions'!$D$11*(1+'Assumptions'!$D$13)^(4-1)</x:f>
        <x:v>0</x:v>
      </x:c>
      <x:c r="V515" s="10" t="n">
        <x:f>0</x:f>
        <x:v>0</x:v>
      </x:c>
      <x:c r="W515" s="10" t="n">
        <x:f>H515*('Assumptions'!$P$153+'Assumptions'!$Y$153)</x:f>
        <x:v>69.61649999999999</x:v>
      </x:c>
      <x:c r="X515" s="10" t="n">
        <x:f>N515/12*'Assumptions'!$AF$153</x:f>
        <x:v>0</x:v>
      </x:c>
      <x:c r="Y515" s="10" t="n">
        <x:f>P515/12</x:f>
        <x:v>0</x:v>
      </x:c>
      <x:c r="Z515" s="10" t="n">
        <x:f>0</x:f>
        <x:v>0</x:v>
      </x:c>
      <x:c r="AA515" s="10" t="n">
        <x:f>Z515*'Assumptions'!$AC$153*'Assumptions'!$D$11*(1+'Assumptions'!$D$13)^(4-1)</x:f>
        <x:v>0</x:v>
      </x:c>
      <x:c r="AB515" s="10" t="n">
        <x:f>F515/1</x:f>
        <x:v>273.75749999999994</x:v>
      </x:c>
      <x:c r="AC515" s="10" t="n">
        <x:f>AB515/'Assumptions'!$AM$153</x:f>
        <x:v>5475.149999999999</x:v>
      </x:c>
      <x:c r="AD515" s="10" t="n">
        <x:f>IF(AB515=0,0,T515/AB515)</x:f>
        <x:v>1.2434033071886252</x:v>
      </x:c>
      <x:c r="AE515" s="10" t="n">
        <x:f>AA515*'Assumptions'!$D$21</x:f>
        <x:v>0</x:v>
      </x:c>
    </x:row>
    <x:row r="516" ht="16" customHeight="1">
      <x:c r="A516" s="1"/>
      <x:c r="B516" s="1"/>
      <x:c r="C516" s="1" t="str">
        <x:v>DOT-125</x:v>
      </x:c>
      <x:c r="D516" s="10" t="str">
        <x:v>Functional Analysis</x:v>
      </x:c>
      <x:c r="E516" s="10" t="n">
        <x:v>4</x:v>
      </x:c>
      <x:c r="F516" s="21" t="n">
        <x:f>F388*(1+'Assumptions'!$L$154)</x:f>
        <x:v>23.958000000000002</x:v>
      </x:c>
      <x:c r="G516" s="21" t="n">
        <x:f>H388*'Assumptions'!$K$154</x:f>
        <x:v>18.09</x:v>
      </x:c>
      <x:c r="H516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516+G516,NA())</x:f>
        <x:v>42.048</x:v>
      </x:c>
      <x:c r="I516" s="22" t="n">
        <x:f>'Assumptions'!$H$154*IF('Assumptions'!$O$154=1,1,'Assumptions'!$D$10)*(1+'Assumptions'!$N$154)^(4-1)</x:f>
        <x:v>105.05959200000001</x:v>
      </x:c>
      <x:c r="J516" s="10" t="n">
        <x:f>H516*I516</x:f>
        <x:v>4417.545724416001</x:v>
      </x:c>
      <x:c r="K516" s="10" t="n">
        <x:f>J516*'Assumptions'!$T$154</x:f>
        <x:v>4417.545724416001</x:v>
      </x:c>
      <x:c r="L516" s="10" t="n">
        <x:f>K516*'Assumptions'!$U$154</x:f>
        <x:v>132.52637173248002</x:v>
      </x:c>
      <x:c r="M516" s="10" t="n">
        <x:f>K516*'Assumptions'!$V$154</x:f>
        <x:v>0</x:v>
      </x:c>
      <x:c r="N516" s="10" t="n">
        <x:f>K516-L516-M516</x:f>
        <x:v>4285.019352683521</x:v>
      </x:c>
      <x:c r="O516" s="10" t="n">
        <x:f>H516*'Assumptions'!$P$154*'Assumptions'!$Q$154*'Assumptions'!$D$11*(1+'Assumptions'!$D$13)^(4-1)</x:f>
        <x:v>1837.8793958400001</x:v>
      </x:c>
      <x:c r="P516" s="10" t="n">
        <x:f>H516*'Assumptions'!$R$154*'Assumptions'!$D$11*(1+'Assumptions'!$D$13)^(4-1)</x:f>
        <x:v>0</x:v>
      </x:c>
      <x:c r="Q516" s="10" t="n">
        <x:f>J516*'Assumptions'!$S$154</x:f>
        <x:v>0</x:v>
      </x:c>
      <x:c r="R516" s="10" t="n">
        <x:f>H516*'Assumptions'!$Y$154*'Assumptions'!$Z$154*'Assumptions'!$D$11*(1+'Assumptions'!$D$13)^(4-1)</x:f>
        <x:v>344.60238672</x:v>
      </x:c>
      <x:c r="S516" s="10" t="n">
        <x:f>IF(I516=0,0,J516*'Assumptions'!$W$154+H516*'Assumptions'!$X$154)</x:f>
        <x:v>140.72322600806402</x:v>
      </x:c>
      <x:c r="T516" s="10" t="n">
        <x:f>N516*'Assumptions'!$AA$154</x:f>
        <x:v>171.40077410734085</x:v>
      </x:c>
      <x:c r="U516" s="10" t="n">
        <x:f>'Assumptions'!$AE$154*'Assumptions'!$D$11*(1+'Assumptions'!$D$13)^(4-1)</x:f>
        <x:v>0</x:v>
      </x:c>
      <x:c r="V516" s="10" t="n">
        <x:f>0</x:f>
        <x:v>0</x:v>
      </x:c>
      <x:c r="W516" s="10" t="n">
        <x:f>H516*('Assumptions'!$P$154+'Assumptions'!$Y$154)</x:f>
        <x:v>52.56</x:v>
      </x:c>
      <x:c r="X516" s="10" t="n">
        <x:f>N516/12*'Assumptions'!$AF$154</x:f>
        <x:v>357.08494605696006</x:v>
      </x:c>
      <x:c r="Y516" s="10" t="n">
        <x:f>P516/12</x:f>
        <x:v>0</x:v>
      </x:c>
      <x:c r="Z516" s="10" t="n">
        <x:f>0</x:f>
        <x:v>0</x:v>
      </x:c>
      <x:c r="AA516" s="10" t="n">
        <x:f>Z516*'Assumptions'!$AC$154*'Assumptions'!$D$11*(1+'Assumptions'!$D$13)^(4-1)</x:f>
        <x:v>0</x:v>
      </x:c>
      <x:c r="AB516" s="10" t="n">
        <x:f>F516/1</x:f>
        <x:v>23.958000000000002</x:v>
      </x:c>
      <x:c r="AC516" s="10" t="n">
        <x:f>AB516/'Assumptions'!$AM$154</x:f>
        <x:v>119.79</x:v>
      </x:c>
      <x:c r="AD516" s="10" t="n">
        <x:f>IF(AB516=0,0,T516/AB516)</x:f>
        <x:v>7.154218804046282</x:v>
      </x:c>
      <x:c r="AE516" s="10" t="n">
        <x:f>AA516*'Assumptions'!$D$21</x:f>
        <x:v>0</x:v>
      </x:c>
    </x:row>
    <x:row r="517" ht="16" customHeight="1">
      <x:c r="A517" s="1"/>
      <x:c r="B517" s="1"/>
      <x:c r="C517" s="1" t="str">
        <x:v>DOT-126</x:v>
      </x:c>
      <x:c r="D517" s="10" t="str">
        <x:v>Independent candy game</x:v>
      </x:c>
      <x:c r="E517" s="10" t="n">
        <x:v>4</x:v>
      </x:c>
      <x:c r="F517" s="21" t="n">
        <x:f>F389*(1+'Assumptions'!$L$155)</x:f>
        <x:v>684.39375</x:v>
      </x:c>
      <x:c r="G517" s="21" t="n">
        <x:f>H389*'Assumptions'!$K$155</x:f>
        <x:v>185.8125</x:v>
      </x:c>
      <x:c r="H517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517+G517,NA())</x:f>
        <x:v>870.20625</x:v>
      </x:c>
      <x:c r="I517" s="22" t="n">
        <x:f>'Assumptions'!$H$155*IF('Assumptions'!$O$155=1,1,'Assumptions'!$D$10)*(1+'Assumptions'!$N$155)^(4-1)</x:f>
        <x:v>5.295427920000001</x:v>
      </x:c>
      <x:c r="J517" s="10" t="n">
        <x:f>H517*I517</x:f>
        <x:v>4608.114472408501</x:v>
      </x:c>
      <x:c r="K517" s="10" t="n">
        <x:f>J517*'Assumptions'!$T$155</x:f>
        <x:v>4608.114472408501</x:v>
      </x:c>
      <x:c r="L517" s="10" t="n">
        <x:f>K517*'Assumptions'!$U$155</x:f>
        <x:v>138.243434172255</x:v>
      </x:c>
      <x:c r="M517" s="10" t="n">
        <x:f>K517*'Assumptions'!$V$155</x:f>
        <x:v>0</x:v>
      </x:c>
      <x:c r="N517" s="10" t="n">
        <x:f>K517-L517-M517</x:f>
        <x:v>4469.871038236246</x:v>
      </x:c>
      <x:c r="O517" s="10" t="n">
        <x:f>H517*'Assumptions'!$P$155*'Assumptions'!$Q$155*'Assumptions'!$D$11*(1+'Assumptions'!$D$13)^(4-1)</x:f>
        <x:v>665.628505460625</x:v>
      </x:c>
      <x:c r="P517" s="10" t="n">
        <x:f>H517*'Assumptions'!$R$155*'Assumptions'!$D$11*(1+'Assumptions'!$D$13)^(4-1)</x:f>
        <x:v>0</x:v>
      </x:c>
      <x:c r="Q517" s="10" t="n">
        <x:f>J517*'Assumptions'!$S$155</x:f>
        <x:v>0</x:v>
      </x:c>
      <x:c r="R517" s="10" t="n">
        <x:f>H517*'Assumptions'!$Y$155*'Assumptions'!$Z$155*'Assumptions'!$D$11*(1+'Assumptions'!$D$13)^(4-1)</x:f>
        <x:v>2852.69359483125</x:v>
      </x:c>
      <x:c r="S517" s="10" t="n">
        <x:f>IF(I517=0,0,J517*'Assumptions'!$W$155+H517*'Assumptions'!$X$155)</x:f>
        <x:v>394.6971946998465</x:v>
      </x:c>
      <x:c r="T517" s="10" t="n">
        <x:f>N517*'Assumptions'!$AA$155</x:f>
        <x:v>223.49355191181232</x:v>
      </x:c>
      <x:c r="U517" s="10" t="n">
        <x:f>'Assumptions'!$AE$155*'Assumptions'!$D$11*(1+'Assumptions'!$D$13)^(4-1)</x:f>
        <x:v>0</x:v>
      </x:c>
      <x:c r="V517" s="10" t="n">
        <x:f>0</x:f>
        <x:v>0</x:v>
      </x:c>
      <x:c r="W517" s="10" t="n">
        <x:f>H517*('Assumptions'!$P$155+'Assumptions'!$Y$155)</x:f>
        <x:v>104.42475</x:v>
      </x:c>
      <x:c r="X517" s="10" t="n">
        <x:f>N517/12*'Assumptions'!$AF$155</x:f>
        <x:v>0</x:v>
      </x:c>
      <x:c r="Y517" s="10" t="n">
        <x:f>P517/12</x:f>
        <x:v>0</x:v>
      </x:c>
      <x:c r="Z517" s="10" t="n">
        <x:f>0</x:f>
        <x:v>0</x:v>
      </x:c>
      <x:c r="AA517" s="10" t="n">
        <x:f>Z517*'Assumptions'!$AC$155*'Assumptions'!$D$11*(1+'Assumptions'!$D$13)^(4-1)</x:f>
        <x:v>0</x:v>
      </x:c>
      <x:c r="AB517" s="10" t="n">
        <x:f>F517/1</x:f>
        <x:v>684.39375</x:v>
      </x:c>
      <x:c r="AC517" s="10" t="n">
        <x:f>AB517/'Assumptions'!$AM$155</x:f>
        <x:v>13687.874999999998</x:v>
      </x:c>
      <x:c r="AD517" s="10" t="n">
        <x:f>IF(AB517=0,0,T517/AB517)</x:f>
        <x:v>0.32655697383532845</x:v>
      </x:c>
      <x:c r="AE517" s="10" t="n">
        <x:f>AA517*'Assumptions'!$D$21</x:f>
        <x:v>0</x:v>
      </x:c>
    </x:row>
    <x:row r="518" ht="16" customHeight="1">
      <x:c r="A518" s="1"/>
      <x:c r="B518" s="1"/>
      <x:c r="C518" s="1" t="str">
        <x:v>DOT-127</x:v>
      </x:c>
      <x:c r="D518" s="10" t="str">
        <x:v>Learn Anglais</x:v>
      </x:c>
      <x:c r="E518" s="10" t="n">
        <x:v>4</x:v>
      </x:c>
      <x:c r="F518" s="21" t="n">
        <x:f>F390*(1+'Assumptions'!$L$156)</x:f>
        <x:v>155.52</x:v>
      </x:c>
      <x:c r="G518" s="21" t="n">
        <x:f>H390*'Assumptions'!$K$156</x:f>
        <x:v>220.81500000000003</x:v>
      </x:c>
      <x:c r="H518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518+G518,NA())</x:f>
        <x:v>376.33500000000004</x:v>
      </x:c>
      <x:c r="I518" s="22" t="n">
        <x:f>'Assumptions'!$H$156*IF('Assumptions'!$O$156=1,1,'Assumptions'!$D$10)*(1+'Assumptions'!$N$156)^(4-1)</x:f>
        <x:v>25.468992000000004</x:v>
      </x:c>
      <x:c r="J518" s="10" t="n">
        <x:f>H518*I518</x:f>
        <x:v>9584.873104320002</x:v>
      </x:c>
      <x:c r="K518" s="10" t="n">
        <x:f>J518*'Assumptions'!$T$156</x:f>
        <x:v>3194.9577014400006</x:v>
      </x:c>
      <x:c r="L518" s="10" t="n">
        <x:f>K518*'Assumptions'!$U$156</x:f>
        <x:v>95.84873104320002</x:v>
      </x:c>
      <x:c r="M518" s="10" t="n">
        <x:f>K518*'Assumptions'!$V$156</x:f>
        <x:v>0</x:v>
      </x:c>
      <x:c r="N518" s="10" t="n">
        <x:f>K518-L518-M518</x:f>
        <x:v>3099.1089703968005</x:v>
      </x:c>
      <x:c r="O518" s="10" t="n">
        <x:f>H518*'Assumptions'!$P$156*'Assumptions'!$Q$156*'Assumptions'!$D$11*(1+'Assumptions'!$D$13)^(4-1)</x:f>
        <x:v>1439.3099544075</x:v>
      </x:c>
      <x:c r="P518" s="10" t="n">
        <x:f>H518*'Assumptions'!$R$156*'Assumptions'!$D$11*(1+'Assumptions'!$D$13)^(4-1)</x:f>
        <x:v>0</x:v>
      </x:c>
      <x:c r="Q518" s="10" t="n">
        <x:f>J518*'Assumptions'!$S$156</x:f>
        <x:v>0</x:v>
      </x:c>
      <x:c r="R518" s="10" t="n">
        <x:f>H518*'Assumptions'!$Y$156*'Assumptions'!$Z$156*'Assumptions'!$D$11*(1+'Assumptions'!$D$13)^(4-1)</x:f>
        <x:v>1850.5413699525002</x:v>
      </x:c>
      <x:c r="S518" s="10" t="n">
        <x:f>IF(I518=0,0,J518*'Assumptions'!$W$156+H518*'Assumptions'!$X$156)</x:f>
        <x:v>390.8618200252801</x:v>
      </x:c>
      <x:c r="T518" s="10" t="n">
        <x:f>N518*'Assumptions'!$AA$156</x:f>
        <x:v>154.95544851984005</x:v>
      </x:c>
      <x:c r="U518" s="10" t="n">
        <x:f>'Assumptions'!$AE$156*'Assumptions'!$D$11*(1+'Assumptions'!$D$13)^(4-1)</x:f>
        <x:v>0</x:v>
      </x:c>
      <x:c r="V518" s="10" t="n">
        <x:f>0</x:f>
        <x:v>0</x:v>
      </x:c>
      <x:c r="W518" s="10" t="n">
        <x:f>H518*('Assumptions'!$P$156+'Assumptions'!$Y$156)</x:f>
        <x:v>94.08375000000001</x:v>
      </x:c>
      <x:c r="X518" s="10" t="n">
        <x:f>N518/12*'Assumptions'!$AF$156</x:f>
        <x:v>0</x:v>
      </x:c>
      <x:c r="Y518" s="10" t="n">
        <x:f>P518/12</x:f>
        <x:v>0</x:v>
      </x:c>
      <x:c r="Z518" s="10" t="n">
        <x:f>0</x:f>
        <x:v>0</x:v>
      </x:c>
      <x:c r="AA518" s="10" t="n">
        <x:f>Z518*'Assumptions'!$AC$156*'Assumptions'!$D$11*(1+'Assumptions'!$D$13)^(4-1)</x:f>
        <x:v>0</x:v>
      </x:c>
      <x:c r="AB518" s="10" t="n">
        <x:f>F518/1</x:f>
        <x:v>155.52</x:v>
      </x:c>
      <x:c r="AC518" s="10" t="n">
        <x:f>AB518/'Assumptions'!$AM$156</x:f>
        <x:v>3110.4</x:v>
      </x:c>
      <x:c r="AD518" s="10" t="n">
        <x:f>IF(AB518=0,0,T518/AB518)</x:f>
        <x:v>0.9963699107500003</x:v>
      </x:c>
      <x:c r="AE518" s="10" t="n">
        <x:f>AA518*'Assumptions'!$D$21</x:f>
        <x:v>0</x:v>
      </x:c>
    </x:row>
    <x:row r="519" ht="16" customHeight="1">
      <x:c r="A519" s="1"/>
      <x:c r="B519" s="1"/>
      <x:c r="C519" s="1" t="str">
        <x:v>DOT-128</x:v>
      </x:c>
      <x:c r="D519" s="10" t="str">
        <x:v>Learn Anglais</x:v>
      </x:c>
      <x:c r="E519" s="10" t="n">
        <x:v>4</x:v>
      </x:c>
      <x:c r="F519" s="21" t="n">
        <x:f>F391*(1+'Assumptions'!$L$157)</x:f>
        <x:v>62.20800000000001</x:v>
      </x:c>
      <x:c r="G519" s="21" t="n">
        <x:f>H391*'Assumptions'!$K$157</x:f>
        <x:v>88.326</x:v>
      </x:c>
      <x:c r="H519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519+G519,NA())</x:f>
        <x:v>150.534</x:v>
      </x:c>
      <x:c r="I519" s="22" t="n">
        <x:f>'Assumptions'!$H$157*IF('Assumptions'!$O$157=1,1,'Assumptions'!$D$10)*(1+'Assumptions'!$N$157)^(4-1)</x:f>
        <x:v>175.09932000000003</x:v>
      </x:c>
      <x:c r="J519" s="10" t="n">
        <x:f>H519*I519</x:f>
        <x:v>26358.401036880005</x:v>
      </x:c>
      <x:c r="K519" s="10" t="n">
        <x:f>J519*'Assumptions'!$T$157</x:f>
        <x:v>7907.520311064001</x:v>
      </x:c>
      <x:c r="L519" s="10" t="n">
        <x:f>K519*'Assumptions'!$U$157</x:f>
        <x:v>237.22560933192003</x:v>
      </x:c>
      <x:c r="M519" s="10" t="n">
        <x:f>K519*'Assumptions'!$V$157</x:f>
        <x:v>0</x:v>
      </x:c>
      <x:c r="N519" s="10" t="n">
        <x:f>K519-L519-M519</x:f>
        <x:v>7670.294701732081</x:v>
      </x:c>
      <x:c r="O519" s="10" t="n">
        <x:f>H519*'Assumptions'!$P$157*'Assumptions'!$Q$157*'Assumptions'!$D$11*(1+'Assumptions'!$D$13)^(4-1)</x:f>
        <x:v>575.723981763</x:v>
      </x:c>
      <x:c r="P519" s="10" t="n">
        <x:f>H519*'Assumptions'!$R$157*'Assumptions'!$D$11*(1+'Assumptions'!$D$13)^(4-1)</x:f>
        <x:v>0</x:v>
      </x:c>
      <x:c r="Q519" s="10" t="n">
        <x:f>J519*'Assumptions'!$S$157</x:f>
        <x:v>0</x:v>
      </x:c>
      <x:c r="R519" s="10" t="n">
        <x:f>H519*'Assumptions'!$Y$157*'Assumptions'!$Z$157*'Assumptions'!$D$11*(1+'Assumptions'!$D$13)^(4-1)</x:f>
        <x:v>740.2165479809998</x:v>
      </x:c>
      <x:c r="S519" s="10" t="n">
        <x:f>IF(I519=0,0,J519*'Assumptions'!$W$157+H519*'Assumptions'!$X$157)</x:f>
        <x:v>809.5538300695202</x:v>
      </x:c>
      <x:c r="T519" s="10" t="n">
        <x:f>N519*'Assumptions'!$AA$157</x:f>
        <x:v>383.5147350866041</x:v>
      </x:c>
      <x:c r="U519" s="10" t="n">
        <x:f>'Assumptions'!$AE$157*'Assumptions'!$D$11*(1+'Assumptions'!$D$13)^(4-1)</x:f>
        <x:v>0</x:v>
      </x:c>
      <x:c r="V519" s="10" t="n">
        <x:f>0</x:f>
        <x:v>0</x:v>
      </x:c>
      <x:c r="W519" s="10" t="n">
        <x:f>H519*('Assumptions'!$P$157+'Assumptions'!$Y$157)</x:f>
        <x:v>37.6335</x:v>
      </x:c>
      <x:c r="X519" s="10" t="n">
        <x:f>N519/12*'Assumptions'!$AF$157</x:f>
        <x:v>0</x:v>
      </x:c>
      <x:c r="Y519" s="10" t="n">
        <x:f>P519/12</x:f>
        <x:v>0</x:v>
      </x:c>
      <x:c r="Z519" s="10" t="n">
        <x:f>0</x:f>
        <x:v>0</x:v>
      </x:c>
      <x:c r="AA519" s="10" t="n">
        <x:f>Z519*'Assumptions'!$AC$157*'Assumptions'!$D$11*(1+'Assumptions'!$D$13)^(4-1)</x:f>
        <x:v>0</x:v>
      </x:c>
      <x:c r="AB519" s="10" t="n">
        <x:f>F519/1</x:f>
        <x:v>62.20800000000001</x:v>
      </x:c>
      <x:c r="AC519" s="10" t="n">
        <x:f>AB519/'Assumptions'!$AM$157</x:f>
        <x:v>1244.16</x:v>
      </x:c>
      <x:c r="AD519" s="10" t="n">
        <x:f>IF(AB519=0,0,T519/AB519)</x:f>
        <x:v>6.165038822765625</x:v>
      </x:c>
      <x:c r="AE519" s="10" t="n">
        <x:f>AA519*'Assumptions'!$D$21</x:f>
        <x:v>0</x:v>
      </x:c>
    </x:row>
    <x:row r="520" ht="16" customHeight="1">
      <x:c r="A520" s="1"/>
      <x:c r="B520" s="1"/>
      <x:c r="C520" s="1" t="str">
        <x:v>DOT-001</x:v>
      </x:c>
      <x:c r="D520" s="10" t="str">
        <x:v>ETV courses</x:v>
      </x:c>
      <x:c r="E520" s="10" t="n">
        <x:v>5</x:v>
      </x:c>
      <x:c r="F520" s="21" t="n">
        <x:f>F392*(1+'Assumptions'!$L$30)</x:f>
        <x:v>314.8211249999999</x:v>
      </x:c>
      <x:c r="G520" s="21" t="n">
        <x:f>H392*'Assumptions'!$K$30</x:f>
        <x:v>87.48937499999998</x:v>
      </x:c>
      <x:c r="H520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520+G520,NA())</x:f>
        <x:v>402.3104999999999</x:v>
      </x:c>
      <x:c r="I520" s="22" t="n">
        <x:f>'Assumptions'!$H$30*IF('Assumptions'!$O$30=1,1,'Assumptions'!$D$10)*(1+'Assumptions'!$N$30)^(5-1)</x:f>
        <x:v>29</x:v>
      </x:c>
      <x:c r="J520" s="10" t="n">
        <x:f>H520*I520</x:f>
        <x:v>11667.004499999997</x:v>
      </x:c>
      <x:c r="K520" s="10" t="n">
        <x:f>J520*'Assumptions'!$T$30</x:f>
        <x:v>11667.004499999997</x:v>
      </x:c>
      <x:c r="L520" s="10" t="n">
        <x:f>K520*'Assumptions'!$U$30</x:f>
        <x:v>350.0101349999999</x:v>
      </x:c>
      <x:c r="M520" s="10" t="n">
        <x:f>K520*'Assumptions'!$V$30</x:f>
        <x:v>0</x:v>
      </x:c>
      <x:c r="N520" s="10" t="n">
        <x:f>K520-L520-M520</x:f>
        <x:v>11316.994364999997</x:v>
      </x:c>
      <x:c r="O520" s="10" t="n">
        <x:f>H520*'Assumptions'!$P$30*'Assumptions'!$Q$30*'Assumptions'!$D$11*(1+'Assumptions'!$D$13)^(5-1)</x:f>
        <x:v>2377.221063553901</x:v>
      </x:c>
      <x:c r="P520" s="10" t="n">
        <x:f>H520*'Assumptions'!$R$30*'Assumptions'!$D$11*(1+'Assumptions'!$D$13)^(5-1)</x:f>
        <x:v>0</x:v>
      </x:c>
      <x:c r="Q520" s="10" t="n">
        <x:f>J520*'Assumptions'!$S$30</x:f>
        <x:v>0</x:v>
      </x:c>
      <x:c r="R520" s="10" t="n">
        <x:f>H520*'Assumptions'!$Y$30*'Assumptions'!$Z$30*'Assumptions'!$D$11*(1+'Assumptions'!$D$13)^(5-1)</x:f>
        <x:v>1358.4120363165148</x:v>
      </x:c>
      <x:c r="S520" s="10" t="n">
        <x:f>IF(I520=0,0,J520*'Assumptions'!$W$30+H520*'Assumptions'!$X$30)</x:f>
        <x:v>459.03628049999986</x:v>
      </x:c>
      <x:c r="T520" s="10" t="n">
        <x:f>N520*'Assumptions'!$AA$30</x:f>
        <x:v>565.8497182499999</x:v>
      </x:c>
      <x:c r="U520" s="10" t="n">
        <x:f>'Assumptions'!$AE$30*'Assumptions'!$D$11*(1+'Assumptions'!$D$13)^(5-1)</x:f>
        <x:v>0</x:v>
      </x:c>
      <x:c r="V520" s="10" t="n">
        <x:f>0</x:f>
        <x:v>0</x:v>
      </x:c>
      <x:c r="W520" s="10" t="n">
        <x:f>H520*('Assumptions'!$P$30+'Assumptions'!$Y$30)</x:f>
        <x:v>100.57762499999997</x:v>
      </x:c>
      <x:c r="X520" s="10" t="n">
        <x:f>N520/12*'Assumptions'!$AF$30</x:f>
        <x:v>0</x:v>
      </x:c>
      <x:c r="Y520" s="10" t="n">
        <x:f>P520/12</x:f>
        <x:v>0</x:v>
      </x:c>
      <x:c r="Z520" s="10" t="n">
        <x:f>0</x:f>
        <x:v>0</x:v>
      </x:c>
      <x:c r="AA520" s="10" t="n">
        <x:f>Z520*'Assumptions'!$AC$30*'Assumptions'!$D$11*(1+'Assumptions'!$D$13)^(5-1)</x:f>
        <x:v>0</x:v>
      </x:c>
      <x:c r="AB520" s="10" t="n">
        <x:f>F520/1</x:f>
        <x:v>314.8211249999999</x:v>
      </x:c>
      <x:c r="AC520" s="10" t="n">
        <x:f>AB520/'Assumptions'!$AM$30</x:f>
        <x:v>6296.422499999997</x:v>
      </x:c>
      <x:c r="AD520" s="10" t="n">
        <x:f>IF(AB520=0,0,T520/AB520)</x:f>
        <x:v>1.7973689607074497</x:v>
      </x:c>
      <x:c r="AE520" s="10" t="n">
        <x:f>AA520*'Assumptions'!$D$21</x:f>
        <x:v>0</x:v>
      </x:c>
    </x:row>
    <x:row r="521" ht="16" customHeight="1">
      <x:c r="A521" s="1"/>
      <x:c r="B521" s="1"/>
      <x:c r="C521" s="1" t="str">
        <x:v>DOT-002</x:v>
      </x:c>
      <x:c r="D521" s="10" t="str">
        <x:v>ETV courses</x:v>
      </x:c>
      <x:c r="E521" s="10" t="n">
        <x:v>5</x:v>
      </x:c>
      <x:c r="F521" s="21" t="n">
        <x:f>F393*(1+'Assumptions'!$L$31)</x:f>
        <x:v>498.4667812499999</x:v>
      </x:c>
      <x:c r="G521" s="21" t="n">
        <x:f>H393*'Assumptions'!$K$31</x:f>
        <x:v>138.52484374999997</x:v>
      </x:c>
      <x:c r="H521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521+G521,NA())</x:f>
        <x:v>636.9916249999999</x:v>
      </x:c>
      <x:c r="I521" s="22" t="n">
        <x:f>'Assumptions'!$H$31*IF('Assumptions'!$O$31=1,1,'Assumptions'!$D$10)*(1+'Assumptions'!$N$31)^(5-1)</x:f>
        <x:v>42.21485424</x:v>
      </x:c>
      <x:c r="J521" s="10" t="n">
        <x:f>H521*I521</x:f>
        <x:v>26890.508601475736</x:v>
      </x:c>
      <x:c r="K521" s="10" t="n">
        <x:f>J521*'Assumptions'!$T$31</x:f>
        <x:v>26890.508601475736</x:v>
      </x:c>
      <x:c r="L521" s="10" t="n">
        <x:f>K521*'Assumptions'!$U$31</x:f>
        <x:v>806.7152580442721</x:v>
      </x:c>
      <x:c r="M521" s="10" t="n">
        <x:f>K521*'Assumptions'!$V$31</x:f>
        <x:v>0</x:v>
      </x:c>
      <x:c r="N521" s="10" t="n">
        <x:f>K521-L521-M521</x:f>
        <x:v>26083.793343431465</x:v>
      </x:c>
      <x:c r="O521" s="10" t="n">
        <x:f>H521*'Assumptions'!$P$31*'Assumptions'!$Q$31*'Assumptions'!$D$11*(1+'Assumptions'!$D$13)^(5-1)</x:f>
        <x:v>3763.93335062701</x:v>
      </x:c>
      <x:c r="P521" s="10" t="n">
        <x:f>H521*'Assumptions'!$R$31*'Assumptions'!$D$11*(1+'Assumptions'!$D$13)^(5-1)</x:f>
        <x:v>0</x:v>
      </x:c>
      <x:c r="Q521" s="10" t="n">
        <x:f>J521*'Assumptions'!$S$31</x:f>
        <x:v>0</x:v>
      </x:c>
      <x:c r="R521" s="10" t="n">
        <x:f>H521*'Assumptions'!$Y$31*'Assumptions'!$Z$31*'Assumptions'!$D$11*(1+'Assumptions'!$D$13)^(5-1)</x:f>
        <x:v>2150.819057501149</x:v>
      </x:c>
      <x:c r="S521" s="10" t="n">
        <x:f>IF(I521=0,0,J521*'Assumptions'!$W$31+H521*'Assumptions'!$X$31)</x:f>
        <x:v>970.9222369427963</x:v>
      </x:c>
      <x:c r="T521" s="10" t="n">
        <x:f>N521*'Assumptions'!$AA$31</x:f>
        <x:v>1304.1896671715733</x:v>
      </x:c>
      <x:c r="U521" s="10" t="n">
        <x:f>'Assumptions'!$AE$31*'Assumptions'!$D$11*(1+'Assumptions'!$D$13)^(5-1)</x:f>
        <x:v>0</x:v>
      </x:c>
      <x:c r="V521" s="10" t="n">
        <x:f>0</x:f>
        <x:v>0</x:v>
      </x:c>
      <x:c r="W521" s="10" t="n">
        <x:f>H521*('Assumptions'!$P$31+'Assumptions'!$Y$31)</x:f>
        <x:v>159.24790624999997</x:v>
      </x:c>
      <x:c r="X521" s="10" t="n">
        <x:f>N521/12*'Assumptions'!$AF$31</x:f>
        <x:v>0</x:v>
      </x:c>
      <x:c r="Y521" s="10" t="n">
        <x:f>P521/12</x:f>
        <x:v>0</x:v>
      </x:c>
      <x:c r="Z521" s="10" t="n">
        <x:f>0</x:f>
        <x:v>0</x:v>
      </x:c>
      <x:c r="AA521" s="10" t="n">
        <x:f>Z521*'Assumptions'!$AC$31*'Assumptions'!$D$11*(1+'Assumptions'!$D$13)^(5-1)</x:f>
        <x:v>0</x:v>
      </x:c>
      <x:c r="AB521" s="10" t="n">
        <x:f>F521/1</x:f>
        <x:v>498.4667812499999</x:v>
      </x:c>
      <x:c r="AC521" s="10" t="n">
        <x:f>AB521/'Assumptions'!$AM$31</x:f>
        <x:v>9969.335624999998</x:v>
      </x:c>
      <x:c r="AD521" s="10" t="n">
        <x:f>IF(AB521=0,0,T521/AB521)</x:f>
        <x:v>2.616402368681561</x:v>
      </x:c>
      <x:c r="AE521" s="10" t="n">
        <x:f>AA521*'Assumptions'!$D$21</x:f>
        <x:v>0</x:v>
      </x:c>
    </x:row>
    <x:row r="522" ht="16" customHeight="1">
      <x:c r="A522" s="1"/>
      <x:c r="B522" s="1"/>
      <x:c r="C522" s="1" t="str">
        <x:v>DOT-003</x:v>
      </x:c>
      <x:c r="D522" s="10" t="str">
        <x:v>ETV services</x:v>
      </x:c>
      <x:c r="E522" s="10" t="n">
        <x:v>5</x:v>
      </x:c>
      <x:c r="F522" s="21" t="n">
        <x:f>F394*(1+'Assumptions'!$L$32)</x:f>
        <x:v>8.784600000000003</x:v>
      </x:c>
      <x:c r="G522" s="21" t="n">
        <x:f>H394*'Assumptions'!$K$32</x:f>
        <x:v>7.383000000000002</x:v>
      </x:c>
      <x:c r="H522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522+G522,NA())</x:f>
        <x:v>16.167600000000004</x:v>
      </x:c>
      <x:c r="I522" s="22" t="n">
        <x:f>'Assumptions'!$H$32*IF('Assumptions'!$O$32=1,1,'Assumptions'!$D$10)*(1+'Assumptions'!$N$32)^(5-1)</x:f>
        <x:v>1894.25628</x:v>
      </x:c>
      <x:c r="J522" s="10" t="n">
        <x:f>H522*I522</x:f>
        <x:v>30625.577832528008</x:v>
      </x:c>
      <x:c r="K522" s="10" t="n">
        <x:f>J522*'Assumptions'!$T$32</x:f>
        <x:v>30625.577832528008</x:v>
      </x:c>
      <x:c r="L522" s="10" t="n">
        <x:f>K522*'Assumptions'!$U$32</x:f>
        <x:v>918.7673349758402</x:v>
      </x:c>
      <x:c r="M522" s="10" t="n">
        <x:f>K522*'Assumptions'!$V$32</x:f>
        <x:v>0</x:v>
      </x:c>
      <x:c r="N522" s="10" t="n">
        <x:f>K522-L522-M522</x:f>
        <x:v>29706.810497552167</x:v>
      </x:c>
      <x:c r="O522" s="10" t="n">
        <x:f>H522*'Assumptions'!$P$32*'Assumptions'!$Q$32*'Assumptions'!$D$11*(1+'Assumptions'!$D$13)^(5-1)</x:f>
        <x:v>16377.098612900407</x:v>
      </x:c>
      <x:c r="P522" s="10" t="n">
        <x:f>H522*'Assumptions'!$R$32*'Assumptions'!$D$11*(1+'Assumptions'!$D$13)^(5-1)</x:f>
        <x:v>454.91940591390016</x:v>
      </x:c>
      <x:c r="Q522" s="10" t="n">
        <x:f>J522*'Assumptions'!$S$32</x:f>
        <x:v>0</x:v>
      </x:c>
      <x:c r="R522" s="10" t="n">
        <x:f>H522*'Assumptions'!$Y$32*'Assumptions'!$Z$32*'Assumptions'!$D$11*(1+'Assumptions'!$D$13)^(5-1)</x:f>
        <x:v>136.47582177417004</x:v>
      </x:c>
      <x:c r="S522" s="10" t="n">
        <x:f>IF(I522=0,0,J522*'Assumptions'!$W$32+H522*'Assumptions'!$X$32)</x:f>
        <x:v>892.9920371433122</x:v>
      </x:c>
      <x:c r="T522" s="10" t="n">
        <x:f>N522*'Assumptions'!$AA$32</x:f>
        <x:v>1188.2724199020868</x:v>
      </x:c>
      <x:c r="U522" s="10" t="n">
        <x:f>'Assumptions'!$AE$32*'Assumptions'!$D$11*(1+'Assumptions'!$D$13)^(5-1)</x:f>
        <x:v>0</x:v>
      </x:c>
      <x:c r="V522" s="10" t="n">
        <x:f>0</x:f>
        <x:v>0</x:v>
      </x:c>
      <x:c r="W522" s="10" t="n">
        <x:f>H522*('Assumptions'!$P$32+'Assumptions'!$Y$32)</x:f>
        <x:v>327.3939000000001</x:v>
      </x:c>
      <x:c r="X522" s="10" t="n">
        <x:f>N522/12*'Assumptions'!$AF$32</x:f>
        <x:v>2475.5675414626808</x:v>
      </x:c>
      <x:c r="Y522" s="10" t="n">
        <x:f>P522/12</x:f>
        <x:v>37.90995049282501</x:v>
      </x:c>
      <x:c r="Z522" s="10" t="n">
        <x:f>0</x:f>
        <x:v>0</x:v>
      </x:c>
      <x:c r="AA522" s="10" t="n">
        <x:f>Z522*'Assumptions'!$AC$32*'Assumptions'!$D$11*(1+'Assumptions'!$D$13)^(5-1)</x:f>
        <x:v>0</x:v>
      </x:c>
      <x:c r="AB522" s="10" t="n">
        <x:f>F522/1</x:f>
        <x:v>8.784600000000003</x:v>
      </x:c>
      <x:c r="AC522" s="10" t="n">
        <x:f>AB522/'Assumptions'!$AM$32</x:f>
        <x:v>43.92300000000001</x:v>
      </x:c>
      <x:c r="AD522" s="10" t="n">
        <x:f>IF(AB522=0,0,T522/AB522)</x:f>
        <x:v>135.26767523872303</x:v>
      </x:c>
      <x:c r="AE522" s="10" t="n">
        <x:f>AA522*'Assumptions'!$D$21</x:f>
        <x:v>0</x:v>
      </x:c>
    </x:row>
    <x:row r="523" ht="16" customHeight="1">
      <x:c r="A523" s="1"/>
      <x:c r="B523" s="1"/>
      <x:c r="C523" s="1" t="str">
        <x:v>DOT-004</x:v>
      </x:c>
      <x:c r="D523" s="10" t="str">
        <x:v>ETV services</x:v>
      </x:c>
      <x:c r="E523" s="10" t="n">
        <x:v>5</x:v>
      </x:c>
      <x:c r="F523" s="21" t="n">
        <x:f>F395*(1+'Assumptions'!$L$33)</x:f>
        <x:v>5.8564000000000025</x:v>
      </x:c>
      <x:c r="G523" s="21" t="n">
        <x:f>H395*'Assumptions'!$K$33</x:f>
        <x:v>4.922000000000001</x:v>
      </x:c>
      <x:c r="H523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523+G523,NA())</x:f>
        <x:v>10.778400000000003</x:v>
      </x:c>
      <x:c r="I523" s="22" t="n">
        <x:f>'Assumptions'!$H$33*IF('Assumptions'!$O$33=1,1,'Assumptions'!$D$10)*(1+'Assumptions'!$N$33)^(5-1)</x:f>
        <x:v>2706.0804</x:v>
      </x:c>
      <x:c r="J523" s="10" t="n">
        <x:f>H523*I523</x:f>
        <x:v>29167.216983360006</x:v>
      </x:c>
      <x:c r="K523" s="10" t="n">
        <x:f>J523*'Assumptions'!$T$33</x:f>
        <x:v>29167.216983360006</x:v>
      </x:c>
      <x:c r="L523" s="10" t="n">
        <x:f>K523*'Assumptions'!$U$33</x:f>
        <x:v>875.0165095008001</x:v>
      </x:c>
      <x:c r="M523" s="10" t="n">
        <x:f>K523*'Assumptions'!$V$33</x:f>
        <x:v>0</x:v>
      </x:c>
      <x:c r="N523" s="10" t="n">
        <x:f>K523-L523-M523</x:f>
        <x:v>28292.200473859204</x:v>
      </x:c>
      <x:c r="O523" s="10" t="n">
        <x:f>H523*'Assumptions'!$P$33*'Assumptions'!$Q$33*'Assumptions'!$D$11*(1+'Assumptions'!$D$13)^(5-1)</x:f>
        <x:v>16377.098612900407</x:v>
      </x:c>
      <x:c r="P523" s="10" t="n">
        <x:f>H523*'Assumptions'!$R$33*'Assumptions'!$D$11*(1+'Assumptions'!$D$13)^(5-1)</x:f>
        <x:v>303.27960394260015</x:v>
      </x:c>
      <x:c r="Q523" s="10" t="n">
        <x:f>J523*'Assumptions'!$S$33</x:f>
        <x:v>0</x:v>
      </x:c>
      <x:c r="R523" s="10" t="n">
        <x:f>H523*'Assumptions'!$Y$33*'Assumptions'!$Z$33*'Assumptions'!$D$11*(1+'Assumptions'!$D$13)^(5-1)</x:f>
        <x:v>90.98388118278004</x:v>
      </x:c>
      <x:c r="S523" s="10" t="n">
        <x:f>IF(I523=0,0,J523*'Assumptions'!$W$33+H523*'Assumptions'!$X$33)</x:f>
        <x:v>849.0828125174402</x:v>
      </x:c>
      <x:c r="T523" s="10" t="n">
        <x:f>N523*'Assumptions'!$AA$33</x:f>
        <x:v>1131.688018954368</x:v>
      </x:c>
      <x:c r="U523" s="10" t="n">
        <x:f>'Assumptions'!$AE$33*'Assumptions'!$D$11*(1+'Assumptions'!$D$13)^(5-1)</x:f>
        <x:v>0</x:v>
      </x:c>
      <x:c r="V523" s="10" t="n">
        <x:f>0</x:f>
        <x:v>0</x:v>
      </x:c>
      <x:c r="W523" s="10" t="n">
        <x:f>H523*('Assumptions'!$P$33+'Assumptions'!$Y$33)</x:f>
        <x:v>326.04660000000007</x:v>
      </x:c>
      <x:c r="X523" s="10" t="n">
        <x:f>N523/12*'Assumptions'!$AF$33</x:f>
        <x:v>2357.6833728216</x:v>
      </x:c>
      <x:c r="Y523" s="10" t="n">
        <x:f>P523/12</x:f>
        <x:v>25.27330032855001</x:v>
      </x:c>
      <x:c r="Z523" s="10" t="n">
        <x:f>0</x:f>
        <x:v>0</x:v>
      </x:c>
      <x:c r="AA523" s="10" t="n">
        <x:f>Z523*'Assumptions'!$AC$33*'Assumptions'!$D$11*(1+'Assumptions'!$D$13)^(5-1)</x:f>
        <x:v>0</x:v>
      </x:c>
      <x:c r="AB523" s="10" t="n">
        <x:f>F523/1</x:f>
        <x:v>5.8564000000000025</x:v>
      </x:c>
      <x:c r="AC523" s="10" t="n">
        <x:f>AB523/'Assumptions'!$AM$33</x:f>
        <x:v>29.28200000000001</x:v>
      </x:c>
      <x:c r="AD523" s="10" t="n">
        <x:f>IF(AB523=0,0,T523/AB523)</x:f>
        <x:v>193.23953605531855</x:v>
      </x:c>
      <x:c r="AE523" s="10" t="n">
        <x:f>AA523*'Assumptions'!$D$21</x:f>
        <x:v>0</x:v>
      </x:c>
    </x:row>
    <x:row r="524" ht="16" customHeight="1">
      <x:c r="A524" s="1"/>
      <x:c r="B524" s="1"/>
      <x:c r="C524" s="1" t="str">
        <x:v>DOT-005</x:v>
      </x:c>
      <x:c r="D524" s="10" t="str">
        <x:v>ETV services</x:v>
      </x:c>
      <x:c r="E524" s="10" t="n">
        <x:v>5</x:v>
      </x:c>
      <x:c r="F524" s="21" t="n">
        <x:f>F396*(1+'Assumptions'!$L$34)</x:f>
        <x:v>5.8564000000000025</x:v>
      </x:c>
      <x:c r="G524" s="21" t="n">
        <x:f>H396*'Assumptions'!$K$34</x:f>
        <x:v>4.922000000000001</x:v>
      </x:c>
      <x:c r="H524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524+G524,NA())</x:f>
        <x:v>10.778400000000003</x:v>
      </x:c>
      <x:c r="I524" s="22" t="n">
        <x:f>'Assumptions'!$H$34*IF('Assumptions'!$O$34=1,1,'Assumptions'!$D$10)*(1+'Assumptions'!$N$34)^(5-1)</x:f>
        <x:v>1623.64824</x:v>
      </x:c>
      <x:c r="J524" s="10" t="n">
        <x:f>H524*I524</x:f>
        <x:v>17500.330190016004</x:v>
      </x:c>
      <x:c r="K524" s="10" t="n">
        <x:f>J524*'Assumptions'!$T$34</x:f>
        <x:v>17500.330190016004</x:v>
      </x:c>
      <x:c r="L524" s="10" t="n">
        <x:f>K524*'Assumptions'!$U$34</x:f>
        <x:v>525.0099057004801</x:v>
      </x:c>
      <x:c r="M524" s="10" t="n">
        <x:f>K524*'Assumptions'!$V$34</x:f>
        <x:v>0</x:v>
      </x:c>
      <x:c r="N524" s="10" t="n">
        <x:f>K524-L524-M524</x:f>
        <x:v>16975.320284315523</x:v>
      </x:c>
      <x:c r="O524" s="10" t="n">
        <x:f>H524*'Assumptions'!$P$34*'Assumptions'!$Q$34*'Assumptions'!$D$11*(1+'Assumptions'!$D$13)^(5-1)</x:f>
        <x:v>9826.259167740243</x:v>
      </x:c>
      <x:c r="P524" s="10" t="n">
        <x:f>H524*'Assumptions'!$R$34*'Assumptions'!$D$11*(1+'Assumptions'!$D$13)^(5-1)</x:f>
        <x:v>303.27960394260015</x:v>
      </x:c>
      <x:c r="Q524" s="10" t="n">
        <x:f>J524*'Assumptions'!$S$34</x:f>
        <x:v>0</x:v>
      </x:c>
      <x:c r="R524" s="10" t="n">
        <x:f>H524*'Assumptions'!$Y$34*'Assumptions'!$Z$34*'Assumptions'!$D$11*(1+'Assumptions'!$D$13)^(5-1)</x:f>
        <x:v>90.98388118278004</x:v>
      </x:c>
      <x:c r="S524" s="10" t="n">
        <x:f>IF(I524=0,0,J524*'Assumptions'!$W$34+H524*'Assumptions'!$X$34)</x:f>
        <x:v>510.7430955104641</x:v>
      </x:c>
      <x:c r="T524" s="10" t="n">
        <x:f>N524*'Assumptions'!$AA$34</x:f>
        <x:v>679.012811372621</x:v>
      </x:c>
      <x:c r="U524" s="10" t="n">
        <x:f>'Assumptions'!$AE$34*'Assumptions'!$D$11*(1+'Assumptions'!$D$13)^(5-1)</x:f>
        <x:v>0</x:v>
      </x:c>
      <x:c r="V524" s="10" t="n">
        <x:f>0</x:f>
        <x:v>0</x:v>
      </x:c>
      <x:c r="W524" s="10" t="n">
        <x:f>H524*('Assumptions'!$P$34+'Assumptions'!$Y$34)</x:f>
        <x:v>196.70580000000007</x:v>
      </x:c>
      <x:c r="X524" s="10" t="n">
        <x:f>N524/12*'Assumptions'!$AF$34</x:f>
        <x:v>1414.6100236929603</x:v>
      </x:c>
      <x:c r="Y524" s="10" t="n">
        <x:f>P524/12</x:f>
        <x:v>25.27330032855001</x:v>
      </x:c>
      <x:c r="Z524" s="10" t="n">
        <x:f>0</x:f>
        <x:v>0</x:v>
      </x:c>
      <x:c r="AA524" s="10" t="n">
        <x:f>Z524*'Assumptions'!$AC$34*'Assumptions'!$D$11*(1+'Assumptions'!$D$13)^(5-1)</x:f>
        <x:v>0</x:v>
      </x:c>
      <x:c r="AB524" s="10" t="n">
        <x:f>F524/1</x:f>
        <x:v>5.8564000000000025</x:v>
      </x:c>
      <x:c r="AC524" s="10" t="n">
        <x:f>AB524/'Assumptions'!$AM$34</x:f>
        <x:v>29.28200000000001</x:v>
      </x:c>
      <x:c r="AD524" s="10" t="n">
        <x:f>IF(AB524=0,0,T524/AB524)</x:f>
        <x:v>115.94372163319115</x:v>
      </x:c>
      <x:c r="AE524" s="10" t="n">
        <x:f>AA524*'Assumptions'!$D$21</x:f>
        <x:v>0</x:v>
      </x:c>
    </x:row>
    <x:row r="525" ht="16" customHeight="1">
      <x:c r="A525" s="1"/>
      <x:c r="B525" s="1"/>
      <x:c r="C525" s="1" t="str">
        <x:v>DOT-006</x:v>
      </x:c>
      <x:c r="D525" s="10" t="str">
        <x:v>ETV services</x:v>
      </x:c>
      <x:c r="E525" s="10" t="n">
        <x:v>5</x:v>
      </x:c>
      <x:c r="F525" s="21" t="n">
        <x:f>F397*(1+'Assumptions'!$L$35)</x:f>
        <x:v>8.784600000000003</x:v>
      </x:c>
      <x:c r="G525" s="21" t="n">
        <x:f>H397*'Assumptions'!$K$35</x:f>
        <x:v>7.383000000000002</x:v>
      </x:c>
      <x:c r="H525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525+G525,NA())</x:f>
        <x:v>16.167600000000004</x:v>
      </x:c>
      <x:c r="I525" s="22" t="n">
        <x:f>'Assumptions'!$H$35*IF('Assumptions'!$O$35=1,1,'Assumptions'!$D$10)*(1+'Assumptions'!$N$35)^(5-1)</x:f>
        <x:v>811.82412</x:v>
      </x:c>
      <x:c r="J525" s="10" t="n">
        <x:f>H525*I525</x:f>
        <x:v>13125.247642512002</x:v>
      </x:c>
      <x:c r="K525" s="10" t="n">
        <x:f>J525*'Assumptions'!$T$35</x:f>
        <x:v>13125.247642512002</x:v>
      </x:c>
      <x:c r="L525" s="10" t="n">
        <x:f>K525*'Assumptions'!$U$35</x:f>
        <x:v>393.75742927536004</x:v>
      </x:c>
      <x:c r="M525" s="10" t="n">
        <x:f>K525*'Assumptions'!$V$35</x:f>
        <x:v>0</x:v>
      </x:c>
      <x:c r="N525" s="10" t="n">
        <x:f>K525-L525-M525</x:f>
        <x:v>12731.490213236642</x:v>
      </x:c>
      <x:c r="O525" s="10" t="n">
        <x:f>H525*'Assumptions'!$P$35*'Assumptions'!$Q$35*'Assumptions'!$D$11*(1+'Assumptions'!$D$13)^(5-1)</x:f>
        <x:v>6550.8394451601625</x:v>
      </x:c>
      <x:c r="P525" s="10" t="n">
        <x:f>H525*'Assumptions'!$R$35*'Assumptions'!$D$11*(1+'Assumptions'!$D$13)^(5-1)</x:f>
        <x:v>454.91940591390016</x:v>
      </x:c>
      <x:c r="Q525" s="10" t="n">
        <x:f>J525*'Assumptions'!$S$35</x:f>
        <x:v>0</x:v>
      </x:c>
      <x:c r="R525" s="10" t="n">
        <x:f>H525*'Assumptions'!$Y$35*'Assumptions'!$Z$35*'Assumptions'!$D$11*(1+'Assumptions'!$D$13)^(5-1)</x:f>
        <x:v>136.47582177417004</x:v>
      </x:c>
      <x:c r="S525" s="10" t="n">
        <x:f>IF(I525=0,0,J525*'Assumptions'!$W$35+H525*'Assumptions'!$X$35)</x:f>
        <x:v>385.48246163284807</x:v>
      </x:c>
      <x:c r="T525" s="10" t="n">
        <x:f>N525*'Assumptions'!$AA$35</x:f>
        <x:v>509.2596085294657</x:v>
      </x:c>
      <x:c r="U525" s="10" t="n">
        <x:f>'Assumptions'!$AE$35*'Assumptions'!$D$11*(1+'Assumptions'!$D$13)^(5-1)</x:f>
        <x:v>0</x:v>
      </x:c>
      <x:c r="V525" s="10" t="n">
        <x:f>0</x:f>
        <x:v>0</x:v>
      </x:c>
      <x:c r="W525" s="10" t="n">
        <x:f>H525*('Assumptions'!$P$35+'Assumptions'!$Y$35)</x:f>
        <x:v>133.38270000000003</x:v>
      </x:c>
      <x:c r="X525" s="10" t="n">
        <x:f>N525/12*'Assumptions'!$AF$35</x:f>
        <x:v>1060.9575177697202</x:v>
      </x:c>
      <x:c r="Y525" s="10" t="n">
        <x:f>P525/12</x:f>
        <x:v>37.90995049282501</x:v>
      </x:c>
      <x:c r="Z525" s="10" t="n">
        <x:f>0</x:f>
        <x:v>0</x:v>
      </x:c>
      <x:c r="AA525" s="10" t="n">
        <x:f>Z525*'Assumptions'!$AC$35*'Assumptions'!$D$11*(1+'Assumptions'!$D$13)^(5-1)</x:f>
        <x:v>0</x:v>
      </x:c>
      <x:c r="AB525" s="10" t="n">
        <x:f>F525/1</x:f>
        <x:v>8.784600000000003</x:v>
      </x:c>
      <x:c r="AC525" s="10" t="n">
        <x:f>AB525/'Assumptions'!$AM$35</x:f>
        <x:v>43.92300000000001</x:v>
      </x:c>
      <x:c r="AD525" s="10" t="n">
        <x:f>IF(AB525=0,0,T525/AB525)</x:f>
        <x:v>57.97186081659558</x:v>
      </x:c>
      <x:c r="AE525" s="10" t="n">
        <x:f>AA525*'Assumptions'!$D$21</x:f>
        <x:v>0</x:v>
      </x:c>
    </x:row>
    <x:row r="526" ht="16" customHeight="1">
      <x:c r="A526" s="1"/>
      <x:c r="B526" s="1"/>
      <x:c r="C526" s="1" t="str">
        <x:v>DOT-007</x:v>
      </x:c>
      <x:c r="D526" s="10" t="str">
        <x:v>BPA professional services</x:v>
      </x:c>
      <x:c r="E526" s="10" t="n">
        <x:v>5</x:v>
      </x:c>
      <x:c r="F526" s="21" t="n">
        <x:f>F398*(1+'Assumptions'!$L$36)</x:f>
        <x:v>35.13840000000001</x:v>
      </x:c>
      <x:c r="G526" s="21" t="n">
        <x:f>H398*'Assumptions'!$K$36</x:f>
        <x:v>28.782000000000007</x:v>
      </x:c>
      <x:c r="H526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526+G526,NA())</x:f>
        <x:v>63.920400000000015</x:v>
      </x:c>
      <x:c r="I526" s="22" t="n">
        <x:f>'Assumptions'!$H$36*IF('Assumptions'!$O$36=1,1,'Assumptions'!$D$10)*(1+'Assumptions'!$N$36)^(5-1)</x:f>
        <x:v>250</x:v>
      </x:c>
      <x:c r="J526" s="10" t="n">
        <x:f>H526*I526</x:f>
        <x:v>15980.100000000004</x:v>
      </x:c>
      <x:c r="K526" s="10" t="n">
        <x:f>J526*'Assumptions'!$T$36</x:f>
        <x:v>15980.100000000004</x:v>
      </x:c>
      <x:c r="L526" s="10" t="n">
        <x:f>K526*'Assumptions'!$U$36</x:f>
        <x:v>479.4030000000001</x:v>
      </x:c>
      <x:c r="M526" s="10" t="n">
        <x:f>K526*'Assumptions'!$V$36</x:f>
        <x:v>0</x:v>
      </x:c>
      <x:c r="N526" s="10" t="n">
        <x:f>K526-L526-M526</x:f>
        <x:v>15500.697000000004</x:v>
      </x:c>
      <x:c r="O526" s="10" t="n">
        <x:f>H526*'Assumptions'!$P$36*'Assumptions'!$Q$36*'Assumptions'!$D$11*(1+'Assumptions'!$D$13)^(5-1)</x:f>
        <x:v>3595.709807469427</x:v>
      </x:c>
      <x:c r="P526" s="10" t="n">
        <x:f>H526*'Assumptions'!$R$36*'Assumptions'!$D$11*(1+'Assumptions'!$D$13)^(5-1)</x:f>
        <x:v>719.4297333872403</x:v>
      </x:c>
      <x:c r="Q526" s="10" t="n">
        <x:f>J526*'Assumptions'!$S$36</x:f>
        <x:v>0</x:v>
      </x:c>
      <x:c r="R526" s="10" t="n">
        <x:f>H526*'Assumptions'!$Y$36*'Assumptions'!$Z$36*'Assumptions'!$D$11*(1+'Assumptions'!$D$13)^(5-1)</x:f>
        <x:v>539.5723000404303</x:v>
      </x:c>
      <x:c r="S526" s="10" t="n">
        <x:f>IF(I526=0,0,J526*'Assumptions'!$W$36+H526*'Assumptions'!$X$36)</x:f>
        <x:v>482.59902000000017</x:v>
      </x:c>
      <x:c r="T526" s="10" t="n">
        <x:f>N526*'Assumptions'!$AA$36</x:f>
        <x:v>620.0278800000002</x:v>
      </x:c>
      <x:c r="U526" s="10" t="n">
        <x:f>'Assumptions'!$AE$36*'Assumptions'!$D$11*(1+'Assumptions'!$D$13)^(5-1)</x:f>
        <x:v>0</x:v>
      </x:c>
      <x:c r="V526" s="10" t="n">
        <x:f>0</x:f>
        <x:v>0</x:v>
      </x:c>
      <x:c r="W526" s="10" t="n">
        <x:f>H526*('Assumptions'!$P$36+'Assumptions'!$Y$36)</x:f>
        <x:v>69.22579320000001</x:v>
      </x:c>
      <x:c r="X526" s="10" t="n">
        <x:f>N526/12*'Assumptions'!$AF$36</x:f>
        <x:v>1291.7247500000003</x:v>
      </x:c>
      <x:c r="Y526" s="10" t="n">
        <x:f>P526/12</x:f>
        <x:v>59.95247778227002</x:v>
      </x:c>
      <x:c r="Z526" s="10" t="n">
        <x:f>0</x:f>
        <x:v>0</x:v>
      </x:c>
      <x:c r="AA526" s="10" t="n">
        <x:f>Z526*'Assumptions'!$AC$36*'Assumptions'!$D$11*(1+'Assumptions'!$D$13)^(5-1)</x:f>
        <x:v>0</x:v>
      </x:c>
      <x:c r="AB526" s="10" t="n">
        <x:f>F526/1</x:f>
        <x:v>35.13840000000001</x:v>
      </x:c>
      <x:c r="AC526" s="10" t="n">
        <x:f>AB526/'Assumptions'!$AM$36</x:f>
        <x:v>175.69200000000004</x:v>
      </x:c>
      <x:c r="AD526" s="10" t="n">
        <x:f>IF(AB526=0,0,T526/AB526)</x:f>
        <x:v>17.64530769756164</x:v>
      </x:c>
      <x:c r="AE526" s="10" t="n">
        <x:f>AA526*'Assumptions'!$D$21</x:f>
        <x:v>0</x:v>
      </x:c>
    </x:row>
    <x:row r="527" ht="16" customHeight="1">
      <x:c r="A527" s="1"/>
      <x:c r="B527" s="1"/>
      <x:c r="C527" s="1" t="str">
        <x:v>DOT-008</x:v>
      </x:c>
      <x:c r="D527" s="10" t="str">
        <x:v>BPA professional services</x:v>
      </x:c>
      <x:c r="E527" s="10" t="n">
        <x:v>5</x:v>
      </x:c>
      <x:c r="F527" s="21" t="n">
        <x:f>F399*(1+'Assumptions'!$L$37)</x:f>
        <x:v>13.176900000000002</x:v>
      </x:c>
      <x:c r="G527" s="21" t="n">
        <x:f>H399*'Assumptions'!$K$37</x:f>
        <x:v>10.79325</x:v>
      </x:c>
      <x:c r="H527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527+G527,NA())</x:f>
        <x:v>23.970150000000004</x:v>
      </x:c>
      <x:c r="I527" s="22" t="n">
        <x:f>'Assumptions'!$H$37*IF('Assumptions'!$O$37=1,1,'Assumptions'!$D$10)*(1+'Assumptions'!$N$37)^(5-1)</x:f>
        <x:v>600</x:v>
      </x:c>
      <x:c r="J527" s="10" t="n">
        <x:f>H527*I527</x:f>
        <x:v>14382.090000000002</x:v>
      </x:c>
      <x:c r="K527" s="10" t="n">
        <x:f>J527*'Assumptions'!$T$37</x:f>
        <x:v>14382.090000000002</x:v>
      </x:c>
      <x:c r="L527" s="10" t="n">
        <x:f>K527*'Assumptions'!$U$37</x:f>
        <x:v>431.46270000000004</x:v>
      </x:c>
      <x:c r="M527" s="10" t="n">
        <x:f>K527*'Assumptions'!$V$37</x:f>
        <x:v>0</x:v>
      </x:c>
      <x:c r="N527" s="10" t="n">
        <x:f>K527-L527-M527</x:f>
        <x:v>13950.627300000002</x:v>
      </x:c>
      <x:c r="O527" s="10" t="n">
        <x:f>H527*'Assumptions'!$P$37*'Assumptions'!$Q$37*'Assumptions'!$D$11*(1+'Assumptions'!$D$13)^(5-1)</x:f>
        <x:v>6474.867600485162</x:v>
      </x:c>
      <x:c r="P527" s="10" t="n">
        <x:f>H527*'Assumptions'!$R$37*'Assumptions'!$D$11*(1+'Assumptions'!$D$13)^(5-1)</x:f>
        <x:v>269.7861500202151</x:v>
      </x:c>
      <x:c r="Q527" s="10" t="n">
        <x:f>J527*'Assumptions'!$S$37</x:f>
        <x:v>0</x:v>
      </x:c>
      <x:c r="R527" s="10" t="n">
        <x:f>H527*'Assumptions'!$Y$37*'Assumptions'!$Z$37*'Assumptions'!$D$11*(1+'Assumptions'!$D$13)^(5-1)</x:f>
        <x:v>202.33961251516132</x:v>
      </x:c>
      <x:c r="S527" s="10" t="n">
        <x:f>IF(I527=0,0,J527*'Assumptions'!$W$37+H527*'Assumptions'!$X$37)</x:f>
        <x:v>424.27165500000007</x:v>
      </x:c>
      <x:c r="T527" s="10" t="n">
        <x:f>N527*'Assumptions'!$AA$37</x:f>
        <x:v>558.0250920000001</x:v>
      </x:c>
      <x:c r="U527" s="10" t="n">
        <x:f>'Assumptions'!$AE$37*'Assumptions'!$D$11*(1+'Assumptions'!$D$13)^(5-1)</x:f>
        <x:v>0</x:v>
      </x:c>
      <x:c r="V527" s="10" t="n">
        <x:f>0</x:f>
        <x:v>0</x:v>
      </x:c>
      <x:c r="W527" s="10" t="n">
        <x:f>H527*('Assumptions'!$P$37+'Assumptions'!$Y$37)</x:f>
        <x:v>101.87313750000001</x:v>
      </x:c>
      <x:c r="X527" s="10" t="n">
        <x:f>N527/12*'Assumptions'!$AF$37</x:f>
        <x:v>1162.5522750000002</x:v>
      </x:c>
      <x:c r="Y527" s="10" t="n">
        <x:f>P527/12</x:f>
        <x:v>22.482179168351255</x:v>
      </x:c>
      <x:c r="Z527" s="10" t="n">
        <x:f>0</x:f>
        <x:v>0</x:v>
      </x:c>
      <x:c r="AA527" s="10" t="n">
        <x:f>Z527*'Assumptions'!$AC$37*'Assumptions'!$D$11*(1+'Assumptions'!$D$13)^(5-1)</x:f>
        <x:v>0</x:v>
      </x:c>
      <x:c r="AB527" s="10" t="n">
        <x:f>F527/1</x:f>
        <x:v>13.176900000000002</x:v>
      </x:c>
      <x:c r="AC527" s="10" t="n">
        <x:f>AB527/'Assumptions'!$AM$37</x:f>
        <x:v>65.8845</x:v>
      </x:c>
      <x:c r="AD527" s="10" t="n">
        <x:f>IF(AB527=0,0,T527/AB527)</x:f>
        <x:v>42.34873847414794</x:v>
      </x:c>
      <x:c r="AE527" s="10" t="n">
        <x:f>AA527*'Assumptions'!$D$21</x:f>
        <x:v>0</x:v>
      </x:c>
    </x:row>
    <x:row r="528" ht="16" customHeight="1">
      <x:c r="A528" s="1"/>
      <x:c r="B528" s="1"/>
      <x:c r="C528" s="1" t="str">
        <x:v>DOT-009</x:v>
      </x:c>
      <x:c r="D528" s="10" t="str">
        <x:v>BPA professional services</x:v>
      </x:c>
      <x:c r="E528" s="10" t="n">
        <x:v>5</x:v>
      </x:c>
      <x:c r="F528" s="21" t="n">
        <x:f>F400*(1+'Assumptions'!$L$38)</x:f>
        <x:v>8.784600000000003</x:v>
      </x:c>
      <x:c r="G528" s="21" t="n">
        <x:f>H400*'Assumptions'!$K$38</x:f>
        <x:v>7.195500000000002</x:v>
      </x:c>
      <x:c r="H528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528+G528,NA())</x:f>
        <x:v>15.980100000000004</x:v>
      </x:c>
      <x:c r="I528" s="22" t="n">
        <x:f>'Assumptions'!$H$38*IF('Assumptions'!$O$38=1,1,'Assumptions'!$D$10)*(1+'Assumptions'!$N$38)^(5-1)</x:f>
        <x:v>900</x:v>
      </x:c>
      <x:c r="J528" s="10" t="n">
        <x:f>H528*I528</x:f>
        <x:v>14382.090000000004</x:v>
      </x:c>
      <x:c r="K528" s="10" t="n">
        <x:f>J528*'Assumptions'!$T$38</x:f>
        <x:v>14382.090000000004</x:v>
      </x:c>
      <x:c r="L528" s="10" t="n">
        <x:f>K528*'Assumptions'!$U$38</x:f>
        <x:v>431.4627000000001</x:v>
      </x:c>
      <x:c r="M528" s="10" t="n">
        <x:f>K528*'Assumptions'!$V$38</x:f>
        <x:v>0</x:v>
      </x:c>
      <x:c r="N528" s="10" t="n">
        <x:f>K528-L528-M528</x:f>
        <x:v>13950.627300000004</x:v>
      </x:c>
      <x:c r="O528" s="10" t="n">
        <x:f>H528*'Assumptions'!$P$38*'Assumptions'!$Q$38*'Assumptions'!$D$11*(1+'Assumptions'!$D$13)^(5-1)</x:f>
        <x:v>6474.867600485162</x:v>
      </x:c>
      <x:c r="P528" s="10" t="n">
        <x:f>H528*'Assumptions'!$R$38*'Assumptions'!$D$11*(1+'Assumptions'!$D$13)^(5-1)</x:f>
        <x:v>179.85743334681007</x:v>
      </x:c>
      <x:c r="Q528" s="10" t="n">
        <x:f>J528*'Assumptions'!$S$38</x:f>
        <x:v>0</x:v>
      </x:c>
      <x:c r="R528" s="10" t="n">
        <x:f>H528*'Assumptions'!$Y$38*'Assumptions'!$Z$38*'Assumptions'!$D$11*(1+'Assumptions'!$D$13)^(5-1)</x:f>
        <x:v>134.89307501010757</x:v>
      </x:c>
      <x:c r="S528" s="10" t="n">
        <x:f>IF(I528=0,0,J528*'Assumptions'!$W$38+H528*'Assumptions'!$X$38)</x:f>
        <x:v>421.87464000000017</x:v>
      </x:c>
      <x:c r="T528" s="10" t="n">
        <x:f>N528*'Assumptions'!$AA$38</x:f>
        <x:v>558.0250920000002</x:v>
      </x:c>
      <x:c r="U528" s="10" t="n">
        <x:f>'Assumptions'!$AE$38*'Assumptions'!$D$11*(1+'Assumptions'!$D$13)^(5-1)</x:f>
        <x:v>0</x:v>
      </x:c>
      <x:c r="V528" s="10" t="n">
        <x:f>0</x:f>
        <x:v>0</x:v>
      </x:c>
      <x:c r="W528" s="10" t="n">
        <x:f>H528*('Assumptions'!$P$38+'Assumptions'!$Y$38)</x:f>
        <x:v>99.87562500000003</x:v>
      </x:c>
      <x:c r="X528" s="10" t="n">
        <x:f>N528/12*'Assumptions'!$AF$38</x:f>
        <x:v>1162.5522750000002</x:v>
      </x:c>
      <x:c r="Y528" s="10" t="n">
        <x:f>P528/12</x:f>
        <x:v>14.988119445567506</x:v>
      </x:c>
      <x:c r="Z528" s="10" t="n">
        <x:f>0</x:f>
        <x:v>0</x:v>
      </x:c>
      <x:c r="AA528" s="10" t="n">
        <x:f>Z528*'Assumptions'!$AC$38*'Assumptions'!$D$11*(1+'Assumptions'!$D$13)^(5-1)</x:f>
        <x:v>0</x:v>
      </x:c>
      <x:c r="AB528" s="10" t="n">
        <x:f>F528/1</x:f>
        <x:v>8.784600000000003</x:v>
      </x:c>
      <x:c r="AC528" s="10" t="n">
        <x:f>AB528/'Assumptions'!$AM$38</x:f>
        <x:v>43.92300000000001</x:v>
      </x:c>
      <x:c r="AD528" s="10" t="n">
        <x:f>IF(AB528=0,0,T528/AB528)</x:f>
        <x:v>63.52310771122191</x:v>
      </x:c>
      <x:c r="AE528" s="10" t="n">
        <x:f>AA528*'Assumptions'!$D$21</x:f>
        <x:v>0</x:v>
      </x:c>
    </x:row>
    <x:row r="529" ht="16" customHeight="1">
      <x:c r="A529" s="1"/>
      <x:c r="B529" s="1"/>
      <x:c r="C529" s="1" t="str">
        <x:v>DOT-010</x:v>
      </x:c>
      <x:c r="D529" s="10" t="str">
        <x:v>BPA professional services</x:v>
      </x:c>
      <x:c r="E529" s="10" t="n">
        <x:v>5</x:v>
      </x:c>
      <x:c r="F529" s="21" t="n">
        <x:f>F401*(1+'Assumptions'!$L$39)</x:f>
        <x:v>8.784600000000003</x:v>
      </x:c>
      <x:c r="G529" s="21" t="n">
        <x:f>H401*'Assumptions'!$K$39</x:f>
        <x:v>7.195500000000002</x:v>
      </x:c>
      <x:c r="H529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529+G529,NA())</x:f>
        <x:v>15.980100000000004</x:v>
      </x:c>
      <x:c r="I529" s="22" t="n">
        <x:f>'Assumptions'!$H$39*IF('Assumptions'!$O$39=1,1,'Assumptions'!$D$10)*(1+'Assumptions'!$N$39)^(5-1)</x:f>
        <x:v>1800</x:v>
      </x:c>
      <x:c r="J529" s="10" t="n">
        <x:f>H529*I529</x:f>
        <x:v>28764.180000000008</x:v>
      </x:c>
      <x:c r="K529" s="10" t="n">
        <x:f>J529*'Assumptions'!$T$39</x:f>
        <x:v>28764.180000000008</x:v>
      </x:c>
      <x:c r="L529" s="10" t="n">
        <x:f>K529*'Assumptions'!$U$39</x:f>
        <x:v>862.9254000000002</x:v>
      </x:c>
      <x:c r="M529" s="10" t="n">
        <x:f>K529*'Assumptions'!$V$39</x:f>
        <x:v>0</x:v>
      </x:c>
      <x:c r="N529" s="10" t="n">
        <x:f>K529-L529-M529</x:f>
        <x:v>27901.254600000007</x:v>
      </x:c>
      <x:c r="O529" s="10" t="n">
        <x:f>H529*'Assumptions'!$P$39*'Assumptions'!$Q$39*'Assumptions'!$D$11*(1+'Assumptions'!$D$13)^(5-1)</x:f>
        <x:v>12949.735200970325</x:v>
      </x:c>
      <x:c r="P529" s="10" t="n">
        <x:f>H529*'Assumptions'!$R$39*'Assumptions'!$D$11*(1+'Assumptions'!$D$13)^(5-1)</x:f>
        <x:v>179.85743334681007</x:v>
      </x:c>
      <x:c r="Q529" s="10" t="n">
        <x:f>J529*'Assumptions'!$S$39</x:f>
        <x:v>0</x:v>
      </x:c>
      <x:c r="R529" s="10" t="n">
        <x:f>H529*'Assumptions'!$Y$39*'Assumptions'!$Z$39*'Assumptions'!$D$11*(1+'Assumptions'!$D$13)^(5-1)</x:f>
        <x:v>134.89307501010757</x:v>
      </x:c>
      <x:c r="S529" s="10" t="n">
        <x:f>IF(I529=0,0,J529*'Assumptions'!$W$39+H529*'Assumptions'!$X$39)</x:f>
        <x:v>838.9552500000003</x:v>
      </x:c>
      <x:c r="T529" s="10" t="n">
        <x:f>N529*'Assumptions'!$AA$39</x:f>
        <x:v>1116.0501840000004</x:v>
      </x:c>
      <x:c r="U529" s="10" t="n">
        <x:f>'Assumptions'!$AE$39*'Assumptions'!$D$11*(1+'Assumptions'!$D$13)^(5-1)</x:f>
        <x:v>0</x:v>
      </x:c>
      <x:c r="V529" s="10" t="n">
        <x:f>0</x:f>
        <x:v>0</x:v>
      </x:c>
      <x:c r="W529" s="10" t="n">
        <x:f>H529*('Assumptions'!$P$39+'Assumptions'!$Y$39)</x:f>
        <x:v>195.75622500000006</x:v>
      </x:c>
      <x:c r="X529" s="10" t="n">
        <x:f>N529/12*'Assumptions'!$AF$39</x:f>
        <x:v>2325.1045500000005</x:v>
      </x:c>
      <x:c r="Y529" s="10" t="n">
        <x:f>P529/12</x:f>
        <x:v>14.988119445567506</x:v>
      </x:c>
      <x:c r="Z529" s="10" t="n">
        <x:f>0</x:f>
        <x:v>0</x:v>
      </x:c>
      <x:c r="AA529" s="10" t="n">
        <x:f>Z529*'Assumptions'!$AC$39*'Assumptions'!$D$11*(1+'Assumptions'!$D$13)^(5-1)</x:f>
        <x:v>0</x:v>
      </x:c>
      <x:c r="AB529" s="10" t="n">
        <x:f>F529/1</x:f>
        <x:v>8.784600000000003</x:v>
      </x:c>
      <x:c r="AC529" s="10" t="n">
        <x:f>AB529/'Assumptions'!$AM$39</x:f>
        <x:v>43.92300000000001</x:v>
      </x:c>
      <x:c r="AD529" s="10" t="n">
        <x:f>IF(AB529=0,0,T529/AB529)</x:f>
        <x:v>127.04621542244382</x:v>
      </x:c>
      <x:c r="AE529" s="10" t="n">
        <x:f>AA529*'Assumptions'!$D$21</x:f>
        <x:v>0</x:v>
      </x:c>
    </x:row>
    <x:row r="530" ht="16" customHeight="1">
      <x:c r="A530" s="1"/>
      <x:c r="B530" s="1"/>
      <x:c r="C530" s="1" t="str">
        <x:v>DOT-011</x:v>
      </x:c>
      <x:c r="D530" s="10" t="str">
        <x:v>BPA professional services</x:v>
      </x:c>
      <x:c r="E530" s="10" t="n">
        <x:v>5</x:v>
      </x:c>
      <x:c r="F530" s="21" t="n">
        <x:f>F402*(1+'Assumptions'!$L$40)</x:f>
        <x:v>26.353800000000003</x:v>
      </x:c>
      <x:c r="G530" s="21" t="n">
        <x:f>H402*'Assumptions'!$K$40</x:f>
        <x:v>21.5865</x:v>
      </x:c>
      <x:c r="H530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530+G530,NA())</x:f>
        <x:v>47.94030000000001</x:v>
      </x:c>
      <x:c r="I530" s="22" t="n">
        <x:f>'Assumptions'!$H$40*IF('Assumptions'!$O$40=1,1,'Assumptions'!$D$10)*(1+'Assumptions'!$N$40)^(5-1)</x:f>
        <x:v>600</x:v>
      </x:c>
      <x:c r="J530" s="10" t="n">
        <x:f>H530*I530</x:f>
        <x:v>28764.180000000004</x:v>
      </x:c>
      <x:c r="K530" s="10" t="n">
        <x:f>J530*'Assumptions'!$T$40</x:f>
        <x:v>28764.180000000004</x:v>
      </x:c>
      <x:c r="L530" s="10" t="n">
        <x:f>K530*'Assumptions'!$U$40</x:f>
        <x:v>862.9254000000001</x:v>
      </x:c>
      <x:c r="M530" s="10" t="n">
        <x:f>K530*'Assumptions'!$V$40</x:f>
        <x:v>0</x:v>
      </x:c>
      <x:c r="N530" s="10" t="n">
        <x:f>K530-L530-M530</x:f>
        <x:v>27901.254600000004</x:v>
      </x:c>
      <x:c r="O530" s="10" t="n">
        <x:f>H530*'Assumptions'!$P$40*'Assumptions'!$Q$40*'Assumptions'!$D$11*(1+'Assumptions'!$D$13)^(5-1)</x:f>
        <x:v>12949.735200970325</x:v>
      </x:c>
      <x:c r="P530" s="10" t="n">
        <x:f>H530*'Assumptions'!$R$40*'Assumptions'!$D$11*(1+'Assumptions'!$D$13)^(5-1)</x:f>
        <x:v>539.5723000404302</x:v>
      </x:c>
      <x:c r="Q530" s="10" t="n">
        <x:f>J530*'Assumptions'!$S$40</x:f>
        <x:v>0</x:v>
      </x:c>
      <x:c r="R530" s="10" t="n">
        <x:f>H530*'Assumptions'!$Y$40*'Assumptions'!$Z$40*'Assumptions'!$D$11*(1+'Assumptions'!$D$13)^(5-1)</x:f>
        <x:v>404.67922503032264</x:v>
      </x:c>
      <x:c r="S530" s="10" t="n">
        <x:f>IF(I530=0,0,J530*'Assumptions'!$W$40+H530*'Assumptions'!$X$40)</x:f>
        <x:v>848.5433100000001</x:v>
      </x:c>
      <x:c r="T530" s="10" t="n">
        <x:f>N530*'Assumptions'!$AA$40</x:f>
        <x:v>1116.0501840000002</x:v>
      </x:c>
      <x:c r="U530" s="10" t="n">
        <x:f>'Assumptions'!$AE$40*'Assumptions'!$D$11*(1+'Assumptions'!$D$13)^(5-1)</x:f>
        <x:v>0</x:v>
      </x:c>
      <x:c r="V530" s="10" t="n">
        <x:f>0</x:f>
        <x:v>0</x:v>
      </x:c>
      <x:c r="W530" s="10" t="n">
        <x:f>H530*('Assumptions'!$P$40+'Assumptions'!$Y$40)</x:f>
        <x:v>203.74627500000003</x:v>
      </x:c>
      <x:c r="X530" s="10" t="n">
        <x:f>N530/12*'Assumptions'!$AF$40</x:f>
        <x:v>2325.1045500000005</x:v>
      </x:c>
      <x:c r="Y530" s="10" t="n">
        <x:f>P530/12</x:f>
        <x:v>44.96435833670251</x:v>
      </x:c>
      <x:c r="Z530" s="10" t="n">
        <x:f>0</x:f>
        <x:v>0</x:v>
      </x:c>
      <x:c r="AA530" s="10" t="n">
        <x:f>Z530*'Assumptions'!$AC$40*'Assumptions'!$D$11*(1+'Assumptions'!$D$13)^(5-1)</x:f>
        <x:v>0</x:v>
      </x:c>
      <x:c r="AB530" s="10" t="n">
        <x:f>F530/12</x:f>
        <x:v>2.1961500000000003</x:v>
      </x:c>
      <x:c r="AC530" s="10" t="n">
        <x:f>AB530/'Assumptions'!$AM$40</x:f>
        <x:v>10.98075</x:v>
      </x:c>
      <x:c r="AD530" s="10" t="n">
        <x:f>IF(AB530=0,0,T530/AB530)</x:f>
        <x:v>508.1848616897753</x:v>
      </x:c>
      <x:c r="AE530" s="10" t="n">
        <x:f>AA530*'Assumptions'!$D$21</x:f>
        <x:v>0</x:v>
      </x:c>
    </x:row>
    <x:row r="531" ht="16" customHeight="1">
      <x:c r="A531" s="1"/>
      <x:c r="B531" s="1"/>
      <x:c r="C531" s="1" t="str">
        <x:v>DOT-012</x:v>
      </x:c>
      <x:c r="D531" s="10" t="str">
        <x:v>BPA professional services</x:v>
      </x:c>
      <x:c r="E531" s="10" t="n">
        <x:v>5</x:v>
      </x:c>
      <x:c r="F531" s="21" t="n">
        <x:f>F403*(1+'Assumptions'!$L$41)</x:f>
        <x:v>17.569200000000006</x:v>
      </x:c>
      <x:c r="G531" s="21" t="n">
        <x:f>H403*'Assumptions'!$K$41</x:f>
        <x:v>14.391000000000004</x:v>
      </x:c>
      <x:c r="H531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531+G531,NA())</x:f>
        <x:v>31.960200000000007</x:v>
      </x:c>
      <x:c r="I531" s="22" t="n">
        <x:f>'Assumptions'!$H$41*IF('Assumptions'!$O$41=1,1,'Assumptions'!$D$10)*(1+'Assumptions'!$N$41)^(5-1)</x:f>
        <x:v>1080</x:v>
      </x:c>
      <x:c r="J531" s="10" t="n">
        <x:f>H531*I531</x:f>
        <x:v>34517.01600000001</x:v>
      </x:c>
      <x:c r="K531" s="10" t="n">
        <x:f>J531*'Assumptions'!$T$41</x:f>
        <x:v>34517.01600000001</x:v>
      </x:c>
      <x:c r="L531" s="10" t="n">
        <x:f>K531*'Assumptions'!$U$41</x:f>
        <x:v>1035.5104800000004</x:v>
      </x:c>
      <x:c r="M531" s="10" t="n">
        <x:f>K531*'Assumptions'!$V$41</x:f>
        <x:v>0</x:v>
      </x:c>
      <x:c r="N531" s="10" t="n">
        <x:f>K531-L531-M531</x:f>
        <x:v>33481.50552000001</x:v>
      </x:c>
      <x:c r="O531" s="10" t="n">
        <x:f>H531*'Assumptions'!$P$41*'Assumptions'!$Q$41*'Assumptions'!$D$11*(1+'Assumptions'!$D$13)^(5-1)</x:f>
        <x:v>17266.31360129377</x:v>
      </x:c>
      <x:c r="P531" s="10" t="n">
        <x:f>H531*'Assumptions'!$R$41*'Assumptions'!$D$11*(1+'Assumptions'!$D$13)^(5-1)</x:f>
        <x:v>359.71486669362014</x:v>
      </x:c>
      <x:c r="Q531" s="10" t="n">
        <x:f>J531*'Assumptions'!$S$41</x:f>
        <x:v>0</x:v>
      </x:c>
      <x:c r="R531" s="10" t="n">
        <x:f>H531*'Assumptions'!$Y$41*'Assumptions'!$Z$41*'Assumptions'!$D$11*(1+'Assumptions'!$D$13)^(5-1)</x:f>
        <x:v>269.78615002021513</x:v>
      </x:c>
      <x:c r="S531" s="10" t="n">
        <x:f>IF(I531=0,0,J531*'Assumptions'!$W$41+H531*'Assumptions'!$X$41)</x:f>
        <x:v>1010.5815240000004</x:v>
      </x:c>
      <x:c r="T531" s="10" t="n">
        <x:f>N531*'Assumptions'!$AA$41</x:f>
        <x:v>1339.2602208000005</x:v>
      </x:c>
      <x:c r="U531" s="10" t="n">
        <x:f>'Assumptions'!$AE$41*'Assumptions'!$D$11*(1+'Assumptions'!$D$13)^(5-1)</x:f>
        <x:v>0</x:v>
      </x:c>
      <x:c r="V531" s="10" t="n">
        <x:f>0</x:f>
        <x:v>0</x:v>
      </x:c>
      <x:c r="W531" s="10" t="n">
        <x:f>H531*('Assumptions'!$P$41+'Assumptions'!$Y$41)</x:f>
        <x:v>263.67165000000006</x:v>
      </x:c>
      <x:c r="X531" s="10" t="n">
        <x:f>N531/12*'Assumptions'!$AF$41</x:f>
        <x:v>2790.125460000001</x:v>
      </x:c>
      <x:c r="Y531" s="10" t="n">
        <x:f>P531/12</x:f>
        <x:v>29.97623889113501</x:v>
      </x:c>
      <x:c r="Z531" s="10" t="n">
        <x:f>0</x:f>
        <x:v>0</x:v>
      </x:c>
      <x:c r="AA531" s="10" t="n">
        <x:f>Z531*'Assumptions'!$AC$41*'Assumptions'!$D$11*(1+'Assumptions'!$D$13)^(5-1)</x:f>
        <x:v>0</x:v>
      </x:c>
      <x:c r="AB531" s="10" t="n">
        <x:f>F531/12</x:f>
        <x:v>1.4641000000000004</x:v>
      </x:c>
      <x:c r="AC531" s="10" t="n">
        <x:f>AB531/'Assumptions'!$AM$41</x:f>
        <x:v>7.320500000000002</x:v>
      </x:c>
      <x:c r="AD531" s="10" t="n">
        <x:f>IF(AB531=0,0,T531/AB531)</x:f>
        <x:v>914.7327510415956</x:v>
      </x:c>
      <x:c r="AE531" s="10" t="n">
        <x:f>AA531*'Assumptions'!$D$21</x:f>
        <x:v>0</x:v>
      </x:c>
    </x:row>
    <x:row r="532" ht="16" customHeight="1">
      <x:c r="A532" s="1"/>
      <x:c r="B532" s="1"/>
      <x:c r="C532" s="1" t="str">
        <x:v>DOT-013</x:v>
      </x:c>
      <x:c r="D532" s="10" t="str">
        <x:v>BPA professional services</x:v>
      </x:c>
      <x:c r="E532" s="10" t="n">
        <x:v>5</x:v>
      </x:c>
      <x:c r="F532" s="21" t="n">
        <x:f>F404*(1+'Assumptions'!$L$42)</x:f>
        <x:v>13.176900000000002</x:v>
      </x:c>
      <x:c r="G532" s="21" t="n">
        <x:f>H404*'Assumptions'!$K$42</x:f>
        <x:v>10.79325</x:v>
      </x:c>
      <x:c r="H532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532+G532,NA())</x:f>
        <x:v>23.970150000000004</x:v>
      </x:c>
      <x:c r="I532" s="22" t="n">
        <x:f>'Assumptions'!$H$42*IF('Assumptions'!$O$42=1,1,'Assumptions'!$D$10)*(1+'Assumptions'!$N$42)^(5-1)</x:f>
        <x:v>2160</x:v>
      </x:c>
      <x:c r="J532" s="10" t="n">
        <x:f>H532*I532</x:f>
        <x:v>51775.524000000005</x:v>
      </x:c>
      <x:c r="K532" s="10" t="n">
        <x:f>J532*'Assumptions'!$T$42</x:f>
        <x:v>51775.524000000005</x:v>
      </x:c>
      <x:c r="L532" s="10" t="n">
        <x:f>K532*'Assumptions'!$U$42</x:f>
        <x:v>1553.26572</x:v>
      </x:c>
      <x:c r="M532" s="10" t="n">
        <x:f>K532*'Assumptions'!$V$42</x:f>
        <x:v>0</x:v>
      </x:c>
      <x:c r="N532" s="10" t="n">
        <x:f>K532-L532-M532</x:f>
        <x:v>50222.25828</x:v>
      </x:c>
      <x:c r="O532" s="10" t="n">
        <x:f>H532*'Assumptions'!$P$42*'Assumptions'!$Q$42*'Assumptions'!$D$11*(1+'Assumptions'!$D$13)^(5-1)</x:f>
        <x:v>25899.47040194065</x:v>
      </x:c>
      <x:c r="P532" s="10" t="n">
        <x:f>H532*'Assumptions'!$R$42*'Assumptions'!$D$11*(1+'Assumptions'!$D$13)^(5-1)</x:f>
        <x:v>269.7861500202151</x:v>
      </x:c>
      <x:c r="Q532" s="10" t="n">
        <x:f>J532*'Assumptions'!$S$42</x:f>
        <x:v>0</x:v>
      </x:c>
      <x:c r="R532" s="10" t="n">
        <x:f>H532*'Assumptions'!$Y$42*'Assumptions'!$Z$42*'Assumptions'!$D$11*(1+'Assumptions'!$D$13)^(5-1)</x:f>
        <x:v>202.33961251516132</x:v>
      </x:c>
      <x:c r="S532" s="10" t="n">
        <x:f>IF(I532=0,0,J532*'Assumptions'!$W$42+H532*'Assumptions'!$X$42)</x:f>
        <x:v>1508.6812410000002</x:v>
      </x:c>
      <x:c r="T532" s="10" t="n">
        <x:f>N532*'Assumptions'!$AA$42</x:f>
        <x:v>2008.8903312000002</x:v>
      </x:c>
      <x:c r="U532" s="10" t="n">
        <x:f>'Assumptions'!$AE$42*'Assumptions'!$D$11*(1+'Assumptions'!$D$13)^(5-1)</x:f>
        <x:v>0</x:v>
      </x:c>
      <x:c r="V532" s="10" t="n">
        <x:f>0</x:f>
        <x:v>0</x:v>
      </x:c>
      <x:c r="W532" s="10" t="n">
        <x:f>H532*('Assumptions'!$P$42+'Assumptions'!$Y$42)</x:f>
        <x:v>389.5149375000001</x:v>
      </x:c>
      <x:c r="X532" s="10" t="n">
        <x:f>N532/12*'Assumptions'!$AF$42</x:f>
        <x:v>4185.18819</x:v>
      </x:c>
      <x:c r="Y532" s="10" t="n">
        <x:f>P532/12</x:f>
        <x:v>22.482179168351255</x:v>
      </x:c>
      <x:c r="Z532" s="10" t="n">
        <x:f>0</x:f>
        <x:v>0</x:v>
      </x:c>
      <x:c r="AA532" s="10" t="n">
        <x:f>Z532*'Assumptions'!$AC$42*'Assumptions'!$D$11*(1+'Assumptions'!$D$13)^(5-1)</x:f>
        <x:v>0</x:v>
      </x:c>
      <x:c r="AB532" s="10" t="n">
        <x:f>F532/12</x:f>
        <x:v>1.0980750000000001</x:v>
      </x:c>
      <x:c r="AC532" s="10" t="n">
        <x:f>AB532/'Assumptions'!$AM$42</x:f>
        <x:v>5.490375</x:v>
      </x:c>
      <x:c r="AD532" s="10" t="n">
        <x:f>IF(AB532=0,0,T532/AB532)</x:f>
        <x:v>1829.465502083191</x:v>
      </x:c>
      <x:c r="AE532" s="10" t="n">
        <x:f>AA532*'Assumptions'!$D$21</x:f>
        <x:v>0</x:v>
      </x:c>
    </x:row>
    <x:row r="533" ht="16" customHeight="1">
      <x:c r="A533" s="1"/>
      <x:c r="B533" s="1"/>
      <x:c r="C533" s="1" t="str">
        <x:v>DOT-014</x:v>
      </x:c>
      <x:c r="D533" s="10" t="str">
        <x:v>BPA professional services</x:v>
      </x:c>
      <x:c r="E533" s="10" t="n">
        <x:v>5</x:v>
      </x:c>
      <x:c r="F533" s="21" t="n">
        <x:f>F405*(1+'Assumptions'!$L$43)</x:f>
        <x:v>8.784600000000003</x:v>
      </x:c>
      <x:c r="G533" s="21" t="n">
        <x:f>H405*'Assumptions'!$K$43</x:f>
        <x:v>7.195500000000002</x:v>
      </x:c>
      <x:c r="H533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533+G533,NA())</x:f>
        <x:v>15.980100000000004</x:v>
      </x:c>
      <x:c r="I533" s="22" t="n">
        <x:f>'Assumptions'!$H$43*IF('Assumptions'!$O$43=1,1,'Assumptions'!$D$10)*(1+'Assumptions'!$N$43)^(5-1)</x:f>
        <x:v>3000</x:v>
      </x:c>
      <x:c r="J533" s="10" t="n">
        <x:f>H533*I533</x:f>
        <x:v>47940.30000000001</x:v>
      </x:c>
      <x:c r="K533" s="10" t="n">
        <x:f>J533*'Assumptions'!$T$43</x:f>
        <x:v>47940.30000000001</x:v>
      </x:c>
      <x:c r="L533" s="10" t="n">
        <x:f>K533*'Assumptions'!$U$43</x:f>
        <x:v>1438.2090000000003</x:v>
      </x:c>
      <x:c r="M533" s="10" t="n">
        <x:f>K533*'Assumptions'!$V$43</x:f>
        <x:v>0</x:v>
      </x:c>
      <x:c r="N533" s="10" t="n">
        <x:f>K533-L533-M533</x:f>
        <x:v>46502.09100000001</x:v>
      </x:c>
      <x:c r="O533" s="10" t="n">
        <x:f>H533*'Assumptions'!$P$43*'Assumptions'!$Q$43*'Assumptions'!$D$11*(1+'Assumptions'!$D$13)^(5-1)</x:f>
        <x:v>21582.89200161721</x:v>
      </x:c>
      <x:c r="P533" s="10" t="n">
        <x:f>H533*'Assumptions'!$R$43*'Assumptions'!$D$11*(1+'Assumptions'!$D$13)^(5-1)</x:f>
        <x:v>179.85743334681007</x:v>
      </x:c>
      <x:c r="Q533" s="10" t="n">
        <x:f>J533*'Assumptions'!$S$43</x:f>
        <x:v>0</x:v>
      </x:c>
      <x:c r="R533" s="10" t="n">
        <x:f>H533*'Assumptions'!$Y$43*'Assumptions'!$Z$43*'Assumptions'!$D$11*(1+'Assumptions'!$D$13)^(5-1)</x:f>
        <x:v>134.89307501010757</x:v>
      </x:c>
      <x:c r="S533" s="10" t="n">
        <x:f>IF(I533=0,0,J533*'Assumptions'!$W$43+H533*'Assumptions'!$X$43)</x:f>
        <x:v>1395.0627300000003</x:v>
      </x:c>
      <x:c r="T533" s="10" t="n">
        <x:f>N533*'Assumptions'!$AA$43</x:f>
        <x:v>1860.0836400000003</x:v>
      </x:c>
      <x:c r="U533" s="10" t="n">
        <x:f>'Assumptions'!$AE$43*'Assumptions'!$D$11*(1+'Assumptions'!$D$13)^(5-1)</x:f>
        <x:v>0</x:v>
      </x:c>
      <x:c r="V533" s="10" t="n">
        <x:f>0</x:f>
        <x:v>0</x:v>
      </x:c>
      <x:c r="W533" s="10" t="n">
        <x:f>H533*('Assumptions'!$P$43+'Assumptions'!$Y$43)</x:f>
        <x:v>323.5970250000001</x:v>
      </x:c>
      <x:c r="X533" s="10" t="n">
        <x:f>N533/12*'Assumptions'!$AF$43</x:f>
        <x:v>3875.1742500000005</x:v>
      </x:c>
      <x:c r="Y533" s="10" t="n">
        <x:f>P533/12</x:f>
        <x:v>14.988119445567506</x:v>
      </x:c>
      <x:c r="Z533" s="10" t="n">
        <x:f>0</x:f>
        <x:v>0</x:v>
      </x:c>
      <x:c r="AA533" s="10" t="n">
        <x:f>Z533*'Assumptions'!$AC$43*'Assumptions'!$D$11*(1+'Assumptions'!$D$13)^(5-1)</x:f>
        <x:v>0</x:v>
      </x:c>
      <x:c r="AB533" s="10" t="n">
        <x:f>F533/12</x:f>
        <x:v>0.7320500000000002</x:v>
      </x:c>
      <x:c r="AC533" s="10" t="n">
        <x:f>AB533/'Assumptions'!$AM$43</x:f>
        <x:v>3.660250000000001</x:v>
      </x:c>
      <x:c r="AD533" s="10" t="n">
        <x:f>IF(AB533=0,0,T533/AB533)</x:f>
        <x:v>2540.924308448876</x:v>
      </x:c>
      <x:c r="AE533" s="10" t="n">
        <x:f>AA533*'Assumptions'!$D$21</x:f>
        <x:v>0</x:v>
      </x:c>
    </x:row>
    <x:row r="534" ht="16" customHeight="1">
      <x:c r="A534" s="1"/>
      <x:c r="B534" s="1"/>
      <x:c r="C534" s="1" t="str">
        <x:v>DOT-015</x:v>
      </x:c>
      <x:c r="D534" s="10" t="str">
        <x:v>BPA professional services</x:v>
      </x:c>
      <x:c r="E534" s="10" t="n">
        <x:v>5</x:v>
      </x:c>
      <x:c r="F534" s="21" t="n">
        <x:f>F406*(1+'Assumptions'!$L$44)</x:f>
        <x:v>7.320500000000002</x:v>
      </x:c>
      <x:c r="G534" s="21" t="n">
        <x:f>H406*'Assumptions'!$K$44</x:f>
        <x:v>5.996250000000001</x:v>
      </x:c>
      <x:c r="H534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534+G534,NA())</x:f>
        <x:v>13.316750000000003</x:v>
      </x:c>
      <x:c r="I534" s="22" t="n">
        <x:f>'Assumptions'!$H$44*IF('Assumptions'!$O$44=1,1,'Assumptions'!$D$10)*(1+'Assumptions'!$N$44)^(5-1)</x:f>
        <x:v>1200</x:v>
      </x:c>
      <x:c r="J534" s="10" t="n">
        <x:f>H534*I534</x:f>
        <x:v>15980.100000000002</x:v>
      </x:c>
      <x:c r="K534" s="10" t="n">
        <x:f>J534*'Assumptions'!$T$44</x:f>
        <x:v>15980.100000000002</x:v>
      </x:c>
      <x:c r="L534" s="10" t="n">
        <x:f>K534*'Assumptions'!$U$44</x:f>
        <x:v>479.403</x:v>
      </x:c>
      <x:c r="M534" s="10" t="n">
        <x:f>K534*'Assumptions'!$V$44</x:f>
        <x:v>0</x:v>
      </x:c>
      <x:c r="N534" s="10" t="n">
        <x:f>K534-L534-M534</x:f>
        <x:v>15500.697000000002</x:v>
      </x:c>
      <x:c r="O534" s="10" t="n">
        <x:f>H534*'Assumptions'!$P$44*'Assumptions'!$Q$44*'Assumptions'!$D$11*(1+'Assumptions'!$D$13)^(5-1)</x:f>
        <x:v>8992.871667340502</x:v>
      </x:c>
      <x:c r="P534" s="10" t="n">
        <x:f>H534*'Assumptions'!$R$44*'Assumptions'!$D$11*(1+'Assumptions'!$D$13)^(5-1)</x:f>
        <x:v>149.88119445567503</x:v>
      </x:c>
      <x:c r="Q534" s="10" t="n">
        <x:f>J534*'Assumptions'!$S$44</x:f>
        <x:v>0</x:v>
      </x:c>
      <x:c r="R534" s="10" t="n">
        <x:f>H534*'Assumptions'!$Y$44*'Assumptions'!$Z$44*'Assumptions'!$D$11*(1+'Assumptions'!$D$13)^(5-1)</x:f>
        <x:v>112.41089584175629</x:v>
      </x:c>
      <x:c r="S534" s="10" t="n">
        <x:f>IF(I534=0,0,J534*'Assumptions'!$W$44+H534*'Assumptions'!$X$44)</x:f>
        <x:v>467.4179250000001</x:v>
      </x:c>
      <x:c r="T534" s="10" t="n">
        <x:f>N534*'Assumptions'!$AA$44</x:f>
        <x:v>620.0278800000001</x:v>
      </x:c>
      <x:c r="U534" s="10" t="n">
        <x:f>'Assumptions'!$AE$44*'Assumptions'!$D$11*(1+'Assumptions'!$D$13)^(5-1)</x:f>
        <x:v>0</x:v>
      </x:c>
      <x:c r="V534" s="10" t="n">
        <x:f>0</x:f>
        <x:v>0</x:v>
      </x:c>
      <x:c r="W534" s="10" t="n">
        <x:f>H534*('Assumptions'!$P$44+'Assumptions'!$Y$44)</x:f>
        <x:v>136.49668750000004</x:v>
      </x:c>
      <x:c r="X534" s="10" t="n">
        <x:f>N534/12*'Assumptions'!$AF$44</x:f>
        <x:v>1291.72475</x:v>
      </x:c>
      <x:c r="Y534" s="10" t="n">
        <x:f>P534/12</x:f>
        <x:v>12.490099537972918</x:v>
      </x:c>
      <x:c r="Z534" s="10" t="n">
        <x:f>0</x:f>
        <x:v>0</x:v>
      </x:c>
      <x:c r="AA534" s="10" t="n">
        <x:f>Z534*'Assumptions'!$AC$44*'Assumptions'!$D$11*(1+'Assumptions'!$D$13)^(5-1)</x:f>
        <x:v>0</x:v>
      </x:c>
      <x:c r="AB534" s="10" t="n">
        <x:f>F534/1</x:f>
        <x:v>7.320500000000002</x:v>
      </x:c>
      <x:c r="AC534" s="10" t="n">
        <x:f>AB534/'Assumptions'!$AM$44</x:f>
        <x:v>36.602500000000006</x:v>
      </x:c>
      <x:c r="AD534" s="10" t="n">
        <x:f>IF(AB534=0,0,T534/AB534)</x:f>
        <x:v>84.69747694829587</x:v>
      </x:c>
      <x:c r="AE534" s="10" t="n">
        <x:f>AA534*'Assumptions'!$D$21</x:f>
        <x:v>0</x:v>
      </x:c>
    </x:row>
    <x:row r="535" ht="16" customHeight="1">
      <x:c r="A535" s="1"/>
      <x:c r="B535" s="1"/>
      <x:c r="C535" s="1" t="str">
        <x:v>DOT-016</x:v>
      </x:c>
      <x:c r="D535" s="10" t="str">
        <x:v>BPA professional services</x:v>
      </x:c>
      <x:c r="E535" s="10" t="n">
        <x:v>5</x:v>
      </x:c>
      <x:c r="F535" s="21" t="n">
        <x:f>F407*(1+'Assumptions'!$L$45)</x:f>
        <x:v>4.392300000000001</x:v>
      </x:c>
      <x:c r="G535" s="21" t="n">
        <x:f>H407*'Assumptions'!$K$45</x:f>
        <x:v>3.597750000000001</x:v>
      </x:c>
      <x:c r="H535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535+G535,NA())</x:f>
        <x:v>7.990050000000002</x:v>
      </x:c>
      <x:c r="I535" s="22" t="n">
        <x:f>'Assumptions'!$H$45*IF('Assumptions'!$O$45=1,1,'Assumptions'!$D$10)*(1+'Assumptions'!$N$45)^(5-1)</x:f>
        <x:v>1800</x:v>
      </x:c>
      <x:c r="J535" s="10" t="n">
        <x:f>H535*I535</x:f>
        <x:v>14382.090000000004</x:v>
      </x:c>
      <x:c r="K535" s="10" t="n">
        <x:f>J535*'Assumptions'!$T$45</x:f>
        <x:v>14382.090000000004</x:v>
      </x:c>
      <x:c r="L535" s="10" t="n">
        <x:f>K535*'Assumptions'!$U$45</x:f>
        <x:v>431.4627000000001</x:v>
      </x:c>
      <x:c r="M535" s="10" t="n">
        <x:f>K535*'Assumptions'!$V$45</x:f>
        <x:v>0</x:v>
      </x:c>
      <x:c r="N535" s="10" t="n">
        <x:f>K535-L535-M535</x:f>
        <x:v>13950.627300000004</x:v>
      </x:c>
      <x:c r="O535" s="10" t="n">
        <x:f>H535*'Assumptions'!$P$45*'Assumptions'!$Q$45*'Assumptions'!$D$11*(1+'Assumptions'!$D$13)^(5-1)</x:f>
        <x:v>2697.861500202151</x:v>
      </x:c>
      <x:c r="P535" s="10" t="n">
        <x:f>H535*'Assumptions'!$R$45*'Assumptions'!$D$11*(1+'Assumptions'!$D$13)^(5-1)</x:f>
        <x:v>89.92871667340503</x:v>
      </x:c>
      <x:c r="Q535" s="10" t="n">
        <x:f>J535*'Assumptions'!$S$45</x:f>
        <x:v>0</x:v>
      </x:c>
      <x:c r="R535" s="10" t="n">
        <x:f>H535*'Assumptions'!$Y$45*'Assumptions'!$Z$45*'Assumptions'!$D$11*(1+'Assumptions'!$D$13)^(5-1)</x:f>
        <x:v>67.44653750505378</x:v>
      </x:c>
      <x:c r="S535" s="10" t="n">
        <x:f>IF(I535=0,0,J535*'Assumptions'!$W$45+H535*'Assumptions'!$X$45)</x:f>
        <x:v>419.47762500000016</x:v>
      </x:c>
      <x:c r="T535" s="10" t="n">
        <x:f>N535*'Assumptions'!$AA$45</x:f>
        <x:v>558.0250920000002</x:v>
      </x:c>
      <x:c r="U535" s="10" t="n">
        <x:f>'Assumptions'!$AE$45*'Assumptions'!$D$11*(1+'Assumptions'!$D$13)^(5-1)</x:f>
        <x:v>0</x:v>
      </x:c>
      <x:c r="V535" s="10" t="n">
        <x:f>0</x:f>
        <x:v>0</x:v>
      </x:c>
      <x:c r="W535" s="10" t="n">
        <x:f>H535*('Assumptions'!$P$45+'Assumptions'!$Y$45)</x:f>
        <x:v>41.94776250000001</x:v>
      </x:c>
      <x:c r="X535" s="10" t="n">
        <x:f>N535/12*'Assumptions'!$AF$45</x:f>
        <x:v>1162.5522750000002</x:v>
      </x:c>
      <x:c r="Y535" s="10" t="n">
        <x:f>P535/12</x:f>
        <x:v>7.494059722783753</x:v>
      </x:c>
      <x:c r="Z535" s="10" t="n">
        <x:f>0</x:f>
        <x:v>0</x:v>
      </x:c>
      <x:c r="AA535" s="10" t="n">
        <x:f>Z535*'Assumptions'!$AC$45*'Assumptions'!$D$11*(1+'Assumptions'!$D$13)^(5-1)</x:f>
        <x:v>0</x:v>
      </x:c>
      <x:c r="AB535" s="10" t="n">
        <x:f>F535/1</x:f>
        <x:v>4.392300000000001</x:v>
      </x:c>
      <x:c r="AC535" s="10" t="n">
        <x:f>AB535/'Assumptions'!$AM$45</x:f>
        <x:v>21.961500000000004</x:v>
      </x:c>
      <x:c r="AD535" s="10" t="n">
        <x:f>IF(AB535=0,0,T535/AB535)</x:f>
        <x:v>127.04621542244382</x:v>
      </x:c>
      <x:c r="AE535" s="10" t="n">
        <x:f>AA535*'Assumptions'!$D$21</x:f>
        <x:v>0</x:v>
      </x:c>
    </x:row>
    <x:row r="536" ht="16" customHeight="1">
      <x:c r="A536" s="1"/>
      <x:c r="B536" s="1"/>
      <x:c r="C536" s="1" t="str">
        <x:v>DOT-017</x:v>
      </x:c>
      <x:c r="D536" s="10" t="str">
        <x:v>BPA professional services</x:v>
      </x:c>
      <x:c r="E536" s="10" t="n">
        <x:v>5</x:v>
      </x:c>
      <x:c r="F536" s="21" t="n">
        <x:f>F408*(1+'Assumptions'!$L$46)</x:f>
        <x:v>4.392300000000001</x:v>
      </x:c>
      <x:c r="G536" s="21" t="n">
        <x:f>H408*'Assumptions'!$K$46</x:f>
        <x:v>3.597750000000001</x:v>
      </x:c>
      <x:c r="H536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536+G536,NA())</x:f>
        <x:v>7.990050000000002</x:v>
      </x:c>
      <x:c r="I536" s="22" t="n">
        <x:f>'Assumptions'!$H$46*IF('Assumptions'!$O$46=1,1,'Assumptions'!$D$10)*(1+'Assumptions'!$N$46)^(5-1)</x:f>
        <x:v>1500</x:v>
      </x:c>
      <x:c r="J536" s="10" t="n">
        <x:f>H536*I536</x:f>
        <x:v>11985.075000000003</x:v>
      </x:c>
      <x:c r="K536" s="10" t="n">
        <x:f>J536*'Assumptions'!$T$46</x:f>
        <x:v>11985.075000000003</x:v>
      </x:c>
      <x:c r="L536" s="10" t="n">
        <x:f>K536*'Assumptions'!$U$46</x:f>
        <x:v>359.5522500000001</x:v>
      </x:c>
      <x:c r="M536" s="10" t="n">
        <x:f>K536*'Assumptions'!$V$46</x:f>
        <x:v>0</x:v>
      </x:c>
      <x:c r="N536" s="10" t="n">
        <x:f>K536-L536-M536</x:f>
        <x:v>11625.522750000002</x:v>
      </x:c>
      <x:c r="O536" s="10" t="n">
        <x:f>H536*'Assumptions'!$P$46*'Assumptions'!$Q$46*'Assumptions'!$D$11*(1+'Assumptions'!$D$13)^(5-1)</x:f>
        <x:v>3237.433800242581</x:v>
      </x:c>
      <x:c r="P536" s="10" t="n">
        <x:f>H536*'Assumptions'!$R$46*'Assumptions'!$D$11*(1+'Assumptions'!$D$13)^(5-1)</x:f>
        <x:v>89.92871667340503</x:v>
      </x:c>
      <x:c r="Q536" s="10" t="n">
        <x:f>J536*'Assumptions'!$S$46</x:f>
        <x:v>0</x:v>
      </x:c>
      <x:c r="R536" s="10" t="n">
        <x:f>H536*'Assumptions'!$Y$46*'Assumptions'!$Z$46*'Assumptions'!$D$11*(1+'Assumptions'!$D$13)^(5-1)</x:f>
        <x:v>67.44653750505378</x:v>
      </x:c>
      <x:c r="S536" s="10" t="n">
        <x:f>IF(I536=0,0,J536*'Assumptions'!$W$46+H536*'Assumptions'!$X$46)</x:f>
        <x:v>349.9641900000001</x:v>
      </x:c>
      <x:c r="T536" s="10" t="n">
        <x:f>N536*'Assumptions'!$AA$46</x:f>
        <x:v>465.0209100000001</x:v>
      </x:c>
      <x:c r="U536" s="10" t="n">
        <x:f>'Assumptions'!$AE$46*'Assumptions'!$D$11*(1+'Assumptions'!$D$13)^(5-1)</x:f>
        <x:v>0</x:v>
      </x:c>
      <x:c r="V536" s="10" t="n">
        <x:f>0</x:f>
        <x:v>0</x:v>
      </x:c>
      <x:c r="W536" s="10" t="n">
        <x:f>H536*('Assumptions'!$P$46+'Assumptions'!$Y$46)</x:f>
        <x:v>49.937812500000014</x:v>
      </x:c>
      <x:c r="X536" s="10" t="n">
        <x:f>N536/12*'Assumptions'!$AF$46</x:f>
        <x:v>968.7935625000001</x:v>
      </x:c>
      <x:c r="Y536" s="10" t="n">
        <x:f>P536/12</x:f>
        <x:v>7.494059722783753</x:v>
      </x:c>
      <x:c r="Z536" s="10" t="n">
        <x:f>0</x:f>
        <x:v>0</x:v>
      </x:c>
      <x:c r="AA536" s="10" t="n">
        <x:f>Z536*'Assumptions'!$AC$46*'Assumptions'!$D$11*(1+'Assumptions'!$D$13)^(5-1)</x:f>
        <x:v>0</x:v>
      </x:c>
      <x:c r="AB536" s="10" t="n">
        <x:f>F536/1</x:f>
        <x:v>4.392300000000001</x:v>
      </x:c>
      <x:c r="AC536" s="10" t="n">
        <x:f>AB536/'Assumptions'!$AM$46</x:f>
        <x:v>21.961500000000004</x:v>
      </x:c>
      <x:c r="AD536" s="10" t="n">
        <x:f>IF(AB536=0,0,T536/AB536)</x:f>
        <x:v>105.87184618536983</x:v>
      </x:c>
      <x:c r="AE536" s="10" t="n">
        <x:f>AA536*'Assumptions'!$D$21</x:f>
        <x:v>0</x:v>
      </x:c>
    </x:row>
    <x:row r="537" ht="16" customHeight="1">
      <x:c r="A537" s="1"/>
      <x:c r="B537" s="1"/>
      <x:c r="C537" s="1" t="str">
        <x:v>DOT-018</x:v>
      </x:c>
      <x:c r="D537" s="10" t="str">
        <x:v>BPA professional services</x:v>
      </x:c>
      <x:c r="E537" s="10" t="n">
        <x:v>5</x:v>
      </x:c>
      <x:c r="F537" s="21" t="n">
        <x:f>F409*(1+'Assumptions'!$L$47)</x:f>
        <x:v>5.8564000000000025</x:v>
      </x:c>
      <x:c r="G537" s="21" t="n">
        <x:f>H409*'Assumptions'!$K$47</x:f>
        <x:v>4.797000000000001</x:v>
      </x:c>
      <x:c r="H537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537+G537,NA())</x:f>
        <x:v>10.653400000000003</x:v>
      </x:c>
      <x:c r="I537" s="22" t="n">
        <x:f>'Assumptions'!$H$47*IF('Assumptions'!$O$47=1,1,'Assumptions'!$D$10)*(1+'Assumptions'!$N$47)^(5-1)</x:f>
        <x:v>1200</x:v>
      </x:c>
      <x:c r="J537" s="10" t="n">
        <x:f>H537*I537</x:f>
        <x:v>12784.080000000004</x:v>
      </x:c>
      <x:c r="K537" s="10" t="n">
        <x:f>J537*'Assumptions'!$T$47</x:f>
        <x:v>12784.080000000004</x:v>
      </x:c>
      <x:c r="L537" s="10" t="n">
        <x:f>K537*'Assumptions'!$U$47</x:f>
        <x:v>383.5224000000001</x:v>
      </x:c>
      <x:c r="M537" s="10" t="n">
        <x:f>K537*'Assumptions'!$V$47</x:f>
        <x:v>0</x:v>
      </x:c>
      <x:c r="N537" s="10" t="n">
        <x:f>K537-L537-M537</x:f>
        <x:v>12400.557600000004</x:v>
      </x:c>
      <x:c r="O537" s="10" t="n">
        <x:f>H537*'Assumptions'!$P$47*'Assumptions'!$Q$47*'Assumptions'!$D$11*(1+'Assumptions'!$D$13)^(5-1)</x:f>
        <x:v>2877.718933548961</x:v>
      </x:c>
      <x:c r="P537" s="10" t="n">
        <x:f>H537*'Assumptions'!$R$47*'Assumptions'!$D$11*(1+'Assumptions'!$D$13)^(5-1)</x:f>
        <x:v>119.90495556454006</x:v>
      </x:c>
      <x:c r="Q537" s="10" t="n">
        <x:f>J537*'Assumptions'!$S$47</x:f>
        <x:v>0</x:v>
      </x:c>
      <x:c r="R537" s="10" t="n">
        <x:f>H537*'Assumptions'!$Y$47*'Assumptions'!$Z$47*'Assumptions'!$D$11*(1+'Assumptions'!$D$13)^(5-1)</x:f>
        <x:v>89.92871667340503</x:v>
      </x:c>
      <x:c r="S537" s="10" t="n">
        <x:f>IF(I537=0,0,J537*'Assumptions'!$W$47+H537*'Assumptions'!$X$47)</x:f>
        <x:v>373.9343400000001</x:v>
      </x:c>
      <x:c r="T537" s="10" t="n">
        <x:f>N537*'Assumptions'!$AA$47</x:f>
        <x:v>496.02230400000013</x:v>
      </x:c>
      <x:c r="U537" s="10" t="n">
        <x:f>'Assumptions'!$AE$47*'Assumptions'!$D$11*(1+'Assumptions'!$D$13)^(5-1)</x:f>
        <x:v>0</x:v>
      </x:c>
      <x:c r="V537" s="10" t="n">
        <x:f>0</x:f>
        <x:v>0</x:v>
      </x:c>
      <x:c r="W537" s="10" t="n">
        <x:f>H537*('Assumptions'!$P$47+'Assumptions'!$Y$47)</x:f>
        <x:v>45.276950000000014</x:v>
      </x:c>
      <x:c r="X537" s="10" t="n">
        <x:f>N537/12*'Assumptions'!$AF$47</x:f>
        <x:v>1033.3798000000004</x:v>
      </x:c>
      <x:c r="Y537" s="10" t="n">
        <x:f>P537/12</x:f>
        <x:v>9.992079630378338</x:v>
      </x:c>
      <x:c r="Z537" s="10" t="n">
        <x:f>0</x:f>
        <x:v>0</x:v>
      </x:c>
      <x:c r="AA537" s="10" t="n">
        <x:f>Z537*'Assumptions'!$AC$47*'Assumptions'!$D$11*(1+'Assumptions'!$D$13)^(5-1)</x:f>
        <x:v>0</x:v>
      </x:c>
      <x:c r="AB537" s="10" t="n">
        <x:f>F537/1</x:f>
        <x:v>5.8564000000000025</x:v>
      </x:c>
      <x:c r="AC537" s="10" t="n">
        <x:f>AB537/'Assumptions'!$AM$47</x:f>
        <x:v>29.28200000000001</x:v>
      </x:c>
      <x:c r="AD537" s="10" t="n">
        <x:f>IF(AB537=0,0,T537/AB537)</x:f>
        <x:v>84.69747694829587</x:v>
      </x:c>
      <x:c r="AE537" s="10" t="n">
        <x:f>AA537*'Assumptions'!$D$21</x:f>
        <x:v>0</x:v>
      </x:c>
    </x:row>
    <x:row r="538" ht="16" customHeight="1">
      <x:c r="A538" s="1"/>
      <x:c r="B538" s="1"/>
      <x:c r="C538" s="1" t="str">
        <x:v>DOT-019</x:v>
      </x:c>
      <x:c r="D538" s="10" t="str">
        <x:v>BPA professional services</x:v>
      </x:c>
      <x:c r="E538" s="10" t="n">
        <x:v>5</x:v>
      </x:c>
      <x:c r="F538" s="21" t="n">
        <x:f>F410*(1+'Assumptions'!$L$48)</x:f>
        <x:v>2.9282000000000012</x:v>
      </x:c>
      <x:c r="G538" s="21" t="n">
        <x:f>H410*'Assumptions'!$K$48</x:f>
        <x:v>2.3985000000000003</x:v>
      </x:c>
      <x:c r="H538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538+G538,NA())</x:f>
        <x:v>5.3267000000000015</x:v>
      </x:c>
      <x:c r="I538" s="22" t="n">
        <x:f>'Assumptions'!$H$48*IF('Assumptions'!$O$48=1,1,'Assumptions'!$D$10)*(1+'Assumptions'!$N$48)^(5-1)</x:f>
        <x:v>3000</x:v>
      </x:c>
      <x:c r="J538" s="10" t="n">
        <x:f>H538*I538</x:f>
        <x:v>15980.100000000004</x:v>
      </x:c>
      <x:c r="K538" s="10" t="n">
        <x:f>J538*'Assumptions'!$T$48</x:f>
        <x:v>15980.100000000004</x:v>
      </x:c>
      <x:c r="L538" s="10" t="n">
        <x:f>K538*'Assumptions'!$U$48</x:f>
        <x:v>479.4030000000001</x:v>
      </x:c>
      <x:c r="M538" s="10" t="n">
        <x:f>K538*'Assumptions'!$V$48</x:f>
        <x:v>0</x:v>
      </x:c>
      <x:c r="N538" s="10" t="n">
        <x:f>K538-L538-M538</x:f>
        <x:v>15500.697000000004</x:v>
      </x:c>
      <x:c r="O538" s="10" t="n">
        <x:f>H538*'Assumptions'!$P$48*'Assumptions'!$Q$48*'Assumptions'!$D$11*(1+'Assumptions'!$D$13)^(5-1)</x:f>
        <x:v>4316.578400323442</x:v>
      </x:c>
      <x:c r="P538" s="10" t="n">
        <x:f>H538*'Assumptions'!$R$48*'Assumptions'!$D$11*(1+'Assumptions'!$D$13)^(5-1)</x:f>
        <x:v>59.95247778227003</x:v>
      </x:c>
      <x:c r="Q538" s="10" t="n">
        <x:f>J538*'Assumptions'!$S$48</x:f>
        <x:v>0</x:v>
      </x:c>
      <x:c r="R538" s="10" t="n">
        <x:f>H538*'Assumptions'!$Y$48*'Assumptions'!$Z$48*'Assumptions'!$D$11*(1+'Assumptions'!$D$13)^(5-1)</x:f>
        <x:v>44.96435833670252</x:v>
      </x:c>
      <x:c r="S538" s="10" t="n">
        <x:f>IF(I538=0,0,J538*'Assumptions'!$W$48+H538*'Assumptions'!$X$48)</x:f>
        <x:v>465.02091000000013</x:v>
      </x:c>
      <x:c r="T538" s="10" t="n">
        <x:f>N538*'Assumptions'!$AA$48</x:f>
        <x:v>620.0278800000002</x:v>
      </x:c>
      <x:c r="U538" s="10" t="n">
        <x:f>'Assumptions'!$AE$48*'Assumptions'!$D$11*(1+'Assumptions'!$D$13)^(5-1)</x:f>
        <x:v>0</x:v>
      </x:c>
      <x:c r="V538" s="10" t="n">
        <x:f>0</x:f>
        <x:v>0</x:v>
      </x:c>
      <x:c r="W538" s="10" t="n">
        <x:f>H538*('Assumptions'!$P$48+'Assumptions'!$Y$48)</x:f>
        <x:v>65.25207500000002</x:v>
      </x:c>
      <x:c r="X538" s="10" t="n">
        <x:f>N538/12*'Assumptions'!$AF$48</x:f>
        <x:v>1291.7247500000003</x:v>
      </x:c>
      <x:c r="Y538" s="10" t="n">
        <x:f>P538/12</x:f>
        <x:v>4.996039815189169</x:v>
      </x:c>
      <x:c r="Z538" s="10" t="n">
        <x:f>0</x:f>
        <x:v>0</x:v>
      </x:c>
      <x:c r="AA538" s="10" t="n">
        <x:f>Z538*'Assumptions'!$AC$48*'Assumptions'!$D$11*(1+'Assumptions'!$D$13)^(5-1)</x:f>
        <x:v>0</x:v>
      </x:c>
      <x:c r="AB538" s="10" t="n">
        <x:f>F538/1</x:f>
        <x:v>2.9282000000000012</x:v>
      </x:c>
      <x:c r="AC538" s="10" t="n">
        <x:f>AB538/'Assumptions'!$AM$48</x:f>
        <x:v>14.641000000000005</x:v>
      </x:c>
      <x:c r="AD538" s="10" t="n">
        <x:f>IF(AB538=0,0,T538/AB538)</x:f>
        <x:v>211.7436923707397</x:v>
      </x:c>
      <x:c r="AE538" s="10" t="n">
        <x:f>AA538*'Assumptions'!$D$21</x:f>
        <x:v>0</x:v>
      </x:c>
    </x:row>
    <x:row r="539" ht="16" customHeight="1">
      <x:c r="A539" s="1"/>
      <x:c r="B539" s="1"/>
      <x:c r="C539" s="1" t="str">
        <x:v>DOT-020</x:v>
      </x:c>
      <x:c r="D539" s="10" t="str">
        <x:v>BPA professional services</x:v>
      </x:c>
      <x:c r="E539" s="10" t="n">
        <x:v>5</x:v>
      </x:c>
      <x:c r="F539" s="21" t="n">
        <x:f>F411*(1+'Assumptions'!$L$49)</x:f>
        <x:v>4.392300000000001</x:v>
      </x:c>
      <x:c r="G539" s="21" t="n">
        <x:f>H411*'Assumptions'!$K$49</x:f>
        <x:v>3.597750000000001</x:v>
      </x:c>
      <x:c r="H539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539+G539,NA())</x:f>
        <x:v>7.990050000000002</x:v>
      </x:c>
      <x:c r="I539" s="22" t="n">
        <x:f>'Assumptions'!$H$49*IF('Assumptions'!$O$49=1,1,'Assumptions'!$D$10)*(1+'Assumptions'!$N$49)^(5-1)</x:f>
        <x:v>1800</x:v>
      </x:c>
      <x:c r="J539" s="10" t="n">
        <x:f>H539*I539</x:f>
        <x:v>14382.090000000004</x:v>
      </x:c>
      <x:c r="K539" s="10" t="n">
        <x:f>J539*'Assumptions'!$T$49</x:f>
        <x:v>14382.090000000004</x:v>
      </x:c>
      <x:c r="L539" s="10" t="n">
        <x:f>K539*'Assumptions'!$U$49</x:f>
        <x:v>431.4627000000001</x:v>
      </x:c>
      <x:c r="M539" s="10" t="n">
        <x:f>K539*'Assumptions'!$V$49</x:f>
        <x:v>0</x:v>
      </x:c>
      <x:c r="N539" s="10" t="n">
        <x:f>K539-L539-M539</x:f>
        <x:v>13950.627300000004</x:v>
      </x:c>
      <x:c r="O539" s="10" t="n">
        <x:f>H539*'Assumptions'!$P$49*'Assumptions'!$Q$49*'Assumptions'!$D$11*(1+'Assumptions'!$D$13)^(5-1)</x:f>
        <x:v>3237.433800242581</x:v>
      </x:c>
      <x:c r="P539" s="10" t="n">
        <x:f>H539*'Assumptions'!$R$49*'Assumptions'!$D$11*(1+'Assumptions'!$D$13)^(5-1)</x:f>
        <x:v>89.92871667340503</x:v>
      </x:c>
      <x:c r="Q539" s="10" t="n">
        <x:f>J539*'Assumptions'!$S$49</x:f>
        <x:v>0</x:v>
      </x:c>
      <x:c r="R539" s="10" t="n">
        <x:f>H539*'Assumptions'!$Y$49*'Assumptions'!$Z$49*'Assumptions'!$D$11*(1+'Assumptions'!$D$13)^(5-1)</x:f>
        <x:v>67.44653750505378</x:v>
      </x:c>
      <x:c r="S539" s="10" t="n">
        <x:f>IF(I539=0,0,J539*'Assumptions'!$W$49+H539*'Assumptions'!$X$49)</x:f>
        <x:v>419.47762500000016</x:v>
      </x:c>
      <x:c r="T539" s="10" t="n">
        <x:f>N539*'Assumptions'!$AA$49</x:f>
        <x:v>558.0250920000002</x:v>
      </x:c>
      <x:c r="U539" s="10" t="n">
        <x:f>'Assumptions'!$AE$49*'Assumptions'!$D$11*(1+'Assumptions'!$D$13)^(5-1)</x:f>
        <x:v>0</x:v>
      </x:c>
      <x:c r="V539" s="10" t="n">
        <x:f>0</x:f>
        <x:v>0</x:v>
      </x:c>
      <x:c r="W539" s="10" t="n">
        <x:f>H539*('Assumptions'!$P$49+'Assumptions'!$Y$49)</x:f>
        <x:v>49.937812500000014</x:v>
      </x:c>
      <x:c r="X539" s="10" t="n">
        <x:f>N539/12*'Assumptions'!$AF$49</x:f>
        <x:v>1162.5522750000002</x:v>
      </x:c>
      <x:c r="Y539" s="10" t="n">
        <x:f>P539/12</x:f>
        <x:v>7.494059722783753</x:v>
      </x:c>
      <x:c r="Z539" s="10" t="n">
        <x:f>0</x:f>
        <x:v>0</x:v>
      </x:c>
      <x:c r="AA539" s="10" t="n">
        <x:f>Z539*'Assumptions'!$AC$49*'Assumptions'!$D$11*(1+'Assumptions'!$D$13)^(5-1)</x:f>
        <x:v>0</x:v>
      </x:c>
      <x:c r="AB539" s="10" t="n">
        <x:f>F539/1</x:f>
        <x:v>4.392300000000001</x:v>
      </x:c>
      <x:c r="AC539" s="10" t="n">
        <x:f>AB539/'Assumptions'!$AM$49</x:f>
        <x:v>21.961500000000004</x:v>
      </x:c>
      <x:c r="AD539" s="10" t="n">
        <x:f>IF(AB539=0,0,T539/AB539)</x:f>
        <x:v>127.04621542244382</x:v>
      </x:c>
      <x:c r="AE539" s="10" t="n">
        <x:f>AA539*'Assumptions'!$D$21</x:f>
        <x:v>0</x:v>
      </x:c>
    </x:row>
    <x:row r="540" ht="16" customHeight="1">
      <x:c r="A540" s="1"/>
      <x:c r="B540" s="1"/>
      <x:c r="C540" s="1" t="str">
        <x:v>DOT-021</x:v>
      </x:c>
      <x:c r="D540" s="10" t="str">
        <x:v>BPA professional services</x:v>
      </x:c>
      <x:c r="E540" s="10" t="n">
        <x:v>5</x:v>
      </x:c>
      <x:c r="F540" s="21" t="n">
        <x:f>F412*(1+'Assumptions'!$L$50)</x:f>
        <x:v>2.9282000000000012</x:v>
      </x:c>
      <x:c r="G540" s="21" t="n">
        <x:f>H412*'Assumptions'!$K$50</x:f>
        <x:v>2.3985000000000003</x:v>
      </x:c>
      <x:c r="H540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540+G540,NA())</x:f>
        <x:v>5.3267000000000015</x:v>
      </x:c>
      <x:c r="I540" s="22" t="n">
        <x:f>'Assumptions'!$H$50*IF('Assumptions'!$O$50=1,1,'Assumptions'!$D$10)*(1+'Assumptions'!$N$50)^(5-1)</x:f>
        <x:v>4200</x:v>
      </x:c>
      <x:c r="J540" s="10" t="n">
        <x:f>H540*I540</x:f>
        <x:v>22372.140000000007</x:v>
      </x:c>
      <x:c r="K540" s="10" t="n">
        <x:f>J540*'Assumptions'!$T$50</x:f>
        <x:v>22372.140000000007</x:v>
      </x:c>
      <x:c r="L540" s="10" t="n">
        <x:f>K540*'Assumptions'!$U$50</x:f>
        <x:v>671.1642000000002</x:v>
      </x:c>
      <x:c r="M540" s="10" t="n">
        <x:f>K540*'Assumptions'!$V$50</x:f>
        <x:v>0</x:v>
      </x:c>
      <x:c r="N540" s="10" t="n">
        <x:f>K540-L540-M540</x:f>
        <x:v>21700.975800000007</x:v>
      </x:c>
      <x:c r="O540" s="10" t="n">
        <x:f>H540*'Assumptions'!$P$50*'Assumptions'!$Q$50*'Assumptions'!$D$11*(1+'Assumptions'!$D$13)^(5-1)</x:f>
        <x:v>4316.578400323442</x:v>
      </x:c>
      <x:c r="P540" s="10" t="n">
        <x:f>H540*'Assumptions'!$R$50*'Assumptions'!$D$11*(1+'Assumptions'!$D$13)^(5-1)</x:f>
        <x:v>59.95247778227003</x:v>
      </x:c>
      <x:c r="Q540" s="10" t="n">
        <x:f>J540*'Assumptions'!$S$50</x:f>
        <x:v>0</x:v>
      </x:c>
      <x:c r="R540" s="10" t="n">
        <x:f>H540*'Assumptions'!$Y$50*'Assumptions'!$Z$50*'Assumptions'!$D$11*(1+'Assumptions'!$D$13)^(5-1)</x:f>
        <x:v>44.96435833670252</x:v>
      </x:c>
      <x:c r="S540" s="10" t="n">
        <x:f>IF(I540=0,0,J540*'Assumptions'!$W$50+H540*'Assumptions'!$X$50)</x:f>
        <x:v>650.3900700000003</x:v>
      </x:c>
      <x:c r="T540" s="10" t="n">
        <x:f>N540*'Assumptions'!$AA$50</x:f>
        <x:v>868.0390320000004</x:v>
      </x:c>
      <x:c r="U540" s="10" t="n">
        <x:f>'Assumptions'!$AE$50*'Assumptions'!$D$11*(1+'Assumptions'!$D$13)^(5-1)</x:f>
        <x:v>0</x:v>
      </x:c>
      <x:c r="V540" s="10" t="n">
        <x:f>0</x:f>
        <x:v>0</x:v>
      </x:c>
      <x:c r="W540" s="10" t="n">
        <x:f>H540*('Assumptions'!$P$50+'Assumptions'!$Y$50)</x:f>
        <x:v>65.25207500000002</x:v>
      </x:c>
      <x:c r="X540" s="10" t="n">
        <x:f>N540/12*'Assumptions'!$AF$50</x:f>
        <x:v>1808.4146500000006</x:v>
      </x:c>
      <x:c r="Y540" s="10" t="n">
        <x:f>P540/12</x:f>
        <x:v>4.996039815189169</x:v>
      </x:c>
      <x:c r="Z540" s="10" t="n">
        <x:f>0</x:f>
        <x:v>0</x:v>
      </x:c>
      <x:c r="AA540" s="10" t="n">
        <x:f>Z540*'Assumptions'!$AC$50*'Assumptions'!$D$11*(1+'Assumptions'!$D$13)^(5-1)</x:f>
        <x:v>0</x:v>
      </x:c>
      <x:c r="AB540" s="10" t="n">
        <x:f>F540/1</x:f>
        <x:v>2.9282000000000012</x:v>
      </x:c>
      <x:c r="AC540" s="10" t="n">
        <x:f>AB540/'Assumptions'!$AM$50</x:f>
        <x:v>14.641000000000005</x:v>
      </x:c>
      <x:c r="AD540" s="10" t="n">
        <x:f>IF(AB540=0,0,T540/AB540)</x:f>
        <x:v>296.44116931903557</x:v>
      </x:c>
      <x:c r="AE540" s="10" t="n">
        <x:f>AA540*'Assumptions'!$D$21</x:f>
        <x:v>0</x:v>
      </x:c>
    </x:row>
    <x:row r="541" ht="16" customHeight="1">
      <x:c r="A541" s="1"/>
      <x:c r="B541" s="1"/>
      <x:c r="C541" s="1" t="str">
        <x:v>DOT-022</x:v>
      </x:c>
      <x:c r="D541" s="10" t="str">
        <x:v>BPA professional services</x:v>
      </x:c>
      <x:c r="E541" s="10" t="n">
        <x:v>5</x:v>
      </x:c>
      <x:c r="F541" s="21" t="n">
        <x:f>F413*(1+'Assumptions'!$L$51)</x:f>
        <x:v>11.712800000000005</x:v>
      </x:c>
      <x:c r="G541" s="21" t="n">
        <x:f>H413*'Assumptions'!$K$51</x:f>
        <x:v>9.594000000000001</x:v>
      </x:c>
      <x:c r="H541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541+G541,NA())</x:f>
        <x:v>21.306800000000006</x:v>
      </x:c>
      <x:c r="I541" s="22" t="n">
        <x:f>'Assumptions'!$H$51*IF('Assumptions'!$O$51=1,1,'Assumptions'!$D$10)*(1+'Assumptions'!$N$51)^(5-1)</x:f>
        <x:v>900</x:v>
      </x:c>
      <x:c r="J541" s="10" t="n">
        <x:f>H541*I541</x:f>
        <x:v>19176.120000000006</x:v>
      </x:c>
      <x:c r="K541" s="10" t="n">
        <x:f>J541*'Assumptions'!$T$51</x:f>
        <x:v>19176.120000000006</x:v>
      </x:c>
      <x:c r="L541" s="10" t="n">
        <x:f>K541*'Assumptions'!$U$51</x:f>
        <x:v>575.2836000000002</x:v>
      </x:c>
      <x:c r="M541" s="10" t="n">
        <x:f>K541*'Assumptions'!$V$51</x:f>
        <x:v>0</x:v>
      </x:c>
      <x:c r="N541" s="10" t="n">
        <x:f>K541-L541-M541</x:f>
        <x:v>18600.836400000007</x:v>
      </x:c>
      <x:c r="O541" s="10" t="n">
        <x:f>H541*'Assumptions'!$P$51*'Assumptions'!$Q$51*'Assumptions'!$D$11*(1+'Assumptions'!$D$13)^(5-1)</x:f>
        <x:v>4316.578400323442</x:v>
      </x:c>
      <x:c r="P541" s="10" t="n">
        <x:f>H541*'Assumptions'!$R$51*'Assumptions'!$D$11*(1+'Assumptions'!$D$13)^(5-1)</x:f>
        <x:v>239.80991112908012</x:v>
      </x:c>
      <x:c r="Q541" s="10" t="n">
        <x:f>J541*'Assumptions'!$S$51</x:f>
        <x:v>0</x:v>
      </x:c>
      <x:c r="R541" s="10" t="n">
        <x:f>H541*'Assumptions'!$Y$51*'Assumptions'!$Z$51*'Assumptions'!$D$11*(1+'Assumptions'!$D$13)^(5-1)</x:f>
        <x:v>179.85743334681007</x:v>
      </x:c>
      <x:c r="S541" s="10" t="n">
        <x:f>IF(I541=0,0,J541*'Assumptions'!$W$51+H541*'Assumptions'!$X$51)</x:f>
        <x:v>562.4995200000002</x:v>
      </x:c>
      <x:c r="T541" s="10" t="n">
        <x:f>N541*'Assumptions'!$AA$51</x:f>
        <x:v>744.0334560000003</x:v>
      </x:c>
      <x:c r="U541" s="10" t="n">
        <x:f>'Assumptions'!$AE$51*'Assumptions'!$D$11*(1+'Assumptions'!$D$13)^(5-1)</x:f>
        <x:v>0</x:v>
      </x:c>
      <x:c r="V541" s="10" t="n">
        <x:f>0</x:f>
        <x:v>0</x:v>
      </x:c>
      <x:c r="W541" s="10" t="n">
        <x:f>H541*('Assumptions'!$P$51+'Assumptions'!$Y$51)</x:f>
        <x:v>69.24710000000002</x:v>
      </x:c>
      <x:c r="X541" s="10" t="n">
        <x:f>N541/12*'Assumptions'!$AF$51</x:f>
        <x:v>1550.0697000000007</x:v>
      </x:c>
      <x:c r="Y541" s="10" t="n">
        <x:f>P541/12</x:f>
        <x:v>19.984159260756677</x:v>
      </x:c>
      <x:c r="Z541" s="10" t="n">
        <x:f>0</x:f>
        <x:v>0</x:v>
      </x:c>
      <x:c r="AA541" s="10" t="n">
        <x:f>Z541*'Assumptions'!$AC$51*'Assumptions'!$D$11*(1+'Assumptions'!$D$13)^(5-1)</x:f>
        <x:v>0</x:v>
      </x:c>
      <x:c r="AB541" s="10" t="n">
        <x:f>F541/1</x:f>
        <x:v>11.712800000000005</x:v>
      </x:c>
      <x:c r="AC541" s="10" t="n">
        <x:f>AB541/'Assumptions'!$AM$51</x:f>
        <x:v>58.56400000000002</x:v>
      </x:c>
      <x:c r="AD541" s="10" t="n">
        <x:f>IF(AB541=0,0,T541/AB541)</x:f>
        <x:v>63.52310771122191</x:v>
      </x:c>
      <x:c r="AE541" s="10" t="n">
        <x:f>AA541*'Assumptions'!$D$21</x:f>
        <x:v>0</x:v>
      </x:c>
    </x:row>
    <x:row r="542" ht="16" customHeight="1">
      <x:c r="A542" s="1"/>
      <x:c r="B542" s="1"/>
      <x:c r="C542" s="1" t="str">
        <x:v>DOT-023</x:v>
      </x:c>
      <x:c r="D542" s="10" t="str">
        <x:v>BPA professional services</x:v>
      </x:c>
      <x:c r="E542" s="10" t="n">
        <x:v>5</x:v>
      </x:c>
      <x:c r="F542" s="21" t="n">
        <x:f>F414*(1+'Assumptions'!$L$52)</x:f>
        <x:v>7.320500000000002</x:v>
      </x:c>
      <x:c r="G542" s="21" t="n">
        <x:f>H414*'Assumptions'!$K$52</x:f>
        <x:v>5.996250000000001</x:v>
      </x:c>
      <x:c r="H542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542+G542,NA())</x:f>
        <x:v>13.316750000000003</x:v>
      </x:c>
      <x:c r="I542" s="22" t="n">
        <x:f>'Assumptions'!$H$52*IF('Assumptions'!$O$52=1,1,'Assumptions'!$D$10)*(1+'Assumptions'!$N$52)^(5-1)</x:f>
        <x:v>1800</x:v>
      </x:c>
      <x:c r="J542" s="10" t="n">
        <x:f>H542*I542</x:f>
        <x:v>23970.150000000005</x:v>
      </x:c>
      <x:c r="K542" s="10" t="n">
        <x:f>J542*'Assumptions'!$T$52</x:f>
        <x:v>23970.150000000005</x:v>
      </x:c>
      <x:c r="L542" s="10" t="n">
        <x:f>K542*'Assumptions'!$U$52</x:f>
        <x:v>719.1045000000001</x:v>
      </x:c>
      <x:c r="M542" s="10" t="n">
        <x:f>K542*'Assumptions'!$V$52</x:f>
        <x:v>0</x:v>
      </x:c>
      <x:c r="N542" s="10" t="n">
        <x:f>K542-L542-M542</x:f>
        <x:v>23251.045500000004</x:v>
      </x:c>
      <x:c r="O542" s="10" t="n">
        <x:f>H542*'Assumptions'!$P$52*'Assumptions'!$Q$52*'Assumptions'!$D$11*(1+'Assumptions'!$D$13)^(5-1)</x:f>
        <x:v>5395.723000404302</x:v>
      </x:c>
      <x:c r="P542" s="10" t="n">
        <x:f>H542*'Assumptions'!$R$52*'Assumptions'!$D$11*(1+'Assumptions'!$D$13)^(5-1)</x:f>
        <x:v>149.88119445567503</x:v>
      </x:c>
      <x:c r="Q542" s="10" t="n">
        <x:f>J542*'Assumptions'!$S$52</x:f>
        <x:v>0</x:v>
      </x:c>
      <x:c r="R542" s="10" t="n">
        <x:f>H542*'Assumptions'!$Y$52*'Assumptions'!$Z$52*'Assumptions'!$D$11*(1+'Assumptions'!$D$13)^(5-1)</x:f>
        <x:v>112.41089584175629</x:v>
      </x:c>
      <x:c r="S542" s="10" t="n">
        <x:f>IF(I542=0,0,J542*'Assumptions'!$W$52+H542*'Assumptions'!$X$52)</x:f>
        <x:v>699.1293750000002</x:v>
      </x:c>
      <x:c r="T542" s="10" t="n">
        <x:f>N542*'Assumptions'!$AA$52</x:f>
        <x:v>930.0418200000001</x:v>
      </x:c>
      <x:c r="U542" s="10" t="n">
        <x:f>'Assumptions'!$AE$52*'Assumptions'!$D$11*(1+'Assumptions'!$D$13)^(5-1)</x:f>
        <x:v>0</x:v>
      </x:c>
      <x:c r="V542" s="10" t="n">
        <x:f>0</x:f>
        <x:v>0</x:v>
      </x:c>
      <x:c r="W542" s="10" t="n">
        <x:f>H542*('Assumptions'!$P$52+'Assumptions'!$Y$52)</x:f>
        <x:v>83.22968750000001</x:v>
      </x:c>
      <x:c r="X542" s="10" t="n">
        <x:f>N542/12*'Assumptions'!$AF$52</x:f>
        <x:v>1937.5871250000002</x:v>
      </x:c>
      <x:c r="Y542" s="10" t="n">
        <x:f>P542/12</x:f>
        <x:v>12.490099537972918</x:v>
      </x:c>
      <x:c r="Z542" s="10" t="n">
        <x:f>0</x:f>
        <x:v>0</x:v>
      </x:c>
      <x:c r="AA542" s="10" t="n">
        <x:f>Z542*'Assumptions'!$AC$52*'Assumptions'!$D$11*(1+'Assumptions'!$D$13)^(5-1)</x:f>
        <x:v>0</x:v>
      </x:c>
      <x:c r="AB542" s="10" t="n">
        <x:f>F542/1</x:f>
        <x:v>7.320500000000002</x:v>
      </x:c>
      <x:c r="AC542" s="10" t="n">
        <x:f>AB542/'Assumptions'!$AM$52</x:f>
        <x:v>36.602500000000006</x:v>
      </x:c>
      <x:c r="AD542" s="10" t="n">
        <x:f>IF(AB542=0,0,T542/AB542)</x:f>
        <x:v>127.04621542244381</x:v>
      </x:c>
      <x:c r="AE542" s="10" t="n">
        <x:f>AA542*'Assumptions'!$D$21</x:f>
        <x:v>0</x:v>
      </x:c>
    </x:row>
    <x:row r="543" ht="16" customHeight="1">
      <x:c r="A543" s="1"/>
      <x:c r="B543" s="1"/>
      <x:c r="C543" s="1" t="str">
        <x:v>DOT-024</x:v>
      </x:c>
      <x:c r="D543" s="10" t="str">
        <x:v>BPA professional services</x:v>
      </x:c>
      <x:c r="E543" s="10" t="n">
        <x:v>5</x:v>
      </x:c>
      <x:c r="F543" s="21" t="n">
        <x:f>F415*(1+'Assumptions'!$L$53)</x:f>
        <x:v>36.60250000000002</x:v>
      </x:c>
      <x:c r="G543" s="21" t="n">
        <x:f>H415*'Assumptions'!$K$53</x:f>
        <x:v>29.20000000000001</x:v>
      </x:c>
      <x:c r="H543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543+G543,NA())</x:f>
        <x:v>65.80250000000004</x:v>
      </x:c>
      <x:c r="I543" s="22" t="n">
        <x:f>'Assumptions'!$H$53*IF('Assumptions'!$O$53=1,1,'Assumptions'!$D$10)*(1+'Assumptions'!$N$53)^(5-1)</x:f>
        <x:v>540</x:v>
      </x:c>
      <x:c r="J543" s="10" t="n">
        <x:f>H543*I543</x:f>
        <x:v>35533.35000000002</x:v>
      </x:c>
      <x:c r="K543" s="10" t="n">
        <x:f>J543*'Assumptions'!$T$53</x:f>
        <x:v>35533.35000000002</x:v>
      </x:c>
      <x:c r="L543" s="10" t="n">
        <x:f>K543*'Assumptions'!$U$53</x:f>
        <x:v>1066.0005000000006</x:v>
      </x:c>
      <x:c r="M543" s="10" t="n">
        <x:f>K543*'Assumptions'!$V$53</x:f>
        <x:v>0</x:v>
      </x:c>
      <x:c r="N543" s="10" t="n">
        <x:f>K543-L543-M543</x:f>
        <x:v>34467.34950000002</x:v>
      </x:c>
      <x:c r="O543" s="10" t="n">
        <x:f>H543*'Assumptions'!$P$53*'Assumptions'!$Q$53*'Assumptions'!$D$11*(1+'Assumptions'!$D$13)^(5-1)</x:f>
        <x:v>8887.355216403006</x:v>
      </x:c>
      <x:c r="P543" s="10" t="n">
        <x:f>H543*'Assumptions'!$R$53*'Assumptions'!$D$11*(1+'Assumptions'!$D$13)^(5-1)</x:f>
        <x:v>740.6129347002504</x:v>
      </x:c>
      <x:c r="Q543" s="10" t="n">
        <x:f>J543*'Assumptions'!$S$53</x:f>
        <x:v>0</x:v>
      </x:c>
      <x:c r="R543" s="10" t="n">
        <x:f>H543*'Assumptions'!$Y$53*'Assumptions'!$Z$53*'Assumptions'!$D$11*(1+'Assumptions'!$D$13)^(5-1)</x:f>
        <x:v>555.4597010251879</x:v>
      </x:c>
      <x:c r="S543" s="10" t="n">
        <x:f>IF(I543=0,0,J543*'Assumptions'!$W$53+H543*'Assumptions'!$X$53)</x:f>
        <x:v>1050.2079000000006</x:v>
      </x:c>
      <x:c r="T543" s="10" t="n">
        <x:f>N543*'Assumptions'!$AA$53</x:f>
        <x:v>1378.6939800000007</x:v>
      </x:c>
      <x:c r="U543" s="10" t="n">
        <x:f>'Assumptions'!$AE$53*'Assumptions'!$D$11*(1+'Assumptions'!$D$13)^(5-1)</x:f>
        <x:v>0</x:v>
      </x:c>
      <x:c r="V543" s="10" t="n">
        <x:f>0</x:f>
        <x:v>0</x:v>
      </x:c>
      <x:c r="W543" s="10" t="n">
        <x:f>H543*('Assumptions'!$P$53+'Assumptions'!$Y$53)</x:f>
        <x:v>148.05562500000008</x:v>
      </x:c>
      <x:c r="X543" s="10" t="n">
        <x:f>N543/12*'Assumptions'!$AF$53</x:f>
        <x:v>2872.2791250000014</x:v>
      </x:c>
      <x:c r="Y543" s="10" t="n">
        <x:f>P543/12</x:f>
        <x:v>61.717744558354205</x:v>
      </x:c>
      <x:c r="Z543" s="10" t="n">
        <x:f>0</x:f>
        <x:v>0</x:v>
      </x:c>
      <x:c r="AA543" s="10" t="n">
        <x:f>Z543*'Assumptions'!$AC$53*'Assumptions'!$D$11*(1+'Assumptions'!$D$13)^(5-1)</x:f>
        <x:v>0</x:v>
      </x:c>
      <x:c r="AB543" s="10" t="n">
        <x:f>F543/1</x:f>
        <x:v>36.60250000000002</x:v>
      </x:c>
      <x:c r="AC543" s="10" t="n">
        <x:f>AB543/'Assumptions'!$AM$53</x:f>
        <x:v>183.0125000000001</x:v>
      </x:c>
      <x:c r="AD543" s="10" t="n">
        <x:f>IF(AB543=0,0,T543/AB543)</x:f>
        <x:v>37.666661566832865</x:v>
      </x:c>
      <x:c r="AE543" s="10" t="n">
        <x:f>AA543*'Assumptions'!$D$21</x:f>
        <x:v>0</x:v>
      </x:c>
    </x:row>
    <x:row r="544" ht="16" customHeight="1">
      <x:c r="A544" s="1"/>
      <x:c r="B544" s="1"/>
      <x:c r="C544" s="1" t="str">
        <x:v>DOT-025</x:v>
      </x:c>
      <x:c r="D544" s="10" t="str">
        <x:v>BPA professional services</x:v>
      </x:c>
      <x:c r="E544" s="10" t="n">
        <x:v>5</x:v>
      </x:c>
      <x:c r="F544" s="21" t="n">
        <x:f>F416*(1+'Assumptions'!$L$54)</x:f>
        <x:v>14.641000000000004</x:v>
      </x:c>
      <x:c r="G544" s="21" t="n">
        <x:f>H416*'Assumptions'!$K$54</x:f>
        <x:v>11.680000000000001</x:v>
      </x:c>
      <x:c r="H544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544+G544,NA())</x:f>
        <x:v>26.321000000000005</x:v>
      </x:c>
      <x:c r="I544" s="22" t="n">
        <x:f>'Assumptions'!$H$54*IF('Assumptions'!$O$54=1,1,'Assumptions'!$D$10)*(1+'Assumptions'!$N$54)^(5-1)</x:f>
        <x:v>1020</x:v>
      </x:c>
      <x:c r="J544" s="10" t="n">
        <x:f>H544*I544</x:f>
        <x:v>26847.420000000006</x:v>
      </x:c>
      <x:c r="K544" s="10" t="n">
        <x:f>J544*'Assumptions'!$T$54</x:f>
        <x:v>26847.420000000006</x:v>
      </x:c>
      <x:c r="L544" s="10" t="n">
        <x:f>K544*'Assumptions'!$U$54</x:f>
        <x:v>805.4226000000001</x:v>
      </x:c>
      <x:c r="M544" s="10" t="n">
        <x:f>K544*'Assumptions'!$V$54</x:f>
        <x:v>0</x:v>
      </x:c>
      <x:c r="N544" s="10" t="n">
        <x:f>K544-L544-M544</x:f>
        <x:v>26041.997400000004</x:v>
      </x:c>
      <x:c r="O544" s="10" t="n">
        <x:f>H544*'Assumptions'!$P$54*'Assumptions'!$Q$54*'Assumptions'!$D$11*(1+'Assumptions'!$D$13)^(5-1)</x:f>
        <x:v>8887.355216403002</x:v>
      </x:c>
      <x:c r="P544" s="10" t="n">
        <x:f>H544*'Assumptions'!$R$54*'Assumptions'!$D$11*(1+'Assumptions'!$D$13)^(5-1)</x:f>
        <x:v>296.2451738801001</x:v>
      </x:c>
      <x:c r="Q544" s="10" t="n">
        <x:f>J544*'Assumptions'!$S$54</x:f>
        <x:v>0</x:v>
      </x:c>
      <x:c r="R544" s="10" t="n">
        <x:f>H544*'Assumptions'!$Y$54*'Assumptions'!$Z$54*'Assumptions'!$D$11*(1+'Assumptions'!$D$13)^(5-1)</x:f>
        <x:v>222.18388041007506</x:v>
      </x:c>
      <x:c r="S544" s="10" t="n">
        <x:f>IF(I544=0,0,J544*'Assumptions'!$W$54+H544*'Assumptions'!$X$54)</x:f>
        <x:v>786.4714800000002</x:v>
      </x:c>
      <x:c r="T544" s="10" t="n">
        <x:f>N544*'Assumptions'!$AA$54</x:f>
        <x:v>1041.679896</x:v>
      </x:c>
      <x:c r="U544" s="10" t="n">
        <x:f>'Assumptions'!$AE$54*'Assumptions'!$D$11*(1+'Assumptions'!$D$13)^(5-1)</x:f>
        <x:v>0</x:v>
      </x:c>
      <x:c r="V544" s="10" t="n">
        <x:f>0</x:f>
        <x:v>0</x:v>
      </x:c>
      <x:c r="W544" s="10" t="n">
        <x:f>H544*('Assumptions'!$P$54+'Assumptions'!$Y$54)</x:f>
        <x:v>138.18525000000002</x:v>
      </x:c>
      <x:c r="X544" s="10" t="n">
        <x:f>N544/12*'Assumptions'!$AF$54</x:f>
        <x:v>2170.16645</x:v>
      </x:c>
      <x:c r="Y544" s="10" t="n">
        <x:f>P544/12</x:f>
        <x:v>24.687097823341674</x:v>
      </x:c>
      <x:c r="Z544" s="10" t="n">
        <x:f>0</x:f>
        <x:v>0</x:v>
      </x:c>
      <x:c r="AA544" s="10" t="n">
        <x:f>Z544*'Assumptions'!$AC$54*'Assumptions'!$D$11*(1+'Assumptions'!$D$13)^(5-1)</x:f>
        <x:v>0</x:v>
      </x:c>
      <x:c r="AB544" s="10" t="n">
        <x:f>F544/1</x:f>
        <x:v>14.641000000000004</x:v>
      </x:c>
      <x:c r="AC544" s="10" t="n">
        <x:f>AB544/'Assumptions'!$AM$54</x:f>
        <x:v>73.20500000000001</x:v>
      </x:c>
      <x:c r="AD544" s="10" t="n">
        <x:f>IF(AB544=0,0,T544/AB544)</x:f>
        <x:v>71.14813851512874</x:v>
      </x:c>
      <x:c r="AE544" s="10" t="n">
        <x:f>AA544*'Assumptions'!$D$21</x:f>
        <x:v>0</x:v>
      </x:c>
    </x:row>
    <x:row r="545" ht="16" customHeight="1">
      <x:c r="A545" s="1"/>
      <x:c r="B545" s="1"/>
      <x:c r="C545" s="1" t="str">
        <x:v>DOT-026</x:v>
      </x:c>
      <x:c r="D545" s="10" t="str">
        <x:v>BPA professional services</x:v>
      </x:c>
      <x:c r="E545" s="10" t="n">
        <x:v>5</x:v>
      </x:c>
      <x:c r="F545" s="21" t="n">
        <x:f>F417*(1+'Assumptions'!$L$55)</x:f>
        <x:v>5.8564000000000025</x:v>
      </x:c>
      <x:c r="G545" s="21" t="n">
        <x:f>H417*'Assumptions'!$K$55</x:f>
        <x:v>4.672000000000001</x:v>
      </x:c>
      <x:c r="H545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545+G545,NA())</x:f>
        <x:v>10.528400000000003</x:v>
      </x:c>
      <x:c r="I545" s="22" t="n">
        <x:f>'Assumptions'!$H$55*IF('Assumptions'!$O$55=1,1,'Assumptions'!$D$10)*(1+'Assumptions'!$N$55)^(5-1)</x:f>
        <x:v>1800</x:v>
      </x:c>
      <x:c r="J545" s="10" t="n">
        <x:f>H545*I545</x:f>
        <x:v>18951.120000000006</x:v>
      </x:c>
      <x:c r="K545" s="10" t="n">
        <x:f>J545*'Assumptions'!$T$55</x:f>
        <x:v>18951.120000000006</x:v>
      </x:c>
      <x:c r="L545" s="10" t="n">
        <x:f>K545*'Assumptions'!$U$55</x:f>
        <x:v>568.5336000000002</x:v>
      </x:c>
      <x:c r="M545" s="10" t="n">
        <x:f>K545*'Assumptions'!$V$55</x:f>
        <x:v>0</x:v>
      </x:c>
      <x:c r="N545" s="10" t="n">
        <x:f>K545-L545-M545</x:f>
        <x:v>18382.586400000007</x:v>
      </x:c>
      <x:c r="O545" s="10" t="n">
        <x:f>H545*'Assumptions'!$P$55*'Assumptions'!$Q$55*'Assumptions'!$D$11*(1+'Assumptions'!$D$13)^(5-1)</x:f>
        <x:v>7109.884173122403</x:v>
      </x:c>
      <x:c r="P545" s="10" t="n">
        <x:f>H545*'Assumptions'!$R$55*'Assumptions'!$D$11*(1+'Assumptions'!$D$13)^(5-1)</x:f>
        <x:v>118.49806955204005</x:v>
      </x:c>
      <x:c r="Q545" s="10" t="n">
        <x:f>J545*'Assumptions'!$S$55</x:f>
        <x:v>0</x:v>
      </x:c>
      <x:c r="R545" s="10" t="n">
        <x:f>H545*'Assumptions'!$Y$55*'Assumptions'!$Z$55*'Assumptions'!$D$11*(1+'Assumptions'!$D$13)^(5-1)</x:f>
        <x:v>88.87355216403003</x:v>
      </x:c>
      <x:c r="S545" s="10" t="n">
        <x:f>IF(I545=0,0,J545*'Assumptions'!$W$55+H545*'Assumptions'!$X$55)</x:f>
        <x:v>552.7410000000002</x:v>
      </x:c>
      <x:c r="T545" s="10" t="n">
        <x:f>N545*'Assumptions'!$AA$55</x:f>
        <x:v>735.3034560000003</x:v>
      </x:c>
      <x:c r="U545" s="10" t="n">
        <x:f>'Assumptions'!$AE$55*'Assumptions'!$D$11*(1+'Assumptions'!$D$13)^(5-1)</x:f>
        <x:v>0</x:v>
      </x:c>
      <x:c r="V545" s="10" t="n">
        <x:f>0</x:f>
        <x:v>0</x:v>
      </x:c>
      <x:c r="W545" s="10" t="n">
        <x:f>H545*('Assumptions'!$P$55+'Assumptions'!$Y$55)</x:f>
        <x:v>107.91610000000003</x:v>
      </x:c>
      <x:c r="X545" s="10" t="n">
        <x:f>N545/12*'Assumptions'!$AF$55</x:f>
        <x:v>1531.8822000000007</x:v>
      </x:c>
      <x:c r="Y545" s="10" t="n">
        <x:f>P545/12</x:f>
        <x:v>9.87483912933667</x:v>
      </x:c>
      <x:c r="Z545" s="10" t="n">
        <x:f>0</x:f>
        <x:v>0</x:v>
      </x:c>
      <x:c r="AA545" s="10" t="n">
        <x:f>Z545*'Assumptions'!$AC$55*'Assumptions'!$D$11*(1+'Assumptions'!$D$13)^(5-1)</x:f>
        <x:v>0</x:v>
      </x:c>
      <x:c r="AB545" s="10" t="n">
        <x:f>F545/1</x:f>
        <x:v>5.8564000000000025</x:v>
      </x:c>
      <x:c r="AC545" s="10" t="n">
        <x:f>AB545/'Assumptions'!$AM$55</x:f>
        <x:v>29.28200000000001</x:v>
      </x:c>
      <x:c r="AD545" s="10" t="n">
        <x:f>IF(AB545=0,0,T545/AB545)</x:f>
        <x:v>125.55553855610955</x:v>
      </x:c>
      <x:c r="AE545" s="10" t="n">
        <x:f>AA545*'Assumptions'!$D$21</x:f>
        <x:v>0</x:v>
      </x:c>
    </x:row>
    <x:row r="546" ht="16" customHeight="1">
      <x:c r="A546" s="1"/>
      <x:c r="B546" s="1"/>
      <x:c r="C546" s="1" t="str">
        <x:v>DOT-027</x:v>
      </x:c>
      <x:c r="D546" s="10" t="str">
        <x:v>BPA professional services</x:v>
      </x:c>
      <x:c r="E546" s="10" t="n">
        <x:v>5</x:v>
      </x:c>
      <x:c r="F546" s="21" t="n">
        <x:f>F418*(1+'Assumptions'!$L$56)</x:f>
        <x:v>5.8564000000000025</x:v>
      </x:c>
      <x:c r="G546" s="21" t="n">
        <x:f>H418*'Assumptions'!$K$56</x:f>
        <x:v>4.672000000000001</x:v>
      </x:c>
      <x:c r="H546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546+G546,NA())</x:f>
        <x:v>10.528400000000003</x:v>
      </x:c>
      <x:c r="I546" s="22" t="n">
        <x:f>'Assumptions'!$H$56*IF('Assumptions'!$O$56=1,1,'Assumptions'!$D$10)*(1+'Assumptions'!$N$56)^(5-1)</x:f>
        <x:v>1800</x:v>
      </x:c>
      <x:c r="J546" s="10" t="n">
        <x:f>H546*I546</x:f>
        <x:v>18951.120000000006</x:v>
      </x:c>
      <x:c r="K546" s="10" t="n">
        <x:f>J546*'Assumptions'!$T$56</x:f>
        <x:v>18951.120000000006</x:v>
      </x:c>
      <x:c r="L546" s="10" t="n">
        <x:f>K546*'Assumptions'!$U$56</x:f>
        <x:v>568.5336000000002</x:v>
      </x:c>
      <x:c r="M546" s="10" t="n">
        <x:f>K546*'Assumptions'!$V$56</x:f>
        <x:v>0</x:v>
      </x:c>
      <x:c r="N546" s="10" t="n">
        <x:f>K546-L546-M546</x:f>
        <x:v>18382.586400000007</x:v>
      </x:c>
      <x:c r="O546" s="10" t="n">
        <x:f>H546*'Assumptions'!$P$56*'Assumptions'!$Q$56*'Assumptions'!$D$11*(1+'Assumptions'!$D$13)^(5-1)</x:f>
        <x:v>7109.884173122403</x:v>
      </x:c>
      <x:c r="P546" s="10" t="n">
        <x:f>H546*'Assumptions'!$R$56*'Assumptions'!$D$11*(1+'Assumptions'!$D$13)^(5-1)</x:f>
        <x:v>118.49806955204005</x:v>
      </x:c>
      <x:c r="Q546" s="10" t="n">
        <x:f>J546*'Assumptions'!$S$56</x:f>
        <x:v>0</x:v>
      </x:c>
      <x:c r="R546" s="10" t="n">
        <x:f>H546*'Assumptions'!$Y$56*'Assumptions'!$Z$56*'Assumptions'!$D$11*(1+'Assumptions'!$D$13)^(5-1)</x:f>
        <x:v>88.87355216403003</x:v>
      </x:c>
      <x:c r="S546" s="10" t="n">
        <x:f>IF(I546=0,0,J546*'Assumptions'!$W$56+H546*'Assumptions'!$X$56)</x:f>
        <x:v>552.7410000000002</x:v>
      </x:c>
      <x:c r="T546" s="10" t="n">
        <x:f>N546*'Assumptions'!$AA$56</x:f>
        <x:v>735.3034560000003</x:v>
      </x:c>
      <x:c r="U546" s="10" t="n">
        <x:f>'Assumptions'!$AE$56*'Assumptions'!$D$11*(1+'Assumptions'!$D$13)^(5-1)</x:f>
        <x:v>0</x:v>
      </x:c>
      <x:c r="V546" s="10" t="n">
        <x:f>0</x:f>
        <x:v>0</x:v>
      </x:c>
      <x:c r="W546" s="10" t="n">
        <x:f>H546*('Assumptions'!$P$56+'Assumptions'!$Y$56)</x:f>
        <x:v>107.91610000000003</x:v>
      </x:c>
      <x:c r="X546" s="10" t="n">
        <x:f>N546/12*'Assumptions'!$AF$56</x:f>
        <x:v>1531.8822000000007</x:v>
      </x:c>
      <x:c r="Y546" s="10" t="n">
        <x:f>P546/12</x:f>
        <x:v>9.87483912933667</x:v>
      </x:c>
      <x:c r="Z546" s="10" t="n">
        <x:f>0</x:f>
        <x:v>0</x:v>
      </x:c>
      <x:c r="AA546" s="10" t="n">
        <x:f>Z546*'Assumptions'!$AC$56*'Assumptions'!$D$11*(1+'Assumptions'!$D$13)^(5-1)</x:f>
        <x:v>0</x:v>
      </x:c>
      <x:c r="AB546" s="10" t="n">
        <x:f>F546/1</x:f>
        <x:v>5.8564000000000025</x:v>
      </x:c>
      <x:c r="AC546" s="10" t="n">
        <x:f>AB546/'Assumptions'!$AM$56</x:f>
        <x:v>29.28200000000001</x:v>
      </x:c>
      <x:c r="AD546" s="10" t="n">
        <x:f>IF(AB546=0,0,T546/AB546)</x:f>
        <x:v>125.55553855610955</x:v>
      </x:c>
      <x:c r="AE546" s="10" t="n">
        <x:f>AA546*'Assumptions'!$D$21</x:f>
        <x:v>0</x:v>
      </x:c>
    </x:row>
    <x:row r="547" ht="16" customHeight="1">
      <x:c r="A547" s="1"/>
      <x:c r="B547" s="1"/>
      <x:c r="C547" s="1" t="str">
        <x:v>DOT-028</x:v>
      </x:c>
      <x:c r="D547" s="10" t="str">
        <x:v>BPA professional services</x:v>
      </x:c>
      <x:c r="E547" s="10" t="n">
        <x:v>5</x:v>
      </x:c>
      <x:c r="F547" s="21" t="n">
        <x:f>F419*(1+'Assumptions'!$L$57)</x:f>
        <x:v>2.9282000000000012</x:v>
      </x:c>
      <x:c r="G547" s="21" t="n">
        <x:f>H419*'Assumptions'!$K$57</x:f>
        <x:v>2.3360000000000003</x:v>
      </x:c>
      <x:c r="H547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547+G547,NA())</x:f>
        <x:v>5.2642000000000015</x:v>
      </x:c>
      <x:c r="I547" s="22" t="n">
        <x:f>'Assumptions'!$H$57*IF('Assumptions'!$O$57=1,1,'Assumptions'!$D$10)*(1+'Assumptions'!$N$57)^(5-1)</x:f>
        <x:v>1800</x:v>
      </x:c>
      <x:c r="J547" s="10" t="n">
        <x:f>H547*I547</x:f>
        <x:v>9475.560000000003</x:v>
      </x:c>
      <x:c r="K547" s="10" t="n">
        <x:f>J547*'Assumptions'!$T$57</x:f>
        <x:v>9475.560000000003</x:v>
      </x:c>
      <x:c r="L547" s="10" t="n">
        <x:f>K547*'Assumptions'!$U$57</x:f>
        <x:v>284.2668000000001</x:v>
      </x:c>
      <x:c r="M547" s="10" t="n">
        <x:f>K547*'Assumptions'!$V$57</x:f>
        <x:v>0</x:v>
      </x:c>
      <x:c r="N547" s="10" t="n">
        <x:f>K547-L547-M547</x:f>
        <x:v>9191.293200000004</x:v>
      </x:c>
      <x:c r="O547" s="10" t="n">
        <x:f>H547*'Assumptions'!$P$57*'Assumptions'!$Q$57*'Assumptions'!$D$11*(1+'Assumptions'!$D$13)^(5-1)</x:f>
        <x:v>4265.930503873442</x:v>
      </x:c>
      <x:c r="P547" s="10" t="n">
        <x:f>H547*'Assumptions'!$R$57*'Assumptions'!$D$11*(1+'Assumptions'!$D$13)^(5-1)</x:f>
        <x:v>59.249034776020025</x:v>
      </x:c>
      <x:c r="Q547" s="10" t="n">
        <x:f>J547*'Assumptions'!$S$57</x:f>
        <x:v>0</x:v>
      </x:c>
      <x:c r="R547" s="10" t="n">
        <x:f>H547*'Assumptions'!$Y$57*'Assumptions'!$Z$57*'Assumptions'!$D$11*(1+'Assumptions'!$D$13)^(5-1)</x:f>
        <x:v>44.436776082015015</x:v>
      </x:c>
      <x:c r="S547" s="10" t="n">
        <x:f>IF(I547=0,0,J547*'Assumptions'!$W$57+H547*'Assumptions'!$X$57)</x:f>
        <x:v>276.3705000000001</x:v>
      </x:c>
      <x:c r="T547" s="10" t="n">
        <x:f>N547*'Assumptions'!$AA$57</x:f>
        <x:v>367.65172800000016</x:v>
      </x:c>
      <x:c r="U547" s="10" t="n">
        <x:f>'Assumptions'!$AE$57*'Assumptions'!$D$11*(1+'Assumptions'!$D$13)^(5-1)</x:f>
        <x:v>0</x:v>
      </x:c>
      <x:c r="V547" s="10" t="n">
        <x:f>0</x:f>
        <x:v>0</x:v>
      </x:c>
      <x:c r="W547" s="10" t="n">
        <x:f>H547*('Assumptions'!$P$57+'Assumptions'!$Y$57)</x:f>
        <x:v>64.48645000000002</x:v>
      </x:c>
      <x:c r="X547" s="10" t="n">
        <x:f>N547/12*'Assumptions'!$AF$57</x:f>
        <x:v>765.9411000000003</x:v>
      </x:c>
      <x:c r="Y547" s="10" t="n">
        <x:f>P547/12</x:f>
        <x:v>4.937419564668335</x:v>
      </x:c>
      <x:c r="Z547" s="10" t="n">
        <x:f>0</x:f>
        <x:v>0</x:v>
      </x:c>
      <x:c r="AA547" s="10" t="n">
        <x:f>Z547*'Assumptions'!$AC$57*'Assumptions'!$D$11*(1+'Assumptions'!$D$13)^(5-1)</x:f>
        <x:v>0</x:v>
      </x:c>
      <x:c r="AB547" s="10" t="n">
        <x:f>F547/1</x:f>
        <x:v>2.9282000000000012</x:v>
      </x:c>
      <x:c r="AC547" s="10" t="n">
        <x:f>AB547/'Assumptions'!$AM$57</x:f>
        <x:v>14.641000000000005</x:v>
      </x:c>
      <x:c r="AD547" s="10" t="n">
        <x:f>IF(AB547=0,0,T547/AB547)</x:f>
        <x:v>125.55553855610955</x:v>
      </x:c>
      <x:c r="AE547" s="10" t="n">
        <x:f>AA547*'Assumptions'!$D$21</x:f>
        <x:v>0</x:v>
      </x:c>
    </x:row>
    <x:row r="548" ht="16" customHeight="1">
      <x:c r="A548" s="1"/>
      <x:c r="B548" s="1"/>
      <x:c r="C548" s="1" t="str">
        <x:v>DOT-029</x:v>
      </x:c>
      <x:c r="D548" s="10" t="str">
        <x:v>BPA professional services</x:v>
      </x:c>
      <x:c r="E548" s="10" t="n">
        <x:v>5</x:v>
      </x:c>
      <x:c r="F548" s="21" t="n">
        <x:f>F420*(1+'Assumptions'!$L$58)</x:f>
        <x:v>29.282000000000007</x:v>
      </x:c>
      <x:c r="G548" s="21" t="n">
        <x:f>H420*'Assumptions'!$K$58</x:f>
        <x:v>23.360000000000003</x:v>
      </x:c>
      <x:c r="H548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548+G548,NA())</x:f>
        <x:v>52.64200000000001</x:v>
      </x:c>
      <x:c r="I548" s="22" t="n">
        <x:f>'Assumptions'!$H$58*IF('Assumptions'!$O$58=1,1,'Assumptions'!$D$10)*(1+'Assumptions'!$N$58)^(5-1)</x:f>
        <x:v>180</x:v>
      </x:c>
      <x:c r="J548" s="10" t="n">
        <x:f>H548*I548</x:f>
        <x:v>9475.560000000001</x:v>
      </x:c>
      <x:c r="K548" s="10" t="n">
        <x:f>J548*'Assumptions'!$T$58</x:f>
        <x:v>9475.560000000001</x:v>
      </x:c>
      <x:c r="L548" s="10" t="n">
        <x:f>K548*'Assumptions'!$U$58</x:f>
        <x:v>284.26680000000005</x:v>
      </x:c>
      <x:c r="M548" s="10" t="n">
        <x:f>K548*'Assumptions'!$V$58</x:f>
        <x:v>0</x:v>
      </x:c>
      <x:c r="N548" s="10" t="n">
        <x:f>K548-L548-M548</x:f>
        <x:v>9191.293200000002</x:v>
      </x:c>
      <x:c r="O548" s="10" t="n">
        <x:f>H548*'Assumptions'!$P$58*'Assumptions'!$Q$58*'Assumptions'!$D$11*(1+'Assumptions'!$D$13)^(5-1)</x:f>
        <x:v>3554.942086561201</x:v>
      </x:c>
      <x:c r="P548" s="10" t="n">
        <x:f>H548*'Assumptions'!$R$58*'Assumptions'!$D$11*(1+'Assumptions'!$D$13)^(5-1)</x:f>
        <x:v>592.4903477602002</x:v>
      </x:c>
      <x:c r="Q548" s="10" t="n">
        <x:f>J548*'Assumptions'!$S$58</x:f>
        <x:v>0</x:v>
      </x:c>
      <x:c r="R548" s="10" t="n">
        <x:f>H548*'Assumptions'!$Y$58*'Assumptions'!$Z$58*'Assumptions'!$D$11*(1+'Assumptions'!$D$13)^(5-1)</x:f>
        <x:v>444.3677608201501</x:v>
      </x:c>
      <x:c r="S548" s="10" t="n">
        <x:f>IF(I548=0,0,J548*'Assumptions'!$W$58+H548*'Assumptions'!$X$58)</x:f>
        <x:v>290.58384000000007</x:v>
      </x:c>
      <x:c r="T548" s="10" t="n">
        <x:f>N548*'Assumptions'!$AA$58</x:f>
        <x:v>367.6517280000001</x:v>
      </x:c>
      <x:c r="U548" s="10" t="n">
        <x:f>'Assumptions'!$AE$58*'Assumptions'!$D$11*(1+'Assumptions'!$D$13)^(5-1)</x:f>
        <x:v>0</x:v>
      </x:c>
      <x:c r="V548" s="10" t="n">
        <x:f>0</x:f>
        <x:v>0</x:v>
      </x:c>
      <x:c r="W548" s="10" t="n">
        <x:f>H548*('Assumptions'!$P$58+'Assumptions'!$Y$58)</x:f>
        <x:v>65.80250000000001</x:v>
      </x:c>
      <x:c r="X548" s="10" t="n">
        <x:f>N548/12*'Assumptions'!$AF$58</x:f>
        <x:v>765.9411000000001</x:v>
      </x:c>
      <x:c r="Y548" s="10" t="n">
        <x:f>P548/12</x:f>
        <x:v>49.37419564668335</x:v>
      </x:c>
      <x:c r="Z548" s="10" t="n">
        <x:f>0</x:f>
        <x:v>0</x:v>
      </x:c>
      <x:c r="AA548" s="10" t="n">
        <x:f>Z548*'Assumptions'!$AC$58*'Assumptions'!$D$11*(1+'Assumptions'!$D$13)^(5-1)</x:f>
        <x:v>0</x:v>
      </x:c>
      <x:c r="AB548" s="10" t="n">
        <x:f>F548/1</x:f>
        <x:v>29.282000000000007</x:v>
      </x:c>
      <x:c r="AC548" s="10" t="n">
        <x:f>AB548/'Assumptions'!$AM$58</x:f>
        <x:v>146.41000000000003</x:v>
      </x:c>
      <x:c r="AD548" s="10" t="n">
        <x:f>IF(AB548=0,0,T548/AB548)</x:f>
        <x:v>12.555553855610956</x:v>
      </x:c>
      <x:c r="AE548" s="10" t="n">
        <x:f>AA548*'Assumptions'!$D$21</x:f>
        <x:v>0</x:v>
      </x:c>
    </x:row>
    <x:row r="549" ht="16" customHeight="1">
      <x:c r="A549" s="1"/>
      <x:c r="B549" s="1"/>
      <x:c r="C549" s="1" t="str">
        <x:v>DOT-030</x:v>
      </x:c>
      <x:c r="D549" s="10" t="str">
        <x:v>BPA professional services</x:v>
      </x:c>
      <x:c r="E549" s="10" t="n">
        <x:v>5</x:v>
      </x:c>
      <x:c r="F549" s="21" t="n">
        <x:f>F421*(1+'Assumptions'!$L$59)</x:f>
        <x:v>5.8564000000000025</x:v>
      </x:c>
      <x:c r="G549" s="21" t="n">
        <x:f>H421*'Assumptions'!$K$59</x:f>
        <x:v>4.672000000000001</x:v>
      </x:c>
      <x:c r="H549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549+G549,NA())</x:f>
        <x:v>10.528400000000003</x:v>
      </x:c>
      <x:c r="I549" s="22" t="n">
        <x:f>'Assumptions'!$H$59*IF('Assumptions'!$O$59=1,1,'Assumptions'!$D$10)*(1+'Assumptions'!$N$59)^(5-1)</x:f>
        <x:v>541.21608</x:v>
      </x:c>
      <x:c r="J549" s="10" t="n">
        <x:f>H549*I549</x:f>
        <x:v>5698.139376672002</x:v>
      </x:c>
      <x:c r="K549" s="10" t="n">
        <x:f>J549*'Assumptions'!$T$59</x:f>
        <x:v>5698.139376672002</x:v>
      </x:c>
      <x:c r="L549" s="10" t="n">
        <x:f>K549*'Assumptions'!$U$59</x:f>
        <x:v>170.94418130016007</x:v>
      </x:c>
      <x:c r="M549" s="10" t="n">
        <x:f>K549*'Assumptions'!$V$59</x:f>
        <x:v>0</x:v>
      </x:c>
      <x:c r="N549" s="10" t="n">
        <x:f>K549-L549-M549</x:f>
        <x:v>5527.195195371842</x:v>
      </x:c>
      <x:c r="O549" s="10" t="n">
        <x:f>H549*'Assumptions'!$P$59*'Assumptions'!$Q$59*'Assumptions'!$D$11*(1+'Assumptions'!$D$13)^(5-1)</x:f>
        <x:v>2132.965251936721</x:v>
      </x:c>
      <x:c r="P549" s="10" t="n">
        <x:f>H549*'Assumptions'!$R$59*'Assumptions'!$D$11*(1+'Assumptions'!$D$13)^(5-1)</x:f>
        <x:v>118.49806955204005</x:v>
      </x:c>
      <x:c r="Q549" s="10" t="n">
        <x:f>J549*'Assumptions'!$S$59</x:f>
        <x:v>0</x:v>
      </x:c>
      <x:c r="R549" s="10" t="n">
        <x:f>H549*'Assumptions'!$Y$59*'Assumptions'!$Z$59*'Assumptions'!$D$11*(1+'Assumptions'!$D$13)^(5-1)</x:f>
        <x:v>88.87355216403003</x:v>
      </x:c>
      <x:c r="S549" s="10" t="n">
        <x:f>IF(I549=0,0,J549*'Assumptions'!$W$59+H549*'Assumptions'!$X$59)</x:f>
        <x:v>168.40456192348807</x:v>
      </x:c>
      <x:c r="T549" s="10" t="n">
        <x:f>N549*'Assumptions'!$AA$59</x:f>
        <x:v>221.08780781487368</x:v>
      </x:c>
      <x:c r="U549" s="10" t="n">
        <x:f>'Assumptions'!$AE$59*'Assumptions'!$D$11*(1+'Assumptions'!$D$13)^(5-1)</x:f>
        <x:v>0</x:v>
      </x:c>
      <x:c r="V549" s="10" t="n">
        <x:f>0</x:f>
        <x:v>0</x:v>
      </x:c>
      <x:c r="W549" s="10" t="n">
        <x:f>H549*('Assumptions'!$P$59+'Assumptions'!$Y$59)</x:f>
        <x:v>34.21730000000001</x:v>
      </x:c>
      <x:c r="X549" s="10" t="n">
        <x:f>N549/12*'Assumptions'!$AF$59</x:f>
        <x:v>460.59959961432014</x:v>
      </x:c>
      <x:c r="Y549" s="10" t="n">
        <x:f>P549/12</x:f>
        <x:v>9.87483912933667</x:v>
      </x:c>
      <x:c r="Z549" s="10" t="n">
        <x:f>0</x:f>
        <x:v>0</x:v>
      </x:c>
      <x:c r="AA549" s="10" t="n">
        <x:f>Z549*'Assumptions'!$AC$59*'Assumptions'!$D$11*(1+'Assumptions'!$D$13)^(5-1)</x:f>
        <x:v>0</x:v>
      </x:c>
      <x:c r="AB549" s="10" t="n">
        <x:f>F549/1</x:f>
        <x:v>5.8564000000000025</x:v>
      </x:c>
      <x:c r="AC549" s="10" t="n">
        <x:f>AB549/'Assumptions'!$AM$59</x:f>
        <x:v>29.28200000000001</x:v>
      </x:c>
      <x:c r="AD549" s="10" t="n">
        <x:f>IF(AB549=0,0,T549/AB549)</x:f>
        <x:v>37.75148688868137</x:v>
      </x:c>
      <x:c r="AE549" s="10" t="n">
        <x:f>AA549*'Assumptions'!$D$21</x:f>
        <x:v>0</x:v>
      </x:c>
    </x:row>
    <x:row r="550" ht="16" customHeight="1">
      <x:c r="A550" s="1"/>
      <x:c r="B550" s="1"/>
      <x:c r="C550" s="1" t="str">
        <x:v>DOT-031</x:v>
      </x:c>
      <x:c r="D550" s="10" t="str">
        <x:v>BPA professional services</x:v>
      </x:c>
      <x:c r="E550" s="10" t="n">
        <x:v>5</x:v>
      </x:c>
      <x:c r="F550" s="21" t="n">
        <x:f>F422*(1+'Assumptions'!$L$60)</x:f>
        <x:v>2.9282000000000012</x:v>
      </x:c>
      <x:c r="G550" s="21" t="n">
        <x:f>H422*'Assumptions'!$K$60</x:f>
        <x:v>2.3985000000000003</x:v>
      </x:c>
      <x:c r="H550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550+G550,NA())</x:f>
        <x:v>5.3267000000000015</x:v>
      </x:c>
      <x:c r="I550" s="22" t="n">
        <x:f>'Assumptions'!$H$60*IF('Assumptions'!$O$60=1,1,'Assumptions'!$D$10)*(1+'Assumptions'!$N$60)^(5-1)</x:f>
        <x:v>5412.1608</x:v>
      </x:c>
      <x:c r="J550" s="10" t="n">
        <x:f>H550*I550</x:f>
        <x:v>28828.956933360005</x:v>
      </x:c>
      <x:c r="K550" s="10" t="n">
        <x:f>J550*'Assumptions'!$T$60</x:f>
        <x:v>28828.956933360005</x:v>
      </x:c>
      <x:c r="L550" s="10" t="n">
        <x:f>K550*'Assumptions'!$U$60</x:f>
        <x:v>864.8687080008001</x:v>
      </x:c>
      <x:c r="M550" s="10" t="n">
        <x:f>K550*'Assumptions'!$V$60</x:f>
        <x:v>0</x:v>
      </x:c>
      <x:c r="N550" s="10" t="n">
        <x:f>K550-L550-M550</x:f>
        <x:v>27964.088225359206</x:v>
      </x:c>
      <x:c r="O550" s="10" t="n">
        <x:f>H550*'Assumptions'!$P$60*'Assumptions'!$Q$60*'Assumptions'!$D$11*(1+'Assumptions'!$D$13)^(5-1)</x:f>
        <x:v>14388.594667744806</x:v>
      </x:c>
      <x:c r="P550" s="10" t="n">
        <x:f>H550*'Assumptions'!$R$60*'Assumptions'!$D$11*(1+'Assumptions'!$D$13)^(5-1)</x:f>
        <x:v>59.95247778227003</x:v>
      </x:c>
      <x:c r="Q550" s="10" t="n">
        <x:f>J550*'Assumptions'!$S$60</x:f>
        <x:v>0</x:v>
      </x:c>
      <x:c r="R550" s="10" t="n">
        <x:f>H550*'Assumptions'!$Y$60*'Assumptions'!$Z$60*'Assumptions'!$D$11*(1+'Assumptions'!$D$13)^(5-1)</x:f>
        <x:v>44.96435833670252</x:v>
      </x:c>
      <x:c r="S550" s="10" t="n">
        <x:f>IF(I550=0,0,J550*'Assumptions'!$W$60+H550*'Assumptions'!$X$60)</x:f>
        <x:v>837.6377610674402</x:v>
      </x:c>
      <x:c r="T550" s="10" t="n">
        <x:f>N550*'Assumptions'!$AA$60</x:f>
        <x:v>1118.5635290143682</x:v>
      </x:c>
      <x:c r="U550" s="10" t="n">
        <x:f>'Assumptions'!$AE$60*'Assumptions'!$D$11*(1+'Assumptions'!$D$13)^(5-1)</x:f>
        <x:v>0</x:v>
      </x:c>
      <x:c r="V550" s="10" t="n">
        <x:f>0</x:f>
        <x:v>0</x:v>
      </x:c>
      <x:c r="W550" s="10" t="n">
        <x:f>H550*('Assumptions'!$P$60+'Assumptions'!$Y$60)</x:f>
        <x:v>214.39967500000006</x:v>
      </x:c>
      <x:c r="X550" s="10" t="n">
        <x:f>N550/12*'Assumptions'!$AF$60</x:f>
        <x:v>2330.3406854466007</x:v>
      </x:c>
      <x:c r="Y550" s="10" t="n">
        <x:f>P550/12</x:f>
        <x:v>4.996039815189169</x:v>
      </x:c>
      <x:c r="Z550" s="10" t="n">
        <x:f>0</x:f>
        <x:v>0</x:v>
      </x:c>
      <x:c r="AA550" s="10" t="n">
        <x:f>Z550*'Assumptions'!$AC$60*'Assumptions'!$D$11*(1+'Assumptions'!$D$13)^(5-1)</x:f>
        <x:v>0</x:v>
      </x:c>
      <x:c r="AB550" s="10" t="n">
        <x:f>F550/1</x:f>
        <x:v>2.9282000000000012</x:v>
      </x:c>
      <x:c r="AC550" s="10" t="n">
        <x:f>AB550/'Assumptions'!$AM$60</x:f>
        <x:v>14.641000000000005</x:v>
      </x:c>
      <x:c r="AD550" s="10" t="n">
        <x:f>IF(AB550=0,0,T550/AB550)</x:f>
        <x:v>381.99697049872543</x:v>
      </x:c>
      <x:c r="AE550" s="10" t="n">
        <x:f>AA550*'Assumptions'!$D$21</x:f>
        <x:v>0</x:v>
      </x:c>
    </x:row>
    <x:row r="551" ht="16" customHeight="1">
      <x:c r="A551" s="1"/>
      <x:c r="B551" s="1"/>
      <x:c r="C551" s="1" t="str">
        <x:v>DOT-032</x:v>
      </x:c>
      <x:c r="D551" s="10" t="str">
        <x:v>BPA professional services</x:v>
      </x:c>
      <x:c r="E551" s="10" t="n">
        <x:v>5</x:v>
      </x:c>
      <x:c r="F551" s="21" t="n">
        <x:f>F423*(1+'Assumptions'!$L$61)</x:f>
        <x:v>1.4641000000000006</x:v>
      </x:c>
      <x:c r="G551" s="21" t="n">
        <x:f>H423*'Assumptions'!$K$61</x:f>
        <x:v>1.1992500000000001</x:v>
      </x:c>
      <x:c r="H551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551+G551,NA())</x:f>
        <x:v>2.6633500000000008</x:v>
      </x:c>
      <x:c r="I551" s="22" t="n">
        <x:f>'Assumptions'!$H$61*IF('Assumptions'!$O$61=1,1,'Assumptions'!$D$10)*(1+'Assumptions'!$N$61)^(5-1)</x:f>
        <x:v>8118.2411999999995</x:v>
      </x:c>
      <x:c r="J551" s="10" t="n">
        <x:f>H551*I551</x:f>
        <x:v>21621.717700020006</x:v>
      </x:c>
      <x:c r="K551" s="10" t="n">
        <x:f>J551*'Assumptions'!$T$61</x:f>
        <x:v>21621.717700020006</x:v>
      </x:c>
      <x:c r="L551" s="10" t="n">
        <x:f>K551*'Assumptions'!$U$61</x:f>
        <x:v>648.6515310006001</x:v>
      </x:c>
      <x:c r="M551" s="10" t="n">
        <x:f>K551*'Assumptions'!$V$61</x:f>
        <x:v>0</x:v>
      </x:c>
      <x:c r="N551" s="10" t="n">
        <x:f>K551-L551-M551</x:f>
        <x:v>20973.066169019407</x:v>
      </x:c>
      <x:c r="O551" s="10" t="n">
        <x:f>H551*'Assumptions'!$P$61*'Assumptions'!$Q$61*'Assumptions'!$D$11*(1+'Assumptions'!$D$13)^(5-1)</x:f>
        <x:v>10791.446000808604</x:v>
      </x:c>
      <x:c r="P551" s="10" t="n">
        <x:f>H551*'Assumptions'!$R$61*'Assumptions'!$D$11*(1+'Assumptions'!$D$13)^(5-1)</x:f>
        <x:v>29.976238891135015</x:v>
      </x:c>
      <x:c r="Q551" s="10" t="n">
        <x:f>J551*'Assumptions'!$S$61</x:f>
        <x:v>0</x:v>
      </x:c>
      <x:c r="R551" s="10" t="n">
        <x:f>H551*'Assumptions'!$Y$61*'Assumptions'!$Z$61*'Assumptions'!$D$11*(1+'Assumptions'!$D$13)^(5-1)</x:f>
        <x:v>22.48217916835126</x:v>
      </x:c>
      <x:c r="S551" s="10" t="n">
        <x:f>IF(I551=0,0,J551*'Assumptions'!$W$61+H551*'Assumptions'!$X$61)</x:f>
        <x:v>627.8288183005802</x:v>
      </x:c>
      <x:c r="T551" s="10" t="n">
        <x:f>N551*'Assumptions'!$AA$61</x:f>
        <x:v>838.9226467607763</x:v>
      </x:c>
      <x:c r="U551" s="10" t="n">
        <x:f>'Assumptions'!$AE$61*'Assumptions'!$D$11*(1+'Assumptions'!$D$13)^(5-1)</x:f>
        <x:v>0</x:v>
      </x:c>
      <x:c r="V551" s="10" t="n">
        <x:f>0</x:f>
        <x:v>0</x:v>
      </x:c>
      <x:c r="W551" s="10" t="n">
        <x:f>H551*('Assumptions'!$P$61+'Assumptions'!$Y$61)</x:f>
        <x:v>160.46683750000005</x:v>
      </x:c>
      <x:c r="X551" s="10" t="n">
        <x:f>N551/12*'Assumptions'!$AF$61</x:f>
        <x:v>1747.7555140849506</x:v>
      </x:c>
      <x:c r="Y551" s="10" t="n">
        <x:f>P551/12</x:f>
        <x:v>2.4980199075945846</x:v>
      </x:c>
      <x:c r="Z551" s="10" t="n">
        <x:f>0</x:f>
        <x:v>0</x:v>
      </x:c>
      <x:c r="AA551" s="10" t="n">
        <x:f>Z551*'Assumptions'!$AC$61*'Assumptions'!$D$11*(1+'Assumptions'!$D$13)^(5-1)</x:f>
        <x:v>0</x:v>
      </x:c>
      <x:c r="AB551" s="10" t="n">
        <x:f>F551/1</x:f>
        <x:v>1.4641000000000006</x:v>
      </x:c>
      <x:c r="AC551" s="10" t="n">
        <x:f>AB551/'Assumptions'!$AM$61</x:f>
        <x:v>7.320500000000003</x:v>
      </x:c>
      <x:c r="AD551" s="10" t="n">
        <x:f>IF(AB551=0,0,T551/AB551)</x:f>
        <x:v>572.9954557480881</x:v>
      </x:c>
      <x:c r="AE551" s="10" t="n">
        <x:f>AA551*'Assumptions'!$D$21</x:f>
        <x:v>0</x:v>
      </x:c>
    </x:row>
    <x:row r="552" ht="16" customHeight="1">
      <x:c r="A552" s="1"/>
      <x:c r="B552" s="1"/>
      <x:c r="C552" s="1" t="str">
        <x:v>DOT-033</x:v>
      </x:c>
      <x:c r="D552" s="10" t="str">
        <x:v>CornerFlow</x:v>
      </x:c>
      <x:c r="E552" s="10" t="n">
        <x:v>5</x:v>
      </x:c>
      <x:c r="F552" s="21" t="n">
        <x:f>F424*(1+'Assumptions'!$L$62)</x:f>
        <x:v>74.6496</x:v>
      </x:c>
      <x:c r="G552" s="21" t="n">
        <x:f>H424*'Assumptions'!$K$62</x:f>
        <x:v>98.17080000000001</x:v>
      </x:c>
      <x:c r="H552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552+G552,NA())</x:f>
        <x:v>172.8204</x:v>
      </x:c>
      <x:c r="I552" s="22" t="n">
        <x:f>'Assumptions'!$H$62*IF('Assumptions'!$O$62=1,1,'Assumptions'!$D$10)*(1+'Assumptions'!$N$62)^(5-1)</x:f>
        <x:v>53.03917584</x:v>
      </x:c>
      <x:c r="J552" s="10" t="n">
        <x:f>H552*I552</x:f>
        <x:v>9166.251584339136</x:v>
      </x:c>
      <x:c r="K552" s="10" t="n">
        <x:f>J552*'Assumptions'!$T$62</x:f>
        <x:v>9166.251584339136</x:v>
      </x:c>
      <x:c r="L552" s="10" t="n">
        <x:f>K552*'Assumptions'!$U$62</x:f>
        <x:v>274.9875475301741</x:v>
      </x:c>
      <x:c r="M552" s="10" t="n">
        <x:f>K552*'Assumptions'!$V$62</x:f>
        <x:v>0</x:v>
      </x:c>
      <x:c r="N552" s="10" t="n">
        <x:f>K552-L552-M552</x:f>
        <x:v>8891.264036808961</x:v>
      </x:c>
      <x:c r="O552" s="10" t="n">
        <x:f>H552*'Assumptions'!$P$62*'Assumptions'!$Q$62*'Assumptions'!$D$11*(1+'Assumptions'!$D$13)^(5-1)</x:f>
        <x:v>1021.1821344255511</x:v>
      </x:c>
      <x:c r="P552" s="10" t="n">
        <x:f>H552*'Assumptions'!$R$62*'Assumptions'!$D$11*(1+'Assumptions'!$D$13)^(5-1)</x:f>
        <x:v>0</x:v>
      </x:c>
      <x:c r="Q552" s="10" t="n">
        <x:f>J552*'Assumptions'!$S$62</x:f>
        <x:v>0</x:v>
      </x:c>
      <x:c r="R552" s="10" t="n">
        <x:f>H552*'Assumptions'!$Y$62*'Assumptions'!$Z$62*'Assumptions'!$D$11*(1+'Assumptions'!$D$13)^(5-1)</x:f>
        <x:v>875.298972364758</x:v>
      </x:c>
      <x:c r="S552" s="10" t="n">
        <x:f>IF(I552=0,0,J552*'Assumptions'!$W$62+H552*'Assumptions'!$X$62)</x:f>
        <x:v>317.66741594583493</x:v>
      </x:c>
      <x:c r="T552" s="10" t="n">
        <x:f>N552*'Assumptions'!$AA$62</x:f>
        <x:v>444.5632018404481</x:v>
      </x:c>
      <x:c r="U552" s="10" t="n">
        <x:f>'Assumptions'!$AE$62*'Assumptions'!$D$11*(1+'Assumptions'!$D$13)^(5-1)</x:f>
        <x:v>135.06105720000002</x:v>
      </x:c>
      <x:c r="V552" s="10" t="n">
        <x:f>0</x:f>
        <x:v>0</x:v>
      </x:c>
      <x:c r="W552" s="10" t="n">
        <x:f>H552*('Assumptions'!$P$62+'Assumptions'!$Y$62)</x:f>
        <x:v>51.84612</x:v>
      </x:c>
      <x:c r="X552" s="10" t="n">
        <x:f>N552/12*'Assumptions'!$AF$62</x:f>
        <x:v>0</x:v>
      </x:c>
      <x:c r="Y552" s="10" t="n">
        <x:f>P552/12</x:f>
        <x:v>0</x:v>
      </x:c>
      <x:c r="Z552" s="10" t="n">
        <x:f>0</x:f>
        <x:v>0</x:v>
      </x:c>
      <x:c r="AA552" s="10" t="n">
        <x:f>Z552*'Assumptions'!$AC$62*'Assumptions'!$D$11*(1+'Assumptions'!$D$13)^(5-1)</x:f>
        <x:v>0</x:v>
      </x:c>
      <x:c r="AB552" s="10" t="n">
        <x:f>F552/12</x:f>
        <x:v>6.2208000000000006</x:v>
      </x:c>
      <x:c r="AC552" s="10" t="n">
        <x:f>AB552/'Assumptions'!$AM$62</x:f>
        <x:v>124.41600000000001</x:v>
      </x:c>
      <x:c r="AD552" s="10" t="n">
        <x:f>IF(AB552=0,0,T552/AB552)</x:f>
        <x:v>71.46399206540124</x:v>
      </x:c>
      <x:c r="AE552" s="10" t="n">
        <x:f>AA552*'Assumptions'!$D$21</x:f>
        <x:v>0</x:v>
      </x:c>
    </x:row>
    <x:row r="553" ht="16" customHeight="1">
      <x:c r="A553" s="1"/>
      <x:c r="B553" s="1"/>
      <x:c r="C553" s="1" t="str">
        <x:v>DOT-034</x:v>
      </x:c>
      <x:c r="D553" s="10" t="str">
        <x:v>CornerFlow</x:v>
      </x:c>
      <x:c r="E553" s="10" t="n">
        <x:v>5</x:v>
      </x:c>
      <x:c r="F553" s="21" t="n">
        <x:f>F425*(1+'Assumptions'!$L$63)</x:f>
        <x:v>14.641000000000004</x:v>
      </x:c>
      <x:c r="G553" s="21" t="n">
        <x:f>H425*'Assumptions'!$K$63</x:f>
        <x:v>11.680000000000001</x:v>
      </x:c>
      <x:c r="H553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553+G553,NA())</x:f>
        <x:v>26.321000000000005</x:v>
      </x:c>
      <x:c r="I553" s="22" t="n">
        <x:f>'Assumptions'!$H$63*IF('Assumptions'!$O$63=1,1,'Assumptions'!$D$10)*(1+'Assumptions'!$N$63)^(5-1)</x:f>
        <x:v>215.40399983999998</x:v>
      </x:c>
      <x:c r="J553" s="10" t="n">
        <x:f>H553*I553</x:f>
        <x:v>5669.648679788641</x:v>
      </x:c>
      <x:c r="K553" s="10" t="n">
        <x:f>J553*'Assumptions'!$T$63</x:f>
        <x:v>5669.648679788641</x:v>
      </x:c>
      <x:c r="L553" s="10" t="n">
        <x:f>K553*'Assumptions'!$U$63</x:f>
        <x:v>170.0894603936592</x:v>
      </x:c>
      <x:c r="M553" s="10" t="n">
        <x:f>K553*'Assumptions'!$V$63</x:f>
        <x:v>0</x:v>
      </x:c>
      <x:c r="N553" s="10" t="n">
        <x:f>K553-L553-M553</x:f>
        <x:v>5499.5592193949815</x:v>
      </x:c>
      <x:c r="O553" s="10" t="n">
        <x:f>H553*'Assumptions'!$P$63*'Assumptions'!$Q$63*'Assumptions'!$D$11*(1+'Assumptions'!$D$13)^(5-1)</x:f>
        <x:v>2369.9613910408007</x:v>
      </x:c>
      <x:c r="P553" s="10" t="n">
        <x:f>H553*'Assumptions'!$R$63*'Assumptions'!$D$11*(1+'Assumptions'!$D$13)^(5-1)</x:f>
        <x:v>0</x:v>
      </x:c>
      <x:c r="Q553" s="10" t="n">
        <x:f>J553*'Assumptions'!$S$63</x:f>
        <x:v>0</x:v>
      </x:c>
      <x:c r="R553" s="10" t="n">
        <x:f>H553*'Assumptions'!$Y$63*'Assumptions'!$Z$63*'Assumptions'!$D$11*(1+'Assumptions'!$D$13)^(5-1)</x:f>
        <x:v>222.18388041007506</x:v>
      </x:c>
      <x:c r="S553" s="10" t="n">
        <x:f>IF(I553=0,0,J553*'Assumptions'!$W$63+H553*'Assumptions'!$X$63)</x:f>
        <x:v>172.31611171387058</x:v>
      </x:c>
      <x:c r="T553" s="10" t="n">
        <x:f>N553*'Assumptions'!$AA$63</x:f>
        <x:v>219.98236877579927</x:v>
      </x:c>
      <x:c r="U553" s="10" t="n">
        <x:f>'Assumptions'!$AE$63*'Assumptions'!$D$11*(1+'Assumptions'!$D$13)^(5-1)</x:f>
        <x:v>0</x:v>
      </x:c>
      <x:c r="V553" s="10" t="n">
        <x:f>0</x:f>
        <x:v>0</x:v>
      </x:c>
      <x:c r="W553" s="10" t="n">
        <x:f>H553*('Assumptions'!$P$63+'Assumptions'!$Y$63)</x:f>
        <x:v>59.22225000000001</x:v>
      </x:c>
      <x:c r="X553" s="10" t="n">
        <x:f>N553/12*'Assumptions'!$AF$63</x:f>
        <x:v>458.29660161624844</x:v>
      </x:c>
      <x:c r="Y553" s="10" t="n">
        <x:f>P553/12</x:f>
        <x:v>0</x:v>
      </x:c>
      <x:c r="Z553" s="10" t="n">
        <x:f>0</x:f>
        <x:v>0</x:v>
      </x:c>
      <x:c r="AA553" s="10" t="n">
        <x:f>Z553*'Assumptions'!$AC$63*'Assumptions'!$D$11*(1+'Assumptions'!$D$13)^(5-1)</x:f>
        <x:v>0</x:v>
      </x:c>
      <x:c r="AB553" s="10" t="n">
        <x:f>F553/1</x:f>
        <x:v>14.641000000000004</x:v>
      </x:c>
      <x:c r="AC553" s="10" t="n">
        <x:f>AB553/'Assumptions'!$AM$63</x:f>
        <x:v>73.20500000000001</x:v>
      </x:c>
      <x:c r="AD553" s="10" t="n">
        <x:f>IF(AB553=0,0,T553/AB553)</x:f>
        <x:v>15.025091781695187</x:v>
      </x:c>
      <x:c r="AE553" s="10" t="n">
        <x:f>AA553*'Assumptions'!$D$21</x:f>
        <x:v>0</x:v>
      </x:c>
    </x:row>
    <x:row r="554" ht="16" customHeight="1">
      <x:c r="A554" s="1"/>
      <x:c r="B554" s="1"/>
      <x:c r="C554" s="1" t="str">
        <x:v>DOT-035</x:v>
      </x:c>
      <x:c r="D554" s="10" t="str">
        <x:v>Spindle</x:v>
      </x:c>
      <x:c r="E554" s="10" t="n">
        <x:v>5</x:v>
      </x:c>
      <x:c r="F554" s="21" t="n">
        <x:f>F426*(1+'Assumptions'!$L$64)</x:f>
        <x:v>74.6496</x:v>
      </x:c>
      <x:c r="G554" s="21" t="n">
        <x:f>H426*'Assumptions'!$K$64</x:f>
        <x:v>98.17080000000001</x:v>
      </x:c>
      <x:c r="H554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554+G554,NA())</x:f>
        <x:v>172.8204</x:v>
      </x:c>
      <x:c r="I554" s="22" t="n">
        <x:f>'Assumptions'!$H$64*IF('Assumptions'!$O$64=1,1,'Assumptions'!$D$10)*(1+'Assumptions'!$N$64)^(5-1)</x:f>
        <x:v>53.03917584</x:v>
      </x:c>
      <x:c r="J554" s="10" t="n">
        <x:f>H554*I554</x:f>
        <x:v>9166.251584339136</x:v>
      </x:c>
      <x:c r="K554" s="10" t="n">
        <x:f>J554*'Assumptions'!$T$64</x:f>
        <x:v>9166.251584339136</x:v>
      </x:c>
      <x:c r="L554" s="10" t="n">
        <x:f>K554*'Assumptions'!$U$64</x:f>
        <x:v>274.9875475301741</x:v>
      </x:c>
      <x:c r="M554" s="10" t="n">
        <x:f>K554*'Assumptions'!$V$64</x:f>
        <x:v>0</x:v>
      </x:c>
      <x:c r="N554" s="10" t="n">
        <x:f>K554-L554-M554</x:f>
        <x:v>8891.264036808961</x:v>
      </x:c>
      <x:c r="O554" s="10" t="n">
        <x:f>H554*'Assumptions'!$P$64*'Assumptions'!$Q$64*'Assumptions'!$D$11*(1+'Assumptions'!$D$13)^(5-1)</x:f>
        <x:v>1021.1821344255511</x:v>
      </x:c>
      <x:c r="P554" s="10" t="n">
        <x:f>H554*'Assumptions'!$R$64*'Assumptions'!$D$11*(1+'Assumptions'!$D$13)^(5-1)</x:f>
        <x:v>0</x:v>
      </x:c>
      <x:c r="Q554" s="10" t="n">
        <x:f>J554*'Assumptions'!$S$64</x:f>
        <x:v>0</x:v>
      </x:c>
      <x:c r="R554" s="10" t="n">
        <x:f>H554*'Assumptions'!$Y$64*'Assumptions'!$Z$64*'Assumptions'!$D$11*(1+'Assumptions'!$D$13)^(5-1)</x:f>
        <x:v>875.298972364758</x:v>
      </x:c>
      <x:c r="S554" s="10" t="n">
        <x:f>IF(I554=0,0,J554*'Assumptions'!$W$64+H554*'Assumptions'!$X$64)</x:f>
        <x:v>317.66741594583493</x:v>
      </x:c>
      <x:c r="T554" s="10" t="n">
        <x:f>N554*'Assumptions'!$AA$64</x:f>
        <x:v>444.5632018404481</x:v>
      </x:c>
      <x:c r="U554" s="10" t="n">
        <x:f>'Assumptions'!$AE$64*'Assumptions'!$D$11*(1+'Assumptions'!$D$13)^(5-1)</x:f>
        <x:v>135.06105720000002</x:v>
      </x:c>
      <x:c r="V554" s="10" t="n">
        <x:f>0</x:f>
        <x:v>0</x:v>
      </x:c>
      <x:c r="W554" s="10" t="n">
        <x:f>H554*('Assumptions'!$P$64+'Assumptions'!$Y$64)</x:f>
        <x:v>51.84612</x:v>
      </x:c>
      <x:c r="X554" s="10" t="n">
        <x:f>N554/12*'Assumptions'!$AF$64</x:f>
        <x:v>0</x:v>
      </x:c>
      <x:c r="Y554" s="10" t="n">
        <x:f>P554/12</x:f>
        <x:v>0</x:v>
      </x:c>
      <x:c r="Z554" s="10" t="n">
        <x:f>0</x:f>
        <x:v>0</x:v>
      </x:c>
      <x:c r="AA554" s="10" t="n">
        <x:f>Z554*'Assumptions'!$AC$64*'Assumptions'!$D$11*(1+'Assumptions'!$D$13)^(5-1)</x:f>
        <x:v>0</x:v>
      </x:c>
      <x:c r="AB554" s="10" t="n">
        <x:f>F554/12</x:f>
        <x:v>6.2208000000000006</x:v>
      </x:c>
      <x:c r="AC554" s="10" t="n">
        <x:f>AB554/'Assumptions'!$AM$64</x:f>
        <x:v>124.41600000000001</x:v>
      </x:c>
      <x:c r="AD554" s="10" t="n">
        <x:f>IF(AB554=0,0,T554/AB554)</x:f>
        <x:v>71.46399206540124</x:v>
      </x:c>
      <x:c r="AE554" s="10" t="n">
        <x:f>AA554*'Assumptions'!$D$21</x:f>
        <x:v>0</x:v>
      </x:c>
    </x:row>
    <x:row r="555" ht="16" customHeight="1">
      <x:c r="A555" s="1"/>
      <x:c r="B555" s="1"/>
      <x:c r="C555" s="1" t="str">
        <x:v>DOT-036</x:v>
      </x:c>
      <x:c r="D555" s="10" t="str">
        <x:v>Spindle</x:v>
      </x:c>
      <x:c r="E555" s="10" t="n">
        <x:v>5</x:v>
      </x:c>
      <x:c r="F555" s="21" t="n">
        <x:f>F427*(1+'Assumptions'!$L$65)</x:f>
        <x:v>14.641000000000004</x:v>
      </x:c>
      <x:c r="G555" s="21" t="n">
        <x:f>H427*'Assumptions'!$K$65</x:f>
        <x:v>11.680000000000001</x:v>
      </x:c>
      <x:c r="H555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555+G555,NA())</x:f>
        <x:v>26.321000000000005</x:v>
      </x:c>
      <x:c r="I555" s="22" t="n">
        <x:f>'Assumptions'!$H$65*IF('Assumptions'!$O$65=1,1,'Assumptions'!$D$10)*(1+'Assumptions'!$N$65)^(5-1)</x:f>
        <x:v>215.40399983999998</x:v>
      </x:c>
      <x:c r="J555" s="10" t="n">
        <x:f>H555*I555</x:f>
        <x:v>5669.648679788641</x:v>
      </x:c>
      <x:c r="K555" s="10" t="n">
        <x:f>J555*'Assumptions'!$T$65</x:f>
        <x:v>5669.648679788641</x:v>
      </x:c>
      <x:c r="L555" s="10" t="n">
        <x:f>K555*'Assumptions'!$U$65</x:f>
        <x:v>170.0894603936592</x:v>
      </x:c>
      <x:c r="M555" s="10" t="n">
        <x:f>K555*'Assumptions'!$V$65</x:f>
        <x:v>0</x:v>
      </x:c>
      <x:c r="N555" s="10" t="n">
        <x:f>K555-L555-M555</x:f>
        <x:v>5499.5592193949815</x:v>
      </x:c>
      <x:c r="O555" s="10" t="n">
        <x:f>H555*'Assumptions'!$P$65*'Assumptions'!$Q$65*'Assumptions'!$D$11*(1+'Assumptions'!$D$13)^(5-1)</x:f>
        <x:v>2369.9613910408007</x:v>
      </x:c>
      <x:c r="P555" s="10" t="n">
        <x:f>H555*'Assumptions'!$R$65*'Assumptions'!$D$11*(1+'Assumptions'!$D$13)^(5-1)</x:f>
        <x:v>0</x:v>
      </x:c>
      <x:c r="Q555" s="10" t="n">
        <x:f>J555*'Assumptions'!$S$65</x:f>
        <x:v>0</x:v>
      </x:c>
      <x:c r="R555" s="10" t="n">
        <x:f>H555*'Assumptions'!$Y$65*'Assumptions'!$Z$65*'Assumptions'!$D$11*(1+'Assumptions'!$D$13)^(5-1)</x:f>
        <x:v>222.18388041007506</x:v>
      </x:c>
      <x:c r="S555" s="10" t="n">
        <x:f>IF(I555=0,0,J555*'Assumptions'!$W$65+H555*'Assumptions'!$X$65)</x:f>
        <x:v>172.31611171387058</x:v>
      </x:c>
      <x:c r="T555" s="10" t="n">
        <x:f>N555*'Assumptions'!$AA$65</x:f>
        <x:v>219.98236877579927</x:v>
      </x:c>
      <x:c r="U555" s="10" t="n">
        <x:f>'Assumptions'!$AE$65*'Assumptions'!$D$11*(1+'Assumptions'!$D$13)^(5-1)</x:f>
        <x:v>0</x:v>
      </x:c>
      <x:c r="V555" s="10" t="n">
        <x:f>0</x:f>
        <x:v>0</x:v>
      </x:c>
      <x:c r="W555" s="10" t="n">
        <x:f>H555*('Assumptions'!$P$65+'Assumptions'!$Y$65)</x:f>
        <x:v>59.22225000000001</x:v>
      </x:c>
      <x:c r="X555" s="10" t="n">
        <x:f>N555/12*'Assumptions'!$AF$65</x:f>
        <x:v>458.29660161624844</x:v>
      </x:c>
      <x:c r="Y555" s="10" t="n">
        <x:f>P555/12</x:f>
        <x:v>0</x:v>
      </x:c>
      <x:c r="Z555" s="10" t="n">
        <x:f>0</x:f>
        <x:v>0</x:v>
      </x:c>
      <x:c r="AA555" s="10" t="n">
        <x:f>Z555*'Assumptions'!$AC$65*'Assumptions'!$D$11*(1+'Assumptions'!$D$13)^(5-1)</x:f>
        <x:v>0</x:v>
      </x:c>
      <x:c r="AB555" s="10" t="n">
        <x:f>F555/1</x:f>
        <x:v>14.641000000000004</x:v>
      </x:c>
      <x:c r="AC555" s="10" t="n">
        <x:f>AB555/'Assumptions'!$AM$65</x:f>
        <x:v>73.20500000000001</x:v>
      </x:c>
      <x:c r="AD555" s="10" t="n">
        <x:f>IF(AB555=0,0,T555/AB555)</x:f>
        <x:v>15.025091781695187</x:v>
      </x:c>
      <x:c r="AE555" s="10" t="n">
        <x:f>AA555*'Assumptions'!$D$21</x:f>
        <x:v>0</x:v>
      </x:c>
    </x:row>
    <x:row r="556" ht="16" customHeight="1">
      <x:c r="A556" s="1"/>
      <x:c r="B556" s="1"/>
      <x:c r="C556" s="1" t="str">
        <x:v>DOT-037</x:v>
      </x:c>
      <x:c r="D556" s="10" t="str">
        <x:v>Maison Contour</x:v>
      </x:c>
      <x:c r="E556" s="10" t="n">
        <x:v>5</x:v>
      </x:c>
      <x:c r="F556" s="21" t="n">
        <x:f>F428*(1+'Assumptions'!$L$66)</x:f>
        <x:v>74.6496</x:v>
      </x:c>
      <x:c r="G556" s="21" t="n">
        <x:f>H428*'Assumptions'!$K$66</x:f>
        <x:v>98.17080000000001</x:v>
      </x:c>
      <x:c r="H556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556+G556,NA())</x:f>
        <x:v>172.8204</x:v>
      </x:c>
      <x:c r="I556" s="22" t="n">
        <x:f>'Assumptions'!$H$66*IF('Assumptions'!$O$66=1,1,'Assumptions'!$D$10)*(1+'Assumptions'!$N$66)^(5-1)</x:f>
        <x:v>85.51214064</x:v>
      </x:c>
      <x:c r="J556" s="10" t="n">
        <x:f>H556*I556</x:f>
        <x:v>14778.242350261056</x:v>
      </x:c>
      <x:c r="K556" s="10" t="n">
        <x:f>J556*'Assumptions'!$T$66</x:f>
        <x:v>14778.242350261056</x:v>
      </x:c>
      <x:c r="L556" s="10" t="n">
        <x:f>K556*'Assumptions'!$U$66</x:f>
        <x:v>443.3472705078317</x:v>
      </x:c>
      <x:c r="M556" s="10" t="n">
        <x:f>K556*'Assumptions'!$V$66</x:f>
        <x:v>0</x:v>
      </x:c>
      <x:c r="N556" s="10" t="n">
        <x:f>K556-L556-M556</x:f>
        <x:v>14334.895079753225</x:v>
      </x:c>
      <x:c r="O556" s="10" t="n">
        <x:f>H556*'Assumptions'!$P$66*'Assumptions'!$Q$66*'Assumptions'!$D$11*(1+'Assumptions'!$D$13)^(5-1)</x:f>
        <x:v>1021.1821344255511</x:v>
      </x:c>
      <x:c r="P556" s="10" t="n">
        <x:f>H556*'Assumptions'!$R$66*'Assumptions'!$D$11*(1+'Assumptions'!$D$13)^(5-1)</x:f>
        <x:v>0</x:v>
      </x:c>
      <x:c r="Q556" s="10" t="n">
        <x:f>J556*'Assumptions'!$S$66</x:f>
        <x:v>0</x:v>
      </x:c>
      <x:c r="R556" s="10" t="n">
        <x:f>H556*'Assumptions'!$Y$66*'Assumptions'!$Z$66*'Assumptions'!$D$11*(1+'Assumptions'!$D$13)^(5-1)</x:f>
        <x:v>875.298972364758</x:v>
      </x:c>
      <x:c r="S556" s="10" t="n">
        <x:f>IF(I556=0,0,J556*'Assumptions'!$W$66+H556*'Assumptions'!$X$66)</x:f>
        <x:v>480.4151481575706</x:v>
      </x:c>
      <x:c r="T556" s="10" t="n">
        <x:f>N556*'Assumptions'!$AA$66</x:f>
        <x:v>716.7447539876613</x:v>
      </x:c>
      <x:c r="U556" s="10" t="n">
        <x:f>'Assumptions'!$AE$66*'Assumptions'!$D$11*(1+'Assumptions'!$D$13)^(5-1)</x:f>
        <x:v>135.06105720000002</x:v>
      </x:c>
      <x:c r="V556" s="10" t="n">
        <x:f>0</x:f>
        <x:v>0</x:v>
      </x:c>
      <x:c r="W556" s="10" t="n">
        <x:f>H556*('Assumptions'!$P$66+'Assumptions'!$Y$66)</x:f>
        <x:v>51.84612</x:v>
      </x:c>
      <x:c r="X556" s="10" t="n">
        <x:f>N556/12*'Assumptions'!$AF$66</x:f>
        <x:v>0</x:v>
      </x:c>
      <x:c r="Y556" s="10" t="n">
        <x:f>P556/12</x:f>
        <x:v>0</x:v>
      </x:c>
      <x:c r="Z556" s="10" t="n">
        <x:f>0</x:f>
        <x:v>0</x:v>
      </x:c>
      <x:c r="AA556" s="10" t="n">
        <x:f>Z556*'Assumptions'!$AC$66*'Assumptions'!$D$11*(1+'Assumptions'!$D$13)^(5-1)</x:f>
        <x:v>0</x:v>
      </x:c>
      <x:c r="AB556" s="10" t="n">
        <x:f>F556/12</x:f>
        <x:v>6.2208000000000006</x:v>
      </x:c>
      <x:c r="AC556" s="10" t="n">
        <x:f>AB556/'Assumptions'!$AM$66</x:f>
        <x:v>124.41600000000001</x:v>
      </x:c>
      <x:c r="AD556" s="10" t="n">
        <x:f>IF(AB556=0,0,T556/AB556)</x:f>
        <x:v>115.21745659523874</x:v>
      </x:c>
      <x:c r="AE556" s="10" t="n">
        <x:f>AA556*'Assumptions'!$D$21</x:f>
        <x:v>0</x:v>
      </x:c>
    </x:row>
    <x:row r="557" ht="16" customHeight="1">
      <x:c r="A557" s="1"/>
      <x:c r="B557" s="1"/>
      <x:c r="C557" s="1" t="str">
        <x:v>DOT-038</x:v>
      </x:c>
      <x:c r="D557" s="10" t="str">
        <x:v>Maison Contour</x:v>
      </x:c>
      <x:c r="E557" s="10" t="n">
        <x:v>5</x:v>
      </x:c>
      <x:c r="F557" s="21" t="n">
        <x:f>F429*(1+'Assumptions'!$L$67)</x:f>
        <x:v>14.641000000000004</x:v>
      </x:c>
      <x:c r="G557" s="21" t="n">
        <x:f>H429*'Assumptions'!$K$67</x:f>
        <x:v>11.680000000000001</x:v>
      </x:c>
      <x:c r="H557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557+G557,NA())</x:f>
        <x:v>26.321000000000005</x:v>
      </x:c>
      <x:c r="I557" s="22" t="n">
        <x:f>'Assumptions'!$H$67*IF('Assumptions'!$O$67=1,1,'Assumptions'!$D$10)*(1+'Assumptions'!$N$67)^(5-1)</x:f>
        <x:v>215.40399983999998</x:v>
      </x:c>
      <x:c r="J557" s="10" t="n">
        <x:f>H557*I557</x:f>
        <x:v>5669.648679788641</x:v>
      </x:c>
      <x:c r="K557" s="10" t="n">
        <x:f>J557*'Assumptions'!$T$67</x:f>
        <x:v>5669.648679788641</x:v>
      </x:c>
      <x:c r="L557" s="10" t="n">
        <x:f>K557*'Assumptions'!$U$67</x:f>
        <x:v>170.0894603936592</x:v>
      </x:c>
      <x:c r="M557" s="10" t="n">
        <x:f>K557*'Assumptions'!$V$67</x:f>
        <x:v>0</x:v>
      </x:c>
      <x:c r="N557" s="10" t="n">
        <x:f>K557-L557-M557</x:f>
        <x:v>5499.5592193949815</x:v>
      </x:c>
      <x:c r="O557" s="10" t="n">
        <x:f>H557*'Assumptions'!$P$67*'Assumptions'!$Q$67*'Assumptions'!$D$11*(1+'Assumptions'!$D$13)^(5-1)</x:f>
        <x:v>2369.9613910408007</x:v>
      </x:c>
      <x:c r="P557" s="10" t="n">
        <x:f>H557*'Assumptions'!$R$67*'Assumptions'!$D$11*(1+'Assumptions'!$D$13)^(5-1)</x:f>
        <x:v>0</x:v>
      </x:c>
      <x:c r="Q557" s="10" t="n">
        <x:f>J557*'Assumptions'!$S$67</x:f>
        <x:v>0</x:v>
      </x:c>
      <x:c r="R557" s="10" t="n">
        <x:f>H557*'Assumptions'!$Y$67*'Assumptions'!$Z$67*'Assumptions'!$D$11*(1+'Assumptions'!$D$13)^(5-1)</x:f>
        <x:v>222.18388041007506</x:v>
      </x:c>
      <x:c r="S557" s="10" t="n">
        <x:f>IF(I557=0,0,J557*'Assumptions'!$W$67+H557*'Assumptions'!$X$67)</x:f>
        <x:v>172.31611171387058</x:v>
      </x:c>
      <x:c r="T557" s="10" t="n">
        <x:f>N557*'Assumptions'!$AA$67</x:f>
        <x:v>219.98236877579927</x:v>
      </x:c>
      <x:c r="U557" s="10" t="n">
        <x:f>'Assumptions'!$AE$67*'Assumptions'!$D$11*(1+'Assumptions'!$D$13)^(5-1)</x:f>
        <x:v>0</x:v>
      </x:c>
      <x:c r="V557" s="10" t="n">
        <x:f>0</x:f>
        <x:v>0</x:v>
      </x:c>
      <x:c r="W557" s="10" t="n">
        <x:f>H557*('Assumptions'!$P$67+'Assumptions'!$Y$67)</x:f>
        <x:v>59.22225000000001</x:v>
      </x:c>
      <x:c r="X557" s="10" t="n">
        <x:f>N557/12*'Assumptions'!$AF$67</x:f>
        <x:v>458.29660161624844</x:v>
      </x:c>
      <x:c r="Y557" s="10" t="n">
        <x:f>P557/12</x:f>
        <x:v>0</x:v>
      </x:c>
      <x:c r="Z557" s="10" t="n">
        <x:f>0</x:f>
        <x:v>0</x:v>
      </x:c>
      <x:c r="AA557" s="10" t="n">
        <x:f>Z557*'Assumptions'!$AC$67*'Assumptions'!$D$11*(1+'Assumptions'!$D$13)^(5-1)</x:f>
        <x:v>0</x:v>
      </x:c>
      <x:c r="AB557" s="10" t="n">
        <x:f>F557/1</x:f>
        <x:v>14.641000000000004</x:v>
      </x:c>
      <x:c r="AC557" s="10" t="n">
        <x:f>AB557/'Assumptions'!$AM$67</x:f>
        <x:v>73.20500000000001</x:v>
      </x:c>
      <x:c r="AD557" s="10" t="n">
        <x:f>IF(AB557=0,0,T557/AB557)</x:f>
        <x:v>15.025091781695187</x:v>
      </x:c>
      <x:c r="AE557" s="10" t="n">
        <x:f>AA557*'Assumptions'!$D$21</x:f>
        <x:v>0</x:v>
      </x:c>
    </x:row>
    <x:row r="558" ht="16" customHeight="1">
      <x:c r="A558" s="1"/>
      <x:c r="B558" s="1"/>
      <x:c r="C558" s="1" t="str">
        <x:v>DOT-039</x:v>
      </x:c>
      <x:c r="D558" s="10" t="str">
        <x:v>DishLoom US</x:v>
      </x:c>
      <x:c r="E558" s="10" t="n">
        <x:v>5</x:v>
      </x:c>
      <x:c r="F558" s="21" t="n">
        <x:f>F430*(1+'Assumptions'!$L$68)</x:f>
        <x:v>74.6496</x:v>
      </x:c>
      <x:c r="G558" s="21" t="n">
        <x:f>H430*'Assumptions'!$K$68</x:f>
        <x:v>98.17080000000001</x:v>
      </x:c>
      <x:c r="H558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558+G558,NA())</x:f>
        <x:v>172.8204</x:v>
      </x:c>
      <x:c r="I558" s="22" t="n">
        <x:f>'Assumptions'!$H$68*IF('Assumptions'!$O$68=1,1,'Assumptions'!$D$10)*(1+'Assumptions'!$N$68)^(5-1)</x:f>
        <x:v>42.21485424</x:v>
      </x:c>
      <x:c r="J558" s="10" t="n">
        <x:f>H558*I558</x:f>
        <x:v>7295.587995698496</x:v>
      </x:c>
      <x:c r="K558" s="10" t="n">
        <x:f>J558*'Assumptions'!$T$68</x:f>
        <x:v>7295.587995698496</x:v>
      </x:c>
      <x:c r="L558" s="10" t="n">
        <x:f>K558*'Assumptions'!$U$68</x:f>
        <x:v>218.8676398709549</x:v>
      </x:c>
      <x:c r="M558" s="10" t="n">
        <x:f>K558*'Assumptions'!$V$68</x:f>
        <x:v>0</x:v>
      </x:c>
      <x:c r="N558" s="10" t="n">
        <x:f>K558-L558-M558</x:f>
        <x:v>7076.720355827541</x:v>
      </x:c>
      <x:c r="O558" s="10" t="n">
        <x:f>H558*'Assumptions'!$P$68*'Assumptions'!$Q$68*'Assumptions'!$D$11*(1+'Assumptions'!$D$13)^(5-1)</x:f>
        <x:v>1021.1821344255511</x:v>
      </x:c>
      <x:c r="P558" s="10" t="n">
        <x:f>H558*'Assumptions'!$R$68*'Assumptions'!$D$11*(1+'Assumptions'!$D$13)^(5-1)</x:f>
        <x:v>0</x:v>
      </x:c>
      <x:c r="Q558" s="10" t="n">
        <x:f>J558*'Assumptions'!$S$68</x:f>
        <x:v>0</x:v>
      </x:c>
      <x:c r="R558" s="10" t="n">
        <x:f>H558*'Assumptions'!$Y$68*'Assumptions'!$Z$68*'Assumptions'!$D$11*(1+'Assumptions'!$D$13)^(5-1)</x:f>
        <x:v>875.298972364758</x:v>
      </x:c>
      <x:c r="S558" s="10" t="n">
        <x:f>IF(I558=0,0,J558*'Assumptions'!$W$68+H558*'Assumptions'!$X$68)</x:f>
        <x:v>263.4181718752564</x:v>
      </x:c>
      <x:c r="T558" s="10" t="n">
        <x:f>N558*'Assumptions'!$AA$68</x:f>
        <x:v>353.8360177913771</x:v>
      </x:c>
      <x:c r="U558" s="10" t="n">
        <x:f>'Assumptions'!$AE$68*'Assumptions'!$D$11*(1+'Assumptions'!$D$13)^(5-1)</x:f>
        <x:v>135.06105720000002</x:v>
      </x:c>
      <x:c r="V558" s="10" t="n">
        <x:f>0</x:f>
        <x:v>0</x:v>
      </x:c>
      <x:c r="W558" s="10" t="n">
        <x:f>H558*('Assumptions'!$P$68+'Assumptions'!$Y$68)</x:f>
        <x:v>51.84612</x:v>
      </x:c>
      <x:c r="X558" s="10" t="n">
        <x:f>N558/12*'Assumptions'!$AF$68</x:f>
        <x:v>0</x:v>
      </x:c>
      <x:c r="Y558" s="10" t="n">
        <x:f>P558/12</x:f>
        <x:v>0</x:v>
      </x:c>
      <x:c r="Z558" s="10" t="n">
        <x:f>0</x:f>
        <x:v>0</x:v>
      </x:c>
      <x:c r="AA558" s="10" t="n">
        <x:f>Z558*'Assumptions'!$AC$68*'Assumptions'!$D$11*(1+'Assumptions'!$D$13)^(5-1)</x:f>
        <x:v>0</x:v>
      </x:c>
      <x:c r="AB558" s="10" t="n">
        <x:f>F558/12</x:f>
        <x:v>6.2208000000000006</x:v>
      </x:c>
      <x:c r="AC558" s="10" t="n">
        <x:f>AB558/'Assumptions'!$AM$68</x:f>
        <x:v>124.41600000000001</x:v>
      </x:c>
      <x:c r="AD558" s="10" t="n">
        <x:f>IF(AB558=0,0,T558/AB558)</x:f>
        <x:v>56.879503888788754</x:v>
      </x:c>
      <x:c r="AE558" s="10" t="n">
        <x:f>AA558*'Assumptions'!$D$21</x:f>
        <x:v>0</x:v>
      </x:c>
    </x:row>
    <x:row r="559" ht="16" customHeight="1">
      <x:c r="A559" s="1"/>
      <x:c r="B559" s="1"/>
      <x:c r="C559" s="1" t="str">
        <x:v>DOT-040</x:v>
      </x:c>
      <x:c r="D559" s="10" t="str">
        <x:v>DishLoom US</x:v>
      </x:c>
      <x:c r="E559" s="10" t="n">
        <x:v>5</x:v>
      </x:c>
      <x:c r="F559" s="21" t="n">
        <x:f>F431*(1+'Assumptions'!$L$69)</x:f>
        <x:v>149.2992</x:v>
      </x:c>
      <x:c r="G559" s="21" t="n">
        <x:f>H431*'Assumptions'!$K$69</x:f>
        <x:v>196.34160000000003</x:v>
      </x:c>
      <x:c r="H559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559+G559,NA())</x:f>
        <x:v>345.6408</x:v>
      </x:c>
      <x:c r="I559" s="22" t="n">
        <x:f>'Assumptions'!$H$69*IF('Assumptions'!$O$69=1,1,'Assumptions'!$D$10)*(1+'Assumptions'!$N$69)^(5-1)</x:f>
        <x:v>9.74188944</x:v>
      </x:c>
      <x:c r="J559" s="10" t="n">
        <x:f>H559*I559</x:f>
        <x:v>3367.194459553152</x:v>
      </x:c>
      <x:c r="K559" s="10" t="n">
        <x:f>J559*'Assumptions'!$T$69</x:f>
        <x:v>3367.194459553152</x:v>
      </x:c>
      <x:c r="L559" s="10" t="n">
        <x:f>K559*'Assumptions'!$U$69</x:f>
        <x:v>101.01583378659456</x:v>
      </x:c>
      <x:c r="M559" s="10" t="n">
        <x:f>K559*'Assumptions'!$V$69</x:f>
        <x:v>0</x:v>
      </x:c>
      <x:c r="N559" s="10" t="n">
        <x:f>K559-L559-M559</x:f>
        <x:v>3266.178625766557</x:v>
      </x:c>
      <x:c r="O559" s="10" t="n">
        <x:f>H559*'Assumptions'!$P$69*'Assumptions'!$Q$69*'Assumptions'!$D$11*(1+'Assumptions'!$D$13)^(5-1)</x:f>
        <x:v>680.7880896170342</x:v>
      </x:c>
      <x:c r="P559" s="10" t="n">
        <x:f>H559*'Assumptions'!$R$69*'Assumptions'!$D$11*(1+'Assumptions'!$D$13)^(5-1)</x:f>
        <x:v>0</x:v>
      </x:c>
      <x:c r="Q559" s="10" t="n">
        <x:f>J559*'Assumptions'!$S$69</x:f>
        <x:v>0</x:v>
      </x:c>
      <x:c r="R559" s="10" t="n">
        <x:f>H559*'Assumptions'!$Y$69*'Assumptions'!$Z$69*'Assumptions'!$D$11*(1+'Assumptions'!$D$13)^(5-1)</x:f>
        <x:v>1750.597944729516</x:v>
      </x:c>
      <x:c r="S559" s="10" t="n">
        <x:f>IF(I559=0,0,J559*'Assumptions'!$W$69+H559*'Assumptions'!$X$69)</x:f>
        <x:v>201.34087932704142</x:v>
      </x:c>
      <x:c r="T559" s="10" t="n">
        <x:f>N559*'Assumptions'!$AA$69</x:f>
        <x:v>163.30893128832787</x:v>
      </x:c>
      <x:c r="U559" s="10" t="n">
        <x:f>'Assumptions'!$AE$69*'Assumptions'!$D$11*(1+'Assumptions'!$D$13)^(5-1)</x:f>
        <x:v>0</x:v>
      </x:c>
      <x:c r="V559" s="10" t="n">
        <x:f>0</x:f>
        <x:v>0</x:v>
      </x:c>
      <x:c r="W559" s="10" t="n">
        <x:f>H559*('Assumptions'!$P$69+'Assumptions'!$Y$69)</x:f>
        <x:v>69.12816000000001</x:v>
      </x:c>
      <x:c r="X559" s="10" t="n">
        <x:f>N559/12*'Assumptions'!$AF$69</x:f>
        <x:v>0</x:v>
      </x:c>
      <x:c r="Y559" s="10" t="n">
        <x:f>P559/12</x:f>
        <x:v>0</x:v>
      </x:c>
      <x:c r="Z559" s="10" t="n">
        <x:f>0</x:f>
        <x:v>0</x:v>
      </x:c>
      <x:c r="AA559" s="10" t="n">
        <x:f>Z559*'Assumptions'!$AC$69*'Assumptions'!$D$11*(1+'Assumptions'!$D$13)^(5-1)</x:f>
        <x:v>0</x:v>
      </x:c>
      <x:c r="AB559" s="10" t="n">
        <x:f>F559/1</x:f>
        <x:v>149.2992</x:v>
      </x:c>
      <x:c r="AC559" s="10" t="n">
        <x:f>AB559/'Assumptions'!$AM$69</x:f>
        <x:v>2985.984</x:v>
      </x:c>
      <x:c r="AD559" s="10" t="n">
        <x:f>IF(AB559=0,0,T559/AB559)</x:f>
        <x:v>1.0938366132459374</x:v>
      </x:c>
      <x:c r="AE559" s="10" t="n">
        <x:f>AA559*'Assumptions'!$D$21</x:f>
        <x:v>0</x:v>
      </x:c>
    </x:row>
    <x:row r="560" ht="16" customHeight="1">
      <x:c r="A560" s="1"/>
      <x:c r="B560" s="1"/>
      <x:c r="C560" s="1" t="str">
        <x:v>DOT-041</x:v>
      </x:c>
      <x:c r="D560" s="10" t="str">
        <x:v>DishLoom US</x:v>
      </x:c>
      <x:c r="E560" s="10" t="n">
        <x:v>5</x:v>
      </x:c>
      <x:c r="F560" s="21" t="n">
        <x:f>F432*(1+'Assumptions'!$L$70)</x:f>
        <x:v>186.624</x:v>
      </x:c>
      <x:c r="G560" s="21" t="n">
        <x:f>H432*'Assumptions'!$K$70</x:f>
        <x:v>245.427</x:v>
      </x:c>
      <x:c r="H560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560+G560,NA())</x:f>
        <x:v>432.051</x:v>
      </x:c>
      <x:c r="I560" s="22" t="n">
        <x:f>'Assumptions'!$H$70*IF('Assumptions'!$O$70=1,1,'Assumptions'!$D$10)*(1+'Assumptions'!$N$70)^(5-1)</x:f>
        <x:v>108.243216</x:v>
      </x:c>
      <x:c r="J560" s="10" t="n">
        <x:f>H560*I560</x:f>
        <x:v>46766.589716016</x:v>
      </x:c>
      <x:c r="K560" s="10" t="n">
        <x:f>J560*'Assumptions'!$T$70</x:f>
        <x:v>7014.9884574024</x:v>
      </x:c>
      <x:c r="L560" s="10" t="n">
        <x:f>K560*'Assumptions'!$U$70</x:f>
        <x:v>210.449653722072</x:v>
      </x:c>
      <x:c r="M560" s="10" t="n">
        <x:f>K560*'Assumptions'!$V$70</x:f>
        <x:v>0</x:v>
      </x:c>
      <x:c r="N560" s="10" t="n">
        <x:f>K560-L560-M560</x:f>
        <x:v>6804.538803680328</x:v>
      </x:c>
      <x:c r="O560" s="10" t="n">
        <x:f>H560*'Assumptions'!$P$70*'Assumptions'!$Q$70*'Assumptions'!$D$11*(1+'Assumptions'!$D$13)^(5-1)</x:f>
        <x:v>1701.9702240425852</x:v>
      </x:c>
      <x:c r="P560" s="10" t="n">
        <x:f>H560*'Assumptions'!$R$70*'Assumptions'!$D$11*(1+'Assumptions'!$D$13)^(5-1)</x:f>
        <x:v>0</x:v>
      </x:c>
      <x:c r="Q560" s="10" t="n">
        <x:f>J560*'Assumptions'!$S$70</x:f>
        <x:v>0</x:v>
      </x:c>
      <x:c r="R560" s="10" t="n">
        <x:f>H560*'Assumptions'!$Y$70*'Assumptions'!$Z$70*'Assumptions'!$D$11*(1+'Assumptions'!$D$13)^(5-1)</x:f>
        <x:v>2188.247430911895</x:v>
      </x:c>
      <x:c r="S560" s="10" t="n">
        <x:f>IF(I560=0,0,J560*'Assumptions'!$W$70+H560*'Assumptions'!$X$70)</x:f>
        <x:v>1485.846401764464</x:v>
      </x:c>
      <x:c r="T560" s="10" t="n">
        <x:f>N560*'Assumptions'!$AA$70</x:f>
        <x:v>340.2269401840164</x:v>
      </x:c>
      <x:c r="U560" s="10" t="n">
        <x:f>'Assumptions'!$AE$70*'Assumptions'!$D$11*(1+'Assumptions'!$D$13)^(5-1)</x:f>
        <x:v>0</x:v>
      </x:c>
      <x:c r="V560" s="10" t="n">
        <x:f>0</x:f>
        <x:v>0</x:v>
      </x:c>
      <x:c r="W560" s="10" t="n">
        <x:f>H560*('Assumptions'!$P$70+'Assumptions'!$Y$70)</x:f>
        <x:v>108.01275</x:v>
      </x:c>
      <x:c r="X560" s="10" t="n">
        <x:f>N560/12*'Assumptions'!$AF$70</x:f>
        <x:v>0</x:v>
      </x:c>
      <x:c r="Y560" s="10" t="n">
        <x:f>P560/12</x:f>
        <x:v>0</x:v>
      </x:c>
      <x:c r="Z560" s="10" t="n">
        <x:f>0</x:f>
        <x:v>0</x:v>
      </x:c>
      <x:c r="AA560" s="10" t="n">
        <x:f>Z560*'Assumptions'!$AC$70*'Assumptions'!$D$11*(1+'Assumptions'!$D$13)^(5-1)</x:f>
        <x:v>0</x:v>
      </x:c>
      <x:c r="AB560" s="10" t="n">
        <x:f>F560/1</x:f>
        <x:v>186.624</x:v>
      </x:c>
      <x:c r="AC560" s="10" t="n">
        <x:f>AB560/'Assumptions'!$AM$70</x:f>
        <x:v>3732.4799999999996</x:v>
      </x:c>
      <x:c r="AD560" s="10" t="n">
        <x:f>IF(AB560=0,0,T560/AB560)</x:f>
        <x:v>1.8230610220765626</x:v>
      </x:c>
      <x:c r="AE560" s="10" t="n">
        <x:f>AA560*'Assumptions'!$D$21</x:f>
        <x:v>0</x:v>
      </x:c>
    </x:row>
    <x:row r="561" ht="16" customHeight="1">
      <x:c r="A561" s="1"/>
      <x:c r="B561" s="1"/>
      <x:c r="C561" s="1" t="str">
        <x:v>DOT-042</x:v>
      </x:c>
      <x:c r="D561" s="10" t="str">
        <x:v>Is Makes Travel Easy</x:v>
      </x:c>
      <x:c r="E561" s="10" t="n">
        <x:v>5</x:v>
      </x:c>
      <x:c r="F561" s="21" t="n">
        <x:f>F433*(1+'Assumptions'!$L$71)</x:f>
        <x:v>223.94879999999998</x:v>
      </x:c>
      <x:c r="G561" s="21" t="n">
        <x:f>H433*'Assumptions'!$K$71</x:f>
        <x:v>316.12139999999994</x:v>
      </x:c>
      <x:c r="H561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561+G561,NA())</x:f>
        <x:v>540.0701999999999</x:v>
      </x:c>
      <x:c r="I561" s="22" t="n">
        <x:f>'Assumptions'!$H$71*IF('Assumptions'!$O$71=1,1,'Assumptions'!$D$10)*(1+'Assumptions'!$N$71)^(5-1)</x:f>
        <x:v>31.39053264</x:v>
      </x:c>
      <x:c r="J561" s="10" t="n">
        <x:f>H561*I561</x:f>
        <x:v>16953.091240991325</x:v>
      </x:c>
      <x:c r="K561" s="10" t="n">
        <x:f>J561*'Assumptions'!$T$71</x:f>
        <x:v>16953.091240991325</x:v>
      </x:c>
      <x:c r="L561" s="10" t="n">
        <x:f>K561*'Assumptions'!$U$71</x:f>
        <x:v>508.5927372297397</x:v>
      </x:c>
      <x:c r="M561" s="10" t="n">
        <x:f>K561*'Assumptions'!$V$71</x:f>
        <x:v>0</x:v>
      </x:c>
      <x:c r="N561" s="10" t="n">
        <x:f>K561-L561-M561</x:f>
        <x:v>16444.498503761584</x:v>
      </x:c>
      <x:c r="O561" s="10" t="n">
        <x:f>H561*'Assumptions'!$P$71*'Assumptions'!$Q$71*'Assumptions'!$D$11*(1+'Assumptions'!$D$13)^(5-1)</x:f>
        <x:v>2127.488188414617</x:v>
      </x:c>
      <x:c r="P561" s="10" t="n">
        <x:f>H561*'Assumptions'!$R$71*'Assumptions'!$D$11*(1+'Assumptions'!$D$13)^(5-1)</x:f>
        <x:v>0</x:v>
      </x:c>
      <x:c r="Q561" s="10" t="n">
        <x:f>J561*'Assumptions'!$S$71</x:f>
        <x:v>0</x:v>
      </x:c>
      <x:c r="R561" s="10" t="n">
        <x:f>H561*'Assumptions'!$Y$71*'Assumptions'!$Z$71*'Assumptions'!$D$11*(1+'Assumptions'!$D$13)^(5-1)</x:f>
        <x:v>2735.3419565330782</x:v>
      </x:c>
      <x:c r="S561" s="10" t="n">
        <x:f>IF(I561=0,0,J561*'Assumptions'!$W$71+H561*'Assumptions'!$X$71)</x:f>
        <x:v>653.6607059887484</x:v>
      </x:c>
      <x:c r="T561" s="10" t="n">
        <x:f>N561*'Assumptions'!$AA$71</x:f>
        <x:v>822.2249251880793</x:v>
      </x:c>
      <x:c r="U561" s="10" t="n">
        <x:f>'Assumptions'!$AE$71*'Assumptions'!$D$11*(1+'Assumptions'!$D$13)^(5-1)</x:f>
        <x:v>270.12211440000004</x:v>
      </x:c>
      <x:c r="V561" s="10" t="n">
        <x:f>0</x:f>
        <x:v>0</x:v>
      </x:c>
      <x:c r="W561" s="10" t="n">
        <x:f>H561*('Assumptions'!$P$71+'Assumptions'!$Y$71)</x:f>
        <x:v>135.01754999999997</x:v>
      </x:c>
      <x:c r="X561" s="10" t="n">
        <x:f>N561/12*'Assumptions'!$AF$71</x:f>
        <x:v>0</x:v>
      </x:c>
      <x:c r="Y561" s="10" t="n">
        <x:f>P561/12</x:f>
        <x:v>0</x:v>
      </x:c>
      <x:c r="Z561" s="10" t="n">
        <x:f>0</x:f>
        <x:v>0</x:v>
      </x:c>
      <x:c r="AA561" s="10" t="n">
        <x:f>Z561*'Assumptions'!$AC$71*'Assumptions'!$D$11*(1+'Assumptions'!$D$13)^(5-1)</x:f>
        <x:v>0</x:v>
      </x:c>
      <x:c r="AB561" s="10" t="n">
        <x:f>F561/1</x:f>
        <x:v>223.94879999999998</x:v>
      </x:c>
      <x:c r="AC561" s="10" t="n">
        <x:f>AB561/'Assumptions'!$AM$71</x:f>
        <x:v>4478.976</x:v>
      </x:c>
      <x:c r="AD561" s="10" t="n">
        <x:f>IF(AB561=0,0,T561/AB561)</x:f>
        <x:v>3.671486184288906</x:v>
      </x:c>
      <x:c r="AE561" s="10" t="n">
        <x:f>AA561*'Assumptions'!$D$21</x:f>
        <x:v>0</x:v>
      </x:c>
    </x:row>
    <x:row r="562" ht="16" customHeight="1">
      <x:c r="A562" s="1"/>
      <x:c r="B562" s="1"/>
      <x:c r="C562" s="1" t="str">
        <x:v>DOT-043</x:v>
      </x:c>
      <x:c r="D562" s="10" t="str">
        <x:v>Is Makes Travel Easy</x:v>
      </x:c>
      <x:c r="E562" s="10" t="n">
        <x:v>5</x:v>
      </x:c>
      <x:c r="F562" s="21" t="n">
        <x:f>F434*(1+'Assumptions'!$L$72)</x:f>
        <x:v>111.97439999999999</x:v>
      </x:c>
      <x:c r="G562" s="21" t="n">
        <x:f>H434*'Assumptions'!$K$72</x:f>
        <x:v>158.06069999999997</x:v>
      </x:c>
      <x:c r="H562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562+G562,NA())</x:f>
        <x:v>270.03509999999994</x:v>
      </x:c>
      <x:c r="I562" s="22" t="n">
        <x:f>'Assumptions'!$H$72*IF('Assumptions'!$O$72=1,1,'Assumptions'!$D$10)*(1+'Assumptions'!$N$72)^(5-1)</x:f>
        <x:v>20.56621104</x:v>
      </x:c>
      <x:c r="J562" s="10" t="n">
        <x:f>H562*I562</x:f>
        <x:v>5553.598854807503</x:v>
      </x:c>
      <x:c r="K562" s="10" t="n">
        <x:f>J562*'Assumptions'!$T$72</x:f>
        <x:v>5553.598854807503</x:v>
      </x:c>
      <x:c r="L562" s="10" t="n">
        <x:f>K562*'Assumptions'!$U$72</x:f>
        <x:v>166.6079656442251</x:v>
      </x:c>
      <x:c r="M562" s="10" t="n">
        <x:f>K562*'Assumptions'!$V$72</x:f>
        <x:v>0</x:v>
      </x:c>
      <x:c r="N562" s="10" t="n">
        <x:f>K562-L562-M562</x:f>
        <x:v>5386.990889163278</x:v>
      </x:c>
      <x:c r="O562" s="10" t="n">
        <x:f>H562*'Assumptions'!$P$72*'Assumptions'!$Q$72*'Assumptions'!$D$11*(1+'Assumptions'!$D$13)^(5-1)</x:f>
        <x:v>1063.7440942073085</x:v>
      </x:c>
      <x:c r="P562" s="10" t="n">
        <x:f>H562*'Assumptions'!$R$72*'Assumptions'!$D$11*(1+'Assumptions'!$D$13)^(5-1)</x:f>
        <x:v>0</x:v>
      </x:c>
      <x:c r="Q562" s="10" t="n">
        <x:f>J562*'Assumptions'!$S$72</x:f>
        <x:v>0</x:v>
      </x:c>
      <x:c r="R562" s="10" t="n">
        <x:f>H562*'Assumptions'!$Y$72*'Assumptions'!$Z$72*'Assumptions'!$D$11*(1+'Assumptions'!$D$13)^(5-1)</x:f>
        <x:v>1367.6709782665391</x:v>
      </x:c>
      <x:c r="S562" s="10" t="n">
        <x:f>IF(I562=0,0,J562*'Assumptions'!$W$72+H562*'Assumptions'!$X$72)</x:f>
        <x:v>242.06489678941756</x:v>
      </x:c>
      <x:c r="T562" s="10" t="n">
        <x:f>N562*'Assumptions'!$AA$72</x:f>
        <x:v>269.3495444581639</x:v>
      </x:c>
      <x:c r="U562" s="10" t="n">
        <x:f>'Assumptions'!$AE$72*'Assumptions'!$D$11*(1+'Assumptions'!$D$13)^(5-1)</x:f>
        <x:v>0</x:v>
      </x:c>
      <x:c r="V562" s="10" t="n">
        <x:f>0</x:f>
        <x:v>0</x:v>
      </x:c>
      <x:c r="W562" s="10" t="n">
        <x:f>H562*('Assumptions'!$P$72+'Assumptions'!$Y$72)</x:f>
        <x:v>67.50877499999999</x:v>
      </x:c>
      <x:c r="X562" s="10" t="n">
        <x:f>N562/12*'Assumptions'!$AF$72</x:f>
        <x:v>0</x:v>
      </x:c>
      <x:c r="Y562" s="10" t="n">
        <x:f>P562/12</x:f>
        <x:v>0</x:v>
      </x:c>
      <x:c r="Z562" s="10" t="n">
        <x:f>0</x:f>
        <x:v>0</x:v>
      </x:c>
      <x:c r="AA562" s="10" t="n">
        <x:f>Z562*'Assumptions'!$AC$72*'Assumptions'!$D$11*(1+'Assumptions'!$D$13)^(5-1)</x:f>
        <x:v>0</x:v>
      </x:c>
      <x:c r="AB562" s="10" t="n">
        <x:f>F562/12</x:f>
        <x:v>9.331199999999999</x:v>
      </x:c>
      <x:c r="AC562" s="10" t="n">
        <x:f>AB562/'Assumptions'!$AM$72</x:f>
        <x:v>186.62399999999997</x:v>
      </x:c>
      <x:c r="AD562" s="10" t="n">
        <x:f>IF(AB562=0,0,T562/AB562)</x:f>
        <x:v>28.865477586823125</x:v>
      </x:c>
      <x:c r="AE562" s="10" t="n">
        <x:f>AA562*'Assumptions'!$D$21</x:f>
        <x:v>0</x:v>
      </x:c>
    </x:row>
    <x:row r="563" ht="16" customHeight="1">
      <x:c r="A563" s="1"/>
      <x:c r="B563" s="1"/>
      <x:c r="C563" s="1" t="str">
        <x:v>DOT-044</x:v>
      </x:c>
      <x:c r="D563" s="10" t="str">
        <x:v>Is Makes Travel Easy</x:v>
      </x:c>
      <x:c r="E563" s="10" t="n">
        <x:v>5</x:v>
      </x:c>
      <x:c r="F563" s="21" t="n">
        <x:f>F435*(1+'Assumptions'!$L$73)</x:f>
        <x:v>45.67992000000002</x:v>
      </x:c>
      <x:c r="G563" s="21" t="n">
        <x:f>H435*'Assumptions'!$K$73</x:f>
        <x:v>21.170835000000004</x:v>
      </x:c>
      <x:c r="H563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563+G563,NA())</x:f>
        <x:v>66.85075500000002</x:v>
      </x:c>
      <x:c r="I563" s="22" t="n">
        <x:f>'Assumptions'!$H$73*IF('Assumptions'!$O$73=1,1,'Assumptions'!$D$10)*(1+'Assumptions'!$N$73)^(5-1)</x:f>
        <x:v>53.03917584</x:v>
      </x:c>
      <x:c r="J563" s="10" t="n">
        <x:f>H563*I563</x:f>
        <x:v>3545.70894948176</x:v>
      </x:c>
      <x:c r="K563" s="10" t="n">
        <x:f>J563*'Assumptions'!$T$73</x:f>
        <x:v>3545.70894948176</x:v>
      </x:c>
      <x:c r="L563" s="10" t="n">
        <x:f>K563*'Assumptions'!$U$73</x:f>
        <x:v>106.3712684844528</x:v>
      </x:c>
      <x:c r="M563" s="10" t="n">
        <x:f>K563*'Assumptions'!$V$73</x:f>
        <x:v>0</x:v>
      </x:c>
      <x:c r="N563" s="10" t="n">
        <x:f>K563-L563-M563</x:f>
        <x:v>3439.3376809973074</x:v>
      </x:c>
      <x:c r="O563" s="10" t="n">
        <x:f>H563*'Assumptions'!$P$73*'Assumptions'!$Q$73*'Assumptions'!$D$11*(1+'Assumptions'!$D$13)^(5-1)</x:f>
        <x:v>658.3597449419514</x:v>
      </x:c>
      <x:c r="P563" s="10" t="n">
        <x:f>H563*'Assumptions'!$R$73*'Assumptions'!$D$11*(1+'Assumptions'!$D$13)^(5-1)</x:f>
        <x:v>0</x:v>
      </x:c>
      <x:c r="Q563" s="10" t="n">
        <x:f>J563*'Assumptions'!$S$73</x:f>
        <x:v>0</x:v>
      </x:c>
      <x:c r="R563" s="10" t="n">
        <x:f>H563*'Assumptions'!$Y$73*'Assumptions'!$Z$73*'Assumptions'!$D$11*(1+'Assumptions'!$D$13)^(5-1)</x:f>
        <x:v>1128.6167056147738</x:v>
      </x:c>
      <x:c r="S563" s="10" t="n">
        <x:f>IF(I563=0,0,J563*'Assumptions'!$W$73+H563*'Assumptions'!$X$73)</x:f>
        <x:v>122.88078603497105</x:v>
      </x:c>
      <x:c r="T563" s="10" t="n">
        <x:f>N563*'Assumptions'!$AA$73</x:f>
        <x:v>275.1470144797846</x:v>
      </x:c>
      <x:c r="U563" s="10" t="n">
        <x:f>'Assumptions'!$AE$73*'Assumptions'!$D$11*(1+'Assumptions'!$D$13)^(5-1)</x:f>
        <x:v>0</x:v>
      </x:c>
      <x:c r="V563" s="10" t="n">
        <x:f>0</x:f>
        <x:v>0</x:v>
      </x:c>
      <x:c r="W563" s="10" t="n">
        <x:f>H563*('Assumptions'!$P$73+'Assumptions'!$Y$73)</x:f>
        <x:v>50.138066250000016</x:v>
      </x:c>
      <x:c r="X563" s="10" t="n">
        <x:f>N563/12*'Assumptions'!$AF$73</x:f>
        <x:v>286.61147341644227</x:v>
      </x:c>
      <x:c r="Y563" s="10" t="n">
        <x:f>P563/12</x:f>
        <x:v>0</x:v>
      </x:c>
      <x:c r="Z563" s="10" t="n">
        <x:f>0</x:f>
        <x:v>0</x:v>
      </x:c>
      <x:c r="AA563" s="10" t="n">
        <x:f>Z563*'Assumptions'!$AC$73*'Assumptions'!$D$11*(1+'Assumptions'!$D$13)^(5-1)</x:f>
        <x:v>0</x:v>
      </x:c>
      <x:c r="AB563" s="10" t="n">
        <x:f>F563/1</x:f>
        <x:v>45.67992000000002</x:v>
      </x:c>
      <x:c r="AC563" s="10" t="n">
        <x:f>AB563/'Assumptions'!$AM$73</x:f>
        <x:v>456.79920000000016</x:v>
      </x:c>
      <x:c r="AD563" s="10" t="n">
        <x:f>IF(AB563=0,0,T563/AB563)</x:f>
        <x:v>6.023369009398102</x:v>
      </x:c>
      <x:c r="AE563" s="10" t="n">
        <x:f>AA563*'Assumptions'!$D$21</x:f>
        <x:v>0</x:v>
      </x:c>
    </x:row>
    <x:row r="564" ht="16" customHeight="1">
      <x:c r="A564" s="1"/>
      <x:c r="B564" s="1"/>
      <x:c r="C564" s="1" t="str">
        <x:v>DOT-045</x:v>
      </x:c>
      <x:c r="D564" s="10" t="str">
        <x:v>Is Makes Travel Easy</x:v>
      </x:c>
      <x:c r="E564" s="10" t="n">
        <x:v>5</x:v>
      </x:c>
      <x:c r="F564" s="21" t="n">
        <x:f>F436*(1+'Assumptions'!$L$74)</x:f>
        <x:v>149.2992</x:v>
      </x:c>
      <x:c r="G564" s="21" t="n">
        <x:f>H436*'Assumptions'!$K$74</x:f>
        <x:v>210.74759999999998</x:v>
      </x:c>
      <x:c r="H564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564+G564,NA())</x:f>
        <x:v>360.04679999999996</x:v>
      </x:c>
      <x:c r="I564" s="22" t="n">
        <x:f>'Assumptions'!$H$74*IF('Assumptions'!$O$74=1,1,'Assumptions'!$D$10)*(1+'Assumptions'!$N$74)^(5-1)</x:f>
        <x:v>162.364824</x:v>
      </x:c>
      <x:c r="J564" s="10" t="n">
        <x:f>H564*I564</x:f>
        <x:v>58458.93531376319</x:v>
      </x:c>
      <x:c r="K564" s="10" t="n">
        <x:f>J564*'Assumptions'!$T$74</x:f>
        <x:v>5845.8935313763195</x:v>
      </x:c>
      <x:c r="L564" s="10" t="n">
        <x:f>K564*'Assumptions'!$U$74</x:f>
        <x:v>175.37680594128958</x:v>
      </x:c>
      <x:c r="M564" s="10" t="n">
        <x:f>K564*'Assumptions'!$V$74</x:f>
        <x:v>0</x:v>
      </x:c>
      <x:c r="N564" s="10" t="n">
        <x:f>K564-L564-M564</x:f>
        <x:v>5670.51672543503</x:v>
      </x:c>
      <x:c r="O564" s="10" t="n">
        <x:f>H564*'Assumptions'!$P$74*'Assumptions'!$Q$74*'Assumptions'!$D$11*(1+'Assumptions'!$D$13)^(5-1)</x:f>
        <x:v>1418.3254589430783</x:v>
      </x:c>
      <x:c r="P564" s="10" t="n">
        <x:f>H564*'Assumptions'!$R$74*'Assumptions'!$D$11*(1+'Assumptions'!$D$13)^(5-1)</x:f>
        <x:v>0</x:v>
      </x:c>
      <x:c r="Q564" s="10" t="n">
        <x:f>J564*'Assumptions'!$S$74</x:f>
        <x:v>0</x:v>
      </x:c>
      <x:c r="R564" s="10" t="n">
        <x:f>H564*'Assumptions'!$Y$74*'Assumptions'!$Z$74*'Assumptions'!$D$11*(1+'Assumptions'!$D$13)^(5-1)</x:f>
        <x:v>1823.5613043553858</x:v>
      </x:c>
      <x:c r="S564" s="10" t="n">
        <x:f>IF(I564=0,0,J564*'Assumptions'!$W$74+H564*'Assumptions'!$X$74)</x:f>
        <x:v>1803.3231640991326</x:v>
      </x:c>
      <x:c r="T564" s="10" t="n">
        <x:f>N564*'Assumptions'!$AA$74</x:f>
        <x:v>283.52583627175153</x:v>
      </x:c>
      <x:c r="U564" s="10" t="n">
        <x:f>'Assumptions'!$AE$74*'Assumptions'!$D$11*(1+'Assumptions'!$D$13)^(5-1)</x:f>
        <x:v>0</x:v>
      </x:c>
      <x:c r="V564" s="10" t="n">
        <x:f>0</x:f>
        <x:v>0</x:v>
      </x:c>
      <x:c r="W564" s="10" t="n">
        <x:f>H564*('Assumptions'!$P$74+'Assumptions'!$Y$74)</x:f>
        <x:v>90.01169999999999</x:v>
      </x:c>
      <x:c r="X564" s="10" t="n">
        <x:f>N564/12*'Assumptions'!$AF$74</x:f>
        <x:v>0</x:v>
      </x:c>
      <x:c r="Y564" s="10" t="n">
        <x:f>P564/12</x:f>
        <x:v>0</x:v>
      </x:c>
      <x:c r="Z564" s="10" t="n">
        <x:f>0</x:f>
        <x:v>0</x:v>
      </x:c>
      <x:c r="AA564" s="10" t="n">
        <x:f>Z564*'Assumptions'!$AC$74*'Assumptions'!$D$11*(1+'Assumptions'!$D$13)^(5-1)</x:f>
        <x:v>0</x:v>
      </x:c>
      <x:c r="AB564" s="10" t="n">
        <x:f>F564/1</x:f>
        <x:v>149.2992</x:v>
      </x:c>
      <x:c r="AC564" s="10" t="n">
        <x:f>AB564/'Assumptions'!$AM$74</x:f>
        <x:v>2985.984</x:v>
      </x:c>
      <x:c r="AD564" s="10" t="n">
        <x:f>IF(AB564=0,0,T564/AB564)</x:f>
        <x:v>1.8990445780804686</x:v>
      </x:c>
      <x:c r="AE564" s="10" t="n">
        <x:f>AA564*'Assumptions'!$D$21</x:f>
        <x:v>0</x:v>
      </x:c>
    </x:row>
    <x:row r="565" ht="16" customHeight="1">
      <x:c r="A565" s="1"/>
      <x:c r="B565" s="1"/>
      <x:c r="C565" s="1" t="str">
        <x:v>DOT-046</x:v>
      </x:c>
      <x:c r="D565" s="10" t="str">
        <x:v>Turbo Tax - Made Easy!</x:v>
      </x:c>
      <x:c r="E565" s="10" t="n">
        <x:v>5</x:v>
      </x:c>
      <x:c r="F565" s="21" t="n">
        <x:f>F437*(1+'Assumptions'!$L$75)</x:f>
        <x:v>393.5264062499999</x:v>
      </x:c>
      <x:c r="G565" s="21" t="n">
        <x:f>H437*'Assumptions'!$K$75</x:f>
        <x:v>109.16640625</x:v>
      </x:c>
      <x:c r="H565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565+G565,NA())</x:f>
        <x:v>502.69281249999995</x:v>
      </x:c>
      <x:c r="I565" s="22" t="n">
        <x:f>'Assumptions'!$H$75*IF('Assumptions'!$O$75=1,1,'Assumptions'!$D$10)*(1+'Assumptions'!$N$75)^(5-1)</x:f>
        <x:v>149</x:v>
      </x:c>
      <x:c r="J565" s="10" t="n">
        <x:f>H565*I565</x:f>
        <x:v>74901.22906249999</x:v>
      </x:c>
      <x:c r="K565" s="10" t="n">
        <x:f>J565*'Assumptions'!$T$75</x:f>
        <x:v>74901.22906249999</x:v>
      </x:c>
      <x:c r="L565" s="10" t="n">
        <x:f>K565*'Assumptions'!$U$75</x:f>
        <x:v>2247.0368718749996</x:v>
      </x:c>
      <x:c r="M565" s="10" t="n">
        <x:f>K565*'Assumptions'!$V$75</x:f>
        <x:v>0</x:v>
      </x:c>
      <x:c r="N565" s="10" t="n">
        <x:f>K565-L565-M565</x:f>
        <x:v>72654.19219062499</x:v>
      </x:c>
      <x:c r="O565" s="10" t="n">
        <x:f>H565*'Assumptions'!$P$75*'Assumptions'!$Q$75*'Assumptions'!$D$11*(1+'Assumptions'!$D$13)^(5-1)</x:f>
        <x:v>2970.3722432602476</x:v>
      </x:c>
      <x:c r="P565" s="10" t="n">
        <x:f>H565*'Assumptions'!$R$75*'Assumptions'!$D$11*(1+'Assumptions'!$D$13)^(5-1)</x:f>
        <x:v>0</x:v>
      </x:c>
      <x:c r="Q565" s="10" t="n">
        <x:f>J565*'Assumptions'!$S$75</x:f>
        <x:v>0</x:v>
      </x:c>
      <x:c r="R565" s="10" t="n">
        <x:f>H565*'Assumptions'!$Y$75*'Assumptions'!$Z$75*'Assumptions'!$D$11*(1+'Assumptions'!$D$13)^(5-1)</x:f>
        <x:v>1697.3555675772845</x:v>
      </x:c>
      <x:c r="S565" s="10" t="n">
        <x:f>IF(I565=0,0,J565*'Assumptions'!$W$75+H565*'Assumptions'!$X$75)</x:f>
        <x:v>2322.9434865624994</x:v>
      </x:c>
      <x:c r="T565" s="10" t="n">
        <x:f>N565*'Assumptions'!$AA$75</x:f>
        <x:v>3632.70960953125</x:v>
      </x:c>
      <x:c r="U565" s="10" t="n">
        <x:f>'Assumptions'!$AE$75*'Assumptions'!$D$11*(1+'Assumptions'!$D$13)^(5-1)</x:f>
        <x:v>0</x:v>
      </x:c>
      <x:c r="V565" s="10" t="n">
        <x:f>0</x:f>
        <x:v>0</x:v>
      </x:c>
      <x:c r="W565" s="10" t="n">
        <x:f>H565*('Assumptions'!$P$75+'Assumptions'!$Y$75)</x:f>
        <x:v>125.67320312499999</x:v>
      </x:c>
      <x:c r="X565" s="10" t="n">
        <x:f>N565/12*'Assumptions'!$AF$75</x:f>
        <x:v>0</x:v>
      </x:c>
      <x:c r="Y565" s="10" t="n">
        <x:f>P565/12</x:f>
        <x:v>0</x:v>
      </x:c>
      <x:c r="Z565" s="10" t="n">
        <x:f>0</x:f>
        <x:v>0</x:v>
      </x:c>
      <x:c r="AA565" s="10" t="n">
        <x:f>Z565*'Assumptions'!$AC$75*'Assumptions'!$D$11*(1+'Assumptions'!$D$13)^(5-1)</x:f>
        <x:v>0</x:v>
      </x:c>
      <x:c r="AB565" s="10" t="n">
        <x:f>F565/1</x:f>
        <x:v>393.5264062499999</x:v>
      </x:c>
      <x:c r="AC565" s="10" t="n">
        <x:f>AB565/'Assumptions'!$AM$75</x:f>
        <x:v>7870.528124999998</x:v>
      </x:c>
      <x:c r="AD565" s="10" t="n">
        <x:f>IF(AB565=0,0,T565/AB565)</x:f>
        <x:v>9.231171153539968</x:v>
      </x:c>
      <x:c r="AE565" s="10" t="n">
        <x:f>AA565*'Assumptions'!$D$21</x:f>
        <x:v>0</x:v>
      </x:c>
    </x:row>
    <x:row r="566" ht="16" customHeight="1">
      <x:c r="A566" s="1"/>
      <x:c r="B566" s="1"/>
      <x:c r="C566" s="1" t="str">
        <x:v>DOT-047</x:v>
      </x:c>
      <x:c r="D566" s="10" t="str">
        <x:v>LavaLearning adult</x:v>
      </x:c>
      <x:c r="E566" s="10" t="n">
        <x:v>5</x:v>
      </x:c>
      <x:c r="F566" s="21" t="n">
        <x:f>F438*(1+'Assumptions'!$L$76)</x:f>
        <x:v>262.35093749999993</x:v>
      </x:c>
      <x:c r="G566" s="21" t="n">
        <x:f>H438*'Assumptions'!$K$76</x:f>
        <x:v>72.71249999999998</x:v>
      </x:c>
      <x:c r="H566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566+G566,NA())</x:f>
        <x:v>335.0634374999999</x:v>
      </x:c>
      <x:c r="I566" s="22" t="n">
        <x:f>'Assumptions'!$H$76*IF('Assumptions'!$O$76=1,1,'Assumptions'!$D$10)*(1+'Assumptions'!$N$76)^(5-1)</x:f>
        <x:v>79</x:v>
      </x:c>
      <x:c r="J566" s="10" t="n">
        <x:f>H566*I566</x:f>
        <x:v>26470.011562499993</x:v>
      </x:c>
      <x:c r="K566" s="10" t="n">
        <x:f>J566*'Assumptions'!$T$76</x:f>
        <x:v>26470.011562499993</x:v>
      </x:c>
      <x:c r="L566" s="10" t="n">
        <x:f>K566*'Assumptions'!$U$76</x:f>
        <x:v>794.1003468749998</x:v>
      </x:c>
      <x:c r="M566" s="10" t="n">
        <x:f>K566*'Assumptions'!$V$76</x:f>
        <x:v>0</x:v>
      </x:c>
      <x:c r="N566" s="10" t="n">
        <x:f>K566-L566-M566</x:f>
        <x:v>25675.911215624994</x:v>
      </x:c>
      <x:c r="O566" s="10" t="n">
        <x:f>H566*'Assumptions'!$P$76*'Assumptions'!$Q$76*'Assumptions'!$D$11*(1+'Assumptions'!$D$13)^(5-1)</x:f>
        <x:v>1979.863466779455</x:v>
      </x:c>
      <x:c r="P566" s="10" t="n">
        <x:f>H566*'Assumptions'!$R$76*'Assumptions'!$D$11*(1+'Assumptions'!$D$13)^(5-1)</x:f>
        <x:v>0</x:v>
      </x:c>
      <x:c r="Q566" s="10" t="n">
        <x:f>J566*'Assumptions'!$S$76</x:f>
        <x:v>0</x:v>
      </x:c>
      <x:c r="R566" s="10" t="n">
        <x:f>H566*'Assumptions'!$Y$76*'Assumptions'!$Z$76*'Assumptions'!$D$11*(1+'Assumptions'!$D$13)^(5-1)</x:f>
        <x:v>1131.350552445403</x:v>
      </x:c>
      <x:c r="S566" s="10" t="n">
        <x:f>IF(I566=0,0,J566*'Assumptions'!$W$76+H566*'Assumptions'!$X$76)</x:f>
        <x:v>868.1493665624998</x:v>
      </x:c>
      <x:c r="T566" s="10" t="n">
        <x:f>N566*'Assumptions'!$AA$76</x:f>
        <x:v>1283.7955607812498</x:v>
      </x:c>
      <x:c r="U566" s="10" t="n">
        <x:f>'Assumptions'!$AE$76*'Assumptions'!$D$11*(1+'Assumptions'!$D$13)^(5-1)</x:f>
        <x:v>0</x:v>
      </x:c>
      <x:c r="V566" s="10" t="n">
        <x:f>0</x:f>
        <x:v>0</x:v>
      </x:c>
      <x:c r="W566" s="10" t="n">
        <x:f>H566*('Assumptions'!$P$76+'Assumptions'!$Y$76)</x:f>
        <x:v>83.76585937499998</x:v>
      </x:c>
      <x:c r="X566" s="10" t="n">
        <x:f>N566/12*'Assumptions'!$AF$76</x:f>
        <x:v>0</x:v>
      </x:c>
      <x:c r="Y566" s="10" t="n">
        <x:f>P566/12</x:f>
        <x:v>0</x:v>
      </x:c>
      <x:c r="Z566" s="10" t="n">
        <x:f>0</x:f>
        <x:v>0</x:v>
      </x:c>
      <x:c r="AA566" s="10" t="n">
        <x:f>Z566*'Assumptions'!$AC$76*'Assumptions'!$D$11*(1+'Assumptions'!$D$13)^(5-1)</x:f>
        <x:v>0</x:v>
      </x:c>
      <x:c r="AB566" s="10" t="n">
        <x:f>F566/1</x:f>
        <x:v>262.35093749999993</x:v>
      </x:c>
      <x:c r="AC566" s="10" t="n">
        <x:f>AB566/'Assumptions'!$AM$76</x:f>
        <x:v>5247.018749999998</x:v>
      </x:c>
      <x:c r="AD566" s="10" t="n">
        <x:f>IF(AB566=0,0,T566/AB566)</x:f>
        <x:v>4.893428523697386</x:v>
      </x:c>
      <x:c r="AE566" s="10" t="n">
        <x:f>AA566*'Assumptions'!$D$21</x:f>
        <x:v>0</x:v>
      </x:c>
    </x:row>
    <x:row r="567" ht="16" customHeight="1">
      <x:c r="A567" s="1"/>
      <x:c r="B567" s="1"/>
      <x:c r="C567" s="1" t="str">
        <x:v>DOT-048</x:v>
      </x:c>
      <x:c r="D567" s="10" t="str">
        <x:v>Turbo Tax - Made Easy!</x:v>
      </x:c>
      <x:c r="E567" s="10" t="n">
        <x:v>5</x:v>
      </x:c>
      <x:c r="F567" s="21" t="n">
        <x:f>F439*(1+'Assumptions'!$L$77)</x:f>
        <x:v>787.0528124999998</x:v>
      </x:c>
      <x:c r="G567" s="21" t="n">
        <x:f>H439*'Assumptions'!$K$77</x:f>
        <x:v>218.3328125</x:v>
      </x:c>
      <x:c r="H567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567+G567,NA())</x:f>
        <x:v>1005.3856249999999</x:v>
      </x:c>
      <x:c r="I567" s="22" t="n">
        <x:f>'Assumptions'!$H$77*IF('Assumptions'!$O$77=1,1,'Assumptions'!$D$10)*(1+'Assumptions'!$N$77)^(5-1)</x:f>
        <x:v>20.56621104</x:v>
      </x:c>
      <x:c r="J567" s="10" t="n">
        <x:f>H567*I567</x:f>
        <x:v>20676.972940332296</x:v>
      </x:c>
      <x:c r="K567" s="10" t="n">
        <x:f>J567*'Assumptions'!$T$77</x:f>
        <x:v>20676.972940332296</x:v>
      </x:c>
      <x:c r="L567" s="10" t="n">
        <x:f>K567*'Assumptions'!$U$77</x:f>
        <x:v>620.3091882099689</x:v>
      </x:c>
      <x:c r="M567" s="10" t="n">
        <x:f>K567*'Assumptions'!$V$77</x:f>
        <x:v>0</x:v>
      </x:c>
      <x:c r="N567" s="10" t="n">
        <x:f>K567-L567-M567</x:f>
        <x:v>20056.663752122327</x:v>
      </x:c>
      <x:c r="O567" s="10" t="n">
        <x:f>H567*'Assumptions'!$P$77*'Assumptions'!$Q$77*'Assumptions'!$D$11*(1+'Assumptions'!$D$13)^(5-1)</x:f>
        <x:v>5940.744486520495</x:v>
      </x:c>
      <x:c r="P567" s="10" t="n">
        <x:f>H567*'Assumptions'!$R$77*'Assumptions'!$D$11*(1+'Assumptions'!$D$13)^(5-1)</x:f>
        <x:v>0</x:v>
      </x:c>
      <x:c r="Q567" s="10" t="n">
        <x:f>J567*'Assumptions'!$S$77</x:f>
        <x:v>0</x:v>
      </x:c>
      <x:c r="R567" s="10" t="n">
        <x:f>H567*'Assumptions'!$Y$77*'Assumptions'!$Z$77*'Assumptions'!$D$11*(1+'Assumptions'!$D$13)^(5-1)</x:f>
        <x:v>3394.711135154569</x:v>
      </x:c>
      <x:c r="S567" s="10" t="n">
        <x:f>IF(I567=0,0,J567*'Assumptions'!$W$77+H567*'Assumptions'!$X$77)</x:f>
        <x:v>901.2479027696365</x:v>
      </x:c>
      <x:c r="T567" s="10" t="n">
        <x:f>N567*'Assumptions'!$AA$77</x:f>
        <x:v>1002.8331876061164</x:v>
      </x:c>
      <x:c r="U567" s="10" t="n">
        <x:f>'Assumptions'!$AE$77*'Assumptions'!$D$11*(1+'Assumptions'!$D$13)^(5-1)</x:f>
        <x:v>0</x:v>
      </x:c>
      <x:c r="V567" s="10" t="n">
        <x:f>0</x:f>
        <x:v>0</x:v>
      </x:c>
      <x:c r="W567" s="10" t="n">
        <x:f>H567*('Assumptions'!$P$77+'Assumptions'!$Y$77)</x:f>
        <x:v>251.34640624999997</x:v>
      </x:c>
      <x:c r="X567" s="10" t="n">
        <x:f>N567/12*'Assumptions'!$AF$77</x:f>
        <x:v>0</x:v>
      </x:c>
      <x:c r="Y567" s="10" t="n">
        <x:f>P567/12</x:f>
        <x:v>0</x:v>
      </x:c>
      <x:c r="Z567" s="10" t="n">
        <x:f>0</x:f>
        <x:v>0</x:v>
      </x:c>
      <x:c r="AA567" s="10" t="n">
        <x:f>Z567*'Assumptions'!$AC$77*'Assumptions'!$D$11*(1+'Assumptions'!$D$13)^(5-1)</x:f>
        <x:v>0</x:v>
      </x:c>
      <x:c r="AB567" s="10" t="n">
        <x:f>F567/1</x:f>
        <x:v>787.0528124999998</x:v>
      </x:c>
      <x:c r="AC567" s="10" t="n">
        <x:f>AB567/'Assumptions'!$AM$77</x:f>
        <x:v>15741.056249999996</x:v>
      </x:c>
      <x:c r="AD567" s="10" t="n">
        <x:f>IF(AB567=0,0,T567/AB567)</x:f>
        <x:v>1.2741625106715653</x:v>
      </x:c>
      <x:c r="AE567" s="10" t="n">
        <x:f>AA567*'Assumptions'!$D$21</x:f>
        <x:v>0</x:v>
      </x:c>
    </x:row>
    <x:row r="568" ht="16" customHeight="1">
      <x:c r="A568" s="1"/>
      <x:c r="B568" s="1"/>
      <x:c r="C568" s="1" t="str">
        <x:v>DOT-049</x:v>
      </x:c>
      <x:c r="D568" s="10" t="str">
        <x:v>Turbo Tax - Made Easy!</x:v>
      </x:c>
      <x:c r="E568" s="10" t="n">
        <x:v>5</x:v>
      </x:c>
      <x:c r="F568" s="21" t="n">
        <x:f>F440*(1+'Assumptions'!$L$78)</x:f>
        <x:v>262.35093749999993</x:v>
      </x:c>
      <x:c r="G568" s="21" t="n">
        <x:f>H440*'Assumptions'!$K$78</x:f>
        <x:v>72.51718749999998</x:v>
      </x:c>
      <x:c r="H568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568+G568,NA())</x:f>
        <x:v>334.8681249999999</x:v>
      </x:c>
      <x:c r="I568" s="22" t="n">
        <x:f>'Assumptions'!$H$78*IF('Assumptions'!$O$78=1,1,'Assumptions'!$D$10)*(1+'Assumptions'!$N$78)^(5-1)</x:f>
        <x:v>20.56621104</x:v>
      </x:c>
      <x:c r="J568" s="10" t="n">
        <x:f>H568*I568</x:f>
        <x:v>6886.968529319098</x:v>
      </x:c>
      <x:c r="K568" s="10" t="n">
        <x:f>J568*'Assumptions'!$T$78</x:f>
        <x:v>6886.968529319098</x:v>
      </x:c>
      <x:c r="L568" s="10" t="n">
        <x:f>K568*'Assumptions'!$U$78</x:f>
        <x:v>206.60905587957294</x:v>
      </x:c>
      <x:c r="M568" s="10" t="n">
        <x:f>K568*'Assumptions'!$V$78</x:f>
        <x:v>0</x:v>
      </x:c>
      <x:c r="N568" s="10" t="n">
        <x:f>K568-L568-M568</x:f>
        <x:v>6680.359473439525</x:v>
      </x:c>
      <x:c r="O568" s="10" t="n">
        <x:f>H568*'Assumptions'!$P$78*'Assumptions'!$Q$78*'Assumptions'!$D$11*(1+'Assumptions'!$D$13)^(5-1)</x:f>
        <x:v>1978.7093805973261</x:v>
      </x:c>
      <x:c r="P568" s="10" t="n">
        <x:f>H568*'Assumptions'!$R$78*'Assumptions'!$D$11*(1+'Assumptions'!$D$13)^(5-1)</x:f>
        <x:v>0</x:v>
      </x:c>
      <x:c r="Q568" s="10" t="n">
        <x:f>J568*'Assumptions'!$S$78</x:f>
        <x:v>0</x:v>
      </x:c>
      <x:c r="R568" s="10" t="n">
        <x:f>H568*'Assumptions'!$Y$78*'Assumptions'!$Z$78*'Assumptions'!$D$11*(1+'Assumptions'!$D$13)^(5-1)</x:f>
        <x:v>1130.6910746270437</x:v>
      </x:c>
      <x:c r="S568" s="10" t="n">
        <x:f>IF(I568=0,0,J568*'Assumptions'!$W$78+H568*'Assumptions'!$X$78)</x:f>
        <x:v>300.1825248502538</x:v>
      </x:c>
      <x:c r="T568" s="10" t="n">
        <x:f>N568*'Assumptions'!$AA$78</x:f>
        <x:v>334.0179736719763</x:v>
      </x:c>
      <x:c r="U568" s="10" t="n">
        <x:f>'Assumptions'!$AE$78*'Assumptions'!$D$11*(1+'Assumptions'!$D$13)^(5-1)</x:f>
        <x:v>0</x:v>
      </x:c>
      <x:c r="V568" s="10" t="n">
        <x:f>0</x:f>
        <x:v>0</x:v>
      </x:c>
      <x:c r="W568" s="10" t="n">
        <x:f>H568*('Assumptions'!$P$78+'Assumptions'!$Y$78)</x:f>
        <x:v>83.71703124999998</x:v>
      </x:c>
      <x:c r="X568" s="10" t="n">
        <x:f>N568/12*'Assumptions'!$AF$78</x:f>
        <x:v>0</x:v>
      </x:c>
      <x:c r="Y568" s="10" t="n">
        <x:f>P568/12</x:f>
        <x:v>0</x:v>
      </x:c>
      <x:c r="Z568" s="10" t="n">
        <x:f>0</x:f>
        <x:v>0</x:v>
      </x:c>
      <x:c r="AA568" s="10" t="n">
        <x:f>Z568*'Assumptions'!$AC$78*'Assumptions'!$D$11*(1+'Assumptions'!$D$13)^(5-1)</x:f>
        <x:v>0</x:v>
      </x:c>
      <x:c r="AB568" s="10" t="n">
        <x:f>F568/1</x:f>
        <x:v>262.35093749999993</x:v>
      </x:c>
      <x:c r="AC568" s="10" t="n">
        <x:f>AB568/'Assumptions'!$AM$78</x:f>
        <x:v>5247.018749999998</x:v>
      </x:c>
      <x:c r="AD568" s="10" t="n">
        <x:f>IF(AB568=0,0,T568/AB568)</x:f>
        <x:v>1.2731724035557386</x:v>
      </x:c>
      <x:c r="AE568" s="10" t="n">
        <x:f>AA568*'Assumptions'!$D$21</x:f>
        <x:v>0</x:v>
      </x:c>
    </x:row>
    <x:row r="569" ht="16" customHeight="1">
      <x:c r="A569" s="1"/>
      <x:c r="B569" s="1"/>
      <x:c r="C569" s="1" t="str">
        <x:v>DOT-050</x:v>
      </x:c>
      <x:c r="D569" s="10" t="str">
        <x:v>LavaLearning adult</x:v>
      </x:c>
      <x:c r="E569" s="10" t="n">
        <x:v>5</x:v>
      </x:c>
      <x:c r="F569" s="21" t="n">
        <x:f>F441*(1+'Assumptions'!$L$79)</x:f>
        <x:v>787.0528124999998</x:v>
      </x:c>
      <x:c r="G569" s="21" t="n">
        <x:f>H441*'Assumptions'!$K$79</x:f>
        <x:v>218.1375</x:v>
      </x:c>
      <x:c r="H569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569+G569,NA())</x:f>
        <x:v>1005.1903124999999</x:v>
      </x:c>
      <x:c r="I569" s="22" t="n">
        <x:f>'Assumptions'!$H$79*IF('Assumptions'!$O$79=1,1,'Assumptions'!$D$10)*(1+'Assumptions'!$N$79)^(5-1)</x:f>
        <x:v>20.56621104</x:v>
      </x:c>
      <x:c r="J569" s="10" t="n">
        <x:f>H569*I569</x:f>
        <x:v>20672.956102238546</x:v>
      </x:c>
      <x:c r="K569" s="10" t="n">
        <x:f>J569*'Assumptions'!$T$79</x:f>
        <x:v>20672.956102238546</x:v>
      </x:c>
      <x:c r="L569" s="10" t="n">
        <x:f>K569*'Assumptions'!$U$79</x:f>
        <x:v>620.1886830671564</x:v>
      </x:c>
      <x:c r="M569" s="10" t="n">
        <x:f>K569*'Assumptions'!$V$79</x:f>
        <x:v>0</x:v>
      </x:c>
      <x:c r="N569" s="10" t="n">
        <x:f>K569-L569-M569</x:f>
        <x:v>20052.76741917139</x:v>
      </x:c>
      <x:c r="O569" s="10" t="n">
        <x:f>H569*'Assumptions'!$P$79*'Assumptions'!$Q$79*'Assumptions'!$D$11*(1+'Assumptions'!$D$13)^(5-1)</x:f>
        <x:v>5939.590400338367</x:v>
      </x:c>
      <x:c r="P569" s="10" t="n">
        <x:f>H569*'Assumptions'!$R$79*'Assumptions'!$D$11*(1+'Assumptions'!$D$13)^(5-1)</x:f>
        <x:v>0</x:v>
      </x:c>
      <x:c r="Q569" s="10" t="n">
        <x:f>J569*'Assumptions'!$S$79</x:f>
        <x:v>0</x:v>
      </x:c>
      <x:c r="R569" s="10" t="n">
        <x:f>H569*'Assumptions'!$Y$79*'Assumptions'!$Z$79*'Assumptions'!$D$11*(1+'Assumptions'!$D$13)^(5-1)</x:f>
        <x:v>3394.05165733621</x:v>
      </x:c>
      <x:c r="S569" s="10" t="n">
        <x:f>IF(I569=0,0,J569*'Assumptions'!$W$79+H569*'Assumptions'!$X$79)</x:f>
        <x:v>901.072820714918</x:v>
      </x:c>
      <x:c r="T569" s="10" t="n">
        <x:f>N569*'Assumptions'!$AA$79</x:f>
        <x:v>1002.6383709585695</x:v>
      </x:c>
      <x:c r="U569" s="10" t="n">
        <x:f>'Assumptions'!$AE$79*'Assumptions'!$D$11*(1+'Assumptions'!$D$13)^(5-1)</x:f>
        <x:v>0</x:v>
      </x:c>
      <x:c r="V569" s="10" t="n">
        <x:f>0</x:f>
        <x:v>0</x:v>
      </x:c>
      <x:c r="W569" s="10" t="n">
        <x:f>H569*('Assumptions'!$P$79+'Assumptions'!$Y$79)</x:f>
        <x:v>251.29757812499997</x:v>
      </x:c>
      <x:c r="X569" s="10" t="n">
        <x:f>N569/12*'Assumptions'!$AF$79</x:f>
        <x:v>0</x:v>
      </x:c>
      <x:c r="Y569" s="10" t="n">
        <x:f>P569/12</x:f>
        <x:v>0</x:v>
      </x:c>
      <x:c r="Z569" s="10" t="n">
        <x:f>0</x:f>
        <x:v>0</x:v>
      </x:c>
      <x:c r="AA569" s="10" t="n">
        <x:f>Z569*'Assumptions'!$AC$79*'Assumptions'!$D$11*(1+'Assumptions'!$D$13)^(5-1)</x:f>
        <x:v>0</x:v>
      </x:c>
      <x:c r="AB569" s="10" t="n">
        <x:f>F569/1</x:f>
        <x:v>787.0528124999998</x:v>
      </x:c>
      <x:c r="AC569" s="10" t="n">
        <x:f>AB569/'Assumptions'!$AM$79</x:f>
        <x:v>15741.056249999996</x:v>
      </x:c>
      <x:c r="AD569" s="10" t="n">
        <x:f>IF(AB569=0,0,T569/AB569)</x:f>
        <x:v>1.2739149838926085</x:v>
      </x:c>
      <x:c r="AE569" s="10" t="n">
        <x:f>AA569*'Assumptions'!$D$21</x:f>
        <x:v>0</x:v>
      </x:c>
    </x:row>
    <x:row r="570" ht="16" customHeight="1">
      <x:c r="A570" s="1"/>
      <x:c r="B570" s="1"/>
      <x:c r="C570" s="1" t="str">
        <x:v>DOT-051</x:v>
      </x:c>
      <x:c r="D570" s="10" t="str">
        <x:v>LavaLearning adult</x:v>
      </x:c>
      <x:c r="E570" s="10" t="n">
        <x:v>5</x:v>
      </x:c>
      <x:c r="F570" s="21" t="n">
        <x:f>F442*(1+'Assumptions'!$L$80)</x:f>
        <x:v>157.41056249999994</x:v>
      </x:c>
      <x:c r="G570" s="21" t="n">
        <x:f>H442*'Assumptions'!$K$80</x:f>
        <x:v>43.51031249999999</x:v>
      </x:c>
      <x:c r="H570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570+G570,NA())</x:f>
        <x:v>200.92087499999994</x:v>
      </x:c>
      <x:c r="I570" s="22" t="n">
        <x:f>'Assumptions'!$H$80*IF('Assumptions'!$O$80=1,1,'Assumptions'!$D$10)*(1+'Assumptions'!$N$80)^(5-1)</x:f>
        <x:v>31.39053264</x:v>
      </x:c>
      <x:c r="J570" s="10" t="n">
        <x:f>H570*I570</x:f>
        <x:v>6307.013284744858</x:v>
      </x:c>
      <x:c r="K570" s="10" t="n">
        <x:f>J570*'Assumptions'!$T$80</x:f>
        <x:v>6307.013284744858</x:v>
      </x:c>
      <x:c r="L570" s="10" t="n">
        <x:f>K570*'Assumptions'!$U$80</x:f>
        <x:v>189.21039854234573</x:v>
      </x:c>
      <x:c r="M570" s="10" t="n">
        <x:f>K570*'Assumptions'!$V$80</x:f>
        <x:v>0</x:v>
      </x:c>
      <x:c r="N570" s="10" t="n">
        <x:f>K570-L570-M570</x:f>
        <x:v>6117.802886202512</x:v>
      </x:c>
      <x:c r="O570" s="10" t="n">
        <x:f>H570*'Assumptions'!$P$80*'Assumptions'!$Q$80*'Assumptions'!$D$11*(1+'Assumptions'!$D$13)^(5-1)</x:f>
        <x:v>1187.2256283583956</x:v>
      </x:c>
      <x:c r="P570" s="10" t="n">
        <x:f>H570*'Assumptions'!$R$80*'Assumptions'!$D$11*(1+'Assumptions'!$D$13)^(5-1)</x:f>
        <x:v>0</x:v>
      </x:c>
      <x:c r="Q570" s="10" t="n">
        <x:f>J570*'Assumptions'!$S$80</x:f>
        <x:v>0</x:v>
      </x:c>
      <x:c r="R570" s="10" t="n">
        <x:f>H570*'Assumptions'!$Y$80*'Assumptions'!$Z$80*'Assumptions'!$D$11*(1+'Assumptions'!$D$13)^(5-1)</x:f>
        <x:v>678.4146447762262</x:v>
      </x:c>
      <x:c r="S570" s="10" t="n">
        <x:f>IF(I570=0,0,J570*'Assumptions'!$W$80+H570*'Assumptions'!$X$80)</x:f>
        <x:v>243.17964775760086</x:v>
      </x:c>
      <x:c r="T570" s="10" t="n">
        <x:f>N570*'Assumptions'!$AA$80</x:f>
        <x:v>305.8901443101256</x:v>
      </x:c>
      <x:c r="U570" s="10" t="n">
        <x:f>'Assumptions'!$AE$80*'Assumptions'!$D$11*(1+'Assumptions'!$D$13)^(5-1)</x:f>
        <x:v>0</x:v>
      </x:c>
      <x:c r="V570" s="10" t="n">
        <x:f>0</x:f>
        <x:v>0</x:v>
      </x:c>
      <x:c r="W570" s="10" t="n">
        <x:f>H570*('Assumptions'!$P$80+'Assumptions'!$Y$80)</x:f>
        <x:v>50.230218749999985</x:v>
      </x:c>
      <x:c r="X570" s="10" t="n">
        <x:f>N570/12*'Assumptions'!$AF$80</x:f>
        <x:v>0</x:v>
      </x:c>
      <x:c r="Y570" s="10" t="n">
        <x:f>P570/12</x:f>
        <x:v>0</x:v>
      </x:c>
      <x:c r="Z570" s="10" t="n">
        <x:f>0</x:f>
        <x:v>0</x:v>
      </x:c>
      <x:c r="AA570" s="10" t="n">
        <x:f>Z570*'Assumptions'!$AC$80*'Assumptions'!$D$11*(1+'Assumptions'!$D$13)^(5-1)</x:f>
        <x:v>0</x:v>
      </x:c>
      <x:c r="AB570" s="10" t="n">
        <x:f>F570/1</x:f>
        <x:v>157.41056249999994</x:v>
      </x:c>
      <x:c r="AC570" s="10" t="n">
        <x:f>AB570/'Assumptions'!$AM$80</x:f>
        <x:v>3148.2112499999985</x:v>
      </x:c>
      <x:c r="AD570" s="10" t="n">
        <x:f>IF(AB570=0,0,T570/AB570)</x:f>
        <x:v>1.9432631422692852</x:v>
      </x:c>
      <x:c r="AE570" s="10" t="n">
        <x:f>AA570*'Assumptions'!$D$21</x:f>
        <x:v>0</x:v>
      </x:c>
    </x:row>
    <x:row r="571" ht="16" customHeight="1">
      <x:c r="A571" s="1"/>
      <x:c r="B571" s="1"/>
      <x:c r="C571" s="1" t="str">
        <x:v>DOT-052</x:v>
      </x:c>
      <x:c r="D571" s="10" t="str">
        <x:v>LavaLearning Model Life</x:v>
      </x:c>
      <x:c r="E571" s="10" t="n">
        <x:v>5</x:v>
      </x:c>
      <x:c r="F571" s="21" t="n">
        <x:f>F443*(1+'Assumptions'!$L$81)</x:f>
        <x:v>0</x:v>
      </x:c>
      <x:c r="G571" s="21" t="n">
        <x:f>H443*'Assumptions'!$K$81</x:f>
        <x:v>0</x:v>
      </x:c>
      <x:c r="H571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571+G571,NA())</x:f>
        <x:v>0</x:v>
      </x:c>
      <x:c r="I571" s="22" t="n">
        <x:f>'Assumptions'!$H$81*IF('Assumptions'!$O$81=1,1,'Assumptions'!$D$10)*(1+'Assumptions'!$N$81)^(5-1)</x:f>
        <x:v>0</x:v>
      </x:c>
      <x:c r="J571" s="10" t="n">
        <x:f>H571*I571</x:f>
        <x:v>0</x:v>
      </x:c>
      <x:c r="K571" s="10" t="n">
        <x:f>J571*'Assumptions'!$T$81</x:f>
        <x:v>0</x:v>
      </x:c>
      <x:c r="L571" s="10" t="n">
        <x:f>K571*'Assumptions'!$U$81</x:f>
        <x:v>0</x:v>
      </x:c>
      <x:c r="M571" s="10" t="n">
        <x:f>K571*'Assumptions'!$V$81</x:f>
        <x:v>0</x:v>
      </x:c>
      <x:c r="N571" s="10" t="n">
        <x:f>K571-L571-M571</x:f>
        <x:v>0</x:v>
      </x:c>
      <x:c r="O571" s="10" t="n">
        <x:f>H571*'Assumptions'!$P$81*'Assumptions'!$Q$81*'Assumptions'!$D$11*(1+'Assumptions'!$D$13)^(5-1)</x:f>
        <x:v>0</x:v>
      </x:c>
      <x:c r="P571" s="10" t="n">
        <x:f>H571*'Assumptions'!$R$81*'Assumptions'!$D$11*(1+'Assumptions'!$D$13)^(5-1)</x:f>
        <x:v>0</x:v>
      </x:c>
      <x:c r="Q571" s="10" t="n">
        <x:f>J571*'Assumptions'!$S$81</x:f>
        <x:v>0</x:v>
      </x:c>
      <x:c r="R571" s="10" t="n">
        <x:f>H571*'Assumptions'!$Y$81*'Assumptions'!$Z$81*'Assumptions'!$D$11*(1+'Assumptions'!$D$13)^(5-1)</x:f>
        <x:v>0</x:v>
      </x:c>
      <x:c r="S571" s="10" t="n">
        <x:f>IF(I571=0,0,J571*'Assumptions'!$W$81+H571*'Assumptions'!$X$81)</x:f>
        <x:v>0</x:v>
      </x:c>
      <x:c r="T571" s="10" t="n">
        <x:f>N571*'Assumptions'!$AA$81</x:f>
        <x:v>0</x:v>
      </x:c>
      <x:c r="U571" s="10" t="n">
        <x:f>'Assumptions'!$AE$81*'Assumptions'!$D$11*(1+'Assumptions'!$D$13)^(5-1)</x:f>
        <x:v>0</x:v>
      </x:c>
      <x:c r="V571" s="10" t="n">
        <x:f>0</x:f>
        <x:v>0</x:v>
      </x:c>
      <x:c r="W571" s="10" t="n">
        <x:f>H571*('Assumptions'!$P$81+'Assumptions'!$Y$81)</x:f>
        <x:v>0</x:v>
      </x:c>
      <x:c r="X571" s="10" t="n">
        <x:f>N571/12*'Assumptions'!$AF$81</x:f>
        <x:v>0</x:v>
      </x:c>
      <x:c r="Y571" s="10" t="n">
        <x:f>P571/12</x:f>
        <x:v>0</x:v>
      </x:c>
      <x:c r="Z571" s="10" t="n">
        <x:f>0</x:f>
        <x:v>0</x:v>
      </x:c>
      <x:c r="AA571" s="10" t="n">
        <x:f>Z571*'Assumptions'!$AC$81*'Assumptions'!$D$11*(1+'Assumptions'!$D$13)^(5-1)</x:f>
        <x:v>0</x:v>
      </x:c>
      <x:c r="AB571" s="10" t="n">
        <x:f>F571/1</x:f>
        <x:v>0</x:v>
      </x:c>
      <x:c r="AC571" s="10" t="n">
        <x:f>AB571/'Assumptions'!$AM$81</x:f>
        <x:v>0</x:v>
      </x:c>
      <x:c r="AD571" s="10" t="n">
        <x:f>IF(AB571=0,0,T571/AB571)</x:f>
        <x:v>0</x:v>
      </x:c>
      <x:c r="AE571" s="10" t="n">
        <x:f>AA571*'Assumptions'!$D$21</x:f>
        <x:v>0</x:v>
      </x:c>
    </x:row>
    <x:row r="572" ht="16" customHeight="1">
      <x:c r="A572" s="1"/>
      <x:c r="B572" s="1"/>
      <x:c r="C572" s="1" t="str">
        <x:v>DOT-053</x:v>
      </x:c>
      <x:c r="D572" s="10" t="str">
        <x:v>LavaLearning Kids</x:v>
      </x:c>
      <x:c r="E572" s="10" t="n">
        <x:v>5</x:v>
      </x:c>
      <x:c r="F572" s="21" t="n">
        <x:f>F444*(1+'Assumptions'!$L$82)</x:f>
        <x:v>787.0528124999998</x:v>
      </x:c>
      <x:c r="G572" s="21" t="n">
        <x:f>H444*'Assumptions'!$K$82</x:f>
        <x:v>217.5515625</x:v>
      </x:c>
      <x:c r="H572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572+G572,NA())</x:f>
        <x:v>1004.6043749999999</x:v>
      </x:c>
      <x:c r="I572" s="22" t="n">
        <x:f>'Assumptions'!$H$82*IF('Assumptions'!$O$82=1,1,'Assumptions'!$D$10)*(1+'Assumptions'!$N$82)^(5-1)</x:f>
        <x:v>20.56621104</x:v>
      </x:c>
      <x:c r="J572" s="10" t="n">
        <x:f>H572*I572</x:f>
        <x:v>20660.905587957295</x:v>
      </x:c>
      <x:c r="K572" s="10" t="n">
        <x:f>J572*'Assumptions'!$T$82</x:f>
        <x:v>20660.905587957295</x:v>
      </x:c>
      <x:c r="L572" s="10" t="n">
        <x:f>K572*'Assumptions'!$U$82</x:f>
        <x:v>619.8271676387188</x:v>
      </x:c>
      <x:c r="M572" s="10" t="n">
        <x:f>K572*'Assumptions'!$V$82</x:f>
        <x:v>0</x:v>
      </x:c>
      <x:c r="N572" s="10" t="n">
        <x:f>K572-L572-M572</x:f>
        <x:v>20041.078420318576</x:v>
      </x:c>
      <x:c r="O572" s="10" t="n">
        <x:f>H572*'Assumptions'!$P$82*'Assumptions'!$Q$82*'Assumptions'!$D$11*(1+'Assumptions'!$D$13)^(5-1)</x:f>
        <x:v>5936.12814179198</x:v>
      </x:c>
      <x:c r="P572" s="10" t="n">
        <x:f>H572*'Assumptions'!$R$82*'Assumptions'!$D$11*(1+'Assumptions'!$D$13)^(5-1)</x:f>
        <x:v>0</x:v>
      </x:c>
      <x:c r="Q572" s="10" t="n">
        <x:f>J572*'Assumptions'!$S$82</x:f>
        <x:v>0</x:v>
      </x:c>
      <x:c r="R572" s="10" t="n">
        <x:f>H572*'Assumptions'!$Y$82*'Assumptions'!$Z$82*'Assumptions'!$D$11*(1+'Assumptions'!$D$13)^(5-1)</x:f>
        <x:v>3392.073223881132</x:v>
      </x:c>
      <x:c r="S572" s="10" t="n">
        <x:f>IF(I572=0,0,J572*'Assumptions'!$W$82+H572*'Assumptions'!$X$82)</x:f>
        <x:v>900.5475745507615</x:v>
      </x:c>
      <x:c r="T572" s="10" t="n">
        <x:f>N572*'Assumptions'!$AA$82</x:f>
        <x:v>1002.0539210159288</x:v>
      </x:c>
      <x:c r="U572" s="10" t="n">
        <x:f>'Assumptions'!$AE$82*'Assumptions'!$D$11*(1+'Assumptions'!$D$13)^(5-1)</x:f>
        <x:v>270.12211440000004</x:v>
      </x:c>
      <x:c r="V572" s="10" t="n">
        <x:f>0</x:f>
        <x:v>0</x:v>
      </x:c>
      <x:c r="W572" s="10" t="n">
        <x:f>H572*('Assumptions'!$P$82+'Assumptions'!$Y$82)</x:f>
        <x:v>251.15109374999997</x:v>
      </x:c>
      <x:c r="X572" s="10" t="n">
        <x:f>N572/12*'Assumptions'!$AF$82</x:f>
        <x:v>0</x:v>
      </x:c>
      <x:c r="Y572" s="10" t="n">
        <x:f>P572/12</x:f>
        <x:v>0</x:v>
      </x:c>
      <x:c r="Z572" s="10" t="n">
        <x:f>0</x:f>
        <x:v>0</x:v>
      </x:c>
      <x:c r="AA572" s="10" t="n">
        <x:f>Z572*'Assumptions'!$AC$82*'Assumptions'!$D$11*(1+'Assumptions'!$D$13)^(5-1)</x:f>
        <x:v>0</x:v>
      </x:c>
      <x:c r="AB572" s="10" t="n">
        <x:f>F572/1</x:f>
        <x:v>787.0528124999998</x:v>
      </x:c>
      <x:c r="AC572" s="10" t="n">
        <x:f>AB572/'Assumptions'!$AM$82</x:f>
        <x:v>15741.056249999996</x:v>
      </x:c>
      <x:c r="AD572" s="10" t="n">
        <x:f>IF(AB572=0,0,T572/AB572)</x:f>
        <x:v>1.2731724035557386</x:v>
      </x:c>
      <x:c r="AE572" s="10" t="n">
        <x:f>AA572*'Assumptions'!$D$21</x:f>
        <x:v>0</x:v>
      </x:c>
    </x:row>
    <x:row r="573" ht="16" customHeight="1">
      <x:c r="A573" s="1"/>
      <x:c r="B573" s="1"/>
      <x:c r="C573" s="1" t="str">
        <x:v>DOT-054</x:v>
      </x:c>
      <x:c r="D573" s="10" t="str">
        <x:v>VraiSkill adult</x:v>
      </x:c>
      <x:c r="E573" s="10" t="n">
        <x:v>5</x:v>
      </x:c>
      <x:c r="F573" s="21" t="n">
        <x:f>F445*(1+'Assumptions'!$L$83)</x:f>
        <x:v>1574.1056249999997</x:v>
      </x:c>
      <x:c r="G573" s="21" t="n">
        <x:f>H445*'Assumptions'!$K$83</x:f>
        <x:v>436.275</x:v>
      </x:c>
      <x:c r="H573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573+G573,NA())</x:f>
        <x:v>2010.3806249999998</x:v>
      </x:c>
      <x:c r="I573" s="22" t="n">
        <x:f>'Assumptions'!$H$83*IF('Assumptions'!$O$83=1,1,'Assumptions'!$D$10)*(1+'Assumptions'!$N$83)^(5-1)</x:f>
        <x:v>10.8134972784</x:v>
      </x:c>
      <x:c r="J573" s="10" t="n">
        <x:f>H573*I573</x:f>
        <x:v>21739.24541698559</x:v>
      </x:c>
      <x:c r="K573" s="10" t="n">
        <x:f>J573*'Assumptions'!$T$83</x:f>
        <x:v>21739.24541698559</x:v>
      </x:c>
      <x:c r="L573" s="10" t="n">
        <x:f>K573*'Assumptions'!$U$83</x:f>
        <x:v>652.1773625095676</x:v>
      </x:c>
      <x:c r="M573" s="10" t="n">
        <x:f>K573*'Assumptions'!$V$83</x:f>
        <x:v>0</x:v>
      </x:c>
      <x:c r="N573" s="10" t="n">
        <x:f>K573-L573-M573</x:f>
        <x:v>21087.06805447602</x:v>
      </x:c>
      <x:c r="O573" s="10" t="n">
        <x:f>H573*'Assumptions'!$P$83*'Assumptions'!$Q$83*'Assumptions'!$D$11*(1+'Assumptions'!$D$13)^(5-1)</x:f>
        <x:v>11879.180800676733</x:v>
      </x:c>
      <x:c r="P573" s="10" t="n">
        <x:f>H573*'Assumptions'!$R$83*'Assumptions'!$D$11*(1+'Assumptions'!$D$13)^(5-1)</x:f>
        <x:v>0</x:v>
      </x:c>
      <x:c r="Q573" s="10" t="n">
        <x:f>J573*'Assumptions'!$S$83</x:f>
        <x:v>0</x:v>
      </x:c>
      <x:c r="R573" s="10" t="n">
        <x:f>H573*'Assumptions'!$Y$83*'Assumptions'!$Z$83*'Assumptions'!$D$11*(1+'Assumptions'!$D$13)^(5-1)</x:f>
        <x:v>6788.10331467242</x:v>
      </x:c>
      <x:c r="S573" s="10" t="n">
        <x:f>IF(I573=0,0,J573*'Assumptions'!$W$83+H573*'Assumptions'!$X$83)</x:f>
        <x:v>1233.552304592582</x:v>
      </x:c>
      <x:c r="T573" s="10" t="n">
        <x:f>N573*'Assumptions'!$AA$83</x:f>
        <x:v>1054.353402723801</x:v>
      </x:c>
      <x:c r="U573" s="10" t="n">
        <x:f>'Assumptions'!$AE$83*'Assumptions'!$D$11*(1+'Assumptions'!$D$13)^(5-1)</x:f>
        <x:v>270.12211440000004</x:v>
      </x:c>
      <x:c r="V573" s="10" t="n">
        <x:f>0</x:f>
        <x:v>0</x:v>
      </x:c>
      <x:c r="W573" s="10" t="n">
        <x:f>H573*('Assumptions'!$P$83+'Assumptions'!$Y$83)</x:f>
        <x:v>502.59515624999995</x:v>
      </x:c>
      <x:c r="X573" s="10" t="n">
        <x:f>N573/12*'Assumptions'!$AF$83</x:f>
        <x:v>0</x:v>
      </x:c>
      <x:c r="Y573" s="10" t="n">
        <x:f>P573/12</x:f>
        <x:v>0</x:v>
      </x:c>
      <x:c r="Z573" s="10" t="n">
        <x:f>0</x:f>
        <x:v>0</x:v>
      </x:c>
      <x:c r="AA573" s="10" t="n">
        <x:f>Z573*'Assumptions'!$AC$83*'Assumptions'!$D$11*(1+'Assumptions'!$D$13)^(5-1)</x:f>
        <x:v>0</x:v>
      </x:c>
      <x:c r="AB573" s="10" t="n">
        <x:f>F573/1</x:f>
        <x:v>1574.1056249999997</x:v>
      </x:c>
      <x:c r="AC573" s="10" t="n">
        <x:f>AB573/'Assumptions'!$AM$83</x:f>
        <x:v>31482.112499999992</x:v>
      </x:c>
      <x:c r="AD573" s="10" t="n">
        <x:f>IF(AB573=0,0,T573/AB573)</x:f>
        <x:v>0.6698110888993242</x:v>
      </x:c>
      <x:c r="AE573" s="10" t="n">
        <x:f>AA573*'Assumptions'!$D$21</x:f>
        <x:v>0</x:v>
      </x:c>
    </x:row>
    <x:row r="574" ht="16" customHeight="1">
      <x:c r="A574" s="1"/>
      <x:c r="B574" s="1"/>
      <x:c r="C574" s="1" t="str">
        <x:v>DOT-055</x:v>
      </x:c>
      <x:c r="D574" s="10" t="str">
        <x:v>VraiSkill adult</x:v>
      </x:c>
      <x:c r="E574" s="10" t="n">
        <x:v>5</x:v>
      </x:c>
      <x:c r="F574" s="21" t="n">
        <x:f>F446*(1+'Assumptions'!$L$84)</x:f>
        <x:v>524.7018749999999</x:v>
      </x:c>
      <x:c r="G574" s="21" t="n">
        <x:f>H446*'Assumptions'!$K$84</x:f>
        <x:v>145.42499999999995</x:v>
      </x:c>
      <x:c r="H574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574+G574,NA())</x:f>
        <x:v>670.1268749999998</x:v>
      </x:c>
      <x:c r="I574" s="22" t="n">
        <x:f>'Assumptions'!$H$84*IF('Assumptions'!$O$84=1,1,'Assumptions'!$D$10)*(1+'Assumptions'!$N$84)^(5-1)</x:f>
        <x:v>25.97837184</x:v>
      </x:c>
      <x:c r="J574" s="10" t="n">
        <x:f>H574*I574</x:f>
        <x:v>17408.805138727195</x:v>
      </x:c>
      <x:c r="K574" s="10" t="n">
        <x:f>J574*'Assumptions'!$T$84</x:f>
        <x:v>17408.805138727195</x:v>
      </x:c>
      <x:c r="L574" s="10" t="n">
        <x:f>K574*'Assumptions'!$U$84</x:f>
        <x:v>522.2641541618159</x:v>
      </x:c>
      <x:c r="M574" s="10" t="n">
        <x:f>K574*'Assumptions'!$V$84</x:f>
        <x:v>0</x:v>
      </x:c>
      <x:c r="N574" s="10" t="n">
        <x:f>K574-L574-M574</x:f>
        <x:v>16886.540984565378</x:v>
      </x:c>
      <x:c r="O574" s="10" t="n">
        <x:f>H574*'Assumptions'!$P$84*'Assumptions'!$Q$84*'Assumptions'!$D$11*(1+'Assumptions'!$D$13)^(5-1)</x:f>
        <x:v>3959.72693355891</x:v>
      </x:c>
      <x:c r="P574" s="10" t="n">
        <x:f>H574*'Assumptions'!$R$84*'Assumptions'!$D$11*(1+'Assumptions'!$D$13)^(5-1)</x:f>
        <x:v>0</x:v>
      </x:c>
      <x:c r="Q574" s="10" t="n">
        <x:f>J574*'Assumptions'!$S$84</x:f>
        <x:v>0</x:v>
      </x:c>
      <x:c r="R574" s="10" t="n">
        <x:f>H574*'Assumptions'!$Y$84*'Assumptions'!$Z$84*'Assumptions'!$D$11*(1+'Assumptions'!$D$13)^(5-1)</x:f>
        <x:v>2262.701104890806</x:v>
      </x:c>
      <x:c r="S574" s="10" t="n">
        <x:f>IF(I574=0,0,J574*'Assumptions'!$W$84+H574*'Assumptions'!$X$84)</x:f>
        <x:v>705.8934115230886</x:v>
      </x:c>
      <x:c r="T574" s="10" t="n">
        <x:f>N574*'Assumptions'!$AA$84</x:f>
        <x:v>844.327049228269</x:v>
      </x:c>
      <x:c r="U574" s="10" t="n">
        <x:f>'Assumptions'!$AE$84*'Assumptions'!$D$11*(1+'Assumptions'!$D$13)^(5-1)</x:f>
        <x:v>0</x:v>
      </x:c>
      <x:c r="V574" s="10" t="n">
        <x:f>0</x:f>
        <x:v>0</x:v>
      </x:c>
      <x:c r="W574" s="10" t="n">
        <x:f>H574*('Assumptions'!$P$84+'Assumptions'!$Y$84)</x:f>
        <x:v>167.53171874999995</x:v>
      </x:c>
      <x:c r="X574" s="10" t="n">
        <x:f>N574/12*'Assumptions'!$AF$84</x:f>
        <x:v>0</x:v>
      </x:c>
      <x:c r="Y574" s="10" t="n">
        <x:f>P574/12</x:f>
        <x:v>0</x:v>
      </x:c>
      <x:c r="Z574" s="10" t="n">
        <x:f>0</x:f>
        <x:v>0</x:v>
      </x:c>
      <x:c r="AA574" s="10" t="n">
        <x:f>Z574*'Assumptions'!$AC$84*'Assumptions'!$D$11*(1+'Assumptions'!$D$13)^(5-1)</x:f>
        <x:v>0</x:v>
      </x:c>
      <x:c r="AB574" s="10" t="n">
        <x:f>F574/1</x:f>
        <x:v>524.7018749999999</x:v>
      </x:c>
      <x:c r="AC574" s="10" t="n">
        <x:f>AB574/'Assumptions'!$AM$84</x:f>
        <x:v>10494.037499999997</x:v>
      </x:c>
      <x:c r="AD574" s="10" t="n">
        <x:f>IF(AB574=0,0,T574/AB574)</x:f>
        <x:v>1.6091557691275054</x:v>
      </x:c>
      <x:c r="AE574" s="10" t="n">
        <x:f>AA574*'Assumptions'!$D$21</x:f>
        <x:v>0</x:v>
      </x:c>
    </x:row>
    <x:row r="575" ht="16" customHeight="1">
      <x:c r="A575" s="1"/>
      <x:c r="B575" s="1"/>
      <x:c r="C575" s="1" t="str">
        <x:v>DOT-056</x:v>
      </x:c>
      <x:c r="D575" s="10" t="str">
        <x:v>VraiSkill teen</x:v>
      </x:c>
      <x:c r="E575" s="10" t="n">
        <x:v>5</x:v>
      </x:c>
      <x:c r="F575" s="21" t="n">
        <x:f>F447*(1+'Assumptions'!$L$85)</x:f>
        <x:v>524.7018749999999</x:v>
      </x:c>
      <x:c r="G575" s="21" t="n">
        <x:f>H447*'Assumptions'!$K$85</x:f>
        <x:v>145.03437499999995</x:v>
      </x:c>
      <x:c r="H575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575+G575,NA())</x:f>
        <x:v>669.7362499999998</x:v>
      </x:c>
      <x:c r="I575" s="22" t="n">
        <x:f>'Assumptions'!$H$85*IF('Assumptions'!$O$85=1,1,'Assumptions'!$D$10)*(1+'Assumptions'!$N$85)^(5-1)</x:f>
        <x:v>25.97837184</x:v>
      </x:c>
      <x:c r="J575" s="10" t="n">
        <x:f>H575*I575</x:f>
        <x:v>17398.657337227196</x:v>
      </x:c>
      <x:c r="K575" s="10" t="n">
        <x:f>J575*'Assumptions'!$T$85</x:f>
        <x:v>17398.657337227196</x:v>
      </x:c>
      <x:c r="L575" s="10" t="n">
        <x:f>K575*'Assumptions'!$U$85</x:f>
        <x:v>521.9597201168159</x:v>
      </x:c>
      <x:c r="M575" s="10" t="n">
        <x:f>K575*'Assumptions'!$V$85</x:f>
        <x:v>0</x:v>
      </x:c>
      <x:c r="N575" s="10" t="n">
        <x:f>K575-L575-M575</x:f>
        <x:v>16876.69761711038</x:v>
      </x:c>
      <x:c r="O575" s="10" t="n">
        <x:f>H575*'Assumptions'!$P$85*'Assumptions'!$Q$85*'Assumptions'!$D$11*(1+'Assumptions'!$D$13)^(5-1)</x:f>
        <x:v>3957.4187611946522</x:v>
      </x:c>
      <x:c r="P575" s="10" t="n">
        <x:f>H575*'Assumptions'!$R$85*'Assumptions'!$D$11*(1+'Assumptions'!$D$13)^(5-1)</x:f>
        <x:v>0</x:v>
      </x:c>
      <x:c r="Q575" s="10" t="n">
        <x:f>J575*'Assumptions'!$S$85</x:f>
        <x:v>0</x:v>
      </x:c>
      <x:c r="R575" s="10" t="n">
        <x:f>H575*'Assumptions'!$Y$85*'Assumptions'!$Z$85*'Assumptions'!$D$11*(1+'Assumptions'!$D$13)^(5-1)</x:f>
        <x:v>2261.3821492540874</x:v>
      </x:c>
      <x:c r="S575" s="10" t="n">
        <x:f>IF(I575=0,0,J575*'Assumptions'!$W$85+H575*'Assumptions'!$X$85)</x:f>
        <x:v>705.4819377795886</x:v>
      </x:c>
      <x:c r="T575" s="10" t="n">
        <x:f>N575*'Assumptions'!$AA$85</x:f>
        <x:v>843.8348808555191</x:v>
      </x:c>
      <x:c r="U575" s="10" t="n">
        <x:f>'Assumptions'!$AE$85*'Assumptions'!$D$11*(1+'Assumptions'!$D$13)^(5-1)</x:f>
        <x:v>270.12211440000004</x:v>
      </x:c>
      <x:c r="V575" s="10" t="n">
        <x:f>0</x:f>
        <x:v>0</x:v>
      </x:c>
      <x:c r="W575" s="10" t="n">
        <x:f>H575*('Assumptions'!$P$85+'Assumptions'!$Y$85)</x:f>
        <x:v>167.43406249999995</x:v>
      </x:c>
      <x:c r="X575" s="10" t="n">
        <x:f>N575/12*'Assumptions'!$AF$85</x:f>
        <x:v>0</x:v>
      </x:c>
      <x:c r="Y575" s="10" t="n">
        <x:f>P575/12</x:f>
        <x:v>0</x:v>
      </x:c>
      <x:c r="Z575" s="10" t="n">
        <x:f>0</x:f>
        <x:v>0</x:v>
      </x:c>
      <x:c r="AA575" s="10" t="n">
        <x:f>Z575*'Assumptions'!$AC$85*'Assumptions'!$D$11*(1+'Assumptions'!$D$13)^(5-1)</x:f>
        <x:v>0</x:v>
      </x:c>
      <x:c r="AB575" s="10" t="n">
        <x:f>F575/1</x:f>
        <x:v>524.7018749999999</x:v>
      </x:c>
      <x:c r="AC575" s="10" t="n">
        <x:f>AB575/'Assumptions'!$AM$85</x:f>
        <x:v>10494.037499999997</x:v>
      </x:c>
      <x:c r="AD575" s="10" t="n">
        <x:f>IF(AB575=0,0,T575/AB575)</x:f>
        <x:v>1.6082177729125122</x:v>
      </x:c>
      <x:c r="AE575" s="10" t="n">
        <x:f>AA575*'Assumptions'!$D$21</x:f>
        <x:v>0</x:v>
      </x:c>
    </x:row>
    <x:row r="576" ht="16" customHeight="1">
      <x:c r="A576" s="1"/>
      <x:c r="B576" s="1"/>
      <x:c r="C576" s="1" t="str">
        <x:v>DOT-057</x:v>
      </x:c>
      <x:c r="D576" s="10" t="str">
        <x:v>VraiSkill Model Life</x:v>
      </x:c>
      <x:c r="E576" s="10" t="n">
        <x:v>5</x:v>
      </x:c>
      <x:c r="F576" s="21" t="n">
        <x:f>F448*(1+'Assumptions'!$L$86)</x:f>
        <x:v>0</x:v>
      </x:c>
      <x:c r="G576" s="21" t="n">
        <x:f>H448*'Assumptions'!$K$86</x:f>
        <x:v>0</x:v>
      </x:c>
      <x:c r="H576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576+G576,NA())</x:f>
        <x:v>0</x:v>
      </x:c>
      <x:c r="I576" s="22" t="n">
        <x:f>'Assumptions'!$H$86*IF('Assumptions'!$O$86=1,1,'Assumptions'!$D$10)*(1+'Assumptions'!$N$86)^(5-1)</x:f>
        <x:v>0</x:v>
      </x:c>
      <x:c r="J576" s="10" t="n">
        <x:f>H576*I576</x:f>
        <x:v>0</x:v>
      </x:c>
      <x:c r="K576" s="10" t="n">
        <x:f>J576*'Assumptions'!$T$86</x:f>
        <x:v>0</x:v>
      </x:c>
      <x:c r="L576" s="10" t="n">
        <x:f>K576*'Assumptions'!$U$86</x:f>
        <x:v>0</x:v>
      </x:c>
      <x:c r="M576" s="10" t="n">
        <x:f>K576*'Assumptions'!$V$86</x:f>
        <x:v>0</x:v>
      </x:c>
      <x:c r="N576" s="10" t="n">
        <x:f>K576-L576-M576</x:f>
        <x:v>0</x:v>
      </x:c>
      <x:c r="O576" s="10" t="n">
        <x:f>H576*'Assumptions'!$P$86*'Assumptions'!$Q$86*'Assumptions'!$D$11*(1+'Assumptions'!$D$13)^(5-1)</x:f>
        <x:v>0</x:v>
      </x:c>
      <x:c r="P576" s="10" t="n">
        <x:f>H576*'Assumptions'!$R$86*'Assumptions'!$D$11*(1+'Assumptions'!$D$13)^(5-1)</x:f>
        <x:v>0</x:v>
      </x:c>
      <x:c r="Q576" s="10" t="n">
        <x:f>J576*'Assumptions'!$S$86</x:f>
        <x:v>0</x:v>
      </x:c>
      <x:c r="R576" s="10" t="n">
        <x:f>H576*'Assumptions'!$Y$86*'Assumptions'!$Z$86*'Assumptions'!$D$11*(1+'Assumptions'!$D$13)^(5-1)</x:f>
        <x:v>0</x:v>
      </x:c>
      <x:c r="S576" s="10" t="n">
        <x:f>IF(I576=0,0,J576*'Assumptions'!$W$86+H576*'Assumptions'!$X$86)</x:f>
        <x:v>0</x:v>
      </x:c>
      <x:c r="T576" s="10" t="n">
        <x:f>N576*'Assumptions'!$AA$86</x:f>
        <x:v>0</x:v>
      </x:c>
      <x:c r="U576" s="10" t="n">
        <x:f>'Assumptions'!$AE$86*'Assumptions'!$D$11*(1+'Assumptions'!$D$13)^(5-1)</x:f>
        <x:v>0</x:v>
      </x:c>
      <x:c r="V576" s="10" t="n">
        <x:f>0</x:f>
        <x:v>0</x:v>
      </x:c>
      <x:c r="W576" s="10" t="n">
        <x:f>H576*('Assumptions'!$P$86+'Assumptions'!$Y$86)</x:f>
        <x:v>0</x:v>
      </x:c>
      <x:c r="X576" s="10" t="n">
        <x:f>N576/12*'Assumptions'!$AF$86</x:f>
        <x:v>0</x:v>
      </x:c>
      <x:c r="Y576" s="10" t="n">
        <x:f>P576/12</x:f>
        <x:v>0</x:v>
      </x:c>
      <x:c r="Z576" s="10" t="n">
        <x:f>0</x:f>
        <x:v>0</x:v>
      </x:c>
      <x:c r="AA576" s="10" t="n">
        <x:f>Z576*'Assumptions'!$AC$86*'Assumptions'!$D$11*(1+'Assumptions'!$D$13)^(5-1)</x:f>
        <x:v>0</x:v>
      </x:c>
      <x:c r="AB576" s="10" t="n">
        <x:f>F576/1</x:f>
        <x:v>0</x:v>
      </x:c>
      <x:c r="AC576" s="10" t="n">
        <x:f>AB576/'Assumptions'!$AM$86</x:f>
        <x:v>0</x:v>
      </x:c>
      <x:c r="AD576" s="10" t="n">
        <x:f>IF(AB576=0,0,T576/AB576)</x:f>
        <x:v>0</x:v>
      </x:c>
      <x:c r="AE576" s="10" t="n">
        <x:f>AA576*'Assumptions'!$D$21</x:f>
        <x:v>0</x:v>
      </x:c>
    </x:row>
    <x:row r="577" ht="16" customHeight="1">
      <x:c r="A577" s="1"/>
      <x:c r="B577" s="1"/>
      <x:c r="C577" s="1" t="str">
        <x:v>DOT-058</x:v>
      </x:c>
      <x:c r="D577" s="10" t="str">
        <x:v>Model Life</x:v>
      </x:c>
      <x:c r="E577" s="10" t="n">
        <x:v>5</x:v>
      </x:c>
      <x:c r="F577" s="21" t="n">
        <x:f>F449*(1+'Assumptions'!$L$87)</x:f>
        <x:v>298.5984</x:v>
      </x:c>
      <x:c r="G577" s="21" t="n">
        <x:f>H449*'Assumptions'!$K$87</x:f>
        <x:v>392.68320000000006</x:v>
      </x:c>
      <x:c r="H577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577+G577,NA())</x:f>
        <x:v>691.2816</x:v>
      </x:c>
      <x:c r="I577" s="22" t="n">
        <x:f>'Assumptions'!$H$87*IF('Assumptions'!$O$87=1,1,'Assumptions'!$D$10)*(1+'Assumptions'!$N$87)^(5-1)</x:f>
        <x:v>16.2364824</x:v>
      </x:c>
      <x:c r="J577" s="10" t="n">
        <x:f>H577*I577</x:f>
        <x:v>11223.98153184384</x:v>
      </x:c>
      <x:c r="K577" s="10" t="n">
        <x:f>J577*'Assumptions'!$T$87</x:f>
        <x:v>11223.98153184384</x:v>
      </x:c>
      <x:c r="L577" s="10" t="n">
        <x:f>K577*'Assumptions'!$U$87</x:f>
        <x:v>336.71944595531517</x:v>
      </x:c>
      <x:c r="M577" s="10" t="n">
        <x:f>K577*'Assumptions'!$V$87</x:f>
        <x:v>0</x:v>
      </x:c>
      <x:c r="N577" s="10" t="n">
        <x:f>K577-L577-M577</x:f>
        <x:v>10887.262085888524</x:v>
      </x:c>
      <x:c r="O577" s="10" t="n">
        <x:f>H577*'Assumptions'!$P$87*'Assumptions'!$Q$87*'Assumptions'!$D$11*(1+'Assumptions'!$D$13)^(5-1)</x:f>
        <x:v>2723.1523584681368</x:v>
      </x:c>
      <x:c r="P577" s="10" t="n">
        <x:f>H577*'Assumptions'!$R$87*'Assumptions'!$D$11*(1+'Assumptions'!$D$13)^(5-1)</x:f>
        <x:v>0</x:v>
      </x:c>
      <x:c r="Q577" s="10" t="n">
        <x:f>J577*'Assumptions'!$S$87</x:f>
        <x:v>0</x:v>
      </x:c>
      <x:c r="R577" s="10" t="n">
        <x:f>H577*'Assumptions'!$Y$87*'Assumptions'!$Z$87*'Assumptions'!$D$11*(1+'Assumptions'!$D$13)^(5-1)</x:f>
        <x:v>3501.195889459032</x:v>
      </x:c>
      <x:c r="S577" s="10" t="n">
        <x:f>IF(I577=0,0,J577*'Assumptions'!$W$87+H577*'Assumptions'!$X$87)</x:f>
        <x:v>532.8799444234714</x:v>
      </x:c>
      <x:c r="T577" s="10" t="n">
        <x:f>N577*'Assumptions'!$AA$87</x:f>
        <x:v>544.3631042944262</x:v>
      </x:c>
      <x:c r="U577" s="10" t="n">
        <x:f>'Assumptions'!$AE$87*'Assumptions'!$D$11*(1+'Assumptions'!$D$13)^(5-1)</x:f>
        <x:v>67.53052860000001</x:v>
      </x:c>
      <x:c r="V577" s="10" t="n">
        <x:f>0</x:f>
        <x:v>0</x:v>
      </x:c>
      <x:c r="W577" s="10" t="n">
        <x:f>H577*('Assumptions'!$P$87+'Assumptions'!$Y$87)</x:f>
        <x:v>172.8204</x:v>
      </x:c>
      <x:c r="X577" s="10" t="n">
        <x:f>N577/12*'Assumptions'!$AF$87</x:f>
        <x:v>0</x:v>
      </x:c>
      <x:c r="Y577" s="10" t="n">
        <x:f>P577/12</x:f>
        <x:v>0</x:v>
      </x:c>
      <x:c r="Z577" s="10" t="n">
        <x:f>0</x:f>
        <x:v>0</x:v>
      </x:c>
      <x:c r="AA577" s="10" t="n">
        <x:f>Z577*'Assumptions'!$AC$87*'Assumptions'!$D$11*(1+'Assumptions'!$D$13)^(5-1)</x:f>
        <x:v>0</x:v>
      </x:c>
      <x:c r="AB577" s="10" t="n">
        <x:f>F577/12</x:f>
        <x:v>24.883200000000002</x:v>
      </x:c>
      <x:c r="AC577" s="10" t="n">
        <x:f>AB577/'Assumptions'!$AM$87</x:f>
        <x:v>497.66400000000004</x:v>
      </x:c>
      <x:c r="AD577" s="10" t="n">
        <x:f>IF(AB577=0,0,T577/AB577)</x:f>
        <x:v>21.876732264918747</x:v>
      </x:c>
      <x:c r="AE577" s="10" t="n">
        <x:f>AA577*'Assumptions'!$D$21</x:f>
        <x:v>0</x:v>
      </x:c>
    </x:row>
    <x:row r="578" ht="16" customHeight="1">
      <x:c r="A578" s="1"/>
      <x:c r="B578" s="1"/>
      <x:c r="C578" s="1" t="str">
        <x:v>DOT-059</x:v>
      </x:c>
      <x:c r="D578" s="10" t="str">
        <x:v>Model Life</x:v>
      </x:c>
      <x:c r="E578" s="10" t="n">
        <x:v>5</x:v>
      </x:c>
      <x:c r="F578" s="21" t="n">
        <x:f>F450*(1+'Assumptions'!$L$88)</x:f>
        <x:v>74.6496</x:v>
      </x:c>
      <x:c r="G578" s="21" t="n">
        <x:f>H450*'Assumptions'!$K$88</x:f>
        <x:v>98.17080000000001</x:v>
      </x:c>
      <x:c r="H578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578+G578,NA())</x:f>
        <x:v>172.8204</x:v>
      </x:c>
      <x:c r="I578" s="22" t="n">
        <x:f>'Assumptions'!$H$88*IF('Assumptions'!$O$88=1,1,'Assumptions'!$D$10)*(1+'Assumptions'!$N$88)^(5-1)</x:f>
        <x:v>85.51214064</x:v>
      </x:c>
      <x:c r="J578" s="10" t="n">
        <x:f>H578*I578</x:f>
        <x:v>14778.242350261056</x:v>
      </x:c>
      <x:c r="K578" s="10" t="n">
        <x:f>J578*'Assumptions'!$T$88</x:f>
        <x:v>14778.242350261056</x:v>
      </x:c>
      <x:c r="L578" s="10" t="n">
        <x:f>K578*'Assumptions'!$U$88</x:f>
        <x:v>443.3472705078317</x:v>
      </x:c>
      <x:c r="M578" s="10" t="n">
        <x:f>K578*'Assumptions'!$V$88</x:f>
        <x:v>0</x:v>
      </x:c>
      <x:c r="N578" s="10" t="n">
        <x:f>K578-L578-M578</x:f>
        <x:v>14334.895079753225</x:v>
      </x:c>
      <x:c r="O578" s="10" t="n">
        <x:f>H578*'Assumptions'!$P$88*'Assumptions'!$Q$88*'Assumptions'!$D$11*(1+'Assumptions'!$D$13)^(5-1)</x:f>
        <x:v>680.7880896170342</x:v>
      </x:c>
      <x:c r="P578" s="10" t="n">
        <x:f>H578*'Assumptions'!$R$88*'Assumptions'!$D$11*(1+'Assumptions'!$D$13)^(5-1)</x:f>
        <x:v>0</x:v>
      </x:c>
      <x:c r="Q578" s="10" t="n">
        <x:f>J578*'Assumptions'!$S$88</x:f>
        <x:v>0</x:v>
      </x:c>
      <x:c r="R578" s="10" t="n">
        <x:f>H578*'Assumptions'!$Y$88*'Assumptions'!$Z$88*'Assumptions'!$D$11*(1+'Assumptions'!$D$13)^(5-1)</x:f>
        <x:v>875.298972364758</x:v>
      </x:c>
      <x:c r="S578" s="10" t="n">
        <x:f>IF(I578=0,0,J578*'Assumptions'!$W$88+H578*'Assumptions'!$X$88)</x:f>
        <x:v>480.4151481575706</x:v>
      </x:c>
      <x:c r="T578" s="10" t="n">
        <x:f>N578*'Assumptions'!$AA$88</x:f>
        <x:v>716.7447539876613</x:v>
      </x:c>
      <x:c r="U578" s="10" t="n">
        <x:f>'Assumptions'!$AE$88*'Assumptions'!$D$11*(1+'Assumptions'!$D$13)^(5-1)</x:f>
        <x:v>67.53052860000001</x:v>
      </x:c>
      <x:c r="V578" s="10" t="n">
        <x:f>0</x:f>
        <x:v>0</x:v>
      </x:c>
      <x:c r="W578" s="10" t="n">
        <x:f>H578*('Assumptions'!$P$88+'Assumptions'!$Y$88)</x:f>
        <x:v>43.2051</x:v>
      </x:c>
      <x:c r="X578" s="10" t="n">
        <x:f>N578/12*'Assumptions'!$AF$88</x:f>
        <x:v>0</x:v>
      </x:c>
      <x:c r="Y578" s="10" t="n">
        <x:f>P578/12</x:f>
        <x:v>0</x:v>
      </x:c>
      <x:c r="Z578" s="10" t="n">
        <x:f>0</x:f>
        <x:v>0</x:v>
      </x:c>
      <x:c r="AA578" s="10" t="n">
        <x:f>Z578*'Assumptions'!$AC$88*'Assumptions'!$D$11*(1+'Assumptions'!$D$13)^(5-1)</x:f>
        <x:v>0</x:v>
      </x:c>
      <x:c r="AB578" s="10" t="n">
        <x:f>F578/12</x:f>
        <x:v>6.2208000000000006</x:v>
      </x:c>
      <x:c r="AC578" s="10" t="n">
        <x:f>AB578/'Assumptions'!$AM$88</x:f>
        <x:v>124.41600000000001</x:v>
      </x:c>
      <x:c r="AD578" s="10" t="n">
        <x:f>IF(AB578=0,0,T578/AB578)</x:f>
        <x:v>115.21745659523874</x:v>
      </x:c>
      <x:c r="AE578" s="10" t="n">
        <x:f>AA578*'Assumptions'!$D$21</x:f>
        <x:v>0</x:v>
      </x:c>
    </x:row>
    <x:row r="579" ht="16" customHeight="1">
      <x:c r="A579" s="1"/>
      <x:c r="B579" s="1"/>
      <x:c r="C579" s="1" t="str">
        <x:v>DOT-060</x:v>
      </x:c>
      <x:c r="D579" s="10" t="str">
        <x:v>Model Life</x:v>
      </x:c>
      <x:c r="E579" s="10" t="n">
        <x:v>5</x:v>
      </x:c>
      <x:c r="F579" s="21" t="n">
        <x:f>F451*(1+'Assumptions'!$L$89)</x:f>
        <x:v>74.6496</x:v>
      </x:c>
      <x:c r="G579" s="21" t="n">
        <x:f>H451*'Assumptions'!$K$89</x:f>
        <x:v>98.17080000000001</x:v>
      </x:c>
      <x:c r="H579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579+G579,NA())</x:f>
        <x:v>172.8204</x:v>
      </x:c>
      <x:c r="I579" s="22" t="n">
        <x:f>'Assumptions'!$H$89*IF('Assumptions'!$O$89=1,1,'Assumptions'!$D$10)*(1+'Assumptions'!$N$89)^(5-1)</x:f>
        <x:v>63.863497439999996</x:v>
      </x:c>
      <x:c r="J579" s="10" t="n">
        <x:f>H579*I579</x:f>
        <x:v>11036.915172979776</x:v>
      </x:c>
      <x:c r="K579" s="10" t="n">
        <x:f>J579*'Assumptions'!$T$89</x:f>
        <x:v>11036.915172979776</x:v>
      </x:c>
      <x:c r="L579" s="10" t="n">
        <x:f>K579*'Assumptions'!$U$89</x:f>
        <x:v>331.10745518939325</x:v>
      </x:c>
      <x:c r="M579" s="10" t="n">
        <x:f>K579*'Assumptions'!$V$89</x:f>
        <x:v>0</x:v>
      </x:c>
      <x:c r="N579" s="10" t="n">
        <x:f>K579-L579-M579</x:f>
        <x:v>10705.807717790383</x:v>
      </x:c>
      <x:c r="O579" s="10" t="n">
        <x:f>H579*'Assumptions'!$P$89*'Assumptions'!$Q$89*'Assumptions'!$D$11*(1+'Assumptions'!$D$13)^(5-1)</x:f>
        <x:v>680.7880896170342</x:v>
      </x:c>
      <x:c r="P579" s="10" t="n">
        <x:f>H579*'Assumptions'!$R$89*'Assumptions'!$D$11*(1+'Assumptions'!$D$13)^(5-1)</x:f>
        <x:v>0</x:v>
      </x:c>
      <x:c r="Q579" s="10" t="n">
        <x:f>J579*'Assumptions'!$S$89</x:f>
        <x:v>0</x:v>
      </x:c>
      <x:c r="R579" s="10" t="n">
        <x:f>H579*'Assumptions'!$Y$89*'Assumptions'!$Z$89*'Assumptions'!$D$11*(1+'Assumptions'!$D$13)^(5-1)</x:f>
        <x:v>875.298972364758</x:v>
      </x:c>
      <x:c r="S579" s="10" t="n">
        <x:f>IF(I579=0,0,J579*'Assumptions'!$W$89+H579*'Assumptions'!$X$89)</x:f>
        <x:v>371.9166600164135</x:v>
      </x:c>
      <x:c r="T579" s="10" t="n">
        <x:f>N579*'Assumptions'!$AA$89</x:f>
        <x:v>535.2903858895191</x:v>
      </x:c>
      <x:c r="U579" s="10" t="n">
        <x:f>'Assumptions'!$AE$89*'Assumptions'!$D$11*(1+'Assumptions'!$D$13)^(5-1)</x:f>
        <x:v>67.53052860000001</x:v>
      </x:c>
      <x:c r="V579" s="10" t="n">
        <x:f>0</x:f>
        <x:v>0</x:v>
      </x:c>
      <x:c r="W579" s="10" t="n">
        <x:f>H579*('Assumptions'!$P$89+'Assumptions'!$Y$89)</x:f>
        <x:v>43.2051</x:v>
      </x:c>
      <x:c r="X579" s="10" t="n">
        <x:f>N579/12*'Assumptions'!$AF$89</x:f>
        <x:v>0</x:v>
      </x:c>
      <x:c r="Y579" s="10" t="n">
        <x:f>P579/12</x:f>
        <x:v>0</x:v>
      </x:c>
      <x:c r="Z579" s="10" t="n">
        <x:f>0</x:f>
        <x:v>0</x:v>
      </x:c>
      <x:c r="AA579" s="10" t="n">
        <x:f>Z579*'Assumptions'!$AC$89*'Assumptions'!$D$11*(1+'Assumptions'!$D$13)^(5-1)</x:f>
        <x:v>0</x:v>
      </x:c>
      <x:c r="AB579" s="10" t="n">
        <x:f>F579/12</x:f>
        <x:v>6.2208000000000006</x:v>
      </x:c>
      <x:c r="AC579" s="10" t="n">
        <x:f>AB579/'Assumptions'!$AM$89</x:f>
        <x:v>124.41600000000001</x:v>
      </x:c>
      <x:c r="AD579" s="10" t="n">
        <x:f>IF(AB579=0,0,T579/AB579)</x:f>
        <x:v>86.04848024201374</x:v>
      </x:c>
      <x:c r="AE579" s="10" t="n">
        <x:f>AA579*'Assumptions'!$D$21</x:f>
        <x:v>0</x:v>
      </x:c>
    </x:row>
    <x:row r="580" ht="16" customHeight="1">
      <x:c r="A580" s="1"/>
      <x:c r="B580" s="1"/>
      <x:c r="C580" s="1" t="str">
        <x:v>DOT-061</x:v>
      </x:c>
      <x:c r="D580" s="10" t="str">
        <x:v>Model Life</x:v>
      </x:c>
      <x:c r="E580" s="10" t="n">
        <x:v>5</x:v>
      </x:c>
      <x:c r="F580" s="21" t="n">
        <x:f>F452*(1+'Assumptions'!$L$90)</x:f>
        <x:v>37.3248</x:v>
      </x:c>
      <x:c r="G580" s="21" t="n">
        <x:f>H452*'Assumptions'!$K$90</x:f>
        <x:v>49.08540000000001</x:v>
      </x:c>
      <x:c r="H580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580+G580,NA())</x:f>
        <x:v>86.4102</x:v>
      </x:c>
      <x:c r="I580" s="22" t="n">
        <x:f>'Assumptions'!$H$90*IF('Assumptions'!$O$90=1,1,'Assumptions'!$D$10)*(1+'Assumptions'!$N$90)^(5-1)</x:f>
        <x:v>107.16078384</x:v>
      </x:c>
      <x:c r="J580" s="10" t="n">
        <x:f>H580*I580</x:f>
        <x:v>9259.784763771167</x:v>
      </x:c>
      <x:c r="K580" s="10" t="n">
        <x:f>J580*'Assumptions'!$T$90</x:f>
        <x:v>9259.784763771167</x:v>
      </x:c>
      <x:c r="L580" s="10" t="n">
        <x:f>K580*'Assumptions'!$U$90</x:f>
        <x:v>277.793542913135</x:v>
      </x:c>
      <x:c r="M580" s="10" t="n">
        <x:f>K580*'Assumptions'!$V$90</x:f>
        <x:v>0</x:v>
      </x:c>
      <x:c r="N580" s="10" t="n">
        <x:f>K580-L580-M580</x:f>
        <x:v>8981.991220858032</x:v>
      </x:c>
      <x:c r="O580" s="10" t="n">
        <x:f>H580*'Assumptions'!$P$90*'Assumptions'!$Q$90*'Assumptions'!$D$11*(1+'Assumptions'!$D$13)^(5-1)</x:f>
        <x:v>340.3940448085171</x:v>
      </x:c>
      <x:c r="P580" s="10" t="n">
        <x:f>H580*'Assumptions'!$R$90*'Assumptions'!$D$11*(1+'Assumptions'!$D$13)^(5-1)</x:f>
        <x:v>0</x:v>
      </x:c>
      <x:c r="Q580" s="10" t="n">
        <x:f>J580*'Assumptions'!$S$90</x:f>
        <x:v>0</x:v>
      </x:c>
      <x:c r="R580" s="10" t="n">
        <x:f>H580*'Assumptions'!$Y$90*'Assumptions'!$Z$90*'Assumptions'!$D$11*(1+'Assumptions'!$D$13)^(5-1)</x:f>
        <x:v>437.649486182379</x:v>
      </x:c>
      <x:c r="S580" s="10" t="n">
        <x:f>IF(I580=0,0,J580*'Assumptions'!$W$90+H580*'Assumptions'!$X$90)</x:f>
        <x:v>294.45681814936387</x:v>
      </x:c>
      <x:c r="T580" s="10" t="n">
        <x:f>N580*'Assumptions'!$AA$90</x:f>
        <x:v>449.0995610429016</x:v>
      </x:c>
      <x:c r="U580" s="10" t="n">
        <x:f>'Assumptions'!$AE$90*'Assumptions'!$D$11*(1+'Assumptions'!$D$13)^(5-1)</x:f>
        <x:v>67.53052860000001</x:v>
      </x:c>
      <x:c r="V580" s="10" t="n">
        <x:f>0</x:f>
        <x:v>0</x:v>
      </x:c>
      <x:c r="W580" s="10" t="n">
        <x:f>H580*('Assumptions'!$P$90+'Assumptions'!$Y$90)</x:f>
        <x:v>21.60255</x:v>
      </x:c>
      <x:c r="X580" s="10" t="n">
        <x:f>N580/12*'Assumptions'!$AF$90</x:f>
        <x:v>0</x:v>
      </x:c>
      <x:c r="Y580" s="10" t="n">
        <x:f>P580/12</x:f>
        <x:v>0</x:v>
      </x:c>
      <x:c r="Z580" s="10" t="n">
        <x:f>0</x:f>
        <x:v>0</x:v>
      </x:c>
      <x:c r="AA580" s="10" t="n">
        <x:f>Z580*'Assumptions'!$AC$90*'Assumptions'!$D$11*(1+'Assumptions'!$D$13)^(5-1)</x:f>
        <x:v>0</x:v>
      </x:c>
      <x:c r="AB580" s="10" t="n">
        <x:f>F580/12</x:f>
        <x:v>3.1104000000000003</x:v>
      </x:c>
      <x:c r="AC580" s="10" t="n">
        <x:f>AB580/'Assumptions'!$AM$90</x:f>
        <x:v>62.208000000000006</x:v>
      </x:c>
      <x:c r="AD580" s="10" t="n">
        <x:f>IF(AB580=0,0,T580/AB580)</x:f>
        <x:v>144.38643294846372</x:v>
      </x:c>
      <x:c r="AE580" s="10" t="n">
        <x:f>AA580*'Assumptions'!$D$21</x:f>
        <x:v>0</x:v>
      </x:c>
    </x:row>
    <x:row r="581" ht="16" customHeight="1">
      <x:c r="A581" s="1"/>
      <x:c r="B581" s="1"/>
      <x:c r="C581" s="1" t="str">
        <x:v>DOT-062</x:v>
      </x:c>
      <x:c r="D581" s="10" t="str">
        <x:v>Model Life</x:v>
      </x:c>
      <x:c r="E581" s="10" t="n">
        <x:v>5</x:v>
      </x:c>
      <x:c r="F581" s="21" t="n">
        <x:f>F453*(1+'Assumptions'!$L$91)</x:f>
        <x:v>37.3248</x:v>
      </x:c>
      <x:c r="G581" s="21" t="n">
        <x:f>H453*'Assumptions'!$K$91</x:f>
        <x:v>49.08540000000001</x:v>
      </x:c>
      <x:c r="H581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581+G581,NA())</x:f>
        <x:v>86.4102</x:v>
      </x:c>
      <x:c r="I581" s="22" t="n">
        <x:f>'Assumptions'!$H$91*IF('Assumptions'!$O$91=1,1,'Assumptions'!$D$10)*(1+'Assumptions'!$N$91)^(5-1)</x:f>
        <x:v>53.03917584</x:v>
      </x:c>
      <x:c r="J581" s="10" t="n">
        <x:f>H581*I581</x:f>
        <x:v>4583.125792169568</x:v>
      </x:c>
      <x:c r="K581" s="10" t="n">
        <x:f>J581*'Assumptions'!$T$91</x:f>
        <x:v>4583.125792169568</x:v>
      </x:c>
      <x:c r="L581" s="10" t="n">
        <x:f>K581*'Assumptions'!$U$91</x:f>
        <x:v>137.49377376508704</x:v>
      </x:c>
      <x:c r="M581" s="10" t="n">
        <x:f>K581*'Assumptions'!$V$91</x:f>
        <x:v>0</x:v>
      </x:c>
      <x:c r="N581" s="10" t="n">
        <x:f>K581-L581-M581</x:f>
        <x:v>4445.632018404481</x:v>
      </x:c>
      <x:c r="O581" s="10" t="n">
        <x:f>H581*'Assumptions'!$P$91*'Assumptions'!$Q$91*'Assumptions'!$D$11*(1+'Assumptions'!$D$13)^(5-1)</x:f>
        <x:v>340.3940448085171</x:v>
      </x:c>
      <x:c r="P581" s="10" t="n">
        <x:f>H581*'Assumptions'!$R$91*'Assumptions'!$D$11*(1+'Assumptions'!$D$13)^(5-1)</x:f>
        <x:v>0</x:v>
      </x:c>
      <x:c r="Q581" s="10" t="n">
        <x:f>J581*'Assumptions'!$S$91</x:f>
        <x:v>0</x:v>
      </x:c>
      <x:c r="R581" s="10" t="n">
        <x:f>H581*'Assumptions'!$Y$91*'Assumptions'!$Z$91*'Assumptions'!$D$11*(1+'Assumptions'!$D$13)^(5-1)</x:f>
        <x:v>437.649486182379</x:v>
      </x:c>
      <x:c r="S581" s="10" t="n">
        <x:f>IF(I581=0,0,J581*'Assumptions'!$W$91+H581*'Assumptions'!$X$91)</x:f>
        <x:v>158.83370797291747</x:v>
      </x:c>
      <x:c r="T581" s="10" t="n">
        <x:f>N581*'Assumptions'!$AA$91</x:f>
        <x:v>222.28160092022404</x:v>
      </x:c>
      <x:c r="U581" s="10" t="n">
        <x:f>'Assumptions'!$AE$91*'Assumptions'!$D$11*(1+'Assumptions'!$D$13)^(5-1)</x:f>
        <x:v>67.53052860000001</x:v>
      </x:c>
      <x:c r="V581" s="10" t="n">
        <x:f>0</x:f>
        <x:v>0</x:v>
      </x:c>
      <x:c r="W581" s="10" t="n">
        <x:f>H581*('Assumptions'!$P$91+'Assumptions'!$Y$91)</x:f>
        <x:v>21.60255</x:v>
      </x:c>
      <x:c r="X581" s="10" t="n">
        <x:f>N581/12*'Assumptions'!$AF$91</x:f>
        <x:v>0</x:v>
      </x:c>
      <x:c r="Y581" s="10" t="n">
        <x:f>P581/12</x:f>
        <x:v>0</x:v>
      </x:c>
      <x:c r="Z581" s="10" t="n">
        <x:f>0</x:f>
        <x:v>0</x:v>
      </x:c>
      <x:c r="AA581" s="10" t="n">
        <x:f>Z581*'Assumptions'!$AC$91*'Assumptions'!$D$11*(1+'Assumptions'!$D$13)^(5-1)</x:f>
        <x:v>0</x:v>
      </x:c>
      <x:c r="AB581" s="10" t="n">
        <x:f>F581/12</x:f>
        <x:v>3.1104000000000003</x:v>
      </x:c>
      <x:c r="AC581" s="10" t="n">
        <x:f>AB581/'Assumptions'!$AM$91</x:f>
        <x:v>62.208000000000006</x:v>
      </x:c>
      <x:c r="AD581" s="10" t="n">
        <x:f>IF(AB581=0,0,T581/AB581)</x:f>
        <x:v>71.46399206540124</x:v>
      </x:c>
      <x:c r="AE581" s="10" t="n">
        <x:f>AA581*'Assumptions'!$D$21</x:f>
        <x:v>0</x:v>
      </x:c>
    </x:row>
    <x:row r="582" ht="16" customHeight="1">
      <x:c r="A582" s="1"/>
      <x:c r="B582" s="1"/>
      <x:c r="C582" s="1" t="str">
        <x:v>DOT-063</x:v>
      </x:c>
      <x:c r="D582" s="10" t="str">
        <x:v>S’otality cleaning</x:v>
      </x:c>
      <x:c r="E582" s="10" t="n">
        <x:v>5</x:v>
      </x:c>
      <x:c r="F582" s="21" t="n">
        <x:f>F454*(1+'Assumptions'!$L$92)</x:f>
        <x:v>70.27680000000002</x:v>
      </x:c>
      <x:c r="G582" s="21" t="n">
        <x:f>H454*'Assumptions'!$K$92</x:f>
        <x:v>82.31040000000002</x:v>
      </x:c>
      <x:c r="H582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582+G582,NA())</x:f>
        <x:v>152.58720000000005</x:v>
      </x:c>
      <x:c r="I582" s="22" t="n">
        <x:f>'Assumptions'!$H$92*IF('Assumptions'!$O$92=1,1,'Assumptions'!$D$10)*(1+'Assumptions'!$N$92)^(5-1)</x:f>
        <x:v>161.28239184</x:v>
      </x:c>
      <x:c r="J582" s="10" t="n">
        <x:f>H582*I582</x:f>
        <x:v>24609.628580168457</x:v>
      </x:c>
      <x:c r="K582" s="10" t="n">
        <x:f>J582*'Assumptions'!$T$92</x:f>
        <x:v>24609.628580168457</x:v>
      </x:c>
      <x:c r="L582" s="10" t="n">
        <x:f>K582*'Assumptions'!$U$92</x:f>
        <x:v>738.2888574050537</x:v>
      </x:c>
      <x:c r="M582" s="10" t="n">
        <x:f>K582*'Assumptions'!$V$92</x:f>
        <x:v>0</x:v>
      </x:c>
      <x:c r="N582" s="10" t="n">
        <x:f>K582-L582-M582</x:f>
        <x:v>23871.339722763405</x:v>
      </x:c>
      <x:c r="O582" s="10" t="n">
        <x:f>H582*'Assumptions'!$P$92*'Assumptions'!$Q$92*'Assumptions'!$D$11*(1+'Assumptions'!$D$13)^(5-1)</x:f>
        <x:v>601.0838326263123</x:v>
      </x:c>
      <x:c r="P582" s="10" t="n">
        <x:f>H582*'Assumptions'!$R$92*'Assumptions'!$D$11*(1+'Assumptions'!$D$13)^(5-1)</x:f>
        <x:v>1373.9059031458567</x:v>
      </x:c>
      <x:c r="Q582" s="10" t="n">
        <x:f>J582*'Assumptions'!$S$92</x:f>
        <x:v>15996.258577109498</x:v>
      </x:c>
      <x:c r="R582" s="10" t="n">
        <x:f>H582*'Assumptions'!$Y$92*'Assumptions'!$Z$92*'Assumptions'!$D$11*(1+'Assumptions'!$D$13)^(5-1)</x:f>
        <x:v>1030.4294273593925</x:v>
      </x:c>
      <x:c r="S582" s="10" t="n">
        <x:f>IF(I582=0,0,J582*'Assumptions'!$W$92+H582*'Assumptions'!$X$92)</x:f>
        <x:v>759.4553888248853</x:v>
      </x:c>
      <x:c r="T582" s="10" t="n">
        <x:f>N582*'Assumptions'!$AA$92</x:f>
        <x:v>954.8535889105362</x:v>
      </x:c>
      <x:c r="U582" s="10" t="n">
        <x:f>'Assumptions'!$AE$92*'Assumptions'!$D$11*(1+'Assumptions'!$D$13)^(5-1)</x:f>
        <x:v>0</x:v>
      </x:c>
      <x:c r="V582" s="10" t="n">
        <x:f>0</x:f>
        <x:v>0</x:v>
      </x:c>
      <x:c r="W582" s="10" t="n">
        <x:f>H582*('Assumptions'!$P$92+'Assumptions'!$Y$92)</x:f>
        <x:v>45.776160000000026</x:v>
      </x:c>
      <x:c r="X582" s="10" t="n">
        <x:f>N582/12*'Assumptions'!$AF$92</x:f>
        <x:v>0</x:v>
      </x:c>
      <x:c r="Y582" s="10" t="n">
        <x:f>P582/12</x:f>
        <x:v>114.49215859548805</x:v>
      </x:c>
      <x:c r="Z582" s="10" t="n">
        <x:f>0</x:f>
        <x:v>0</x:v>
      </x:c>
      <x:c r="AA582" s="10" t="n">
        <x:f>Z582*'Assumptions'!$AC$92*'Assumptions'!$D$11*(1+'Assumptions'!$D$13)^(5-1)</x:f>
        <x:v>0</x:v>
      </x:c>
      <x:c r="AB582" s="10" t="n">
        <x:f>F582/1</x:f>
        <x:v>70.27680000000002</x:v>
      </x:c>
      <x:c r="AC582" s="10" t="n">
        <x:f>AB582/'Assumptions'!$AM$92</x:f>
        <x:v>468.51200000000017</x:v>
      </x:c>
      <x:c r="AD582" s="10" t="n">
        <x:f>IF(AB582=0,0,T582/AB582)</x:f>
        <x:v>13.587038523531747</x:v>
      </x:c>
      <x:c r="AE582" s="10" t="n">
        <x:f>AA582*'Assumptions'!$D$21</x:f>
        <x:v>0</x:v>
      </x:c>
    </x:row>
    <x:row r="583" ht="16" customHeight="1">
      <x:c r="A583" s="1"/>
      <x:c r="B583" s="1"/>
      <x:c r="C583" s="1" t="str">
        <x:v>DOT-064</x:v>
      </x:c>
      <x:c r="D583" s="10" t="str">
        <x:v>S’otality cleaning</x:v>
      </x:c>
      <x:c r="E583" s="10" t="n">
        <x:v>5</x:v>
      </x:c>
      <x:c r="F583" s="21" t="n">
        <x:f>F455*(1+'Assumptions'!$L$93)</x:f>
        <x:v>105.41520000000001</x:v>
      </x:c>
      <x:c r="G583" s="21" t="n">
        <x:f>H455*'Assumptions'!$K$93</x:f>
        <x:v>123.4656</x:v>
      </x:c>
      <x:c r="H583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583+G583,NA())</x:f>
        <x:v>228.88080000000002</x:v>
      </x:c>
      <x:c r="I583" s="22" t="n">
        <x:f>'Assumptions'!$H$93*IF('Assumptions'!$O$93=1,1,'Assumptions'!$D$10)*(1+'Assumptions'!$N$93)^(5-1)</x:f>
        <x:v>150.45807023999998</x:v>
      </x:c>
      <x:c r="J583" s="10" t="n">
        <x:f>H583*I583</x:f>
        <x:v>34436.96348298739</x:v>
      </x:c>
      <x:c r="K583" s="10" t="n">
        <x:f>J583*'Assumptions'!$T$93</x:f>
        <x:v>34436.96348298739</x:v>
      </x:c>
      <x:c r="L583" s="10" t="n">
        <x:f>K583*'Assumptions'!$U$93</x:f>
        <x:v>1033.1089044896216</x:v>
      </x:c>
      <x:c r="M583" s="10" t="n">
        <x:f>K583*'Assumptions'!$V$93</x:f>
        <x:v>0</x:v>
      </x:c>
      <x:c r="N583" s="10" t="n">
        <x:f>K583-L583-M583</x:f>
        <x:v>33403.85457849777</x:v>
      </x:c>
      <x:c r="O583" s="10" t="n">
        <x:f>H583*'Assumptions'!$P$93*'Assumptions'!$Q$93*'Assumptions'!$D$11*(1+'Assumptions'!$D$13)^(5-1)</x:f>
        <x:v>901.6257489394683</x:v>
      </x:c>
      <x:c r="P583" s="10" t="n">
        <x:f>H583*'Assumptions'!$R$93*'Assumptions'!$D$11*(1+'Assumptions'!$D$13)^(5-1)</x:f>
        <x:v>2060.8588547187846</x:v>
      </x:c>
      <x:c r="Q583" s="10" t="n">
        <x:f>J583*'Assumptions'!$S$93</x:f>
        <x:v>22384.026263941803</x:v>
      </x:c>
      <x:c r="R583" s="10" t="n">
        <x:f>H583*'Assumptions'!$Y$93*'Assumptions'!$Z$93*'Assumptions'!$D$11*(1+'Assumptions'!$D$13)^(5-1)</x:f>
        <x:v>1545.6441410390883</x:v>
      </x:c>
      <x:c r="S583" s="10" t="n">
        <x:f>IF(I583=0,0,J583*'Assumptions'!$W$93+H583*'Assumptions'!$X$93)</x:f>
        <x:v>1067.3361810066344</x:v>
      </x:c>
      <x:c r="T583" s="10" t="n">
        <x:f>N583*'Assumptions'!$AA$93</x:f>
        <x:v>1336.1541831399109</x:v>
      </x:c>
      <x:c r="U583" s="10" t="n">
        <x:f>'Assumptions'!$AE$93*'Assumptions'!$D$11*(1+'Assumptions'!$D$13)^(5-1)</x:f>
        <x:v>0</x:v>
      </x:c>
      <x:c r="V583" s="10" t="n">
        <x:f>0</x:f>
        <x:v>0</x:v>
      </x:c>
      <x:c r="W583" s="10" t="n">
        <x:f>H583*('Assumptions'!$P$93+'Assumptions'!$Y$93)</x:f>
        <x:v>68.66424000000002</x:v>
      </x:c>
      <x:c r="X583" s="10" t="n">
        <x:f>N583/12*'Assumptions'!$AF$93</x:f>
        <x:v>0</x:v>
      </x:c>
      <x:c r="Y583" s="10" t="n">
        <x:f>P583/12</x:f>
        <x:v>171.73823789323205</x:v>
      </x:c>
      <x:c r="Z583" s="10" t="n">
        <x:f>0</x:f>
        <x:v>0</x:v>
      </x:c>
      <x:c r="AA583" s="10" t="n">
        <x:f>Z583*'Assumptions'!$AC$93*'Assumptions'!$D$11*(1+'Assumptions'!$D$13)^(5-1)</x:f>
        <x:v>0</x:v>
      </x:c>
      <x:c r="AB583" s="10" t="n">
        <x:f>F583/1</x:f>
        <x:v>105.41520000000001</x:v>
      </x:c>
      <x:c r="AC583" s="10" t="n">
        <x:f>AB583/'Assumptions'!$AM$93</x:f>
        <x:v>702.7680000000001</x:v>
      </x:c>
      <x:c r="AD583" s="10" t="n">
        <x:f>IF(AB583=0,0,T583/AB583)</x:f>
        <x:v>12.675156743428943</x:v>
      </x:c>
      <x:c r="AE583" s="10" t="n">
        <x:f>AA583*'Assumptions'!$D$21</x:f>
        <x:v>0</x:v>
      </x:c>
    </x:row>
    <x:row r="584" ht="16" customHeight="1">
      <x:c r="A584" s="1"/>
      <x:c r="B584" s="1"/>
      <x:c r="C584" s="1" t="str">
        <x:v>DOT-065</x:v>
      </x:c>
      <x:c r="D584" s="10" t="str">
        <x:v>S’otality cleaning</x:v>
      </x:c>
      <x:c r="E584" s="10" t="n">
        <x:v>5</x:v>
      </x:c>
      <x:c r="F584" s="21" t="n">
        <x:f>F456*(1+'Assumptions'!$L$94)</x:f>
        <x:v>70.27680000000002</x:v>
      </x:c>
      <x:c r="G584" s="21" t="n">
        <x:f>H456*'Assumptions'!$K$94</x:f>
        <x:v>82.31040000000002</x:v>
      </x:c>
      <x:c r="H584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584+G584,NA())</x:f>
        <x:v>152.58720000000005</x:v>
      </x:c>
      <x:c r="I584" s="22" t="n">
        <x:f>'Assumptions'!$H$94*IF('Assumptions'!$O$94=1,1,'Assumptions'!$D$10)*(1+'Assumptions'!$N$94)^(5-1)</x:f>
        <x:v>172.10671344</x:v>
      </x:c>
      <x:c r="J584" s="10" t="n">
        <x:f>H584*I584</x:f>
        <x:v>26261.281505011975</x:v>
      </x:c>
      <x:c r="K584" s="10" t="n">
        <x:f>J584*'Assumptions'!$T$94</x:f>
        <x:v>26261.281505011975</x:v>
      </x:c>
      <x:c r="L584" s="10" t="n">
        <x:f>K584*'Assumptions'!$U$94</x:f>
        <x:v>787.8384451503592</x:v>
      </x:c>
      <x:c r="M584" s="10" t="n">
        <x:f>K584*'Assumptions'!$V$94</x:f>
        <x:v>0</x:v>
      </x:c>
      <x:c r="N584" s="10" t="n">
        <x:f>K584-L584-M584</x:f>
        <x:v>25473.443059861616</x:v>
      </x:c>
      <x:c r="O584" s="10" t="n">
        <x:f>H584*'Assumptions'!$P$94*'Assumptions'!$Q$94*'Assumptions'!$D$11*(1+'Assumptions'!$D$13)^(5-1)</x:f>
        <x:v>601.0838326263123</x:v>
      </x:c>
      <x:c r="P584" s="10" t="n">
        <x:f>H584*'Assumptions'!$R$94*'Assumptions'!$D$11*(1+'Assumptions'!$D$13)^(5-1)</x:f>
        <x:v>1373.9059031458567</x:v>
      </x:c>
      <x:c r="Q584" s="10" t="n">
        <x:f>J584*'Assumptions'!$S$94</x:f>
        <x:v>17069.832978257786</x:v>
      </x:c>
      <x:c r="R584" s="10" t="n">
        <x:f>H584*'Assumptions'!$Y$94*'Assumptions'!$Z$94*'Assumptions'!$D$11*(1+'Assumptions'!$D$13)^(5-1)</x:f>
        <x:v>1030.4294273593925</x:v>
      </x:c>
      <x:c r="S584" s="10" t="n">
        <x:f>IF(I584=0,0,J584*'Assumptions'!$W$94+H584*'Assumptions'!$X$94)</x:f>
        <x:v>807.3533236453474</x:v>
      </x:c>
      <x:c r="T584" s="10" t="n">
        <x:f>N584*'Assumptions'!$AA$94</x:f>
        <x:v>1018.9377223944647</x:v>
      </x:c>
      <x:c r="U584" s="10" t="n">
        <x:f>'Assumptions'!$AE$94*'Assumptions'!$D$11*(1+'Assumptions'!$D$13)^(5-1)</x:f>
        <x:v>0</x:v>
      </x:c>
      <x:c r="V584" s="10" t="n">
        <x:f>0</x:f>
        <x:v>0</x:v>
      </x:c>
      <x:c r="W584" s="10" t="n">
        <x:f>H584*('Assumptions'!$P$94+'Assumptions'!$Y$94)</x:f>
        <x:v>45.776160000000026</x:v>
      </x:c>
      <x:c r="X584" s="10" t="n">
        <x:f>N584/12*'Assumptions'!$AF$94</x:f>
        <x:v>0</x:v>
      </x:c>
      <x:c r="Y584" s="10" t="n">
        <x:f>P584/12</x:f>
        <x:v>114.49215859548805</x:v>
      </x:c>
      <x:c r="Z584" s="10" t="n">
        <x:f>0</x:f>
        <x:v>0</x:v>
      </x:c>
      <x:c r="AA584" s="10" t="n">
        <x:f>Z584*'Assumptions'!$AC$94*'Assumptions'!$D$11*(1+'Assumptions'!$D$13)^(5-1)</x:f>
        <x:v>0</x:v>
      </x:c>
      <x:c r="AB584" s="10" t="n">
        <x:f>F584/1</x:f>
        <x:v>70.27680000000002</x:v>
      </x:c>
      <x:c r="AC584" s="10" t="n">
        <x:f>AB584/'Assumptions'!$AM$94</x:f>
        <x:v>468.51200000000017</x:v>
      </x:c>
      <x:c r="AD584" s="10" t="n">
        <x:f>IF(AB584=0,0,T584/AB584)</x:f>
        <x:v>14.498920303634547</x:v>
      </x:c>
      <x:c r="AE584" s="10" t="n">
        <x:f>AA584*'Assumptions'!$D$21</x:f>
        <x:v>0</x:v>
      </x:c>
    </x:row>
    <x:row r="585" ht="16" customHeight="1">
      <x:c r="A585" s="1"/>
      <x:c r="B585" s="1"/>
      <x:c r="C585" s="1" t="str">
        <x:v>DOT-066</x:v>
      </x:c>
      <x:c r="D585" s="10" t="str">
        <x:v>S’otality cleaning</x:v>
      </x:c>
      <x:c r="E585" s="10" t="n">
        <x:v>5</x:v>
      </x:c>
      <x:c r="F585" s="21" t="n">
        <x:f>F457*(1+'Assumptions'!$L$95)</x:f>
        <x:v>105.41520000000001</x:v>
      </x:c>
      <x:c r="G585" s="21" t="n">
        <x:f>H457*'Assumptions'!$K$95</x:f>
        <x:v>123.4656</x:v>
      </x:c>
      <x:c r="H585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585+G585,NA())</x:f>
        <x:v>228.88080000000002</x:v>
      </x:c>
      <x:c r="I585" s="22" t="n">
        <x:f>'Assumptions'!$H$95*IF('Assumptions'!$O$95=1,1,'Assumptions'!$D$10)*(1+'Assumptions'!$N$95)^(5-1)</x:f>
        <x:v>161.28239184</x:v>
      </x:c>
      <x:c r="J585" s="10" t="n">
        <x:f>H585*I585</x:f>
        <x:v>36914.44287025268</x:v>
      </x:c>
      <x:c r="K585" s="10" t="n">
        <x:f>J585*'Assumptions'!$T$95</x:f>
        <x:v>36914.44287025268</x:v>
      </x:c>
      <x:c r="L585" s="10" t="n">
        <x:f>K585*'Assumptions'!$U$95</x:f>
        <x:v>1107.4332861075802</x:v>
      </x:c>
      <x:c r="M585" s="10" t="n">
        <x:f>K585*'Assumptions'!$V$95</x:f>
        <x:v>0</x:v>
      </x:c>
      <x:c r="N585" s="10" t="n">
        <x:f>K585-L585-M585</x:f>
        <x:v>35807.0095841451</x:v>
      </x:c>
      <x:c r="O585" s="10" t="n">
        <x:f>H585*'Assumptions'!$P$95*'Assumptions'!$Q$95*'Assumptions'!$D$11*(1+'Assumptions'!$D$13)^(5-1)</x:f>
        <x:v>901.6257489394683</x:v>
      </x:c>
      <x:c r="P585" s="10" t="n">
        <x:f>H585*'Assumptions'!$R$95*'Assumptions'!$D$11*(1+'Assumptions'!$D$13)^(5-1)</x:f>
        <x:v>2060.8588547187846</x:v>
      </x:c>
      <x:c r="Q585" s="10" t="n">
        <x:f>J585*'Assumptions'!$S$95</x:f>
        <x:v>23994.38786566424</x:v>
      </x:c>
      <x:c r="R585" s="10" t="n">
        <x:f>H585*'Assumptions'!$Y$95*'Assumptions'!$Z$95*'Assumptions'!$D$11*(1+'Assumptions'!$D$13)^(5-1)</x:f>
        <x:v>1545.6441410390883</x:v>
      </x:c>
      <x:c r="S585" s="10" t="n">
        <x:f>IF(I585=0,0,J585*'Assumptions'!$W$95+H585*'Assumptions'!$X$95)</x:f>
        <x:v>1139.1830832373278</x:v>
      </x:c>
      <x:c r="T585" s="10" t="n">
        <x:f>N585*'Assumptions'!$AA$95</x:f>
        <x:v>1432.2803833658038</x:v>
      </x:c>
      <x:c r="U585" s="10" t="n">
        <x:f>'Assumptions'!$AE$95*'Assumptions'!$D$11*(1+'Assumptions'!$D$13)^(5-1)</x:f>
        <x:v>0</x:v>
      </x:c>
      <x:c r="V585" s="10" t="n">
        <x:f>0</x:f>
        <x:v>0</x:v>
      </x:c>
      <x:c r="W585" s="10" t="n">
        <x:f>H585*('Assumptions'!$P$95+'Assumptions'!$Y$95)</x:f>
        <x:v>68.66424000000002</x:v>
      </x:c>
      <x:c r="X585" s="10" t="n">
        <x:f>N585/12*'Assumptions'!$AF$95</x:f>
        <x:v>0</x:v>
      </x:c>
      <x:c r="Y585" s="10" t="n">
        <x:f>P585/12</x:f>
        <x:v>171.73823789323205</x:v>
      </x:c>
      <x:c r="Z585" s="10" t="n">
        <x:f>0</x:f>
        <x:v>0</x:v>
      </x:c>
      <x:c r="AA585" s="10" t="n">
        <x:f>Z585*'Assumptions'!$AC$95*'Assumptions'!$D$11*(1+'Assumptions'!$D$13)^(5-1)</x:f>
        <x:v>0</x:v>
      </x:c>
      <x:c r="AB585" s="10" t="n">
        <x:f>F585/1</x:f>
        <x:v>105.41520000000001</x:v>
      </x:c>
      <x:c r="AC585" s="10" t="n">
        <x:f>AB585/'Assumptions'!$AM$95</x:f>
        <x:v>702.7680000000001</x:v>
      </x:c>
      <x:c r="AD585" s="10" t="n">
        <x:f>IF(AB585=0,0,T585/AB585)</x:f>
        <x:v>13.587038523531746</x:v>
      </x:c>
      <x:c r="AE585" s="10" t="n">
        <x:f>AA585*'Assumptions'!$D$21</x:f>
        <x:v>0</x:v>
      </x:c>
    </x:row>
    <x:row r="586" ht="16" customHeight="1">
      <x:c r="A586" s="1"/>
      <x:c r="B586" s="1"/>
      <x:c r="C586" s="1" t="str">
        <x:v>DOT-067</x:v>
      </x:c>
      <x:c r="D586" s="10" t="str">
        <x:v>S’otality cleaning</x:v>
      </x:c>
      <x:c r="E586" s="10" t="n">
        <x:v>5</x:v>
      </x:c>
      <x:c r="F586" s="21" t="n">
        <x:f>F458*(1+'Assumptions'!$L$96)</x:f>
        <x:v>46.85120000000002</x:v>
      </x:c>
      <x:c r="G586" s="21" t="n">
        <x:f>H458*'Assumptions'!$K$96</x:f>
        <x:v>54.87360000000001</x:v>
      </x:c>
      <x:c r="H586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586+G586,NA())</x:f>
        <x:v>101.72480000000003</x:v>
      </x:c>
      <x:c r="I586" s="22" t="n">
        <x:f>'Assumptions'!$H$96*IF('Assumptions'!$O$96=1,1,'Assumptions'!$D$10)*(1+'Assumptions'!$N$96)^(5-1)</x:f>
        <x:v>215.40399983999998</x:v>
      </x:c>
      <x:c r="J586" s="10" t="n">
        <x:f>H586*I586</x:f>
        <x:v>21911.928802924038</x:v>
      </x:c>
      <x:c r="K586" s="10" t="n">
        <x:f>J586*'Assumptions'!$T$96</x:f>
        <x:v>21911.928802924038</x:v>
      </x:c>
      <x:c r="L586" s="10" t="n">
        <x:f>K586*'Assumptions'!$U$96</x:f>
        <x:v>657.3578640877212</x:v>
      </x:c>
      <x:c r="M586" s="10" t="n">
        <x:f>K586*'Assumptions'!$V$96</x:f>
        <x:v>0</x:v>
      </x:c>
      <x:c r="N586" s="10" t="n">
        <x:f>K586-L586-M586</x:f>
        <x:v>21254.570938836318</x:v>
      </x:c>
      <x:c r="O586" s="10" t="n">
        <x:f>H586*'Assumptions'!$P$96*'Assumptions'!$Q$96*'Assumptions'!$D$11*(1+'Assumptions'!$D$13)^(5-1)</x:f>
        <x:v>400.7225550842082</x:v>
      </x:c>
      <x:c r="P586" s="10" t="n">
        <x:f>H586*'Assumptions'!$R$96*'Assumptions'!$D$11*(1+'Assumptions'!$D$13)^(5-1)</x:f>
        <x:v>915.9372687639044</x:v>
      </x:c>
      <x:c r="Q586" s="10" t="n">
        <x:f>J586*'Assumptions'!$S$96</x:f>
        <x:v>14242.753721900624</x:v>
      </x:c>
      <x:c r="R586" s="10" t="n">
        <x:f>H586*'Assumptions'!$Y$96*'Assumptions'!$Z$96*'Assumptions'!$D$11*(1+'Assumptions'!$D$13)^(5-1)</x:f>
        <x:v>686.9529515729283</x:v>
      </x:c>
      <x:c r="S586" s="10" t="n">
        <x:f>IF(I586=0,0,J586*'Assumptions'!$W$96+H586*'Assumptions'!$X$96)</x:f>
        <x:v>665.963375284797</x:v>
      </x:c>
      <x:c r="T586" s="10" t="n">
        <x:f>N586*'Assumptions'!$AA$96</x:f>
        <x:v>850.1828375534527</x:v>
      </x:c>
      <x:c r="U586" s="10" t="n">
        <x:f>'Assumptions'!$AE$96*'Assumptions'!$D$11*(1+'Assumptions'!$D$13)^(5-1)</x:f>
        <x:v>0</x:v>
      </x:c>
      <x:c r="V586" s="10" t="n">
        <x:f>0</x:f>
        <x:v>0</x:v>
      </x:c>
      <x:c r="W586" s="10" t="n">
        <x:f>H586*('Assumptions'!$P$96+'Assumptions'!$Y$96)</x:f>
        <x:v>30.517440000000015</x:v>
      </x:c>
      <x:c r="X586" s="10" t="n">
        <x:f>N586/12*'Assumptions'!$AF$96</x:f>
        <x:v>0</x:v>
      </x:c>
      <x:c r="Y586" s="10" t="n">
        <x:f>P586/12</x:f>
        <x:v>76.32810573032536</x:v>
      </x:c>
      <x:c r="Z586" s="10" t="n">
        <x:f>0</x:f>
        <x:v>0</x:v>
      </x:c>
      <x:c r="AA586" s="10" t="n">
        <x:f>Z586*'Assumptions'!$AC$96*'Assumptions'!$D$11*(1+'Assumptions'!$D$13)^(5-1)</x:f>
        <x:v>0</x:v>
      </x:c>
      <x:c r="AB586" s="10" t="n">
        <x:f>F586/1</x:f>
        <x:v>46.85120000000002</x:v>
      </x:c>
      <x:c r="AC586" s="10" t="n">
        <x:f>AB586/'Assumptions'!$AM$96</x:f>
        <x:v>312.34133333333347</x:v>
      </x:c>
      <x:c r="AD586" s="10" t="n">
        <x:f>IF(AB586=0,0,T586/AB586)</x:f>
        <x:v>18.146447424045753</x:v>
      </x:c>
      <x:c r="AE586" s="10" t="n">
        <x:f>AA586*'Assumptions'!$D$21</x:f>
        <x:v>0</x:v>
      </x:c>
    </x:row>
    <x:row r="587" ht="16" customHeight="1">
      <x:c r="A587" s="1"/>
      <x:c r="B587" s="1"/>
      <x:c r="C587" s="1" t="str">
        <x:v>DOT-068</x:v>
      </x:c>
      <x:c r="D587" s="10" t="str">
        <x:v>S’otality cleaning</x:v>
      </x:c>
      <x:c r="E587" s="10" t="n">
        <x:v>5</x:v>
      </x:c>
      <x:c r="F587" s="21" t="n">
        <x:f>F459*(1+'Assumptions'!$L$97)</x:f>
        <x:v>70.27680000000002</x:v>
      </x:c>
      <x:c r="G587" s="21" t="n">
        <x:f>H459*'Assumptions'!$K$97</x:f>
        <x:v>82.31040000000002</x:v>
      </x:c>
      <x:c r="H587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587+G587,NA())</x:f>
        <x:v>152.58720000000005</x:v>
      </x:c>
      <x:c r="I587" s="22" t="n">
        <x:f>'Assumptions'!$H$97*IF('Assumptions'!$O$97=1,1,'Assumptions'!$D$10)*(1+'Assumptions'!$N$97)^(5-1)</x:f>
        <x:v>204.57967824</x:v>
      </x:c>
      <x:c r="J587" s="10" t="n">
        <x:f>H587*I587</x:f>
        <x:v>31216.240279542537</x:v>
      </x:c>
      <x:c r="K587" s="10" t="n">
        <x:f>J587*'Assumptions'!$T$97</x:f>
        <x:v>31216.240279542537</x:v>
      </x:c>
      <x:c r="L587" s="10" t="n">
        <x:f>K587*'Assumptions'!$U$97</x:f>
        <x:v>936.487208386276</x:v>
      </x:c>
      <x:c r="M587" s="10" t="n">
        <x:f>K587*'Assumptions'!$V$97</x:f>
        <x:v>0</x:v>
      </x:c>
      <x:c r="N587" s="10" t="n">
        <x:f>K587-L587-M587</x:f>
        <x:v>30279.75307115626</x:v>
      </x:c>
      <x:c r="O587" s="10" t="n">
        <x:f>H587*'Assumptions'!$P$97*'Assumptions'!$Q$97*'Assumptions'!$D$11*(1+'Assumptions'!$D$13)^(5-1)</x:f>
        <x:v>601.0838326263123</x:v>
      </x:c>
      <x:c r="P587" s="10" t="n">
        <x:f>H587*'Assumptions'!$R$97*'Assumptions'!$D$11*(1+'Assumptions'!$D$13)^(5-1)</x:f>
        <x:v>1373.9059031458567</x:v>
      </x:c>
      <x:c r="Q587" s="10" t="n">
        <x:f>J587*'Assumptions'!$S$97</x:f>
        <x:v>20290.55618170265</x:v>
      </x:c>
      <x:c r="R587" s="10" t="n">
        <x:f>H587*'Assumptions'!$Y$97*'Assumptions'!$Z$97*'Assumptions'!$D$11*(1+'Assumptions'!$D$13)^(5-1)</x:f>
        <x:v>1030.4294273593925</x:v>
      </x:c>
      <x:c r="S587" s="10" t="n">
        <x:f>IF(I587=0,0,J587*'Assumptions'!$W$97+H587*'Assumptions'!$X$97)</x:f>
        <x:v>951.0471281067336</x:v>
      </x:c>
      <x:c r="T587" s="10" t="n">
        <x:f>N587*'Assumptions'!$AA$97</x:f>
        <x:v>1211.1901228462505</x:v>
      </x:c>
      <x:c r="U587" s="10" t="n">
        <x:f>'Assumptions'!$AE$97*'Assumptions'!$D$11*(1+'Assumptions'!$D$13)^(5-1)</x:f>
        <x:v>0</x:v>
      </x:c>
      <x:c r="V587" s="10" t="n">
        <x:f>0</x:f>
        <x:v>0</x:v>
      </x:c>
      <x:c r="W587" s="10" t="n">
        <x:f>H587*('Assumptions'!$P$97+'Assumptions'!$Y$97)</x:f>
        <x:v>45.776160000000026</x:v>
      </x:c>
      <x:c r="X587" s="10" t="n">
        <x:f>N587/12*'Assumptions'!$AF$97</x:f>
        <x:v>0</x:v>
      </x:c>
      <x:c r="Y587" s="10" t="n">
        <x:f>P587/12</x:f>
        <x:v>114.49215859548805</x:v>
      </x:c>
      <x:c r="Z587" s="10" t="n">
        <x:f>0</x:f>
        <x:v>0</x:v>
      </x:c>
      <x:c r="AA587" s="10" t="n">
        <x:f>Z587*'Assumptions'!$AC$97*'Assumptions'!$D$11*(1+'Assumptions'!$D$13)^(5-1)</x:f>
        <x:v>0</x:v>
      </x:c>
      <x:c r="AB587" s="10" t="n">
        <x:f>F587/1</x:f>
        <x:v>70.27680000000002</x:v>
      </x:c>
      <x:c r="AC587" s="10" t="n">
        <x:f>AB587/'Assumptions'!$AM$97</x:f>
        <x:v>468.51200000000017</x:v>
      </x:c>
      <x:c r="AD587" s="10" t="n">
        <x:f>IF(AB587=0,0,T587/AB587)</x:f>
        <x:v>17.234565643942954</x:v>
      </x:c>
      <x:c r="AE587" s="10" t="n">
        <x:f>AA587*'Assumptions'!$D$21</x:f>
        <x:v>0</x:v>
      </x:c>
    </x:row>
    <x:row r="588" ht="16" customHeight="1">
      <x:c r="A588" s="1"/>
      <x:c r="B588" s="1"/>
      <x:c r="C588" s="1" t="str">
        <x:v>DOT-069</x:v>
      </x:c>
      <x:c r="D588" s="10" t="str">
        <x:v>S’otality cleaning</x:v>
      </x:c>
      <x:c r="E588" s="10" t="n">
        <x:v>5</x:v>
      </x:c>
      <x:c r="F588" s="21" t="n">
        <x:f>F460*(1+'Assumptions'!$L$98)</x:f>
        <x:v>23.42560000000001</x:v>
      </x:c>
      <x:c r="G588" s="21" t="n">
        <x:f>H460*'Assumptions'!$K$98</x:f>
        <x:v>27.436800000000005</x:v>
      </x:c>
      <x:c r="H588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588+G588,NA())</x:f>
        <x:v>50.862400000000015</x:v>
      </x:c>
      <x:c r="I588" s="22" t="n">
        <x:f>'Assumptions'!$H$98*IF('Assumptions'!$O$98=1,1,'Assumptions'!$D$10)*(1+'Assumptions'!$N$98)^(5-1)</x:f>
        <x:v>323.64721584</x:v>
      </x:c>
      <x:c r="J588" s="10" t="n">
        <x:f>H588*I588</x:f>
        <x:v>16461.47415094042</x:v>
      </x:c>
      <x:c r="K588" s="10" t="n">
        <x:f>J588*'Assumptions'!$T$98</x:f>
        <x:v>16461.47415094042</x:v>
      </x:c>
      <x:c r="L588" s="10" t="n">
        <x:f>K588*'Assumptions'!$U$98</x:f>
        <x:v>493.8442245282126</x:v>
      </x:c>
      <x:c r="M588" s="10" t="n">
        <x:f>K588*'Assumptions'!$V$98</x:f>
        <x:v>0</x:v>
      </x:c>
      <x:c r="N588" s="10" t="n">
        <x:f>K588-L588-M588</x:f>
        <x:v>15967.629926412206</x:v>
      </x:c>
      <x:c r="O588" s="10" t="n">
        <x:f>H588*'Assumptions'!$P$98*'Assumptions'!$Q$98*'Assumptions'!$D$11*(1+'Assumptions'!$D$13)^(5-1)</x:f>
        <x:v>200.3612775421041</x:v>
      </x:c>
      <x:c r="P588" s="10" t="n">
        <x:f>H588*'Assumptions'!$R$98*'Assumptions'!$D$11*(1+'Assumptions'!$D$13)^(5-1)</x:f>
        <x:v>457.9686343819522</x:v>
      </x:c>
      <x:c r="Q588" s="10" t="n">
        <x:f>J588*'Assumptions'!$S$98</x:f>
        <x:v>10699.958198111273</x:v>
      </x:c>
      <x:c r="R588" s="10" t="n">
        <x:f>H588*'Assumptions'!$Y$98*'Assumptions'!$Z$98*'Assumptions'!$D$11*(1+'Assumptions'!$D$13)^(5-1)</x:f>
        <x:v>343.47647578646416</x:v>
      </x:c>
      <x:c r="S588" s="10" t="n">
        <x:f>IF(I588=0,0,J588*'Assumptions'!$W$98+H588*'Assumptions'!$X$98)</x:f>
        <x:v>492.6414703772722</x:v>
      </x:c>
      <x:c r="T588" s="10" t="n">
        <x:f>N588*'Assumptions'!$AA$98</x:f>
        <x:v>638.7051970564883</x:v>
      </x:c>
      <x:c r="U588" s="10" t="n">
        <x:f>'Assumptions'!$AE$98*'Assumptions'!$D$11*(1+'Assumptions'!$D$13)^(5-1)</x:f>
        <x:v>0</x:v>
      </x:c>
      <x:c r="V588" s="10" t="n">
        <x:f>0</x:f>
        <x:v>0</x:v>
      </x:c>
      <x:c r="W588" s="10" t="n">
        <x:f>H588*('Assumptions'!$P$98+'Assumptions'!$Y$98)</x:f>
        <x:v>15.258720000000007</x:v>
      </x:c>
      <x:c r="X588" s="10" t="n">
        <x:f>N588/12*'Assumptions'!$AF$98</x:f>
        <x:v>0</x:v>
      </x:c>
      <x:c r="Y588" s="10" t="n">
        <x:f>P588/12</x:f>
        <x:v>38.16405286516268</x:v>
      </x:c>
      <x:c r="Z588" s="10" t="n">
        <x:f>0</x:f>
        <x:v>0</x:v>
      </x:c>
      <x:c r="AA588" s="10" t="n">
        <x:f>Z588*'Assumptions'!$AC$98*'Assumptions'!$D$11*(1+'Assumptions'!$D$13)^(5-1)</x:f>
        <x:v>0</x:v>
      </x:c>
      <x:c r="AB588" s="10" t="n">
        <x:f>F588/1</x:f>
        <x:v>23.42560000000001</x:v>
      </x:c>
      <x:c r="AC588" s="10" t="n">
        <x:f>AB588/'Assumptions'!$AM$98</x:f>
        <x:v>156.17066666666673</x:v>
      </x:c>
      <x:c r="AD588" s="10" t="n">
        <x:f>IF(AB588=0,0,T588/AB588)</x:f>
        <x:v>27.265265225073765</x:v>
      </x:c>
      <x:c r="AE588" s="10" t="n">
        <x:f>AA588*'Assumptions'!$D$21</x:f>
        <x:v>0</x:v>
      </x:c>
    </x:row>
    <x:row r="589" ht="16" customHeight="1">
      <x:c r="A589" s="1"/>
      <x:c r="B589" s="1"/>
      <x:c r="C589" s="1" t="str">
        <x:v>DOT-070</x:v>
      </x:c>
      <x:c r="D589" s="10" t="str">
        <x:v>S’otality laundry</x:v>
      </x:c>
      <x:c r="E589" s="10" t="n">
        <x:v>5</x:v>
      </x:c>
      <x:c r="F589" s="21" t="n">
        <x:f>F461*(1+'Assumptions'!$L$99)</x:f>
        <x:v>210.83040000000003</x:v>
      </x:c>
      <x:c r="G589" s="21" t="n">
        <x:f>H461*'Assumptions'!$K$99</x:f>
        <x:v>246.9312</x:v>
      </x:c>
      <x:c r="H589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589+G589,NA())</x:f>
        <x:v>457.76160000000004</x:v>
      </x:c>
      <x:c r="I589" s="22" t="n">
        <x:f>'Assumptions'!$H$99*IF('Assumptions'!$O$99=1,1,'Assumptions'!$D$10)*(1+'Assumptions'!$N$99)^(5-1)</x:f>
        <x:v>64.9459296</x:v>
      </x:c>
      <x:c r="J589" s="10" t="n">
        <x:f>H589*I589</x:f>
        <x:v>29729.752647183363</x:v>
      </x:c>
      <x:c r="K589" s="10" t="n">
        <x:f>J589*'Assumptions'!$T$99</x:f>
        <x:v>29729.752647183363</x:v>
      </x:c>
      <x:c r="L589" s="10" t="n">
        <x:f>K589*'Assumptions'!$U$99</x:f>
        <x:v>891.8925794155008</x:v>
      </x:c>
      <x:c r="M589" s="10" t="n">
        <x:f>K589*'Assumptions'!$V$99</x:f>
        <x:v>0</x:v>
      </x:c>
      <x:c r="N589" s="10" t="n">
        <x:f>K589-L589-M589</x:f>
        <x:v>28837.860067767862</x:v>
      </x:c>
      <x:c r="O589" s="10" t="n">
        <x:f>H589*'Assumptions'!$P$99*'Assumptions'!$Q$99*'Assumptions'!$D$11*(1+'Assumptions'!$D$13)^(5-1)</x:f>
        <x:v>1803.2514978789366</x:v>
      </x:c>
      <x:c r="P589" s="10" t="n">
        <x:f>H589*'Assumptions'!$R$99*'Assumptions'!$D$11*(1+'Assumptions'!$D$13)^(5-1)</x:f>
        <x:v>0</x:v>
      </x:c>
      <x:c r="Q589" s="10" t="n">
        <x:f>J589*'Assumptions'!$S$99</x:f>
        <x:v>19324.339220669186</x:v>
      </x:c>
      <x:c r="R589" s="10" t="n">
        <x:f>H589*'Assumptions'!$Y$99*'Assumptions'!$Z$99*'Assumptions'!$D$11*(1+'Assumptions'!$D$13)^(5-1)</x:f>
        <x:v>3091.2882820781765</x:v>
      </x:c>
      <x:c r="S589" s="10" t="n">
        <x:f>IF(I589=0,0,J589*'Assumptions'!$W$99+H589*'Assumptions'!$X$99)</x:f>
        <x:v>999.4913067683176</x:v>
      </x:c>
      <x:c r="T589" s="10" t="n">
        <x:f>N589*'Assumptions'!$AA$99</x:f>
        <x:v>1153.5144027107144</x:v>
      </x:c>
      <x:c r="U589" s="10" t="n">
        <x:f>'Assumptions'!$AE$99*'Assumptions'!$D$11*(1+'Assumptions'!$D$13)^(5-1)</x:f>
        <x:v>0</x:v>
      </x:c>
      <x:c r="V589" s="10" t="n">
        <x:f>0</x:f>
        <x:v>0</x:v>
      </x:c>
      <x:c r="W589" s="10" t="n">
        <x:f>H589*('Assumptions'!$P$99+'Assumptions'!$Y$99)</x:f>
        <x:v>137.32848000000004</x:v>
      </x:c>
      <x:c r="X589" s="10" t="n">
        <x:f>N589/12*'Assumptions'!$AF$99</x:f>
        <x:v>0</x:v>
      </x:c>
      <x:c r="Y589" s="10" t="n">
        <x:f>P589/12</x:f>
        <x:v>0</x:v>
      </x:c>
      <x:c r="Z589" s="10" t="n">
        <x:f>0</x:f>
        <x:v>0</x:v>
      </x:c>
      <x:c r="AA589" s="10" t="n">
        <x:f>Z589*'Assumptions'!$AC$99*'Assumptions'!$D$11*(1+'Assumptions'!$D$13)^(5-1)</x:f>
        <x:v>0</x:v>
      </x:c>
      <x:c r="AB589" s="10" t="n">
        <x:f>F589/1</x:f>
        <x:v>210.83040000000003</x:v>
      </x:c>
      <x:c r="AC589" s="10" t="n">
        <x:f>AB589/'Assumptions'!$AM$99</x:f>
        <x:v>1405.5360000000003</x:v>
      </x:c>
      <x:c r="AD589" s="10" t="n">
        <x:f>IF(AB589=0,0,T589/AB589)</x:f>
        <x:v>5.47129068061681</x:v>
      </x:c>
      <x:c r="AE589" s="10" t="n">
        <x:f>AA589*'Assumptions'!$D$21</x:f>
        <x:v>0</x:v>
      </x:c>
    </x:row>
    <x:row r="590" ht="16" customHeight="1">
      <x:c r="A590" s="1"/>
      <x:c r="B590" s="1"/>
      <x:c r="C590" s="1" t="str">
        <x:v>DOT-071</x:v>
      </x:c>
      <x:c r="D590" s="10" t="str">
        <x:v>S’otality Personal Chef</x:v>
      </x:c>
      <x:c r="E590" s="10" t="n">
        <x:v>5</x:v>
      </x:c>
      <x:c r="F590" s="21" t="n">
        <x:f>F462*(1+'Assumptions'!$L$100)</x:f>
        <x:v>35.13840000000001</x:v>
      </x:c>
      <x:c r="G590" s="21" t="n">
        <x:f>H462*'Assumptions'!$K$100</x:f>
        <x:v>39.2112</x:v>
      </x:c>
      <x:c r="H590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590+G590,NA())</x:f>
        <x:v>74.34960000000001</x:v>
      </x:c>
      <x:c r="I590" s="22" t="n">
        <x:f>'Assumptions'!$H$100*IF('Assumptions'!$O$100=1,1,'Assumptions'!$D$10)*(1+'Assumptions'!$N$100)^(5-1)</x:f>
        <x:v>703.580904</x:v>
      </x:c>
      <x:c r="J590" s="10" t="n">
        <x:f>H590*I590</x:f>
        <x:v>52310.95878003841</x:v>
      </x:c>
      <x:c r="K590" s="10" t="n">
        <x:f>J590*'Assumptions'!$T$100</x:f>
        <x:v>52310.95878003841</x:v>
      </x:c>
      <x:c r="L590" s="10" t="n">
        <x:f>K590*'Assumptions'!$U$100</x:f>
        <x:v>1569.3287634011522</x:v>
      </x:c>
      <x:c r="M590" s="10" t="n">
        <x:f>K590*'Assumptions'!$V$100</x:f>
        <x:v>0</x:v>
      </x:c>
      <x:c r="N590" s="10" t="n">
        <x:f>K590-L590-M590</x:f>
        <x:v>50741.63001663726</x:v>
      </x:c>
      <x:c r="O590" s="10" t="n">
        <x:f>H590*'Assumptions'!$P$100*'Assumptions'!$Q$100*'Assumptions'!$D$11*(1+'Assumptions'!$D$13)^(5-1)</x:f>
        <x:v>1673.6225963995205</x:v>
      </x:c>
      <x:c r="P590" s="10" t="n">
        <x:f>H590*'Assumptions'!$R$100*'Assumptions'!$D$11*(1+'Assumptions'!$D$13)^(5-1)</x:f>
        <x:v>8368.112981997601</x:v>
      </x:c>
      <x:c r="Q590" s="10" t="n">
        <x:f>J590*'Assumptions'!$S$100</x:f>
        <x:v>26155.479390019205</x:v>
      </x:c>
      <x:c r="R590" s="10" t="n">
        <x:f>H590*'Assumptions'!$Y$100*'Assumptions'!$Z$100*'Assumptions'!$D$11*(1+'Assumptions'!$D$13)^(5-1)</x:f>
        <x:v>502.0867789198561</x:v>
      </x:c>
      <x:c r="S590" s="10" t="n">
        <x:f>IF(I590=0,0,J590*'Assumptions'!$W$100+H590*'Assumptions'!$X$100)</x:f>
        <x:v>1539.322684621114</x:v>
      </x:c>
      <x:c r="T590" s="10" t="n">
        <x:f>N590*'Assumptions'!$AA$100</x:f>
        <x:v>2029.6652006654904</x:v>
      </x:c>
      <x:c r="U590" s="10" t="n">
        <x:f>'Assumptions'!$AE$100*'Assumptions'!$D$11*(1+'Assumptions'!$D$13)^(5-1)</x:f>
        <x:v>0</x:v>
      </x:c>
      <x:c r="V590" s="10" t="n">
        <x:f>0</x:f>
        <x:v>0</x:v>
      </x:c>
      <x:c r="W590" s="10" t="n">
        <x:f>H590*('Assumptions'!$P$100+'Assumptions'!$Y$100)</x:f>
        <x:v>52.044720000000005</x:v>
      </x:c>
      <x:c r="X590" s="10" t="n">
        <x:f>N590/12*'Assumptions'!$AF$100</x:f>
        <x:v>0</x:v>
      </x:c>
      <x:c r="Y590" s="10" t="n">
        <x:f>P590/12</x:f>
        <x:v>697.3427484998001</x:v>
      </x:c>
      <x:c r="Z590" s="10" t="n">
        <x:f>0</x:f>
        <x:v>0</x:v>
      </x:c>
      <x:c r="AA590" s="10" t="n">
        <x:f>Z590*'Assumptions'!$AC$100*'Assumptions'!$D$11*(1+'Assumptions'!$D$13)^(5-1)</x:f>
        <x:v>0</x:v>
      </x:c>
      <x:c r="AB590" s="10" t="n">
        <x:f>F590/1</x:f>
        <x:v>35.13840000000001</x:v>
      </x:c>
      <x:c r="AC590" s="10" t="n">
        <x:f>AB590/'Assumptions'!$AM$100</x:f>
        <x:v>234.25600000000009</x:v>
      </x:c>
      <x:c r="AD590" s="10" t="n">
        <x:f>IF(AB590=0,0,T590/AB590)</x:f>
        <x:v>57.762026747532325</x:v>
      </x:c>
      <x:c r="AE590" s="10" t="n">
        <x:f>AA590*'Assumptions'!$D$21</x:f>
        <x:v>0</x:v>
      </x:c>
    </x:row>
    <x:row r="591" ht="16" customHeight="1">
      <x:c r="A591" s="1"/>
      <x:c r="B591" s="1"/>
      <x:c r="C591" s="1" t="str">
        <x:v>DOT-072</x:v>
      </x:c>
      <x:c r="D591" s="10" t="str">
        <x:v>S’otality interiors</x:v>
      </x:c>
      <x:c r="E591" s="10" t="n">
        <x:v>5</x:v>
      </x:c>
      <x:c r="F591" s="21" t="n">
        <x:f>F463*(1+'Assumptions'!$L$101)</x:f>
        <x:v>13.176900000000002</x:v>
      </x:c>
      <x:c r="G591" s="21" t="n">
        <x:f>H463*'Assumptions'!$K$101</x:f>
        <x:v>10.79325</x:v>
      </x:c>
      <x:c r="H591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591+G591,NA())</x:f>
        <x:v>23.970150000000004</x:v>
      </x:c>
      <x:c r="I591" s="22" t="n">
        <x:f>'Assumptions'!$H$101*IF('Assumptions'!$O$101=1,1,'Assumptions'!$D$10)*(1+'Assumptions'!$N$101)^(5-1)</x:f>
        <x:v>1623.64824</x:v>
      </x:c>
      <x:c r="J591" s="10" t="n">
        <x:f>H591*I591</x:f>
        <x:v>38919.09186003601</x:v>
      </x:c>
      <x:c r="K591" s="10" t="n">
        <x:f>J591*'Assumptions'!$T$101</x:f>
        <x:v>38919.09186003601</x:v>
      </x:c>
      <x:c r="L591" s="10" t="n">
        <x:f>K591*'Assumptions'!$U$101</x:f>
        <x:v>1167.5727558010801</x:v>
      </x:c>
      <x:c r="M591" s="10" t="n">
        <x:f>K591*'Assumptions'!$V$101</x:f>
        <x:v>0</x:v>
      </x:c>
      <x:c r="N591" s="10" t="n">
        <x:f>K591-L591-M591</x:f>
        <x:v>37751.51910423493</x:v>
      </x:c>
      <x:c r="O591" s="10" t="n">
        <x:f>H591*'Assumptions'!$P$101*'Assumptions'!$Q$101*'Assumptions'!$D$11*(1+'Assumptions'!$D$13)^(5-1)</x:f>
        <x:v>14838.238251111829</x:v>
      </x:c>
      <x:c r="P591" s="10" t="n">
        <x:f>H591*'Assumptions'!$R$101*'Assumptions'!$D$11*(1+'Assumptions'!$D$13)^(5-1)</x:f>
        <x:v>1348.9307501010753</x:v>
      </x:c>
      <x:c r="Q591" s="10" t="n">
        <x:f>J591*'Assumptions'!$S$101</x:f>
        <x:v>0</x:v>
      </x:c>
      <x:c r="R591" s="10" t="n">
        <x:f>H591*'Assumptions'!$Y$101*'Assumptions'!$Z$101*'Assumptions'!$D$11*(1+'Assumptions'!$D$13)^(5-1)</x:f>
        <x:v>202.33961251516132</x:v>
      </x:c>
      <x:c r="S591" s="10" t="n">
        <x:f>IF(I591=0,0,J591*'Assumptions'!$W$101+H591*'Assumptions'!$X$101)</x:f>
        <x:v>1135.8447089410442</x:v>
      </x:c>
      <x:c r="T591" s="10" t="n">
        <x:f>N591*'Assumptions'!$AA$101</x:f>
        <x:v>1510.0607641693973</x:v>
      </x:c>
      <x:c r="U591" s="10" t="n">
        <x:f>'Assumptions'!$AE$101*'Assumptions'!$D$11*(1+'Assumptions'!$D$13)^(5-1)</x:f>
        <x:v>0</x:v>
      </x:c>
      <x:c r="V591" s="10" t="n">
        <x:f>0</x:f>
        <x:v>0</x:v>
      </x:c>
      <x:c r="W591" s="10" t="n">
        <x:f>H591*('Assumptions'!$P$101+'Assumptions'!$Y$101)</x:f>
        <x:v>245.69403750000004</x:v>
      </x:c>
      <x:c r="X591" s="10" t="n">
        <x:f>N591/12*'Assumptions'!$AF$101</x:f>
        <x:v>3145.959925352911</x:v>
      </x:c>
      <x:c r="Y591" s="10" t="n">
        <x:f>P591/12</x:f>
        <x:v>112.41089584175627</x:v>
      </x:c>
      <x:c r="Z591" s="10" t="n">
        <x:f>0</x:f>
        <x:v>0</x:v>
      </x:c>
      <x:c r="AA591" s="10" t="n">
        <x:f>Z591*'Assumptions'!$AC$101*'Assumptions'!$D$11*(1+'Assumptions'!$D$13)^(5-1)</x:f>
        <x:v>0</x:v>
      </x:c>
      <x:c r="AB591" s="10" t="n">
        <x:f>F591/1</x:f>
        <x:v>13.176900000000002</x:v>
      </x:c>
      <x:c r="AC591" s="10" t="n">
        <x:f>AB591/'Assumptions'!$AM$101</x:f>
        <x:v>65.8845</x:v>
      </x:c>
      <x:c r="AD591" s="10" t="n">
        <x:f>IF(AB591=0,0,T591/AB591)</x:f>
        <x:v>114.59909114961768</x:v>
      </x:c>
      <x:c r="AE591" s="10" t="n">
        <x:f>AA591*'Assumptions'!$D$21</x:f>
        <x:v>0</x:v>
      </x:c>
    </x:row>
    <x:row r="592" ht="16" customHeight="1">
      <x:c r="A592" s="1"/>
      <x:c r="B592" s="1"/>
      <x:c r="C592" s="1" t="str">
        <x:v>DOT-073</x:v>
      </x:c>
      <x:c r="D592" s="10" t="str">
        <x:v>S’otality interiors</x:v>
      </x:c>
      <x:c r="E592" s="10" t="n">
        <x:v>5</x:v>
      </x:c>
      <x:c r="F592" s="21" t="n">
        <x:f>F464*(1+'Assumptions'!$L$102)</x:f>
        <x:v>35.13840000000001</x:v>
      </x:c>
      <x:c r="G592" s="21" t="n">
        <x:f>H464*'Assumptions'!$K$102</x:f>
        <x:v>41.15520000000001</x:v>
      </x:c>
      <x:c r="H592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592+G592,NA())</x:f>
        <x:v>76.29360000000003</x:v>
      </x:c>
      <x:c r="I592" s="22" t="n">
        <x:f>'Assumptions'!$H$102*IF('Assumptions'!$O$102=1,1,'Assumptions'!$D$10)*(1+'Assumptions'!$N$102)^(5-1)</x:f>
        <x:v>324.729648</x:v>
      </x:c>
      <x:c r="J592" s="10" t="n">
        <x:f>H592*I592</x:f>
        <x:v>24774.79387265281</x:v>
      </x:c>
      <x:c r="K592" s="10" t="n">
        <x:f>J592*'Assumptions'!$T$102</x:f>
        <x:v>24774.79387265281</x:v>
      </x:c>
      <x:c r="L592" s="10" t="n">
        <x:f>K592*'Assumptions'!$U$102</x:f>
        <x:v>743.2438161795842</x:v>
      </x:c>
      <x:c r="M592" s="10" t="n">
        <x:f>K592*'Assumptions'!$V$102</x:f>
        <x:v>0</x:v>
      </x:c>
      <x:c r="N592" s="10" t="n">
        <x:f>K592-L592-M592</x:f>
        <x:v>24031.550056473225</x:v>
      </x:c>
      <x:c r="O592" s="10" t="n">
        <x:f>H592*'Assumptions'!$P$102*'Assumptions'!$Q$102*'Assumptions'!$D$11*(1+'Assumptions'!$D$13)^(5-1)</x:f>
        <x:v>751.3547907828903</x:v>
      </x:c>
      <x:c r="P592" s="10" t="n">
        <x:f>H592*'Assumptions'!$R$102*'Assumptions'!$D$11*(1+'Assumptions'!$D$13)^(5-1)</x:f>
        <x:v>0</x:v>
      </x:c>
      <x:c r="Q592" s="10" t="n">
        <x:f>J592*'Assumptions'!$S$102</x:f>
        <x:v>14864.876323591685</x:v>
      </x:c>
      <x:c r="R592" s="10" t="n">
        <x:f>H592*'Assumptions'!$Y$102*'Assumptions'!$Z$102*'Assumptions'!$D$11*(1+'Assumptions'!$D$13)^(5-1)</x:f>
        <x:v>515.2147136796963</x:v>
      </x:c>
      <x:c r="S592" s="10" t="n">
        <x:f>IF(I592=0,0,J592*'Assumptions'!$W$102+H592*'Assumptions'!$X$102)</x:f>
        <x:v>741.3571023069316</x:v>
      </x:c>
      <x:c r="T592" s="10" t="n">
        <x:f>N592*'Assumptions'!$AA$102</x:f>
        <x:v>961.262002258929</x:v>
      </x:c>
      <x:c r="U592" s="10" t="n">
        <x:f>'Assumptions'!$AE$102*'Assumptions'!$D$11*(1+'Assumptions'!$D$13)^(5-1)</x:f>
        <x:v>0</x:v>
      </x:c>
      <x:c r="V592" s="10" t="n">
        <x:f>0</x:f>
        <x:v>0</x:v>
      </x:c>
      <x:c r="W592" s="10" t="n">
        <x:f>H592*('Assumptions'!$P$102+'Assumptions'!$Y$102)</x:f>
        <x:v>34.33212000000001</x:v>
      </x:c>
      <x:c r="X592" s="10" t="n">
        <x:f>N592/12*'Assumptions'!$AF$102</x:f>
        <x:v>0</x:v>
      </x:c>
      <x:c r="Y592" s="10" t="n">
        <x:f>P592/12</x:f>
        <x:v>0</x:v>
      </x:c>
      <x:c r="Z592" s="10" t="n">
        <x:f>0</x:f>
        <x:v>0</x:v>
      </x:c>
      <x:c r="AA592" s="10" t="n">
        <x:f>Z592*'Assumptions'!$AC$102*'Assumptions'!$D$11*(1+'Assumptions'!$D$13)^(5-1)</x:f>
        <x:v>0</x:v>
      </x:c>
      <x:c r="AB592" s="10" t="n">
        <x:f>F592/1</x:f>
        <x:v>35.13840000000001</x:v>
      </x:c>
      <x:c r="AC592" s="10" t="n">
        <x:f>AB592/'Assumptions'!$AM$102</x:f>
        <x:v>234.25600000000009</x:v>
      </x:c>
      <x:c r="AD592" s="10" t="n">
        <x:f>IF(AB592=0,0,T592/AB592)</x:f>
        <x:v>27.356453403084053</x:v>
      </x:c>
      <x:c r="AE592" s="10" t="n">
        <x:f>AA592*'Assumptions'!$D$21</x:f>
        <x:v>0</x:v>
      </x:c>
    </x:row>
    <x:row r="593" ht="16" customHeight="1">
      <x:c r="A593" s="1"/>
      <x:c r="B593" s="1"/>
      <x:c r="C593" s="1" t="str">
        <x:v>DOT-074</x:v>
      </x:c>
      <x:c r="D593" s="10" t="str">
        <x:v>S’otality interiors</x:v>
      </x:c>
      <x:c r="E593" s="10" t="n">
        <x:v>5</x:v>
      </x:c>
      <x:c r="F593" s="21" t="n">
        <x:f>F465*(1+'Assumptions'!$L$103)</x:f>
        <x:v>14.92992</x:v>
      </x:c>
      <x:c r="G593" s="21" t="n">
        <x:f>H465*'Assumptions'!$K$103</x:f>
        <x:v>21.074759999999998</x:v>
      </x:c>
      <x:c r="H593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593+G593,NA())</x:f>
        <x:v>36.00467999999999</x:v>
      </x:c>
      <x:c r="I593" s="22" t="n">
        <x:f>'Assumptions'!$H$103*IF('Assumptions'!$O$103=1,1,'Assumptions'!$D$10)*(1+'Assumptions'!$N$103)^(5-1)</x:f>
        <x:v>1623.64824</x:v>
      </x:c>
      <x:c r="J593" s="10" t="n">
        <x:f>H593*I593</x:f>
        <x:v>58458.93531376319</x:v>
      </x:c>
      <x:c r="K593" s="10" t="n">
        <x:f>J593*'Assumptions'!$T$103</x:f>
        <x:v>5845.8935313763195</x:v>
      </x:c>
      <x:c r="L593" s="10" t="n">
        <x:f>K593*'Assumptions'!$U$103</x:f>
        <x:v>175.37680594128958</x:v>
      </x:c>
      <x:c r="M593" s="10" t="n">
        <x:f>K593*'Assumptions'!$V$103</x:f>
        <x:v>0</x:v>
      </x:c>
      <x:c r="N593" s="10" t="n">
        <x:f>K593-L593-M593</x:f>
        <x:v>5670.51672543503</x:v>
      </x:c>
      <x:c r="O593" s="10" t="n">
        <x:f>H593*'Assumptions'!$P$103*'Assumptions'!$Q$103*'Assumptions'!$D$11*(1+'Assumptions'!$D$13)^(5-1)</x:f>
        <x:v>1620.943381649232</x:v>
      </x:c>
      <x:c r="P593" s="10" t="n">
        <x:f>H593*'Assumptions'!$R$103*'Assumptions'!$D$11*(1+'Assumptions'!$D$13)^(5-1)</x:f>
        <x:v>0</x:v>
      </x:c>
      <x:c r="Q593" s="10" t="n">
        <x:f>J593*'Assumptions'!$S$103</x:f>
        <x:v>0</x:v>
      </x:c>
      <x:c r="R593" s="10" t="n">
        <x:f>H593*'Assumptions'!$Y$103*'Assumptions'!$Z$103*'Assumptions'!$D$11*(1+'Assumptions'!$D$13)^(5-1)</x:f>
        <x:v>182.3561304355386</x:v>
      </x:c>
      <x:c r="S593" s="10" t="n">
        <x:f>IF(I593=0,0,J593*'Assumptions'!$W$103+H593*'Assumptions'!$X$103)</x:f>
        <x:v>1706.1105280991326</x:v>
      </x:c>
      <x:c r="T593" s="10" t="n">
        <x:f>N593*'Assumptions'!$AA$103</x:f>
        <x:v>283.52583627175153</x:v>
      </x:c>
      <x:c r="U593" s="10" t="n">
        <x:f>'Assumptions'!$AE$103*'Assumptions'!$D$11*(1+'Assumptions'!$D$13)^(5-1)</x:f>
        <x:v>0</x:v>
      </x:c>
      <x:c r="V593" s="10" t="n">
        <x:f>0</x:f>
        <x:v>0</x:v>
      </x:c>
      <x:c r="W593" s="10" t="n">
        <x:f>H593*('Assumptions'!$P$103+'Assumptions'!$Y$103)</x:f>
        <x:v>41.40538199999999</x:v>
      </x:c>
      <x:c r="X593" s="10" t="n">
        <x:f>N593/12*'Assumptions'!$AF$103</x:f>
        <x:v>0</x:v>
      </x:c>
      <x:c r="Y593" s="10" t="n">
        <x:f>P593/12</x:f>
        <x:v>0</x:v>
      </x:c>
      <x:c r="Z593" s="10" t="n">
        <x:f>0</x:f>
        <x:v>0</x:v>
      </x:c>
      <x:c r="AA593" s="10" t="n">
        <x:f>Z593*'Assumptions'!$AC$103*'Assumptions'!$D$11*(1+'Assumptions'!$D$13)^(5-1)</x:f>
        <x:v>0</x:v>
      </x:c>
      <x:c r="AB593" s="10" t="n">
        <x:f>F593/1</x:f>
        <x:v>14.92992</x:v>
      </x:c>
      <x:c r="AC593" s="10" t="n">
        <x:f>AB593/'Assumptions'!$AM$103</x:f>
        <x:v>298.59839999999997</x:v>
      </x:c>
      <x:c r="AD593" s="10" t="n">
        <x:f>IF(AB593=0,0,T593/AB593)</x:f>
        <x:v>18.990445780804688</x:v>
      </x:c>
      <x:c r="AE593" s="10" t="n">
        <x:f>AA593*'Assumptions'!$D$21</x:f>
        <x:v>0</x:v>
      </x:c>
    </x:row>
    <x:row r="594" ht="16" customHeight="1">
      <x:c r="A594" s="1"/>
      <x:c r="B594" s="1"/>
      <x:c r="C594" s="1" t="str">
        <x:v>DOT-075</x:v>
      </x:c>
      <x:c r="D594" s="10" t="str">
        <x:v>S’otality concierge</x:v>
      </x:c>
      <x:c r="E594" s="10" t="n">
        <x:v>5</x:v>
      </x:c>
      <x:c r="F594" s="21" t="n">
        <x:f>F466*(1+'Assumptions'!$L$104)</x:f>
        <x:v>175.69200000000004</x:v>
      </x:c>
      <x:c r="G594" s="21" t="n">
        <x:f>H466*'Assumptions'!$K$104</x:f>
        <x:v>143.91000000000003</x:v>
      </x:c>
      <x:c r="H594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594+G594,NA())</x:f>
        <x:v>319.6020000000001</x:v>
      </x:c>
      <x:c r="I594" s="22" t="n">
        <x:f>'Assumptions'!$H$104*IF('Assumptions'!$O$104=1,1,'Assumptions'!$D$10)*(1+'Assumptions'!$N$104)^(5-1)</x:f>
        <x:v>81.182412</x:v>
      </x:c>
      <x:c r="J594" s="10" t="n">
        <x:f>H594*I594</x:f>
        <x:v>25946.061240024006</x:v>
      </x:c>
      <x:c r="K594" s="10" t="n">
        <x:f>J594*'Assumptions'!$T$104</x:f>
        <x:v>25946.061240024006</x:v>
      </x:c>
      <x:c r="L594" s="10" t="n">
        <x:f>K594*'Assumptions'!$U$104</x:f>
        <x:v>778.3818372007202</x:v>
      </x:c>
      <x:c r="M594" s="10" t="n">
        <x:f>K594*'Assumptions'!$V$104</x:f>
        <x:v>0</x:v>
      </x:c>
      <x:c r="N594" s="10" t="n">
        <x:f>K594-L594-M594</x:f>
        <x:v>25167.679402823287</x:v>
      </x:c>
      <x:c r="O594" s="10" t="n">
        <x:f>H594*'Assumptions'!$P$104*'Assumptions'!$Q$104*'Assumptions'!$D$11*(1+'Assumptions'!$D$13)^(5-1)</x:f>
        <x:v>9442.515250707527</x:v>
      </x:c>
      <x:c r="P594" s="10" t="n">
        <x:f>H594*'Assumptions'!$R$104*'Assumptions'!$D$11*(1+'Assumptions'!$D$13)^(5-1)</x:f>
        <x:v>0</x:v>
      </x:c>
      <x:c r="Q594" s="10" t="n">
        <x:f>J594*'Assumptions'!$S$104</x:f>
        <x:v>0</x:v>
      </x:c>
      <x:c r="R594" s="10" t="n">
        <x:f>H594*'Assumptions'!$Y$104*'Assumptions'!$Z$104*'Assumptions'!$D$11*(1+'Assumptions'!$D$13)^(5-1)</x:f>
        <x:v>2697.861500202151</x:v>
      </x:c>
      <x:c r="S594" s="10" t="n">
        <x:f>IF(I594=0,0,J594*'Assumptions'!$W$104+H594*'Assumptions'!$X$104)</x:f>
        <x:v>848.3163759606963</x:v>
      </x:c>
      <x:c r="T594" s="10" t="n">
        <x:f>N594*'Assumptions'!$AA$104</x:f>
        <x:v>1006.7071761129315</x:v>
      </x:c>
      <x:c r="U594" s="10" t="n">
        <x:f>'Assumptions'!$AE$104*'Assumptions'!$D$11*(1+'Assumptions'!$D$13)^(5-1)</x:f>
        <x:v>0</x:v>
      </x:c>
      <x:c r="V594" s="10" t="n">
        <x:f>0</x:f>
        <x:v>0</x:v>
      </x:c>
      <x:c r="W594" s="10" t="n">
        <x:f>H594*('Assumptions'!$P$104+'Assumptions'!$Y$104)</x:f>
        <x:v>319.6020000000001</x:v>
      </x:c>
      <x:c r="X594" s="10" t="n">
        <x:f>N594/12*'Assumptions'!$AF$104</x:f>
        <x:v>2097.3066169019407</x:v>
      </x:c>
      <x:c r="Y594" s="10" t="n">
        <x:f>P594/12</x:f>
        <x:v>0</x:v>
      </x:c>
      <x:c r="Z594" s="10" t="n">
        <x:f>0</x:f>
        <x:v>0</x:v>
      </x:c>
      <x:c r="AA594" s="10" t="n">
        <x:f>Z594*'Assumptions'!$AC$104*'Assumptions'!$D$11*(1+'Assumptions'!$D$13)^(5-1)</x:f>
        <x:v>0</x:v>
      </x:c>
      <x:c r="AB594" s="10" t="n">
        <x:f>F594/1</x:f>
        <x:v>175.69200000000004</x:v>
      </x:c>
      <x:c r="AC594" s="10" t="n">
        <x:f>AB594/'Assumptions'!$AM$104</x:f>
        <x:v>878.4600000000002</x:v>
      </x:c>
      <x:c r="AD594" s="10" t="n">
        <x:f>IF(AB594=0,0,T594/AB594)</x:f>
        <x:v>5.729954557480883</x:v>
      </x:c>
      <x:c r="AE594" s="10" t="n">
        <x:f>AA594*'Assumptions'!$D$21</x:f>
        <x:v>0</x:v>
      </x:c>
    </x:row>
    <x:row r="595" ht="16" customHeight="1">
      <x:c r="A595" s="1"/>
      <x:c r="B595" s="1"/>
      <x:c r="C595" s="1" t="str">
        <x:v>DOT-076</x:v>
      </x:c>
      <x:c r="D595" s="10" t="str">
        <x:v>S’otality administration</x:v>
      </x:c>
      <x:c r="E595" s="10" t="n">
        <x:v>5</x:v>
      </x:c>
      <x:c r="F595" s="21" t="n">
        <x:f>F467*(1+'Assumptions'!$L$105)</x:f>
        <x:v>351.38400000000007</x:v>
      </x:c>
      <x:c r="G595" s="21" t="n">
        <x:f>H467*'Assumptions'!$K$105</x:f>
        <x:v>287.82000000000005</x:v>
      </x:c>
      <x:c r="H595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595+G595,NA())</x:f>
        <x:v>639.2040000000002</x:v>
      </x:c>
      <x:c r="I595" s="22" t="n">
        <x:f>'Assumptions'!$H$105*IF('Assumptions'!$O$105=1,1,'Assumptions'!$D$10)*(1+'Assumptions'!$N$105)^(5-1)</x:f>
        <x:v>64.9459296</x:v>
      </x:c>
      <x:c r="J595" s="10" t="n">
        <x:f>H595*I595</x:f>
        <x:v>41513.69798403841</x:v>
      </x:c>
      <x:c r="K595" s="10" t="n">
        <x:f>J595*'Assumptions'!$T$105</x:f>
        <x:v>41513.69798403841</x:v>
      </x:c>
      <x:c r="L595" s="10" t="n">
        <x:f>K595*'Assumptions'!$U$105</x:f>
        <x:v>1245.4109395211522</x:v>
      </x:c>
      <x:c r="M595" s="10" t="n">
        <x:f>K595*'Assumptions'!$V$105</x:f>
        <x:v>0</x:v>
      </x:c>
      <x:c r="N595" s="10" t="n">
        <x:f>K595-L595-M595</x:f>
        <x:v>40268.28704451726</x:v>
      </x:c>
      <x:c r="O595" s="10" t="n">
        <x:f>H595*'Assumptions'!$P$105*'Assumptions'!$Q$105*'Assumptions'!$D$11*(1+'Assumptions'!$D$13)^(5-1)</x:f>
        <x:v>21582.89200161721</x:v>
      </x:c>
      <x:c r="P595" s="10" t="n">
        <x:f>H595*'Assumptions'!$R$105*'Assumptions'!$D$11*(1+'Assumptions'!$D$13)^(5-1)</x:f>
        <x:v>0</x:v>
      </x:c>
      <x:c r="Q595" s="10" t="n">
        <x:f>J595*'Assumptions'!$S$105</x:f>
        <x:v>0</x:v>
      </x:c>
      <x:c r="R595" s="10" t="n">
        <x:f>H595*'Assumptions'!$Y$105*'Assumptions'!$Z$105*'Assumptions'!$D$11*(1+'Assumptions'!$D$13)^(5-1)</x:f>
        <x:v>5395.723000404302</x:v>
      </x:c>
      <x:c r="S595" s="10" t="n">
        <x:f>IF(I595=0,0,J595*'Assumptions'!$W$105+H595*'Assumptions'!$X$105)</x:f>
        <x:v>1395.658441537114</x:v>
      </x:c>
      <x:c r="T595" s="10" t="n">
        <x:f>N595*'Assumptions'!$AA$105</x:f>
        <x:v>1610.7314817806905</x:v>
      </x:c>
      <x:c r="U595" s="10" t="n">
        <x:f>'Assumptions'!$AE$105*'Assumptions'!$D$11*(1+'Assumptions'!$D$13)^(5-1)</x:f>
        <x:v>0</x:v>
      </x:c>
      <x:c r="V595" s="10" t="n">
        <x:f>0</x:f>
        <x:v>0</x:v>
      </x:c>
      <x:c r="W595" s="10" t="n">
        <x:f>H595*('Assumptions'!$P$105+'Assumptions'!$Y$105)</x:f>
        <x:v>799.0050000000002</x:v>
      </x:c>
      <x:c r="X595" s="10" t="n">
        <x:f>N595/12*'Assumptions'!$AF$105</x:f>
        <x:v>3355.690587043105</x:v>
      </x:c>
      <x:c r="Y595" s="10" t="n">
        <x:f>P595/12</x:f>
        <x:v>0</x:v>
      </x:c>
      <x:c r="Z595" s="10" t="n">
        <x:f>0</x:f>
        <x:v>0</x:v>
      </x:c>
      <x:c r="AA595" s="10" t="n">
        <x:f>Z595*'Assumptions'!$AC$105*'Assumptions'!$D$11*(1+'Assumptions'!$D$13)^(5-1)</x:f>
        <x:v>0</x:v>
      </x:c>
      <x:c r="AB595" s="10" t="n">
        <x:f>F595/1</x:f>
        <x:v>351.38400000000007</x:v>
      </x:c>
      <x:c r="AC595" s="10" t="n">
        <x:f>AB595/'Assumptions'!$AM$105</x:f>
        <x:v>1756.9200000000003</x:v>
      </x:c>
      <x:c r="AD595" s="10" t="n">
        <x:f>IF(AB595=0,0,T595/AB595)</x:f>
        <x:v>4.583963645984706</x:v>
      </x:c>
      <x:c r="AE595" s="10" t="n">
        <x:f>AA595*'Assumptions'!$D$21</x:f>
        <x:v>0</x:v>
      </x:c>
    </x:row>
    <x:row r="596" ht="16" customHeight="1">
      <x:c r="A596" s="1"/>
      <x:c r="B596" s="1"/>
      <x:c r="C596" s="1" t="str">
        <x:v>DOT-077</x:v>
      </x:c>
      <x:c r="D596" s="10" t="str">
        <x:v>S’otality bike tours</x:v>
      </x:c>
      <x:c r="E596" s="10" t="n">
        <x:v>5</x:v>
      </x:c>
      <x:c r="F596" s="21" t="n">
        <x:f>F468*(1+'Assumptions'!$L$106)</x:f>
        <x:v>140.55360000000005</x:v>
      </x:c>
      <x:c r="G596" s="21" t="n">
        <x:f>H468*'Assumptions'!$K$106</x:f>
        <x:v>156.8448</x:v>
      </x:c>
      <x:c r="H596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596+G596,NA())</x:f>
        <x:v>297.39840000000004</x:v>
      </x:c>
      <x:c r="I596" s="22" t="n">
        <x:f>'Assumptions'!$H$106*IF('Assumptions'!$O$106=1,1,'Assumptions'!$D$10)*(1+'Assumptions'!$N$106)^(5-1)</x:f>
        <x:v>70.3580904</x:v>
      </x:c>
      <x:c r="J596" s="10" t="n">
        <x:f>H596*I596</x:f>
        <x:v>20924.38351201536</x:v>
      </x:c>
      <x:c r="K596" s="10" t="n">
        <x:f>J596*'Assumptions'!$T$106</x:f>
        <x:v>20924.38351201536</x:v>
      </x:c>
      <x:c r="L596" s="10" t="n">
        <x:f>K596*'Assumptions'!$U$106</x:f>
        <x:v>627.7315053604608</x:v>
      </x:c>
      <x:c r="M596" s="10" t="n">
        <x:f>K596*'Assumptions'!$V$106</x:f>
        <x:v>0</x:v>
      </x:c>
      <x:c r="N596" s="10" t="n">
        <x:f>K596-L596-M596</x:f>
        <x:v>20296.6520066549</x:v>
      </x:c>
      <x:c r="O596" s="10" t="n">
        <x:f>H596*'Assumptions'!$P$106*'Assumptions'!$Q$106*'Assumptions'!$D$11*(1+'Assumptions'!$D$13)^(5-1)</x:f>
        <x:v>1757.3037262194962</x:v>
      </x:c>
      <x:c r="P596" s="10" t="n">
        <x:f>H596*'Assumptions'!$R$106*'Assumptions'!$D$11*(1+'Assumptions'!$D$13)^(5-1)</x:f>
        <x:v>1673.6225963995205</x:v>
      </x:c>
      <x:c r="Q596" s="10" t="n">
        <x:f>J596*'Assumptions'!$S$106</x:f>
        <x:v>9415.972580406913</x:v>
      </x:c>
      <x:c r="R596" s="10" t="n">
        <x:f>H596*'Assumptions'!$Y$106*'Assumptions'!$Z$106*'Assumptions'!$D$11*(1+'Assumptions'!$D$13)^(5-1)</x:f>
        <x:v>2008.3471156794244</x:v>
      </x:c>
      <x:c r="S596" s="10" t="n">
        <x:f>IF(I596=0,0,J596*'Assumptions'!$W$106+H596*'Assumptions'!$X$106)</x:f>
        <x:v>696.0266418484455</x:v>
      </x:c>
      <x:c r="T596" s="10" t="n">
        <x:f>N596*'Assumptions'!$AA$106</x:f>
        <x:v>811.8660802661959</x:v>
      </x:c>
      <x:c r="U596" s="10" t="n">
        <x:f>'Assumptions'!$AE$106*'Assumptions'!$D$11*(1+'Assumptions'!$D$13)^(5-1)</x:f>
        <x:v>0</x:v>
      </x:c>
      <x:c r="V596" s="10" t="n">
        <x:f>0</x:f>
        <x:v>0</x:v>
      </x:c>
      <x:c r="W596" s="10" t="n">
        <x:f>H596*('Assumptions'!$P$106+'Assumptions'!$Y$106)</x:f>
        <x:v>104.08944000000001</x:v>
      </x:c>
      <x:c r="X596" s="10" t="n">
        <x:f>N596/12*'Assumptions'!$AF$106</x:f>
        <x:v>0</x:v>
      </x:c>
      <x:c r="Y596" s="10" t="n">
        <x:f>P596/12</x:f>
        <x:v>139.46854969996005</x:v>
      </x:c>
      <x:c r="Z596" s="10" t="n">
        <x:f>0</x:f>
        <x:v>0</x:v>
      </x:c>
      <x:c r="AA596" s="10" t="n">
        <x:f>Z596*'Assumptions'!$AC$106*'Assumptions'!$D$11*(1+'Assumptions'!$D$13)^(5-1)</x:f>
        <x:v>0</x:v>
      </x:c>
      <x:c r="AB596" s="10" t="n">
        <x:f>F596/1</x:f>
        <x:v>140.55360000000005</x:v>
      </x:c>
      <x:c r="AC596" s="10" t="n">
        <x:f>AB596/'Assumptions'!$AM$106</x:f>
        <x:v>937.0240000000003</x:v>
      </x:c>
      <x:c r="AD596" s="10" t="n">
        <x:f>IF(AB596=0,0,T596/AB596)</x:f>
        <x:v>5.776202674753231</x:v>
      </x:c>
      <x:c r="AE596" s="10" t="n">
        <x:f>AA596*'Assumptions'!$D$21</x:f>
        <x:v>0</x:v>
      </x:c>
    </x:row>
    <x:row r="597" ht="16" customHeight="1">
      <x:c r="A597" s="1"/>
      <x:c r="B597" s="1"/>
      <x:c r="C597" s="1" t="str">
        <x:v>DOT-078</x:v>
      </x:c>
      <x:c r="D597" s="10" t="str">
        <x:v>S’otality editorial</x:v>
      </x:c>
      <x:c r="E597" s="10" t="n">
        <x:v>5</x:v>
      </x:c>
      <x:c r="F597" s="21" t="n">
        <x:f>F469*(1+'Assumptions'!$L$107)</x:f>
        <x:v>11.419980000000004</x:v>
      </x:c>
      <x:c r="G597" s="21" t="n">
        <x:f>H469*'Assumptions'!$K$107</x:f>
        <x:v>5.247690000000001</x:v>
      </x:c>
      <x:c r="H597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597+G597,NA())</x:f>
        <x:v>16.667670000000005</x:v>
      </x:c>
      <x:c r="I597" s="22" t="n">
        <x:f>'Assumptions'!$H$107*IF('Assumptions'!$O$107=1,1,'Assumptions'!$D$10)*(1+'Assumptions'!$N$107)^(5-1)</x:f>
        <x:v>270.60804</x:v>
      </x:c>
      <x:c r="J597" s="10" t="n">
        <x:f>H597*I597</x:f>
        <x:v>4510.405510066802</x:v>
      </x:c>
      <x:c r="K597" s="10" t="n">
        <x:f>J597*'Assumptions'!$T$107</x:f>
        <x:v>4510.405510066802</x:v>
      </x:c>
      <x:c r="L597" s="10" t="n">
        <x:f>K597*'Assumptions'!$U$107</x:f>
        <x:v>135.31216530200405</x:v>
      </x:c>
      <x:c r="M597" s="10" t="n">
        <x:f>K597*'Assumptions'!$V$107</x:f>
        <x:v>0</x:v>
      </x:c>
      <x:c r="N597" s="10" t="n">
        <x:f>K597-L597-M597</x:f>
        <x:v>4375.093344764798</x:v>
      </x:c>
      <x:c r="O597" s="10" t="n">
        <x:f>H597*'Assumptions'!$P$107*'Assumptions'!$Q$107*'Assumptions'!$D$11*(1+'Assumptions'!$D$13)^(5-1)</x:f>
        <x:v>1500.7687541738164</x:v>
      </x:c>
      <x:c r="P597" s="10" t="n">
        <x:f>H597*'Assumptions'!$R$107*'Assumptions'!$D$11*(1+'Assumptions'!$D$13)^(5-1)</x:f>
        <x:v>0</x:v>
      </x:c>
      <x:c r="Q597" s="10" t="n">
        <x:f>J597*'Assumptions'!$S$107</x:f>
        <x:v>0</x:v>
      </x:c>
      <x:c r="R597" s="10" t="n">
        <x:f>H597*'Assumptions'!$Y$107*'Assumptions'!$Z$107*'Assumptions'!$D$11*(1+'Assumptions'!$D$13)^(5-1)</x:f>
        <x:v>281.3941414075906</x:v>
      </x:c>
      <x:c r="S597" s="10" t="n">
        <x:f>IF(I597=0,0,J597*'Assumptions'!$W$107+H597*'Assumptions'!$X$107)</x:f>
        <x:v>135.80206079193727</x:v>
      </x:c>
      <x:c r="T597" s="10" t="n">
        <x:f>N597*'Assumptions'!$AA$107</x:f>
        <x:v>350.0074675811838</x:v>
      </x:c>
      <x:c r="U597" s="10" t="n">
        <x:f>'Assumptions'!$AE$107*'Assumptions'!$D$11*(1+'Assumptions'!$D$13)^(5-1)</x:f>
        <x:v>0</x:v>
      </x:c>
      <x:c r="V597" s="10" t="n">
        <x:f>0</x:f>
        <x:v>0</x:v>
      </x:c>
      <x:c r="W597" s="10" t="n">
        <x:f>H597*('Assumptions'!$P$107+'Assumptions'!$Y$107)</x:f>
        <x:v>41.66917500000001</x:v>
      </x:c>
      <x:c r="X597" s="10" t="n">
        <x:f>N597/12*'Assumptions'!$AF$107</x:f>
        <x:v>364.59111206373314</x:v>
      </x:c>
      <x:c r="Y597" s="10" t="n">
        <x:f>P597/12</x:f>
        <x:v>0</x:v>
      </x:c>
      <x:c r="Z597" s="10" t="n">
        <x:f>0</x:f>
        <x:v>0</x:v>
      </x:c>
      <x:c r="AA597" s="10" t="n">
        <x:f>Z597*'Assumptions'!$AC$107*'Assumptions'!$D$11*(1+'Assumptions'!$D$13)^(5-1)</x:f>
        <x:v>0</x:v>
      </x:c>
      <x:c r="AB597" s="10" t="n">
        <x:f>F597/1</x:f>
        <x:v>11.419980000000004</x:v>
      </x:c>
      <x:c r="AC597" s="10" t="n">
        <x:f>AB597/'Assumptions'!$AM$107</x:f>
        <x:v>114.19980000000004</x:v>
      </x:c>
      <x:c r="AD597" s="10" t="n">
        <x:f>IF(AB597=0,0,T597/AB597)</x:f>
        <x:v>30.648693568743873</x:v>
      </x:c>
      <x:c r="AE597" s="10" t="n">
        <x:f>AA597*'Assumptions'!$D$21</x:f>
        <x:v>0</x:v>
      </x:c>
    </x:row>
    <x:row r="598" ht="16" customHeight="1">
      <x:c r="A598" s="1"/>
      <x:c r="B598" s="1"/>
      <x:c r="C598" s="1" t="str">
        <x:v>DOT-079</x:v>
      </x:c>
      <x:c r="D598" s="10" t="str">
        <x:v>S’otality editorial</x:v>
      </x:c>
      <x:c r="E598" s="10" t="n">
        <x:v>5</x:v>
      </x:c>
      <x:c r="F598" s="21" t="n">
        <x:f>F470*(1+'Assumptions'!$L$108)</x:f>
        <x:v>3.8066600000000017</x:v>
      </x:c>
      <x:c r="G598" s="21" t="n">
        <x:f>H470*'Assumptions'!$K$108</x:f>
        <x:v>1.7492300000000005</x:v>
      </x:c>
      <x:c r="H598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598+G598,NA())</x:f>
        <x:v>5.555890000000002</x:v>
      </x:c>
      <x:c r="I598" s="22" t="n">
        <x:f>'Assumptions'!$H$108*IF('Assumptions'!$O$108=1,1,'Assumptions'!$D$10)*(1+'Assumptions'!$N$108)^(5-1)</x:f>
        <x:v>1082.43216</x:v>
      </x:c>
      <x:c r="J598" s="10" t="n">
        <x:f>H598*I598</x:f>
        <x:v>6013.874013422403</x:v>
      </x:c>
      <x:c r="K598" s="10" t="n">
        <x:f>J598*'Assumptions'!$T$108</x:f>
        <x:v>6013.874013422403</x:v>
      </x:c>
      <x:c r="L598" s="10" t="n">
        <x:f>K598*'Assumptions'!$U$108</x:f>
        <x:v>180.41622040267208</x:v>
      </x:c>
      <x:c r="M598" s="10" t="n">
        <x:f>K598*'Assumptions'!$V$108</x:f>
        <x:v>0</x:v>
      </x:c>
      <x:c r="N598" s="10" t="n">
        <x:f>K598-L598-M598</x:f>
        <x:v>5833.45779301973</x:v>
      </x:c>
      <x:c r="O598" s="10" t="n">
        <x:f>H598*'Assumptions'!$P$108*'Assumptions'!$Q$108*'Assumptions'!$D$11*(1+'Assumptions'!$D$13)^(5-1)</x:f>
        <x:v>2001.025005565089</x:v>
      </x:c>
      <x:c r="P598" s="10" t="n">
        <x:f>H598*'Assumptions'!$R$108*'Assumptions'!$D$11*(1+'Assumptions'!$D$13)^(5-1)</x:f>
        <x:v>625.3203142390904</x:v>
      </x:c>
      <x:c r="Q598" s="10" t="n">
        <x:f>J598*'Assumptions'!$S$108</x:f>
        <x:v>0</x:v>
      </x:c>
      <x:c r="R598" s="10" t="n">
        <x:f>H598*'Assumptions'!$Y$108*'Assumptions'!$Z$108*'Assumptions'!$D$11*(1+'Assumptions'!$D$13)^(5-1)</x:f>
        <x:v>93.79804713586356</x:v>
      </x:c>
      <x:c r="S598" s="10" t="n">
        <x:f>IF(I598=0,0,J598*'Assumptions'!$W$108+H598*'Assumptions'!$X$108)</x:f>
        <x:v>176.06911338924968</x:v>
      </x:c>
      <x:c r="T598" s="10" t="n">
        <x:f>N598*'Assumptions'!$AA$108</x:f>
        <x:v>466.67662344157844</x:v>
      </x:c>
      <x:c r="U598" s="10" t="n">
        <x:f>'Assumptions'!$AE$108*'Assumptions'!$D$11*(1+'Assumptions'!$D$13)^(5-1)</x:f>
        <x:v>0</x:v>
      </x:c>
      <x:c r="V598" s="10" t="n">
        <x:f>0</x:f>
        <x:v>0</x:v>
      </x:c>
      <x:c r="W598" s="10" t="n">
        <x:f>H598*('Assumptions'!$P$108+'Assumptions'!$Y$108)</x:f>
        <x:v>47.22506500000002</x:v>
      </x:c>
      <x:c r="X598" s="10" t="n">
        <x:f>N598/12*'Assumptions'!$AF$108</x:f>
        <x:v>486.1214827516442</x:v>
      </x:c>
      <x:c r="Y598" s="10" t="n">
        <x:f>P598/12</x:f>
        <x:v>52.110026186590865</x:v>
      </x:c>
      <x:c r="Z598" s="10" t="n">
        <x:f>0</x:f>
        <x:v>0</x:v>
      </x:c>
      <x:c r="AA598" s="10" t="n">
        <x:f>Z598*'Assumptions'!$AC$108*'Assumptions'!$D$11*(1+'Assumptions'!$D$13)^(5-1)</x:f>
        <x:v>0</x:v>
      </x:c>
      <x:c r="AB598" s="10" t="n">
        <x:f>F598/1</x:f>
        <x:v>3.8066600000000017</x:v>
      </x:c>
      <x:c r="AC598" s="10" t="n">
        <x:f>AB598/'Assumptions'!$AM$108</x:f>
        <x:v>38.066600000000015</x:v>
      </x:c>
      <x:c r="AD598" s="10" t="n">
        <x:f>IF(AB598=0,0,T598/AB598)</x:f>
        <x:v>122.59477427497549</x:v>
      </x:c>
      <x:c r="AE598" s="10" t="n">
        <x:f>AA598*'Assumptions'!$D$21</x:f>
        <x:v>0</x:v>
      </x:c>
    </x:row>
    <x:row r="599" ht="16" customHeight="1">
      <x:c r="A599" s="1"/>
      <x:c r="B599" s="1"/>
      <x:c r="C599" s="1" t="str">
        <x:v>DOT-080</x:v>
      </x:c>
      <x:c r="D599" s="10" t="str">
        <x:v>Tomato Odyssey</x:v>
      </x:c>
      <x:c r="E599" s="10" t="n">
        <x:v>5</x:v>
      </x:c>
      <x:c r="F599" s="21" t="n">
        <x:f>F471*(1+'Assumptions'!$L$109)</x:f>
        <x:v>11.419980000000004</x:v>
      </x:c>
      <x:c r="G599" s="21" t="n">
        <x:f>H471*'Assumptions'!$K$109</x:f>
        <x:v>5.247690000000001</x:v>
      </x:c>
      <x:c r="H599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599+G599,NA())</x:f>
        <x:v>16.667670000000005</x:v>
      </x:c>
      <x:c r="I599" s="22" t="n">
        <x:f>'Assumptions'!$H$109*IF('Assumptions'!$O$109=1,1,'Assumptions'!$D$10)*(1+'Assumptions'!$N$109)^(5-1)</x:f>
        <x:v>270.60804</x:v>
      </x:c>
      <x:c r="J599" s="10" t="n">
        <x:f>H599*I599</x:f>
        <x:v>4510.405510066802</x:v>
      </x:c>
      <x:c r="K599" s="10" t="n">
        <x:f>J599*'Assumptions'!$T$109</x:f>
        <x:v>4510.405510066802</x:v>
      </x:c>
      <x:c r="L599" s="10" t="n">
        <x:f>K599*'Assumptions'!$U$109</x:f>
        <x:v>135.31216530200405</x:v>
      </x:c>
      <x:c r="M599" s="10" t="n">
        <x:f>K599*'Assumptions'!$V$109</x:f>
        <x:v>0</x:v>
      </x:c>
      <x:c r="N599" s="10" t="n">
        <x:f>K599-L599-M599</x:f>
        <x:v>4375.093344764798</x:v>
      </x:c>
      <x:c r="O599" s="10" t="n">
        <x:f>H599*'Assumptions'!$P$109*'Assumptions'!$Q$109*'Assumptions'!$D$11*(1+'Assumptions'!$D$13)^(5-1)</x:f>
        <x:v>1500.7687541738164</x:v>
      </x:c>
      <x:c r="P599" s="10" t="n">
        <x:f>H599*'Assumptions'!$R$109*'Assumptions'!$D$11*(1+'Assumptions'!$D$13)^(5-1)</x:f>
        <x:v>0</x:v>
      </x:c>
      <x:c r="Q599" s="10" t="n">
        <x:f>J599*'Assumptions'!$S$109</x:f>
        <x:v>0</x:v>
      </x:c>
      <x:c r="R599" s="10" t="n">
        <x:f>H599*'Assumptions'!$Y$109*'Assumptions'!$Z$109*'Assumptions'!$D$11*(1+'Assumptions'!$D$13)^(5-1)</x:f>
        <x:v>281.3941414075906</x:v>
      </x:c>
      <x:c r="S599" s="10" t="n">
        <x:f>IF(I599=0,0,J599*'Assumptions'!$W$109+H599*'Assumptions'!$X$109)</x:f>
        <x:v>135.80206079193727</x:v>
      </x:c>
      <x:c r="T599" s="10" t="n">
        <x:f>N599*'Assumptions'!$AA$109</x:f>
        <x:v>350.0074675811838</x:v>
      </x:c>
      <x:c r="U599" s="10" t="n">
        <x:f>'Assumptions'!$AE$109*'Assumptions'!$D$11*(1+'Assumptions'!$D$13)^(5-1)</x:f>
        <x:v>0</x:v>
      </x:c>
      <x:c r="V599" s="10" t="n">
        <x:f>0</x:f>
        <x:v>0</x:v>
      </x:c>
      <x:c r="W599" s="10" t="n">
        <x:f>H599*('Assumptions'!$P$109+'Assumptions'!$Y$109)</x:f>
        <x:v>41.66917500000001</x:v>
      </x:c>
      <x:c r="X599" s="10" t="n">
        <x:f>N599/12*'Assumptions'!$AF$109</x:f>
        <x:v>364.59111206373314</x:v>
      </x:c>
      <x:c r="Y599" s="10" t="n">
        <x:f>P599/12</x:f>
        <x:v>0</x:v>
      </x:c>
      <x:c r="Z599" s="10" t="n">
        <x:f>0</x:f>
        <x:v>0</x:v>
      </x:c>
      <x:c r="AA599" s="10" t="n">
        <x:f>Z599*'Assumptions'!$AC$109*'Assumptions'!$D$11*(1+'Assumptions'!$D$13)^(5-1)</x:f>
        <x:v>0</x:v>
      </x:c>
      <x:c r="AB599" s="10" t="n">
        <x:f>F599/1</x:f>
        <x:v>11.419980000000004</x:v>
      </x:c>
      <x:c r="AC599" s="10" t="n">
        <x:f>AB599/'Assumptions'!$AM$109</x:f>
        <x:v>114.19980000000004</x:v>
      </x:c>
      <x:c r="AD599" s="10" t="n">
        <x:f>IF(AB599=0,0,T599/AB599)</x:f>
        <x:v>30.648693568743873</x:v>
      </x:c>
      <x:c r="AE599" s="10" t="n">
        <x:f>AA599*'Assumptions'!$D$21</x:f>
        <x:v>0</x:v>
      </x:c>
    </x:row>
    <x:row r="600" ht="16" customHeight="1">
      <x:c r="A600" s="1"/>
      <x:c r="B600" s="1"/>
      <x:c r="C600" s="1" t="str">
        <x:v>DOT-081</x:v>
      </x:c>
      <x:c r="D600" s="10" t="str">
        <x:v>Tomato Odyssey</x:v>
      </x:c>
      <x:c r="E600" s="10" t="n">
        <x:v>5</x:v>
      </x:c>
      <x:c r="F600" s="21" t="n">
        <x:f>F472*(1+'Assumptions'!$L$110)</x:f>
        <x:v>3.8066600000000017</x:v>
      </x:c>
      <x:c r="G600" s="21" t="n">
        <x:f>H472*'Assumptions'!$K$110</x:f>
        <x:v>1.7492300000000005</x:v>
      </x:c>
      <x:c r="H600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600+G600,NA())</x:f>
        <x:v>5.555890000000002</x:v>
      </x:c>
      <x:c r="I600" s="22" t="n">
        <x:f>'Assumptions'!$H$110*IF('Assumptions'!$O$110=1,1,'Assumptions'!$D$10)*(1+'Assumptions'!$N$110)^(5-1)</x:f>
        <x:v>1082.43216</x:v>
      </x:c>
      <x:c r="J600" s="10" t="n">
        <x:f>H600*I600</x:f>
        <x:v>6013.874013422403</x:v>
      </x:c>
      <x:c r="K600" s="10" t="n">
        <x:f>J600*'Assumptions'!$T$110</x:f>
        <x:v>6013.874013422403</x:v>
      </x:c>
      <x:c r="L600" s="10" t="n">
        <x:f>K600*'Assumptions'!$U$110</x:f>
        <x:v>180.41622040267208</x:v>
      </x:c>
      <x:c r="M600" s="10" t="n">
        <x:f>K600*'Assumptions'!$V$110</x:f>
        <x:v>0</x:v>
      </x:c>
      <x:c r="N600" s="10" t="n">
        <x:f>K600-L600-M600</x:f>
        <x:v>5833.45779301973</x:v>
      </x:c>
      <x:c r="O600" s="10" t="n">
        <x:f>H600*'Assumptions'!$P$110*'Assumptions'!$Q$110*'Assumptions'!$D$11*(1+'Assumptions'!$D$13)^(5-1)</x:f>
        <x:v>2001.025005565089</x:v>
      </x:c>
      <x:c r="P600" s="10" t="n">
        <x:f>H600*'Assumptions'!$R$110*'Assumptions'!$D$11*(1+'Assumptions'!$D$13)^(5-1)</x:f>
        <x:v>625.3203142390904</x:v>
      </x:c>
      <x:c r="Q600" s="10" t="n">
        <x:f>J600*'Assumptions'!$S$110</x:f>
        <x:v>0</x:v>
      </x:c>
      <x:c r="R600" s="10" t="n">
        <x:f>H600*'Assumptions'!$Y$110*'Assumptions'!$Z$110*'Assumptions'!$D$11*(1+'Assumptions'!$D$13)^(5-1)</x:f>
        <x:v>93.79804713586356</x:v>
      </x:c>
      <x:c r="S600" s="10" t="n">
        <x:f>IF(I600=0,0,J600*'Assumptions'!$W$110+H600*'Assumptions'!$X$110)</x:f>
        <x:v>176.06911338924968</x:v>
      </x:c>
      <x:c r="T600" s="10" t="n">
        <x:f>N600*'Assumptions'!$AA$110</x:f>
        <x:v>466.67662344157844</x:v>
      </x:c>
      <x:c r="U600" s="10" t="n">
        <x:f>'Assumptions'!$AE$110*'Assumptions'!$D$11*(1+'Assumptions'!$D$13)^(5-1)</x:f>
        <x:v>0</x:v>
      </x:c>
      <x:c r="V600" s="10" t="n">
        <x:f>0</x:f>
        <x:v>0</x:v>
      </x:c>
      <x:c r="W600" s="10" t="n">
        <x:f>H600*('Assumptions'!$P$110+'Assumptions'!$Y$110)</x:f>
        <x:v>47.22506500000002</x:v>
      </x:c>
      <x:c r="X600" s="10" t="n">
        <x:f>N600/12*'Assumptions'!$AF$110</x:f>
        <x:v>486.1214827516442</x:v>
      </x:c>
      <x:c r="Y600" s="10" t="n">
        <x:f>P600/12</x:f>
        <x:v>52.110026186590865</x:v>
      </x:c>
      <x:c r="Z600" s="10" t="n">
        <x:f>0</x:f>
        <x:v>0</x:v>
      </x:c>
      <x:c r="AA600" s="10" t="n">
        <x:f>Z600*'Assumptions'!$AC$110*'Assumptions'!$D$11*(1+'Assumptions'!$D$13)^(5-1)</x:f>
        <x:v>0</x:v>
      </x:c>
      <x:c r="AB600" s="10" t="n">
        <x:f>F600/1</x:f>
        <x:v>3.8066600000000017</x:v>
      </x:c>
      <x:c r="AC600" s="10" t="n">
        <x:f>AB600/'Assumptions'!$AM$110</x:f>
        <x:v>38.066600000000015</x:v>
      </x:c>
      <x:c r="AD600" s="10" t="n">
        <x:f>IF(AB600=0,0,T600/AB600)</x:f>
        <x:v>122.59477427497549</x:v>
      </x:c>
      <x:c r="AE600" s="10" t="n">
        <x:f>AA600*'Assumptions'!$D$21</x:f>
        <x:v>0</x:v>
      </x:c>
    </x:row>
    <x:row r="601" ht="16" customHeight="1">
      <x:c r="A601" s="1"/>
      <x:c r="B601" s="1"/>
      <x:c r="C601" s="1" t="str">
        <x:v>DOT-082</x:v>
      </x:c>
      <x:c r="D601" s="10" t="str">
        <x:v>Semajes Studio</x:v>
      </x:c>
      <x:c r="E601" s="10" t="n">
        <x:v>5</x:v>
      </x:c>
      <x:c r="F601" s="21" t="n">
        <x:f>F473*(1+'Assumptions'!$L$111)</x:f>
        <x:v>26.353800000000003</x:v>
      </x:c>
      <x:c r="G601" s="21" t="n">
        <x:f>H473*'Assumptions'!$K$111</x:f>
        <x:v>21.5865</x:v>
      </x:c>
      <x:c r="H601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601+G601,NA())</x:f>
        <x:v>47.94030000000001</x:v>
      </x:c>
      <x:c r="I601" s="22" t="n">
        <x:f>'Assumptions'!$H$111*IF('Assumptions'!$O$111=1,1,'Assumptions'!$D$10)*(1+'Assumptions'!$N$111)^(5-1)</x:f>
        <x:v>595.337688</x:v>
      </x:c>
      <x:c r="J601" s="10" t="n">
        <x:f>H601*I601</x:f>
        <x:v>28540.6673640264</x:v>
      </x:c>
      <x:c r="K601" s="10" t="n">
        <x:f>J601*'Assumptions'!$T$111</x:f>
        <x:v>28540.6673640264</x:v>
      </x:c>
      <x:c r="L601" s="10" t="n">
        <x:f>K601*'Assumptions'!$U$111</x:f>
        <x:v>856.220020920792</x:v>
      </x:c>
      <x:c r="M601" s="10" t="n">
        <x:f>K601*'Assumptions'!$V$111</x:f>
        <x:v>0</x:v>
      </x:c>
      <x:c r="N601" s="10" t="n">
        <x:f>K601-L601-M601</x:f>
        <x:v>27684.44734310561</x:v>
      </x:c>
      <x:c r="O601" s="10" t="n">
        <x:f>H601*'Assumptions'!$P$111*'Assumptions'!$Q$111*'Assumptions'!$D$11*(1+'Assumptions'!$D$13)^(5-1)</x:f>
        <x:v>16187.169001212904</x:v>
      </x:c>
      <x:c r="P601" s="10" t="n">
        <x:f>H601*'Assumptions'!$R$111*'Assumptions'!$D$11*(1+'Assumptions'!$D$13)^(5-1)</x:f>
        <x:v>4316.578400323441</x:v>
      </x:c>
      <x:c r="Q601" s="10" t="n">
        <x:f>J601*'Assumptions'!$S$111</x:f>
        <x:v>0</x:v>
      </x:c>
      <x:c r="R601" s="10" t="n">
        <x:f>H601*'Assumptions'!$Y$111*'Assumptions'!$Z$111*'Assumptions'!$D$11*(1+'Assumptions'!$D$13)^(5-1)</x:f>
        <x:v>404.67922503032264</x:v>
      </x:c>
      <x:c r="S601" s="10" t="n">
        <x:f>IF(I601=0,0,J601*'Assumptions'!$W$111+H601*'Assumptions'!$X$111)</x:f>
        <x:v>842.0614435567657</x:v>
      </x:c>
      <x:c r="T601" s="10" t="n">
        <x:f>N601*'Assumptions'!$AA$111</x:f>
        <x:v>1107.3778937242244</x:v>
      </x:c>
      <x:c r="U601" s="10" t="n">
        <x:f>'Assumptions'!$AE$111*'Assumptions'!$D$11*(1+'Assumptions'!$D$13)^(5-1)</x:f>
        <x:v>0</x:v>
      </x:c>
      <x:c r="V601" s="10" t="n">
        <x:f>0</x:f>
        <x:v>0</x:v>
      </x:c>
      <x:c r="W601" s="10" t="n">
        <x:f>H601*('Assumptions'!$P$111+'Assumptions'!$Y$111)</x:f>
        <x:v>299.62687500000004</x:v>
      </x:c>
      <x:c r="X601" s="10" t="n">
        <x:f>N601/12*'Assumptions'!$AF$111</x:f>
        <x:v>2307.037278592134</x:v>
      </x:c>
      <x:c r="Y601" s="10" t="n">
        <x:f>P601/12</x:f>
        <x:v>359.7148666936201</x:v>
      </x:c>
      <x:c r="Z601" s="10" t="n">
        <x:f>0</x:f>
        <x:v>0</x:v>
      </x:c>
      <x:c r="AA601" s="10" t="n">
        <x:f>Z601*'Assumptions'!$AC$111*'Assumptions'!$D$11*(1+'Assumptions'!$D$13)^(5-1)</x:f>
        <x:v>0</x:v>
      </x:c>
      <x:c r="AB601" s="10" t="n">
        <x:f>F601/1</x:f>
        <x:v>26.353800000000003</x:v>
      </x:c>
      <x:c r="AC601" s="10" t="n">
        <x:f>AB601/'Assumptions'!$AM$111</x:f>
        <x:v>131.769</x:v>
      </x:c>
      <x:c r="AD601" s="10" t="n">
        <x:f>IF(AB601=0,0,T601/AB601)</x:f>
        <x:v>42.0196667548598</x:v>
      </x:c>
      <x:c r="AE601" s="10" t="n">
        <x:f>AA601*'Assumptions'!$D$21</x:f>
        <x:v>0</x:v>
      </x:c>
    </x:row>
    <x:row r="602" ht="16" customHeight="1">
      <x:c r="A602" s="1"/>
      <x:c r="B602" s="1"/>
      <x:c r="C602" s="1" t="str">
        <x:v>DOT-083</x:v>
      </x:c>
      <x:c r="D602" s="10" t="str">
        <x:v>Semajes Studio</x:v>
      </x:c>
      <x:c r="E602" s="10" t="n">
        <x:v>5</x:v>
      </x:c>
      <x:c r="F602" s="21" t="n">
        <x:f>F474*(1+'Assumptions'!$L$112)</x:f>
        <x:v>13.176900000000002</x:v>
      </x:c>
      <x:c r="G602" s="21" t="n">
        <x:f>H474*'Assumptions'!$K$112</x:f>
        <x:v>10.79325</x:v>
      </x:c>
      <x:c r="H602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602+G602,NA())</x:f>
        <x:v>23.970150000000004</x:v>
      </x:c>
      <x:c r="I602" s="22" t="n">
        <x:f>'Assumptions'!$H$112*IF('Assumptions'!$O$112=1,1,'Assumptions'!$D$10)*(1+'Assumptions'!$N$112)^(5-1)</x:f>
        <x:v>1298.918592</x:v>
      </x:c>
      <x:c r="J602" s="10" t="n">
        <x:f>H602*I602</x:f>
        <x:v>31135.273488028804</x:v>
      </x:c>
      <x:c r="K602" s="10" t="n">
        <x:f>J602*'Assumptions'!$T$112</x:f>
        <x:v>31135.273488028804</x:v>
      </x:c>
      <x:c r="L602" s="10" t="n">
        <x:f>K602*'Assumptions'!$U$112</x:f>
        <x:v>934.0582046408641</x:v>
      </x:c>
      <x:c r="M602" s="10" t="n">
        <x:f>K602*'Assumptions'!$V$112</x:f>
        <x:v>0</x:v>
      </x:c>
      <x:c r="N602" s="10" t="n">
        <x:f>K602-L602-M602</x:f>
        <x:v>30201.21528338794</x:v>
      </x:c>
      <x:c r="O602" s="10" t="n">
        <x:f>H602*'Assumptions'!$P$112*'Assumptions'!$Q$112*'Assumptions'!$D$11*(1+'Assumptions'!$D$13)^(5-1)</x:f>
        <x:v>13489.307501010755</x:v>
      </x:c>
      <x:c r="P602" s="10" t="n">
        <x:f>H602*'Assumptions'!$R$112*'Assumptions'!$D$11*(1+'Assumptions'!$D$13)^(5-1)</x:f>
        <x:v>4046.792250303226</x:v>
      </x:c>
      <x:c r="Q602" s="10" t="n">
        <x:f>J602*'Assumptions'!$S$112</x:f>
        <x:v>0</x:v>
      </x:c>
      <x:c r="R602" s="10" t="n">
        <x:f>H602*'Assumptions'!$Y$112*'Assumptions'!$Z$112*'Assumptions'!$D$11*(1+'Assumptions'!$D$13)^(5-1)</x:f>
        <x:v>202.33961251516132</x:v>
      </x:c>
      <x:c r="S602" s="10" t="n">
        <x:f>IF(I602=0,0,J602*'Assumptions'!$W$112+H602*'Assumptions'!$X$112)</x:f>
        <x:v>910.1139761528354</x:v>
      </x:c>
      <x:c r="T602" s="10" t="n">
        <x:f>N602*'Assumptions'!$AA$112</x:f>
        <x:v>1208.0486113355178</x:v>
      </x:c>
      <x:c r="U602" s="10" t="n">
        <x:f>'Assumptions'!$AE$112*'Assumptions'!$D$11*(1+'Assumptions'!$D$13)^(5-1)</x:f>
        <x:v>0</x:v>
      </x:c>
      <x:c r="V602" s="10" t="n">
        <x:f>0</x:f>
        <x:v>0</x:v>
      </x:c>
      <x:c r="W602" s="10" t="n">
        <x:f>H602*('Assumptions'!$P$112+'Assumptions'!$Y$112)</x:f>
        <x:v>245.69403750000004</x:v>
      </x:c>
      <x:c r="X602" s="10" t="n">
        <x:f>N602/12*'Assumptions'!$AF$112</x:f>
        <x:v>2516.7679402823283</x:v>
      </x:c>
      <x:c r="Y602" s="10" t="n">
        <x:f>P602/12</x:f>
        <x:v>337.23268752526883</x:v>
      </x:c>
      <x:c r="Z602" s="10" t="n">
        <x:f>0</x:f>
        <x:v>0</x:v>
      </x:c>
      <x:c r="AA602" s="10" t="n">
        <x:f>Z602*'Assumptions'!$AC$112*'Assumptions'!$D$11*(1+'Assumptions'!$D$13)^(5-1)</x:f>
        <x:v>0</x:v>
      </x:c>
      <x:c r="AB602" s="10" t="n">
        <x:f>F602/1</x:f>
        <x:v>13.176900000000002</x:v>
      </x:c>
      <x:c r="AC602" s="10" t="n">
        <x:f>AB602/'Assumptions'!$AM$112</x:f>
        <x:v>65.8845</x:v>
      </x:c>
      <x:c r="AD602" s="10" t="n">
        <x:f>IF(AB602=0,0,T602/AB602)</x:f>
        <x:v>91.67927291969413</x:v>
      </x:c>
      <x:c r="AE602" s="10" t="n">
        <x:f>AA602*'Assumptions'!$D$21</x:f>
        <x:v>0</x:v>
      </x:c>
    </x:row>
    <x:row r="603" ht="16" customHeight="1">
      <x:c r="A603" s="1"/>
      <x:c r="B603" s="1"/>
      <x:c r="C603" s="1" t="str">
        <x:v>DOT-084</x:v>
      </x:c>
      <x:c r="D603" s="10" t="str">
        <x:v>Semajes Studio</x:v>
      </x:c>
      <x:c r="E603" s="10" t="n">
        <x:v>5</x:v>
      </x:c>
      <x:c r="F603" s="21" t="n">
        <x:f>F475*(1+'Assumptions'!$L$113)</x:f>
        <x:v>87.84600000000002</x:v>
      </x:c>
      <x:c r="G603" s="21" t="n">
        <x:f>H475*'Assumptions'!$K$113</x:f>
        <x:v>71.95500000000001</x:v>
      </x:c>
      <x:c r="H603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603+G603,NA())</x:f>
        <x:v>159.80100000000004</x:v>
      </x:c>
      <x:c r="I603" s="22" t="n">
        <x:f>'Assumptions'!$H$113*IF('Assumptions'!$O$113=1,1,'Assumptions'!$D$10)*(1+'Assumptions'!$N$113)^(5-1)</x:f>
        <x:v>37.8851256</x:v>
      </x:c>
      <x:c r="J603" s="10" t="n">
        <x:f>H603*I603</x:f>
        <x:v>6054.080956005602</x:v>
      </x:c>
      <x:c r="K603" s="10" t="n">
        <x:f>J603*'Assumptions'!$T$113</x:f>
        <x:v>6054.080956005602</x:v>
      </x:c>
      <x:c r="L603" s="10" t="n">
        <x:f>K603*'Assumptions'!$U$113</x:f>
        <x:v>181.62242868016807</x:v>
      </x:c>
      <x:c r="M603" s="10" t="n">
        <x:f>K603*'Assumptions'!$V$113</x:f>
        <x:v>0</x:v>
      </x:c>
      <x:c r="N603" s="10" t="n">
        <x:f>K603-L603-M603</x:f>
        <x:v>5872.458527325434</x:v>
      </x:c>
      <x:c r="O603" s="10" t="n">
        <x:f>H603*'Assumptions'!$P$113*'Assumptions'!$Q$113*'Assumptions'!$D$11*(1+'Assumptions'!$D$13)^(5-1)</x:f>
        <x:v>899.2871667340504</x:v>
      </x:c>
      <x:c r="P603" s="10" t="n">
        <x:f>H603*'Assumptions'!$R$113*'Assumptions'!$D$11*(1+'Assumptions'!$D$13)^(5-1)</x:f>
        <x:v>0</x:v>
      </x:c>
      <x:c r="Q603" s="10" t="n">
        <x:f>J603*'Assumptions'!$S$113</x:f>
        <x:v>0</x:v>
      </x:c>
      <x:c r="R603" s="10" t="n">
        <x:f>H603*'Assumptions'!$Y$113*'Assumptions'!$Z$113*'Assumptions'!$D$11*(1+'Assumptions'!$D$13)^(5-1)</x:f>
        <x:v>1348.9307501010755</x:v>
      </x:c>
      <x:c r="S603" s="10" t="n">
        <x:f>IF(I603=0,0,J603*'Assumptions'!$W$113+H603*'Assumptions'!$X$113)</x:f>
        <x:v>223.50864772416247</x:v>
      </x:c>
      <x:c r="T603" s="10" t="n">
        <x:f>N603*'Assumptions'!$AA$113</x:f>
        <x:v>234.89834109301736</x:v>
      </x:c>
      <x:c r="U603" s="10" t="n">
        <x:f>'Assumptions'!$AE$113*'Assumptions'!$D$11*(1+'Assumptions'!$D$13)^(5-1)</x:f>
        <x:v>0</x:v>
      </x:c>
      <x:c r="V603" s="10" t="n">
        <x:f>0</x:f>
        <x:v>0</x:v>
      </x:c>
      <x:c r="W603" s="10" t="n">
        <x:f>H603*('Assumptions'!$P$113+'Assumptions'!$Y$113)</x:f>
        <x:v>55.93035000000001</x:v>
      </x:c>
      <x:c r="X603" s="10" t="n">
        <x:f>N603/12*'Assumptions'!$AF$113</x:f>
        <x:v>489.3715439437862</x:v>
      </x:c>
      <x:c r="Y603" s="10" t="n">
        <x:f>P603/12</x:f>
        <x:v>0</x:v>
      </x:c>
      <x:c r="Z603" s="10" t="n">
        <x:f>0</x:f>
        <x:v>0</x:v>
      </x:c>
      <x:c r="AA603" s="10" t="n">
        <x:f>Z603*'Assumptions'!$AC$113*'Assumptions'!$D$11*(1+'Assumptions'!$D$13)^(5-1)</x:f>
        <x:v>0</x:v>
      </x:c>
      <x:c r="AB603" s="10" t="n">
        <x:f>F603/1</x:f>
        <x:v>87.84600000000002</x:v>
      </x:c>
      <x:c r="AC603" s="10" t="n">
        <x:f>AB603/'Assumptions'!$AM$113</x:f>
        <x:v>439.2300000000001</x:v>
      </x:c>
      <x:c r="AD603" s="10" t="n">
        <x:f>IF(AB603=0,0,T603/AB603)</x:f>
        <x:v>2.673978793491079</x:v>
      </x:c>
      <x:c r="AE603" s="10" t="n">
        <x:f>AA603*'Assumptions'!$D$21</x:f>
        <x:v>0</x:v>
      </x:c>
    </x:row>
    <x:row r="604" ht="16" customHeight="1">
      <x:c r="A604" s="1"/>
      <x:c r="B604" s="1"/>
      <x:c r="C604" s="1" t="str">
        <x:v>DOT-085</x:v>
      </x:c>
      <x:c r="D604" s="10" t="str">
        <x:v>Semajes Studio</x:v>
      </x:c>
      <x:c r="E604" s="10" t="n">
        <x:v>5</x:v>
      </x:c>
      <x:c r="F604" s="21" t="n">
        <x:f>F476*(1+'Assumptions'!$L$114)</x:f>
        <x:v>26.353800000000003</x:v>
      </x:c>
      <x:c r="G604" s="21" t="n">
        <x:f>H476*'Assumptions'!$K$114</x:f>
        <x:v>21.5865</x:v>
      </x:c>
      <x:c r="H604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604+G604,NA())</x:f>
        <x:v>47.94030000000001</x:v>
      </x:c>
      <x:c r="I604" s="22" t="n">
        <x:f>'Assumptions'!$H$114*IF('Assumptions'!$O$114=1,1,'Assumptions'!$D$10)*(1+'Assumptions'!$N$114)^(5-1)</x:f>
        <x:v>162.364824</x:v>
      </x:c>
      <x:c r="J604" s="10" t="n">
        <x:f>H604*I604</x:f>
        <x:v>7783.818372007201</x:v>
      </x:c>
      <x:c r="K604" s="10" t="n">
        <x:f>J604*'Assumptions'!$T$114</x:f>
        <x:v>7783.818372007201</x:v>
      </x:c>
      <x:c r="L604" s="10" t="n">
        <x:f>K604*'Assumptions'!$U$114</x:f>
        <x:v>233.51455116021603</x:v>
      </x:c>
      <x:c r="M604" s="10" t="n">
        <x:f>K604*'Assumptions'!$V$114</x:f>
        <x:v>0</x:v>
      </x:c>
      <x:c r="N604" s="10" t="n">
        <x:f>K604-L604-M604</x:f>
        <x:v>7550.303820846985</x:v>
      </x:c>
      <x:c r="O604" s="10" t="n">
        <x:f>H604*'Assumptions'!$P$114*'Assumptions'!$Q$114*'Assumptions'!$D$11*(1+'Assumptions'!$D$13)^(5-1)</x:f>
        <x:v>674.4653750505377</x:v>
      </x:c>
      <x:c r="P604" s="10" t="n">
        <x:f>H604*'Assumptions'!$R$114*'Assumptions'!$D$11*(1+'Assumptions'!$D$13)^(5-1)</x:f>
        <x:v>0</x:v>
      </x:c>
      <x:c r="Q604" s="10" t="n">
        <x:f>J604*'Assumptions'!$S$114</x:f>
        <x:v>0</x:v>
      </x:c>
      <x:c r="R604" s="10" t="n">
        <x:f>H604*'Assumptions'!$Y$114*'Assumptions'!$Z$114*'Assumptions'!$D$11*(1+'Assumptions'!$D$13)^(5-1)</x:f>
        <x:v>404.67922503032264</x:v>
      </x:c>
      <x:c r="S604" s="10" t="n">
        <x:f>IF(I604=0,0,J604*'Assumptions'!$W$114+H604*'Assumptions'!$X$114)</x:f>
        <x:v>240.11282278820886</x:v>
      </x:c>
      <x:c r="T604" s="10" t="n">
        <x:f>N604*'Assumptions'!$AA$114</x:f>
        <x:v>302.01215283387944</x:v>
      </x:c>
      <x:c r="U604" s="10" t="n">
        <x:f>'Assumptions'!$AE$114*'Assumptions'!$D$11*(1+'Assumptions'!$D$13)^(5-1)</x:f>
        <x:v>0</x:v>
      </x:c>
      <x:c r="V604" s="10" t="n">
        <x:f>0</x:f>
        <x:v>0</x:v>
      </x:c>
      <x:c r="W604" s="10" t="n">
        <x:f>H604*('Assumptions'!$P$114+'Assumptions'!$Y$114)</x:f>
        <x:v>23.970150000000004</x:v>
      </x:c>
      <x:c r="X604" s="10" t="n">
        <x:f>N604/12*'Assumptions'!$AF$114</x:f>
        <x:v>629.1919850705821</x:v>
      </x:c>
      <x:c r="Y604" s="10" t="n">
        <x:f>P604/12</x:f>
        <x:v>0</x:v>
      </x:c>
      <x:c r="Z604" s="10" t="n">
        <x:f>0</x:f>
        <x:v>0</x:v>
      </x:c>
      <x:c r="AA604" s="10" t="n">
        <x:f>Z604*'Assumptions'!$AC$114*'Assumptions'!$D$11*(1+'Assumptions'!$D$13)^(5-1)</x:f>
        <x:v>0</x:v>
      </x:c>
      <x:c r="AB604" s="10" t="n">
        <x:f>F604/1</x:f>
        <x:v>26.353800000000003</x:v>
      </x:c>
      <x:c r="AC604" s="10" t="n">
        <x:f>AB604/'Assumptions'!$AM$114</x:f>
        <x:v>131.769</x:v>
      </x:c>
      <x:c r="AD604" s="10" t="n">
        <x:f>IF(AB604=0,0,T604/AB604)</x:f>
        <x:v>11.459909114961766</x:v>
      </x:c>
      <x:c r="AE604" s="10" t="n">
        <x:f>AA604*'Assumptions'!$D$21</x:f>
        <x:v>0</x:v>
      </x:c>
    </x:row>
    <x:row r="605" ht="16" customHeight="1">
      <x:c r="A605" s="1"/>
      <x:c r="B605" s="1"/>
      <x:c r="C605" s="1" t="str">
        <x:v>DOT-086</x:v>
      </x:c>
      <x:c r="D605" s="10" t="str">
        <x:v>Semajes Studio</x:v>
      </x:c>
      <x:c r="E605" s="10" t="n">
        <x:v>5</x:v>
      </x:c>
      <x:c r="F605" s="21" t="n">
        <x:f>F477*(1+'Assumptions'!$L$115)</x:f>
        <x:v>13.176900000000002</x:v>
      </x:c>
      <x:c r="G605" s="21" t="n">
        <x:f>H477*'Assumptions'!$K$115</x:f>
        <x:v>10.79325</x:v>
      </x:c>
      <x:c r="H605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605+G605,NA())</x:f>
        <x:v>23.970150000000004</x:v>
      </x:c>
      <x:c r="I605" s="22" t="n">
        <x:f>'Assumptions'!$H$115*IF('Assumptions'!$O$115=1,1,'Assumptions'!$D$10)*(1+'Assumptions'!$N$115)^(5-1)</x:f>
        <x:v>541.21608</x:v>
      </x:c>
      <x:c r="J605" s="10" t="n">
        <x:f>H605*I605</x:f>
        <x:v>12973.030620012003</x:v>
      </x:c>
      <x:c r="K605" s="10" t="n">
        <x:f>J605*'Assumptions'!$T$115</x:f>
        <x:v>12973.030620012003</x:v>
      </x:c>
      <x:c r="L605" s="10" t="n">
        <x:f>K605*'Assumptions'!$U$115</x:f>
        <x:v>389.1909186003601</x:v>
      </x:c>
      <x:c r="M605" s="10" t="n">
        <x:f>K605*'Assumptions'!$V$115</x:f>
        <x:v>0</x:v>
      </x:c>
      <x:c r="N605" s="10" t="n">
        <x:f>K605-L605-M605</x:f>
        <x:v>12583.839701411644</x:v>
      </x:c>
      <x:c r="O605" s="10" t="n">
        <x:f>H605*'Assumptions'!$P$115*'Assumptions'!$Q$115*'Assumptions'!$D$11*(1+'Assumptions'!$D$13)^(5-1)</x:f>
        <x:v>1348.9307501010753</x:v>
      </x:c>
      <x:c r="P605" s="10" t="n">
        <x:f>H605*'Assumptions'!$R$115*'Assumptions'!$D$11*(1+'Assumptions'!$D$13)^(5-1)</x:f>
        <x:v>0</x:v>
      </x:c>
      <x:c r="Q605" s="10" t="n">
        <x:f>J605*'Assumptions'!$S$115</x:f>
        <x:v>0</x:v>
      </x:c>
      <x:c r="R605" s="10" t="n">
        <x:f>H605*'Assumptions'!$Y$115*'Assumptions'!$Z$115*'Assumptions'!$D$11*(1+'Assumptions'!$D$13)^(5-1)</x:f>
        <x:v>202.33961251516132</x:v>
      </x:c>
      <x:c r="S605" s="10" t="n">
        <x:f>IF(I605=0,0,J605*'Assumptions'!$W$115+H605*'Assumptions'!$X$115)</x:f>
        <x:v>383.4089329803481</x:v>
      </x:c>
      <x:c r="T605" s="10" t="n">
        <x:f>N605*'Assumptions'!$AA$115</x:f>
        <x:v>503.35358805646575</x:v>
      </x:c>
      <x:c r="U605" s="10" t="n">
        <x:f>'Assumptions'!$AE$115*'Assumptions'!$D$11*(1+'Assumptions'!$D$13)^(5-1)</x:f>
        <x:v>0</x:v>
      </x:c>
      <x:c r="V605" s="10" t="n">
        <x:f>0</x:f>
        <x:v>0</x:v>
      </x:c>
      <x:c r="W605" s="10" t="n">
        <x:f>H605*('Assumptions'!$P$115+'Assumptions'!$Y$115)</x:f>
        <x:v>29.962687500000005</x:v>
      </x:c>
      <x:c r="X605" s="10" t="n">
        <x:f>N605/12*'Assumptions'!$AF$115</x:f>
        <x:v>1048.6533084509704</x:v>
      </x:c>
      <x:c r="Y605" s="10" t="n">
        <x:f>P605/12</x:f>
        <x:v>0</x:v>
      </x:c>
      <x:c r="Z605" s="10" t="n">
        <x:f>0</x:f>
        <x:v>0</x:v>
      </x:c>
      <x:c r="AA605" s="10" t="n">
        <x:f>Z605*'Assumptions'!$AC$115*'Assumptions'!$D$11*(1+'Assumptions'!$D$13)^(5-1)</x:f>
        <x:v>0</x:v>
      </x:c>
      <x:c r="AB605" s="10" t="n">
        <x:f>F605/1</x:f>
        <x:v>13.176900000000002</x:v>
      </x:c>
      <x:c r="AC605" s="10" t="n">
        <x:f>AB605/'Assumptions'!$AM$115</x:f>
        <x:v>65.8845</x:v>
      </x:c>
      <x:c r="AD605" s="10" t="n">
        <x:f>IF(AB605=0,0,T605/AB605)</x:f>
        <x:v>38.199697049872555</x:v>
      </x:c>
      <x:c r="AE605" s="10" t="n">
        <x:f>AA605*'Assumptions'!$D$21</x:f>
        <x:v>0</x:v>
      </x:c>
    </x:row>
    <x:row r="606" ht="16" customHeight="1">
      <x:c r="A606" s="1"/>
      <x:c r="B606" s="1"/>
      <x:c r="C606" s="1" t="str">
        <x:v>DOT-087</x:v>
      </x:c>
      <x:c r="D606" s="10" t="str">
        <x:v>Semajes Studio</x:v>
      </x:c>
      <x:c r="E606" s="10" t="n">
        <x:v>5</x:v>
      </x:c>
      <x:c r="F606" s="21" t="n">
        <x:f>F478*(1+'Assumptions'!$L$116)</x:f>
        <x:v>132.17562624000004</x:v>
      </x:c>
      <x:c r="G606" s="21" t="n">
        <x:f>H478*'Assumptions'!$K$116</x:f>
        <x:v>48.1566096</x:v>
      </x:c>
      <x:c r="H606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606+G606,NA())</x:f>
        <x:v>180.33223584000004</x:v>
      </x:c>
      <x:c r="I606" s="22" t="n">
        <x:f>'Assumptions'!$H$116*IF('Assumptions'!$O$116=1,1,'Assumptions'!$D$10)*(1+'Assumptions'!$N$116)^(5-1)</x:f>
        <x:v>102.8310552</x:v>
      </x:c>
      <x:c r="J606" s="10" t="n">
        <x:f>H606*I606</x:f>
        <x:v>18543.75409800246</x:v>
      </x:c>
      <x:c r="K606" s="10" t="n">
        <x:f>J606*'Assumptions'!$T$116</x:f>
        <x:v>18543.75409800246</x:v>
      </x:c>
      <x:c r="L606" s="10" t="n">
        <x:f>K606*'Assumptions'!$U$116</x:f>
        <x:v>556.3126229400738</x:v>
      </x:c>
      <x:c r="M606" s="10" t="n">
        <x:f>K606*'Assumptions'!$V$116</x:f>
        <x:v>370.8750819600492</x:v>
      </x:c>
      <x:c r="N606" s="10" t="n">
        <x:f>K606-L606-M606</x:f>
        <x:v>17616.566393102337</x:v>
      </x:c>
      <x:c r="O606" s="10" t="n">
        <x:f>H606*'Assumptions'!$P$116*'Assumptions'!$Q$116*'Assumptions'!$D$11*(1+'Assumptions'!$D$13)^(5-1)</x:f>
        <x:v>1522.2414012368836</x:v>
      </x:c>
      <x:c r="P606" s="10" t="n">
        <x:f>H606*'Assumptions'!$R$116*'Assumptions'!$D$11*(1+'Assumptions'!$D$13)^(5-1)</x:f>
        <x:v>7103.793205772124</x:v>
      </x:c>
      <x:c r="Q606" s="10" t="n">
        <x:f>J606*'Assumptions'!$S$116</x:f>
        <x:v>0</x:v>
      </x:c>
      <x:c r="R606" s="10" t="n">
        <x:f>H606*'Assumptions'!$Y$116*'Assumptions'!$Z$116*'Assumptions'!$D$11*(1+'Assumptions'!$D$13)^(5-1)</x:f>
        <x:v>913.34484074213</x:v>
      </x:c>
      <x:c r="S606" s="10" t="n">
        <x:f>IF(I606=0,0,J606*'Assumptions'!$W$116+H606*'Assumptions'!$X$116)</x:f>
        <x:v>591.8685395940713</x:v>
      </x:c>
      <x:c r="T606" s="10" t="n">
        <x:f>N606*'Assumptions'!$AA$116</x:f>
        <x:v>1409.325311448187</x:v>
      </x:c>
      <x:c r="U606" s="10" t="n">
        <x:f>'Assumptions'!$AE$116*'Assumptions'!$D$11*(1+'Assumptions'!$D$13)^(5-1)</x:f>
        <x:v>0</x:v>
      </x:c>
      <x:c r="V606" s="10" t="n">
        <x:f>0</x:f>
        <x:v>0</x:v>
      </x:c>
      <x:c r="W606" s="10" t="n">
        <x:f>H606*('Assumptions'!$P$116+'Assumptions'!$Y$116)</x:f>
        <x:v>54.09967075200001</x:v>
      </x:c>
      <x:c r="X606" s="10" t="n">
        <x:f>N606/12*'Assumptions'!$AF$116</x:f>
        <x:v>0</x:v>
      </x:c>
      <x:c r="Y606" s="10" t="n">
        <x:f>P606/12</x:f>
        <x:v>591.982767147677</x:v>
      </x:c>
      <x:c r="Z606" s="10" t="n">
        <x:f>0</x:f>
        <x:v>0</x:v>
      </x:c>
      <x:c r="AA606" s="10" t="n">
        <x:f>Z606*'Assumptions'!$AC$116*'Assumptions'!$D$11*(1+'Assumptions'!$D$13)^(5-1)</x:f>
        <x:v>0</x:v>
      </x:c>
      <x:c r="AB606" s="10" t="n">
        <x:f>F606/1</x:f>
        <x:v>132.17562624000004</x:v>
      </x:c>
      <x:c r="AC606" s="10" t="n">
        <x:f>AB606/'Assumptions'!$AM$116</x:f>
        <x:v>4405.854208000002</x:v>
      </x:c>
      <x:c r="AD606" s="10" t="n">
        <x:f>IF(AB606=0,0,T606/AB606)</x:f>
        <x:v>10.66252040212907</x:v>
      </x:c>
      <x:c r="AE606" s="10" t="n">
        <x:f>AA606*'Assumptions'!$D$21</x:f>
        <x:v>0</x:v>
      </x:c>
    </x:row>
    <x:row r="607" ht="16" customHeight="1">
      <x:c r="A607" s="1"/>
      <x:c r="B607" s="1"/>
      <x:c r="C607" s="1" t="str">
        <x:v>DOT-088</x:v>
      </x:c>
      <x:c r="D607" s="10" t="str">
        <x:v>Semajes Studio</x:v>
      </x:c>
      <x:c r="E607" s="10" t="n">
        <x:v>5</x:v>
      </x:c>
      <x:c r="F607" s="21" t="n">
        <x:f>F479*(1+'Assumptions'!$L$117)</x:f>
        <x:v>66.08781312000002</x:v>
      </x:c>
      <x:c r="G607" s="21" t="n">
        <x:f>H479*'Assumptions'!$K$117</x:f>
        <x:v>24.0783048</x:v>
      </x:c>
      <x:c r="H607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607+G607,NA())</x:f>
        <x:v>90.16611792000002</x:v>
      </x:c>
      <x:c r="I607" s="22" t="n">
        <x:f>'Assumptions'!$H$117*IF('Assumptions'!$O$117=1,1,'Assumptions'!$D$10)*(1+'Assumptions'!$N$117)^(5-1)</x:f>
        <x:v>270.60804</x:v>
      </x:c>
      <x:c r="J607" s="10" t="n">
        <x:f>H607*I607</x:f>
        <x:v>24399.676444740082</x:v>
      </x:c>
      <x:c r="K607" s="10" t="n">
        <x:f>J607*'Assumptions'!$T$117</x:f>
        <x:v>24399.676444740082</x:v>
      </x:c>
      <x:c r="L607" s="10" t="n">
        <x:f>K607*'Assumptions'!$U$117</x:f>
        <x:v>731.9902933422024</x:v>
      </x:c>
      <x:c r="M607" s="10" t="n">
        <x:f>K607*'Assumptions'!$V$117</x:f>
        <x:v>487.99352889480167</x:v>
      </x:c>
      <x:c r="N607" s="10" t="n">
        <x:f>K607-L607-M607</x:f>
        <x:v>23179.69262250308</x:v>
      </x:c>
      <x:c r="O607" s="10" t="n">
        <x:f>H607*'Assumptions'!$P$117*'Assumptions'!$Q$117*'Assumptions'!$D$11*(1+'Assumptions'!$D$13)^(5-1)</x:f>
        <x:v>1268.5345010307362</x:v>
      </x:c>
      <x:c r="P607" s="10" t="n">
        <x:f>H607*'Assumptions'!$R$117*'Assumptions'!$D$11*(1+'Assumptions'!$D$13)^(5-1)</x:f>
        <x:v>11163.10360907048</x:v>
      </x:c>
      <x:c r="Q607" s="10" t="n">
        <x:f>J607*'Assumptions'!$S$117</x:f>
        <x:v>0</x:v>
      </x:c>
      <x:c r="R607" s="10" t="n">
        <x:f>H607*'Assumptions'!$Y$117*'Assumptions'!$Z$117*'Assumptions'!$D$11*(1+'Assumptions'!$D$13)^(5-1)</x:f>
        <x:v>456.672420371065</x:v>
      </x:c>
      <x:c r="S607" s="10" t="n">
        <x:f>IF(I607=0,0,J607*'Assumptions'!$W$117+H607*'Assumptions'!$X$117)</x:f>
        <x:v>734.6404522734624</x:v>
      </x:c>
      <x:c r="T607" s="10" t="n">
        <x:f>N607*'Assumptions'!$AA$117</x:f>
        <x:v>1854.3754098002464</x:v>
      </x:c>
      <x:c r="U607" s="10" t="n">
        <x:f>'Assumptions'!$AE$117*'Assumptions'!$D$11*(1+'Assumptions'!$D$13)^(5-1)</x:f>
        <x:v>0</x:v>
      </x:c>
      <x:c r="V607" s="10" t="n">
        <x:f>0</x:f>
        <x:v>0</x:v>
      </x:c>
      <x:c r="W607" s="10" t="n">
        <x:f>H607*('Assumptions'!$P$117+'Assumptions'!$Y$117)</x:f>
        <x:v>36.06644716800001</x:v>
      </x:c>
      <x:c r="X607" s="10" t="n">
        <x:f>N607/12*'Assumptions'!$AF$117</x:f>
        <x:v>0</x:v>
      </x:c>
      <x:c r="Y607" s="10" t="n">
        <x:f>P607/12</x:f>
        <x:v>930.2586340892067</x:v>
      </x:c>
      <x:c r="Z607" s="10" t="n">
        <x:f>0</x:f>
        <x:v>0</x:v>
      </x:c>
      <x:c r="AA607" s="10" t="n">
        <x:f>Z607*'Assumptions'!$AC$117*'Assumptions'!$D$11*(1+'Assumptions'!$D$13)^(5-1)</x:f>
        <x:v>0</x:v>
      </x:c>
      <x:c r="AB607" s="10" t="n">
        <x:f>F607/1</x:f>
        <x:v>66.08781312000002</x:v>
      </x:c>
      <x:c r="AC607" s="10" t="n">
        <x:f>AB607/'Assumptions'!$AM$117</x:f>
        <x:v>2202.927104000001</x:v>
      </x:c>
      <x:c r="AD607" s="10" t="n">
        <x:f>IF(AB607=0,0,T607/AB607)</x:f>
        <x:v>28.05926421612914</x:v>
      </x:c>
      <x:c r="AE607" s="10" t="n">
        <x:f>AA607*'Assumptions'!$D$21</x:f>
        <x:v>0</x:v>
      </x:c>
    </x:row>
    <x:row r="608" ht="16" customHeight="1">
      <x:c r="A608" s="1"/>
      <x:c r="B608" s="1"/>
      <x:c r="C608" s="1" t="str">
        <x:v>DOT-089</x:v>
      </x:c>
      <x:c r="D608" s="10" t="str">
        <x:v>Semajes Studio</x:v>
      </x:c>
      <x:c r="E608" s="10" t="n">
        <x:v>5</x:v>
      </x:c>
      <x:c r="F608" s="21" t="n">
        <x:f>F480*(1+'Assumptions'!$L$118)</x:f>
        <x:v>26.435125248000006</x:v>
      </x:c>
      <x:c r="G608" s="21" t="n">
        <x:f>H480*'Assumptions'!$K$118</x:f>
        <x:v>9.63132192</x:v>
      </x:c>
      <x:c r="H608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608+G608,NA())</x:f>
        <x:v>36.066447168</x:v>
      </x:c>
      <x:c r="I608" s="22" t="n">
        <x:f>'Assumptions'!$H$118*IF('Assumptions'!$O$118=1,1,'Assumptions'!$D$10)*(1+'Assumptions'!$N$118)^(5-1)</x:f>
        <x:v>189.425628</x:v>
      </x:c>
      <x:c r="J608" s="10" t="n">
        <x:f>H608*I608</x:f>
        <x:v>6831.909404527221</x:v>
      </x:c>
      <x:c r="K608" s="10" t="n">
        <x:f>J608*'Assumptions'!$T$118</x:f>
        <x:v>6831.909404527221</x:v>
      </x:c>
      <x:c r="L608" s="10" t="n">
        <x:f>K608*'Assumptions'!$U$118</x:f>
        <x:v>204.95728213581663</x:v>
      </x:c>
      <x:c r="M608" s="10" t="n">
        <x:f>K608*'Assumptions'!$V$118</x:f>
        <x:v>136.63818809054442</x:v>
      </x:c>
      <x:c r="N608" s="10" t="n">
        <x:f>K608-L608-M608</x:f>
        <x:v>6490.31393430086</x:v>
      </x:c>
      <x:c r="O608" s="10" t="n">
        <x:f>H608*'Assumptions'!$P$118*'Assumptions'!$Q$118*'Assumptions'!$D$11*(1+'Assumptions'!$D$13)^(5-1)</x:f>
        <x:v>1014.827600824589</x:v>
      </x:c>
      <x:c r="P608" s="10" t="n">
        <x:f>H608*'Assumptions'!$R$118*'Assumptions'!$D$11*(1+'Assumptions'!$D$13)^(5-1)</x:f>
        <x:v>3653.37936296852</x:v>
      </x:c>
      <x:c r="Q608" s="10" t="n">
        <x:f>J608*'Assumptions'!$S$118</x:f>
        <x:v>0</x:v>
      </x:c>
      <x:c r="R608" s="10" t="n">
        <x:f>H608*'Assumptions'!$Y$118*'Assumptions'!$Z$118*'Assumptions'!$D$11*(1+'Assumptions'!$D$13)^(5-1)</x:f>
        <x:v>182.668968148426</x:v>
      </x:c>
      <x:c r="S608" s="10" t="n">
        <x:f>IF(I608=0,0,J608*'Assumptions'!$W$118+H608*'Assumptions'!$X$118)</x:f>
        <x:v>208.94530688168942</x:v>
      </x:c>
      <x:c r="T608" s="10" t="n">
        <x:f>N608*'Assumptions'!$AA$118</x:f>
        <x:v>519.2251147440688</x:v>
      </x:c>
      <x:c r="U608" s="10" t="n">
        <x:f>'Assumptions'!$AE$118*'Assumptions'!$D$11*(1+'Assumptions'!$D$13)^(5-1)</x:f>
        <x:v>0</x:v>
      </x:c>
      <x:c r="V608" s="10" t="n">
        <x:f>0</x:f>
        <x:v>0</x:v>
      </x:c>
      <x:c r="W608" s="10" t="n">
        <x:f>H608*('Assumptions'!$P$118+'Assumptions'!$Y$118)</x:f>
        <x:v>23.443190659200003</x:v>
      </x:c>
      <x:c r="X608" s="10" t="n">
        <x:f>N608/12*'Assumptions'!$AF$118</x:f>
        <x:v>0</x:v>
      </x:c>
      <x:c r="Y608" s="10" t="n">
        <x:f>P608/12</x:f>
        <x:v>304.44828024737666</x:v>
      </x:c>
      <x:c r="Z608" s="10" t="n">
        <x:f>0</x:f>
        <x:v>0</x:v>
      </x:c>
      <x:c r="AA608" s="10" t="n">
        <x:f>Z608*'Assumptions'!$AC$118*'Assumptions'!$D$11*(1+'Assumptions'!$D$13)^(5-1)</x:f>
        <x:v>0</x:v>
      </x:c>
      <x:c r="AB608" s="10" t="n">
        <x:f>F608/1</x:f>
        <x:v>26.435125248000006</x:v>
      </x:c>
      <x:c r="AC608" s="10" t="n">
        <x:f>AB608/'Assumptions'!$AM$118</x:f>
        <x:v>881.1708416000002</x:v>
      </x:c>
      <x:c r="AD608" s="10" t="n">
        <x:f>IF(AB608=0,0,T608/AB608)</x:f>
        <x:v>19.641484951290394</x:v>
      </x:c>
      <x:c r="AE608" s="10" t="n">
        <x:f>AA608*'Assumptions'!$D$21</x:f>
        <x:v>0</x:v>
      </x:c>
    </x:row>
    <x:row r="609" ht="16" customHeight="1">
      <x:c r="A609" s="1"/>
      <x:c r="B609" s="1"/>
      <x:c r="C609" s="1" t="str">
        <x:v>DOT-090</x:v>
      </x:c>
      <x:c r="D609" s="10" t="str">
        <x:v>Semajes Marketplace</x:v>
      </x:c>
      <x:c r="E609" s="10" t="n">
        <x:v>5</x:v>
      </x:c>
      <x:c r="F609" s="21" t="n">
        <x:f>F481*(1+'Assumptions'!$L$119)</x:f>
        <x:v>74.6496</x:v>
      </x:c>
      <x:c r="G609" s="21" t="n">
        <x:f>H481*'Assumptions'!$K$119</x:f>
        <x:v>98.17080000000001</x:v>
      </x:c>
      <x:c r="H609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609+G609,NA())</x:f>
        <x:v>172.8204</x:v>
      </x:c>
      <x:c r="I609" s="22" t="n">
        <x:f>'Assumptions'!$H$119*IF('Assumptions'!$O$119=1,1,'Assumptions'!$D$10)*(1+'Assumptions'!$N$119)^(5-1)</x:f>
        <x:v>649.459296</x:v>
      </x:c>
      <x:c r="J609" s="10" t="n">
        <x:f>H609*I609</x:f>
        <x:v>112239.8153184384</x:v>
      </x:c>
      <x:c r="K609" s="10" t="n">
        <x:f>J609*'Assumptions'!$T$119</x:f>
        <x:v>16835.97229776576</x:v>
      </x:c>
      <x:c r="L609" s="10" t="n">
        <x:f>K609*'Assumptions'!$U$119</x:f>
        <x:v>505.0791689329727</x:v>
      </x:c>
      <x:c r="M609" s="10" t="n">
        <x:f>K609*'Assumptions'!$V$119</x:f>
        <x:v>0</x:v>
      </x:c>
      <x:c r="N609" s="10" t="n">
        <x:f>K609-L609-M609</x:f>
        <x:v>16330.893128832786</x:v>
      </x:c>
      <x:c r="O609" s="10" t="n">
        <x:f>H609*'Assumptions'!$P$119*'Assumptions'!$Q$119*'Assumptions'!$D$11*(1+'Assumptions'!$D$13)^(5-1)</x:f>
        <x:v>1701.9702240425852</x:v>
      </x:c>
      <x:c r="P609" s="10" t="n">
        <x:f>H609*'Assumptions'!$R$119*'Assumptions'!$D$11*(1+'Assumptions'!$D$13)^(5-1)</x:f>
        <x:v>0</x:v>
      </x:c>
      <x:c r="Q609" s="10" t="n">
        <x:f>J609*'Assumptions'!$S$119</x:f>
        <x:v>0</x:v>
      </x:c>
      <x:c r="R609" s="10" t="n">
        <x:f>H609*'Assumptions'!$Y$119*'Assumptions'!$Z$119*'Assumptions'!$D$11*(1+'Assumptions'!$D$13)^(5-1)</x:f>
        <x:v>875.298972364758</x:v>
      </x:c>
      <x:c r="S609" s="10" t="n">
        <x:f>IF(I609=0,0,J609*'Assumptions'!$W$119+H609*'Assumptions'!$X$119)</x:f>
        <x:v>3306.800764234714</x:v>
      </x:c>
      <x:c r="T609" s="10" t="n">
        <x:f>N609*'Assumptions'!$AA$119</x:f>
        <x:v>816.5446564416393</x:v>
      </x:c>
      <x:c r="U609" s="10" t="n">
        <x:f>'Assumptions'!$AE$119*'Assumptions'!$D$11*(1+'Assumptions'!$D$13)^(5-1)</x:f>
        <x:v>270.12211440000004</x:v>
      </x:c>
      <x:c r="V609" s="10" t="n">
        <x:f>0</x:f>
        <x:v>0</x:v>
      </x:c>
      <x:c r="W609" s="10" t="n">
        <x:f>H609*('Assumptions'!$P$119+'Assumptions'!$Y$119)</x:f>
        <x:v>69.12816000000001</x:v>
      </x:c>
      <x:c r="X609" s="10" t="n">
        <x:f>N609/12*'Assumptions'!$AF$119</x:f>
        <x:v>0</x:v>
      </x:c>
      <x:c r="Y609" s="10" t="n">
        <x:f>P609/12</x:f>
        <x:v>0</x:v>
      </x:c>
      <x:c r="Z609" s="10" t="n">
        <x:f>0</x:f>
        <x:v>0</x:v>
      </x:c>
      <x:c r="AA609" s="10" t="n">
        <x:f>Z609*'Assumptions'!$AC$119*'Assumptions'!$D$11*(1+'Assumptions'!$D$13)^(5-1)</x:f>
        <x:v>0</x:v>
      </x:c>
      <x:c r="AB609" s="10" t="n">
        <x:f>F609/1</x:f>
        <x:v>74.6496</x:v>
      </x:c>
      <x:c r="AC609" s="10" t="n">
        <x:f>AB609/'Assumptions'!$AM$119</x:f>
        <x:v>1492.992</x:v>
      </x:c>
      <x:c r="AD609" s="10" t="n">
        <x:f>IF(AB609=0,0,T609/AB609)</x:f>
        <x:v>10.938366132459374</x:v>
      </x:c>
      <x:c r="AE609" s="10" t="n">
        <x:f>AA609*'Assumptions'!$D$21</x:f>
        <x:v>0</x:v>
      </x:c>
    </x:row>
    <x:row r="610" ht="16" customHeight="1">
      <x:c r="A610" s="1"/>
      <x:c r="B610" s="1"/>
      <x:c r="C610" s="1" t="str">
        <x:v>DOT-091</x:v>
      </x:c>
      <x:c r="D610" s="10" t="str">
        <x:v>Semajes Marketplace</x:v>
      </x:c>
      <x:c r="E610" s="10" t="n">
        <x:v>5</x:v>
      </x:c>
      <x:c r="F610" s="21" t="n">
        <x:f>F482*(1+'Assumptions'!$L$120)</x:f>
        <x:v>149.2992</x:v>
      </x:c>
      <x:c r="G610" s="21" t="n">
        <x:f>H482*'Assumptions'!$K$120</x:f>
        <x:v>196.34160000000003</x:v>
      </x:c>
      <x:c r="H610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610+G610,NA())</x:f>
        <x:v>345.6408</x:v>
      </x:c>
      <x:c r="I610" s="22" t="n">
        <x:f>'Assumptions'!$H$120*IF('Assumptions'!$O$120=1,1,'Assumptions'!$D$10)*(1+'Assumptions'!$N$120)^(5-1)</x:f>
        <x:v>81.182412</x:v>
      </x:c>
      <x:c r="J610" s="10" t="n">
        <x:f>H610*I610</x:f>
        <x:v>28059.9538296096</x:v>
      </x:c>
      <x:c r="K610" s="10" t="n">
        <x:f>J610*'Assumptions'!$T$120</x:f>
        <x:v>5611.990765921921</x:v>
      </x:c>
      <x:c r="L610" s="10" t="n">
        <x:f>K610*'Assumptions'!$U$120</x:f>
        <x:v>168.3597229776576</x:v>
      </x:c>
      <x:c r="M610" s="10" t="n">
        <x:f>K610*'Assumptions'!$V$120</x:f>
        <x:v>0</x:v>
      </x:c>
      <x:c r="N610" s="10" t="n">
        <x:f>K610-L610-M610</x:f>
        <x:v>5443.631042944263</x:v>
      </x:c>
      <x:c r="O610" s="10" t="n">
        <x:f>H610*'Assumptions'!$P$120*'Assumptions'!$Q$120*'Assumptions'!$D$11*(1+'Assumptions'!$D$13)^(5-1)</x:f>
        <x:v>1361.5761792340684</x:v>
      </x:c>
      <x:c r="P610" s="10" t="n">
        <x:f>H610*'Assumptions'!$R$120*'Assumptions'!$D$11*(1+'Assumptions'!$D$13)^(5-1)</x:f>
        <x:v>0</x:v>
      </x:c>
      <x:c r="Q610" s="10" t="n">
        <x:f>J610*'Assumptions'!$S$120</x:f>
        <x:v>0</x:v>
      </x:c>
      <x:c r="R610" s="10" t="n">
        <x:f>H610*'Assumptions'!$Y$120*'Assumptions'!$Z$120*'Assumptions'!$D$11*(1+'Assumptions'!$D$13)^(5-1)</x:f>
        <x:v>1750.597944729516</x:v>
      </x:c>
      <x:c r="S610" s="10" t="n">
        <x:f>IF(I610=0,0,J610*'Assumptions'!$W$120+H610*'Assumptions'!$X$120)</x:f>
        <x:v>917.4309010586784</x:v>
      </x:c>
      <x:c r="T610" s="10" t="n">
        <x:f>N610*'Assumptions'!$AA$120</x:f>
        <x:v>272.18155214721315</x:v>
      </x:c>
      <x:c r="U610" s="10" t="n">
        <x:f>'Assumptions'!$AE$120*'Assumptions'!$D$11*(1+'Assumptions'!$D$13)^(5-1)</x:f>
        <x:v>0</x:v>
      </x:c>
      <x:c r="V610" s="10" t="n">
        <x:f>0</x:f>
        <x:v>0</x:v>
      </x:c>
      <x:c r="W610" s="10" t="n">
        <x:f>H610*('Assumptions'!$P$120+'Assumptions'!$Y$120)</x:f>
        <x:v>86.4102</x:v>
      </x:c>
      <x:c r="X610" s="10" t="n">
        <x:f>N610/12*'Assumptions'!$AF$120</x:f>
        <x:v>0</x:v>
      </x:c>
      <x:c r="Y610" s="10" t="n">
        <x:f>P610/12</x:f>
        <x:v>0</x:v>
      </x:c>
      <x:c r="Z610" s="10" t="n">
        <x:f>0</x:f>
        <x:v>0</x:v>
      </x:c>
      <x:c r="AA610" s="10" t="n">
        <x:f>Z610*'Assumptions'!$AC$120*'Assumptions'!$D$11*(1+'Assumptions'!$D$13)^(5-1)</x:f>
        <x:v>0</x:v>
      </x:c>
      <x:c r="AB610" s="10" t="n">
        <x:f>F610/1</x:f>
        <x:v>149.2992</x:v>
      </x:c>
      <x:c r="AC610" s="10" t="n">
        <x:f>AB610/'Assumptions'!$AM$120</x:f>
        <x:v>2985.984</x:v>
      </x:c>
      <x:c r="AD610" s="10" t="n">
        <x:f>IF(AB610=0,0,T610/AB610)</x:f>
        <x:v>1.8230610220765626</x:v>
      </x:c>
      <x:c r="AE610" s="10" t="n">
        <x:f>AA610*'Assumptions'!$D$21</x:f>
        <x:v>0</x:v>
      </x:c>
    </x:row>
    <x:row r="611" ht="16" customHeight="1">
      <x:c r="A611" s="1"/>
      <x:c r="B611" s="1"/>
      <x:c r="C611" s="1" t="str">
        <x:v>DOT-092</x:v>
      </x:c>
      <x:c r="D611" s="10" t="str">
        <x:v>Semajes Marketplace</x:v>
      </x:c>
      <x:c r="E611" s="10" t="n">
        <x:v>5</x:v>
      </x:c>
      <x:c r="F611" s="21" t="n">
        <x:f>F483*(1+'Assumptions'!$L$121)</x:f>
        <x:v>74.6496</x:v>
      </x:c>
      <x:c r="G611" s="21" t="n">
        <x:f>H483*'Assumptions'!$K$121</x:f>
        <x:v>98.17080000000001</x:v>
      </x:c>
      <x:c r="H611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611+G611,NA())</x:f>
        <x:v>172.8204</x:v>
      </x:c>
      <x:c r="I611" s="22" t="n">
        <x:f>'Assumptions'!$H$121*IF('Assumptions'!$O$121=1,1,'Assumptions'!$D$10)*(1+'Assumptions'!$N$121)^(5-1)</x:f>
        <x:v>270.60804</x:v>
      </x:c>
      <x:c r="J611" s="10" t="n">
        <x:f>H611*I611</x:f>
        <x:v>46766.589716016</x:v>
      </x:c>
      <x:c r="K611" s="10" t="n">
        <x:f>J611*'Assumptions'!$T$121</x:f>
        <x:v>9353.317943203201</x:v>
      </x:c>
      <x:c r="L611" s="10" t="n">
        <x:f>K611*'Assumptions'!$U$121</x:f>
        <x:v>280.599538296096</x:v>
      </x:c>
      <x:c r="M611" s="10" t="n">
        <x:f>K611*'Assumptions'!$V$121</x:f>
        <x:v>0</x:v>
      </x:c>
      <x:c r="N611" s="10" t="n">
        <x:f>K611-L611-M611</x:f>
        <x:v>9072.718404907106</x:v>
      </x:c>
      <x:c r="O611" s="10" t="n">
        <x:f>H611*'Assumptions'!$P$121*'Assumptions'!$Q$121*'Assumptions'!$D$11*(1+'Assumptions'!$D$13)^(5-1)</x:f>
        <x:v>1021.1821344255511</x:v>
      </x:c>
      <x:c r="P611" s="10" t="n">
        <x:f>H611*'Assumptions'!$R$121*'Assumptions'!$D$11*(1+'Assumptions'!$D$13)^(5-1)</x:f>
        <x:v>0</x:v>
      </x:c>
      <x:c r="Q611" s="10" t="n">
        <x:f>J611*'Assumptions'!$S$121</x:f>
        <x:v>0</x:v>
      </x:c>
      <x:c r="R611" s="10" t="n">
        <x:f>H611*'Assumptions'!$Y$121*'Assumptions'!$Z$121*'Assumptions'!$D$11*(1+'Assumptions'!$D$13)^(5-1)</x:f>
        <x:v>875.298972364758</x:v>
      </x:c>
      <x:c r="S611" s="10" t="n">
        <x:f>IF(I611=0,0,J611*'Assumptions'!$W$121+H611*'Assumptions'!$X$121)</x:f>
        <x:v>1408.077221764464</x:v>
      </x:c>
      <x:c r="T611" s="10" t="n">
        <x:f>N611*'Assumptions'!$AA$121</x:f>
        <x:v>453.6359202453553</x:v>
      </x:c>
      <x:c r="U611" s="10" t="n">
        <x:f>'Assumptions'!$AE$121*'Assumptions'!$D$11*(1+'Assumptions'!$D$13)^(5-1)</x:f>
        <x:v>0</x:v>
      </x:c>
      <x:c r="V611" s="10" t="n">
        <x:f>0</x:f>
        <x:v>0</x:v>
      </x:c>
      <x:c r="W611" s="10" t="n">
        <x:f>H611*('Assumptions'!$P$121+'Assumptions'!$Y$121)</x:f>
        <x:v>51.84612</x:v>
      </x:c>
      <x:c r="X611" s="10" t="n">
        <x:f>N611/12*'Assumptions'!$AF$121</x:f>
        <x:v>0</x:v>
      </x:c>
      <x:c r="Y611" s="10" t="n">
        <x:f>P611/12</x:f>
        <x:v>0</x:v>
      </x:c>
      <x:c r="Z611" s="10" t="n">
        <x:f>0</x:f>
        <x:v>0</x:v>
      </x:c>
      <x:c r="AA611" s="10" t="n">
        <x:f>Z611*'Assumptions'!$AC$121*'Assumptions'!$D$11*(1+'Assumptions'!$D$13)^(5-1)</x:f>
        <x:v>0</x:v>
      </x:c>
      <x:c r="AB611" s="10" t="n">
        <x:f>F611/1</x:f>
        <x:v>74.6496</x:v>
      </x:c>
      <x:c r="AC611" s="10" t="n">
        <x:f>AB611/'Assumptions'!$AM$121</x:f>
        <x:v>1492.992</x:v>
      </x:c>
      <x:c r="AD611" s="10" t="n">
        <x:f>IF(AB611=0,0,T611/AB611)</x:f>
        <x:v>6.076870073588543</x:v>
      </x:c>
      <x:c r="AE611" s="10" t="n">
        <x:f>AA611*'Assumptions'!$D$21</x:f>
        <x:v>0</x:v>
      </x:c>
    </x:row>
    <x:row r="612" ht="16" customHeight="1">
      <x:c r="A612" s="1"/>
      <x:c r="B612" s="1"/>
      <x:c r="C612" s="1" t="str">
        <x:v>DOT-093</x:v>
      </x:c>
      <x:c r="D612" s="10" t="str">
        <x:v>Semajes Marketplace</x:v>
      </x:c>
      <x:c r="E612" s="10" t="n">
        <x:v>5</x:v>
      </x:c>
      <x:c r="F612" s="21" t="n">
        <x:f>F484*(1+'Assumptions'!$L$122)</x:f>
        <x:v>14.92992</x:v>
      </x:c>
      <x:c r="G612" s="21" t="n">
        <x:f>H484*'Assumptions'!$K$122</x:f>
        <x:v>19.634159999999998</x:v>
      </x:c>
      <x:c r="H612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612+G612,NA())</x:f>
        <x:v>34.56408</x:v>
      </x:c>
      <x:c r="I612" s="22" t="n">
        <x:f>'Assumptions'!$H$122*IF('Assumptions'!$O$122=1,1,'Assumptions'!$D$10)*(1+'Assumptions'!$N$122)^(5-1)</x:f>
        <x:v>541.21608</x:v>
      </x:c>
      <x:c r="J612" s="10" t="n">
        <x:f>H612*I612</x:f>
        <x:v>18706.6358864064</x:v>
      </x:c>
      <x:c r="K612" s="10" t="n">
        <x:f>J612*'Assumptions'!$T$122</x:f>
        <x:v>2805.99538296096</x:v>
      </x:c>
      <x:c r="L612" s="10" t="n">
        <x:f>K612*'Assumptions'!$U$122</x:f>
        <x:v>84.17986148882879</x:v>
      </x:c>
      <x:c r="M612" s="10" t="n">
        <x:f>K612*'Assumptions'!$V$122</x:f>
        <x:v>0</x:v>
      </x:c>
      <x:c r="N612" s="10" t="n">
        <x:f>K612-L612-M612</x:f>
        <x:v>2721.815521472131</x:v>
      </x:c>
      <x:c r="O612" s="10" t="n">
        <x:f>H612*'Assumptions'!$P$122*'Assumptions'!$Q$122*'Assumptions'!$D$11*(1+'Assumptions'!$D$13)^(5-1)</x:f>
        <x:v>340.39404480851704</x:v>
      </x:c>
      <x:c r="P612" s="10" t="n">
        <x:f>H612*'Assumptions'!$R$122*'Assumptions'!$D$11*(1+'Assumptions'!$D$13)^(5-1)</x:f>
        <x:v>0</x:v>
      </x:c>
      <x:c r="Q612" s="10" t="n">
        <x:f>J612*'Assumptions'!$S$122</x:f>
        <x:v>0</x:v>
      </x:c>
      <x:c r="R612" s="10" t="n">
        <x:f>H612*'Assumptions'!$Y$122*'Assumptions'!$Z$122*'Assumptions'!$D$11*(1+'Assumptions'!$D$13)^(5-1)</x:f>
        <x:v>175.0597944729516</x:v>
      </x:c>
      <x:c r="S612" s="10" t="n">
        <x:f>IF(I612=0,0,J612*'Assumptions'!$W$122+H612*'Assumptions'!$X$122)</x:f>
        <x:v>552.8616647057856</x:v>
      </x:c>
      <x:c r="T612" s="10" t="n">
        <x:f>N612*'Assumptions'!$AA$122</x:f>
        <x:v>136.09077607360655</x:v>
      </x:c>
      <x:c r="U612" s="10" t="n">
        <x:f>'Assumptions'!$AE$122*'Assumptions'!$D$11*(1+'Assumptions'!$D$13)^(5-1)</x:f>
        <x:v>0</x:v>
      </x:c>
      <x:c r="V612" s="10" t="n">
        <x:f>0</x:f>
        <x:v>0</x:v>
      </x:c>
      <x:c r="W612" s="10" t="n">
        <x:f>H612*('Assumptions'!$P$122+'Assumptions'!$Y$122)</x:f>
        <x:v>13.825631999999999</x:v>
      </x:c>
      <x:c r="X612" s="10" t="n">
        <x:f>N612/12*'Assumptions'!$AF$122</x:f>
        <x:v>0</x:v>
      </x:c>
      <x:c r="Y612" s="10" t="n">
        <x:f>P612/12</x:f>
        <x:v>0</x:v>
      </x:c>
      <x:c r="Z612" s="10" t="n">
        <x:f>0</x:f>
        <x:v>0</x:v>
      </x:c>
      <x:c r="AA612" s="10" t="n">
        <x:f>Z612*'Assumptions'!$AC$122*'Assumptions'!$D$11*(1+'Assumptions'!$D$13)^(5-1)</x:f>
        <x:v>0</x:v>
      </x:c>
      <x:c r="AB612" s="10" t="n">
        <x:f>F612/1</x:f>
        <x:v>14.92992</x:v>
      </x:c>
      <x:c r="AC612" s="10" t="n">
        <x:f>AB612/'Assumptions'!$AM$122</x:f>
        <x:v>298.59839999999997</x:v>
      </x:c>
      <x:c r="AD612" s="10" t="n">
        <x:f>IF(AB612=0,0,T612/AB612)</x:f>
        <x:v>9.115305110382812</x:v>
      </x:c>
      <x:c r="AE612" s="10" t="n">
        <x:f>AA612*'Assumptions'!$D$21</x:f>
        <x:v>0</x:v>
      </x:c>
    </x:row>
    <x:row r="613" ht="16" customHeight="1">
      <x:c r="A613" s="1"/>
      <x:c r="B613" s="1"/>
      <x:c r="C613" s="1" t="str">
        <x:v>DOT-094</x:v>
      </x:c>
      <x:c r="D613" s="10" t="str">
        <x:v>Semajes premium and media</x:v>
      </x:c>
      <x:c r="E613" s="10" t="n">
        <x:v>5</x:v>
      </x:c>
      <x:c r="F613" s="21" t="n">
        <x:f>F485*(1+'Assumptions'!$L$123)</x:f>
        <x:v>74.6496</x:v>
      </x:c>
      <x:c r="G613" s="21" t="n">
        <x:f>H485*'Assumptions'!$K$123</x:f>
        <x:v>98.17080000000001</x:v>
      </x:c>
      <x:c r="H613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613+G613,NA())</x:f>
        <x:v>172.8204</x:v>
      </x:c>
      <x:c r="I613" s="22" t="n">
        <x:f>'Assumptions'!$H$123*IF('Assumptions'!$O$123=1,1,'Assumptions'!$D$10)*(1+'Assumptions'!$N$123)^(5-1)</x:f>
        <x:v>9.74188944</x:v>
      </x:c>
      <x:c r="J613" s="10" t="n">
        <x:f>H613*I613</x:f>
        <x:v>1683.597229776576</x:v>
      </x:c>
      <x:c r="K613" s="10" t="n">
        <x:f>J613*'Assumptions'!$T$123</x:f>
        <x:v>1683.597229776576</x:v>
      </x:c>
      <x:c r="L613" s="10" t="n">
        <x:f>K613*'Assumptions'!$U$123</x:f>
        <x:v>50.50791689329728</x:v>
      </x:c>
      <x:c r="M613" s="10" t="n">
        <x:f>K613*'Assumptions'!$V$123</x:f>
        <x:v>0</x:v>
      </x:c>
      <x:c r="N613" s="10" t="n">
        <x:f>K613-L613-M613</x:f>
        <x:v>1633.0893128832786</x:v>
      </x:c>
      <x:c r="O613" s="10" t="n">
        <x:f>H613*'Assumptions'!$P$123*'Assumptions'!$Q$123*'Assumptions'!$D$11*(1+'Assumptions'!$D$13)^(5-1)</x:f>
        <x:v>340.3940448085171</x:v>
      </x:c>
      <x:c r="P613" s="10" t="n">
        <x:f>H613*'Assumptions'!$R$123*'Assumptions'!$D$11*(1+'Assumptions'!$D$13)^(5-1)</x:f>
        <x:v>0</x:v>
      </x:c>
      <x:c r="Q613" s="10" t="n">
        <x:f>J613*'Assumptions'!$S$123</x:f>
        <x:v>0</x:v>
      </x:c>
      <x:c r="R613" s="10" t="n">
        <x:f>H613*'Assumptions'!$Y$123*'Assumptions'!$Z$123*'Assumptions'!$D$11*(1+'Assumptions'!$D$13)^(5-1)</x:f>
        <x:v>875.298972364758</x:v>
      </x:c>
      <x:c r="S613" s="10" t="n">
        <x:f>IF(I613=0,0,J613*'Assumptions'!$W$123+H613*'Assumptions'!$X$123)</x:f>
        <x:v>100.67043966352071</x:v>
      </x:c>
      <x:c r="T613" s="10" t="n">
        <x:f>N613*'Assumptions'!$AA$123</x:f>
        <x:v>81.65446564416393</x:v>
      </x:c>
      <x:c r="U613" s="10" t="n">
        <x:f>'Assumptions'!$AE$123*'Assumptions'!$D$11*(1+'Assumptions'!$D$13)^(5-1)</x:f>
        <x:v>0</x:v>
      </x:c>
      <x:c r="V613" s="10" t="n">
        <x:f>0</x:f>
        <x:v>0</x:v>
      </x:c>
      <x:c r="W613" s="10" t="n">
        <x:f>H613*('Assumptions'!$P$123+'Assumptions'!$Y$123)</x:f>
        <x:v>34.564080000000004</x:v>
      </x:c>
      <x:c r="X613" s="10" t="n">
        <x:f>N613/12*'Assumptions'!$AF$123</x:f>
        <x:v>0</x:v>
      </x:c>
      <x:c r="Y613" s="10" t="n">
        <x:f>P613/12</x:f>
        <x:v>0</x:v>
      </x:c>
      <x:c r="Z613" s="10" t="n">
        <x:f>0</x:f>
        <x:v>0</x:v>
      </x:c>
      <x:c r="AA613" s="10" t="n">
        <x:f>Z613*'Assumptions'!$AC$123*'Assumptions'!$D$11*(1+'Assumptions'!$D$13)^(5-1)</x:f>
        <x:v>0</x:v>
      </x:c>
      <x:c r="AB613" s="10" t="n">
        <x:f>F613/12</x:f>
        <x:v>6.2208000000000006</x:v>
      </x:c>
      <x:c r="AC613" s="10" t="n">
        <x:f>AB613/'Assumptions'!$AM$123</x:f>
        <x:v>124.41600000000001</x:v>
      </x:c>
      <x:c r="AD613" s="10" t="n">
        <x:f>IF(AB613=0,0,T613/AB613)</x:f>
        <x:v>13.126039358951248</x:v>
      </x:c>
      <x:c r="AE613" s="10" t="n">
        <x:f>AA613*'Assumptions'!$D$21</x:f>
        <x:v>0</x:v>
      </x:c>
    </x:row>
    <x:row r="614" ht="16" customHeight="1">
      <x:c r="A614" s="1"/>
      <x:c r="B614" s="1"/>
      <x:c r="C614" s="1" t="str">
        <x:v>DOT-095</x:v>
      </x:c>
      <x:c r="D614" s="10" t="str">
        <x:v>Semajes premium and media</x:v>
      </x:c>
      <x:c r="E614" s="10" t="n">
        <x:v>5</x:v>
      </x:c>
      <x:c r="F614" s="21" t="n">
        <x:f>F486*(1+'Assumptions'!$L$124)</x:f>
        <x:v>74.6496</x:v>
      </x:c>
      <x:c r="G614" s="21" t="n">
        <x:f>H486*'Assumptions'!$K$124</x:f>
        <x:v>98.17080000000001</x:v>
      </x:c>
      <x:c r="H614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614+G614,NA())</x:f>
        <x:v>172.8204</x:v>
      </x:c>
      <x:c r="I614" s="22" t="n">
        <x:f>'Assumptions'!$H$124*IF('Assumptions'!$O$124=1,1,'Assumptions'!$D$10)*(1+'Assumptions'!$N$124)^(5-1)</x:f>
        <x:v>20.56621104</x:v>
      </x:c>
      <x:c r="J614" s="10" t="n">
        <x:f>H614*I614</x:f>
        <x:v>3554.260818417216</x:v>
      </x:c>
      <x:c r="K614" s="10" t="n">
        <x:f>J614*'Assumptions'!$T$124</x:f>
        <x:v>3554.260818417216</x:v>
      </x:c>
      <x:c r="L614" s="10" t="n">
        <x:f>K614*'Assumptions'!$U$124</x:f>
        <x:v>106.62782455251647</x:v>
      </x:c>
      <x:c r="M614" s="10" t="n">
        <x:f>K614*'Assumptions'!$V$124</x:f>
        <x:v>0</x:v>
      </x:c>
      <x:c r="N614" s="10" t="n">
        <x:f>K614-L614-M614</x:f>
        <x:v>3447.6329938646995</x:v>
      </x:c>
      <x:c r="O614" s="10" t="n">
        <x:f>H614*'Assumptions'!$P$124*'Assumptions'!$Q$124*'Assumptions'!$D$11*(1+'Assumptions'!$D$13)^(5-1)</x:f>
        <x:v>680.7880896170342</x:v>
      </x:c>
      <x:c r="P614" s="10" t="n">
        <x:f>H614*'Assumptions'!$R$124*'Assumptions'!$D$11*(1+'Assumptions'!$D$13)^(5-1)</x:f>
        <x:v>0</x:v>
      </x:c>
      <x:c r="Q614" s="10" t="n">
        <x:f>J614*'Assumptions'!$S$124</x:f>
        <x:v>0</x:v>
      </x:c>
      <x:c r="R614" s="10" t="n">
        <x:f>H614*'Assumptions'!$Y$124*'Assumptions'!$Z$124*'Assumptions'!$D$11*(1+'Assumptions'!$D$13)^(5-1)</x:f>
        <x:v>875.298972364758</x:v>
      </x:c>
      <x:c r="S614" s="10" t="n">
        <x:f>IF(I614=0,0,J614*'Assumptions'!$W$124+H614*'Assumptions'!$X$124)</x:f>
        <x:v>154.91968373409927</x:v>
      </x:c>
      <x:c r="T614" s="10" t="n">
        <x:f>N614*'Assumptions'!$AA$124</x:f>
        <x:v>172.38164969323498</x:v>
      </x:c>
      <x:c r="U614" s="10" t="n">
        <x:f>'Assumptions'!$AE$124*'Assumptions'!$D$11*(1+'Assumptions'!$D$13)^(5-1)</x:f>
        <x:v>0</x:v>
      </x:c>
      <x:c r="V614" s="10" t="n">
        <x:f>0</x:f>
        <x:v>0</x:v>
      </x:c>
      <x:c r="W614" s="10" t="n">
        <x:f>H614*('Assumptions'!$P$124+'Assumptions'!$Y$124)</x:f>
        <x:v>43.2051</x:v>
      </x:c>
      <x:c r="X614" s="10" t="n">
        <x:f>N614/12*'Assumptions'!$AF$124</x:f>
        <x:v>0</x:v>
      </x:c>
      <x:c r="Y614" s="10" t="n">
        <x:f>P614/12</x:f>
        <x:v>0</x:v>
      </x:c>
      <x:c r="Z614" s="10" t="n">
        <x:f>0</x:f>
        <x:v>0</x:v>
      </x:c>
      <x:c r="AA614" s="10" t="n">
        <x:f>Z614*'Assumptions'!$AC$124*'Assumptions'!$D$11*(1+'Assumptions'!$D$13)^(5-1)</x:f>
        <x:v>0</x:v>
      </x:c>
      <x:c r="AB614" s="10" t="n">
        <x:f>F614/12</x:f>
        <x:v>6.2208000000000006</x:v>
      </x:c>
      <x:c r="AC614" s="10" t="n">
        <x:f>AB614/'Assumptions'!$AM$124</x:f>
        <x:v>124.41600000000001</x:v>
      </x:c>
      <x:c r="AD614" s="10" t="n">
        <x:f>IF(AB614=0,0,T614/AB614)</x:f>
        <x:v>27.71052753556375</x:v>
      </x:c>
      <x:c r="AE614" s="10" t="n">
        <x:f>AA614*'Assumptions'!$D$21</x:f>
        <x:v>0</x:v>
      </x:c>
    </x:row>
    <x:row r="615" ht="16" customHeight="1">
      <x:c r="A615" s="1"/>
      <x:c r="B615" s="1"/>
      <x:c r="C615" s="1" t="str">
        <x:v>DOT-096</x:v>
      </x:c>
      <x:c r="D615" s="10" t="str">
        <x:v>Semajes premium and media</x:v>
      </x:c>
      <x:c r="E615" s="10" t="n">
        <x:v>5</x:v>
      </x:c>
      <x:c r="F615" s="21" t="n">
        <x:f>F487*(1+'Assumptions'!$L$125)</x:f>
        <x:v>37.3248</x:v>
      </x:c>
      <x:c r="G615" s="21" t="n">
        <x:f>H487*'Assumptions'!$K$125</x:f>
        <x:v>49.08540000000001</x:v>
      </x:c>
      <x:c r="H615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615+G615,NA())</x:f>
        <x:v>86.4102</x:v>
      </x:c>
      <x:c r="I615" s="22" t="n">
        <x:f>'Assumptions'!$H$125*IF('Assumptions'!$O$125=1,1,'Assumptions'!$D$10)*(1+'Assumptions'!$N$125)^(5-1)</x:f>
        <x:v>42.21485424</x:v>
      </x:c>
      <x:c r="J615" s="10" t="n">
        <x:f>H615*I615</x:f>
        <x:v>3647.793997849248</x:v>
      </x:c>
      <x:c r="K615" s="10" t="n">
        <x:f>J615*'Assumptions'!$T$125</x:f>
        <x:v>3647.793997849248</x:v>
      </x:c>
      <x:c r="L615" s="10" t="n">
        <x:f>K615*'Assumptions'!$U$125</x:f>
        <x:v>109.43381993547744</x:v>
      </x:c>
      <x:c r="M615" s="10" t="n">
        <x:f>K615*'Assumptions'!$V$125</x:f>
        <x:v>0</x:v>
      </x:c>
      <x:c r="N615" s="10" t="n">
        <x:f>K615-L615-M615</x:f>
        <x:v>3538.3601779137707</x:v>
      </x:c>
      <x:c r="O615" s="10" t="n">
        <x:f>H615*'Assumptions'!$P$125*'Assumptions'!$Q$125*'Assumptions'!$D$11*(1+'Assumptions'!$D$13)^(5-1)</x:f>
        <x:v>680.7880896170342</x:v>
      </x:c>
      <x:c r="P615" s="10" t="n">
        <x:f>H615*'Assumptions'!$R$125*'Assumptions'!$D$11*(1+'Assumptions'!$D$13)^(5-1)</x:f>
        <x:v>0</x:v>
      </x:c>
      <x:c r="Q615" s="10" t="n">
        <x:f>J615*'Assumptions'!$S$125</x:f>
        <x:v>0</x:v>
      </x:c>
      <x:c r="R615" s="10" t="n">
        <x:f>H615*'Assumptions'!$Y$125*'Assumptions'!$Z$125*'Assumptions'!$D$11*(1+'Assumptions'!$D$13)^(5-1)</x:f>
        <x:v>437.649486182379</x:v>
      </x:c>
      <x:c r="S615" s="10" t="n">
        <x:f>IF(I615=0,0,J615*'Assumptions'!$W$125+H615*'Assumptions'!$X$125)</x:f>
        <x:v>131.7090859376282</x:v>
      </x:c>
      <x:c r="T615" s="10" t="n">
        <x:f>N615*'Assumptions'!$AA$125</x:f>
        <x:v>176.91800889568856</x:v>
      </x:c>
      <x:c r="U615" s="10" t="n">
        <x:f>'Assumptions'!$AE$125*'Assumptions'!$D$11*(1+'Assumptions'!$D$13)^(5-1)</x:f>
        <x:v>0</x:v>
      </x:c>
      <x:c r="V615" s="10" t="n">
        <x:f>0</x:f>
        <x:v>0</x:v>
      </x:c>
      <x:c r="W615" s="10" t="n">
        <x:f>H615*('Assumptions'!$P$125+'Assumptions'!$Y$125)</x:f>
        <x:v>30.24357</x:v>
      </x:c>
      <x:c r="X615" s="10" t="n">
        <x:f>N615/12*'Assumptions'!$AF$125</x:f>
        <x:v>0</x:v>
      </x:c>
      <x:c r="Y615" s="10" t="n">
        <x:f>P615/12</x:f>
        <x:v>0</x:v>
      </x:c>
      <x:c r="Z615" s="10" t="n">
        <x:f>0</x:f>
        <x:v>0</x:v>
      </x:c>
      <x:c r="AA615" s="10" t="n">
        <x:f>Z615*'Assumptions'!$AC$125*'Assumptions'!$D$11*(1+'Assumptions'!$D$13)^(5-1)</x:f>
        <x:v>0</x:v>
      </x:c>
      <x:c r="AB615" s="10" t="n">
        <x:f>F615/12</x:f>
        <x:v>3.1104000000000003</x:v>
      </x:c>
      <x:c r="AC615" s="10" t="n">
        <x:f>AB615/'Assumptions'!$AM$125</x:f>
        <x:v>62.208000000000006</x:v>
      </x:c>
      <x:c r="AD615" s="10" t="n">
        <x:f>IF(AB615=0,0,T615/AB615)</x:f>
        <x:v>56.879503888788754</x:v>
      </x:c>
      <x:c r="AE615" s="10" t="n">
        <x:f>AA615*'Assumptions'!$D$21</x:f>
        <x:v>0</x:v>
      </x:c>
    </x:row>
    <x:row r="616" ht="16" customHeight="1">
      <x:c r="A616" s="1"/>
      <x:c r="B616" s="1"/>
      <x:c r="C616" s="1" t="str">
        <x:v>DOT-097</x:v>
      </x:c>
      <x:c r="D616" s="10" t="str">
        <x:v>Semajes premium and media</x:v>
      </x:c>
      <x:c r="E616" s="10" t="n">
        <x:v>5</x:v>
      </x:c>
      <x:c r="F616" s="21" t="n">
        <x:f>F488*(1+'Assumptions'!$L$126)</x:f>
        <x:v>22.394879999999997</x:v>
      </x:c>
      <x:c r="G616" s="21" t="n">
        <x:f>H488*'Assumptions'!$K$126</x:f>
        <x:v>29.45124</x:v>
      </x:c>
      <x:c r="H616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616+G616,NA())</x:f>
        <x:v>51.84612</x:v>
      </x:c>
      <x:c r="I616" s="22" t="n">
        <x:f>'Assumptions'!$H$126*IF('Assumptions'!$O$126=1,1,'Assumptions'!$D$10)*(1+'Assumptions'!$N$126)^(5-1)</x:f>
        <x:v>107.16078384</x:v>
      </x:c>
      <x:c r="J616" s="10" t="n">
        <x:f>H616*I616</x:f>
        <x:v>5555.8708582627005</x:v>
      </x:c>
      <x:c r="K616" s="10" t="n">
        <x:f>J616*'Assumptions'!$T$126</x:f>
        <x:v>5555.8708582627005</x:v>
      </x:c>
      <x:c r="L616" s="10" t="n">
        <x:f>K616*'Assumptions'!$U$126</x:f>
        <x:v>166.676125747881</x:v>
      </x:c>
      <x:c r="M616" s="10" t="n">
        <x:f>K616*'Assumptions'!$V$126</x:f>
        <x:v>0</x:v>
      </x:c>
      <x:c r="N616" s="10" t="n">
        <x:f>K616-L616-M616</x:f>
        <x:v>5389.194732514819</x:v>
      </x:c>
      <x:c r="O616" s="10" t="n">
        <x:f>H616*'Assumptions'!$P$126*'Assumptions'!$Q$126*'Assumptions'!$D$11*(1+'Assumptions'!$D$13)^(5-1)</x:f>
        <x:v>2042.3642688511022</x:v>
      </x:c>
      <x:c r="P616" s="10" t="n">
        <x:f>H616*'Assumptions'!$R$126*'Assumptions'!$D$11*(1+'Assumptions'!$D$13)^(5-1)</x:f>
        <x:v>0</x:v>
      </x:c>
      <x:c r="Q616" s="10" t="n">
        <x:f>J616*'Assumptions'!$S$126</x:f>
        <x:v>0</x:v>
      </x:c>
      <x:c r="R616" s="10" t="n">
        <x:f>H616*'Assumptions'!$Y$126*'Assumptions'!$Z$126*'Assumptions'!$D$11*(1+'Assumptions'!$D$13)^(5-1)</x:f>
        <x:v>262.5896917094274</x:v>
      </x:c>
      <x:c r="S616" s="10" t="n">
        <x:f>IF(I616=0,0,J616*'Assumptions'!$W$126+H616*'Assumptions'!$X$126)</x:f>
        <x:v>176.6740908896183</x:v>
      </x:c>
      <x:c r="T616" s="10" t="n">
        <x:f>N616*'Assumptions'!$AA$126</x:f>
        <x:v>269.45973662574096</x:v>
      </x:c>
      <x:c r="U616" s="10" t="n">
        <x:f>'Assumptions'!$AE$126*'Assumptions'!$D$11*(1+'Assumptions'!$D$13)^(5-1)</x:f>
        <x:v>0</x:v>
      </x:c>
      <x:c r="V616" s="10" t="n">
        <x:f>0</x:f>
        <x:v>0</x:v>
      </x:c>
      <x:c r="W616" s="10" t="n">
        <x:f>H616*('Assumptions'!$P$126+'Assumptions'!$Y$126)</x:f>
        <x:v>59.623037999999994</x:v>
      </x:c>
      <x:c r="X616" s="10" t="n">
        <x:f>N616/12*'Assumptions'!$AF$126</x:f>
        <x:v>0</x:v>
      </x:c>
      <x:c r="Y616" s="10" t="n">
        <x:f>P616/12</x:f>
        <x:v>0</x:v>
      </x:c>
      <x:c r="Z616" s="10" t="n">
        <x:f>0</x:f>
        <x:v>0</x:v>
      </x:c>
      <x:c r="AA616" s="10" t="n">
        <x:f>Z616*'Assumptions'!$AC$126*'Assumptions'!$D$11*(1+'Assumptions'!$D$13)^(5-1)</x:f>
        <x:v>0</x:v>
      </x:c>
      <x:c r="AB616" s="10" t="n">
        <x:f>F616/1</x:f>
        <x:v>22.394879999999997</x:v>
      </x:c>
      <x:c r="AC616" s="10" t="n">
        <x:f>AB616/'Assumptions'!$AM$126</x:f>
        <x:v>447.8975999999999</x:v>
      </x:c>
      <x:c r="AD616" s="10" t="n">
        <x:f>IF(AB616=0,0,T616/AB616)</x:f>
        <x:v>12.032202745705312</x:v>
      </x:c>
      <x:c r="AE616" s="10" t="n">
        <x:f>AA616*'Assumptions'!$D$21</x:f>
        <x:v>0</x:v>
      </x:c>
    </x:row>
    <x:row r="617" ht="16" customHeight="1">
      <x:c r="A617" s="1"/>
      <x:c r="B617" s="1"/>
      <x:c r="C617" s="1" t="str">
        <x:v>DOT-098</x:v>
      </x:c>
      <x:c r="D617" s="10" t="str">
        <x:v>Semajes premium and media</x:v>
      </x:c>
      <x:c r="E617" s="10" t="n">
        <x:v>5</x:v>
      </x:c>
      <x:c r="F617" s="21" t="n">
        <x:f>F489*(1+'Assumptions'!$L$127)</x:f>
        <x:v>11.197439999999999</x:v>
      </x:c>
      <x:c r="G617" s="21" t="n">
        <x:f>H489*'Assumptions'!$K$127</x:f>
        <x:v>14.72562</x:v>
      </x:c>
      <x:c r="H617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617+G617,NA())</x:f>
        <x:v>25.92306</x:v>
      </x:c>
      <x:c r="I617" s="22" t="n">
        <x:f>'Assumptions'!$H$127*IF('Assumptions'!$O$127=1,1,'Assumptions'!$D$10)*(1+'Assumptions'!$N$127)^(5-1)</x:f>
        <x:v>269.52560784</x:v>
      </x:c>
      <x:c r="J617" s="10" t="n">
        <x:f>H617*I617</x:f>
        <x:v>6986.928503572791</x:v>
      </x:c>
      <x:c r="K617" s="10" t="n">
        <x:f>J617*'Assumptions'!$T$127</x:f>
        <x:v>6986.928503572791</x:v>
      </x:c>
      <x:c r="L617" s="10" t="n">
        <x:f>K617*'Assumptions'!$U$127</x:f>
        <x:v>209.60785510718372</x:v>
      </x:c>
      <x:c r="M617" s="10" t="n">
        <x:f>K617*'Assumptions'!$V$127</x:f>
        <x:v>0</x:v>
      </x:c>
      <x:c r="N617" s="10" t="n">
        <x:f>K617-L617-M617</x:f>
        <x:v>6777.320648465607</x:v>
      </x:c>
      <x:c r="O617" s="10" t="n">
        <x:f>H617*'Assumptions'!$P$127*'Assumptions'!$Q$127*'Assumptions'!$D$11*(1+'Assumptions'!$D$13)^(5-1)</x:f>
        <x:v>3063.5464032766536</x:v>
      </x:c>
      <x:c r="P617" s="10" t="n">
        <x:f>H617*'Assumptions'!$R$127*'Assumptions'!$D$11*(1+'Assumptions'!$D$13)^(5-1)</x:f>
        <x:v>0</x:v>
      </x:c>
      <x:c r="Q617" s="10" t="n">
        <x:f>J617*'Assumptions'!$S$127</x:f>
        <x:v>0</x:v>
      </x:c>
      <x:c r="R617" s="10" t="n">
        <x:f>H617*'Assumptions'!$Y$127*'Assumptions'!$Z$127*'Assumptions'!$D$11*(1+'Assumptions'!$D$13)^(5-1)</x:f>
        <x:v>131.2948458547137</x:v>
      </x:c>
      <x:c r="S617" s="10" t="n">
        <x:f>IF(I617=0,0,J617*'Assumptions'!$W$127+H617*'Assumptions'!$X$127)</x:f>
        <x:v>210.39784460361093</x:v>
      </x:c>
      <x:c r="T617" s="10" t="n">
        <x:f>N617*'Assumptions'!$AA$127</x:f>
        <x:v>338.86603242328033</x:v>
      </x:c>
      <x:c r="U617" s="10" t="n">
        <x:f>'Assumptions'!$AE$127*'Assumptions'!$D$11*(1+'Assumptions'!$D$13)^(5-1)</x:f>
        <x:v>0</x:v>
      </x:c>
      <x:c r="V617" s="10" t="n">
        <x:f>0</x:f>
        <x:v>0</x:v>
      </x:c>
      <x:c r="W617" s="10" t="n">
        <x:f>H617*('Assumptions'!$P$127+'Assumptions'!$Y$127)</x:f>
        <x:v>81.657639</x:v>
      </x:c>
      <x:c r="X617" s="10" t="n">
        <x:f>N617/12*'Assumptions'!$AF$127</x:f>
        <x:v>0</x:v>
      </x:c>
      <x:c r="Y617" s="10" t="n">
        <x:f>P617/12</x:f>
        <x:v>0</x:v>
      </x:c>
      <x:c r="Z617" s="10" t="n">
        <x:f>0</x:f>
        <x:v>0</x:v>
      </x:c>
      <x:c r="AA617" s="10" t="n">
        <x:f>Z617*'Assumptions'!$AC$127*'Assumptions'!$D$11*(1+'Assumptions'!$D$13)^(5-1)</x:f>
        <x:v>0</x:v>
      </x:c>
      <x:c r="AB617" s="10" t="n">
        <x:f>F617/1</x:f>
        <x:v>11.197439999999999</x:v>
      </x:c>
      <x:c r="AC617" s="10" t="n">
        <x:f>AB617/'Assumptions'!$AM$127</x:f>
        <x:v>223.94879999999995</x:v>
      </x:c>
      <x:c r="AD617" s="10" t="n">
        <x:f>IF(AB617=0,0,T617/AB617)</x:f>
        <x:v>30.262812966470943</x:v>
      </x:c>
      <x:c r="AE617" s="10" t="n">
        <x:f>AA617*'Assumptions'!$D$21</x:f>
        <x:v>0</x:v>
      </x:c>
    </x:row>
    <x:row r="618" ht="16" customHeight="1">
      <x:c r="A618" s="1"/>
      <x:c r="B618" s="1"/>
      <x:c r="C618" s="1" t="str">
        <x:v>DOT-099</x:v>
      </x:c>
      <x:c r="D618" s="10" t="str">
        <x:v>Semajes premium and media</x:v>
      </x:c>
      <x:c r="E618" s="10" t="n">
        <x:v>5</x:v>
      </x:c>
      <x:c r="F618" s="21" t="n">
        <x:f>F490*(1+'Assumptions'!$L$128)</x:f>
        <x:v>37.3248</x:v>
      </x:c>
      <x:c r="G618" s="21" t="n">
        <x:f>H490*'Assumptions'!$K$128</x:f>
        <x:v>49.08540000000001</x:v>
      </x:c>
      <x:c r="H618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618+G618,NA())</x:f>
        <x:v>86.4102</x:v>
      </x:c>
      <x:c r="I618" s="22" t="n">
        <x:f>'Assumptions'!$H$128*IF('Assumptions'!$O$128=1,1,'Assumptions'!$D$10)*(1+'Assumptions'!$N$128)^(5-1)</x:f>
        <x:v>31.39053264</x:v>
      </x:c>
      <x:c r="J618" s="10" t="n">
        <x:f>H618*I618</x:f>
        <x:v>2712.462203528928</x:v>
      </x:c>
      <x:c r="K618" s="10" t="n">
        <x:f>J618*'Assumptions'!$T$128</x:f>
        <x:v>2712.462203528928</x:v>
      </x:c>
      <x:c r="L618" s="10" t="n">
        <x:f>K618*'Assumptions'!$U$128</x:f>
        <x:v>81.37386610586783</x:v>
      </x:c>
      <x:c r="M618" s="10" t="n">
        <x:f>K618*'Assumptions'!$V$128</x:f>
        <x:v>0</x:v>
      </x:c>
      <x:c r="N618" s="10" t="n">
        <x:f>K618-L618-M618</x:f>
        <x:v>2631.0883374230602</x:v>
      </x:c>
      <x:c r="O618" s="10" t="n">
        <x:f>H618*'Assumptions'!$P$128*'Assumptions'!$Q$128*'Assumptions'!$D$11*(1+'Assumptions'!$D$13)^(5-1)</x:f>
        <x:v>510.59106721277556</x:v>
      </x:c>
      <x:c r="P618" s="10" t="n">
        <x:f>H618*'Assumptions'!$R$128*'Assumptions'!$D$11*(1+'Assumptions'!$D$13)^(5-1)</x:f>
        <x:v>0</x:v>
      </x:c>
      <x:c r="Q618" s="10" t="n">
        <x:f>J618*'Assumptions'!$S$128</x:f>
        <x:v>0</x:v>
      </x:c>
      <x:c r="R618" s="10" t="n">
        <x:f>H618*'Assumptions'!$Y$128*'Assumptions'!$Z$128*'Assumptions'!$D$11*(1+'Assumptions'!$D$13)^(5-1)</x:f>
        <x:v>437.649486182379</x:v>
      </x:c>
      <x:c r="S618" s="10" t="n">
        <x:f>IF(I618=0,0,J618*'Assumptions'!$W$128+H618*'Assumptions'!$X$128)</x:f>
        <x:v>104.58446390233891</x:v>
      </x:c>
      <x:c r="T618" s="10" t="n">
        <x:f>N618*'Assumptions'!$AA$128</x:f>
        <x:v>131.55441687115302</x:v>
      </x:c>
      <x:c r="U618" s="10" t="n">
        <x:f>'Assumptions'!$AE$128*'Assumptions'!$D$11*(1+'Assumptions'!$D$13)^(5-1)</x:f>
        <x:v>0</x:v>
      </x:c>
      <x:c r="V618" s="10" t="n">
        <x:f>0</x:f>
        <x:v>0</x:v>
      </x:c>
      <x:c r="W618" s="10" t="n">
        <x:f>H618*('Assumptions'!$P$128+'Assumptions'!$Y$128)</x:f>
        <x:v>25.92306</x:v>
      </x:c>
      <x:c r="X618" s="10" t="n">
        <x:f>N618/12*'Assumptions'!$AF$128</x:f>
        <x:v>0</x:v>
      </x:c>
      <x:c r="Y618" s="10" t="n">
        <x:f>P618/12</x:f>
        <x:v>0</x:v>
      </x:c>
      <x:c r="Z618" s="10" t="n">
        <x:f>0</x:f>
        <x:v>0</x:v>
      </x:c>
      <x:c r="AA618" s="10" t="n">
        <x:f>Z618*'Assumptions'!$AC$128*'Assumptions'!$D$11*(1+'Assumptions'!$D$13)^(5-1)</x:f>
        <x:v>0</x:v>
      </x:c>
      <x:c r="AB618" s="10" t="n">
        <x:f>F618/1</x:f>
        <x:v>37.3248</x:v>
      </x:c>
      <x:c r="AC618" s="10" t="n">
        <x:f>AB618/'Assumptions'!$AM$128</x:f>
        <x:v>746.496</x:v>
      </x:c>
      <x:c r="AD618" s="10" t="n">
        <x:f>IF(AB618=0,0,T618/AB618)</x:f>
        <x:v>3.5245846426813543</x:v>
      </x:c>
      <x:c r="AE618" s="10" t="n">
        <x:f>AA618*'Assumptions'!$D$21</x:f>
        <x:v>0</x:v>
      </x:c>
    </x:row>
    <x:row r="619" ht="16" customHeight="1">
      <x:c r="A619" s="1"/>
      <x:c r="B619" s="1"/>
      <x:c r="C619" s="1" t="str">
        <x:v>DOT-100</x:v>
      </x:c>
      <x:c r="D619" s="10" t="str">
        <x:v>Semajes courses</x:v>
      </x:c>
      <x:c r="E619" s="10" t="n">
        <x:v>5</x:v>
      </x:c>
      <x:c r="F619" s="21" t="n">
        <x:f>F491*(1+'Assumptions'!$L$129)</x:f>
        <x:v>314.8211249999999</x:v>
      </x:c>
      <x:c r="G619" s="21" t="n">
        <x:f>H491*'Assumptions'!$K$129</x:f>
        <x:v>87.25499999999998</x:v>
      </x:c>
      <x:c r="H619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619+G619,NA())</x:f>
        <x:v>402.0761249999999</x:v>
      </x:c>
      <x:c r="I619" s="22" t="n">
        <x:f>'Assumptions'!$H$129*IF('Assumptions'!$O$129=1,1,'Assumptions'!$D$10)*(1+'Assumptions'!$N$129)^(5-1)</x:f>
        <x:v>42.21485424</x:v>
      </x:c>
      <x:c r="J619" s="10" t="n">
        <x:f>H619*I619</x:f>
        <x:v>16973.585010259016</x:v>
      </x:c>
      <x:c r="K619" s="10" t="n">
        <x:f>J619*'Assumptions'!$T$129</x:f>
        <x:v>16973.585010259016</x:v>
      </x:c>
      <x:c r="L619" s="10" t="n">
        <x:f>K619*'Assumptions'!$U$129</x:f>
        <x:v>509.2075503077705</x:v>
      </x:c>
      <x:c r="M619" s="10" t="n">
        <x:f>K619*'Assumptions'!$V$129</x:f>
        <x:v>0</x:v>
      </x:c>
      <x:c r="N619" s="10" t="n">
        <x:f>K619-L619-M619</x:f>
        <x:v>16464.377459951244</x:v>
      </x:c>
      <x:c r="O619" s="10" t="n">
        <x:f>H619*'Assumptions'!$P$129*'Assumptions'!$Q$129*'Assumptions'!$D$11*(1+'Assumptions'!$D$13)^(5-1)</x:f>
        <x:v>2375.836160135346</x:v>
      </x:c>
      <x:c r="P619" s="10" t="n">
        <x:f>H619*'Assumptions'!$R$129*'Assumptions'!$D$11*(1+'Assumptions'!$D$13)^(5-1)</x:f>
        <x:v>0</x:v>
      </x:c>
      <x:c r="Q619" s="10" t="n">
        <x:f>J619*'Assumptions'!$S$129</x:f>
        <x:v>0</x:v>
      </x:c>
      <x:c r="R619" s="10" t="n">
        <x:f>H619*'Assumptions'!$Y$129*'Assumptions'!$Z$129*'Assumptions'!$D$11*(1+'Assumptions'!$D$13)^(5-1)</x:f>
        <x:v>1357.6206629344836</x:v>
      </x:c>
      <x:c r="S619" s="10" t="n">
        <x:f>IF(I619=0,0,J619*'Assumptions'!$W$129+H619*'Assumptions'!$X$129)</x:f>
        <x:v>612.8568027975115</x:v>
      </x:c>
      <x:c r="T619" s="10" t="n">
        <x:f>N619*'Assumptions'!$AA$129</x:f>
        <x:v>823.2188729975622</x:v>
      </x:c>
      <x:c r="U619" s="10" t="n">
        <x:f>'Assumptions'!$AE$129*'Assumptions'!$D$11*(1+'Assumptions'!$D$13)^(5-1)</x:f>
        <x:v>0</x:v>
      </x:c>
      <x:c r="V619" s="10" t="n">
        <x:f>0</x:f>
        <x:v>0</x:v>
      </x:c>
      <x:c r="W619" s="10" t="n">
        <x:f>H619*('Assumptions'!$P$129+'Assumptions'!$Y$129)</x:f>
        <x:v>100.51903124999997</x:v>
      </x:c>
      <x:c r="X619" s="10" t="n">
        <x:f>N619/12*'Assumptions'!$AF$129</x:f>
        <x:v>0</x:v>
      </x:c>
      <x:c r="Y619" s="10" t="n">
        <x:f>P619/12</x:f>
        <x:v>0</x:v>
      </x:c>
      <x:c r="Z619" s="10" t="n">
        <x:f>0</x:f>
        <x:v>0</x:v>
      </x:c>
      <x:c r="AA619" s="10" t="n">
        <x:f>Z619*'Assumptions'!$AC$129*'Assumptions'!$D$11*(1+'Assumptions'!$D$13)^(5-1)</x:f>
        <x:v>0</x:v>
      </x:c>
      <x:c r="AB619" s="10" t="n">
        <x:f>F619/1</x:f>
        <x:v>314.8211249999999</x:v>
      </x:c>
      <x:c r="AC619" s="10" t="n">
        <x:f>AB619/'Assumptions'!$AM$129</x:f>
        <x:v>6296.422499999997</x:v>
      </x:c>
      <x:c r="AD619" s="10" t="n">
        <x:f>IF(AB619=0,0,T619/AB619)</x:f>
        <x:v>2.6148781248321966</x:v>
      </x:c>
      <x:c r="AE619" s="10" t="n">
        <x:f>AA619*'Assumptions'!$D$21</x:f>
        <x:v>0</x:v>
      </x:c>
    </x:row>
    <x:row r="620" ht="16" customHeight="1">
      <x:c r="A620" s="1"/>
      <x:c r="B620" s="1"/>
      <x:c r="C620" s="1" t="str">
        <x:v>DOT-101</x:v>
      </x:c>
      <x:c r="D620" s="10" t="str">
        <x:v>Sleepy Face</x:v>
      </x:c>
      <x:c r="E620" s="10" t="n">
        <x:v>5</x:v>
      </x:c>
      <x:c r="F620" s="21" t="n">
        <x:f>F492*(1+'Assumptions'!$L$130)</x:f>
        <x:v>264.3512524800001</x:v>
      </x:c>
      <x:c r="G620" s="21" t="n">
        <x:f>H492*'Assumptions'!$K$130</x:f>
        <x:v>95.82721920000002</x:v>
      </x:c>
      <x:c r="H620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620+G620,NA())</x:f>
        <x:v>360.1784716800001</x:v>
      </x:c>
      <x:c r="I620" s="22" t="n">
        <x:f>'Assumptions'!$H$130*IF('Assumptions'!$O$130=1,1,'Assumptions'!$D$10)*(1+'Assumptions'!$N$130)^(5-1)</x:f>
        <x:v>102.8310552</x:v>
      </x:c>
      <x:c r="J620" s="10" t="n">
        <x:f>H620*I620</x:f>
        <x:v>37037.53230317772</x:v>
      </x:c>
      <x:c r="K620" s="10" t="n">
        <x:f>J620*'Assumptions'!$T$130</x:f>
        <x:v>37037.53230317772</x:v>
      </x:c>
      <x:c r="L620" s="10" t="n">
        <x:f>K620*'Assumptions'!$U$130</x:f>
        <x:v>2963.0025842542177</x:v>
      </x:c>
      <x:c r="M620" s="10" t="n">
        <x:f>K620*'Assumptions'!$V$130</x:f>
        <x:v>740.7506460635544</x:v>
      </x:c>
      <x:c r="N620" s="10" t="n">
        <x:f>K620-L620-M620</x:f>
        <x:v>33333.77907285995</x:v>
      </x:c>
      <x:c r="O620" s="10" t="n">
        <x:f>H620*'Assumptions'!$P$130*'Assumptions'!$Q$130*'Assumptions'!$D$11*(1+'Assumptions'!$D$13)^(5-1)</x:f>
        <x:v>2128.266226002922</x:v>
      </x:c>
      <x:c r="P620" s="10" t="n">
        <x:f>H620*'Assumptions'!$R$130*'Assumptions'!$D$11*(1+'Assumptions'!$D$13)^(5-1)</x:f>
        <x:v>12161.52129144527</x:v>
      </x:c>
      <x:c r="Q620" s="10" t="n">
        <x:f>J620*'Assumptions'!$S$130</x:f>
        <x:v>0</x:v>
      </x:c>
      <x:c r="R620" s="10" t="n">
        <x:f>H620*'Assumptions'!$Y$130*'Assumptions'!$Z$130*'Assumptions'!$D$11*(1+'Assumptions'!$D$13)^(5-1)</x:f>
        <x:v>1824.2281937167902</x:v>
      </x:c>
      <x:c r="S620" s="10" t="n">
        <x:f>IF(I620=0,0,J620*'Assumptions'!$W$130+H620*'Assumptions'!$X$130)</x:f>
        <x:v>1182.141978296154</x:v>
      </x:c>
      <x:c r="T620" s="10" t="n">
        <x:f>N620*'Assumptions'!$AA$130</x:f>
        <x:v>2666.702325828796</x:v>
      </x:c>
      <x:c r="U620" s="10" t="n">
        <x:f>'Assumptions'!$AE$130*'Assumptions'!$D$11*(1+'Assumptions'!$D$13)^(5-1)</x:f>
        <x:v>0</x:v>
      </x:c>
      <x:c r="V620" s="10" t="n">
        <x:f>0</x:f>
        <x:v>0</x:v>
      </x:c>
      <x:c r="W620" s="10" t="n">
        <x:f>H620*('Assumptions'!$P$130+'Assumptions'!$Y$130)</x:f>
        <x:v>108.05354150400002</x:v>
      </x:c>
      <x:c r="X620" s="10" t="n">
        <x:f>N620/12*'Assumptions'!$AF$130</x:f>
        <x:v>0</x:v>
      </x:c>
      <x:c r="Y620" s="10" t="n">
        <x:f>P620/12</x:f>
        <x:v>1013.4601076204391</x:v>
      </x:c>
      <x:c r="Z620" s="10" t="n">
        <x:f>0</x:f>
        <x:v>0</x:v>
      </x:c>
      <x:c r="AA620" s="10" t="n">
        <x:f>Z620*'Assumptions'!$AC$130*'Assumptions'!$D$11*(1+'Assumptions'!$D$13)^(5-1)</x:f>
        <x:v>0</x:v>
      </x:c>
      <x:c r="AB620" s="10" t="n">
        <x:f>F620/1</x:f>
        <x:v>264.3512524800001</x:v>
      </x:c>
      <x:c r="AC620" s="10" t="n">
        <x:f>AB620/'Assumptions'!$AM$130</x:f>
        <x:v>8811.708416000003</x:v>
      </x:c>
      <x:c r="AD620" s="10" t="n">
        <x:f>IF(AB620=0,0,T620/AB620)</x:f>
        <x:v>10.087723439216727</x:v>
      </x:c>
      <x:c r="AE620" s="10" t="n">
        <x:f>AA620*'Assumptions'!$D$21</x:f>
        <x:v>0</x:v>
      </x:c>
    </x:row>
    <x:row r="621" ht="16" customHeight="1">
      <x:c r="A621" s="1"/>
      <x:c r="B621" s="1"/>
      <x:c r="C621" s="1" t="str">
        <x:v>DOT-102</x:v>
      </x:c>
      <x:c r="D621" s="10" t="str">
        <x:v>Sleepy Face</x:v>
      </x:c>
      <x:c r="E621" s="10" t="n">
        <x:v>5</x:v>
      </x:c>
      <x:c r="F621" s="21" t="n">
        <x:f>F493*(1+'Assumptions'!$L$131)</x:f>
        <x:v>396.52687872000007</x:v>
      </x:c>
      <x:c r="G621" s="21" t="n">
        <x:f>H493*'Assumptions'!$K$131</x:f>
        <x:v>143.7408288</x:v>
      </x:c>
      <x:c r="H621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621+G621,NA())</x:f>
        <x:v>540.26770752</x:v>
      </x:c>
      <x:c r="I621" s="22" t="n">
        <x:f>'Assumptions'!$H$131*IF('Assumptions'!$O$131=1,1,'Assumptions'!$D$10)*(1+'Assumptions'!$N$131)^(5-1)</x:f>
        <x:v>178.6013064</x:v>
      </x:c>
      <x:c r="J621" s="10" t="n">
        <x:f>H621*I621</x:f>
        <x:v>96492.51836880512</x:v>
      </x:c>
      <x:c r="K621" s="10" t="n">
        <x:f>J621*'Assumptions'!$T$131</x:f>
        <x:v>96492.51836880512</x:v>
      </x:c>
      <x:c r="L621" s="10" t="n">
        <x:f>K621*'Assumptions'!$U$131</x:f>
        <x:v>7719.40146950441</x:v>
      </x:c>
      <x:c r="M621" s="10" t="n">
        <x:f>K621*'Assumptions'!$V$131</x:f>
        <x:v>1929.8503673761024</x:v>
      </x:c>
      <x:c r="N621" s="10" t="n">
        <x:f>K621-L621-M621</x:f>
        <x:v>86843.26653192462</x:v>
      </x:c>
      <x:c r="O621" s="10" t="n">
        <x:f>H621*'Assumptions'!$P$131*'Assumptions'!$Q$131*'Assumptions'!$D$11*(1+'Assumptions'!$D$13)^(5-1)</x:f>
        <x:v>3192.399339004383</x:v>
      </x:c>
      <x:c r="P621" s="10" t="n">
        <x:f>H621*'Assumptions'!$R$131*'Assumptions'!$D$11*(1+'Assumptions'!$D$13)^(5-1)</x:f>
        <x:v>36484.5638743358</x:v>
      </x:c>
      <x:c r="Q621" s="10" t="n">
        <x:f>J621*'Assumptions'!$S$131</x:f>
        <x:v>0</x:v>
      </x:c>
      <x:c r="R621" s="10" t="n">
        <x:f>H621*'Assumptions'!$Y$131*'Assumptions'!$Z$131*'Assumptions'!$D$11*(1+'Assumptions'!$D$13)^(5-1)</x:f>
        <x:v>2736.342290575185</x:v>
      </x:c>
      <x:c r="S621" s="10" t="n">
        <x:f>IF(I621=0,0,J621*'Assumptions'!$W$131+H621*'Assumptions'!$X$131)</x:f>
        <x:v>2960.3633449513486</x:v>
      </x:c>
      <x:c r="T621" s="10" t="n">
        <x:f>N621*'Assumptions'!$AA$131</x:f>
        <x:v>6947.46132255397</x:v>
      </x:c>
      <x:c r="U621" s="10" t="n">
        <x:f>'Assumptions'!$AE$131*'Assumptions'!$D$11*(1+'Assumptions'!$D$13)^(5-1)</x:f>
        <x:v>0</x:v>
      </x:c>
      <x:c r="V621" s="10" t="n">
        <x:f>0</x:f>
        <x:v>0</x:v>
      </x:c>
      <x:c r="W621" s="10" t="n">
        <x:f>H621*('Assumptions'!$P$131+'Assumptions'!$Y$131)</x:f>
        <x:v>162.080312256</x:v>
      </x:c>
      <x:c r="X621" s="10" t="n">
        <x:f>N621/12*'Assumptions'!$AF$131</x:f>
        <x:v>0</x:v>
      </x:c>
      <x:c r="Y621" s="10" t="n">
        <x:f>P621/12</x:f>
        <x:v>3040.3803228613165</x:v>
      </x:c>
      <x:c r="Z621" s="10" t="n">
        <x:f>0</x:f>
        <x:v>0</x:v>
      </x:c>
      <x:c r="AA621" s="10" t="n">
        <x:f>Z621*'Assumptions'!$AC$131*'Assumptions'!$D$11*(1+'Assumptions'!$D$13)^(5-1)</x:f>
        <x:v>0</x:v>
      </x:c>
      <x:c r="AB621" s="10" t="n">
        <x:f>F621/1</x:f>
        <x:v>396.52687872000007</x:v>
      </x:c>
      <x:c r="AC621" s="10" t="n">
        <x:f>AB621/'Assumptions'!$AM$131</x:f>
        <x:v>13217.562624000002</x:v>
      </x:c>
      <x:c r="AD621" s="10" t="n">
        <x:f>IF(AB621=0,0,T621/AB621)</x:f>
        <x:v>17.52078281548169</x:v>
      </x:c>
      <x:c r="AE621" s="10" t="n">
        <x:f>AA621*'Assumptions'!$D$21</x:f>
        <x:v>0</x:v>
      </x:c>
    </x:row>
    <x:row r="622" ht="16" customHeight="1">
      <x:c r="A622" s="1"/>
      <x:c r="B622" s="1"/>
      <x:c r="C622" s="1" t="str">
        <x:v>DOT-103</x:v>
      </x:c>
      <x:c r="D622" s="10" t="str">
        <x:v>Sleepy Face</x:v>
      </x:c>
      <x:c r="E622" s="10" t="n">
        <x:v>5</x:v>
      </x:c>
      <x:c r="F622" s="21" t="n">
        <x:f>F494*(1+'Assumptions'!$L$132)</x:f>
        <x:v>88.11708416000002</x:v>
      </x:c>
      <x:c r="G622" s="21" t="n">
        <x:f>H494*'Assumptions'!$K$132</x:f>
        <x:v>31.942406400000003</x:v>
      </x:c>
      <x:c r="H622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622+G622,NA())</x:f>
        <x:v>120.05949056000003</x:v>
      </x:c>
      <x:c r="I622" s="22" t="n">
        <x:f>'Assumptions'!$H$132*IF('Assumptions'!$O$132=1,1,'Assumptions'!$D$10)*(1+'Assumptions'!$N$132)^(5-1)</x:f>
        <x:v>243.547236</x:v>
      </x:c>
      <x:c r="J622" s="10" t="n">
        <x:f>H622*I622</x:f>
        <x:v>29240.1570814561</x:v>
      </x:c>
      <x:c r="K622" s="10" t="n">
        <x:f>J622*'Assumptions'!$T$132</x:f>
        <x:v>29240.1570814561</x:v>
      </x:c>
      <x:c r="L622" s="10" t="n">
        <x:f>K622*'Assumptions'!$U$132</x:f>
        <x:v>2339.212566516488</x:v>
      </x:c>
      <x:c r="M622" s="10" t="n">
        <x:f>K622*'Assumptions'!$V$132</x:f>
        <x:v>584.803141629122</x:v>
      </x:c>
      <x:c r="N622" s="10" t="n">
        <x:f>K622-L622-M622</x:f>
        <x:v>26316.141373310486</x:v>
      </x:c>
      <x:c r="O622" s="10" t="n">
        <x:f>H622*'Assumptions'!$P$132*'Assumptions'!$Q$132*'Assumptions'!$D$11*(1+'Assumptions'!$D$13)^(5-1)</x:f>
        <x:v>709.4220753343075</x:v>
      </x:c>
      <x:c r="P622" s="10" t="n">
        <x:f>H622*'Assumptions'!$R$132*'Assumptions'!$D$11*(1+'Assumptions'!$D$13)^(5-1)</x:f>
        <x:v>12161.52129144527</x:v>
      </x:c>
      <x:c r="Q622" s="10" t="n">
        <x:f>J622*'Assumptions'!$S$132</x:f>
        <x:v>0</x:v>
      </x:c>
      <x:c r="R622" s="10" t="n">
        <x:f>H622*'Assumptions'!$Y$132*'Assumptions'!$Z$132*'Assumptions'!$D$11*(1+'Assumptions'!$D$13)^(5-1)</x:f>
        <x:v>608.0760645722635</x:v>
      </x:c>
      <x:c r="S622" s="10" t="n">
        <x:f>IF(I622=0,0,J622*'Assumptions'!$W$132+H622*'Assumptions'!$X$132)</x:f>
        <x:v>883.9824025302269</x:v>
      </x:c>
      <x:c r="T622" s="10" t="n">
        <x:f>N622*'Assumptions'!$AA$132</x:f>
        <x:v>2105.2913098648387</x:v>
      </x:c>
      <x:c r="U622" s="10" t="n">
        <x:f>'Assumptions'!$AE$132*'Assumptions'!$D$11*(1+'Assumptions'!$D$13)^(5-1)</x:f>
        <x:v>0</x:v>
      </x:c>
      <x:c r="V622" s="10" t="n">
        <x:f>0</x:f>
        <x:v>0</x:v>
      </x:c>
      <x:c r="W622" s="10" t="n">
        <x:f>H622*('Assumptions'!$P$132+'Assumptions'!$Y$132)</x:f>
        <x:v>36.01784716800001</x:v>
      </x:c>
      <x:c r="X622" s="10" t="n">
        <x:f>N622/12*'Assumptions'!$AF$132</x:f>
        <x:v>0</x:v>
      </x:c>
      <x:c r="Y622" s="10" t="n">
        <x:f>P622/12</x:f>
        <x:v>1013.4601076204391</x:v>
      </x:c>
      <x:c r="Z622" s="10" t="n">
        <x:f>0</x:f>
        <x:v>0</x:v>
      </x:c>
      <x:c r="AA622" s="10" t="n">
        <x:f>Z622*'Assumptions'!$AC$132*'Assumptions'!$D$11*(1+'Assumptions'!$D$13)^(5-1)</x:f>
        <x:v>0</x:v>
      </x:c>
      <x:c r="AB622" s="10" t="n">
        <x:f>F622/1</x:f>
        <x:v>88.11708416000002</x:v>
      </x:c>
      <x:c r="AC622" s="10" t="n">
        <x:f>AB622/'Assumptions'!$AM$132</x:f>
        <x:v>2937.2361386666676</x:v>
      </x:c>
      <x:c r="AD622" s="10" t="n">
        <x:f>IF(AB622=0,0,T622/AB622)</x:f>
        <x:v>23.891976566565933</x:v>
      </x:c>
      <x:c r="AE622" s="10" t="n">
        <x:f>AA622*'Assumptions'!$D$21</x:f>
        <x:v>0</x:v>
      </x:c>
    </x:row>
    <x:row r="623" ht="16" customHeight="1">
      <x:c r="A623" s="1"/>
      <x:c r="B623" s="1"/>
      <x:c r="C623" s="1" t="str">
        <x:v>DOT-104</x:v>
      </x:c>
      <x:c r="D623" s="10" t="str">
        <x:v>Sleepy Face</x:v>
      </x:c>
      <x:c r="E623" s="10" t="n">
        <x:v>5</x:v>
      </x:c>
      <x:c r="F623" s="21" t="n">
        <x:f>F495*(1+'Assumptions'!$L$133)</x:f>
        <x:v>264.3512524800001</x:v>
      </x:c>
      <x:c r="G623" s="21" t="n">
        <x:f>H495*'Assumptions'!$K$133</x:f>
        <x:v>95.82721920000002</x:v>
      </x:c>
      <x:c r="H623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623+G623,NA())</x:f>
        <x:v>360.1784716800001</x:v>
      </x:c>
      <x:c r="I623" s="22" t="n">
        <x:f>'Assumptions'!$H$133*IF('Assumptions'!$O$133=1,1,'Assumptions'!$D$10)*(1+'Assumptions'!$N$133)^(5-1)</x:f>
        <x:v>102.8310552</x:v>
      </x:c>
      <x:c r="J623" s="10" t="n">
        <x:f>H623*I623</x:f>
        <x:v>37037.53230317772</x:v>
      </x:c>
      <x:c r="K623" s="10" t="n">
        <x:f>J623*'Assumptions'!$T$133</x:f>
        <x:v>37037.53230317772</x:v>
      </x:c>
      <x:c r="L623" s="10" t="n">
        <x:f>K623*'Assumptions'!$U$133</x:f>
        <x:v>2963.0025842542177</x:v>
      </x:c>
      <x:c r="M623" s="10" t="n">
        <x:f>K623*'Assumptions'!$V$133</x:f>
        <x:v>740.7506460635544</x:v>
      </x:c>
      <x:c r="N623" s="10" t="n">
        <x:f>K623-L623-M623</x:f>
        <x:v>33333.77907285995</x:v>
      </x:c>
      <x:c r="O623" s="10" t="n">
        <x:f>H623*'Assumptions'!$P$133*'Assumptions'!$Q$133*'Assumptions'!$D$11*(1+'Assumptions'!$D$13)^(5-1)</x:f>
        <x:v>2128.266226002922</x:v>
      </x:c>
      <x:c r="P623" s="10" t="n">
        <x:f>H623*'Assumptions'!$R$133*'Assumptions'!$D$11*(1+'Assumptions'!$D$13)^(5-1)</x:f>
        <x:v>14188.441506686147</x:v>
      </x:c>
      <x:c r="Q623" s="10" t="n">
        <x:f>J623*'Assumptions'!$S$133</x:f>
        <x:v>0</x:v>
      </x:c>
      <x:c r="R623" s="10" t="n">
        <x:f>H623*'Assumptions'!$Y$133*'Assumptions'!$Z$133*'Assumptions'!$D$11*(1+'Assumptions'!$D$13)^(5-1)</x:f>
        <x:v>1824.2281937167902</x:v>
      </x:c>
      <x:c r="S623" s="10" t="n">
        <x:f>IF(I623=0,0,J623*'Assumptions'!$W$133+H623*'Assumptions'!$X$133)</x:f>
        <x:v>1182.141978296154</x:v>
      </x:c>
      <x:c r="T623" s="10" t="n">
        <x:f>N623*'Assumptions'!$AA$133</x:f>
        <x:v>2666.702325828796</x:v>
      </x:c>
      <x:c r="U623" s="10" t="n">
        <x:f>'Assumptions'!$AE$133*'Assumptions'!$D$11*(1+'Assumptions'!$D$13)^(5-1)</x:f>
        <x:v>0</x:v>
      </x:c>
      <x:c r="V623" s="10" t="n">
        <x:f>0</x:f>
        <x:v>0</x:v>
      </x:c>
      <x:c r="W623" s="10" t="n">
        <x:f>H623*('Assumptions'!$P$133+'Assumptions'!$Y$133)</x:f>
        <x:v>108.05354150400002</x:v>
      </x:c>
      <x:c r="X623" s="10" t="n">
        <x:f>N623/12*'Assumptions'!$AF$133</x:f>
        <x:v>0</x:v>
      </x:c>
      <x:c r="Y623" s="10" t="n">
        <x:f>P623/12</x:f>
        <x:v>1182.3701255571789</x:v>
      </x:c>
      <x:c r="Z623" s="10" t="n">
        <x:f>0</x:f>
        <x:v>0</x:v>
      </x:c>
      <x:c r="AA623" s="10" t="n">
        <x:f>Z623*'Assumptions'!$AC$133*'Assumptions'!$D$11*(1+'Assumptions'!$D$13)^(5-1)</x:f>
        <x:v>0</x:v>
      </x:c>
      <x:c r="AB623" s="10" t="n">
        <x:f>F623/1</x:f>
        <x:v>264.3512524800001</x:v>
      </x:c>
      <x:c r="AC623" s="10" t="n">
        <x:f>AB623/'Assumptions'!$AM$133</x:f>
        <x:v>8811.708416000003</x:v>
      </x:c>
      <x:c r="AD623" s="10" t="n">
        <x:f>IF(AB623=0,0,T623/AB623)</x:f>
        <x:v>10.087723439216727</x:v>
      </x:c>
      <x:c r="AE623" s="10" t="n">
        <x:f>AA623*'Assumptions'!$D$21</x:f>
        <x:v>0</x:v>
      </x:c>
    </x:row>
    <x:row r="624" ht="16" customHeight="1">
      <x:c r="A624" s="1"/>
      <x:c r="B624" s="1"/>
      <x:c r="C624" s="1" t="str">
        <x:v>DOT-105</x:v>
      </x:c>
      <x:c r="D624" s="10" t="str">
        <x:v>Sleepy Face</x:v>
      </x:c>
      <x:c r="E624" s="10" t="n">
        <x:v>5</x:v>
      </x:c>
      <x:c r="F624" s="21" t="n">
        <x:f>F496*(1+'Assumptions'!$L$134)</x:f>
        <x:v>132.17562624000004</x:v>
      </x:c>
      <x:c r="G624" s="21" t="n">
        <x:f>H496*'Assumptions'!$K$134</x:f>
        <x:v>47.91360960000001</x:v>
      </x:c>
      <x:c r="H624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624+G624,NA())</x:f>
        <x:v>180.08923584000004</x:v>
      </x:c>
      <x:c r="I624" s="22" t="n">
        <x:f>'Assumptions'!$H$134*IF('Assumptions'!$O$134=1,1,'Assumptions'!$D$10)*(1+'Assumptions'!$N$134)^(5-1)</x:f>
        <x:v>189.425628</x:v>
      </x:c>
      <x:c r="J624" s="10" t="n">
        <x:f>H624*I624</x:f>
        <x:v>34113.51659503212</x:v>
      </x:c>
      <x:c r="K624" s="10" t="n">
        <x:f>J624*'Assumptions'!$T$134</x:f>
        <x:v>34113.51659503212</x:v>
      </x:c>
      <x:c r="L624" s="10" t="n">
        <x:f>K624*'Assumptions'!$U$134</x:f>
        <x:v>2729.081327602569</x:v>
      </x:c>
      <x:c r="M624" s="10" t="n">
        <x:f>K624*'Assumptions'!$V$134</x:f>
        <x:v>682.2703319006423</x:v>
      </x:c>
      <x:c r="N624" s="10" t="n">
        <x:f>K624-L624-M624</x:f>
        <x:v>30702.164935528905</x:v>
      </x:c>
      <x:c r="O624" s="10" t="n">
        <x:f>H624*'Assumptions'!$P$134*'Assumptions'!$Q$134*'Assumptions'!$D$11*(1+'Assumptions'!$D$13)^(5-1)</x:f>
        <x:v>1064.133113001461</x:v>
      </x:c>
      <x:c r="P624" s="10" t="n">
        <x:f>H624*'Assumptions'!$R$134*'Assumptions'!$D$11*(1+'Assumptions'!$D$13)^(5-1)</x:f>
        <x:v>13174.981399065708</x:v>
      </x:c>
      <x:c r="Q624" s="10" t="n">
        <x:f>J624*'Assumptions'!$S$134</x:f>
        <x:v>0</x:v>
      </x:c>
      <x:c r="R624" s="10" t="n">
        <x:f>H624*'Assumptions'!$Y$134*'Assumptions'!$Z$134*'Assumptions'!$D$11*(1+'Assumptions'!$D$13)^(5-1)</x:f>
        <x:v>912.1140968583951</x:v>
      </x:c>
      <x:c r="S624" s="10" t="n">
        <x:f>IF(I624=0,0,J624*'Assumptions'!$W$134+H624*'Assumptions'!$X$134)</x:f>
        <x:v>1043.3187520079314</x:v>
      </x:c>
      <x:c r="T624" s="10" t="n">
        <x:f>N624*'Assumptions'!$AA$134</x:f>
        <x:v>2456.1731948423126</x:v>
      </x:c>
      <x:c r="U624" s="10" t="n">
        <x:f>'Assumptions'!$AE$134*'Assumptions'!$D$11*(1+'Assumptions'!$D$13)^(5-1)</x:f>
        <x:v>0</x:v>
      </x:c>
      <x:c r="V624" s="10" t="n">
        <x:f>0</x:f>
        <x:v>0</x:v>
      </x:c>
      <x:c r="W624" s="10" t="n">
        <x:f>H624*('Assumptions'!$P$134+'Assumptions'!$Y$134)</x:f>
        <x:v>54.02677075200001</x:v>
      </x:c>
      <x:c r="X624" s="10" t="n">
        <x:f>N624/12*'Assumptions'!$AF$134</x:f>
        <x:v>0</x:v>
      </x:c>
      <x:c r="Y624" s="10" t="n">
        <x:f>P624/12</x:f>
        <x:v>1097.915116588809</x:v>
      </x:c>
      <x:c r="Z624" s="10" t="n">
        <x:f>0</x:f>
        <x:v>0</x:v>
      </x:c>
      <x:c r="AA624" s="10" t="n">
        <x:f>Z624*'Assumptions'!$AC$134*'Assumptions'!$D$11*(1+'Assumptions'!$D$13)^(5-1)</x:f>
        <x:v>0</x:v>
      </x:c>
      <x:c r="AB624" s="10" t="n">
        <x:f>F624/1</x:f>
        <x:v>132.17562624000004</x:v>
      </x:c>
      <x:c r="AC624" s="10" t="n">
        <x:f>AB624/'Assumptions'!$AM$134</x:f>
        <x:v>4405.854208000002</x:v>
      </x:c>
      <x:c r="AD624" s="10" t="n">
        <x:f>IF(AB624=0,0,T624/AB624)</x:f>
        <x:v>18.582648440662396</x:v>
      </x:c>
      <x:c r="AE624" s="10" t="n">
        <x:f>AA624*'Assumptions'!$D$21</x:f>
        <x:v>0</x:v>
      </x:c>
    </x:row>
    <x:row r="625" ht="16" customHeight="1">
      <x:c r="A625" s="1"/>
      <x:c r="B625" s="1"/>
      <x:c r="C625" s="1" t="str">
        <x:v>DOT-106</x:v>
      </x:c>
      <x:c r="D625" s="10" t="str">
        <x:v>QzoticMusic</x:v>
      </x:c>
      <x:c r="E625" s="10" t="n">
        <x:v>5</x:v>
      </x:c>
      <x:c r="F625" s="21" t="n">
        <x:f>F497*(1+'Assumptions'!$L$135)</x:f>
        <x:v>787.0528124999998</x:v>
      </x:c>
      <x:c r="G625" s="21" t="n">
        <x:f>H497*'Assumptions'!$K$135</x:f>
        <x:v>217.5515625</x:v>
      </x:c>
      <x:c r="H625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625+G625,NA())</x:f>
        <x:v>1004.6043749999999</x:v>
      </x:c>
      <x:c r="I625" s="22" t="n">
        <x:f>'Assumptions'!$H$135*IF('Assumptions'!$O$135=1,1,'Assumptions'!$D$10)*(1+'Assumptions'!$N$135)^(5-1)</x:f>
        <x:v>5.4121608</x:v>
      </x:c>
      <x:c r="J625" s="10" t="n">
        <x:f>H625*I625</x:f>
        <x:v>5437.080417883499</x:v>
      </x:c>
      <x:c r="K625" s="10" t="n">
        <x:f>J625*'Assumptions'!$T$135</x:f>
        <x:v>5437.080417883499</x:v>
      </x:c>
      <x:c r="L625" s="10" t="n">
        <x:f>K625*'Assumptions'!$U$135</x:f>
        <x:v>163.11241253650496</x:v>
      </x:c>
      <x:c r="M625" s="10" t="n">
        <x:f>K625*'Assumptions'!$V$135</x:f>
        <x:v>0</x:v>
      </x:c>
      <x:c r="N625" s="10" t="n">
        <x:f>K625-L625-M625</x:f>
        <x:v>5273.968005346994</x:v>
      </x:c>
      <x:c r="O625" s="10" t="n">
        <x:f>H625*'Assumptions'!$P$135*'Assumptions'!$Q$135*'Assumptions'!$D$11*(1+'Assumptions'!$D$13)^(5-1)</x:f>
        <x:v>791.4837522389307</x:v>
      </x:c>
      <x:c r="P625" s="10" t="n">
        <x:f>H625*'Assumptions'!$R$135*'Assumptions'!$D$11*(1+'Assumptions'!$D$13)^(5-1)</x:f>
        <x:v>0</x:v>
      </x:c>
      <x:c r="Q625" s="10" t="n">
        <x:f>J625*'Assumptions'!$S$135</x:f>
        <x:v>0</x:v>
      </x:c>
      <x:c r="R625" s="10" t="n">
        <x:f>H625*'Assumptions'!$Y$135*'Assumptions'!$Z$135*'Assumptions'!$D$11*(1+'Assumptions'!$D$13)^(5-1)</x:f>
        <x:v>3392.073223881132</x:v>
      </x:c>
      <x:c r="S625" s="10" t="n">
        <x:f>IF(I625=0,0,J625*'Assumptions'!$W$135+H625*'Assumptions'!$X$135)</x:f>
        <x:v>459.0566446186215</x:v>
      </x:c>
      <x:c r="T625" s="10" t="n">
        <x:f>N625*'Assumptions'!$AA$135</x:f>
        <x:v>263.6984002673497</x:v>
      </x:c>
      <x:c r="U625" s="10" t="n">
        <x:f>'Assumptions'!$AE$135*'Assumptions'!$D$11*(1+'Assumptions'!$D$13)^(5-1)</x:f>
        <x:v>0</x:v>
      </x:c>
      <x:c r="V625" s="10" t="n">
        <x:f>0</x:f>
        <x:v>0</x:v>
      </x:c>
      <x:c r="W625" s="10" t="n">
        <x:f>H625*('Assumptions'!$P$135+'Assumptions'!$Y$135)</x:f>
        <x:v>120.552525</x:v>
      </x:c>
      <x:c r="X625" s="10" t="n">
        <x:f>N625/12*'Assumptions'!$AF$135</x:f>
        <x:v>0</x:v>
      </x:c>
      <x:c r="Y625" s="10" t="n">
        <x:f>P625/12</x:f>
        <x:v>0</x:v>
      </x:c>
      <x:c r="Z625" s="10" t="n">
        <x:f>0</x:f>
        <x:v>0</x:v>
      </x:c>
      <x:c r="AA625" s="10" t="n">
        <x:f>Z625*'Assumptions'!$AC$135*'Assumptions'!$D$11*(1+'Assumptions'!$D$13)^(5-1)</x:f>
        <x:v>0</x:v>
      </x:c>
      <x:c r="AB625" s="10" t="n">
        <x:f>F625/12</x:f>
        <x:v>65.58773437499998</x:v>
      </x:c>
      <x:c r="AC625" s="10" t="n">
        <x:f>AB625/'Assumptions'!$AM$135</x:f>
        <x:v>1311.7546874999996</x:v>
      </x:c>
      <x:c r="AD625" s="10" t="n">
        <x:f>IF(AB625=0,0,T625/AB625)</x:f>
        <x:v>4.02054443228128</x:v>
      </x:c>
      <x:c r="AE625" s="10" t="n">
        <x:f>AA625*'Assumptions'!$D$21</x:f>
        <x:v>0</x:v>
      </x:c>
    </x:row>
    <x:row r="626" ht="16" customHeight="1">
      <x:c r="A626" s="1"/>
      <x:c r="B626" s="1"/>
      <x:c r="C626" s="1" t="str">
        <x:v>DOT-107</x:v>
      </x:c>
      <x:c r="D626" s="10" t="str">
        <x:v>QzoticMusic</x:v>
      </x:c>
      <x:c r="E626" s="10" t="n">
        <x:v>5</x:v>
      </x:c>
      <x:c r="F626" s="21" t="n">
        <x:f>F498*(1+'Assumptions'!$L$136)</x:f>
        <x:v>228.3996000000001</x:v>
      </x:c>
      <x:c r="G626" s="21" t="n">
        <x:f>H498*'Assumptions'!$K$136</x:f>
        <x:v>104.95380000000003</x:v>
      </x:c>
      <x:c r="H626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626+G626,NA())</x:f>
        <x:v>333.35340000000014</x:v>
      </x:c>
      <x:c r="I626" s="22" t="n">
        <x:f>'Assumptions'!$H$136*IF('Assumptions'!$O$136=1,1,'Assumptions'!$D$10)*(1+'Assumptions'!$N$136)^(5-1)</x:f>
        <x:v>27.060804</x:v>
      </x:c>
      <x:c r="J626" s="10" t="n">
        <x:f>H626*I626</x:f>
        <x:v>9020.811020133604</x:v>
      </x:c>
      <x:c r="K626" s="10" t="n">
        <x:f>J626*'Assumptions'!$T$136</x:f>
        <x:v>9020.811020133604</x:v>
      </x:c>
      <x:c r="L626" s="10" t="n">
        <x:f>K626*'Assumptions'!$U$136</x:f>
        <x:v>270.6243306040081</x:v>
      </x:c>
      <x:c r="M626" s="10" t="n">
        <x:f>K626*'Assumptions'!$V$136</x:f>
        <x:v>0</x:v>
      </x:c>
      <x:c r="N626" s="10" t="n">
        <x:f>K626-L626-M626</x:f>
        <x:v>8750.186689529595</x:v>
      </x:c>
      <x:c r="O626" s="10" t="n">
        <x:f>H626*'Assumptions'!$P$136*'Assumptions'!$Q$136*'Assumptions'!$D$11*(1+'Assumptions'!$D$13)^(5-1)</x:f>
        <x:v>1969.7589898531346</x:v>
      </x:c>
      <x:c r="P626" s="10" t="n">
        <x:f>H626*'Assumptions'!$R$136*'Assumptions'!$D$11*(1+'Assumptions'!$D$13)^(5-1)</x:f>
        <x:v>3751.921885434542</x:v>
      </x:c>
      <x:c r="Q626" s="10" t="n">
        <x:f>J626*'Assumptions'!$S$136</x:f>
        <x:v>0</x:v>
      </x:c>
      <x:c r="R626" s="10" t="n">
        <x:f>H626*'Assumptions'!$Y$136*'Assumptions'!$Z$136*'Assumptions'!$D$11*(1+'Assumptions'!$D$13)^(5-1)</x:f>
        <x:v>5627.882828151814</x:v>
      </x:c>
      <x:c r="S626" s="10" t="n">
        <x:f>IF(I626=0,0,J626*'Assumptions'!$W$136+H626*'Assumptions'!$X$136)</x:f>
        <x:v>361.60953958387455</x:v>
      </x:c>
      <x:c r="T626" s="10" t="n">
        <x:f>N626*'Assumptions'!$AA$136</x:f>
        <x:v>700.0149351623676</x:v>
      </x:c>
      <x:c r="U626" s="10" t="n">
        <x:f>'Assumptions'!$AE$136*'Assumptions'!$D$11*(1+'Assumptions'!$D$13)^(5-1)</x:f>
        <x:v>0</x:v>
      </x:c>
      <x:c r="V626" s="10" t="n">
        <x:f>0</x:f>
        <x:v>0</x:v>
      </x:c>
      <x:c r="W626" s="10" t="n">
        <x:f>H626*('Assumptions'!$P$136+'Assumptions'!$Y$136)</x:f>
        <x:v>216.67971000000009</x:v>
      </x:c>
      <x:c r="X626" s="10" t="n">
        <x:f>N626/12*'Assumptions'!$AF$136</x:f>
        <x:v>729.1822241274663</x:v>
      </x:c>
      <x:c r="Y626" s="10" t="n">
        <x:f>P626/12</x:f>
        <x:v>312.6601571195452</x:v>
      </x:c>
      <x:c r="Z626" s="10" t="n">
        <x:f>0</x:f>
        <x:v>0</x:v>
      </x:c>
      <x:c r="AA626" s="10" t="n">
        <x:f>Z626*'Assumptions'!$AC$136*'Assumptions'!$D$11*(1+'Assumptions'!$D$13)^(5-1)</x:f>
        <x:v>0</x:v>
      </x:c>
      <x:c r="AB626" s="10" t="n">
        <x:f>F626/1</x:f>
        <x:v>228.3996000000001</x:v>
      </x:c>
      <x:c r="AC626" s="10" t="n">
        <x:f>AB626/'Assumptions'!$AM$136</x:f>
        <x:v>2283.996000000001</x:v>
      </x:c>
      <x:c r="AD626" s="10" t="n">
        <x:f>IF(AB626=0,0,T626/AB626)</x:f>
        <x:v>3.064869356874387</x:v>
      </x:c>
      <x:c r="AE626" s="10" t="n">
        <x:f>AA626*'Assumptions'!$D$21</x:f>
        <x:v>0</x:v>
      </x:c>
    </x:row>
    <x:row r="627" ht="16" customHeight="1">
      <x:c r="A627" s="1"/>
      <x:c r="B627" s="1"/>
      <x:c r="C627" s="1" t="str">
        <x:v>DOT-108</x:v>
      </x:c>
      <x:c r="D627" s="10" t="str">
        <x:v>QzoticMusic</x:v>
      </x:c>
      <x:c r="E627" s="10" t="n">
        <x:v>5</x:v>
      </x:c>
      <x:c r="F627" s="21" t="n">
        <x:f>F499*(1+'Assumptions'!$L$137)</x:f>
        <x:v>11.419980000000004</x:v>
      </x:c>
      <x:c r="G627" s="21" t="n">
        <x:f>H499*'Assumptions'!$K$137</x:f>
        <x:v>5.247690000000001</x:v>
      </x:c>
      <x:c r="H627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627+G627,NA())</x:f>
        <x:v>16.667670000000005</x:v>
      </x:c>
      <x:c r="I627" s="22" t="n">
        <x:f>'Assumptions'!$H$137*IF('Assumptions'!$O$137=1,1,'Assumptions'!$D$10)*(1+'Assumptions'!$N$137)^(5-1)</x:f>
        <x:v>270.60804</x:v>
      </x:c>
      <x:c r="J627" s="10" t="n">
        <x:f>H627*I627</x:f>
        <x:v>4510.405510066802</x:v>
      </x:c>
      <x:c r="K627" s="10" t="n">
        <x:f>J627*'Assumptions'!$T$137</x:f>
        <x:v>4510.405510066802</x:v>
      </x:c>
      <x:c r="L627" s="10" t="n">
        <x:f>K627*'Assumptions'!$U$137</x:f>
        <x:v>135.31216530200405</x:v>
      </x:c>
      <x:c r="M627" s="10" t="n">
        <x:f>K627*'Assumptions'!$V$137</x:f>
        <x:v>0</x:v>
      </x:c>
      <x:c r="N627" s="10" t="n">
        <x:f>K627-L627-M627</x:f>
        <x:v>4375.093344764798</x:v>
      </x:c>
      <x:c r="O627" s="10" t="n">
        <x:f>H627*'Assumptions'!$P$137*'Assumptions'!$Q$137*'Assumptions'!$D$11*(1+'Assumptions'!$D$13)^(5-1)</x:f>
        <x:v>1500.7687541738164</x:v>
      </x:c>
      <x:c r="P627" s="10" t="n">
        <x:f>H627*'Assumptions'!$R$137*'Assumptions'!$D$11*(1+'Assumptions'!$D$13)^(5-1)</x:f>
        <x:v>0</x:v>
      </x:c>
      <x:c r="Q627" s="10" t="n">
        <x:f>J627*'Assumptions'!$S$137</x:f>
        <x:v>0</x:v>
      </x:c>
      <x:c r="R627" s="10" t="n">
        <x:f>H627*'Assumptions'!$Y$137*'Assumptions'!$Z$137*'Assumptions'!$D$11*(1+'Assumptions'!$D$13)^(5-1)</x:f>
        <x:v>281.3941414075906</x:v>
      </x:c>
      <x:c r="S627" s="10" t="n">
        <x:f>IF(I627=0,0,J627*'Assumptions'!$W$137+H627*'Assumptions'!$X$137)</x:f>
        <x:v>135.80206079193727</x:v>
      </x:c>
      <x:c r="T627" s="10" t="n">
        <x:f>N627*'Assumptions'!$AA$137</x:f>
        <x:v>350.0074675811838</x:v>
      </x:c>
      <x:c r="U627" s="10" t="n">
        <x:f>'Assumptions'!$AE$137*'Assumptions'!$D$11*(1+'Assumptions'!$D$13)^(5-1)</x:f>
        <x:v>0</x:v>
      </x:c>
      <x:c r="V627" s="10" t="n">
        <x:f>0</x:f>
        <x:v>0</x:v>
      </x:c>
      <x:c r="W627" s="10" t="n">
        <x:f>H627*('Assumptions'!$P$137+'Assumptions'!$Y$137)</x:f>
        <x:v>41.66917500000001</x:v>
      </x:c>
      <x:c r="X627" s="10" t="n">
        <x:f>N627/12*'Assumptions'!$AF$137</x:f>
        <x:v>364.59111206373314</x:v>
      </x:c>
      <x:c r="Y627" s="10" t="n">
        <x:f>P627/12</x:f>
        <x:v>0</x:v>
      </x:c>
      <x:c r="Z627" s="10" t="n">
        <x:f>0</x:f>
        <x:v>0</x:v>
      </x:c>
      <x:c r="AA627" s="10" t="n">
        <x:f>Z627*'Assumptions'!$AC$137*'Assumptions'!$D$11*(1+'Assumptions'!$D$13)^(5-1)</x:f>
        <x:v>0</x:v>
      </x:c>
      <x:c r="AB627" s="10" t="n">
        <x:f>F627/1</x:f>
        <x:v>11.419980000000004</x:v>
      </x:c>
      <x:c r="AC627" s="10" t="n">
        <x:f>AB627/'Assumptions'!$AM$137</x:f>
        <x:v>114.19980000000004</x:v>
      </x:c>
      <x:c r="AD627" s="10" t="n">
        <x:f>IF(AB627=0,0,T627/AB627)</x:f>
        <x:v>30.648693568743873</x:v>
      </x:c>
      <x:c r="AE627" s="10" t="n">
        <x:f>AA627*'Assumptions'!$D$21</x:f>
        <x:v>0</x:v>
      </x:c>
    </x:row>
    <x:row r="628" ht="16" customHeight="1">
      <x:c r="A628" s="1"/>
      <x:c r="B628" s="1"/>
      <x:c r="C628" s="1" t="str">
        <x:v>DOT-109</x:v>
      </x:c>
      <x:c r="D628" s="10" t="str">
        <x:v>LesPetitFilms</x:v>
      </x:c>
      <x:c r="E628" s="10" t="n">
        <x:v>5</x:v>
      </x:c>
      <x:c r="F628" s="21" t="n">
        <x:f>F500*(1+'Assumptions'!$L$138)</x:f>
        <x:v>7.613320000000003</x:v>
      </x:c>
      <x:c r="G628" s="21" t="n">
        <x:f>H500*'Assumptions'!$K$138</x:f>
        <x:v>3.498460000000001</x:v>
      </x:c>
      <x:c r="H628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628+G628,NA())</x:f>
        <x:v>11.111780000000005</x:v>
      </x:c>
      <x:c r="I628" s="22" t="n">
        <x:f>'Assumptions'!$H$138*IF('Assumptions'!$O$138=1,1,'Assumptions'!$D$10)*(1+'Assumptions'!$N$138)^(5-1)</x:f>
        <x:v>3788.51256</x:v>
      </x:c>
      <x:c r="J628" s="10" t="n">
        <x:f>H628*I628</x:f>
        <x:v>42097.11809395682</x:v>
      </x:c>
      <x:c r="K628" s="10" t="n">
        <x:f>J628*'Assumptions'!$T$138</x:f>
        <x:v>42097.11809395682</x:v>
      </x:c>
      <x:c r="L628" s="10" t="n">
        <x:f>K628*'Assumptions'!$U$138</x:f>
        <x:v>1262.9135428187046</x:v>
      </x:c>
      <x:c r="M628" s="10" t="n">
        <x:f>K628*'Assumptions'!$V$138</x:f>
        <x:v>0</x:v>
      </x:c>
      <x:c r="N628" s="10" t="n">
        <x:f>K628-L628-M628</x:f>
        <x:v>40834.204551138115</x:v>
      </x:c>
      <x:c r="O628" s="10" t="n">
        <x:f>H628*'Assumptions'!$P$138*'Assumptions'!$Q$138*'Assumptions'!$D$11*(1+'Assumptions'!$D$13)^(5-1)</x:f>
        <x:v>14069.707070379533</x:v>
      </x:c>
      <x:c r="P628" s="10" t="n">
        <x:f>H628*'Assumptions'!$R$138*'Assumptions'!$D$11*(1+'Assumptions'!$D$13)^(5-1)</x:f>
        <x:v>4377.242199673633</x:v>
      </x:c>
      <x:c r="Q628" s="10" t="n">
        <x:f>J628*'Assumptions'!$S$138</x:f>
        <x:v>0</x:v>
      </x:c>
      <x:c r="R628" s="10" t="n">
        <x:f>H628*'Assumptions'!$Y$138*'Assumptions'!$Z$138*'Assumptions'!$D$11*(1+'Assumptions'!$D$13)^(5-1)</x:f>
        <x:v>187.5960942717271</x:v>
      </x:c>
      <x:c r="S628" s="10" t="n">
        <x:f>IF(I628=0,0,J628*'Assumptions'!$W$138+H628*'Assumptions'!$X$138)</x:f>
        <x:v>1224.149958724748</x:v>
      </x:c>
      <x:c r="T628" s="10" t="n">
        <x:f>N628*'Assumptions'!$AA$138</x:f>
        <x:v>3266.7363640910494</x:v>
      </x:c>
      <x:c r="U628" s="10" t="n">
        <x:f>'Assumptions'!$AE$138*'Assumptions'!$D$11*(1+'Assumptions'!$D$13)^(5-1)</x:f>
        <x:v>0</x:v>
      </x:c>
      <x:c r="V628" s="10" t="n">
        <x:f>0</x:f>
        <x:v>0</x:v>
      </x:c>
      <x:c r="W628" s="10" t="n">
        <x:f>H628*('Assumptions'!$P$138+'Assumptions'!$Y$138)</x:f>
        <x:v>283.3503900000001</x:v>
      </x:c>
      <x:c r="X628" s="10" t="n">
        <x:f>N628/12*'Assumptions'!$AF$138</x:f>
        <x:v>3402.8503792615097</x:v>
      </x:c>
      <x:c r="Y628" s="10" t="n">
        <x:f>P628/12</x:f>
        <x:v>364.77018330613606</x:v>
      </x:c>
      <x:c r="Z628" s="10" t="n">
        <x:f>0</x:f>
        <x:v>0</x:v>
      </x:c>
      <x:c r="AA628" s="10" t="n">
        <x:f>Z628*'Assumptions'!$AC$138*'Assumptions'!$D$11*(1+'Assumptions'!$D$13)^(5-1)</x:f>
        <x:v>0</x:v>
      </x:c>
      <x:c r="AB628" s="10" t="n">
        <x:f>F628/1</x:f>
        <x:v>7.613320000000003</x:v>
      </x:c>
      <x:c r="AC628" s="10" t="n">
        <x:f>AB628/'Assumptions'!$AM$138</x:f>
        <x:v>76.13320000000003</x:v>
      </x:c>
      <x:c r="AD628" s="10" t="n">
        <x:f>IF(AB628=0,0,T628/AB628)</x:f>
        <x:v>429.08170996241427</x:v>
      </x:c>
      <x:c r="AE628" s="10" t="n">
        <x:f>AA628*'Assumptions'!$D$21</x:f>
        <x:v>0</x:v>
      </x:c>
    </x:row>
    <x:row r="629" ht="16" customHeight="1">
      <x:c r="A629" s="1"/>
      <x:c r="B629" s="1"/>
      <x:c r="C629" s="1" t="str">
        <x:v>DOT-110</x:v>
      </x:c>
      <x:c r="D629" s="10" t="str">
        <x:v>LesPetitFilms</x:v>
      </x:c>
      <x:c r="E629" s="10" t="n">
        <x:v>5</x:v>
      </x:c>
      <x:c r="F629" s="21" t="n">
        <x:f>F501*(1+'Assumptions'!$L$139)</x:f>
        <x:v>7.613320000000003</x:v>
      </x:c>
      <x:c r="G629" s="21" t="n">
        <x:f>H501*'Assumptions'!$K$139</x:f>
        <x:v>3.498460000000001</x:v>
      </x:c>
      <x:c r="H629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629+G629,NA())</x:f>
        <x:v>11.111780000000005</x:v>
      </x:c>
      <x:c r="I629" s="22" t="n">
        <x:f>'Assumptions'!$H$139*IF('Assumptions'!$O$139=1,1,'Assumptions'!$D$10)*(1+'Assumptions'!$N$139)^(5-1)</x:f>
        <x:v>1623.64824</x:v>
      </x:c>
      <x:c r="J629" s="10" t="n">
        <x:f>H629*I629</x:f>
        <x:v>18041.622040267208</x:v>
      </x:c>
      <x:c r="K629" s="10" t="n">
        <x:f>J629*'Assumptions'!$T$139</x:f>
        <x:v>18041.622040267208</x:v>
      </x:c>
      <x:c r="L629" s="10" t="n">
        <x:f>K629*'Assumptions'!$U$139</x:f>
        <x:v>541.2486612080162</x:v>
      </x:c>
      <x:c r="M629" s="10" t="n">
        <x:f>K629*'Assumptions'!$V$139</x:f>
        <x:v>0</x:v>
      </x:c>
      <x:c r="N629" s="10" t="n">
        <x:f>K629-L629-M629</x:f>
        <x:v>17500.37337905919</x:v>
      </x:c>
      <x:c r="O629" s="10" t="n">
        <x:f>H629*'Assumptions'!$P$139*'Assumptions'!$Q$139*'Assumptions'!$D$11*(1+'Assumptions'!$D$13)^(5-1)</x:f>
        <x:v>5627.882828151814</x:v>
      </x:c>
      <x:c r="P629" s="10" t="n">
        <x:f>H629*'Assumptions'!$R$139*'Assumptions'!$D$11*(1+'Assumptions'!$D$13)^(5-1)</x:f>
        <x:v>2501.2812569563616</x:v>
      </x:c>
      <x:c r="Q629" s="10" t="n">
        <x:f>J629*'Assumptions'!$S$139</x:f>
        <x:v>0</x:v>
      </x:c>
      <x:c r="R629" s="10" t="n">
        <x:f>H629*'Assumptions'!$Y$139*'Assumptions'!$Z$139*'Assumptions'!$D$11*(1+'Assumptions'!$D$13)^(5-1)</x:f>
        <x:v>187.5960942717271</x:v>
      </x:c>
      <x:c r="S629" s="10" t="n">
        <x:f>IF(I629=0,0,J629*'Assumptions'!$W$139+H629*'Assumptions'!$X$139)</x:f>
        <x:v>526.540573167749</x:v>
      </x:c>
      <x:c r="T629" s="10" t="n">
        <x:f>N629*'Assumptions'!$AA$139</x:f>
        <x:v>1400.0298703247352</x:v>
      </x:c>
      <x:c r="U629" s="10" t="n">
        <x:f>'Assumptions'!$AE$139*'Assumptions'!$D$11*(1+'Assumptions'!$D$13)^(5-1)</x:f>
        <x:v>0</x:v>
      </x:c>
      <x:c r="V629" s="10" t="n">
        <x:f>0</x:f>
        <x:v>0</x:v>
      </x:c>
      <x:c r="W629" s="10" t="n">
        <x:f>H629*('Assumptions'!$P$139+'Assumptions'!$Y$139)</x:f>
        <x:v>116.67369000000005</x:v>
      </x:c>
      <x:c r="X629" s="10" t="n">
        <x:f>N629/12*'Assumptions'!$AF$139</x:f>
        <x:v>1458.3644482549325</x:v>
      </x:c>
      <x:c r="Y629" s="10" t="n">
        <x:f>P629/12</x:f>
        <x:v>208.44010474636346</x:v>
      </x:c>
      <x:c r="Z629" s="10" t="n">
        <x:f>0</x:f>
        <x:v>0</x:v>
      </x:c>
      <x:c r="AA629" s="10" t="n">
        <x:f>Z629*'Assumptions'!$AC$139*'Assumptions'!$D$11*(1+'Assumptions'!$D$13)^(5-1)</x:f>
        <x:v>0</x:v>
      </x:c>
      <x:c r="AB629" s="10" t="n">
        <x:f>F629/1</x:f>
        <x:v>7.613320000000003</x:v>
      </x:c>
      <x:c r="AC629" s="10" t="n">
        <x:f>AB629/'Assumptions'!$AM$139</x:f>
        <x:v>76.13320000000003</x:v>
      </x:c>
      <x:c r="AD629" s="10" t="n">
        <x:f>IF(AB629=0,0,T629/AB629)</x:f>
        <x:v>183.89216141246322</x:v>
      </x:c>
      <x:c r="AE629" s="10" t="n">
        <x:f>AA629*'Assumptions'!$D$21</x:f>
        <x:v>0</x:v>
      </x:c>
    </x:row>
    <x:row r="630" ht="16" customHeight="1">
      <x:c r="A630" s="1"/>
      <x:c r="B630" s="1"/>
      <x:c r="C630" s="1" t="str">
        <x:v>DOT-111</x:v>
      </x:c>
      <x:c r="D630" s="10" t="str">
        <x:v>LesPetitFilms</x:v>
      </x:c>
      <x:c r="E630" s="10" t="n">
        <x:v>5</x:v>
      </x:c>
      <x:c r="F630" s="21" t="n">
        <x:f>F502*(1+'Assumptions'!$L$140)</x:f>
        <x:v>11.419980000000004</x:v>
      </x:c>
      <x:c r="G630" s="21" t="n">
        <x:f>H502*'Assumptions'!$K$140</x:f>
        <x:v>5.247690000000001</x:v>
      </x:c>
      <x:c r="H630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630+G630,NA())</x:f>
        <x:v>16.667670000000005</x:v>
      </x:c>
      <x:c r="I630" s="22" t="n">
        <x:f>'Assumptions'!$H$140*IF('Assumptions'!$O$140=1,1,'Assumptions'!$D$10)*(1+'Assumptions'!$N$140)^(5-1)</x:f>
        <x:v>541.21608</x:v>
      </x:c>
      <x:c r="J630" s="10" t="n">
        <x:f>H630*I630</x:f>
        <x:v>9020.811020133604</x:v>
      </x:c>
      <x:c r="K630" s="10" t="n">
        <x:f>J630*'Assumptions'!$T$140</x:f>
        <x:v>9020.811020133604</x:v>
      </x:c>
      <x:c r="L630" s="10" t="n">
        <x:f>K630*'Assumptions'!$U$140</x:f>
        <x:v>270.6243306040081</x:v>
      </x:c>
      <x:c r="M630" s="10" t="n">
        <x:f>K630*'Assumptions'!$V$140</x:f>
        <x:v>0</x:v>
      </x:c>
      <x:c r="N630" s="10" t="n">
        <x:f>K630-L630-M630</x:f>
        <x:v>8750.186689529595</x:v>
      </x:c>
      <x:c r="O630" s="10" t="n">
        <x:f>H630*'Assumptions'!$P$140*'Assumptions'!$Q$140*'Assumptions'!$D$11*(1+'Assumptions'!$D$13)^(5-1)</x:f>
        <x:v>2251.153131260725</x:v>
      </x:c>
      <x:c r="P630" s="10" t="n">
        <x:f>H630*'Assumptions'!$R$140*'Assumptions'!$D$11*(1+'Assumptions'!$D$13)^(5-1)</x:f>
        <x:v>937.9804713586354</x:v>
      </x:c>
      <x:c r="Q630" s="10" t="n">
        <x:f>J630*'Assumptions'!$S$140</x:f>
        <x:v>0</x:v>
      </x:c>
      <x:c r="R630" s="10" t="n">
        <x:f>H630*'Assumptions'!$Y$140*'Assumptions'!$Z$140*'Assumptions'!$D$11*(1+'Assumptions'!$D$13)^(5-1)</x:f>
        <x:v>281.3941414075906</x:v>
      </x:c>
      <x:c r="S630" s="10" t="n">
        <x:f>IF(I630=0,0,J630*'Assumptions'!$W$140+H630*'Assumptions'!$X$140)</x:f>
        <x:v>266.6038205838745</x:v>
      </x:c>
      <x:c r="T630" s="10" t="n">
        <x:f>N630*'Assumptions'!$AA$140</x:f>
        <x:v>700.0149351623676</x:v>
      </x:c>
      <x:c r="U630" s="10" t="n">
        <x:f>'Assumptions'!$AE$140*'Assumptions'!$D$11*(1+'Assumptions'!$D$13)^(5-1)</x:f>
        <x:v>0</x:v>
      </x:c>
      <x:c r="V630" s="10" t="n">
        <x:f>0</x:f>
        <x:v>0</x:v>
      </x:c>
      <x:c r="W630" s="10" t="n">
        <x:f>H630*('Assumptions'!$P$140+'Assumptions'!$Y$140)</x:f>
        <x:v>58.33684500000002</x:v>
      </x:c>
      <x:c r="X630" s="10" t="n">
        <x:f>N630/12*'Assumptions'!$AF$140</x:f>
        <x:v>729.1822241274663</x:v>
      </x:c>
      <x:c r="Y630" s="10" t="n">
        <x:f>P630/12</x:f>
        <x:v>78.16503927988629</x:v>
      </x:c>
      <x:c r="Z630" s="10" t="n">
        <x:f>0</x:f>
        <x:v>0</x:v>
      </x:c>
      <x:c r="AA630" s="10" t="n">
        <x:f>Z630*'Assumptions'!$AC$140*'Assumptions'!$D$11*(1+'Assumptions'!$D$13)^(5-1)</x:f>
        <x:v>0</x:v>
      </x:c>
      <x:c r="AB630" s="10" t="n">
        <x:f>F630/1</x:f>
        <x:v>11.419980000000004</x:v>
      </x:c>
      <x:c r="AC630" s="10" t="n">
        <x:f>AB630/'Assumptions'!$AM$140</x:f>
        <x:v>114.19980000000004</x:v>
      </x:c>
      <x:c r="AD630" s="10" t="n">
        <x:f>IF(AB630=0,0,T630/AB630)</x:f>
        <x:v>61.297387137487746</x:v>
      </x:c>
      <x:c r="AE630" s="10" t="n">
        <x:f>AA630*'Assumptions'!$D$21</x:f>
        <x:v>0</x:v>
      </x:c>
    </x:row>
    <x:row r="631" ht="16" customHeight="1">
      <x:c r="A631" s="1"/>
      <x:c r="B631" s="1"/>
      <x:c r="C631" s="1" t="str">
        <x:v>DOT-112</x:v>
      </x:c>
      <x:c r="D631" s="10" t="str">
        <x:v>Learn Anglais</x:v>
      </x:c>
      <x:c r="E631" s="10" t="n">
        <x:v>5</x:v>
      </x:c>
      <x:c r="F631" s="21" t="n">
        <x:f>F503*(1+'Assumptions'!$L$141)</x:f>
        <x:v>373.248</x:v>
      </x:c>
      <x:c r="G631" s="21" t="n">
        <x:f>H503*'Assumptions'!$K$141</x:f>
        <x:v>526.869</x:v>
      </x:c>
      <x:c r="H631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631+G631,NA())</x:f>
        <x:v>900.117</x:v>
      </x:c>
      <x:c r="I631" s="22" t="n">
        <x:f>'Assumptions'!$H$141*IF('Assumptions'!$O$141=1,1,'Assumptions'!$D$10)*(1+'Assumptions'!$N$141)^(5-1)</x:f>
        <x:v>48.7094472</x:v>
      </x:c>
      <x:c r="J631" s="10" t="n">
        <x:f>H631*I631</x:f>
        <x:v>43844.201485322395</x:v>
      </x:c>
      <x:c r="K631" s="10" t="n">
        <x:f>J631*'Assumptions'!$T$141</x:f>
        <x:v>14614.733828440798</x:v>
      </x:c>
      <x:c r="L631" s="10" t="n">
        <x:f>K631*'Assumptions'!$U$141</x:f>
        <x:v>438.4420148532239</x:v>
      </x:c>
      <x:c r="M631" s="10" t="n">
        <x:f>K631*'Assumptions'!$V$141</x:f>
        <x:v>0</x:v>
      </x:c>
      <x:c r="N631" s="10" t="n">
        <x:f>K631-L631-M631</x:f>
        <x:v>14176.291813587573</x:v>
      </x:c>
      <x:c r="O631" s="10" t="n">
        <x:f>H631*'Assumptions'!$P$141*'Assumptions'!$Q$141*'Assumptions'!$D$11*(1+'Assumptions'!$D$13)^(5-1)</x:f>
        <x:v>3545.8136473576956</x:v>
      </x:c>
      <x:c r="P631" s="10" t="n">
        <x:f>H631*'Assumptions'!$R$141*'Assumptions'!$D$11*(1+'Assumptions'!$D$13)^(5-1)</x:f>
        <x:v>0</x:v>
      </x:c>
      <x:c r="Q631" s="10" t="n">
        <x:f>J631*'Assumptions'!$S$141</x:f>
        <x:v>0</x:v>
      </x:c>
      <x:c r="R631" s="10" t="n">
        <x:f>H631*'Assumptions'!$Y$141*'Assumptions'!$Z$141*'Assumptions'!$D$11*(1+'Assumptions'!$D$13)^(5-1)</x:f>
        <x:v>4558.903260888465</x:v>
      </x:c>
      <x:c r="S631" s="10" t="n">
        <x:f>IF(I631=0,0,J631*'Assumptions'!$W$141+H631*'Assumptions'!$X$141)</x:f>
        <x:v>1541.5169430743497</x:v>
      </x:c>
      <x:c r="T631" s="10" t="n">
        <x:f>N631*'Assumptions'!$AA$141</x:f>
        <x:v>708.8145906793787</x:v>
      </x:c>
      <x:c r="U631" s="10" t="n">
        <x:f>'Assumptions'!$AE$141*'Assumptions'!$D$11*(1+'Assumptions'!$D$13)^(5-1)</x:f>
        <x:v>0</x:v>
      </x:c>
      <x:c r="V631" s="10" t="n">
        <x:f>0</x:f>
        <x:v>0</x:v>
      </x:c>
      <x:c r="W631" s="10" t="n">
        <x:f>H631*('Assumptions'!$P$141+'Assumptions'!$Y$141)</x:f>
        <x:v>225.02925</x:v>
      </x:c>
      <x:c r="X631" s="10" t="n">
        <x:f>N631/12*'Assumptions'!$AF$141</x:f>
        <x:v>0</x:v>
      </x:c>
      <x:c r="Y631" s="10" t="n">
        <x:f>P631/12</x:f>
        <x:v>0</x:v>
      </x:c>
      <x:c r="Z631" s="10" t="n">
        <x:f>0</x:f>
        <x:v>0</x:v>
      </x:c>
      <x:c r="AA631" s="10" t="n">
        <x:f>Z631*'Assumptions'!$AC$141*'Assumptions'!$D$11*(1+'Assumptions'!$D$13)^(5-1)</x:f>
        <x:v>0</x:v>
      </x:c>
      <x:c r="AB631" s="10" t="n">
        <x:f>F631/1</x:f>
        <x:v>373.248</x:v>
      </x:c>
      <x:c r="AC631" s="10" t="n">
        <x:f>AB631/'Assumptions'!$AM$141</x:f>
        <x:v>7464.959999999999</x:v>
      </x:c>
      <x:c r="AD631" s="10" t="n">
        <x:f>IF(AB631=0,0,T631/AB631)</x:f>
        <x:v>1.8990445780804686</x:v>
      </x:c>
      <x:c r="AE631" s="10" t="n">
        <x:f>AA631*'Assumptions'!$D$21</x:f>
        <x:v>0</x:v>
      </x:c>
    </x:row>
    <x:row r="632" ht="16" customHeight="1">
      <x:c r="A632" s="1"/>
      <x:c r="B632" s="1"/>
      <x:c r="C632" s="1" t="str">
        <x:v>DOT-113</x:v>
      </x:c>
      <x:c r="D632" s="10" t="str">
        <x:v>Learn Anglais</x:v>
      </x:c>
      <x:c r="E632" s="10" t="n">
        <x:v>5</x:v>
      </x:c>
      <x:c r="F632" s="21" t="n">
        <x:f>F504*(1+'Assumptions'!$L$142)</x:f>
        <x:v>223.94879999999998</x:v>
      </x:c>
      <x:c r="G632" s="21" t="n">
        <x:f>H504*'Assumptions'!$K$142</x:f>
        <x:v>316.12139999999994</x:v>
      </x:c>
      <x:c r="H632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632+G632,NA())</x:f>
        <x:v>540.0701999999999</x:v>
      </x:c>
      <x:c r="I632" s="22" t="n">
        <x:f>'Assumptions'!$H$142*IF('Assumptions'!$O$142=1,1,'Assumptions'!$D$10)*(1+'Assumptions'!$N$142)^(5-1)</x:f>
        <x:v>92.0067336</x:v>
      </x:c>
      <x:c r="J632" s="10" t="n">
        <x:f>H632*I632</x:f>
        <x:v>49690.09501669871</x:v>
      </x:c>
      <x:c r="K632" s="10" t="n">
        <x:f>J632*'Assumptions'!$T$142</x:f>
        <x:v>14907.028505009612</x:v>
      </x:c>
      <x:c r="L632" s="10" t="n">
        <x:f>K632*'Assumptions'!$U$142</x:f>
        <x:v>447.21085515028835</x:v>
      </x:c>
      <x:c r="M632" s="10" t="n">
        <x:f>K632*'Assumptions'!$V$142</x:f>
        <x:v>0</x:v>
      </x:c>
      <x:c r="N632" s="10" t="n">
        <x:f>K632-L632-M632</x:f>
        <x:v>14459.817649859324</x:v>
      </x:c>
      <x:c r="O632" s="10" t="n">
        <x:f>H632*'Assumptions'!$P$142*'Assumptions'!$Q$142*'Assumptions'!$D$11*(1+'Assumptions'!$D$13)^(5-1)</x:f>
        <x:v>2127.488188414617</x:v>
      </x:c>
      <x:c r="P632" s="10" t="n">
        <x:f>H632*'Assumptions'!$R$142*'Assumptions'!$D$11*(1+'Assumptions'!$D$13)^(5-1)</x:f>
        <x:v>0</x:v>
      </x:c>
      <x:c r="Q632" s="10" t="n">
        <x:f>J632*'Assumptions'!$S$142</x:f>
        <x:v>0</x:v>
      </x:c>
      <x:c r="R632" s="10" t="n">
        <x:f>H632*'Assumptions'!$Y$142*'Assumptions'!$Z$142*'Assumptions'!$D$11*(1+'Assumptions'!$D$13)^(5-1)</x:f>
        <x:v>2735.3419565330782</x:v>
      </x:c>
      <x:c r="S632" s="10" t="n">
        <x:f>IF(I632=0,0,J632*'Assumptions'!$W$142+H632*'Assumptions'!$X$142)</x:f>
        <x:v>1603.0338154842627</x:v>
      </x:c>
      <x:c r="T632" s="10" t="n">
        <x:f>N632*'Assumptions'!$AA$142</x:f>
        <x:v>722.9908824929662</x:v>
      </x:c>
      <x:c r="U632" s="10" t="n">
        <x:f>'Assumptions'!$AE$142*'Assumptions'!$D$11*(1+'Assumptions'!$D$13)^(5-1)</x:f>
        <x:v>0</x:v>
      </x:c>
      <x:c r="V632" s="10" t="n">
        <x:f>0</x:f>
        <x:v>0</x:v>
      </x:c>
      <x:c r="W632" s="10" t="n">
        <x:f>H632*('Assumptions'!$P$142+'Assumptions'!$Y$142)</x:f>
        <x:v>135.01754999999997</x:v>
      </x:c>
      <x:c r="X632" s="10" t="n">
        <x:f>N632/12*'Assumptions'!$AF$142</x:f>
        <x:v>0</x:v>
      </x:c>
      <x:c r="Y632" s="10" t="n">
        <x:f>P632/12</x:f>
        <x:v>0</x:v>
      </x:c>
      <x:c r="Z632" s="10" t="n">
        <x:f>0</x:f>
        <x:v>0</x:v>
      </x:c>
      <x:c r="AA632" s="10" t="n">
        <x:f>Z632*'Assumptions'!$AC$142*'Assumptions'!$D$11*(1+'Assumptions'!$D$13)^(5-1)</x:f>
        <x:v>0</x:v>
      </x:c>
      <x:c r="AB632" s="10" t="n">
        <x:f>F632/1</x:f>
        <x:v>223.94879999999998</x:v>
      </x:c>
      <x:c r="AC632" s="10" t="n">
        <x:f>AB632/'Assumptions'!$AM$142</x:f>
        <x:v>4478.976</x:v>
      </x:c>
      <x:c r="AD632" s="10" t="n">
        <x:f>IF(AB632=0,0,T632/AB632)</x:f>
        <x:v>3.2283757827367965</x:v>
      </x:c>
      <x:c r="AE632" s="10" t="n">
        <x:f>AA632*'Assumptions'!$D$21</x:f>
        <x:v>0</x:v>
      </x:c>
    </x:row>
    <x:row r="633" ht="16" customHeight="1">
      <x:c r="A633" s="1"/>
      <x:c r="B633" s="1"/>
      <x:c r="C633" s="1" t="str">
        <x:v>DOT-114</x:v>
      </x:c>
      <x:c r="D633" s="10" t="str">
        <x:v>Learn Anglais</x:v>
      </x:c>
      <x:c r="E633" s="10" t="n">
        <x:v>5</x:v>
      </x:c>
      <x:c r="F633" s="21" t="n">
        <x:f>F505*(1+'Assumptions'!$L$143)</x:f>
        <x:v>314.8211249999999</x:v>
      </x:c>
      <x:c r="G633" s="21" t="n">
        <x:f>H505*'Assumptions'!$K$143</x:f>
        <x:v>87.25499999999998</x:v>
      </x:c>
      <x:c r="H633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633+G633,NA())</x:f>
        <x:v>402.0761249999999</x:v>
      </x:c>
      <x:c r="I633" s="22" t="n">
        <x:f>'Assumptions'!$H$143*IF('Assumptions'!$O$143=1,1,'Assumptions'!$D$10)*(1+'Assumptions'!$N$143)^(5-1)</x:f>
        <x:v>31.39053264</x:v>
      </x:c>
      <x:c r="J633" s="10" t="n">
        <x:f>H633*I633</x:f>
        <x:v>12621.383725577216</x:v>
      </x:c>
      <x:c r="K633" s="10" t="n">
        <x:f>J633*'Assumptions'!$T$143</x:f>
        <x:v>12621.383725577216</x:v>
      </x:c>
      <x:c r="L633" s="10" t="n">
        <x:f>K633*'Assumptions'!$U$143</x:f>
        <x:v>378.64151176731644</x:v>
      </x:c>
      <x:c r="M633" s="10" t="n">
        <x:f>K633*'Assumptions'!$V$143</x:f>
        <x:v>0</x:v>
      </x:c>
      <x:c r="N633" s="10" t="n">
        <x:f>K633-L633-M633</x:f>
        <x:v>12242.7422138099</x:v>
      </x:c>
      <x:c r="O633" s="10" t="n">
        <x:f>H633*'Assumptions'!$P$143*'Assumptions'!$Q$143*'Assumptions'!$D$11*(1+'Assumptions'!$D$13)^(5-1)</x:f>
        <x:v>2375.836160135346</x:v>
      </x:c>
      <x:c r="P633" s="10" t="n">
        <x:f>H633*'Assumptions'!$R$143*'Assumptions'!$D$11*(1+'Assumptions'!$D$13)^(5-1)</x:f>
        <x:v>0</x:v>
      </x:c>
      <x:c r="Q633" s="10" t="n">
        <x:f>J633*'Assumptions'!$S$143</x:f>
        <x:v>0</x:v>
      </x:c>
      <x:c r="R633" s="10" t="n">
        <x:f>H633*'Assumptions'!$Y$143*'Assumptions'!$Z$143*'Assumptions'!$D$11*(1+'Assumptions'!$D$13)^(5-1)</x:f>
        <x:v>1357.6206629344836</x:v>
      </x:c>
      <x:c r="S633" s="10" t="n">
        <x:f>IF(I633=0,0,J633*'Assumptions'!$W$143+H633*'Assumptions'!$X$143)</x:f>
        <x:v>486.6429655417392</x:v>
      </x:c>
      <x:c r="T633" s="10" t="n">
        <x:f>N633*'Assumptions'!$AA$143</x:f>
        <x:v>612.137110690495</x:v>
      </x:c>
      <x:c r="U633" s="10" t="n">
        <x:f>'Assumptions'!$AE$143*'Assumptions'!$D$11*(1+'Assumptions'!$D$13)^(5-1)</x:f>
        <x:v>0</x:v>
      </x:c>
      <x:c r="V633" s="10" t="n">
        <x:f>0</x:f>
        <x:v>0</x:v>
      </x:c>
      <x:c r="W633" s="10" t="n">
        <x:f>H633*('Assumptions'!$P$143+'Assumptions'!$Y$143)</x:f>
        <x:v>100.51903124999997</x:v>
      </x:c>
      <x:c r="X633" s="10" t="n">
        <x:f>N633/12*'Assumptions'!$AF$143</x:f>
        <x:v>0</x:v>
      </x:c>
      <x:c r="Y633" s="10" t="n">
        <x:f>P633/12</x:f>
        <x:v>0</x:v>
      </x:c>
      <x:c r="Z633" s="10" t="n">
        <x:f>0</x:f>
        <x:v>0</x:v>
      </x:c>
      <x:c r="AA633" s="10" t="n">
        <x:f>Z633*'Assumptions'!$AC$143*'Assumptions'!$D$11*(1+'Assumptions'!$D$13)^(5-1)</x:f>
        <x:v>0</x:v>
      </x:c>
      <x:c r="AB633" s="10" t="n">
        <x:f>F633/1</x:f>
        <x:v>314.8211249999999</x:v>
      </x:c>
      <x:c r="AC633" s="10" t="n">
        <x:f>AB633/'Assumptions'!$AM$143</x:f>
        <x:v>6296.422499999997</x:v>
      </x:c>
      <x:c r="AD633" s="10" t="n">
        <x:f>IF(AB633=0,0,T633/AB633)</x:f>
        <x:v>1.9443965543624024</x:v>
      </x:c>
      <x:c r="AE633" s="10" t="n">
        <x:f>AA633*'Assumptions'!$D$21</x:f>
        <x:v>0</x:v>
      </x:c>
    </x:row>
    <x:row r="634" ht="16" customHeight="1">
      <x:c r="A634" s="1"/>
      <x:c r="B634" s="1"/>
      <x:c r="C634" s="1" t="str">
        <x:v>DOT-115</x:v>
      </x:c>
      <x:c r="D634" s="10" t="str">
        <x:v>Learn Anglais</x:v>
      </x:c>
      <x:c r="E634" s="10" t="n">
        <x:v>5</x:v>
      </x:c>
      <x:c r="F634" s="21" t="n">
        <x:f>F506*(1+'Assumptions'!$L$144)</x:f>
        <x:v>149.2992</x:v>
      </x:c>
      <x:c r="G634" s="21" t="n">
        <x:f>H506*'Assumptions'!$K$144</x:f>
        <x:v>196.34160000000003</x:v>
      </x:c>
      <x:c r="H634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634+G634,NA())</x:f>
        <x:v>345.6408</x:v>
      </x:c>
      <x:c r="I634" s="22" t="n">
        <x:f>'Assumptions'!$H$144*IF('Assumptions'!$O$144=1,1,'Assumptions'!$D$10)*(1+'Assumptions'!$N$144)^(5-1)</x:f>
        <x:v>48.7094472</x:v>
      </x:c>
      <x:c r="J634" s="10" t="n">
        <x:f>H634*I634</x:f>
        <x:v>16835.972297765762</x:v>
      </x:c>
      <x:c r="K634" s="10" t="n">
        <x:f>J634*'Assumptions'!$T$144</x:f>
        <x:v>5611.990765921921</x:v>
      </x:c>
      <x:c r="L634" s="10" t="n">
        <x:f>K634*'Assumptions'!$U$144</x:f>
        <x:v>168.3597229776576</x:v>
      </x:c>
      <x:c r="M634" s="10" t="n">
        <x:f>K634*'Assumptions'!$V$144</x:f>
        <x:v>0</x:v>
      </x:c>
      <x:c r="N634" s="10" t="n">
        <x:f>K634-L634-M634</x:f>
        <x:v>5443.631042944263</x:v>
      </x:c>
      <x:c r="O634" s="10" t="n">
        <x:f>H634*'Assumptions'!$P$144*'Assumptions'!$Q$144*'Assumptions'!$D$11*(1+'Assumptions'!$D$13)^(5-1)</x:f>
        <x:v>2042.3642688511022</x:v>
      </x:c>
      <x:c r="P634" s="10" t="n">
        <x:f>H634*'Assumptions'!$R$144*'Assumptions'!$D$11*(1+'Assumptions'!$D$13)^(5-1)</x:f>
        <x:v>0</x:v>
      </x:c>
      <x:c r="Q634" s="10" t="n">
        <x:f>J634*'Assumptions'!$S$144</x:f>
        <x:v>0</x:v>
      </x:c>
      <x:c r="R634" s="10" t="n">
        <x:f>H634*'Assumptions'!$Y$144*'Assumptions'!$Z$144*'Assumptions'!$D$11*(1+'Assumptions'!$D$13)^(5-1)</x:f>
        <x:v>1750.597944729516</x:v>
      </x:c>
      <x:c r="S634" s="10" t="n">
        <x:f>IF(I634=0,0,J634*'Assumptions'!$W$144+H634*'Assumptions'!$X$144)</x:f>
        <x:v>591.9354366352071</x:v>
      </x:c>
      <x:c r="T634" s="10" t="n">
        <x:f>N634*'Assumptions'!$AA$144</x:f>
        <x:v>272.18155214721315</x:v>
      </x:c>
      <x:c r="U634" s="10" t="n">
        <x:f>'Assumptions'!$AE$144*'Assumptions'!$D$11*(1+'Assumptions'!$D$13)^(5-1)</x:f>
        <x:v>0</x:v>
      </x:c>
      <x:c r="V634" s="10" t="n">
        <x:f>0</x:f>
        <x:v>0</x:v>
      </x:c>
      <x:c r="W634" s="10" t="n">
        <x:f>H634*('Assumptions'!$P$144+'Assumptions'!$Y$144)</x:f>
        <x:v>103.69224</x:v>
      </x:c>
      <x:c r="X634" s="10" t="n">
        <x:f>N634/12*'Assumptions'!$AF$144</x:f>
        <x:v>0</x:v>
      </x:c>
      <x:c r="Y634" s="10" t="n">
        <x:f>P634/12</x:f>
        <x:v>0</x:v>
      </x:c>
      <x:c r="Z634" s="10" t="n">
        <x:f>0</x:f>
        <x:v>0</x:v>
      </x:c>
      <x:c r="AA634" s="10" t="n">
        <x:f>Z634*'Assumptions'!$AC$144*'Assumptions'!$D$11*(1+'Assumptions'!$D$13)^(5-1)</x:f>
        <x:v>0</x:v>
      </x:c>
      <x:c r="AB634" s="10" t="n">
        <x:f>F634/1</x:f>
        <x:v>149.2992</x:v>
      </x:c>
      <x:c r="AC634" s="10" t="n">
        <x:f>AB634/'Assumptions'!$AM$144</x:f>
        <x:v>2985.984</x:v>
      </x:c>
      <x:c r="AD634" s="10" t="n">
        <x:f>IF(AB634=0,0,T634/AB634)</x:f>
        <x:v>1.8230610220765626</x:v>
      </x:c>
      <x:c r="AE634" s="10" t="n">
        <x:f>AA634*'Assumptions'!$D$21</x:f>
        <x:v>0</x:v>
      </x:c>
    </x:row>
    <x:row r="635" ht="16" customHeight="1">
      <x:c r="A635" s="1"/>
      <x:c r="B635" s="1"/>
      <x:c r="C635" s="1" t="str">
        <x:v>DOT-116</x:v>
      </x:c>
      <x:c r="D635" s="10" t="str">
        <x:v>Fiefé</x:v>
      </x:c>
      <x:c r="E635" s="10" t="n">
        <x:v>5</x:v>
      </x:c>
      <x:c r="F635" s="21" t="n">
        <x:f>F507*(1+'Assumptions'!$L$145)</x:f>
        <x:v>52.87025049600001</x:v>
      </x:c>
      <x:c r="G635" s="21" t="n">
        <x:f>H507*'Assumptions'!$K$145</x:f>
        <x:v>19.165443840000002</x:v>
      </x:c>
      <x:c r="H635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635+G635,NA())</x:f>
        <x:v>72.035694336</x:v>
      </x:c>
      <x:c r="I635" s="22" t="n">
        <x:f>'Assumptions'!$H$145*IF('Assumptions'!$O$145=1,1,'Assumptions'!$D$10)*(1+'Assumptions'!$N$145)^(5-1)</x:f>
        <x:v>487.094472</x:v>
      </x:c>
      <x:c r="J635" s="10" t="n">
        <x:f>H635*I635</x:f>
        <x:v>35088.18849774732</x:v>
      </x:c>
      <x:c r="K635" s="10" t="n">
        <x:f>J635*'Assumptions'!$T$145</x:f>
        <x:v>35088.18849774732</x:v>
      </x:c>
      <x:c r="L635" s="10" t="n">
        <x:f>K635*'Assumptions'!$U$145</x:f>
        <x:v>1052.6456549324193</x:v>
      </x:c>
      <x:c r="M635" s="10" t="n">
        <x:f>K635*'Assumptions'!$V$145</x:f>
        <x:v>701.7637699549464</x:v>
      </x:c>
      <x:c r="N635" s="10" t="n">
        <x:f>K635-L635-M635</x:f>
        <x:v>33333.77907285995</x:v>
      </x:c>
      <x:c r="O635" s="10" t="n">
        <x:f>H635*'Assumptions'!$P$145*'Assumptions'!$Q$145*'Assumptions'!$D$11*(1+'Assumptions'!$D$13)^(5-1)</x:f>
        <x:v>2026.920215240878</x:v>
      </x:c>
      <x:c r="P635" s="10" t="n">
        <x:f>H635*'Assumptions'!$R$145*'Assumptions'!$D$11*(1+'Assumptions'!$D$13)^(5-1)</x:f>
        <x:v>20269.202152408776</x:v>
      </x:c>
      <x:c r="Q635" s="10" t="n">
        <x:f>J635*'Assumptions'!$S$145</x:f>
        <x:v>0</x:v>
      </x:c>
      <x:c r="R635" s="10" t="n">
        <x:f>H635*'Assumptions'!$Y$145*'Assumptions'!$Z$145*'Assumptions'!$D$11*(1+'Assumptions'!$D$13)^(5-1)</x:f>
        <x:v>364.84563874335805</x:v>
      </x:c>
      <x:c r="S635" s="10" t="n">
        <x:f>IF(I635=0,0,J635*'Assumptions'!$W$145+H635*'Assumptions'!$X$145)</x:f>
        <x:v>1039.1681747354723</x:v>
      </x:c>
      <x:c r="T635" s="10" t="n">
        <x:f>N635*'Assumptions'!$AA$145</x:f>
        <x:v>2666.702325828796</x:v>
      </x:c>
      <x:c r="U635" s="10" t="n">
        <x:f>'Assumptions'!$AE$145*'Assumptions'!$D$11*(1+'Assumptions'!$D$13)^(5-1)</x:f>
        <x:v>0</x:v>
      </x:c>
      <x:c r="V635" s="10" t="n">
        <x:f>0</x:f>
        <x:v>0</x:v>
      </x:c>
      <x:c r="W635" s="10" t="n">
        <x:f>H635*('Assumptions'!$P$145+'Assumptions'!$Y$145)</x:f>
        <x:v>46.8232013184</x:v>
      </x:c>
      <x:c r="X635" s="10" t="n">
        <x:f>N635/12*'Assumptions'!$AF$145</x:f>
        <x:v>0</x:v>
      </x:c>
      <x:c r="Y635" s="10" t="n">
        <x:f>P635/12</x:f>
        <x:v>1689.100179367398</x:v>
      </x:c>
      <x:c r="Z635" s="10" t="n">
        <x:f>0</x:f>
        <x:v>0</x:v>
      </x:c>
      <x:c r="AA635" s="10" t="n">
        <x:f>Z635*'Assumptions'!$AC$145*'Assumptions'!$D$11*(1+'Assumptions'!$D$13)^(5-1)</x:f>
        <x:v>0</x:v>
      </x:c>
      <x:c r="AB635" s="10" t="n">
        <x:f>F635/1</x:f>
        <x:v>52.87025049600001</x:v>
      </x:c>
      <x:c r="AC635" s="10" t="n">
        <x:f>AB635/'Assumptions'!$AM$145</x:f>
        <x:v>1762.3416832000005</x:v>
      </x:c>
      <x:c r="AD635" s="10" t="n">
        <x:f>IF(AB635=0,0,T635/AB635)</x:f>
        <x:v>50.43861719608364</x:v>
      </x:c>
      <x:c r="AE635" s="10" t="n">
        <x:f>AA635*'Assumptions'!$D$21</x:f>
        <x:v>0</x:v>
      </x:c>
    </x:row>
    <x:row r="636" ht="16" customHeight="1">
      <x:c r="A636" s="1"/>
      <x:c r="B636" s="1"/>
      <x:c r="C636" s="1" t="str">
        <x:v>DOT-117</x:v>
      </x:c>
      <x:c r="D636" s="10" t="str">
        <x:v>Fiefé</x:v>
      </x:c>
      <x:c r="E636" s="10" t="n">
        <x:v>5</x:v>
      </x:c>
      <x:c r="F636" s="21" t="n">
        <x:f>F508*(1+'Assumptions'!$L$146)</x:f>
        <x:v>66.08781312000002</x:v>
      </x:c>
      <x:c r="G636" s="21" t="n">
        <x:f>H508*'Assumptions'!$K$146</x:f>
        <x:v>23.956804800000004</x:v>
      </x:c>
      <x:c r="H636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636+G636,NA())</x:f>
        <x:v>90.04461792000002</x:v>
      </x:c>
      <x:c r="I636" s="22" t="n">
        <x:f>'Assumptions'!$H$146*IF('Assumptions'!$O$146=1,1,'Assumptions'!$D$10)*(1+'Assumptions'!$N$146)^(5-1)</x:f>
        <x:v>189.425628</x:v>
      </x:c>
      <x:c r="J636" s="10" t="n">
        <x:f>H636*I636</x:f>
        <x:v>17056.75829751606</x:v>
      </x:c>
      <x:c r="K636" s="10" t="n">
        <x:f>J636*'Assumptions'!$T$146</x:f>
        <x:v>17056.75829751606</x:v>
      </x:c>
      <x:c r="L636" s="10" t="n">
        <x:f>K636*'Assumptions'!$U$146</x:f>
        <x:v>511.7027489254817</x:v>
      </x:c>
      <x:c r="M636" s="10" t="n">
        <x:f>K636*'Assumptions'!$V$146</x:f>
        <x:v>341.13516595032115</x:v>
      </x:c>
      <x:c r="N636" s="10" t="n">
        <x:f>K636-L636-M636</x:f>
        <x:v>16203.920382640254</x:v>
      </x:c>
      <x:c r="O636" s="10" t="n">
        <x:f>H636*'Assumptions'!$P$146*'Assumptions'!$Q$146*'Assumptions'!$D$11*(1+'Assumptions'!$D$13)^(5-1)</x:f>
        <x:v>1140.142621072994</x:v>
      </x:c>
      <x:c r="P636" s="10" t="n">
        <x:f>H636*'Assumptions'!$R$146*'Assumptions'!$D$11*(1+'Assumptions'!$D$13)^(5-1)</x:f>
        <x:v>8107.680860963513</x:v>
      </x:c>
      <x:c r="Q636" s="10" t="n">
        <x:f>J636*'Assumptions'!$S$146</x:f>
        <x:v>0</x:v>
      </x:c>
      <x:c r="R636" s="10" t="n">
        <x:f>H636*'Assumptions'!$Y$146*'Assumptions'!$Z$146*'Assumptions'!$D$11*(1+'Assumptions'!$D$13)^(5-1)</x:f>
        <x:v>456.05704842919755</x:v>
      </x:c>
      <x:c r="S636" s="10" t="n">
        <x:f>IF(I636=0,0,J636*'Assumptions'!$W$146+H636*'Assumptions'!$X$146)</x:f>
        <x:v>521.6593760039657</x:v>
      </x:c>
      <x:c r="T636" s="10" t="n">
        <x:f>N636*'Assumptions'!$AA$146</x:f>
        <x:v>1296.3136306112203</x:v>
      </x:c>
      <x:c r="U636" s="10" t="n">
        <x:f>'Assumptions'!$AE$146*'Assumptions'!$D$11*(1+'Assumptions'!$D$13)^(5-1)</x:f>
        <x:v>0</x:v>
      </x:c>
      <x:c r="V636" s="10" t="n">
        <x:f>0</x:f>
        <x:v>0</x:v>
      </x:c>
      <x:c r="W636" s="10" t="n">
        <x:f>H636*('Assumptions'!$P$146+'Assumptions'!$Y$146)</x:f>
        <x:v>36.01784716800001</x:v>
      </x:c>
      <x:c r="X636" s="10" t="n">
        <x:f>N636/12*'Assumptions'!$AF$146</x:f>
        <x:v>0</x:v>
      </x:c>
      <x:c r="Y636" s="10" t="n">
        <x:f>P636/12</x:f>
        <x:v>675.6400717469594</x:v>
      </x:c>
      <x:c r="Z636" s="10" t="n">
        <x:f>0</x:f>
        <x:v>0</x:v>
      </x:c>
      <x:c r="AA636" s="10" t="n">
        <x:f>Z636*'Assumptions'!$AC$146*'Assumptions'!$D$11*(1+'Assumptions'!$D$13)^(5-1)</x:f>
        <x:v>0</x:v>
      </x:c>
      <x:c r="AB636" s="10" t="n">
        <x:f>F636/1</x:f>
        <x:v>66.08781312000002</x:v>
      </x:c>
      <x:c r="AC636" s="10" t="n">
        <x:f>AB636/'Assumptions'!$AM$146</x:f>
        <x:v>2202.927104000001</x:v>
      </x:c>
      <x:c r="AD636" s="10" t="n">
        <x:f>IF(AB636=0,0,T636/AB636)</x:f>
        <x:v>19.61501779847697</x:v>
      </x:c>
      <x:c r="AE636" s="10" t="n">
        <x:f>AA636*'Assumptions'!$D$21</x:f>
        <x:v>0</x:v>
      </x:c>
    </x:row>
    <x:row r="637" ht="16" customHeight="1">
      <x:c r="A637" s="1"/>
      <x:c r="B637" s="1"/>
      <x:c r="C637" s="1" t="str">
        <x:v>DOT-118</x:v>
      </x:c>
      <x:c r="D637" s="10" t="str">
        <x:v>Fiefé Design</x:v>
      </x:c>
      <x:c r="E637" s="10" t="n">
        <x:v>5</x:v>
      </x:c>
      <x:c r="F637" s="21" t="n">
        <x:f>F509*(1+'Assumptions'!$L$147)</x:f>
        <x:v>8.811708416000002</x:v>
      </x:c>
      <x:c r="G637" s="21" t="n">
        <x:f>H509*'Assumptions'!$K$147</x:f>
        <x:v>3.19424064</x:v>
      </x:c>
      <x:c r="H637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637+G637,NA())</x:f>
        <x:v>12.005949056000002</x:v>
      </x:c>
      <x:c r="I637" s="22" t="n">
        <x:f>'Assumptions'!$H$147*IF('Assumptions'!$O$147=1,1,'Assumptions'!$D$10)*(1+'Assumptions'!$N$147)^(5-1)</x:f>
        <x:v>2706.0804</x:v>
      </x:c>
      <x:c r="J637" s="10" t="n">
        <x:f>H637*I637</x:f>
        <x:v>32489.063423840107</x:v>
      </x:c>
      <x:c r="K637" s="10" t="n">
        <x:f>J637*'Assumptions'!$T$147</x:f>
        <x:v>32489.063423840107</x:v>
      </x:c>
      <x:c r="L637" s="10" t="n">
        <x:f>K637*'Assumptions'!$U$147</x:f>
        <x:v>974.6719027152031</x:v>
      </x:c>
      <x:c r="M637" s="10" t="n">
        <x:f>K637*'Assumptions'!$V$147</x:f>
        <x:v>649.7812684768022</x:v>
      </x:c>
      <x:c r="N637" s="10" t="n">
        <x:f>K637-L637-M637</x:f>
        <x:v>30864.6102526481</x:v>
      </x:c>
      <x:c r="O637" s="10" t="n">
        <x:f>H637*'Assumptions'!$P$147*'Assumptions'!$Q$147*'Assumptions'!$D$11*(1+'Assumptions'!$D$13)^(5-1)</x:f>
        <x:v>6486.144688770811</x:v>
      </x:c>
      <x:c r="P637" s="10" t="n">
        <x:f>H637*'Assumptions'!$R$147*'Assumptions'!$D$11*(1+'Assumptions'!$D$13)^(5-1)</x:f>
        <x:v>12161.52129144527</x:v>
      </x:c>
      <x:c r="Q637" s="10" t="n">
        <x:f>J637*'Assumptions'!$S$147</x:f>
        <x:v>0</x:v>
      </x:c>
      <x:c r="R637" s="10" t="n">
        <x:f>H637*'Assumptions'!$Y$147*'Assumptions'!$Z$147*'Assumptions'!$D$11*(1+'Assumptions'!$D$13)^(5-1)</x:f>
        <x:v>60.80760645722635</x:v>
      </x:c>
      <x:c r="S637" s="10" t="n">
        <x:f>IF(I637=0,0,J637*'Assumptions'!$W$147+H637*'Assumptions'!$X$147)</x:f>
        <x:v>945.7846240081632</x:v>
      </x:c>
      <x:c r="T637" s="10" t="n">
        <x:f>N637*'Assumptions'!$AA$147</x:f>
        <x:v>2469.168820211848</x:v>
      </x:c>
      <x:c r="U637" s="10" t="n">
        <x:f>'Assumptions'!$AE$147*'Assumptions'!$D$11*(1+'Assumptions'!$D$13)^(5-1)</x:f>
        <x:v>0</x:v>
      </x:c>
      <x:c r="V637" s="10" t="n">
        <x:f>0</x:f>
        <x:v>0</x:v>
      </x:c>
      <x:c r="W637" s="10" t="n">
        <x:f>H637*('Assumptions'!$P$147+'Assumptions'!$Y$147)</x:f>
        <x:v>97.84848480640002</x:v>
      </x:c>
      <x:c r="X637" s="10" t="n">
        <x:f>N637/12*'Assumptions'!$AF$147</x:f>
        <x:v>0</x:v>
      </x:c>
      <x:c r="Y637" s="10" t="n">
        <x:f>P637/12</x:f>
        <x:v>1013.4601076204391</x:v>
      </x:c>
      <x:c r="Z637" s="10" t="n">
        <x:f>0</x:f>
        <x:v>0</x:v>
      </x:c>
      <x:c r="AA637" s="10" t="n">
        <x:f>Z637*'Assumptions'!$AC$147*'Assumptions'!$D$11*(1+'Assumptions'!$D$13)^(5-1)</x:f>
        <x:v>0</x:v>
      </x:c>
      <x:c r="AB637" s="10" t="n">
        <x:f>F637/1</x:f>
        <x:v>8.811708416000002</x:v>
      </x:c>
      <x:c r="AC637" s="10" t="n">
        <x:f>AB637/'Assumptions'!$AM$147</x:f>
        <x:v>293.72361386666677</x:v>
      </x:c>
      <x:c r="AD637" s="10" t="n">
        <x:f>IF(AB637=0,0,T637/AB637)</x:f>
        <x:v>280.21453997824244</x:v>
      </x:c>
      <x:c r="AE637" s="10" t="n">
        <x:f>AA637*'Assumptions'!$D$21</x:f>
        <x:v>0</x:v>
      </x:c>
    </x:row>
    <x:row r="638" ht="16" customHeight="1">
      <x:c r="A638" s="1"/>
      <x:c r="B638" s="1"/>
      <x:c r="C638" s="1" t="str">
        <x:v>DOT-119</x:v>
      </x:c>
      <x:c r="D638" s="10" t="str">
        <x:v>OsezArt</x:v>
      </x:c>
      <x:c r="E638" s="10" t="n">
        <x:v>5</x:v>
      </x:c>
      <x:c r="F638" s="21" t="n">
        <x:f>F510*(1+'Assumptions'!$L$148)</x:f>
        <x:v>7.46496</x:v>
      </x:c>
      <x:c r="G638" s="21" t="n">
        <x:f>H510*'Assumptions'!$K$148</x:f>
        <x:v>9.817079999999999</x:v>
      </x:c>
      <x:c r="H638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638+G638,NA())</x:f>
        <x:v>17.28204</x:v>
      </x:c>
      <x:c r="I638" s="22" t="n">
        <x:f>'Assumptions'!$H$148*IF('Assumptions'!$O$148=1,1,'Assumptions'!$D$10)*(1+'Assumptions'!$N$148)^(5-1)</x:f>
        <x:v>5412.1608</x:v>
      </x:c>
      <x:c r="J638" s="10" t="n">
        <x:f>H638*I638</x:f>
        <x:v>93533.17943203199</x:v>
      </x:c>
      <x:c r="K638" s="10" t="n">
        <x:f>J638*'Assumptions'!$T$148</x:f>
        <x:v>18706.6358864064</x:v>
      </x:c>
      <x:c r="L638" s="10" t="n">
        <x:f>K638*'Assumptions'!$U$148</x:f>
        <x:v>561.1990765921919</x:v>
      </x:c>
      <x:c r="M638" s="10" t="n">
        <x:f>K638*'Assumptions'!$V$148</x:f>
        <x:v>0</x:v>
      </x:c>
      <x:c r="N638" s="10" t="n">
        <x:f>K638-L638-M638</x:f>
        <x:v>18145.436809814208</x:v>
      </x:c>
      <x:c r="O638" s="10" t="n">
        <x:f>H638*'Assumptions'!$P$148*'Assumptions'!$Q$148*'Assumptions'!$D$11*(1+'Assumptions'!$D$13)^(5-1)</x:f>
        <x:v>4668.261185945376</x:v>
      </x:c>
      <x:c r="P638" s="10" t="n">
        <x:f>H638*'Assumptions'!$R$148*'Assumptions'!$D$11*(1+'Assumptions'!$D$13)^(5-1)</x:f>
        <x:v>0</x:v>
      </x:c>
      <x:c r="Q638" s="10" t="n">
        <x:f>J638*'Assumptions'!$S$148</x:f>
        <x:v>0</x:v>
      </x:c>
      <x:c r="R638" s="10" t="n">
        <x:f>H638*'Assumptions'!$Y$148*'Assumptions'!$Z$148*'Assumptions'!$D$11*(1+'Assumptions'!$D$13)^(5-1)</x:f>
        <x:v>87.5298972364758</x:v>
      </x:c>
      <x:c r="S638" s="10" t="n">
        <x:f>IF(I638=0,0,J638*'Assumptions'!$W$148+H638*'Assumptions'!$X$148)</x:f>
        <x:v>2717.646815528928</x:v>
      </x:c>
      <x:c r="T638" s="10" t="n">
        <x:f>N638*'Assumptions'!$AA$148</x:f>
        <x:v>907.2718404907105</x:v>
      </x:c>
      <x:c r="U638" s="10" t="n">
        <x:f>'Assumptions'!$AE$148*'Assumptions'!$D$11*(1+'Assumptions'!$D$13)^(5-1)</x:f>
        <x:v>0</x:v>
      </x:c>
      <x:c r="V638" s="10" t="n">
        <x:f>0</x:f>
        <x:v>0</x:v>
      </x:c>
      <x:c r="W638" s="10" t="n">
        <x:f>H638*('Assumptions'!$P$148+'Assumptions'!$Y$148)</x:f>
        <x:v>71.720466</x:v>
      </x:c>
      <x:c r="X638" s="10" t="n">
        <x:f>N638/12*'Assumptions'!$AF$148</x:f>
        <x:v>0</x:v>
      </x:c>
      <x:c r="Y638" s="10" t="n">
        <x:f>P638/12</x:f>
        <x:v>0</x:v>
      </x:c>
      <x:c r="Z638" s="10" t="n">
        <x:f>0</x:f>
        <x:v>0</x:v>
      </x:c>
      <x:c r="AA638" s="10" t="n">
        <x:f>Z638*'Assumptions'!$AC$148*'Assumptions'!$D$11*(1+'Assumptions'!$D$13)^(5-1)</x:f>
        <x:v>0</x:v>
      </x:c>
      <x:c r="AB638" s="10" t="n">
        <x:f>F638/1</x:f>
        <x:v>7.46496</x:v>
      </x:c>
      <x:c r="AC638" s="10" t="n">
        <x:f>AB638/'Assumptions'!$AM$148</x:f>
        <x:v>149.29919999999998</x:v>
      </x:c>
      <x:c r="AD638" s="10" t="n">
        <x:f>IF(AB638=0,0,T638/AB638)</x:f>
        <x:v>121.53740147177085</x:v>
      </x:c>
      <x:c r="AE638" s="10" t="n">
        <x:f>AA638*'Assumptions'!$D$21</x:f>
        <x:v>0</x:v>
      </x:c>
    </x:row>
    <x:row r="639" ht="16" customHeight="1">
      <x:c r="A639" s="1"/>
      <x:c r="B639" s="1"/>
      <x:c r="C639" s="1" t="str">
        <x:v>DOT-120</x:v>
      </x:c>
      <x:c r="D639" s="10" t="str">
        <x:v>OsezArt</x:v>
      </x:c>
      <x:c r="E639" s="10" t="n">
        <x:v>5</x:v>
      </x:c>
      <x:c r="F639" s="21" t="n">
        <x:f>F511*(1+'Assumptions'!$L$149)</x:f>
        <x:v>4.392300000000001</x:v>
      </x:c>
      <x:c r="G639" s="21" t="n">
        <x:f>H511*'Assumptions'!$K$149</x:f>
        <x:v>3.597750000000001</x:v>
      </x:c>
      <x:c r="H639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639+G639,NA())</x:f>
        <x:v>7.990050000000002</x:v>
      </x:c>
      <x:c r="I639" s="22" t="n">
        <x:f>'Assumptions'!$H$149*IF('Assumptions'!$O$149=1,1,'Assumptions'!$D$10)*(1+'Assumptions'!$N$149)^(5-1)</x:f>
        <x:v>5412.1608</x:v>
      </x:c>
      <x:c r="J639" s="10" t="n">
        <x:f>H639*I639</x:f>
        <x:v>43243.435400040005</x:v>
      </x:c>
      <x:c r="K639" s="10" t="n">
        <x:f>J639*'Assumptions'!$T$149</x:f>
        <x:v>43243.435400040005</x:v>
      </x:c>
      <x:c r="L639" s="10" t="n">
        <x:f>K639*'Assumptions'!$U$149</x:f>
        <x:v>1297.3030620012</x:v>
      </x:c>
      <x:c r="M639" s="10" t="n">
        <x:f>K639*'Assumptions'!$V$149</x:f>
        <x:v>0</x:v>
      </x:c>
      <x:c r="N639" s="10" t="n">
        <x:f>K639-L639-M639</x:f>
        <x:v>41946.132338038806</x:v>
      </x:c>
      <x:c r="O639" s="10" t="n">
        <x:f>H639*'Assumptions'!$P$149*'Assumptions'!$Q$149*'Assumptions'!$D$11*(1+'Assumptions'!$D$13)^(5-1)</x:f>
        <x:v>17536.09975131398</x:v>
      </x:c>
      <x:c r="P639" s="10" t="n">
        <x:f>H639*'Assumptions'!$R$149*'Assumptions'!$D$11*(1+'Assumptions'!$D$13)^(5-1)</x:f>
        <x:v>2248.217916835126</x:v>
      </x:c>
      <x:c r="Q639" s="10" t="n">
        <x:f>J639*'Assumptions'!$S$149</x:f>
        <x:v>0</x:v>
      </x:c>
      <x:c r="R639" s="10" t="n">
        <x:f>H639*'Assumptions'!$Y$149*'Assumptions'!$Z$149*'Assumptions'!$D$11*(1+'Assumptions'!$D$13)^(5-1)</x:f>
        <x:v>67.44653750505378</x:v>
      </x:c>
      <x:c r="S639" s="10" t="n">
        <x:f>IF(I639=0,0,J639*'Assumptions'!$W$149+H639*'Assumptions'!$X$149)</x:f>
        <x:v>1256.4566416011603</x:v>
      </x:c>
      <x:c r="T639" s="10" t="n">
        <x:f>N639*'Assumptions'!$AA$149</x:f>
        <x:v>1677.8452935215523</x:v>
      </x:c>
      <x:c r="U639" s="10" t="n">
        <x:f>'Assumptions'!$AE$149*'Assumptions'!$D$11*(1+'Assumptions'!$D$13)^(5-1)</x:f>
        <x:v>0</x:v>
      </x:c>
      <x:c r="V639" s="10" t="n">
        <x:f>0</x:f>
        <x:v>0</x:v>
      </x:c>
      <x:c r="W639" s="10" t="n">
        <x:f>H639*('Assumptions'!$P$149+'Assumptions'!$Y$149)</x:f>
        <x:v>241.69901250000007</x:v>
      </x:c>
      <x:c r="X639" s="10" t="n">
        <x:f>N639/12*'Assumptions'!$AF$149</x:f>
        <x:v>3495.5110281699003</x:v>
      </x:c>
      <x:c r="Y639" s="10" t="n">
        <x:f>P639/12</x:f>
        <x:v>187.35149306959383</x:v>
      </x:c>
      <x:c r="Z639" s="10" t="n">
        <x:f>0</x:f>
        <x:v>0</x:v>
      </x:c>
      <x:c r="AA639" s="10" t="n">
        <x:f>Z639*'Assumptions'!$AC$149*'Assumptions'!$D$11*(1+'Assumptions'!$D$13)^(5-1)</x:f>
        <x:v>0</x:v>
      </x:c>
      <x:c r="AB639" s="10" t="n">
        <x:f>F639/1</x:f>
        <x:v>4.392300000000001</x:v>
      </x:c>
      <x:c r="AC639" s="10" t="n">
        <x:f>AB639/'Assumptions'!$AM$149</x:f>
        <x:v>21.961500000000004</x:v>
      </x:c>
      <x:c r="AD639" s="10" t="n">
        <x:f>IF(AB639=0,0,T639/AB639)</x:f>
        <x:v>381.99697049872543</x:v>
      </x:c>
      <x:c r="AE639" s="10" t="n">
        <x:f>AA639*'Assumptions'!$D$21</x:f>
        <x:v>0</x:v>
      </x:c>
    </x:row>
    <x:row r="640" ht="16" customHeight="1">
      <x:c r="A640" s="1"/>
      <x:c r="B640" s="1"/>
      <x:c r="C640" s="1" t="str">
        <x:v>DOT-121</x:v>
      </x:c>
      <x:c r="D640" s="10" t="str">
        <x:v>OsezArt</x:v>
      </x:c>
      <x:c r="E640" s="10" t="n">
        <x:v>5</x:v>
      </x:c>
      <x:c r="F640" s="21" t="n">
        <x:f>F512*(1+'Assumptions'!$L$150)</x:f>
        <x:v>4.392300000000001</x:v>
      </x:c>
      <x:c r="G640" s="21" t="n">
        <x:f>H512*'Assumptions'!$K$150</x:f>
        <x:v>3.504000000000001</x:v>
      </x:c>
      <x:c r="H640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640+G640,NA())</x:f>
        <x:v>7.896300000000002</x:v>
      </x:c>
      <x:c r="I640" s="22" t="n">
        <x:f>'Assumptions'!$H$150*IF('Assumptions'!$O$150=1,1,'Assumptions'!$D$10)*(1+'Assumptions'!$N$150)^(5-1)</x:f>
        <x:v>3247.29648</x:v>
      </x:c>
      <x:c r="J640" s="10" t="n">
        <x:f>H640*I640</x:f>
        <x:v>25641.627195024004</x:v>
      </x:c>
      <x:c r="K640" s="10" t="n">
        <x:f>J640*'Assumptions'!$T$150</x:f>
        <x:v>25641.627195024004</x:v>
      </x:c>
      <x:c r="L640" s="10" t="n">
        <x:f>K640*'Assumptions'!$U$150</x:f>
        <x:v>769.2488158507201</x:v>
      </x:c>
      <x:c r="M640" s="10" t="n">
        <x:f>K640*'Assumptions'!$V$150</x:f>
        <x:v>0</x:v>
      </x:c>
      <x:c r="N640" s="10" t="n">
        <x:f>K640-L640-M640</x:f>
        <x:v>24872.378379173286</x:v>
      </x:c>
      <x:c r="O640" s="10" t="n">
        <x:f>H640*'Assumptions'!$P$150*'Assumptions'!$Q$150*'Assumptions'!$D$11*(1+'Assumptions'!$D$13)^(5-1)</x:f>
        <x:v>10398.205603191514</x:v>
      </x:c>
      <x:c r="P640" s="10" t="n">
        <x:f>H640*'Assumptions'!$R$150*'Assumptions'!$D$11*(1+'Assumptions'!$D$13)^(5-1)</x:f>
        <x:v>1777.4710432806007</x:v>
      </x:c>
      <x:c r="Q640" s="10" t="n">
        <x:f>J640*'Assumptions'!$S$150</x:f>
        <x:v>0</x:v>
      </x:c>
      <x:c r="R640" s="10" t="n">
        <x:f>H640*'Assumptions'!$Y$150*'Assumptions'!$Z$150*'Assumptions'!$D$11*(1+'Assumptions'!$D$13)^(5-1)</x:f>
        <x:v>66.65516412302253</x:v>
      </x:c>
      <x:c r="S640" s="10" t="n">
        <x:f>IF(I640=0,0,J640*'Assumptions'!$W$150+H640*'Assumptions'!$X$150)</x:f>
        <x:v>745.9760786556961</x:v>
      </x:c>
      <x:c r="T640" s="10" t="n">
        <x:f>N640*'Assumptions'!$AA$150</x:f>
        <x:v>994.8951351669315</x:v>
      </x:c>
      <x:c r="U640" s="10" t="n">
        <x:f>'Assumptions'!$AE$150*'Assumptions'!$D$11*(1+'Assumptions'!$D$13)^(5-1)</x:f>
        <x:v>0</x:v>
      </x:c>
      <x:c r="V640" s="10" t="n">
        <x:f>0</x:f>
        <x:v>0</x:v>
      </x:c>
      <x:c r="W640" s="10" t="n">
        <x:f>H640*('Assumptions'!$P$150+'Assumptions'!$Y$150)</x:f>
        <x:v>144.10747500000002</x:v>
      </x:c>
      <x:c r="X640" s="10" t="n">
        <x:f>N640/12*'Assumptions'!$AF$150</x:f>
        <x:v>2072.6981982644406</x:v>
      </x:c>
      <x:c r="Y640" s="10" t="n">
        <x:f>P640/12</x:f>
        <x:v>148.12258694005007</x:v>
      </x:c>
      <x:c r="Z640" s="10" t="n">
        <x:f>0</x:f>
        <x:v>0</x:v>
      </x:c>
      <x:c r="AA640" s="10" t="n">
        <x:f>Z640*'Assumptions'!$AC$150*'Assumptions'!$D$11*(1+'Assumptions'!$D$13)^(5-1)</x:f>
        <x:v>0</x:v>
      </x:c>
      <x:c r="AB640" s="10" t="n">
        <x:f>F640/1</x:f>
        <x:v>4.392300000000001</x:v>
      </x:c>
      <x:c r="AC640" s="10" t="n">
        <x:f>AB640/'Assumptions'!$AM$150</x:f>
        <x:v>21.961500000000004</x:v>
      </x:c>
      <x:c r="AD640" s="10" t="n">
        <x:f>IF(AB640=0,0,T640/AB640)</x:f>
        <x:v>226.50892133208825</x:v>
      </x:c>
      <x:c r="AE640" s="10" t="n">
        <x:f>AA640*'Assumptions'!$D$21</x:f>
        <x:v>0</x:v>
      </x:c>
    </x:row>
    <x:row r="641" ht="16" customHeight="1">
      <x:c r="A641" s="1"/>
      <x:c r="B641" s="1"/>
      <x:c r="C641" s="1" t="str">
        <x:v>DOT-122</x:v>
      </x:c>
      <x:c r="D641" s="10" t="str">
        <x:v>OsezArt</x:v>
      </x:c>
      <x:c r="E641" s="10" t="n">
        <x:v>5</x:v>
      </x:c>
      <x:c r="F641" s="21" t="n">
        <x:f>F513*(1+'Assumptions'!$L$151)</x:f>
        <x:v>1.4641000000000006</x:v>
      </x:c>
      <x:c r="G641" s="21" t="n">
        <x:f>H513*'Assumptions'!$K$151</x:f>
        <x:v>1.1680000000000001</x:v>
      </x:c>
      <x:c r="H641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641+G641,NA())</x:f>
        <x:v>2.6321000000000008</x:v>
      </x:c>
      <x:c r="I641" s="22" t="n">
        <x:f>'Assumptions'!$H$151*IF('Assumptions'!$O$151=1,1,'Assumptions'!$D$10)*(1+'Assumptions'!$N$151)^(5-1)</x:f>
        <x:v>10824.3216</x:v>
      </x:c>
      <x:c r="J641" s="10" t="n">
        <x:f>H641*I641</x:f>
        <x:v>28490.696883360008</x:v>
      </x:c>
      <x:c r="K641" s="10" t="n">
        <x:f>J641*'Assumptions'!$T$151</x:f>
        <x:v>28490.696883360008</x:v>
      </x:c>
      <x:c r="L641" s="10" t="n">
        <x:f>K641*'Assumptions'!$U$151</x:f>
        <x:v>854.7209065008002</x:v>
      </x:c>
      <x:c r="M641" s="10" t="n">
        <x:f>K641*'Assumptions'!$V$151</x:f>
        <x:v>0</x:v>
      </x:c>
      <x:c r="N641" s="10" t="n">
        <x:f>K641-L641-M641</x:f>
        <x:v>27635.97597685921</x:v>
      </x:c>
      <x:c r="O641" s="10" t="n">
        <x:f>H641*'Assumptions'!$P$151*'Assumptions'!$Q$151*'Assumptions'!$D$11*(1+'Assumptions'!$D$13)^(5-1)</x:f>
        <x:v>11553.561781323904</x:v>
      </x:c>
      <x:c r="P641" s="10" t="n">
        <x:f>H641*'Assumptions'!$R$151*'Assumptions'!$D$11*(1+'Assumptions'!$D$13)^(5-1)</x:f>
        <x:v>1481.2258694005006</x:v>
      </x:c>
      <x:c r="Q641" s="10" t="n">
        <x:f>J641*'Assumptions'!$S$151</x:f>
        <x:v>0</x:v>
      </x:c>
      <x:c r="R641" s="10" t="n">
        <x:f>H641*'Assumptions'!$Y$151*'Assumptions'!$Z$151*'Assumptions'!$D$11*(1+'Assumptions'!$D$13)^(5-1)</x:f>
        <x:v>22.218388041007508</x:v>
      </x:c>
      <x:c r="S641" s="10" t="n">
        <x:f>IF(I641=0,0,J641*'Assumptions'!$W$151+H641*'Assumptions'!$X$151)</x:f>
        <x:v>827.0198396174402</x:v>
      </x:c>
      <x:c r="T641" s="10" t="n">
        <x:f>N641*'Assumptions'!$AA$151</x:f>
        <x:v>1105.4390390743683</x:v>
      </x:c>
      <x:c r="U641" s="10" t="n">
        <x:f>'Assumptions'!$AE$151*'Assumptions'!$D$11*(1+'Assumptions'!$D$13)^(5-1)</x:f>
        <x:v>0</x:v>
      </x:c>
      <x:c r="V641" s="10" t="n">
        <x:f>0</x:f>
        <x:v>0</x:v>
      </x:c>
      <x:c r="W641" s="10" t="n">
        <x:f>H641*('Assumptions'!$P$151+'Assumptions'!$Y$151)</x:f>
        <x:v>158.58402500000005</x:v>
      </x:c>
      <x:c r="X641" s="10" t="n">
        <x:f>N641/12*'Assumptions'!$AF$151</x:f>
        <x:v>2302.9979980716007</x:v>
      </x:c>
      <x:c r="Y641" s="10" t="n">
        <x:f>P641/12</x:f>
        <x:v>123.43548911670838</x:v>
      </x:c>
      <x:c r="Z641" s="10" t="n">
        <x:f>0</x:f>
        <x:v>0</x:v>
      </x:c>
      <x:c r="AA641" s="10" t="n">
        <x:f>Z641*'Assumptions'!$AC$151*'Assumptions'!$D$11*(1+'Assumptions'!$D$13)^(5-1)</x:f>
        <x:v>0</x:v>
      </x:c>
      <x:c r="AB641" s="10" t="n">
        <x:f>F641/1</x:f>
        <x:v>1.4641000000000006</x:v>
      </x:c>
      <x:c r="AC641" s="10" t="n">
        <x:f>AB641/'Assumptions'!$AM$151</x:f>
        <x:v>7.320500000000003</x:v>
      </x:c>
      <x:c r="AD641" s="10" t="n">
        <x:f>IF(AB641=0,0,T641/AB641)</x:f>
        <x:v>755.0297377736274</x:v>
      </x:c>
      <x:c r="AE641" s="10" t="n">
        <x:f>AA641*'Assumptions'!$D$21</x:f>
        <x:v>0</x:v>
      </x:c>
    </x:row>
    <x:row r="642" ht="16" customHeight="1">
      <x:c r="A642" s="1"/>
      <x:c r="B642" s="1"/>
      <x:c r="C642" s="1" t="str">
        <x:v>DOT-123</x:v>
      </x:c>
      <x:c r="D642" s="10" t="str">
        <x:v>FinBot research</x:v>
      </x:c>
      <x:c r="E642" s="10" t="n">
        <x:v>5</x:v>
      </x:c>
      <x:c r="F642" s="21" t="n">
        <x:f>F514*(1+'Assumptions'!$L$152)</x:f>
        <x:v>157.41056249999994</x:v>
      </x:c>
      <x:c r="G642" s="21" t="n">
        <x:f>H514*'Assumptions'!$K$152</x:f>
        <x:v>43.51031249999999</x:v>
      </x:c>
      <x:c r="H642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642+G642,NA())</x:f>
        <x:v>200.92087499999994</x:v>
      </x:c>
      <x:c r="I642" s="22" t="n">
        <x:f>'Assumptions'!$H$152*IF('Assumptions'!$O$152=1,1,'Assumptions'!$D$10)*(1+'Assumptions'!$N$152)^(5-1)</x:f>
        <x:v>31.39053264</x:v>
      </x:c>
      <x:c r="J642" s="10" t="n">
        <x:f>H642*I642</x:f>
        <x:v>6307.013284744858</x:v>
      </x:c>
      <x:c r="K642" s="10" t="n">
        <x:f>J642*'Assumptions'!$T$152</x:f>
        <x:v>6307.013284744858</x:v>
      </x:c>
      <x:c r="L642" s="10" t="n">
        <x:f>K642*'Assumptions'!$U$152</x:f>
        <x:v>189.21039854234573</x:v>
      </x:c>
      <x:c r="M642" s="10" t="n">
        <x:f>K642*'Assumptions'!$V$152</x:f>
        <x:v>0</x:v>
      </x:c>
      <x:c r="N642" s="10" t="n">
        <x:f>K642-L642-M642</x:f>
        <x:v>6117.802886202512</x:v>
      </x:c>
      <x:c r="O642" s="10" t="n">
        <x:f>H642*'Assumptions'!$P$152*'Assumptions'!$Q$152*'Assumptions'!$D$11*(1+'Assumptions'!$D$13)^(5-1)</x:f>
        <x:v>2035.2439343286785</x:v>
      </x:c>
      <x:c r="P642" s="10" t="n">
        <x:f>H642*'Assumptions'!$R$152*'Assumptions'!$D$11*(1+'Assumptions'!$D$13)^(5-1)</x:f>
        <x:v>0</x:v>
      </x:c>
      <x:c r="Q642" s="10" t="n">
        <x:f>J642*'Assumptions'!$S$152</x:f>
        <x:v>0</x:v>
      </x:c>
      <x:c r="R642" s="10" t="n">
        <x:f>H642*'Assumptions'!$Y$152*'Assumptions'!$Z$152*'Assumptions'!$D$11*(1+'Assumptions'!$D$13)^(5-1)</x:f>
        <x:v>678.4146447762262</x:v>
      </x:c>
      <x:c r="S642" s="10" t="n">
        <x:f>IF(I642=0,0,J642*'Assumptions'!$W$152+H642*'Assumptions'!$X$152)</x:f>
        <x:v>243.17964775760086</x:v>
      </x:c>
      <x:c r="T642" s="10" t="n">
        <x:f>N642*'Assumptions'!$AA$152</x:f>
        <x:v>305.8901443101256</x:v>
      </x:c>
      <x:c r="U642" s="10" t="n">
        <x:f>'Assumptions'!$AE$152*'Assumptions'!$D$11*(1+'Assumptions'!$D$13)^(5-1)</x:f>
        <x:v>270.12211440000004</x:v>
      </x:c>
      <x:c r="V642" s="10" t="n">
        <x:f>0</x:f>
        <x:v>0</x:v>
      </x:c>
      <x:c r="W642" s="10" t="n">
        <x:f>H642*('Assumptions'!$P$152+'Assumptions'!$Y$152)</x:f>
        <x:v>60.27626249999999</x:v>
      </x:c>
      <x:c r="X642" s="10" t="n">
        <x:f>N642/12*'Assumptions'!$AF$152</x:f>
        <x:v>0</x:v>
      </x:c>
      <x:c r="Y642" s="10" t="n">
        <x:f>P642/12</x:f>
        <x:v>0</x:v>
      </x:c>
      <x:c r="Z642" s="10" t="n">
        <x:f>0</x:f>
        <x:v>0</x:v>
      </x:c>
      <x:c r="AA642" s="10" t="n">
        <x:f>Z642*'Assumptions'!$AC$152*'Assumptions'!$D$11*(1+'Assumptions'!$D$13)^(5-1)</x:f>
        <x:v>0</x:v>
      </x:c>
      <x:c r="AB642" s="10" t="n">
        <x:f>F642/12</x:f>
        <x:v>13.117546874999995</x:v>
      </x:c>
      <x:c r="AC642" s="10" t="n">
        <x:f>AB642/'Assumptions'!$AM$152</x:f>
        <x:v>262.3509374999999</x:v>
      </x:c>
      <x:c r="AD642" s="10" t="n">
        <x:f>IF(AB642=0,0,T642/AB642)</x:f>
        <x:v>23.319157707231422</x:v>
      </x:c>
      <x:c r="AE642" s="10" t="n">
        <x:f>AA642*'Assumptions'!$D$21</x:f>
        <x:v>0</x:v>
      </x:c>
    </x:row>
    <x:row r="643" ht="16" customHeight="1">
      <x:c r="A643" s="1"/>
      <x:c r="B643" s="1"/>
      <x:c r="C643" s="1" t="str">
        <x:v>DOT-124</x:v>
      </x:c>
      <x:c r="D643" s="10" t="str">
        <x:v>Functional Analysis</x:v>
      </x:c>
      <x:c r="E643" s="10" t="n">
        <x:v>5</x:v>
      </x:c>
      <x:c r="F643" s="21" t="n">
        <x:f>F515*(1+'Assumptions'!$L$153)</x:f>
        <x:v>314.8211249999999</x:v>
      </x:c>
      <x:c r="G643" s="21" t="n">
        <x:f>H515*'Assumptions'!$K$153</x:f>
        <x:v>87.02062499999998</x:v>
      </x:c>
      <x:c r="H643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643+G643,NA())</x:f>
        <x:v>401.8417499999999</x:v>
      </x:c>
      <x:c r="I643" s="22" t="n">
        <x:f>'Assumptions'!$H$153*IF('Assumptions'!$O$153=1,1,'Assumptions'!$D$10)*(1+'Assumptions'!$N$153)^(5-1)</x:f>
        <x:v>20.56621104</x:v>
      </x:c>
      <x:c r="J643" s="10" t="n">
        <x:f>H643*I643</x:f>
        <x:v>8264.362235182916</x:v>
      </x:c>
      <x:c r="K643" s="10" t="n">
        <x:f>J643*'Assumptions'!$T$153</x:f>
        <x:v>8264.362235182916</x:v>
      </x:c>
      <x:c r="L643" s="10" t="n">
        <x:f>K643*'Assumptions'!$U$153</x:f>
        <x:v>247.93086705548748</x:v>
      </x:c>
      <x:c r="M643" s="10" t="n">
        <x:f>K643*'Assumptions'!$V$153</x:f>
        <x:v>0</x:v>
      </x:c>
      <x:c r="N643" s="10" t="n">
        <x:f>K643-L643-M643</x:f>
        <x:v>8016.431368127429</x:v>
      </x:c>
      <x:c r="O643" s="10" t="n">
        <x:f>H643*'Assumptions'!$P$153*'Assumptions'!$Q$153*'Assumptions'!$D$11*(1+'Assumptions'!$D$13)^(5-1)</x:f>
        <x:v>1582.9675044778612</x:v>
      </x:c>
      <x:c r="P643" s="10" t="n">
        <x:f>H643*'Assumptions'!$R$153*'Assumptions'!$D$11*(1+'Assumptions'!$D$13)^(5-1)</x:f>
        <x:v>0</x:v>
      </x:c>
      <x:c r="Q643" s="10" t="n">
        <x:f>J643*'Assumptions'!$S$153</x:f>
        <x:v>0</x:v>
      </x:c>
      <x:c r="R643" s="10" t="n">
        <x:f>H643*'Assumptions'!$Y$153*'Assumptions'!$Z$153*'Assumptions'!$D$11*(1+'Assumptions'!$D$13)^(5-1)</x:f>
        <x:v>1356.8292895524523</x:v>
      </x:c>
      <x:c r="S643" s="10" t="n">
        <x:f>IF(I643=0,0,J643*'Assumptions'!$W$153+H643*'Assumptions'!$X$153)</x:f>
        <x:v>360.21902982030457</x:v>
      </x:c>
      <x:c r="T643" s="10" t="n">
        <x:f>N643*'Assumptions'!$AA$153</x:f>
        <x:v>400.82156840637145</x:v>
      </x:c>
      <x:c r="U643" s="10" t="n">
        <x:f>'Assumptions'!$AE$153*'Assumptions'!$D$11*(1+'Assumptions'!$D$13)^(5-1)</x:f>
        <x:v>0</x:v>
      </x:c>
      <x:c r="V643" s="10" t="n">
        <x:f>0</x:f>
        <x:v>0</x:v>
      </x:c>
      <x:c r="W643" s="10" t="n">
        <x:f>H643*('Assumptions'!$P$153+'Assumptions'!$Y$153)</x:f>
        <x:v>80.36834999999998</x:v>
      </x:c>
      <x:c r="X643" s="10" t="n">
        <x:f>N643/12*'Assumptions'!$AF$153</x:f>
        <x:v>0</x:v>
      </x:c>
      <x:c r="Y643" s="10" t="n">
        <x:f>P643/12</x:f>
        <x:v>0</x:v>
      </x:c>
      <x:c r="Z643" s="10" t="n">
        <x:f>0</x:f>
        <x:v>0</x:v>
      </x:c>
      <x:c r="AA643" s="10" t="n">
        <x:f>Z643*'Assumptions'!$AC$153*'Assumptions'!$D$11*(1+'Assumptions'!$D$13)^(5-1)</x:f>
        <x:v>0</x:v>
      </x:c>
      <x:c r="AB643" s="10" t="n">
        <x:f>F643/1</x:f>
        <x:v>314.8211249999999</x:v>
      </x:c>
      <x:c r="AC643" s="10" t="n">
        <x:f>AB643/'Assumptions'!$AM$153</x:f>
        <x:v>6296.422499999997</x:v>
      </x:c>
      <x:c r="AD643" s="10" t="n">
        <x:f>IF(AB643=0,0,T643/AB643)</x:f>
        <x:v>1.2731724035557386</x:v>
      </x:c>
      <x:c r="AE643" s="10" t="n">
        <x:f>AA643*'Assumptions'!$D$21</x:f>
        <x:v>0</x:v>
      </x:c>
    </x:row>
    <x:row r="644" ht="16" customHeight="1">
      <x:c r="A644" s="1"/>
      <x:c r="B644" s="1"/>
      <x:c r="C644" s="1" t="str">
        <x:v>DOT-125</x:v>
      </x:c>
      <x:c r="D644" s="10" t="str">
        <x:v>Functional Analysis</x:v>
      </x:c>
      <x:c r="E644" s="10" t="n">
        <x:v>5</x:v>
      </x:c>
      <x:c r="F644" s="21" t="n">
        <x:f>F516*(1+'Assumptions'!$L$154)</x:f>
        <x:v>26.353800000000003</x:v>
      </x:c>
      <x:c r="G644" s="21" t="n">
        <x:f>H516*'Assumptions'!$K$154</x:f>
        <x:v>21.024</x:v>
      </x:c>
      <x:c r="H644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644+G644,NA())</x:f>
        <x:v>47.37780000000001</x:v>
      </x:c>
      <x:c r="I644" s="22" t="n">
        <x:f>'Assumptions'!$H$154*IF('Assumptions'!$O$154=1,1,'Assumptions'!$D$10)*(1+'Assumptions'!$N$154)^(5-1)</x:f>
        <x:v>107.16078384</x:v>
      </x:c>
      <x:c r="J644" s="10" t="n">
        <x:f>H644*I644</x:f>
        <x:v>5077.042184614753</x:v>
      </x:c>
      <x:c r="K644" s="10" t="n">
        <x:f>J644*'Assumptions'!$T$154</x:f>
        <x:v>5077.042184614753</x:v>
      </x:c>
      <x:c r="L644" s="10" t="n">
        <x:f>K644*'Assumptions'!$U$154</x:f>
        <x:v>152.31126553844257</x:v>
      </x:c>
      <x:c r="M644" s="10" t="n">
        <x:f>K644*'Assumptions'!$V$154</x:f>
        <x:v>0</x:v>
      </x:c>
      <x:c r="N644" s="10" t="n">
        <x:f>K644-L644-M644</x:f>
        <x:v>4924.73091907631</x:v>
      </x:c>
      <x:c r="O644" s="10" t="n">
        <x:f>H644*'Assumptions'!$P$154*'Assumptions'!$Q$154*'Assumptions'!$D$11*(1+'Assumptions'!$D$13)^(5-1)</x:f>
        <x:v>2132.9652519367205</x:v>
      </x:c>
      <x:c r="P644" s="10" t="n">
        <x:f>H644*'Assumptions'!$R$154*'Assumptions'!$D$11*(1+'Assumptions'!$D$13)^(5-1)</x:f>
        <x:v>0</x:v>
      </x:c>
      <x:c r="Q644" s="10" t="n">
        <x:f>J644*'Assumptions'!$S$154</x:f>
        <x:v>0</x:v>
      </x:c>
      <x:c r="R644" s="10" t="n">
        <x:f>H644*'Assumptions'!$Y$154*'Assumptions'!$Z$154*'Assumptions'!$D$11*(1+'Assumptions'!$D$13)^(5-1)</x:f>
        <x:v>399.9309847381351</x:v>
      </x:c>
      <x:c r="S644" s="10" t="n">
        <x:f>IF(I644=0,0,J644*'Assumptions'!$W$154+H644*'Assumptions'!$X$154)</x:f>
        <x:v>161.44756335382783</x:v>
      </x:c>
      <x:c r="T644" s="10" t="n">
        <x:f>N644*'Assumptions'!$AA$154</x:f>
        <x:v>196.9892367630524</x:v>
      </x:c>
      <x:c r="U644" s="10" t="n">
        <x:f>'Assumptions'!$AE$154*'Assumptions'!$D$11*(1+'Assumptions'!$D$13)^(5-1)</x:f>
        <x:v>0</x:v>
      </x:c>
      <x:c r="V644" s="10" t="n">
        <x:f>0</x:f>
        <x:v>0</x:v>
      </x:c>
      <x:c r="W644" s="10" t="n">
        <x:f>H644*('Assumptions'!$P$154+'Assumptions'!$Y$154)</x:f>
        <x:v>59.22225000000001</x:v>
      </x:c>
      <x:c r="X644" s="10" t="n">
        <x:f>N644/12*'Assumptions'!$AF$154</x:f>
        <x:v>410.3942432563592</x:v>
      </x:c>
      <x:c r="Y644" s="10" t="n">
        <x:f>P644/12</x:f>
        <x:v>0</x:v>
      </x:c>
      <x:c r="Z644" s="10" t="n">
        <x:f>0</x:f>
        <x:v>0</x:v>
      </x:c>
      <x:c r="AA644" s="10" t="n">
        <x:f>Z644*'Assumptions'!$AC$154*'Assumptions'!$D$11*(1+'Assumptions'!$D$13)^(5-1)</x:f>
        <x:v>0</x:v>
      </x:c>
      <x:c r="AB644" s="10" t="n">
        <x:f>F644/1</x:f>
        <x:v>26.353800000000003</x:v>
      </x:c>
      <x:c r="AC644" s="10" t="n">
        <x:f>AB644/'Assumptions'!$AM$154</x:f>
        <x:v>131.769</x:v>
      </x:c>
      <x:c r="AD644" s="10" t="n">
        <x:f>IF(AB644=0,0,T644/AB644)</x:f>
        <x:v>7.474794403958912</x:v>
      </x:c>
      <x:c r="AE644" s="10" t="n">
        <x:f>AA644*'Assumptions'!$D$21</x:f>
        <x:v>0</x:v>
      </x:c>
    </x:row>
    <x:row r="645" ht="16" customHeight="1">
      <x:c r="A645" s="1"/>
      <x:c r="B645" s="1"/>
      <x:c r="C645" s="1" t="str">
        <x:v>DOT-126</x:v>
      </x:c>
      <x:c r="D645" s="10" t="str">
        <x:v>Independent candy game</x:v>
      </x:c>
      <x:c r="E645" s="10" t="n">
        <x:v>5</x:v>
      </x:c>
      <x:c r="F645" s="21" t="n">
        <x:f>F517*(1+'Assumptions'!$L$155)</x:f>
        <x:v>787.0528124999998</x:v>
      </x:c>
      <x:c r="G645" s="21" t="n">
        <x:f>H517*'Assumptions'!$K$155</x:f>
        <x:v>217.5515625</x:v>
      </x:c>
      <x:c r="H645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645+G645,NA())</x:f>
        <x:v>1004.6043749999999</x:v>
      </x:c>
      <x:c r="I645" s="22" t="n">
        <x:f>'Assumptions'!$H$155*IF('Assumptions'!$O$155=1,1,'Assumptions'!$D$10)*(1+'Assumptions'!$N$155)^(5-1)</x:f>
        <x:v>5.4013364784</x:v>
      </x:c>
      <x:c r="J645" s="10" t="n">
        <x:f>H645*I645</x:f>
        <x:v>5426.206257047733</x:v>
      </x:c>
      <x:c r="K645" s="10" t="n">
        <x:f>J645*'Assumptions'!$T$155</x:f>
        <x:v>5426.206257047733</x:v>
      </x:c>
      <x:c r="L645" s="10" t="n">
        <x:f>K645*'Assumptions'!$U$155</x:f>
        <x:v>162.78618771143198</x:v>
      </x:c>
      <x:c r="M645" s="10" t="n">
        <x:f>K645*'Assumptions'!$V$155</x:f>
        <x:v>0</x:v>
      </x:c>
      <x:c r="N645" s="10" t="n">
        <x:f>K645-L645-M645</x:f>
        <x:v>5263.420069336301</x:v>
      </x:c>
      <x:c r="O645" s="10" t="n">
        <x:f>H645*'Assumptions'!$P$155*'Assumptions'!$Q$155*'Assumptions'!$D$11*(1+'Assumptions'!$D$13)^(5-1)</x:f>
        <x:v>791.4837522389307</x:v>
      </x:c>
      <x:c r="P645" s="10" t="n">
        <x:f>H645*'Assumptions'!$R$155*'Assumptions'!$D$11*(1+'Assumptions'!$D$13)^(5-1)</x:f>
        <x:v>0</x:v>
      </x:c>
      <x:c r="Q645" s="10" t="n">
        <x:f>J645*'Assumptions'!$S$155</x:f>
        <x:v>0</x:v>
      </x:c>
      <x:c r="R645" s="10" t="n">
        <x:f>H645*'Assumptions'!$Y$155*'Assumptions'!$Z$155*'Assumptions'!$D$11*(1+'Assumptions'!$D$13)^(5-1)</x:f>
        <x:v>3392.073223881132</x:v>
      </x:c>
      <x:c r="S645" s="10" t="n">
        <x:f>IF(I645=0,0,J645*'Assumptions'!$W$155+H645*'Assumptions'!$X$155)</x:f>
        <x:v>458.7412939543842</x:v>
      </x:c>
      <x:c r="T645" s="10" t="n">
        <x:f>N645*'Assumptions'!$AA$155</x:f>
        <x:v>263.1710034668151</x:v>
      </x:c>
      <x:c r="U645" s="10" t="n">
        <x:f>'Assumptions'!$AE$155*'Assumptions'!$D$11*(1+'Assumptions'!$D$13)^(5-1)</x:f>
        <x:v>0</x:v>
      </x:c>
      <x:c r="V645" s="10" t="n">
        <x:f>0</x:f>
        <x:v>0</x:v>
      </x:c>
      <x:c r="W645" s="10" t="n">
        <x:f>H645*('Assumptions'!$P$155+'Assumptions'!$Y$155)</x:f>
        <x:v>120.552525</x:v>
      </x:c>
      <x:c r="X645" s="10" t="n">
        <x:f>N645/12*'Assumptions'!$AF$155</x:f>
        <x:v>0</x:v>
      </x:c>
      <x:c r="Y645" s="10" t="n">
        <x:f>P645/12</x:f>
        <x:v>0</x:v>
      </x:c>
      <x:c r="Z645" s="10" t="n">
        <x:f>0</x:f>
        <x:v>0</x:v>
      </x:c>
      <x:c r="AA645" s="10" t="n">
        <x:f>Z645*'Assumptions'!$AC$155*'Assumptions'!$D$11*(1+'Assumptions'!$D$13)^(5-1)</x:f>
        <x:v>0</x:v>
      </x:c>
      <x:c r="AB645" s="10" t="n">
        <x:f>F645/1</x:f>
        <x:v>787.0528124999998</x:v>
      </x:c>
      <x:c r="AC645" s="10" t="n">
        <x:f>AB645/'Assumptions'!$AM$155</x:f>
        <x:v>15741.056249999996</x:v>
      </x:c>
      <x:c r="AD645" s="10" t="n">
        <x:f>IF(AB645=0,0,T645/AB645)</x:f>
        <x:v>0.3343752786180599</x:v>
      </x:c>
      <x:c r="AE645" s="10" t="n">
        <x:f>AA645*'Assumptions'!$D$21</x:f>
        <x:v>0</x:v>
      </x:c>
    </x:row>
    <x:row r="646" ht="16" customHeight="1">
      <x:c r="A646" s="1"/>
      <x:c r="B646" s="1"/>
      <x:c r="C646" s="1" t="str">
        <x:v>DOT-127</x:v>
      </x:c>
      <x:c r="D646" s="10" t="str">
        <x:v>Learn Anglais</x:v>
      </x:c>
      <x:c r="E646" s="10" t="n">
        <x:v>5</x:v>
      </x:c>
      <x:c r="F646" s="21" t="n">
        <x:f>F518*(1+'Assumptions'!$L$156)</x:f>
        <x:v>186.624</x:v>
      </x:c>
      <x:c r="G646" s="21" t="n">
        <x:f>H518*'Assumptions'!$K$156</x:f>
        <x:v>263.4345</x:v>
      </x:c>
      <x:c r="H646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646+G646,NA())</x:f>
        <x:v>450.0585</x:v>
      </x:c>
      <x:c r="I646" s="22" t="n">
        <x:f>'Assumptions'!$H$156*IF('Assumptions'!$O$156=1,1,'Assumptions'!$D$10)*(1+'Assumptions'!$N$156)^(5-1)</x:f>
        <x:v>25.97837184</x:v>
      </x:c>
      <x:c r="J646" s="10" t="n">
        <x:f>H646*I646</x:f>
        <x:v>11691.78706275264</x:v>
      </x:c>
      <x:c r="K646" s="10" t="n">
        <x:f>J646*'Assumptions'!$T$156</x:f>
        <x:v>3897.26235425088</x:v>
      </x:c>
      <x:c r="L646" s="10" t="n">
        <x:f>K646*'Assumptions'!$U$156</x:f>
        <x:v>116.9178706275264</x:v>
      </x:c>
      <x:c r="M646" s="10" t="n">
        <x:f>K646*'Assumptions'!$V$156</x:f>
        <x:v>0</x:v>
      </x:c>
      <x:c r="N646" s="10" t="n">
        <x:f>K646-L646-M646</x:f>
        <x:v>3780.3444836233534</x:v>
      </x:c>
      <x:c r="O646" s="10" t="n">
        <x:f>H646*'Assumptions'!$P$156*'Assumptions'!$Q$156*'Assumptions'!$D$11*(1+'Assumptions'!$D$13)^(5-1)</x:f>
        <x:v>1772.9068236788478</x:v>
      </x:c>
      <x:c r="P646" s="10" t="n">
        <x:f>H646*'Assumptions'!$R$156*'Assumptions'!$D$11*(1+'Assumptions'!$D$13)^(5-1)</x:f>
        <x:v>0</x:v>
      </x:c>
      <x:c r="Q646" s="10" t="n">
        <x:f>J646*'Assumptions'!$S$156</x:f>
        <x:v>0</x:v>
      </x:c>
      <x:c r="R646" s="10" t="n">
        <x:f>H646*'Assumptions'!$Y$156*'Assumptions'!$Z$156*'Assumptions'!$D$11*(1+'Assumptions'!$D$13)^(5-1)</x:f>
        <x:v>2279.4516304442327</x:v>
      </x:c>
      <x:c r="S646" s="10" t="n">
        <x:f>IF(I646=0,0,J646*'Assumptions'!$W$156+H646*'Assumptions'!$X$156)</x:f>
        <x:v>474.0793748198266</x:v>
      </x:c>
      <x:c r="T646" s="10" t="n">
        <x:f>N646*'Assumptions'!$AA$156</x:f>
        <x:v>189.01722418116768</x:v>
      </x:c>
      <x:c r="U646" s="10" t="n">
        <x:f>'Assumptions'!$AE$156*'Assumptions'!$D$11*(1+'Assumptions'!$D$13)^(5-1)</x:f>
        <x:v>0</x:v>
      </x:c>
      <x:c r="V646" s="10" t="n">
        <x:f>0</x:f>
        <x:v>0</x:v>
      </x:c>
      <x:c r="W646" s="10" t="n">
        <x:f>H646*('Assumptions'!$P$156+'Assumptions'!$Y$156)</x:f>
        <x:v>112.514625</x:v>
      </x:c>
      <x:c r="X646" s="10" t="n">
        <x:f>N646/12*'Assumptions'!$AF$156</x:f>
        <x:v>0</x:v>
      </x:c>
      <x:c r="Y646" s="10" t="n">
        <x:f>P646/12</x:f>
        <x:v>0</x:v>
      </x:c>
      <x:c r="Z646" s="10" t="n">
        <x:f>0</x:f>
        <x:v>0</x:v>
      </x:c>
      <x:c r="AA646" s="10" t="n">
        <x:f>Z646*'Assumptions'!$AC$156*'Assumptions'!$D$11*(1+'Assumptions'!$D$13)^(5-1)</x:f>
        <x:v>0</x:v>
      </x:c>
      <x:c r="AB646" s="10" t="n">
        <x:f>F646/1</x:f>
        <x:v>186.624</x:v>
      </x:c>
      <x:c r="AC646" s="10" t="n">
        <x:f>AB646/'Assumptions'!$AM$156</x:f>
        <x:v>3732.4799999999996</x:v>
      </x:c>
      <x:c r="AD646" s="10" t="n">
        <x:f>IF(AB646=0,0,T646/AB646)</x:f>
        <x:v>1.01282377497625</x:v>
      </x:c>
      <x:c r="AE646" s="10" t="n">
        <x:f>AA646*'Assumptions'!$D$21</x:f>
        <x:v>0</x:v>
      </x:c>
    </x:row>
    <x:row r="647" ht="16" customHeight="1">
      <x:c r="A647" s="1"/>
      <x:c r="B647" s="1"/>
      <x:c r="C647" s="1" t="str">
        <x:v>DOT-128</x:v>
      </x:c>
      <x:c r="D647" s="10" t="str">
        <x:v>Learn Anglais</x:v>
      </x:c>
      <x:c r="E647" s="10" t="n">
        <x:v>5</x:v>
      </x:c>
      <x:c r="F647" s="21" t="n">
        <x:f>F519*(1+'Assumptions'!$L$157)</x:f>
        <x:v>74.6496</x:v>
      </x:c>
      <x:c r="G647" s="21" t="n">
        <x:f>H519*'Assumptions'!$K$157</x:f>
        <x:v>105.37379999999999</x:v>
      </x:c>
      <x:c r="H647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647+G647,NA())</x:f>
        <x:v>180.02339999999998</x:v>
      </x:c>
      <x:c r="I647" s="22" t="n">
        <x:f>'Assumptions'!$H$157*IF('Assumptions'!$O$157=1,1,'Assumptions'!$D$10)*(1+'Assumptions'!$N$157)^(5-1)</x:f>
        <x:v>178.6013064</x:v>
      </x:c>
      <x:c r="J647" s="10" t="n">
        <x:f>H647*I647</x:f>
        <x:v>32152.414422569756</x:v>
      </x:c>
      <x:c r="K647" s="10" t="n">
        <x:f>J647*'Assumptions'!$T$157</x:f>
        <x:v>9645.724326770927</x:v>
      </x:c>
      <x:c r="L647" s="10" t="n">
        <x:f>K647*'Assumptions'!$U$157</x:f>
        <x:v>289.37172980312783</x:v>
      </x:c>
      <x:c r="M647" s="10" t="n">
        <x:f>K647*'Assumptions'!$V$157</x:f>
        <x:v>0</x:v>
      </x:c>
      <x:c r="N647" s="10" t="n">
        <x:f>K647-L647-M647</x:f>
        <x:v>9356.3525969678</x:v>
      </x:c>
      <x:c r="O647" s="10" t="n">
        <x:f>H647*'Assumptions'!$P$157*'Assumptions'!$Q$157*'Assumptions'!$D$11*(1+'Assumptions'!$D$13)^(5-1)</x:f>
        <x:v>709.1627294715391</x:v>
      </x:c>
      <x:c r="P647" s="10" t="n">
        <x:f>H647*'Assumptions'!$R$157*'Assumptions'!$D$11*(1+'Assumptions'!$D$13)^(5-1)</x:f>
        <x:v>0</x:v>
      </x:c>
      <x:c r="Q647" s="10" t="n">
        <x:f>J647*'Assumptions'!$S$157</x:f>
        <x:v>0</x:v>
      </x:c>
      <x:c r="R647" s="10" t="n">
        <x:f>H647*'Assumptions'!$Y$157*'Assumptions'!$Z$157*'Assumptions'!$D$11*(1+'Assumptions'!$D$13)^(5-1)</x:f>
        <x:v>911.7806521776929</x:v>
      </x:c>
      <x:c r="S647" s="10" t="n">
        <x:f>IF(I647=0,0,J647*'Assumptions'!$W$157+H647*'Assumptions'!$X$157)</x:f>
        <x:v>986.427038254523</x:v>
      </x:c>
      <x:c r="T647" s="10" t="n">
        <x:f>N647*'Assumptions'!$AA$157</x:f>
        <x:v>467.81762984838997</x:v>
      </x:c>
      <x:c r="U647" s="10" t="n">
        <x:f>'Assumptions'!$AE$157*'Assumptions'!$D$11*(1+'Assumptions'!$D$13)^(5-1)</x:f>
        <x:v>0</x:v>
      </x:c>
      <x:c r="V647" s="10" t="n">
        <x:f>0</x:f>
        <x:v>0</x:v>
      </x:c>
      <x:c r="W647" s="10" t="n">
        <x:f>H647*('Assumptions'!$P$157+'Assumptions'!$Y$157)</x:f>
        <x:v>45.005849999999995</x:v>
      </x:c>
      <x:c r="X647" s="10" t="n">
        <x:f>N647/12*'Assumptions'!$AF$157</x:f>
        <x:v>0</x:v>
      </x:c>
      <x:c r="Y647" s="10" t="n">
        <x:f>P647/12</x:f>
        <x:v>0</x:v>
      </x:c>
      <x:c r="Z647" s="10" t="n">
        <x:f>0</x:f>
        <x:v>0</x:v>
      </x:c>
      <x:c r="AA647" s="10" t="n">
        <x:f>Z647*'Assumptions'!$AC$157*'Assumptions'!$D$11*(1+'Assumptions'!$D$13)^(5-1)</x:f>
        <x:v>0</x:v>
      </x:c>
      <x:c r="AB647" s="10" t="n">
        <x:f>F647/1</x:f>
        <x:v>74.6496</x:v>
      </x:c>
      <x:c r="AC647" s="10" t="n">
        <x:f>AB647/'Assumptions'!$AM$157</x:f>
        <x:v>1492.992</x:v>
      </x:c>
      <x:c r="AD647" s="10" t="n">
        <x:f>IF(AB647=0,0,T647/AB647)</x:f>
        <x:v>6.266847107665546</x:v>
      </x:c>
      <x:c r="AE647" s="10" t="n">
        <x:f>AA647*'Assumptions'!$D$21</x:f>
        <x:v>0</x:v>
      </x:c>
    </x:row>
    <x:row r="648" ht="16" customHeight="1">
      <x:c r="A648" s="1"/>
      <x:c r="B648" s="1"/>
      <x:c r="C648" s="1" t="str">
        <x:v>DOT-001</x:v>
      </x:c>
      <x:c r="D648" s="10" t="str">
        <x:v>ETV courses</x:v>
      </x:c>
      <x:c r="E648" s="10" t="n">
        <x:v>6</x:v>
      </x:c>
      <x:c r="F648" s="21" t="n">
        <x:f>F520*(1+'Assumptions'!$M$30)</x:f>
        <x:v>324.26575874999986</x:v>
      </x:c>
      <x:c r="G648" s="21" t="n">
        <x:f>H520*'Assumptions'!$K$30</x:f>
        <x:v>100.57762499999997</x:v>
      </x:c>
      <x:c r="H648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648+G648,NA())</x:f>
        <x:v>424.8433837499998</x:v>
      </x:c>
      <x:c r="I648" s="22" t="n">
        <x:f>'Assumptions'!$H$30*IF('Assumptions'!$O$30=1,1,'Assumptions'!$D$10)*(1+'Assumptions'!$N$30)^(6-1)</x:f>
        <x:v>29</x:v>
      </x:c>
      <x:c r="J648" s="10" t="n">
        <x:f>H648*I648</x:f>
        <x:v>12320.458128749995</x:v>
      </x:c>
      <x:c r="K648" s="10" t="n">
        <x:f>J648*'Assumptions'!$T$30</x:f>
        <x:v>12320.458128749995</x:v>
      </x:c>
      <x:c r="L648" s="10" t="n">
        <x:f>K648*'Assumptions'!$U$30</x:f>
        <x:v>369.61374386249986</x:v>
      </x:c>
      <x:c r="M648" s="10" t="n">
        <x:f>K648*'Assumptions'!$V$30</x:f>
        <x:v>0</x:v>
      </x:c>
      <x:c r="N648" s="10" t="n">
        <x:f>K648-L648-M648</x:f>
        <x:v>11950.844384887496</x:v>
      </x:c>
      <x:c r="O648" s="10" t="n">
        <x:f>H648*'Assumptions'!$P$30*'Assumptions'!$Q$30*'Assumptions'!$D$11*(1+'Assumptions'!$D$13)^(6-1)</x:f>
        <x:v>2585.6770822011185</x:v>
      </x:c>
      <x:c r="P648" s="10" t="n">
        <x:f>H648*'Assumptions'!$R$30*'Assumptions'!$D$11*(1+'Assumptions'!$D$13)^(6-1)</x:f>
        <x:v>0</x:v>
      </x:c>
      <x:c r="Q648" s="10" t="n">
        <x:f>J648*'Assumptions'!$S$30</x:f>
        <x:v>0</x:v>
      </x:c>
      <x:c r="R648" s="10" t="n">
        <x:f>H648*'Assumptions'!$Y$30*'Assumptions'!$Z$30*'Assumptions'!$D$11*(1+'Assumptions'!$D$13)^(6-1)</x:f>
        <x:v>1477.5297612577824</x:v>
      </x:c>
      <x:c r="S648" s="10" t="n">
        <x:f>IF(I648=0,0,J648*'Assumptions'!$W$30+H648*'Assumptions'!$X$30)</x:f>
        <x:v>484.7463008587498</x:v>
      </x:c>
      <x:c r="T648" s="10" t="n">
        <x:f>N648*'Assumptions'!$AA$30</x:f>
        <x:v>597.5422192443748</x:v>
      </x:c>
      <x:c r="U648" s="10" t="n">
        <x:f>'Assumptions'!$AE$30*'Assumptions'!$D$11*(1+'Assumptions'!$D$13)^(6-1)</x:f>
        <x:v>0</x:v>
      </x:c>
      <x:c r="V648" s="10" t="n">
        <x:f>0</x:f>
        <x:v>0</x:v>
      </x:c>
      <x:c r="W648" s="10" t="n">
        <x:f>H648*('Assumptions'!$P$30+'Assumptions'!$Y$30)</x:f>
        <x:v>106.21084593749995</x:v>
      </x:c>
      <x:c r="X648" s="10" t="n">
        <x:f>N648/12*'Assumptions'!$AF$30</x:f>
        <x:v>0</x:v>
      </x:c>
      <x:c r="Y648" s="10" t="n">
        <x:f>P648/12</x:f>
        <x:v>0</x:v>
      </x:c>
      <x:c r="Z648" s="10" t="n">
        <x:f>0</x:f>
        <x:v>0</x:v>
      </x:c>
      <x:c r="AA648" s="10" t="n">
        <x:f>Z648*'Assumptions'!$AC$30*'Assumptions'!$D$11*(1+'Assumptions'!$D$13)^(6-1)</x:f>
        <x:v>0</x:v>
      </x:c>
      <x:c r="AB648" s="10" t="n">
        <x:f>F648/1</x:f>
        <x:v>324.26575874999986</x:v>
      </x:c>
      <x:c r="AC648" s="10" t="n">
        <x:f>AB648/'Assumptions'!$AM$30</x:f>
        <x:v>6485.315174999997</x:v>
      </x:c>
      <x:c r="AD648" s="10" t="n">
        <x:f>IF(AB648=0,0,T648/AB648)</x:f>
        <x:v>1.8427546021134587</x:v>
      </x:c>
      <x:c r="AE648" s="10" t="n">
        <x:f>AA648*'Assumptions'!$D$21</x:f>
        <x:v>0</x:v>
      </x:c>
    </x:row>
    <x:row r="649" ht="16" customHeight="1">
      <x:c r="A649" s="1"/>
      <x:c r="B649" s="1"/>
      <x:c r="C649" s="1" t="str">
        <x:v>DOT-002</x:v>
      </x:c>
      <x:c r="D649" s="10" t="str">
        <x:v>ETV courses</x:v>
      </x:c>
      <x:c r="E649" s="10" t="n">
        <x:v>6</x:v>
      </x:c>
      <x:c r="F649" s="21" t="n">
        <x:f>F521*(1+'Assumptions'!$M$31)</x:f>
        <x:v>513.4207846874999</x:v>
      </x:c>
      <x:c r="G649" s="21" t="n">
        <x:f>H521*'Assumptions'!$K$31</x:f>
        <x:v>159.24790624999997</x:v>
      </x:c>
      <x:c r="H649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649+G649,NA())</x:f>
        <x:v>672.6686909374998</x:v>
      </x:c>
      <x:c r="I649" s="22" t="n">
        <x:f>'Assumptions'!$H$31*IF('Assumptions'!$O$31=1,1,'Assumptions'!$D$10)*(1+'Assumptions'!$N$31)^(6-1)</x:f>
        <x:v>43.0591513248</x:v>
      </x:c>
      <x:c r="J649" s="10" t="n">
        <x:f>H649*I649</x:f>
        <x:v>28964.542954532928</x:v>
      </x:c>
      <x:c r="K649" s="10" t="n">
        <x:f>J649*'Assumptions'!$T$31</x:f>
        <x:v>28964.542954532928</x:v>
      </x:c>
      <x:c r="L649" s="10" t="n">
        <x:f>K649*'Assumptions'!$U$31</x:f>
        <x:v>868.9362886359878</x:v>
      </x:c>
      <x:c r="M649" s="10" t="n">
        <x:f>K649*'Assumptions'!$V$31</x:f>
        <x:v>0</x:v>
      </x:c>
      <x:c r="N649" s="10" t="n">
        <x:f>K649-L649-M649</x:f>
        <x:v>28095.60666589694</x:v>
      </x:c>
      <x:c r="O649" s="10" t="n">
        <x:f>H649*'Assumptions'!$P$31*'Assumptions'!$Q$31*'Assumptions'!$D$11*(1+'Assumptions'!$D$13)^(6-1)</x:f>
        <x:v>4093.988713485105</x:v>
      </x:c>
      <x:c r="P649" s="10" t="n">
        <x:f>H649*'Assumptions'!$R$31*'Assumptions'!$D$11*(1+'Assumptions'!$D$13)^(6-1)</x:f>
        <x:v>0</x:v>
      </x:c>
      <x:c r="Q649" s="10" t="n">
        <x:f>J649*'Assumptions'!$S$31</x:f>
        <x:v>0</x:v>
      </x:c>
      <x:c r="R649" s="10" t="n">
        <x:f>H649*'Assumptions'!$Y$31*'Assumptions'!$Z$31*'Assumptions'!$D$11*(1+'Assumptions'!$D$13)^(6-1)</x:f>
        <x:v>2339.4221219914893</x:v>
      </x:c>
      <x:c r="S649" s="10" t="n">
        <x:f>IF(I649=0,0,J649*'Assumptions'!$W$31+H649*'Assumptions'!$X$31)</x:f>
        <x:v>1041.7723529627049</x:v>
      </x:c>
      <x:c r="T649" s="10" t="n">
        <x:f>N649*'Assumptions'!$AA$31</x:f>
        <x:v>1404.780333294847</x:v>
      </x:c>
      <x:c r="U649" s="10" t="n">
        <x:f>'Assumptions'!$AE$31*'Assumptions'!$D$11*(1+'Assumptions'!$D$13)^(6-1)</x:f>
        <x:v>0</x:v>
      </x:c>
      <x:c r="V649" s="10" t="n">
        <x:f>0</x:f>
        <x:v>0</x:v>
      </x:c>
      <x:c r="W649" s="10" t="n">
        <x:f>H649*('Assumptions'!$P$31+'Assumptions'!$Y$31)</x:f>
        <x:v>168.16717273437496</x:v>
      </x:c>
      <x:c r="X649" s="10" t="n">
        <x:f>N649/12*'Assumptions'!$AF$31</x:f>
        <x:v>0</x:v>
      </x:c>
      <x:c r="Y649" s="10" t="n">
        <x:f>P649/12</x:f>
        <x:v>0</x:v>
      </x:c>
      <x:c r="Z649" s="10" t="n">
        <x:f>0</x:f>
        <x:v>0</x:v>
      </x:c>
      <x:c r="AA649" s="10" t="n">
        <x:f>Z649*'Assumptions'!$AC$31*'Assumptions'!$D$11*(1+'Assumptions'!$D$13)^(6-1)</x:f>
        <x:v>0</x:v>
      </x:c>
      <x:c r="AB649" s="10" t="n">
        <x:f>F649/1</x:f>
        <x:v>513.4207846874999</x:v>
      </x:c>
      <x:c r="AC649" s="10" t="n">
        <x:f>AB649/'Assumptions'!$AM$31</x:f>
        <x:v>10268.415693749997</x:v>
      </x:c>
      <x:c r="AD649" s="10" t="n">
        <x:f>IF(AB649=0,0,T649/AB649)</x:f>
        <x:v>2.73611894023707</x:v>
      </x:c>
      <x:c r="AE649" s="10" t="n">
        <x:f>AA649*'Assumptions'!$D$21</x:f>
        <x:v>0</x:v>
      </x:c>
    </x:row>
    <x:row r="650" ht="16" customHeight="1">
      <x:c r="A650" s="1"/>
      <x:c r="B650" s="1"/>
      <x:c r="C650" s="1" t="str">
        <x:v>DOT-003</x:v>
      </x:c>
      <x:c r="D650" s="10" t="str">
        <x:v>ETV services</x:v>
      </x:c>
      <x:c r="E650" s="10" t="n">
        <x:v>6</x:v>
      </x:c>
      <x:c r="F650" s="21" t="n">
        <x:f>F522*(1+'Assumptions'!$M$32)</x:f>
        <x:v>9.048138000000003</x:v>
      </x:c>
      <x:c r="G650" s="21" t="n">
        <x:f>H522*'Assumptions'!$K$32</x:f>
        <x:v>8.083800000000002</x:v>
      </x:c>
      <x:c r="H650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650+G650,NA())</x:f>
        <x:v>17.131938000000005</x:v>
      </x:c>
      <x:c r="I650" s="22" t="n">
        <x:f>'Assumptions'!$H$32*IF('Assumptions'!$O$32=1,1,'Assumptions'!$D$10)*(1+'Assumptions'!$N$32)^(6-1)</x:f>
        <x:v>1932.1414056</x:v>
      </x:c>
      <x:c r="J650" s="10" t="n">
        <x:f>H650*I650</x:f>
        <x:v>33101.32676797207</x:v>
      </x:c>
      <x:c r="K650" s="10" t="n">
        <x:f>J650*'Assumptions'!$T$32</x:f>
        <x:v>33101.32676797207</x:v>
      </x:c>
      <x:c r="L650" s="10" t="n">
        <x:f>K650*'Assumptions'!$U$32</x:f>
        <x:v>993.0398030391619</x:v>
      </x:c>
      <x:c r="M650" s="10" t="n">
        <x:f>K650*'Assumptions'!$V$32</x:f>
        <x:v>0</x:v>
      </x:c>
      <x:c r="N650" s="10" t="n">
        <x:f>K650-L650-M650</x:f>
        <x:v>32108.286964932904</x:v>
      </x:c>
      <x:c r="O650" s="10" t="n">
        <x:f>H650*'Assumptions'!$P$32*'Assumptions'!$Q$32*'Assumptions'!$D$11*(1+'Assumptions'!$D$13)^(6-1)</x:f>
        <x:v>17874.5504093235</x:v>
      </x:c>
      <x:c r="P650" s="10" t="n">
        <x:f>H650*'Assumptions'!$R$32*'Assumptions'!$D$11*(1+'Assumptions'!$D$13)^(6-1)</x:f>
        <x:v>496.515289147875</x:v>
      </x:c>
      <x:c r="Q650" s="10" t="n">
        <x:f>J650*'Assumptions'!$S$32</x:f>
        <x:v>0</x:v>
      </x:c>
      <x:c r="R650" s="10" t="n">
        <x:f>H650*'Assumptions'!$Y$32*'Assumptions'!$Z$32*'Assumptions'!$D$11*(1+'Assumptions'!$D$13)^(6-1)</x:f>
        <x:v>148.9545867443625</x:v>
      </x:c>
      <x:c r="S650" s="10" t="n">
        <x:f>IF(I650=0,0,J650*'Assumptions'!$W$32+H650*'Assumptions'!$X$32)</x:f>
        <x:v>965.07805767119</x:v>
      </x:c>
      <x:c r="T650" s="10" t="n">
        <x:f>N650*'Assumptions'!$AA$32</x:f>
        <x:v>1284.3314785973162</x:v>
      </x:c>
      <x:c r="U650" s="10" t="n">
        <x:f>'Assumptions'!$AE$32*'Assumptions'!$D$11*(1+'Assumptions'!$D$13)^(6-1)</x:f>
        <x:v>0</x:v>
      </x:c>
      <x:c r="V650" s="10" t="n">
        <x:f>0</x:f>
        <x:v>0</x:v>
      </x:c>
      <x:c r="W650" s="10" t="n">
        <x:f>H650*('Assumptions'!$P$32+'Assumptions'!$Y$32)</x:f>
        <x:v>346.9217445000001</x:v>
      </x:c>
      <x:c r="X650" s="10" t="n">
        <x:f>N650/12*'Assumptions'!$AF$32</x:f>
        <x:v>2675.690580411075</x:v>
      </x:c>
      <x:c r="Y650" s="10" t="n">
        <x:f>P650/12</x:f>
        <x:v>41.37627409565625</x:v>
      </x:c>
      <x:c r="Z650" s="10" t="n">
        <x:f>0</x:f>
        <x:v>0</x:v>
      </x:c>
      <x:c r="AA650" s="10" t="n">
        <x:f>Z650*'Assumptions'!$AC$32*'Assumptions'!$D$11*(1+'Assumptions'!$D$13)^(6-1)</x:f>
        <x:v>0</x:v>
      </x:c>
      <x:c r="AB650" s="10" t="n">
        <x:f>F650/1</x:f>
        <x:v>9.048138000000003</x:v>
      </x:c>
      <x:c r="AC650" s="10" t="n">
        <x:f>AB650/'Assumptions'!$AM$32</x:f>
        <x:v>45.240690000000015</x:v>
      </x:c>
      <x:c r="AD650" s="10" t="n">
        <x:f>IF(AB650=0,0,T650/AB650)</x:f>
        <x:v>141.94428495645354</x:v>
      </x:c>
      <x:c r="AE650" s="10" t="n">
        <x:f>AA650*'Assumptions'!$D$21</x:f>
        <x:v>0</x:v>
      </x:c>
    </x:row>
    <x:row r="651" ht="16" customHeight="1">
      <x:c r="A651" s="1"/>
      <x:c r="B651" s="1"/>
      <x:c r="C651" s="1" t="str">
        <x:v>DOT-004</x:v>
      </x:c>
      <x:c r="D651" s="10" t="str">
        <x:v>ETV services</x:v>
      </x:c>
      <x:c r="E651" s="10" t="n">
        <x:v>6</x:v>
      </x:c>
      <x:c r="F651" s="21" t="n">
        <x:f>F523*(1+'Assumptions'!$M$33)</x:f>
        <x:v>6.032092000000003</x:v>
      </x:c>
      <x:c r="G651" s="21" t="n">
        <x:f>H523*'Assumptions'!$K$33</x:f>
        <x:v>5.3892000000000015</x:v>
      </x:c>
      <x:c r="H651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651+G651,NA())</x:f>
        <x:v>11.421292000000005</x:v>
      </x:c>
      <x:c r="I651" s="22" t="n">
        <x:f>'Assumptions'!$H$33*IF('Assumptions'!$O$33=1,1,'Assumptions'!$D$10)*(1+'Assumptions'!$N$33)^(6-1)</x:f>
        <x:v>2760.202008</x:v>
      </x:c>
      <x:c r="J651" s="10" t="n">
        <x:f>H651*I651</x:f>
        <x:v>31525.073112354352</x:v>
      </x:c>
      <x:c r="K651" s="10" t="n">
        <x:f>J651*'Assumptions'!$T$33</x:f>
        <x:v>31525.073112354352</x:v>
      </x:c>
      <x:c r="L651" s="10" t="n">
        <x:f>K651*'Assumptions'!$U$33</x:f>
        <x:v>945.7521933706305</x:v>
      </x:c>
      <x:c r="M651" s="10" t="n">
        <x:f>K651*'Assumptions'!$V$33</x:f>
        <x:v>0</x:v>
      </x:c>
      <x:c r="N651" s="10" t="n">
        <x:f>K651-L651-M651</x:f>
        <x:v>30579.32091898372</x:v>
      </x:c>
      <x:c r="O651" s="10" t="n">
        <x:f>H651*'Assumptions'!$P$33*'Assumptions'!$Q$33*'Assumptions'!$D$11*(1+'Assumptions'!$D$13)^(6-1)</x:f>
        <x:v>17874.550409323503</x:v>
      </x:c>
      <x:c r="P651" s="10" t="n">
        <x:f>H651*'Assumptions'!$R$33*'Assumptions'!$D$11*(1+'Assumptions'!$D$13)^(6-1)</x:f>
        <x:v>331.01019276525005</x:v>
      </x:c>
      <x:c r="Q651" s="10" t="n">
        <x:f>J651*'Assumptions'!$S$33</x:f>
        <x:v>0</x:v>
      </x:c>
      <x:c r="R651" s="10" t="n">
        <x:f>H651*'Assumptions'!$Y$33*'Assumptions'!$Z$33*'Assumptions'!$D$11*(1+'Assumptions'!$D$13)^(6-1)</x:f>
        <x:v>99.30305782957502</x:v>
      </x:c>
      <x:c r="S651" s="10" t="n">
        <x:f>IF(I651=0,0,J651*'Assumptions'!$W$33+H651*'Assumptions'!$X$33)</x:f>
        <x:v>917.6535078582763</x:v>
      </x:c>
      <x:c r="T651" s="10" t="n">
        <x:f>N651*'Assumptions'!$AA$33</x:f>
        <x:v>1223.172836759349</x:v>
      </x:c>
      <x:c r="U651" s="10" t="n">
        <x:f>'Assumptions'!$AE$33*'Assumptions'!$D$11*(1+'Assumptions'!$D$13)^(6-1)</x:f>
        <x:v>0</x:v>
      </x:c>
      <x:c r="V651" s="10" t="n">
        <x:f>0</x:f>
        <x:v>0</x:v>
      </x:c>
      <x:c r="W651" s="10" t="n">
        <x:f>H651*('Assumptions'!$P$33+'Assumptions'!$Y$33)</x:f>
        <x:v>345.49408300000016</x:v>
      </x:c>
      <x:c r="X651" s="10" t="n">
        <x:f>N651/12*'Assumptions'!$AF$33</x:f>
        <x:v>2548.2767432486435</x:v>
      </x:c>
      <x:c r="Y651" s="10" t="n">
        <x:f>P651/12</x:f>
        <x:v>27.584182730437504</x:v>
      </x:c>
      <x:c r="Z651" s="10" t="n">
        <x:f>0</x:f>
        <x:v>0</x:v>
      </x:c>
      <x:c r="AA651" s="10" t="n">
        <x:f>Z651*'Assumptions'!$AC$33*'Assumptions'!$D$11*(1+'Assumptions'!$D$13)^(6-1)</x:f>
        <x:v>0</x:v>
      </x:c>
      <x:c r="AB651" s="10" t="n">
        <x:f>F651/1</x:f>
        <x:v>6.032092000000003</x:v>
      </x:c>
      <x:c r="AC651" s="10" t="n">
        <x:f>AB651/'Assumptions'!$AM$33</x:f>
        <x:v>30.160460000000015</x:v>
      </x:c>
      <x:c r="AD651" s="10" t="n">
        <x:f>IF(AB651=0,0,T651/AB651)</x:f>
        <x:v>202.77754993779078</x:v>
      </x:c>
      <x:c r="AE651" s="10" t="n">
        <x:f>AA651*'Assumptions'!$D$21</x:f>
        <x:v>0</x:v>
      </x:c>
    </x:row>
    <x:row r="652" ht="16" customHeight="1">
      <x:c r="A652" s="1"/>
      <x:c r="B652" s="1"/>
      <x:c r="C652" s="1" t="str">
        <x:v>DOT-005</x:v>
      </x:c>
      <x:c r="D652" s="10" t="str">
        <x:v>ETV services</x:v>
      </x:c>
      <x:c r="E652" s="10" t="n">
        <x:v>6</x:v>
      </x:c>
      <x:c r="F652" s="21" t="n">
        <x:f>F524*(1+'Assumptions'!$M$34)</x:f>
        <x:v>6.032092000000003</x:v>
      </x:c>
      <x:c r="G652" s="21" t="n">
        <x:f>H524*'Assumptions'!$K$34</x:f>
        <x:v>5.3892000000000015</x:v>
      </x:c>
      <x:c r="H652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652+G652,NA())</x:f>
        <x:v>11.421292000000005</x:v>
      </x:c>
      <x:c r="I652" s="22" t="n">
        <x:f>'Assumptions'!$H$34*IF('Assumptions'!$O$34=1,1,'Assumptions'!$D$10)*(1+'Assumptions'!$N$34)^(6-1)</x:f>
        <x:v>1656.1212048</x:v>
      </x:c>
      <x:c r="J652" s="10" t="n">
        <x:f>H652*I652</x:f>
        <x:v>18915.04386741261</x:v>
      </x:c>
      <x:c r="K652" s="10" t="n">
        <x:f>J652*'Assumptions'!$T$34</x:f>
        <x:v>18915.04386741261</x:v>
      </x:c>
      <x:c r="L652" s="10" t="n">
        <x:f>K652*'Assumptions'!$U$34</x:f>
        <x:v>567.4513160223783</x:v>
      </x:c>
      <x:c r="M652" s="10" t="n">
        <x:f>K652*'Assumptions'!$V$34</x:f>
        <x:v>0</x:v>
      </x:c>
      <x:c r="N652" s="10" t="n">
        <x:f>K652-L652-M652</x:f>
        <x:v>18347.59255139023</x:v>
      </x:c>
      <x:c r="O652" s="10" t="n">
        <x:f>H652*'Assumptions'!$P$34*'Assumptions'!$Q$34*'Assumptions'!$D$11*(1+'Assumptions'!$D$13)^(6-1)</x:f>
        <x:v>10724.730245594103</x:v>
      </x:c>
      <x:c r="P652" s="10" t="n">
        <x:f>H652*'Assumptions'!$R$34*'Assumptions'!$D$11*(1+'Assumptions'!$D$13)^(6-1)</x:f>
        <x:v>331.01019276525005</x:v>
      </x:c>
      <x:c r="Q652" s="10" t="n">
        <x:f>J652*'Assumptions'!$S$34</x:f>
        <x:v>0</x:v>
      </x:c>
      <x:c r="R652" s="10" t="n">
        <x:f>H652*'Assumptions'!$Y$34*'Assumptions'!$Z$34*'Assumptions'!$D$11*(1+'Assumptions'!$D$13)^(6-1)</x:f>
        <x:v>99.30305782957502</x:v>
      </x:c>
      <x:c r="S652" s="10" t="n">
        <x:f>IF(I652=0,0,J652*'Assumptions'!$W$34+H652*'Assumptions'!$X$34)</x:f>
        <x:v>551.9626597549657</x:v>
      </x:c>
      <x:c r="T652" s="10" t="n">
        <x:f>N652*'Assumptions'!$AA$34</x:f>
        <x:v>733.9037020556092</x:v>
      </x:c>
      <x:c r="U652" s="10" t="n">
        <x:f>'Assumptions'!$AE$34*'Assumptions'!$D$11*(1+'Assumptions'!$D$13)^(6-1)</x:f>
        <x:v>0</x:v>
      </x:c>
      <x:c r="V652" s="10" t="n">
        <x:f>0</x:f>
        <x:v>0</x:v>
      </x:c>
      <x:c r="W652" s="10" t="n">
        <x:f>H652*('Assumptions'!$P$34+'Assumptions'!$Y$34)</x:f>
        <x:v>208.4385790000001</x:v>
      </x:c>
      <x:c r="X652" s="10" t="n">
        <x:f>N652/12*'Assumptions'!$AF$34</x:f>
        <x:v>1528.9660459491859</x:v>
      </x:c>
      <x:c r="Y652" s="10" t="n">
        <x:f>P652/12</x:f>
        <x:v>27.584182730437504</x:v>
      </x:c>
      <x:c r="Z652" s="10" t="n">
        <x:f>0</x:f>
        <x:v>0</x:v>
      </x:c>
      <x:c r="AA652" s="10" t="n">
        <x:f>Z652*'Assumptions'!$AC$34*'Assumptions'!$D$11*(1+'Assumptions'!$D$13)^(6-1)</x:f>
        <x:v>0</x:v>
      </x:c>
      <x:c r="AB652" s="10" t="n">
        <x:f>F652/1</x:f>
        <x:v>6.032092000000003</x:v>
      </x:c>
      <x:c r="AC652" s="10" t="n">
        <x:f>AB652/'Assumptions'!$AM$34</x:f>
        <x:v>30.160460000000015</x:v>
      </x:c>
      <x:c r="AD652" s="10" t="n">
        <x:f>IF(AB652=0,0,T652/AB652)</x:f>
        <x:v>121.66652996267445</x:v>
      </x:c>
      <x:c r="AE652" s="10" t="n">
        <x:f>AA652*'Assumptions'!$D$21</x:f>
        <x:v>0</x:v>
      </x:c>
    </x:row>
    <x:row r="653" ht="16" customHeight="1">
      <x:c r="A653" s="1"/>
      <x:c r="B653" s="1"/>
      <x:c r="C653" s="1" t="str">
        <x:v>DOT-006</x:v>
      </x:c>
      <x:c r="D653" s="10" t="str">
        <x:v>ETV services</x:v>
      </x:c>
      <x:c r="E653" s="10" t="n">
        <x:v>6</x:v>
      </x:c>
      <x:c r="F653" s="21" t="n">
        <x:f>F525*(1+'Assumptions'!$M$35)</x:f>
        <x:v>9.048138000000003</x:v>
      </x:c>
      <x:c r="G653" s="21" t="n">
        <x:f>H525*'Assumptions'!$K$35</x:f>
        <x:v>8.083800000000002</x:v>
      </x:c>
      <x:c r="H653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653+G653,NA())</x:f>
        <x:v>17.131938000000005</x:v>
      </x:c>
      <x:c r="I653" s="22" t="n">
        <x:f>'Assumptions'!$H$35*IF('Assumptions'!$O$35=1,1,'Assumptions'!$D$10)*(1+'Assumptions'!$N$35)^(6-1)</x:f>
        <x:v>828.0606024</x:v>
      </x:c>
      <x:c r="J653" s="10" t="n">
        <x:f>H653*I653</x:f>
        <x:v>14186.282900559456</x:v>
      </x:c>
      <x:c r="K653" s="10" t="n">
        <x:f>J653*'Assumptions'!$T$35</x:f>
        <x:v>14186.282900559456</x:v>
      </x:c>
      <x:c r="L653" s="10" t="n">
        <x:f>K653*'Assumptions'!$U$35</x:f>
        <x:v>425.58848701678363</x:v>
      </x:c>
      <x:c r="M653" s="10" t="n">
        <x:f>K653*'Assumptions'!$V$35</x:f>
        <x:v>0</x:v>
      </x:c>
      <x:c r="N653" s="10" t="n">
        <x:f>K653-L653-M653</x:f>
        <x:v>13760.694413542673</x:v>
      </x:c>
      <x:c r="O653" s="10" t="n">
        <x:f>H653*'Assumptions'!$P$35*'Assumptions'!$Q$35*'Assumptions'!$D$11*(1+'Assumptions'!$D$13)^(6-1)</x:f>
        <x:v>7149.8201637294005</x:v>
      </x:c>
      <x:c r="P653" s="10" t="n">
        <x:f>H653*'Assumptions'!$R$35*'Assumptions'!$D$11*(1+'Assumptions'!$D$13)^(6-1)</x:f>
        <x:v>496.515289147875</x:v>
      </x:c>
      <x:c r="Q653" s="10" t="n">
        <x:f>J653*'Assumptions'!$S$35</x:f>
        <x:v>0</x:v>
      </x:c>
      <x:c r="R653" s="10" t="n">
        <x:f>H653*'Assumptions'!$Y$35*'Assumptions'!$Z$35*'Assumptions'!$D$11*(1+'Assumptions'!$D$13)^(6-1)</x:f>
        <x:v>148.9545867443625</x:v>
      </x:c>
      <x:c r="S653" s="10" t="n">
        <x:f>IF(I653=0,0,J653*'Assumptions'!$W$35+H653*'Assumptions'!$X$35)</x:f>
        <x:v>416.54178551622425</x:v>
      </x:c>
      <x:c r="T653" s="10" t="n">
        <x:f>N653*'Assumptions'!$AA$35</x:f>
        <x:v>550.427776541707</x:v>
      </x:c>
      <x:c r="U653" s="10" t="n">
        <x:f>'Assumptions'!$AE$35*'Assumptions'!$D$11*(1+'Assumptions'!$D$13)^(6-1)</x:f>
        <x:v>0</x:v>
      </x:c>
      <x:c r="V653" s="10" t="n">
        <x:f>0</x:f>
        <x:v>0</x:v>
      </x:c>
      <x:c r="W653" s="10" t="n">
        <x:f>H653*('Assumptions'!$P$35+'Assumptions'!$Y$35)</x:f>
        <x:v>141.33848850000004</x:v>
      </x:c>
      <x:c r="X653" s="10" t="n">
        <x:f>N653/12*'Assumptions'!$AF$35</x:f>
        <x:v>1146.7245344618893</x:v>
      </x:c>
      <x:c r="Y653" s="10" t="n">
        <x:f>P653/12</x:f>
        <x:v>41.37627409565625</x:v>
      </x:c>
      <x:c r="Z653" s="10" t="n">
        <x:f>0</x:f>
        <x:v>0</x:v>
      </x:c>
      <x:c r="AA653" s="10" t="n">
        <x:f>Z653*'Assumptions'!$AC$35*'Assumptions'!$D$11*(1+'Assumptions'!$D$13)^(6-1)</x:f>
        <x:v>0</x:v>
      </x:c>
      <x:c r="AB653" s="10" t="n">
        <x:f>F653/1</x:f>
        <x:v>9.048138000000003</x:v>
      </x:c>
      <x:c r="AC653" s="10" t="n">
        <x:f>AB653/'Assumptions'!$AM$35</x:f>
        <x:v>45.240690000000015</x:v>
      </x:c>
      <x:c r="AD653" s="10" t="n">
        <x:f>IF(AB653=0,0,T653/AB653)</x:f>
        <x:v>60.83326498133724</x:v>
      </x:c>
      <x:c r="AE653" s="10" t="n">
        <x:f>AA653*'Assumptions'!$D$21</x:f>
        <x:v>0</x:v>
      </x:c>
    </x:row>
    <x:row r="654" ht="16" customHeight="1">
      <x:c r="A654" s="1"/>
      <x:c r="B654" s="1"/>
      <x:c r="C654" s="1" t="str">
        <x:v>DOT-007</x:v>
      </x:c>
      <x:c r="D654" s="10" t="str">
        <x:v>BPA professional services</x:v>
      </x:c>
      <x:c r="E654" s="10" t="n">
        <x:v>6</x:v>
      </x:c>
      <x:c r="F654" s="21" t="n">
        <x:f>F526*(1+'Assumptions'!$M$36)</x:f>
        <x:v>36.19255200000001</x:v>
      </x:c>
      <x:c r="G654" s="21" t="n">
        <x:f>H526*'Assumptions'!$K$36</x:f>
        <x:v>31.960200000000007</x:v>
      </x:c>
      <x:c r="H654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654+G654,NA())</x:f>
        <x:v>68.15275200000002</x:v>
      </x:c>
      <x:c r="I654" s="22" t="n">
        <x:f>'Assumptions'!$H$36*IF('Assumptions'!$O$36=1,1,'Assumptions'!$D$10)*(1+'Assumptions'!$N$36)^(6-1)</x:f>
        <x:v>250</x:v>
      </x:c>
      <x:c r="J654" s="10" t="n">
        <x:f>H654*I654</x:f>
        <x:v>17038.188000000006</x:v>
      </x:c>
      <x:c r="K654" s="10" t="n">
        <x:f>J654*'Assumptions'!$T$36</x:f>
        <x:v>17038.188000000006</x:v>
      </x:c>
      <x:c r="L654" s="10" t="n">
        <x:f>K654*'Assumptions'!$U$36</x:f>
        <x:v>511.1456400000001</x:v>
      </x:c>
      <x:c r="M654" s="10" t="n">
        <x:f>K654*'Assumptions'!$V$36</x:f>
        <x:v>0</x:v>
      </x:c>
      <x:c r="N654" s="10" t="n">
        <x:f>K654-L654-M654</x:f>
        <x:v>16527.042360000007</x:v>
      </x:c>
      <x:c r="O654" s="10" t="n">
        <x:f>H654*'Assumptions'!$P$36*'Assumptions'!$Q$36*'Assumptions'!$D$11*(1+'Assumptions'!$D$13)^(6-1)</x:f>
        <x:v>3948.8057699201586</x:v>
      </x:c>
      <x:c r="P654" s="10" t="n">
        <x:f>H654*'Assumptions'!$R$36*'Assumptions'!$D$11*(1+'Assumptions'!$D$13)^(6-1)</x:f>
        <x:v>790.077184857975</x:v>
      </x:c>
      <x:c r="Q654" s="10" t="n">
        <x:f>J654*'Assumptions'!$S$36</x:f>
        <x:v>0</x:v>
      </x:c>
      <x:c r="R654" s="10" t="n">
        <x:f>H654*'Assumptions'!$Y$36*'Assumptions'!$Z$36*'Assumptions'!$D$11*(1+'Assumptions'!$D$13)^(6-1)</x:f>
        <x:v>592.5578886434813</x:v>
      </x:c>
      <x:c r="S654" s="10" t="n">
        <x:f>IF(I654=0,0,J654*'Assumptions'!$W$36+H654*'Assumptions'!$X$36)</x:f>
        <x:v>514.5532776000002</x:v>
      </x:c>
      <x:c r="T654" s="10" t="n">
        <x:f>N654*'Assumptions'!$AA$36</x:f>
        <x:v>661.0816944000003</x:v>
      </x:c>
      <x:c r="U654" s="10" t="n">
        <x:f>'Assumptions'!$AE$36*'Assumptions'!$D$11*(1+'Assumptions'!$D$13)^(6-1)</x:f>
        <x:v>0</x:v>
      </x:c>
      <x:c r="V654" s="10" t="n">
        <x:f>0</x:f>
        <x:v>0</x:v>
      </x:c>
      <x:c r="W654" s="10" t="n">
        <x:f>H654*('Assumptions'!$P$36+'Assumptions'!$Y$36)</x:f>
        <x:v>73.80943041600003</x:v>
      </x:c>
      <x:c r="X654" s="10" t="n">
        <x:f>N654/12*'Assumptions'!$AF$36</x:f>
        <x:v>1377.2535300000006</x:v>
      </x:c>
      <x:c r="Y654" s="10" t="n">
        <x:f>P654/12</x:f>
        <x:v>65.83976540483125</x:v>
      </x:c>
      <x:c r="Z654" s="10" t="n">
        <x:f>0</x:f>
        <x:v>0</x:v>
      </x:c>
      <x:c r="AA654" s="10" t="n">
        <x:f>Z654*'Assumptions'!$AC$36*'Assumptions'!$D$11*(1+'Assumptions'!$D$13)^(6-1)</x:f>
        <x:v>0</x:v>
      </x:c>
      <x:c r="AB654" s="10" t="n">
        <x:f>F654/1</x:f>
        <x:v>36.19255200000001</x:v>
      </x:c>
      <x:c r="AC654" s="10" t="n">
        <x:f>AB654/'Assumptions'!$AM$36</x:f>
        <x:v>180.96276000000006</x:v>
      </x:c>
      <x:c r="AD654" s="10" t="n">
        <x:f>IF(AB654=0,0,T654/AB654)</x:f>
        <x:v>18.265683348330896</x:v>
      </x:c>
      <x:c r="AE654" s="10" t="n">
        <x:f>AA654*'Assumptions'!$D$21</x:f>
        <x:v>0</x:v>
      </x:c>
    </x:row>
    <x:row r="655" ht="16" customHeight="1">
      <x:c r="A655" s="1"/>
      <x:c r="B655" s="1"/>
      <x:c r="C655" s="1" t="str">
        <x:v>DOT-008</x:v>
      </x:c>
      <x:c r="D655" s="10" t="str">
        <x:v>BPA professional services</x:v>
      </x:c>
      <x:c r="E655" s="10" t="n">
        <x:v>6</x:v>
      </x:c>
      <x:c r="F655" s="21" t="n">
        <x:f>F527*(1+'Assumptions'!$M$37)</x:f>
        <x:v>13.572207000000002</x:v>
      </x:c>
      <x:c r="G655" s="21" t="n">
        <x:f>H527*'Assumptions'!$K$37</x:f>
        <x:v>11.985075000000002</x:v>
      </x:c>
      <x:c r="H655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655+G655,NA())</x:f>
        <x:v>25.557282000000004</x:v>
      </x:c>
      <x:c r="I655" s="22" t="n">
        <x:f>'Assumptions'!$H$37*IF('Assumptions'!$O$37=1,1,'Assumptions'!$D$10)*(1+'Assumptions'!$N$37)^(6-1)</x:f>
        <x:v>600</x:v>
      </x:c>
      <x:c r="J655" s="10" t="n">
        <x:f>H655*I655</x:f>
        <x:v>15334.369200000003</x:v>
      </x:c>
      <x:c r="K655" s="10" t="n">
        <x:f>J655*'Assumptions'!$T$37</x:f>
        <x:v>15334.369200000003</x:v>
      </x:c>
      <x:c r="L655" s="10" t="n">
        <x:f>K655*'Assumptions'!$U$37</x:f>
        <x:v>460.03107600000004</x:v>
      </x:c>
      <x:c r="M655" s="10" t="n">
        <x:f>K655*'Assumptions'!$V$37</x:f>
        <x:v>0</x:v>
      </x:c>
      <x:c r="N655" s="10" t="n">
        <x:f>K655-L655-M655</x:f>
        <x:v>14874.338124000004</x:v>
      </x:c>
      <x:c r="O655" s="10" t="n">
        <x:f>H655*'Assumptions'!$P$37*'Assumptions'!$Q$37*'Assumptions'!$D$11*(1+'Assumptions'!$D$13)^(6-1)</x:f>
        <x:v>7110.694663721774</x:v>
      </x:c>
      <x:c r="P655" s="10" t="n">
        <x:f>H655*'Assumptions'!$R$37*'Assumptions'!$D$11*(1+'Assumptions'!$D$13)^(6-1)</x:f>
        <x:v>296.2789443217406</x:v>
      </x:c>
      <x:c r="Q655" s="10" t="n">
        <x:f>J655*'Assumptions'!$S$37</x:f>
        <x:v>0</x:v>
      </x:c>
      <x:c r="R655" s="10" t="n">
        <x:f>H655*'Assumptions'!$Y$37*'Assumptions'!$Z$37*'Assumptions'!$D$11*(1+'Assumptions'!$D$13)^(6-1)</x:f>
        <x:v>222.20920824130545</x:v>
      </x:c>
      <x:c r="S655" s="10" t="n">
        <x:f>IF(I655=0,0,J655*'Assumptions'!$W$37+H655*'Assumptions'!$X$37)</x:f>
        <x:v>452.3638914000001</x:v>
      </x:c>
      <x:c r="T655" s="10" t="n">
        <x:f>N655*'Assumptions'!$AA$37</x:f>
        <x:v>594.9735249600002</x:v>
      </x:c>
      <x:c r="U655" s="10" t="n">
        <x:f>'Assumptions'!$AE$37*'Assumptions'!$D$11*(1+'Assumptions'!$D$13)^(6-1)</x:f>
        <x:v>0</x:v>
      </x:c>
      <x:c r="V655" s="10" t="n">
        <x:f>0</x:f>
        <x:v>0</x:v>
      </x:c>
      <x:c r="W655" s="10" t="n">
        <x:f>H655*('Assumptions'!$P$37+'Assumptions'!$Y$37)</x:f>
        <x:v>108.61844850000001</x:v>
      </x:c>
      <x:c r="X655" s="10" t="n">
        <x:f>N655/12*'Assumptions'!$AF$37</x:f>
        <x:v>1239.5281770000004</x:v>
      </x:c>
      <x:c r="Y655" s="10" t="n">
        <x:f>P655/12</x:f>
        <x:v>24.689912026811715</x:v>
      </x:c>
      <x:c r="Z655" s="10" t="n">
        <x:f>0</x:f>
        <x:v>0</x:v>
      </x:c>
      <x:c r="AA655" s="10" t="n">
        <x:f>Z655*'Assumptions'!$AC$37*'Assumptions'!$D$11*(1+'Assumptions'!$D$13)^(6-1)</x:f>
        <x:v>0</x:v>
      </x:c>
      <x:c r="AB655" s="10" t="n">
        <x:f>F655/1</x:f>
        <x:v>13.572207000000002</x:v>
      </x:c>
      <x:c r="AC655" s="10" t="n">
        <x:f>AB655/'Assumptions'!$AM$37</x:f>
        <x:v>67.861035</x:v>
      </x:c>
      <x:c r="AD655" s="10" t="n">
        <x:f>IF(AB655=0,0,T655/AB655)</x:f>
        <x:v>43.837640035994156</x:v>
      </x:c>
      <x:c r="AE655" s="10" t="n">
        <x:f>AA655*'Assumptions'!$D$21</x:f>
        <x:v>0</x:v>
      </x:c>
    </x:row>
    <x:row r="656" ht="16" customHeight="1">
      <x:c r="A656" s="1"/>
      <x:c r="B656" s="1"/>
      <x:c r="C656" s="1" t="str">
        <x:v>DOT-009</x:v>
      </x:c>
      <x:c r="D656" s="10" t="str">
        <x:v>BPA professional services</x:v>
      </x:c>
      <x:c r="E656" s="10" t="n">
        <x:v>6</x:v>
      </x:c>
      <x:c r="F656" s="21" t="n">
        <x:f>F528*(1+'Assumptions'!$M$38)</x:f>
        <x:v>9.048138000000003</x:v>
      </x:c>
      <x:c r="G656" s="21" t="n">
        <x:f>H528*'Assumptions'!$K$38</x:f>
        <x:v>7.990050000000002</x:v>
      </x:c>
      <x:c r="H656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656+G656,NA())</x:f>
        <x:v>17.038188000000005</x:v>
      </x:c>
      <x:c r="I656" s="22" t="n">
        <x:f>'Assumptions'!$H$38*IF('Assumptions'!$O$38=1,1,'Assumptions'!$D$10)*(1+'Assumptions'!$N$38)^(6-1)</x:f>
        <x:v>900</x:v>
      </x:c>
      <x:c r="J656" s="10" t="n">
        <x:f>H656*I656</x:f>
        <x:v>15334.369200000005</x:v>
      </x:c>
      <x:c r="K656" s="10" t="n">
        <x:f>J656*'Assumptions'!$T$38</x:f>
        <x:v>15334.369200000005</x:v>
      </x:c>
      <x:c r="L656" s="10" t="n">
        <x:f>K656*'Assumptions'!$U$38</x:f>
        <x:v>460.0310760000001</x:v>
      </x:c>
      <x:c r="M656" s="10" t="n">
        <x:f>K656*'Assumptions'!$V$38</x:f>
        <x:v>0</x:v>
      </x:c>
      <x:c r="N656" s="10" t="n">
        <x:f>K656-L656-M656</x:f>
        <x:v>14874.338124000005</x:v>
      </x:c>
      <x:c r="O656" s="10" t="n">
        <x:f>H656*'Assumptions'!$P$38*'Assumptions'!$Q$38*'Assumptions'!$D$11*(1+'Assumptions'!$D$13)^(6-1)</x:f>
        <x:v>7110.694663721775</x:v>
      </x:c>
      <x:c r="P656" s="10" t="n">
        <x:f>H656*'Assumptions'!$R$38*'Assumptions'!$D$11*(1+'Assumptions'!$D$13)^(6-1)</x:f>
        <x:v>197.51929621449375</x:v>
      </x:c>
      <x:c r="Q656" s="10" t="n">
        <x:f>J656*'Assumptions'!$S$38</x:f>
        <x:v>0</x:v>
      </x:c>
      <x:c r="R656" s="10" t="n">
        <x:f>H656*'Assumptions'!$Y$38*'Assumptions'!$Z$38*'Assumptions'!$D$11*(1+'Assumptions'!$D$13)^(6-1)</x:f>
        <x:v>148.13947216087033</x:v>
      </x:c>
      <x:c r="S656" s="10" t="n">
        <x:f>IF(I656=0,0,J656*'Assumptions'!$W$38+H656*'Assumptions'!$X$38)</x:f>
        <x:v>449.80816320000014</x:v>
      </x:c>
      <x:c r="T656" s="10" t="n">
        <x:f>N656*'Assumptions'!$AA$38</x:f>
        <x:v>594.9735249600002</x:v>
      </x:c>
      <x:c r="U656" s="10" t="n">
        <x:f>'Assumptions'!$AE$38*'Assumptions'!$D$11*(1+'Assumptions'!$D$13)^(6-1)</x:f>
        <x:v>0</x:v>
      </x:c>
      <x:c r="V656" s="10" t="n">
        <x:f>0</x:f>
        <x:v>0</x:v>
      </x:c>
      <x:c r="W656" s="10" t="n">
        <x:f>H656*('Assumptions'!$P$38+'Assumptions'!$Y$38)</x:f>
        <x:v>106.48867500000003</x:v>
      </x:c>
      <x:c r="X656" s="10" t="n">
        <x:f>N656/12*'Assumptions'!$AF$38</x:f>
        <x:v>1239.5281770000004</x:v>
      </x:c>
      <x:c r="Y656" s="10" t="n">
        <x:f>P656/12</x:f>
        <x:v>16.459941351207814</x:v>
      </x:c>
      <x:c r="Z656" s="10" t="n">
        <x:f>0</x:f>
        <x:v>0</x:v>
      </x:c>
      <x:c r="AA656" s="10" t="n">
        <x:f>Z656*'Assumptions'!$AC$38*'Assumptions'!$D$11*(1+'Assumptions'!$D$13)^(6-1)</x:f>
        <x:v>0</x:v>
      </x:c>
      <x:c r="AB656" s="10" t="n">
        <x:f>F656/1</x:f>
        <x:v>9.048138000000003</x:v>
      </x:c>
      <x:c r="AC656" s="10" t="n">
        <x:f>AB656/'Assumptions'!$AM$38</x:f>
        <x:v>45.240690000000015</x:v>
      </x:c>
      <x:c r="AD656" s="10" t="n">
        <x:f>IF(AB656=0,0,T656/AB656)</x:f>
        <x:v>65.75646005399122</x:v>
      </x:c>
      <x:c r="AE656" s="10" t="n">
        <x:f>AA656*'Assumptions'!$D$21</x:f>
        <x:v>0</x:v>
      </x:c>
    </x:row>
    <x:row r="657" ht="16" customHeight="1">
      <x:c r="A657" s="1"/>
      <x:c r="B657" s="1"/>
      <x:c r="C657" s="1" t="str">
        <x:v>DOT-010</x:v>
      </x:c>
      <x:c r="D657" s="10" t="str">
        <x:v>BPA professional services</x:v>
      </x:c>
      <x:c r="E657" s="10" t="n">
        <x:v>6</x:v>
      </x:c>
      <x:c r="F657" s="21" t="n">
        <x:f>F529*(1+'Assumptions'!$M$39)</x:f>
        <x:v>9.048138000000003</x:v>
      </x:c>
      <x:c r="G657" s="21" t="n">
        <x:f>H529*'Assumptions'!$K$39</x:f>
        <x:v>7.990050000000002</x:v>
      </x:c>
      <x:c r="H657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657+G657,NA())</x:f>
        <x:v>17.038188000000005</x:v>
      </x:c>
      <x:c r="I657" s="22" t="n">
        <x:f>'Assumptions'!$H$39*IF('Assumptions'!$O$39=1,1,'Assumptions'!$D$10)*(1+'Assumptions'!$N$39)^(6-1)</x:f>
        <x:v>1800</x:v>
      </x:c>
      <x:c r="J657" s="10" t="n">
        <x:f>H657*I657</x:f>
        <x:v>30668.73840000001</x:v>
      </x:c>
      <x:c r="K657" s="10" t="n">
        <x:f>J657*'Assumptions'!$T$39</x:f>
        <x:v>30668.73840000001</x:v>
      </x:c>
      <x:c r="L657" s="10" t="n">
        <x:f>K657*'Assumptions'!$U$39</x:f>
        <x:v>920.0621520000002</x:v>
      </x:c>
      <x:c r="M657" s="10" t="n">
        <x:f>K657*'Assumptions'!$V$39</x:f>
        <x:v>0</x:v>
      </x:c>
      <x:c r="N657" s="10" t="n">
        <x:f>K657-L657-M657</x:f>
        <x:v>29748.67624800001</x:v>
      </x:c>
      <x:c r="O657" s="10" t="n">
        <x:f>H657*'Assumptions'!$P$39*'Assumptions'!$Q$39*'Assumptions'!$D$11*(1+'Assumptions'!$D$13)^(6-1)</x:f>
        <x:v>14221.38932744355</x:v>
      </x:c>
      <x:c r="P657" s="10" t="n">
        <x:f>H657*'Assumptions'!$R$39*'Assumptions'!$D$11*(1+'Assumptions'!$D$13)^(6-1)</x:f>
        <x:v>197.51929621449375</x:v>
      </x:c>
      <x:c r="Q657" s="10" t="n">
        <x:f>J657*'Assumptions'!$S$39</x:f>
        <x:v>0</x:v>
      </x:c>
      <x:c r="R657" s="10" t="n">
        <x:f>H657*'Assumptions'!$Y$39*'Assumptions'!$Z$39*'Assumptions'!$D$11*(1+'Assumptions'!$D$13)^(6-1)</x:f>
        <x:v>148.13947216087033</x:v>
      </x:c>
      <x:c r="S657" s="10" t="n">
        <x:f>IF(I657=0,0,J657*'Assumptions'!$W$39+H657*'Assumptions'!$X$39)</x:f>
        <x:v>894.5048700000002</x:v>
      </x:c>
      <x:c r="T657" s="10" t="n">
        <x:f>N657*'Assumptions'!$AA$39</x:f>
        <x:v>1189.9470499200004</x:v>
      </x:c>
      <x:c r="U657" s="10" t="n">
        <x:f>'Assumptions'!$AE$39*'Assumptions'!$D$11*(1+'Assumptions'!$D$13)^(6-1)</x:f>
        <x:v>0</x:v>
      </x:c>
      <x:c r="V657" s="10" t="n">
        <x:f>0</x:f>
        <x:v>0</x:v>
      </x:c>
      <x:c r="W657" s="10" t="n">
        <x:f>H657*('Assumptions'!$P$39+'Assumptions'!$Y$39)</x:f>
        <x:v>208.71780300000006</x:v>
      </x:c>
      <x:c r="X657" s="10" t="n">
        <x:f>N657/12*'Assumptions'!$AF$39</x:f>
        <x:v>2479.0563540000007</x:v>
      </x:c>
      <x:c r="Y657" s="10" t="n">
        <x:f>P657/12</x:f>
        <x:v>16.459941351207814</x:v>
      </x:c>
      <x:c r="Z657" s="10" t="n">
        <x:f>0</x:f>
        <x:v>0</x:v>
      </x:c>
      <x:c r="AA657" s="10" t="n">
        <x:f>Z657*'Assumptions'!$AC$39*'Assumptions'!$D$11*(1+'Assumptions'!$D$13)^(6-1)</x:f>
        <x:v>0</x:v>
      </x:c>
      <x:c r="AB657" s="10" t="n">
        <x:f>F657/1</x:f>
        <x:v>9.048138000000003</x:v>
      </x:c>
      <x:c r="AC657" s="10" t="n">
        <x:f>AB657/'Assumptions'!$AM$39</x:f>
        <x:v>45.240690000000015</x:v>
      </x:c>
      <x:c r="AD657" s="10" t="n">
        <x:f>IF(AB657=0,0,T657/AB657)</x:f>
        <x:v>131.51292010798244</x:v>
      </x:c>
      <x:c r="AE657" s="10" t="n">
        <x:f>AA657*'Assumptions'!$D$21</x:f>
        <x:v>0</x:v>
      </x:c>
    </x:row>
    <x:row r="658" ht="16" customHeight="1">
      <x:c r="A658" s="1"/>
      <x:c r="B658" s="1"/>
      <x:c r="C658" s="1" t="str">
        <x:v>DOT-011</x:v>
      </x:c>
      <x:c r="D658" s="10" t="str">
        <x:v>BPA professional services</x:v>
      </x:c>
      <x:c r="E658" s="10" t="n">
        <x:v>6</x:v>
      </x:c>
      <x:c r="F658" s="21" t="n">
        <x:f>F530*(1+'Assumptions'!$M$40)</x:f>
        <x:v>27.144414000000005</x:v>
      </x:c>
      <x:c r="G658" s="21" t="n">
        <x:f>H530*'Assumptions'!$K$40</x:f>
        <x:v>23.970150000000004</x:v>
      </x:c>
      <x:c r="H658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658+G658,NA())</x:f>
        <x:v>51.11456400000001</x:v>
      </x:c>
      <x:c r="I658" s="22" t="n">
        <x:f>'Assumptions'!$H$40*IF('Assumptions'!$O$40=1,1,'Assumptions'!$D$10)*(1+'Assumptions'!$N$40)^(6-1)</x:f>
        <x:v>600</x:v>
      </x:c>
      <x:c r="J658" s="10" t="n">
        <x:f>H658*I658</x:f>
        <x:v>30668.738400000006</x:v>
      </x:c>
      <x:c r="K658" s="10" t="n">
        <x:f>J658*'Assumptions'!$T$40</x:f>
        <x:v>30668.738400000006</x:v>
      </x:c>
      <x:c r="L658" s="10" t="n">
        <x:f>K658*'Assumptions'!$U$40</x:f>
        <x:v>920.0621520000001</x:v>
      </x:c>
      <x:c r="M658" s="10" t="n">
        <x:f>K658*'Assumptions'!$V$40</x:f>
        <x:v>0</x:v>
      </x:c>
      <x:c r="N658" s="10" t="n">
        <x:f>K658-L658-M658</x:f>
        <x:v>29748.676248000007</x:v>
      </x:c>
      <x:c r="O658" s="10" t="n">
        <x:f>H658*'Assumptions'!$P$40*'Assumptions'!$Q$40*'Assumptions'!$D$11*(1+'Assumptions'!$D$13)^(6-1)</x:f>
        <x:v>14221.389327443549</x:v>
      </x:c>
      <x:c r="P658" s="10" t="n">
        <x:f>H658*'Assumptions'!$R$40*'Assumptions'!$D$11*(1+'Assumptions'!$D$13)^(6-1)</x:f>
        <x:v>592.5578886434812</x:v>
      </x:c>
      <x:c r="Q658" s="10" t="n">
        <x:f>J658*'Assumptions'!$S$40</x:f>
        <x:v>0</x:v>
      </x:c>
      <x:c r="R658" s="10" t="n">
        <x:f>H658*'Assumptions'!$Y$40*'Assumptions'!$Z$40*'Assumptions'!$D$11*(1+'Assumptions'!$D$13)^(6-1)</x:f>
        <x:v>444.4184164826109</x:v>
      </x:c>
      <x:c r="S658" s="10" t="n">
        <x:f>IF(I658=0,0,J658*'Assumptions'!$W$40+H658*'Assumptions'!$X$40)</x:f>
        <x:v>904.7277828000002</x:v>
      </x:c>
      <x:c r="T658" s="10" t="n">
        <x:f>N658*'Assumptions'!$AA$40</x:f>
        <x:v>1189.9470499200004</x:v>
      </x:c>
      <x:c r="U658" s="10" t="n">
        <x:f>'Assumptions'!$AE$40*'Assumptions'!$D$11*(1+'Assumptions'!$D$13)^(6-1)</x:f>
        <x:v>0</x:v>
      </x:c>
      <x:c r="V658" s="10" t="n">
        <x:f>0</x:f>
        <x:v>0</x:v>
      </x:c>
      <x:c r="W658" s="10" t="n">
        <x:f>H658*('Assumptions'!$P$40+'Assumptions'!$Y$40)</x:f>
        <x:v>217.23689700000003</x:v>
      </x:c>
      <x:c r="X658" s="10" t="n">
        <x:f>N658/12*'Assumptions'!$AF$40</x:f>
        <x:v>2479.0563540000007</x:v>
      </x:c>
      <x:c r="Y658" s="10" t="n">
        <x:f>P658/12</x:f>
        <x:v>49.37982405362343</x:v>
      </x:c>
      <x:c r="Z658" s="10" t="n">
        <x:f>0</x:f>
        <x:v>0</x:v>
      </x:c>
      <x:c r="AA658" s="10" t="n">
        <x:f>Z658*'Assumptions'!$AC$40*'Assumptions'!$D$11*(1+'Assumptions'!$D$13)^(6-1)</x:f>
        <x:v>0</x:v>
      </x:c>
      <x:c r="AB658" s="10" t="n">
        <x:f>F658/12</x:f>
        <x:v>2.2620345000000004</x:v>
      </x:c>
      <x:c r="AC658" s="10" t="n">
        <x:f>AB658/'Assumptions'!$AM$40</x:f>
        <x:v>11.310172500000002</x:v>
      </x:c>
      <x:c r="AD658" s="10" t="n">
        <x:f>IF(AB658=0,0,T658/AB658)</x:f>
        <x:v>526.0516804319299</x:v>
      </x:c>
      <x:c r="AE658" s="10" t="n">
        <x:f>AA658*'Assumptions'!$D$21</x:f>
        <x:v>0</x:v>
      </x:c>
    </x:row>
    <x:row r="659" ht="16" customHeight="1">
      <x:c r="A659" s="1"/>
      <x:c r="B659" s="1"/>
      <x:c r="C659" s="1" t="str">
        <x:v>DOT-012</x:v>
      </x:c>
      <x:c r="D659" s="10" t="str">
        <x:v>BPA professional services</x:v>
      </x:c>
      <x:c r="E659" s="10" t="n">
        <x:v>6</x:v>
      </x:c>
      <x:c r="F659" s="21" t="n">
        <x:f>F531*(1+'Assumptions'!$M$41)</x:f>
        <x:v>18.096276000000007</x:v>
      </x:c>
      <x:c r="G659" s="21" t="n">
        <x:f>H531*'Assumptions'!$K$41</x:f>
        <x:v>15.980100000000004</x:v>
      </x:c>
      <x:c r="H659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659+G659,NA())</x:f>
        <x:v>34.07637600000001</x:v>
      </x:c>
      <x:c r="I659" s="22" t="n">
        <x:f>'Assumptions'!$H$41*IF('Assumptions'!$O$41=1,1,'Assumptions'!$D$10)*(1+'Assumptions'!$N$41)^(6-1)</x:f>
        <x:v>1080</x:v>
      </x:c>
      <x:c r="J659" s="10" t="n">
        <x:f>H659*I659</x:f>
        <x:v>36802.48608000001</x:v>
      </x:c>
      <x:c r="K659" s="10" t="n">
        <x:f>J659*'Assumptions'!$T$41</x:f>
        <x:v>36802.48608000001</x:v>
      </x:c>
      <x:c r="L659" s="10" t="n">
        <x:f>K659*'Assumptions'!$U$41</x:f>
        <x:v>1104.0745824000003</x:v>
      </x:c>
      <x:c r="M659" s="10" t="n">
        <x:f>K659*'Assumptions'!$V$41</x:f>
        <x:v>0</x:v>
      </x:c>
      <x:c r="N659" s="10" t="n">
        <x:f>K659-L659-M659</x:f>
        <x:v>35698.41149760001</x:v>
      </x:c>
      <x:c r="O659" s="10" t="n">
        <x:f>H659*'Assumptions'!$P$41*'Assumptions'!$Q$41*'Assumptions'!$D$11*(1+'Assumptions'!$D$13)^(6-1)</x:f>
        <x:v>18961.8524365914</x:v>
      </x:c>
      <x:c r="P659" s="10" t="n">
        <x:f>H659*'Assumptions'!$R$41*'Assumptions'!$D$11*(1+'Assumptions'!$D$13)^(6-1)</x:f>
        <x:v>395.0385924289875</x:v>
      </x:c>
      <x:c r="Q659" s="10" t="n">
        <x:f>J659*'Assumptions'!$S$41</x:f>
        <x:v>0</x:v>
      </x:c>
      <x:c r="R659" s="10" t="n">
        <x:f>H659*'Assumptions'!$Y$41*'Assumptions'!$Z$41*'Assumptions'!$D$11*(1+'Assumptions'!$D$13)^(6-1)</x:f>
        <x:v>296.27894432174065</x:v>
      </x:c>
      <x:c r="S659" s="10" t="n">
        <x:f>IF(I659=0,0,J659*'Assumptions'!$W$41+H659*'Assumptions'!$X$41)</x:f>
        <x:v>1077.4950091200003</x:v>
      </x:c>
      <x:c r="T659" s="10" t="n">
        <x:f>N659*'Assumptions'!$AA$41</x:f>
        <x:v>1427.9364599040005</x:v>
      </x:c>
      <x:c r="U659" s="10" t="n">
        <x:f>'Assumptions'!$AE$41*'Assumptions'!$D$11*(1+'Assumptions'!$D$13)^(6-1)</x:f>
        <x:v>0</x:v>
      </x:c>
      <x:c r="V659" s="10" t="n">
        <x:f>0</x:f>
        <x:v>0</x:v>
      </x:c>
      <x:c r="W659" s="10" t="n">
        <x:f>H659*('Assumptions'!$P$41+'Assumptions'!$Y$41)</x:f>
        <x:v>281.1301020000001</x:v>
      </x:c>
      <x:c r="X659" s="10" t="n">
        <x:f>N659/12*'Assumptions'!$AF$41</x:f>
        <x:v>2974.867624800001</x:v>
      </x:c>
      <x:c r="Y659" s="10" t="n">
        <x:f>P659/12</x:f>
        <x:v>32.91988270241563</x:v>
      </x:c>
      <x:c r="Z659" s="10" t="n">
        <x:f>0</x:f>
        <x:v>0</x:v>
      </x:c>
      <x:c r="AA659" s="10" t="n">
        <x:f>Z659*'Assumptions'!$AC$41*'Assumptions'!$D$11*(1+'Assumptions'!$D$13)^(6-1)</x:f>
        <x:v>0</x:v>
      </x:c>
      <x:c r="AB659" s="10" t="n">
        <x:f>F659/12</x:f>
        <x:v>1.5080230000000006</x:v>
      </x:c>
      <x:c r="AC659" s="10" t="n">
        <x:f>AB659/'Assumptions'!$AM$41</x:f>
        <x:v>7.540115000000003</x:v>
      </x:c>
      <x:c r="AD659" s="10" t="n">
        <x:f>IF(AB659=0,0,T659/AB659)</x:f>
        <x:v>946.8930247774736</x:v>
      </x:c>
      <x:c r="AE659" s="10" t="n">
        <x:f>AA659*'Assumptions'!$D$21</x:f>
        <x:v>0</x:v>
      </x:c>
    </x:row>
    <x:row r="660" ht="16" customHeight="1">
      <x:c r="A660" s="1"/>
      <x:c r="B660" s="1"/>
      <x:c r="C660" s="1" t="str">
        <x:v>DOT-013</x:v>
      </x:c>
      <x:c r="D660" s="10" t="str">
        <x:v>BPA professional services</x:v>
      </x:c>
      <x:c r="E660" s="10" t="n">
        <x:v>6</x:v>
      </x:c>
      <x:c r="F660" s="21" t="n">
        <x:f>F532*(1+'Assumptions'!$M$42)</x:f>
        <x:v>13.572207000000002</x:v>
      </x:c>
      <x:c r="G660" s="21" t="n">
        <x:f>H532*'Assumptions'!$K$42</x:f>
        <x:v>11.985075000000002</x:v>
      </x:c>
      <x:c r="H660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660+G660,NA())</x:f>
        <x:v>25.557282000000004</x:v>
      </x:c>
      <x:c r="I660" s="22" t="n">
        <x:f>'Assumptions'!$H$42*IF('Assumptions'!$O$42=1,1,'Assumptions'!$D$10)*(1+'Assumptions'!$N$42)^(6-1)</x:f>
        <x:v>2160</x:v>
      </x:c>
      <x:c r="J660" s="10" t="n">
        <x:f>H660*I660</x:f>
        <x:v>55203.72912000001</x:v>
      </x:c>
      <x:c r="K660" s="10" t="n">
        <x:f>J660*'Assumptions'!$T$42</x:f>
        <x:v>55203.72912000001</x:v>
      </x:c>
      <x:c r="L660" s="10" t="n">
        <x:f>K660*'Assumptions'!$U$42</x:f>
        <x:v>1656.1118736000003</x:v>
      </x:c>
      <x:c r="M660" s="10" t="n">
        <x:f>K660*'Assumptions'!$V$42</x:f>
        <x:v>0</x:v>
      </x:c>
      <x:c r="N660" s="10" t="n">
        <x:f>K660-L660-M660</x:f>
        <x:v>53547.61724640001</x:v>
      </x:c>
      <x:c r="O660" s="10" t="n">
        <x:f>H660*'Assumptions'!$P$42*'Assumptions'!$Q$42*'Assumptions'!$D$11*(1+'Assumptions'!$D$13)^(6-1)</x:f>
        <x:v>28442.778654887097</x:v>
      </x:c>
      <x:c r="P660" s="10" t="n">
        <x:f>H660*'Assumptions'!$R$42*'Assumptions'!$D$11*(1+'Assumptions'!$D$13)^(6-1)</x:f>
        <x:v>296.2789443217406</x:v>
      </x:c>
      <x:c r="Q660" s="10" t="n">
        <x:f>J660*'Assumptions'!$S$42</x:f>
        <x:v>0</x:v>
      </x:c>
      <x:c r="R660" s="10" t="n">
        <x:f>H660*'Assumptions'!$Y$42*'Assumptions'!$Z$42*'Assumptions'!$D$11*(1+'Assumptions'!$D$13)^(6-1)</x:f>
        <x:v>222.20920824130545</x:v>
      </x:c>
      <x:c r="S660" s="10" t="n">
        <x:f>IF(I660=0,0,J660*'Assumptions'!$W$42+H660*'Assumptions'!$X$42)</x:f>
        <x:v>1608.5753290800003</x:v>
      </x:c>
      <x:c r="T660" s="10" t="n">
        <x:f>N660*'Assumptions'!$AA$42</x:f>
        <x:v>2141.9046898560005</x:v>
      </x:c>
      <x:c r="U660" s="10" t="n">
        <x:f>'Assumptions'!$AE$42*'Assumptions'!$D$11*(1+'Assumptions'!$D$13)^(6-1)</x:f>
        <x:v>0</x:v>
      </x:c>
      <x:c r="V660" s="10" t="n">
        <x:f>0</x:f>
        <x:v>0</x:v>
      </x:c>
      <x:c r="W660" s="10" t="n">
        <x:f>H660*('Assumptions'!$P$42+'Assumptions'!$Y$42)</x:f>
        <x:v>415.30583250000007</x:v>
      </x:c>
      <x:c r="X660" s="10" t="n">
        <x:f>N660/12*'Assumptions'!$AF$42</x:f>
        <x:v>4462.301437200001</x:v>
      </x:c>
      <x:c r="Y660" s="10" t="n">
        <x:f>P660/12</x:f>
        <x:v>24.689912026811715</x:v>
      </x:c>
      <x:c r="Z660" s="10" t="n">
        <x:f>0</x:f>
        <x:v>0</x:v>
      </x:c>
      <x:c r="AA660" s="10" t="n">
        <x:f>Z660*'Assumptions'!$AC$42*'Assumptions'!$D$11*(1+'Assumptions'!$D$13)^(6-1)</x:f>
        <x:v>0</x:v>
      </x:c>
      <x:c r="AB660" s="10" t="n">
        <x:f>F660/12</x:f>
        <x:v>1.1310172500000002</x:v>
      </x:c>
      <x:c r="AC660" s="10" t="n">
        <x:f>AB660/'Assumptions'!$AM$42</x:f>
        <x:v>5.655086250000001</x:v>
      </x:c>
      <x:c r="AD660" s="10" t="n">
        <x:f>IF(AB660=0,0,T660/AB660)</x:f>
        <x:v>1893.786049554947</x:v>
      </x:c>
      <x:c r="AE660" s="10" t="n">
        <x:f>AA660*'Assumptions'!$D$21</x:f>
        <x:v>0</x:v>
      </x:c>
    </x:row>
    <x:row r="661" ht="16" customHeight="1">
      <x:c r="A661" s="1"/>
      <x:c r="B661" s="1"/>
      <x:c r="C661" s="1" t="str">
        <x:v>DOT-014</x:v>
      </x:c>
      <x:c r="D661" s="10" t="str">
        <x:v>BPA professional services</x:v>
      </x:c>
      <x:c r="E661" s="10" t="n">
        <x:v>6</x:v>
      </x:c>
      <x:c r="F661" s="21" t="n">
        <x:f>F533*(1+'Assumptions'!$M$43)</x:f>
        <x:v>9.048138000000003</x:v>
      </x:c>
      <x:c r="G661" s="21" t="n">
        <x:f>H533*'Assumptions'!$K$43</x:f>
        <x:v>7.990050000000002</x:v>
      </x:c>
      <x:c r="H661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661+G661,NA())</x:f>
        <x:v>17.038188000000005</x:v>
      </x:c>
      <x:c r="I661" s="22" t="n">
        <x:f>'Assumptions'!$H$43*IF('Assumptions'!$O$43=1,1,'Assumptions'!$D$10)*(1+'Assumptions'!$N$43)^(6-1)</x:f>
        <x:v>3000</x:v>
      </x:c>
      <x:c r="J661" s="10" t="n">
        <x:f>H661*I661</x:f>
        <x:v>51114.56400000001</x:v>
      </x:c>
      <x:c r="K661" s="10" t="n">
        <x:f>J661*'Assumptions'!$T$43</x:f>
        <x:v>51114.56400000001</x:v>
      </x:c>
      <x:c r="L661" s="10" t="n">
        <x:f>K661*'Assumptions'!$U$43</x:f>
        <x:v>1533.4369200000003</x:v>
      </x:c>
      <x:c r="M661" s="10" t="n">
        <x:f>K661*'Assumptions'!$V$43</x:f>
        <x:v>0</x:v>
      </x:c>
      <x:c r="N661" s="10" t="n">
        <x:f>K661-L661-M661</x:f>
        <x:v>49581.12708000001</x:v>
      </x:c>
      <x:c r="O661" s="10" t="n">
        <x:f>H661*'Assumptions'!$P$43*'Assumptions'!$Q$43*'Assumptions'!$D$11*(1+'Assumptions'!$D$13)^(6-1)</x:f>
        <x:v>23702.315545739253</x:v>
      </x:c>
      <x:c r="P661" s="10" t="n">
        <x:f>H661*'Assumptions'!$R$43*'Assumptions'!$D$11*(1+'Assumptions'!$D$13)^(6-1)</x:f>
        <x:v>197.51929621449375</x:v>
      </x:c>
      <x:c r="Q661" s="10" t="n">
        <x:f>J661*'Assumptions'!$S$43</x:f>
        <x:v>0</x:v>
      </x:c>
      <x:c r="R661" s="10" t="n">
        <x:f>H661*'Assumptions'!$Y$43*'Assumptions'!$Z$43*'Assumptions'!$D$11*(1+'Assumptions'!$D$13)^(6-1)</x:f>
        <x:v>148.13947216087033</x:v>
      </x:c>
      <x:c r="S661" s="10" t="n">
        <x:f>IF(I661=0,0,J661*'Assumptions'!$W$43+H661*'Assumptions'!$X$43)</x:f>
        <x:v>1487.4338124000003</x:v>
      </x:c>
      <x:c r="T661" s="10" t="n">
        <x:f>N661*'Assumptions'!$AA$43</x:f>
        <x:v>1983.2450832000006</x:v>
      </x:c>
      <x:c r="U661" s="10" t="n">
        <x:f>'Assumptions'!$AE$43*'Assumptions'!$D$11*(1+'Assumptions'!$D$13)^(6-1)</x:f>
        <x:v>0</x:v>
      </x:c>
      <x:c r="V661" s="10" t="n">
        <x:f>0</x:f>
        <x:v>0</x:v>
      </x:c>
      <x:c r="W661" s="10" t="n">
        <x:f>H661*('Assumptions'!$P$43+'Assumptions'!$Y$43)</x:f>
        <x:v>345.0233070000001</x:v>
      </x:c>
      <x:c r="X661" s="10" t="n">
        <x:f>N661/12*'Assumptions'!$AF$43</x:f>
        <x:v>4131.760590000001</x:v>
      </x:c>
      <x:c r="Y661" s="10" t="n">
        <x:f>P661/12</x:f>
        <x:v>16.459941351207814</x:v>
      </x:c>
      <x:c r="Z661" s="10" t="n">
        <x:f>0</x:f>
        <x:v>0</x:v>
      </x:c>
      <x:c r="AA661" s="10" t="n">
        <x:f>Z661*'Assumptions'!$AC$43*'Assumptions'!$D$11*(1+'Assumptions'!$D$13)^(6-1)</x:f>
        <x:v>0</x:v>
      </x:c>
      <x:c r="AB661" s="10" t="n">
        <x:f>F661/12</x:f>
        <x:v>0.7540115000000003</x:v>
      </x:c>
      <x:c r="AC661" s="10" t="n">
        <x:f>AB661/'Assumptions'!$AM$43</x:f>
        <x:v>3.7700575000000014</x:v>
      </x:c>
      <x:c r="AD661" s="10" t="n">
        <x:f>IF(AB661=0,0,T661/AB661)</x:f>
        <x:v>2630.2584021596485</x:v>
      </x:c>
      <x:c r="AE661" s="10" t="n">
        <x:f>AA661*'Assumptions'!$D$21</x:f>
        <x:v>0</x:v>
      </x:c>
    </x:row>
    <x:row r="662" ht="16" customHeight="1">
      <x:c r="A662" s="1"/>
      <x:c r="B662" s="1"/>
      <x:c r="C662" s="1" t="str">
        <x:v>DOT-015</x:v>
      </x:c>
      <x:c r="D662" s="10" t="str">
        <x:v>BPA professional services</x:v>
      </x:c>
      <x:c r="E662" s="10" t="n">
        <x:v>6</x:v>
      </x:c>
      <x:c r="F662" s="21" t="n">
        <x:f>F534*(1+'Assumptions'!$M$44)</x:f>
        <x:v>7.540115000000002</x:v>
      </x:c>
      <x:c r="G662" s="21" t="n">
        <x:f>H534*'Assumptions'!$K$44</x:f>
        <x:v>6.658375000000001</x:v>
      </x:c>
      <x:c r="H662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662+G662,NA())</x:f>
        <x:v>14.198490000000003</x:v>
      </x:c>
      <x:c r="I662" s="22" t="n">
        <x:f>'Assumptions'!$H$44*IF('Assumptions'!$O$44=1,1,'Assumptions'!$D$10)*(1+'Assumptions'!$N$44)^(6-1)</x:f>
        <x:v>1200</x:v>
      </x:c>
      <x:c r="J662" s="10" t="n">
        <x:f>H662*I662</x:f>
        <x:v>17038.188000000006</x:v>
      </x:c>
      <x:c r="K662" s="10" t="n">
        <x:f>J662*'Assumptions'!$T$44</x:f>
        <x:v>17038.188000000006</x:v>
      </x:c>
      <x:c r="L662" s="10" t="n">
        <x:f>K662*'Assumptions'!$U$44</x:f>
        <x:v>511.1456400000001</x:v>
      </x:c>
      <x:c r="M662" s="10" t="n">
        <x:f>K662*'Assumptions'!$V$44</x:f>
        <x:v>0</x:v>
      </x:c>
      <x:c r="N662" s="10" t="n">
        <x:f>K662-L662-M662</x:f>
        <x:v>16527.042360000007</x:v>
      </x:c>
      <x:c r="O662" s="10" t="n">
        <x:f>H662*'Assumptions'!$P$44*'Assumptions'!$Q$44*'Assumptions'!$D$11*(1+'Assumptions'!$D$13)^(6-1)</x:f>
        <x:v>9875.964810724689</x:v>
      </x:c>
      <x:c r="P662" s="10" t="n">
        <x:f>H662*'Assumptions'!$R$44*'Assumptions'!$D$11*(1+'Assumptions'!$D$13)^(6-1)</x:f>
        <x:v>164.59941351207812</x:v>
      </x:c>
      <x:c r="Q662" s="10" t="n">
        <x:f>J662*'Assumptions'!$S$44</x:f>
        <x:v>0</x:v>
      </x:c>
      <x:c r="R662" s="10" t="n">
        <x:f>H662*'Assumptions'!$Y$44*'Assumptions'!$Z$44*'Assumptions'!$D$11*(1+'Assumptions'!$D$13)^(6-1)</x:f>
        <x:v>123.44956013405859</x:v>
      </x:c>
      <x:c r="S662" s="10" t="n">
        <x:f>IF(I662=0,0,J662*'Assumptions'!$W$44+H662*'Assumptions'!$X$44)</x:f>
        <x:v>498.3669990000002</x:v>
      </x:c>
      <x:c r="T662" s="10" t="n">
        <x:f>N662*'Assumptions'!$AA$44</x:f>
        <x:v>661.0816944000003</x:v>
      </x:c>
      <x:c r="U662" s="10" t="n">
        <x:f>'Assumptions'!$AE$44*'Assumptions'!$D$11*(1+'Assumptions'!$D$13)^(6-1)</x:f>
        <x:v>0</x:v>
      </x:c>
      <x:c r="V662" s="10" t="n">
        <x:f>0</x:f>
        <x:v>0</x:v>
      </x:c>
      <x:c r="W662" s="10" t="n">
        <x:f>H662*('Assumptions'!$P$44+'Assumptions'!$Y$44)</x:f>
        <x:v>145.53452250000004</x:v>
      </x:c>
      <x:c r="X662" s="10" t="n">
        <x:f>N662/12*'Assumptions'!$AF$44</x:f>
        <x:v>1377.2535300000006</x:v>
      </x:c>
      <x:c r="Y662" s="10" t="n">
        <x:f>P662/12</x:f>
        <x:v>13.716617792673176</x:v>
      </x:c>
      <x:c r="Z662" s="10" t="n">
        <x:f>0</x:f>
        <x:v>0</x:v>
      </x:c>
      <x:c r="AA662" s="10" t="n">
        <x:f>Z662*'Assumptions'!$AC$44*'Assumptions'!$D$11*(1+'Assumptions'!$D$13)^(6-1)</x:f>
        <x:v>0</x:v>
      </x:c>
      <x:c r="AB662" s="10" t="n">
        <x:f>F662/1</x:f>
        <x:v>7.540115000000002</x:v>
      </x:c>
      <x:c r="AC662" s="10" t="n">
        <x:f>AB662/'Assumptions'!$AM$44</x:f>
        <x:v>37.70057500000001</x:v>
      </x:c>
      <x:c r="AD662" s="10" t="n">
        <x:f>IF(AB662=0,0,T662/AB662)</x:f>
        <x:v>87.67528007198831</x:v>
      </x:c>
      <x:c r="AE662" s="10" t="n">
        <x:f>AA662*'Assumptions'!$D$21</x:f>
        <x:v>0</x:v>
      </x:c>
    </x:row>
    <x:row r="663" ht="16" customHeight="1">
      <x:c r="A663" s="1"/>
      <x:c r="B663" s="1"/>
      <x:c r="C663" s="1" t="str">
        <x:v>DOT-016</x:v>
      </x:c>
      <x:c r="D663" s="10" t="str">
        <x:v>BPA professional services</x:v>
      </x:c>
      <x:c r="E663" s="10" t="n">
        <x:v>6</x:v>
      </x:c>
      <x:c r="F663" s="21" t="n">
        <x:f>F535*(1+'Assumptions'!$M$45)</x:f>
        <x:v>4.524069000000002</x:v>
      </x:c>
      <x:c r="G663" s="21" t="n">
        <x:f>H535*'Assumptions'!$K$45</x:f>
        <x:v>3.995025000000001</x:v>
      </x:c>
      <x:c r="H663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663+G663,NA())</x:f>
        <x:v>8.519094000000003</x:v>
      </x:c>
      <x:c r="I663" s="22" t="n">
        <x:f>'Assumptions'!$H$45*IF('Assumptions'!$O$45=1,1,'Assumptions'!$D$10)*(1+'Assumptions'!$N$45)^(6-1)</x:f>
        <x:v>1800</x:v>
      </x:c>
      <x:c r="J663" s="10" t="n">
        <x:f>H663*I663</x:f>
        <x:v>15334.369200000005</x:v>
      </x:c>
      <x:c r="K663" s="10" t="n">
        <x:f>J663*'Assumptions'!$T$45</x:f>
        <x:v>15334.369200000005</x:v>
      </x:c>
      <x:c r="L663" s="10" t="n">
        <x:f>K663*'Assumptions'!$U$45</x:f>
        <x:v>460.0310760000001</x:v>
      </x:c>
      <x:c r="M663" s="10" t="n">
        <x:f>K663*'Assumptions'!$V$45</x:f>
        <x:v>0</x:v>
      </x:c>
      <x:c r="N663" s="10" t="n">
        <x:f>K663-L663-M663</x:f>
        <x:v>14874.338124000005</x:v>
      </x:c>
      <x:c r="O663" s="10" t="n">
        <x:f>H663*'Assumptions'!$P$45*'Assumptions'!$Q$45*'Assumptions'!$D$11*(1+'Assumptions'!$D$13)^(6-1)</x:f>
        <x:v>2962.7894432174066</x:v>
      </x:c>
      <x:c r="P663" s="10" t="n">
        <x:f>H663*'Assumptions'!$R$45*'Assumptions'!$D$11*(1+'Assumptions'!$D$13)^(6-1)</x:f>
        <x:v>98.75964810724687</x:v>
      </x:c>
      <x:c r="Q663" s="10" t="n">
        <x:f>J663*'Assumptions'!$S$45</x:f>
        <x:v>0</x:v>
      </x:c>
      <x:c r="R663" s="10" t="n">
        <x:f>H663*'Assumptions'!$Y$45*'Assumptions'!$Z$45*'Assumptions'!$D$11*(1+'Assumptions'!$D$13)^(6-1)</x:f>
        <x:v>74.06973608043516</x:v>
      </x:c>
      <x:c r="S663" s="10" t="n">
        <x:f>IF(I663=0,0,J663*'Assumptions'!$W$45+H663*'Assumptions'!$X$45)</x:f>
        <x:v>447.2524350000001</x:v>
      </x:c>
      <x:c r="T663" s="10" t="n">
        <x:f>N663*'Assumptions'!$AA$45</x:f>
        <x:v>594.9735249600002</x:v>
      </x:c>
      <x:c r="U663" s="10" t="n">
        <x:f>'Assumptions'!$AE$45*'Assumptions'!$D$11*(1+'Assumptions'!$D$13)^(6-1)</x:f>
        <x:v>0</x:v>
      </x:c>
      <x:c r="V663" s="10" t="n">
        <x:f>0</x:f>
        <x:v>0</x:v>
      </x:c>
      <x:c r="W663" s="10" t="n">
        <x:f>H663*('Assumptions'!$P$45+'Assumptions'!$Y$45)</x:f>
        <x:v>44.72524350000001</x:v>
      </x:c>
      <x:c r="X663" s="10" t="n">
        <x:f>N663/12*'Assumptions'!$AF$45</x:f>
        <x:v>1239.5281770000004</x:v>
      </x:c>
      <x:c r="Y663" s="10" t="n">
        <x:f>P663/12</x:f>
        <x:v>8.229970675603907</x:v>
      </x:c>
      <x:c r="Z663" s="10" t="n">
        <x:f>0</x:f>
        <x:v>0</x:v>
      </x:c>
      <x:c r="AA663" s="10" t="n">
        <x:f>Z663*'Assumptions'!$AC$45*'Assumptions'!$D$11*(1+'Assumptions'!$D$13)^(6-1)</x:f>
        <x:v>0</x:v>
      </x:c>
      <x:c r="AB663" s="10" t="n">
        <x:f>F663/1</x:f>
        <x:v>4.524069000000002</x:v>
      </x:c>
      <x:c r="AC663" s="10" t="n">
        <x:f>AB663/'Assumptions'!$AM$45</x:f>
        <x:v>22.620345000000007</x:v>
      </x:c>
      <x:c r="AD663" s="10" t="n">
        <x:f>IF(AB663=0,0,T663/AB663)</x:f>
        <x:v>131.51292010798244</x:v>
      </x:c>
      <x:c r="AE663" s="10" t="n">
        <x:f>AA663*'Assumptions'!$D$21</x:f>
        <x:v>0</x:v>
      </x:c>
    </x:row>
    <x:row r="664" ht="16" customHeight="1">
      <x:c r="A664" s="1"/>
      <x:c r="B664" s="1"/>
      <x:c r="C664" s="1" t="str">
        <x:v>DOT-017</x:v>
      </x:c>
      <x:c r="D664" s="10" t="str">
        <x:v>BPA professional services</x:v>
      </x:c>
      <x:c r="E664" s="10" t="n">
        <x:v>6</x:v>
      </x:c>
      <x:c r="F664" s="21" t="n">
        <x:f>F536*(1+'Assumptions'!$M$46)</x:f>
        <x:v>4.524069000000002</x:v>
      </x:c>
      <x:c r="G664" s="21" t="n">
        <x:f>H536*'Assumptions'!$K$46</x:f>
        <x:v>3.995025000000001</x:v>
      </x:c>
      <x:c r="H664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664+G664,NA())</x:f>
        <x:v>8.519094000000003</x:v>
      </x:c>
      <x:c r="I664" s="22" t="n">
        <x:f>'Assumptions'!$H$46*IF('Assumptions'!$O$46=1,1,'Assumptions'!$D$10)*(1+'Assumptions'!$N$46)^(6-1)</x:f>
        <x:v>1500</x:v>
      </x:c>
      <x:c r="J664" s="10" t="n">
        <x:f>H664*I664</x:f>
        <x:v>12778.641000000003</x:v>
      </x:c>
      <x:c r="K664" s="10" t="n">
        <x:f>J664*'Assumptions'!$T$46</x:f>
        <x:v>12778.641000000003</x:v>
      </x:c>
      <x:c r="L664" s="10" t="n">
        <x:f>K664*'Assumptions'!$U$46</x:f>
        <x:v>383.3592300000001</x:v>
      </x:c>
      <x:c r="M664" s="10" t="n">
        <x:f>K664*'Assumptions'!$V$46</x:f>
        <x:v>0</x:v>
      </x:c>
      <x:c r="N664" s="10" t="n">
        <x:f>K664-L664-M664</x:f>
        <x:v>12395.281770000003</x:v>
      </x:c>
      <x:c r="O664" s="10" t="n">
        <x:f>H664*'Assumptions'!$P$46*'Assumptions'!$Q$46*'Assumptions'!$D$11*(1+'Assumptions'!$D$13)^(6-1)</x:f>
        <x:v>3555.3473318608876</x:v>
      </x:c>
      <x:c r="P664" s="10" t="n">
        <x:f>H664*'Assumptions'!$R$46*'Assumptions'!$D$11*(1+'Assumptions'!$D$13)^(6-1)</x:f>
        <x:v>98.75964810724687</x:v>
      </x:c>
      <x:c r="Q664" s="10" t="n">
        <x:f>J664*'Assumptions'!$S$46</x:f>
        <x:v>0</x:v>
      </x:c>
      <x:c r="R664" s="10" t="n">
        <x:f>H664*'Assumptions'!$Y$46*'Assumptions'!$Z$46*'Assumptions'!$D$11*(1+'Assumptions'!$D$13)^(6-1)</x:f>
        <x:v>74.06973608043516</x:v>
      </x:c>
      <x:c r="S664" s="10" t="n">
        <x:f>IF(I664=0,0,J664*'Assumptions'!$W$46+H664*'Assumptions'!$X$46)</x:f>
        <x:v>373.13631720000006</x:v>
      </x:c>
      <x:c r="T664" s="10" t="n">
        <x:f>N664*'Assumptions'!$AA$46</x:f>
        <x:v>495.81127080000016</x:v>
      </x:c>
      <x:c r="U664" s="10" t="n">
        <x:f>'Assumptions'!$AE$46*'Assumptions'!$D$11*(1+'Assumptions'!$D$13)^(6-1)</x:f>
        <x:v>0</x:v>
      </x:c>
      <x:c r="V664" s="10" t="n">
        <x:f>0</x:f>
        <x:v>0</x:v>
      </x:c>
      <x:c r="W664" s="10" t="n">
        <x:f>H664*('Assumptions'!$P$46+'Assumptions'!$Y$46)</x:f>
        <x:v>53.244337500000015</x:v>
      </x:c>
      <x:c r="X664" s="10" t="n">
        <x:f>N664/12*'Assumptions'!$AF$46</x:f>
        <x:v>1032.9401475000002</x:v>
      </x:c>
      <x:c r="Y664" s="10" t="n">
        <x:f>P664/12</x:f>
        <x:v>8.229970675603907</x:v>
      </x:c>
      <x:c r="Z664" s="10" t="n">
        <x:f>0</x:f>
        <x:v>0</x:v>
      </x:c>
      <x:c r="AA664" s="10" t="n">
        <x:f>Z664*'Assumptions'!$AC$46*'Assumptions'!$D$11*(1+'Assumptions'!$D$13)^(6-1)</x:f>
        <x:v>0</x:v>
      </x:c>
      <x:c r="AB664" s="10" t="n">
        <x:f>F664/1</x:f>
        <x:v>4.524069000000002</x:v>
      </x:c>
      <x:c r="AC664" s="10" t="n">
        <x:f>AB664/'Assumptions'!$AM$46</x:f>
        <x:v>22.620345000000007</x:v>
      </x:c>
      <x:c r="AD664" s="10" t="n">
        <x:f>IF(AB664=0,0,T664/AB664)</x:f>
        <x:v>109.59410008998536</x:v>
      </x:c>
      <x:c r="AE664" s="10" t="n">
        <x:f>AA664*'Assumptions'!$D$21</x:f>
        <x:v>0</x:v>
      </x:c>
    </x:row>
    <x:row r="665" ht="16" customHeight="1">
      <x:c r="A665" s="1"/>
      <x:c r="B665" s="1"/>
      <x:c r="C665" s="1" t="str">
        <x:v>DOT-018</x:v>
      </x:c>
      <x:c r="D665" s="10" t="str">
        <x:v>BPA professional services</x:v>
      </x:c>
      <x:c r="E665" s="10" t="n">
        <x:v>6</x:v>
      </x:c>
      <x:c r="F665" s="21" t="n">
        <x:f>F537*(1+'Assumptions'!$M$47)</x:f>
        <x:v>6.032092000000003</x:v>
      </x:c>
      <x:c r="G665" s="21" t="n">
        <x:f>H537*'Assumptions'!$K$47</x:f>
        <x:v>5.3267000000000015</x:v>
      </x:c>
      <x:c r="H665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665+G665,NA())</x:f>
        <x:v>11.358792000000005</x:v>
      </x:c>
      <x:c r="I665" s="22" t="n">
        <x:f>'Assumptions'!$H$47*IF('Assumptions'!$O$47=1,1,'Assumptions'!$D$10)*(1+'Assumptions'!$N$47)^(6-1)</x:f>
        <x:v>1200</x:v>
      </x:c>
      <x:c r="J665" s="10" t="n">
        <x:f>H665*I665</x:f>
        <x:v>13630.550400000006</x:v>
      </x:c>
      <x:c r="K665" s="10" t="n">
        <x:f>J665*'Assumptions'!$T$47</x:f>
        <x:v>13630.550400000006</x:v>
      </x:c>
      <x:c r="L665" s="10" t="n">
        <x:f>K665*'Assumptions'!$U$47</x:f>
        <x:v>408.9165120000001</x:v>
      </x:c>
      <x:c r="M665" s="10" t="n">
        <x:f>K665*'Assumptions'!$V$47</x:f>
        <x:v>0</x:v>
      </x:c>
      <x:c r="N665" s="10" t="n">
        <x:f>K665-L665-M665</x:f>
        <x:v>13221.633888000006</x:v>
      </x:c>
      <x:c r="O665" s="10" t="n">
        <x:f>H665*'Assumptions'!$P$47*'Assumptions'!$Q$47*'Assumptions'!$D$11*(1+'Assumptions'!$D$13)^(6-1)</x:f>
        <x:v>3160.3087394319004</x:v>
      </x:c>
      <x:c r="P665" s="10" t="n">
        <x:f>H665*'Assumptions'!$R$47*'Assumptions'!$D$11*(1+'Assumptions'!$D$13)^(6-1)</x:f>
        <x:v>131.67953080966254</x:v>
      </x:c>
      <x:c r="Q665" s="10" t="n">
        <x:f>J665*'Assumptions'!$S$47</x:f>
        <x:v>0</x:v>
      </x:c>
      <x:c r="R665" s="10" t="n">
        <x:f>H665*'Assumptions'!$Y$47*'Assumptions'!$Z$47*'Assumptions'!$D$11*(1+'Assumptions'!$D$13)^(6-1)</x:f>
        <x:v>98.75964810724689</x:v>
      </x:c>
      <x:c r="S665" s="10" t="n">
        <x:f>IF(I665=0,0,J665*'Assumptions'!$W$47+H665*'Assumptions'!$X$47)</x:f>
        <x:v>398.69359920000016</x:v>
      </x:c>
      <x:c r="T665" s="10" t="n">
        <x:f>N665*'Assumptions'!$AA$47</x:f>
        <x:v>528.8653555200002</x:v>
      </x:c>
      <x:c r="U665" s="10" t="n">
        <x:f>'Assumptions'!$AE$47*'Assumptions'!$D$11*(1+'Assumptions'!$D$13)^(6-1)</x:f>
        <x:v>0</x:v>
      </x:c>
      <x:c r="V665" s="10" t="n">
        <x:f>0</x:f>
        <x:v>0</x:v>
      </x:c>
      <x:c r="W665" s="10" t="n">
        <x:f>H665*('Assumptions'!$P$47+'Assumptions'!$Y$47)</x:f>
        <x:v>48.27486600000002</x:v>
      </x:c>
      <x:c r="X665" s="10" t="n">
        <x:f>N665/12*'Assumptions'!$AF$47</x:f>
        <x:v>1101.8028240000006</x:v>
      </x:c>
      <x:c r="Y665" s="10" t="n">
        <x:f>P665/12</x:f>
        <x:v>10.973294234138544</x:v>
      </x:c>
      <x:c r="Z665" s="10" t="n">
        <x:f>0</x:f>
        <x:v>0</x:v>
      </x:c>
      <x:c r="AA665" s="10" t="n">
        <x:f>Z665*'Assumptions'!$AC$47*'Assumptions'!$D$11*(1+'Assumptions'!$D$13)^(6-1)</x:f>
        <x:v>0</x:v>
      </x:c>
      <x:c r="AB665" s="10" t="n">
        <x:f>F665/1</x:f>
        <x:v>6.032092000000003</x:v>
      </x:c>
      <x:c r="AC665" s="10" t="n">
        <x:f>AB665/'Assumptions'!$AM$47</x:f>
        <x:v>30.160460000000015</x:v>
      </x:c>
      <x:c r="AD665" s="10" t="n">
        <x:f>IF(AB665=0,0,T665/AB665)</x:f>
        <x:v>87.67528007198828</x:v>
      </x:c>
      <x:c r="AE665" s="10" t="n">
        <x:f>AA665*'Assumptions'!$D$21</x:f>
        <x:v>0</x:v>
      </x:c>
    </x:row>
    <x:row r="666" ht="16" customHeight="1">
      <x:c r="A666" s="1"/>
      <x:c r="B666" s="1"/>
      <x:c r="C666" s="1" t="str">
        <x:v>DOT-019</x:v>
      </x:c>
      <x:c r="D666" s="10" t="str">
        <x:v>BPA professional services</x:v>
      </x:c>
      <x:c r="E666" s="10" t="n">
        <x:v>6</x:v>
      </x:c>
      <x:c r="F666" s="21" t="n">
        <x:f>F538*(1+'Assumptions'!$M$48)</x:f>
        <x:v>3.0160460000000016</x:v>
      </x:c>
      <x:c r="G666" s="21" t="n">
        <x:f>H538*'Assumptions'!$K$48</x:f>
        <x:v>2.6633500000000008</x:v>
      </x:c>
      <x:c r="H666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666+G666,NA())</x:f>
        <x:v>5.679396000000002</x:v>
      </x:c>
      <x:c r="I666" s="22" t="n">
        <x:f>'Assumptions'!$H$48*IF('Assumptions'!$O$48=1,1,'Assumptions'!$D$10)*(1+'Assumptions'!$N$48)^(6-1)</x:f>
        <x:v>3000</x:v>
      </x:c>
      <x:c r="J666" s="10" t="n">
        <x:f>H666*I666</x:f>
        <x:v>17038.188000000006</x:v>
      </x:c>
      <x:c r="K666" s="10" t="n">
        <x:f>J666*'Assumptions'!$T$48</x:f>
        <x:v>17038.188000000006</x:v>
      </x:c>
      <x:c r="L666" s="10" t="n">
        <x:f>K666*'Assumptions'!$U$48</x:f>
        <x:v>511.1456400000001</x:v>
      </x:c>
      <x:c r="M666" s="10" t="n">
        <x:f>K666*'Assumptions'!$V$48</x:f>
        <x:v>0</x:v>
      </x:c>
      <x:c r="N666" s="10" t="n">
        <x:f>K666-L666-M666</x:f>
        <x:v>16527.042360000007</x:v>
      </x:c>
      <x:c r="O666" s="10" t="n">
        <x:f>H666*'Assumptions'!$P$48*'Assumptions'!$Q$48*'Assumptions'!$D$11*(1+'Assumptions'!$D$13)^(6-1)</x:f>
        <x:v>4740.46310914785</x:v>
      </x:c>
      <x:c r="P666" s="10" t="n">
        <x:f>H666*'Assumptions'!$R$48*'Assumptions'!$D$11*(1+'Assumptions'!$D$13)^(6-1)</x:f>
        <x:v>65.83976540483127</x:v>
      </x:c>
      <x:c r="Q666" s="10" t="n">
        <x:f>J666*'Assumptions'!$S$48</x:f>
        <x:v>0</x:v>
      </x:c>
      <x:c r="R666" s="10" t="n">
        <x:f>H666*'Assumptions'!$Y$48*'Assumptions'!$Z$48*'Assumptions'!$D$11*(1+'Assumptions'!$D$13)^(6-1)</x:f>
        <x:v>49.379824053623445</x:v>
      </x:c>
      <x:c r="S666" s="10" t="n">
        <x:f>IF(I666=0,0,J666*'Assumptions'!$W$48+H666*'Assumptions'!$X$48)</x:f>
        <x:v>495.8112708000002</x:v>
      </x:c>
      <x:c r="T666" s="10" t="n">
        <x:f>N666*'Assumptions'!$AA$48</x:f>
        <x:v>661.0816944000003</x:v>
      </x:c>
      <x:c r="U666" s="10" t="n">
        <x:f>'Assumptions'!$AE$48*'Assumptions'!$D$11*(1+'Assumptions'!$D$13)^(6-1)</x:f>
        <x:v>0</x:v>
      </x:c>
      <x:c r="V666" s="10" t="n">
        <x:f>0</x:f>
        <x:v>0</x:v>
      </x:c>
      <x:c r="W666" s="10" t="n">
        <x:f>H666*('Assumptions'!$P$48+'Assumptions'!$Y$48)</x:f>
        <x:v>69.57260100000003</x:v>
      </x:c>
      <x:c r="X666" s="10" t="n">
        <x:f>N666/12*'Assumptions'!$AF$48</x:f>
        <x:v>1377.2535300000006</x:v>
      </x:c>
      <x:c r="Y666" s="10" t="n">
        <x:f>P666/12</x:f>
        <x:v>5.486647117069272</x:v>
      </x:c>
      <x:c r="Z666" s="10" t="n">
        <x:f>0</x:f>
        <x:v>0</x:v>
      </x:c>
      <x:c r="AA666" s="10" t="n">
        <x:f>Z666*'Assumptions'!$AC$48*'Assumptions'!$D$11*(1+'Assumptions'!$D$13)^(6-1)</x:f>
        <x:v>0</x:v>
      </x:c>
      <x:c r="AB666" s="10" t="n">
        <x:f>F666/1</x:f>
        <x:v>3.0160460000000016</x:v>
      </x:c>
      <x:c r="AC666" s="10" t="n">
        <x:f>AB666/'Assumptions'!$AM$48</x:f>
        <x:v>15.080230000000007</x:v>
      </x:c>
      <x:c r="AD666" s="10" t="n">
        <x:f>IF(AB666=0,0,T666/AB666)</x:f>
        <x:v>219.18820017997072</x:v>
      </x:c>
      <x:c r="AE666" s="10" t="n">
        <x:f>AA666*'Assumptions'!$D$21</x:f>
        <x:v>0</x:v>
      </x:c>
    </x:row>
    <x:row r="667" ht="16" customHeight="1">
      <x:c r="A667" s="1"/>
      <x:c r="B667" s="1"/>
      <x:c r="C667" s="1" t="str">
        <x:v>DOT-020</x:v>
      </x:c>
      <x:c r="D667" s="10" t="str">
        <x:v>BPA professional services</x:v>
      </x:c>
      <x:c r="E667" s="10" t="n">
        <x:v>6</x:v>
      </x:c>
      <x:c r="F667" s="21" t="n">
        <x:f>F539*(1+'Assumptions'!$M$49)</x:f>
        <x:v>4.524069000000002</x:v>
      </x:c>
      <x:c r="G667" s="21" t="n">
        <x:f>H539*'Assumptions'!$K$49</x:f>
        <x:v>3.995025000000001</x:v>
      </x:c>
      <x:c r="H667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667+G667,NA())</x:f>
        <x:v>8.519094000000003</x:v>
      </x:c>
      <x:c r="I667" s="22" t="n">
        <x:f>'Assumptions'!$H$49*IF('Assumptions'!$O$49=1,1,'Assumptions'!$D$10)*(1+'Assumptions'!$N$49)^(6-1)</x:f>
        <x:v>1800</x:v>
      </x:c>
      <x:c r="J667" s="10" t="n">
        <x:f>H667*I667</x:f>
        <x:v>15334.369200000005</x:v>
      </x:c>
      <x:c r="K667" s="10" t="n">
        <x:f>J667*'Assumptions'!$T$49</x:f>
        <x:v>15334.369200000005</x:v>
      </x:c>
      <x:c r="L667" s="10" t="n">
        <x:f>K667*'Assumptions'!$U$49</x:f>
        <x:v>460.0310760000001</x:v>
      </x:c>
      <x:c r="M667" s="10" t="n">
        <x:f>K667*'Assumptions'!$V$49</x:f>
        <x:v>0</x:v>
      </x:c>
      <x:c r="N667" s="10" t="n">
        <x:f>K667-L667-M667</x:f>
        <x:v>14874.338124000005</x:v>
      </x:c>
      <x:c r="O667" s="10" t="n">
        <x:f>H667*'Assumptions'!$P$49*'Assumptions'!$Q$49*'Assumptions'!$D$11*(1+'Assumptions'!$D$13)^(6-1)</x:f>
        <x:v>3555.3473318608876</x:v>
      </x:c>
      <x:c r="P667" s="10" t="n">
        <x:f>H667*'Assumptions'!$R$49*'Assumptions'!$D$11*(1+'Assumptions'!$D$13)^(6-1)</x:f>
        <x:v>98.75964810724687</x:v>
      </x:c>
      <x:c r="Q667" s="10" t="n">
        <x:f>J667*'Assumptions'!$S$49</x:f>
        <x:v>0</x:v>
      </x:c>
      <x:c r="R667" s="10" t="n">
        <x:f>H667*'Assumptions'!$Y$49*'Assumptions'!$Z$49*'Assumptions'!$D$11*(1+'Assumptions'!$D$13)^(6-1)</x:f>
        <x:v>74.06973608043516</x:v>
      </x:c>
      <x:c r="S667" s="10" t="n">
        <x:f>IF(I667=0,0,J667*'Assumptions'!$W$49+H667*'Assumptions'!$X$49)</x:f>
        <x:v>447.2524350000001</x:v>
      </x:c>
      <x:c r="T667" s="10" t="n">
        <x:f>N667*'Assumptions'!$AA$49</x:f>
        <x:v>594.9735249600002</x:v>
      </x:c>
      <x:c r="U667" s="10" t="n">
        <x:f>'Assumptions'!$AE$49*'Assumptions'!$D$11*(1+'Assumptions'!$D$13)^(6-1)</x:f>
        <x:v>0</x:v>
      </x:c>
      <x:c r="V667" s="10" t="n">
        <x:f>0</x:f>
        <x:v>0</x:v>
      </x:c>
      <x:c r="W667" s="10" t="n">
        <x:f>H667*('Assumptions'!$P$49+'Assumptions'!$Y$49)</x:f>
        <x:v>53.244337500000015</x:v>
      </x:c>
      <x:c r="X667" s="10" t="n">
        <x:f>N667/12*'Assumptions'!$AF$49</x:f>
        <x:v>1239.5281770000004</x:v>
      </x:c>
      <x:c r="Y667" s="10" t="n">
        <x:f>P667/12</x:f>
        <x:v>8.229970675603907</x:v>
      </x:c>
      <x:c r="Z667" s="10" t="n">
        <x:f>0</x:f>
        <x:v>0</x:v>
      </x:c>
      <x:c r="AA667" s="10" t="n">
        <x:f>Z667*'Assumptions'!$AC$49*'Assumptions'!$D$11*(1+'Assumptions'!$D$13)^(6-1)</x:f>
        <x:v>0</x:v>
      </x:c>
      <x:c r="AB667" s="10" t="n">
        <x:f>F667/1</x:f>
        <x:v>4.524069000000002</x:v>
      </x:c>
      <x:c r="AC667" s="10" t="n">
        <x:f>AB667/'Assumptions'!$AM$49</x:f>
        <x:v>22.620345000000007</x:v>
      </x:c>
      <x:c r="AD667" s="10" t="n">
        <x:f>IF(AB667=0,0,T667/AB667)</x:f>
        <x:v>131.51292010798244</x:v>
      </x:c>
      <x:c r="AE667" s="10" t="n">
        <x:f>AA667*'Assumptions'!$D$21</x:f>
        <x:v>0</x:v>
      </x:c>
    </x:row>
    <x:row r="668" ht="16" customHeight="1">
      <x:c r="A668" s="1"/>
      <x:c r="B668" s="1"/>
      <x:c r="C668" s="1" t="str">
        <x:v>DOT-021</x:v>
      </x:c>
      <x:c r="D668" s="10" t="str">
        <x:v>BPA professional services</x:v>
      </x:c>
      <x:c r="E668" s="10" t="n">
        <x:v>6</x:v>
      </x:c>
      <x:c r="F668" s="21" t="n">
        <x:f>F540*(1+'Assumptions'!$M$50)</x:f>
        <x:v>3.0160460000000016</x:v>
      </x:c>
      <x:c r="G668" s="21" t="n">
        <x:f>H540*'Assumptions'!$K$50</x:f>
        <x:v>2.6633500000000008</x:v>
      </x:c>
      <x:c r="H668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668+G668,NA())</x:f>
        <x:v>5.679396000000002</x:v>
      </x:c>
      <x:c r="I668" s="22" t="n">
        <x:f>'Assumptions'!$H$50*IF('Assumptions'!$O$50=1,1,'Assumptions'!$D$10)*(1+'Assumptions'!$N$50)^(6-1)</x:f>
        <x:v>4200</x:v>
      </x:c>
      <x:c r="J668" s="10" t="n">
        <x:f>H668*I668</x:f>
        <x:v>23853.46320000001</x:v>
      </x:c>
      <x:c r="K668" s="10" t="n">
        <x:f>J668*'Assumptions'!$T$50</x:f>
        <x:v>23853.46320000001</x:v>
      </x:c>
      <x:c r="L668" s="10" t="n">
        <x:f>K668*'Assumptions'!$U$50</x:f>
        <x:v>715.6038960000003</x:v>
      </x:c>
      <x:c r="M668" s="10" t="n">
        <x:f>K668*'Assumptions'!$V$50</x:f>
        <x:v>0</x:v>
      </x:c>
      <x:c r="N668" s="10" t="n">
        <x:f>K668-L668-M668</x:f>
        <x:v>23137.85930400001</x:v>
      </x:c>
      <x:c r="O668" s="10" t="n">
        <x:f>H668*'Assumptions'!$P$50*'Assumptions'!$Q$50*'Assumptions'!$D$11*(1+'Assumptions'!$D$13)^(6-1)</x:f>
        <x:v>4740.46310914785</x:v>
      </x:c>
      <x:c r="P668" s="10" t="n">
        <x:f>H668*'Assumptions'!$R$50*'Assumptions'!$D$11*(1+'Assumptions'!$D$13)^(6-1)</x:f>
        <x:v>65.83976540483127</x:v>
      </x:c>
      <x:c r="Q668" s="10" t="n">
        <x:f>J668*'Assumptions'!$S$50</x:f>
        <x:v>0</x:v>
      </x:c>
      <x:c r="R668" s="10" t="n">
        <x:f>H668*'Assumptions'!$Y$50*'Assumptions'!$Z$50*'Assumptions'!$D$11*(1+'Assumptions'!$D$13)^(6-1)</x:f>
        <x:v>49.379824053623445</x:v>
      </x:c>
      <x:c r="S668" s="10" t="n">
        <x:f>IF(I668=0,0,J668*'Assumptions'!$W$50+H668*'Assumptions'!$X$50)</x:f>
        <x:v>693.4542516000004</x:v>
      </x:c>
      <x:c r="T668" s="10" t="n">
        <x:f>N668*'Assumptions'!$AA$50</x:f>
        <x:v>925.5143721600003</x:v>
      </x:c>
      <x:c r="U668" s="10" t="n">
        <x:f>'Assumptions'!$AE$50*'Assumptions'!$D$11*(1+'Assumptions'!$D$13)^(6-1)</x:f>
        <x:v>0</x:v>
      </x:c>
      <x:c r="V668" s="10" t="n">
        <x:f>0</x:f>
        <x:v>0</x:v>
      </x:c>
      <x:c r="W668" s="10" t="n">
        <x:f>H668*('Assumptions'!$P$50+'Assumptions'!$Y$50)</x:f>
        <x:v>69.57260100000003</x:v>
      </x:c>
      <x:c r="X668" s="10" t="n">
        <x:f>N668/12*'Assumptions'!$AF$50</x:f>
        <x:v>1928.1549420000008</x:v>
      </x:c>
      <x:c r="Y668" s="10" t="n">
        <x:f>P668/12</x:f>
        <x:v>5.486647117069272</x:v>
      </x:c>
      <x:c r="Z668" s="10" t="n">
        <x:f>0</x:f>
        <x:v>0</x:v>
      </x:c>
      <x:c r="AA668" s="10" t="n">
        <x:f>Z668*'Assumptions'!$AC$50*'Assumptions'!$D$11*(1+'Assumptions'!$D$13)^(6-1)</x:f>
        <x:v>0</x:v>
      </x:c>
      <x:c r="AB668" s="10" t="n">
        <x:f>F668/1</x:f>
        <x:v>3.0160460000000016</x:v>
      </x:c>
      <x:c r="AC668" s="10" t="n">
        <x:f>AB668/'Assumptions'!$AM$50</x:f>
        <x:v>15.080230000000007</x:v>
      </x:c>
      <x:c r="AD668" s="10" t="n">
        <x:f>IF(AB668=0,0,T668/AB668)</x:f>
        <x:v>306.86348025195895</x:v>
      </x:c>
      <x:c r="AE668" s="10" t="n">
        <x:f>AA668*'Assumptions'!$D$21</x:f>
        <x:v>0</x:v>
      </x:c>
    </x:row>
    <x:row r="669" ht="16" customHeight="1">
      <x:c r="A669" s="1"/>
      <x:c r="B669" s="1"/>
      <x:c r="C669" s="1" t="str">
        <x:v>DOT-022</x:v>
      </x:c>
      <x:c r="D669" s="10" t="str">
        <x:v>BPA professional services</x:v>
      </x:c>
      <x:c r="E669" s="10" t="n">
        <x:v>6</x:v>
      </x:c>
      <x:c r="F669" s="21" t="n">
        <x:f>F541*(1+'Assumptions'!$M$51)</x:f>
        <x:v>12.064184000000006</x:v>
      </x:c>
      <x:c r="G669" s="21" t="n">
        <x:f>H541*'Assumptions'!$K$51</x:f>
        <x:v>10.653400000000003</x:v>
      </x:c>
      <x:c r="H669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669+G669,NA())</x:f>
        <x:v>22.71758400000001</x:v>
      </x:c>
      <x:c r="I669" s="22" t="n">
        <x:f>'Assumptions'!$H$51*IF('Assumptions'!$O$51=1,1,'Assumptions'!$D$10)*(1+'Assumptions'!$N$51)^(6-1)</x:f>
        <x:v>900</x:v>
      </x:c>
      <x:c r="J669" s="10" t="n">
        <x:f>H669*I669</x:f>
        <x:v>20445.825600000007</x:v>
      </x:c>
      <x:c r="K669" s="10" t="n">
        <x:f>J669*'Assumptions'!$T$51</x:f>
        <x:v>20445.825600000007</x:v>
      </x:c>
      <x:c r="L669" s="10" t="n">
        <x:f>K669*'Assumptions'!$U$51</x:f>
        <x:v>613.3747680000002</x:v>
      </x:c>
      <x:c r="M669" s="10" t="n">
        <x:f>K669*'Assumptions'!$V$51</x:f>
        <x:v>0</x:v>
      </x:c>
      <x:c r="N669" s="10" t="n">
        <x:f>K669-L669-M669</x:f>
        <x:v>19832.450832000006</x:v>
      </x:c>
      <x:c r="O669" s="10" t="n">
        <x:f>H669*'Assumptions'!$P$51*'Assumptions'!$Q$51*'Assumptions'!$D$11*(1+'Assumptions'!$D$13)^(6-1)</x:f>
        <x:v>4740.46310914785</x:v>
      </x:c>
      <x:c r="P669" s="10" t="n">
        <x:f>H669*'Assumptions'!$R$51*'Assumptions'!$D$11*(1+'Assumptions'!$D$13)^(6-1)</x:f>
        <x:v>263.3590616193251</x:v>
      </x:c>
      <x:c r="Q669" s="10" t="n">
        <x:f>J669*'Assumptions'!$S$51</x:f>
        <x:v>0</x:v>
      </x:c>
      <x:c r="R669" s="10" t="n">
        <x:f>H669*'Assumptions'!$Y$51*'Assumptions'!$Z$51*'Assumptions'!$D$11*(1+'Assumptions'!$D$13)^(6-1)</x:f>
        <x:v>197.51929621449378</x:v>
      </x:c>
      <x:c r="S669" s="10" t="n">
        <x:f>IF(I669=0,0,J669*'Assumptions'!$W$51+H669*'Assumptions'!$X$51)</x:f>
        <x:v>599.7442176000002</x:v>
      </x:c>
      <x:c r="T669" s="10" t="n">
        <x:f>N669*'Assumptions'!$AA$51</x:f>
        <x:v>793.2980332800003</x:v>
      </x:c>
      <x:c r="U669" s="10" t="n">
        <x:f>'Assumptions'!$AE$51*'Assumptions'!$D$11*(1+'Assumptions'!$D$13)^(6-1)</x:f>
        <x:v>0</x:v>
      </x:c>
      <x:c r="V669" s="10" t="n">
        <x:f>0</x:f>
        <x:v>0</x:v>
      </x:c>
      <x:c r="W669" s="10" t="n">
        <x:f>H669*('Assumptions'!$P$51+'Assumptions'!$Y$51)</x:f>
        <x:v>73.83214800000003</x:v>
      </x:c>
      <x:c r="X669" s="10" t="n">
        <x:f>N669/12*'Assumptions'!$AF$51</x:f>
        <x:v>1652.7042360000005</x:v>
      </x:c>
      <x:c r="Y669" s="10" t="n">
        <x:f>P669/12</x:f>
        <x:v>21.94658846827709</x:v>
      </x:c>
      <x:c r="Z669" s="10" t="n">
        <x:f>0</x:f>
        <x:v>0</x:v>
      </x:c>
      <x:c r="AA669" s="10" t="n">
        <x:f>Z669*'Assumptions'!$AC$51*'Assumptions'!$D$11*(1+'Assumptions'!$D$13)^(6-1)</x:f>
        <x:v>0</x:v>
      </x:c>
      <x:c r="AB669" s="10" t="n">
        <x:f>F669/1</x:f>
        <x:v>12.064184000000006</x:v>
      </x:c>
      <x:c r="AC669" s="10" t="n">
        <x:f>AB669/'Assumptions'!$AM$51</x:f>
        <x:v>60.32092000000003</x:v>
      </x:c>
      <x:c r="AD669" s="10" t="n">
        <x:f>IF(AB669=0,0,T669/AB669)</x:f>
        <x:v>65.7564600539912</x:v>
      </x:c>
      <x:c r="AE669" s="10" t="n">
        <x:f>AA669*'Assumptions'!$D$21</x:f>
        <x:v>0</x:v>
      </x:c>
    </x:row>
    <x:row r="670" ht="16" customHeight="1">
      <x:c r="A670" s="1"/>
      <x:c r="B670" s="1"/>
      <x:c r="C670" s="1" t="str">
        <x:v>DOT-023</x:v>
      </x:c>
      <x:c r="D670" s="10" t="str">
        <x:v>BPA professional services</x:v>
      </x:c>
      <x:c r="E670" s="10" t="n">
        <x:v>6</x:v>
      </x:c>
      <x:c r="F670" s="21" t="n">
        <x:f>F542*(1+'Assumptions'!$M$52)</x:f>
        <x:v>7.540115000000002</x:v>
      </x:c>
      <x:c r="G670" s="21" t="n">
        <x:f>H542*'Assumptions'!$K$52</x:f>
        <x:v>6.658375000000001</x:v>
      </x:c>
      <x:c r="H670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670+G670,NA())</x:f>
        <x:v>14.198490000000003</x:v>
      </x:c>
      <x:c r="I670" s="22" t="n">
        <x:f>'Assumptions'!$H$52*IF('Assumptions'!$O$52=1,1,'Assumptions'!$D$10)*(1+'Assumptions'!$N$52)^(6-1)</x:f>
        <x:v>1800</x:v>
      </x:c>
      <x:c r="J670" s="10" t="n">
        <x:f>H670*I670</x:f>
        <x:v>25557.282000000007</x:v>
      </x:c>
      <x:c r="K670" s="10" t="n">
        <x:f>J670*'Assumptions'!$T$52</x:f>
        <x:v>25557.282000000007</x:v>
      </x:c>
      <x:c r="L670" s="10" t="n">
        <x:f>K670*'Assumptions'!$U$52</x:f>
        <x:v>766.7184600000002</x:v>
      </x:c>
      <x:c r="M670" s="10" t="n">
        <x:f>K670*'Assumptions'!$V$52</x:f>
        <x:v>0</x:v>
      </x:c>
      <x:c r="N670" s="10" t="n">
        <x:f>K670-L670-M670</x:f>
        <x:v>24790.563540000006</x:v>
      </x:c>
      <x:c r="O670" s="10" t="n">
        <x:f>H670*'Assumptions'!$P$52*'Assumptions'!$Q$52*'Assumptions'!$D$11*(1+'Assumptions'!$D$13)^(6-1)</x:f>
        <x:v>5925.578886434812</x:v>
      </x:c>
      <x:c r="P670" s="10" t="n">
        <x:f>H670*'Assumptions'!$R$52*'Assumptions'!$D$11*(1+'Assumptions'!$D$13)^(6-1)</x:f>
        <x:v>164.59941351207812</x:v>
      </x:c>
      <x:c r="Q670" s="10" t="n">
        <x:f>J670*'Assumptions'!$S$52</x:f>
        <x:v>0</x:v>
      </x:c>
      <x:c r="R670" s="10" t="n">
        <x:f>H670*'Assumptions'!$Y$52*'Assumptions'!$Z$52*'Assumptions'!$D$11*(1+'Assumptions'!$D$13)^(6-1)</x:f>
        <x:v>123.44956013405859</x:v>
      </x:c>
      <x:c r="S670" s="10" t="n">
        <x:f>IF(I670=0,0,J670*'Assumptions'!$W$52+H670*'Assumptions'!$X$52)</x:f>
        <x:v>745.4207250000002</x:v>
      </x:c>
      <x:c r="T670" s="10" t="n">
        <x:f>N670*'Assumptions'!$AA$52</x:f>
        <x:v>991.6225416000003</x:v>
      </x:c>
      <x:c r="U670" s="10" t="n">
        <x:f>'Assumptions'!$AE$52*'Assumptions'!$D$11*(1+'Assumptions'!$D$13)^(6-1)</x:f>
        <x:v>0</x:v>
      </x:c>
      <x:c r="V670" s="10" t="n">
        <x:f>0</x:f>
        <x:v>0</x:v>
      </x:c>
      <x:c r="W670" s="10" t="n">
        <x:f>H670*('Assumptions'!$P$52+'Assumptions'!$Y$52)</x:f>
        <x:v>88.74056250000002</x:v>
      </x:c>
      <x:c r="X670" s="10" t="n">
        <x:f>N670/12*'Assumptions'!$AF$52</x:f>
        <x:v>2065.8802950000004</x:v>
      </x:c>
      <x:c r="Y670" s="10" t="n">
        <x:f>P670/12</x:f>
        <x:v>13.716617792673176</x:v>
      </x:c>
      <x:c r="Z670" s="10" t="n">
        <x:f>0</x:f>
        <x:v>0</x:v>
      </x:c>
      <x:c r="AA670" s="10" t="n">
        <x:f>Z670*'Assumptions'!$AC$52*'Assumptions'!$D$11*(1+'Assumptions'!$D$13)^(6-1)</x:f>
        <x:v>0</x:v>
      </x:c>
      <x:c r="AB670" s="10" t="n">
        <x:f>F670/1</x:f>
        <x:v>7.540115000000002</x:v>
      </x:c>
      <x:c r="AC670" s="10" t="n">
        <x:f>AB670/'Assumptions'!$AM$52</x:f>
        <x:v>37.70057500000001</x:v>
      </x:c>
      <x:c r="AD670" s="10" t="n">
        <x:f>IF(AB670=0,0,T670/AB670)</x:f>
        <x:v>131.51292010798244</x:v>
      </x:c>
      <x:c r="AE670" s="10" t="n">
        <x:f>AA670*'Assumptions'!$D$21</x:f>
        <x:v>0</x:v>
      </x:c>
    </x:row>
    <x:row r="671" ht="16" customHeight="1">
      <x:c r="A671" s="1"/>
      <x:c r="B671" s="1"/>
      <x:c r="C671" s="1" t="str">
        <x:v>DOT-024</x:v>
      </x:c>
      <x:c r="D671" s="10" t="str">
        <x:v>BPA professional services</x:v>
      </x:c>
      <x:c r="E671" s="10" t="n">
        <x:v>6</x:v>
      </x:c>
      <x:c r="F671" s="21" t="n">
        <x:f>F543*(1+'Assumptions'!$M$53)</x:f>
        <x:v>37.70057500000002</x:v>
      </x:c>
      <x:c r="G671" s="21" t="n">
        <x:f>H543*'Assumptions'!$K$53</x:f>
        <x:v>32.90125000000002</x:v>
      </x:c>
      <x:c r="H671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671+G671,NA())</x:f>
        <x:v>70.60182500000005</x:v>
      </x:c>
      <x:c r="I671" s="22" t="n">
        <x:f>'Assumptions'!$H$53*IF('Assumptions'!$O$53=1,1,'Assumptions'!$D$10)*(1+'Assumptions'!$N$53)^(6-1)</x:f>
        <x:v>540</x:v>
      </x:c>
      <x:c r="J671" s="10" t="n">
        <x:f>H671*I671</x:f>
        <x:v>38124.985500000024</x:v>
      </x:c>
      <x:c r="K671" s="10" t="n">
        <x:f>J671*'Assumptions'!$T$53</x:f>
        <x:v>38124.985500000024</x:v>
      </x:c>
      <x:c r="L671" s="10" t="n">
        <x:f>K671*'Assumptions'!$U$53</x:f>
        <x:v>1143.7495650000008</x:v>
      </x:c>
      <x:c r="M671" s="10" t="n">
        <x:f>K671*'Assumptions'!$V$53</x:f>
        <x:v>0</x:v>
      </x:c>
      <x:c r="N671" s="10" t="n">
        <x:f>K671-L671-M671</x:f>
        <x:v>36981.235935000026</x:v>
      </x:c>
      <x:c r="O671" s="10" t="n">
        <x:f>H671*'Assumptions'!$P$53*'Assumptions'!$Q$53*'Assumptions'!$D$11*(1+'Assumptions'!$D$13)^(6-1)</x:f>
        <x:v>9821.62383849188</x:v>
      </x:c>
      <x:c r="P671" s="10" t="n">
        <x:f>H671*'Assumptions'!$R$53*'Assumptions'!$D$11*(1+'Assumptions'!$D$13)^(6-1)</x:f>
        <x:v>818.4686532076566</x:v>
      </x:c>
      <x:c r="Q671" s="10" t="n">
        <x:f>J671*'Assumptions'!$S$53</x:f>
        <x:v>0</x:v>
      </x:c>
      <x:c r="R671" s="10" t="n">
        <x:f>H671*'Assumptions'!$Y$53*'Assumptions'!$Z$53*'Assumptions'!$D$11*(1+'Assumptions'!$D$13)^(6-1)</x:f>
        <x:v>613.8514899057425</x:v>
      </x:c>
      <x:c r="S671" s="10" t="n">
        <x:f>IF(I671=0,0,J671*'Assumptions'!$W$53+H671*'Assumptions'!$X$53)</x:f>
        <x:v>1126.8051270000008</x:v>
      </x:c>
      <x:c r="T671" s="10" t="n">
        <x:f>N671*'Assumptions'!$AA$53</x:f>
        <x:v>1479.2494374000012</x:v>
      </x:c>
      <x:c r="U671" s="10" t="n">
        <x:f>'Assumptions'!$AE$53*'Assumptions'!$D$11*(1+'Assumptions'!$D$13)^(6-1)</x:f>
        <x:v>0</x:v>
      </x:c>
      <x:c r="V671" s="10" t="n">
        <x:f>0</x:f>
        <x:v>0</x:v>
      </x:c>
      <x:c r="W671" s="10" t="n">
        <x:f>H671*('Assumptions'!$P$53+'Assumptions'!$Y$53)</x:f>
        <x:v>158.85410625000011</x:v>
      </x:c>
      <x:c r="X671" s="10" t="n">
        <x:f>N671/12*'Assumptions'!$AF$53</x:f>
        <x:v>3081.769661250002</x:v>
      </x:c>
      <x:c r="Y671" s="10" t="n">
        <x:f>P671/12</x:f>
        <x:v>68.20572110063806</x:v>
      </x:c>
      <x:c r="Z671" s="10" t="n">
        <x:f>0</x:f>
        <x:v>0</x:v>
      </x:c>
      <x:c r="AA671" s="10" t="n">
        <x:f>Z671*'Assumptions'!$AC$53*'Assumptions'!$D$11*(1+'Assumptions'!$D$13)^(6-1)</x:f>
        <x:v>0</x:v>
      </x:c>
      <x:c r="AB671" s="10" t="n">
        <x:f>F671/1</x:f>
        <x:v>37.70057500000002</x:v>
      </x:c>
      <x:c r="AC671" s="10" t="n">
        <x:f>AB671/'Assumptions'!$AM$53</x:f>
        <x:v>188.5028750000001</x:v>
      </x:c>
      <x:c r="AD671" s="10" t="n">
        <x:f>IF(AB671=0,0,T671/AB671)</x:f>
        <x:v>39.236787168365474</x:v>
      </x:c>
      <x:c r="AE671" s="10" t="n">
        <x:f>AA671*'Assumptions'!$D$21</x:f>
        <x:v>0</x:v>
      </x:c>
    </x:row>
    <x:row r="672" ht="16" customHeight="1">
      <x:c r="A672" s="1"/>
      <x:c r="B672" s="1"/>
      <x:c r="C672" s="1" t="str">
        <x:v>DOT-025</x:v>
      </x:c>
      <x:c r="D672" s="10" t="str">
        <x:v>BPA professional services</x:v>
      </x:c>
      <x:c r="E672" s="10" t="n">
        <x:v>6</x:v>
      </x:c>
      <x:c r="F672" s="21" t="n">
        <x:f>F544*(1+'Assumptions'!$M$54)</x:f>
        <x:v>15.080230000000004</x:v>
      </x:c>
      <x:c r="G672" s="21" t="n">
        <x:f>H544*'Assumptions'!$K$54</x:f>
        <x:v>13.160500000000003</x:v>
      </x:c>
      <x:c r="H672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672+G672,NA())</x:f>
        <x:v>28.240730000000006</x:v>
      </x:c>
      <x:c r="I672" s="22" t="n">
        <x:f>'Assumptions'!$H$54*IF('Assumptions'!$O$54=1,1,'Assumptions'!$D$10)*(1+'Assumptions'!$N$54)^(6-1)</x:f>
        <x:v>1020</x:v>
      </x:c>
      <x:c r="J672" s="10" t="n">
        <x:f>H672*I672</x:f>
        <x:v>28805.544600000005</x:v>
      </x:c>
      <x:c r="K672" s="10" t="n">
        <x:f>J672*'Assumptions'!$T$54</x:f>
        <x:v>28805.544600000005</x:v>
      </x:c>
      <x:c r="L672" s="10" t="n">
        <x:f>K672*'Assumptions'!$U$54</x:f>
        <x:v>864.1663380000001</x:v>
      </x:c>
      <x:c r="M672" s="10" t="n">
        <x:f>K672*'Assumptions'!$V$54</x:f>
        <x:v>0</x:v>
      </x:c>
      <x:c r="N672" s="10" t="n">
        <x:f>K672-L672-M672</x:f>
        <x:v>27941.378262000006</x:v>
      </x:c>
      <x:c r="O672" s="10" t="n">
        <x:f>H672*'Assumptions'!$P$54*'Assumptions'!$Q$54*'Assumptions'!$D$11*(1+'Assumptions'!$D$13)^(6-1)</x:f>
        <x:v>9821.623838491876</x:v>
      </x:c>
      <x:c r="P672" s="10" t="n">
        <x:f>H672*'Assumptions'!$R$54*'Assumptions'!$D$11*(1+'Assumptions'!$D$13)^(6-1)</x:f>
        <x:v>327.3874612830625</x:v>
      </x:c>
      <x:c r="Q672" s="10" t="n">
        <x:f>J672*'Assumptions'!$S$54</x:f>
        <x:v>0</x:v>
      </x:c>
      <x:c r="R672" s="10" t="n">
        <x:f>H672*'Assumptions'!$Y$54*'Assumptions'!$Z$54*'Assumptions'!$D$11*(1+'Assumptions'!$D$13)^(6-1)</x:f>
        <x:v>245.54059596229686</x:v>
      </x:c>
      <x:c r="S672" s="10" t="n">
        <x:f>IF(I672=0,0,J672*'Assumptions'!$W$54+H672*'Assumptions'!$X$54)</x:f>
        <x:v>843.8330124000001</x:v>
      </x:c>
      <x:c r="T672" s="10" t="n">
        <x:f>N672*'Assumptions'!$AA$54</x:f>
        <x:v>1117.6551304800003</x:v>
      </x:c>
      <x:c r="U672" s="10" t="n">
        <x:f>'Assumptions'!$AE$54*'Assumptions'!$D$11*(1+'Assumptions'!$D$13)^(6-1)</x:f>
        <x:v>0</x:v>
      </x:c>
      <x:c r="V672" s="10" t="n">
        <x:f>0</x:f>
        <x:v>0</x:v>
      </x:c>
      <x:c r="W672" s="10" t="n">
        <x:f>H672*('Assumptions'!$P$54+'Assumptions'!$Y$54)</x:f>
        <x:v>148.26383250000003</x:v>
      </x:c>
      <x:c r="X672" s="10" t="n">
        <x:f>N672/12*'Assumptions'!$AF$54</x:f>
        <x:v>2328.4481885000005</x:v>
      </x:c>
      <x:c r="Y672" s="10" t="n">
        <x:f>P672/12</x:f>
        <x:v>27.28228844025521</x:v>
      </x:c>
      <x:c r="Z672" s="10" t="n">
        <x:f>0</x:f>
        <x:v>0</x:v>
      </x:c>
      <x:c r="AA672" s="10" t="n">
        <x:f>Z672*'Assumptions'!$AC$54*'Assumptions'!$D$11*(1+'Assumptions'!$D$13)^(6-1)</x:f>
        <x:v>0</x:v>
      </x:c>
      <x:c r="AB672" s="10" t="n">
        <x:f>F672/1</x:f>
        <x:v>15.080230000000004</x:v>
      </x:c>
      <x:c r="AC672" s="10" t="n">
        <x:f>AB672/'Assumptions'!$AM$54</x:f>
        <x:v>75.40115000000002</x:v>
      </x:c>
      <x:c r="AD672" s="10" t="n">
        <x:f>IF(AB672=0,0,T672/AB672)</x:f>
        <x:v>74.11393131802366</x:v>
      </x:c>
      <x:c r="AE672" s="10" t="n">
        <x:f>AA672*'Assumptions'!$D$21</x:f>
        <x:v>0</x:v>
      </x:c>
    </x:row>
    <x:row r="673" ht="16" customHeight="1">
      <x:c r="A673" s="1"/>
      <x:c r="B673" s="1"/>
      <x:c r="C673" s="1" t="str">
        <x:v>DOT-026</x:v>
      </x:c>
      <x:c r="D673" s="10" t="str">
        <x:v>BPA professional services</x:v>
      </x:c>
      <x:c r="E673" s="10" t="n">
        <x:v>6</x:v>
      </x:c>
      <x:c r="F673" s="21" t="n">
        <x:f>F545*(1+'Assumptions'!$M$55)</x:f>
        <x:v>6.032092000000003</x:v>
      </x:c>
      <x:c r="G673" s="21" t="n">
        <x:f>H545*'Assumptions'!$K$55</x:f>
        <x:v>5.2642000000000015</x:v>
      </x:c>
      <x:c r="H673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673+G673,NA())</x:f>
        <x:v>11.296292000000005</x:v>
      </x:c>
      <x:c r="I673" s="22" t="n">
        <x:f>'Assumptions'!$H$55*IF('Assumptions'!$O$55=1,1,'Assumptions'!$D$10)*(1+'Assumptions'!$N$55)^(6-1)</x:f>
        <x:v>1800</x:v>
      </x:c>
      <x:c r="J673" s="10" t="n">
        <x:f>H673*I673</x:f>
        <x:v>20333.325600000007</x:v>
      </x:c>
      <x:c r="K673" s="10" t="n">
        <x:f>J673*'Assumptions'!$T$55</x:f>
        <x:v>20333.325600000007</x:v>
      </x:c>
      <x:c r="L673" s="10" t="n">
        <x:f>K673*'Assumptions'!$U$55</x:f>
        <x:v>609.9997680000002</x:v>
      </x:c>
      <x:c r="M673" s="10" t="n">
        <x:f>K673*'Assumptions'!$V$55</x:f>
        <x:v>0</x:v>
      </x:c>
      <x:c r="N673" s="10" t="n">
        <x:f>K673-L673-M673</x:f>
        <x:v>19723.325832000006</x:v>
      </x:c>
      <x:c r="O673" s="10" t="n">
        <x:f>H673*'Assumptions'!$P$55*'Assumptions'!$Q$55*'Assumptions'!$D$11*(1+'Assumptions'!$D$13)^(6-1)</x:f>
        <x:v>7857.299070793502</x:v>
      </x:c>
      <x:c r="P673" s="10" t="n">
        <x:f>H673*'Assumptions'!$R$55*'Assumptions'!$D$11*(1+'Assumptions'!$D$13)^(6-1)</x:f>
        <x:v>130.954984513225</x:v>
      </x:c>
      <x:c r="Q673" s="10" t="n">
        <x:f>J673*'Assumptions'!$S$55</x:f>
        <x:v>0</x:v>
      </x:c>
      <x:c r="R673" s="10" t="n">
        <x:f>H673*'Assumptions'!$Y$55*'Assumptions'!$Z$55*'Assumptions'!$D$11*(1+'Assumptions'!$D$13)^(6-1)</x:f>
        <x:v>98.21623838491877</x:v>
      </x:c>
      <x:c r="S673" s="10" t="n">
        <x:f>IF(I673=0,0,J673*'Assumptions'!$W$55+H673*'Assumptions'!$X$55)</x:f>
        <x:v>593.0553300000003</x:v>
      </x:c>
      <x:c r="T673" s="10" t="n">
        <x:f>N673*'Assumptions'!$AA$55</x:f>
        <x:v>788.9330332800002</x:v>
      </x:c>
      <x:c r="U673" s="10" t="n">
        <x:f>'Assumptions'!$AE$55*'Assumptions'!$D$11*(1+'Assumptions'!$D$13)^(6-1)</x:f>
        <x:v>0</x:v>
      </x:c>
      <x:c r="V673" s="10" t="n">
        <x:f>0</x:f>
        <x:v>0</x:v>
      </x:c>
      <x:c r="W673" s="10" t="n">
        <x:f>H673*('Assumptions'!$P$55+'Assumptions'!$Y$55)</x:f>
        <x:v>115.78699300000005</x:v>
      </x:c>
      <x:c r="X673" s="10" t="n">
        <x:f>N673/12*'Assumptions'!$AF$55</x:f>
        <x:v>1643.6104860000005</x:v>
      </x:c>
      <x:c r="Y673" s="10" t="n">
        <x:f>P673/12</x:f>
        <x:v>10.912915376102085</x:v>
      </x:c>
      <x:c r="Z673" s="10" t="n">
        <x:f>0</x:f>
        <x:v>0</x:v>
      </x:c>
      <x:c r="AA673" s="10" t="n">
        <x:f>Z673*'Assumptions'!$AC$55*'Assumptions'!$D$11*(1+'Assumptions'!$D$13)^(6-1)</x:f>
        <x:v>0</x:v>
      </x:c>
      <x:c r="AB673" s="10" t="n">
        <x:f>F673/1</x:f>
        <x:v>6.032092000000003</x:v>
      </x:c>
      <x:c r="AC673" s="10" t="n">
        <x:f>AB673/'Assumptions'!$AM$55</x:f>
        <x:v>30.160460000000015</x:v>
      </x:c>
      <x:c r="AD673" s="10" t="n">
        <x:f>IF(AB673=0,0,T673/AB673)</x:f>
        <x:v>130.7892905612182</x:v>
      </x:c>
      <x:c r="AE673" s="10" t="n">
        <x:f>AA673*'Assumptions'!$D$21</x:f>
        <x:v>0</x:v>
      </x:c>
    </x:row>
    <x:row r="674" ht="16" customHeight="1">
      <x:c r="A674" s="1"/>
      <x:c r="B674" s="1"/>
      <x:c r="C674" s="1" t="str">
        <x:v>DOT-027</x:v>
      </x:c>
      <x:c r="D674" s="10" t="str">
        <x:v>BPA professional services</x:v>
      </x:c>
      <x:c r="E674" s="10" t="n">
        <x:v>6</x:v>
      </x:c>
      <x:c r="F674" s="21" t="n">
        <x:f>F546*(1+'Assumptions'!$M$56)</x:f>
        <x:v>6.032092000000003</x:v>
      </x:c>
      <x:c r="G674" s="21" t="n">
        <x:f>H546*'Assumptions'!$K$56</x:f>
        <x:v>5.2642000000000015</x:v>
      </x:c>
      <x:c r="H674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674+G674,NA())</x:f>
        <x:v>11.296292000000005</x:v>
      </x:c>
      <x:c r="I674" s="22" t="n">
        <x:f>'Assumptions'!$H$56*IF('Assumptions'!$O$56=1,1,'Assumptions'!$D$10)*(1+'Assumptions'!$N$56)^(6-1)</x:f>
        <x:v>1800</x:v>
      </x:c>
      <x:c r="J674" s="10" t="n">
        <x:f>H674*I674</x:f>
        <x:v>20333.325600000007</x:v>
      </x:c>
      <x:c r="K674" s="10" t="n">
        <x:f>J674*'Assumptions'!$T$56</x:f>
        <x:v>20333.325600000007</x:v>
      </x:c>
      <x:c r="L674" s="10" t="n">
        <x:f>K674*'Assumptions'!$U$56</x:f>
        <x:v>609.9997680000002</x:v>
      </x:c>
      <x:c r="M674" s="10" t="n">
        <x:f>K674*'Assumptions'!$V$56</x:f>
        <x:v>0</x:v>
      </x:c>
      <x:c r="N674" s="10" t="n">
        <x:f>K674-L674-M674</x:f>
        <x:v>19723.325832000006</x:v>
      </x:c>
      <x:c r="O674" s="10" t="n">
        <x:f>H674*'Assumptions'!$P$56*'Assumptions'!$Q$56*'Assumptions'!$D$11*(1+'Assumptions'!$D$13)^(6-1)</x:f>
        <x:v>7857.299070793502</x:v>
      </x:c>
      <x:c r="P674" s="10" t="n">
        <x:f>H674*'Assumptions'!$R$56*'Assumptions'!$D$11*(1+'Assumptions'!$D$13)^(6-1)</x:f>
        <x:v>130.954984513225</x:v>
      </x:c>
      <x:c r="Q674" s="10" t="n">
        <x:f>J674*'Assumptions'!$S$56</x:f>
        <x:v>0</x:v>
      </x:c>
      <x:c r="R674" s="10" t="n">
        <x:f>H674*'Assumptions'!$Y$56*'Assumptions'!$Z$56*'Assumptions'!$D$11*(1+'Assumptions'!$D$13)^(6-1)</x:f>
        <x:v>98.21623838491877</x:v>
      </x:c>
      <x:c r="S674" s="10" t="n">
        <x:f>IF(I674=0,0,J674*'Assumptions'!$W$56+H674*'Assumptions'!$X$56)</x:f>
        <x:v>593.0553300000003</x:v>
      </x:c>
      <x:c r="T674" s="10" t="n">
        <x:f>N674*'Assumptions'!$AA$56</x:f>
        <x:v>788.9330332800002</x:v>
      </x:c>
      <x:c r="U674" s="10" t="n">
        <x:f>'Assumptions'!$AE$56*'Assumptions'!$D$11*(1+'Assumptions'!$D$13)^(6-1)</x:f>
        <x:v>0</x:v>
      </x:c>
      <x:c r="V674" s="10" t="n">
        <x:f>0</x:f>
        <x:v>0</x:v>
      </x:c>
      <x:c r="W674" s="10" t="n">
        <x:f>H674*('Assumptions'!$P$56+'Assumptions'!$Y$56)</x:f>
        <x:v>115.78699300000005</x:v>
      </x:c>
      <x:c r="X674" s="10" t="n">
        <x:f>N674/12*'Assumptions'!$AF$56</x:f>
        <x:v>1643.6104860000005</x:v>
      </x:c>
      <x:c r="Y674" s="10" t="n">
        <x:f>P674/12</x:f>
        <x:v>10.912915376102085</x:v>
      </x:c>
      <x:c r="Z674" s="10" t="n">
        <x:f>0</x:f>
        <x:v>0</x:v>
      </x:c>
      <x:c r="AA674" s="10" t="n">
        <x:f>Z674*'Assumptions'!$AC$56*'Assumptions'!$D$11*(1+'Assumptions'!$D$13)^(6-1)</x:f>
        <x:v>0</x:v>
      </x:c>
      <x:c r="AB674" s="10" t="n">
        <x:f>F674/1</x:f>
        <x:v>6.032092000000003</x:v>
      </x:c>
      <x:c r="AC674" s="10" t="n">
        <x:f>AB674/'Assumptions'!$AM$56</x:f>
        <x:v>30.160460000000015</x:v>
      </x:c>
      <x:c r="AD674" s="10" t="n">
        <x:f>IF(AB674=0,0,T674/AB674)</x:f>
        <x:v>130.7892905612182</x:v>
      </x:c>
      <x:c r="AE674" s="10" t="n">
        <x:f>AA674*'Assumptions'!$D$21</x:f>
        <x:v>0</x:v>
      </x:c>
    </x:row>
    <x:row r="675" ht="16" customHeight="1">
      <x:c r="A675" s="1"/>
      <x:c r="B675" s="1"/>
      <x:c r="C675" s="1" t="str">
        <x:v>DOT-028</x:v>
      </x:c>
      <x:c r="D675" s="10" t="str">
        <x:v>BPA professional services</x:v>
      </x:c>
      <x:c r="E675" s="10" t="n">
        <x:v>6</x:v>
      </x:c>
      <x:c r="F675" s="21" t="n">
        <x:f>F547*(1+'Assumptions'!$M$57)</x:f>
        <x:v>3.0160460000000016</x:v>
      </x:c>
      <x:c r="G675" s="21" t="n">
        <x:f>H547*'Assumptions'!$K$57</x:f>
        <x:v>2.6321000000000008</x:v>
      </x:c>
      <x:c r="H675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675+G675,NA())</x:f>
        <x:v>5.648146000000002</x:v>
      </x:c>
      <x:c r="I675" s="22" t="n">
        <x:f>'Assumptions'!$H$57*IF('Assumptions'!$O$57=1,1,'Assumptions'!$D$10)*(1+'Assumptions'!$N$57)^(6-1)</x:f>
        <x:v>1800</x:v>
      </x:c>
      <x:c r="J675" s="10" t="n">
        <x:f>H675*I675</x:f>
        <x:v>10166.662800000004</x:v>
      </x:c>
      <x:c r="K675" s="10" t="n">
        <x:f>J675*'Assumptions'!$T$57</x:f>
        <x:v>10166.662800000004</x:v>
      </x:c>
      <x:c r="L675" s="10" t="n">
        <x:f>K675*'Assumptions'!$U$57</x:f>
        <x:v>304.9998840000001</x:v>
      </x:c>
      <x:c r="M675" s="10" t="n">
        <x:f>K675*'Assumptions'!$V$57</x:f>
        <x:v>0</x:v>
      </x:c>
      <x:c r="N675" s="10" t="n">
        <x:f>K675-L675-M675</x:f>
        <x:v>9861.662916000003</x:v>
      </x:c>
      <x:c r="O675" s="10" t="n">
        <x:f>H675*'Assumptions'!$P$57*'Assumptions'!$Q$57*'Assumptions'!$D$11*(1+'Assumptions'!$D$13)^(6-1)</x:f>
        <x:v>4714.379442476101</x:v>
      </x:c>
      <x:c r="P675" s="10" t="n">
        <x:f>H675*'Assumptions'!$R$57*'Assumptions'!$D$11*(1+'Assumptions'!$D$13)^(6-1)</x:f>
        <x:v>65.4774922566125</x:v>
      </x:c>
      <x:c r="Q675" s="10" t="n">
        <x:f>J675*'Assumptions'!$S$57</x:f>
        <x:v>0</x:v>
      </x:c>
      <x:c r="R675" s="10" t="n">
        <x:f>H675*'Assumptions'!$Y$57*'Assumptions'!$Z$57*'Assumptions'!$D$11*(1+'Assumptions'!$D$13)^(6-1)</x:f>
        <x:v>49.108119192459384</x:v>
      </x:c>
      <x:c r="S675" s="10" t="n">
        <x:f>IF(I675=0,0,J675*'Assumptions'!$W$57+H675*'Assumptions'!$X$57)</x:f>
        <x:v>296.5276650000001</x:v>
      </x:c>
      <x:c r="T675" s="10" t="n">
        <x:f>N675*'Assumptions'!$AA$57</x:f>
        <x:v>394.4665166400001</x:v>
      </x:c>
      <x:c r="U675" s="10" t="n">
        <x:f>'Assumptions'!$AE$57*'Assumptions'!$D$11*(1+'Assumptions'!$D$13)^(6-1)</x:f>
        <x:v>0</x:v>
      </x:c>
      <x:c r="V675" s="10" t="n">
        <x:f>0</x:f>
        <x:v>0</x:v>
      </x:c>
      <x:c r="W675" s="10" t="n">
        <x:f>H675*('Assumptions'!$P$57+'Assumptions'!$Y$57)</x:f>
        <x:v>69.18978850000003</x:v>
      </x:c>
      <x:c r="X675" s="10" t="n">
        <x:f>N675/12*'Assumptions'!$AF$57</x:f>
        <x:v>821.8052430000002</x:v>
      </x:c>
      <x:c r="Y675" s="10" t="n">
        <x:f>P675/12</x:f>
        <x:v>5.456457688051042</x:v>
      </x:c>
      <x:c r="Z675" s="10" t="n">
        <x:f>0</x:f>
        <x:v>0</x:v>
      </x:c>
      <x:c r="AA675" s="10" t="n">
        <x:f>Z675*'Assumptions'!$AC$57*'Assumptions'!$D$11*(1+'Assumptions'!$D$13)^(6-1)</x:f>
        <x:v>0</x:v>
      </x:c>
      <x:c r="AB675" s="10" t="n">
        <x:f>F675/1</x:f>
        <x:v>3.0160460000000016</x:v>
      </x:c>
      <x:c r="AC675" s="10" t="n">
        <x:f>AB675/'Assumptions'!$AM$57</x:f>
        <x:v>15.080230000000007</x:v>
      </x:c>
      <x:c r="AD675" s="10" t="n">
        <x:f>IF(AB675=0,0,T675/AB675)</x:f>
        <x:v>130.7892905612182</x:v>
      </x:c>
      <x:c r="AE675" s="10" t="n">
        <x:f>AA675*'Assumptions'!$D$21</x:f>
        <x:v>0</x:v>
      </x:c>
    </x:row>
    <x:row r="676" ht="16" customHeight="1">
      <x:c r="A676" s="1"/>
      <x:c r="B676" s="1"/>
      <x:c r="C676" s="1" t="str">
        <x:v>DOT-029</x:v>
      </x:c>
      <x:c r="D676" s="10" t="str">
        <x:v>BPA professional services</x:v>
      </x:c>
      <x:c r="E676" s="10" t="n">
        <x:v>6</x:v>
      </x:c>
      <x:c r="F676" s="21" t="n">
        <x:f>F548*(1+'Assumptions'!$M$58)</x:f>
        <x:v>30.160460000000008</x:v>
      </x:c>
      <x:c r="G676" s="21" t="n">
        <x:f>H548*'Assumptions'!$K$58</x:f>
        <x:v>26.321000000000005</x:v>
      </x:c>
      <x:c r="H676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676+G676,NA())</x:f>
        <x:v>56.48146000000001</x:v>
      </x:c>
      <x:c r="I676" s="22" t="n">
        <x:f>'Assumptions'!$H$58*IF('Assumptions'!$O$58=1,1,'Assumptions'!$D$10)*(1+'Assumptions'!$N$58)^(6-1)</x:f>
        <x:v>180</x:v>
      </x:c>
      <x:c r="J676" s="10" t="n">
        <x:f>H676*I676</x:f>
        <x:v>10166.662800000002</x:v>
      </x:c>
      <x:c r="K676" s="10" t="n">
        <x:f>J676*'Assumptions'!$T$58</x:f>
        <x:v>10166.662800000002</x:v>
      </x:c>
      <x:c r="L676" s="10" t="n">
        <x:f>K676*'Assumptions'!$U$58</x:f>
        <x:v>304.99988400000007</x:v>
      </x:c>
      <x:c r="M676" s="10" t="n">
        <x:f>K676*'Assumptions'!$V$58</x:f>
        <x:v>0</x:v>
      </x:c>
      <x:c r="N676" s="10" t="n">
        <x:f>K676-L676-M676</x:f>
        <x:v>9861.662916000001</x:v>
      </x:c>
      <x:c r="O676" s="10" t="n">
        <x:f>H676*'Assumptions'!$P$58*'Assumptions'!$Q$58*'Assumptions'!$D$11*(1+'Assumptions'!$D$13)^(6-1)</x:f>
        <x:v>3928.64953539675</x:v>
      </x:c>
      <x:c r="P676" s="10" t="n">
        <x:f>H676*'Assumptions'!$R$58*'Assumptions'!$D$11*(1+'Assumptions'!$D$13)^(6-1)</x:f>
        <x:v>654.774922566125</x:v>
      </x:c>
      <x:c r="Q676" s="10" t="n">
        <x:f>J676*'Assumptions'!$S$58</x:f>
        <x:v>0</x:v>
      </x:c>
      <x:c r="R676" s="10" t="n">
        <x:f>H676*'Assumptions'!$Y$58*'Assumptions'!$Z$58*'Assumptions'!$D$11*(1+'Assumptions'!$D$13)^(6-1)</x:f>
        <x:v>491.0811919245937</x:v>
      </x:c>
      <x:c r="S676" s="10" t="n">
        <x:f>IF(I676=0,0,J676*'Assumptions'!$W$58+H676*'Assumptions'!$X$58)</x:f>
        <x:v>311.7776592000001</x:v>
      </x:c>
      <x:c r="T676" s="10" t="n">
        <x:f>N676*'Assumptions'!$AA$58</x:f>
        <x:v>394.46651664000007</x:v>
      </x:c>
      <x:c r="U676" s="10" t="n">
        <x:f>'Assumptions'!$AE$58*'Assumptions'!$D$11*(1+'Assumptions'!$D$13)^(6-1)</x:f>
        <x:v>0</x:v>
      </x:c>
      <x:c r="V676" s="10" t="n">
        <x:f>0</x:f>
        <x:v>0</x:v>
      </x:c>
      <x:c r="W676" s="10" t="n">
        <x:f>H676*('Assumptions'!$P$58+'Assumptions'!$Y$58)</x:f>
        <x:v>70.60182500000002</x:v>
      </x:c>
      <x:c r="X676" s="10" t="n">
        <x:f>N676/12*'Assumptions'!$AF$58</x:f>
        <x:v>821.8052430000001</x:v>
      </x:c>
      <x:c r="Y676" s="10" t="n">
        <x:f>P676/12</x:f>
        <x:v>54.56457688051042</x:v>
      </x:c>
      <x:c r="Z676" s="10" t="n">
        <x:f>0</x:f>
        <x:v>0</x:v>
      </x:c>
      <x:c r="AA676" s="10" t="n">
        <x:f>Z676*'Assumptions'!$AC$58*'Assumptions'!$D$11*(1+'Assumptions'!$D$13)^(6-1)</x:f>
        <x:v>0</x:v>
      </x:c>
      <x:c r="AB676" s="10" t="n">
        <x:f>F676/1</x:f>
        <x:v>30.160460000000008</x:v>
      </x:c>
      <x:c r="AC676" s="10" t="n">
        <x:f>AB676/'Assumptions'!$AM$58</x:f>
        <x:v>150.80230000000003</x:v>
      </x:c>
      <x:c r="AD676" s="10" t="n">
        <x:f>IF(AB676=0,0,T676/AB676)</x:f>
        <x:v>13.078929056121822</x:v>
      </x:c>
      <x:c r="AE676" s="10" t="n">
        <x:f>AA676*'Assumptions'!$D$21</x:f>
        <x:v>0</x:v>
      </x:c>
    </x:row>
    <x:row r="677" ht="16" customHeight="1">
      <x:c r="A677" s="1"/>
      <x:c r="B677" s="1"/>
      <x:c r="C677" s="1" t="str">
        <x:v>DOT-030</x:v>
      </x:c>
      <x:c r="D677" s="10" t="str">
        <x:v>BPA professional services</x:v>
      </x:c>
      <x:c r="E677" s="10" t="n">
        <x:v>6</x:v>
      </x:c>
      <x:c r="F677" s="21" t="n">
        <x:f>F549*(1+'Assumptions'!$M$59)</x:f>
        <x:v>6.032092000000003</x:v>
      </x:c>
      <x:c r="G677" s="21" t="n">
        <x:f>H549*'Assumptions'!$K$59</x:f>
        <x:v>5.2642000000000015</x:v>
      </x:c>
      <x:c r="H677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677+G677,NA())</x:f>
        <x:v>11.296292000000005</x:v>
      </x:c>
      <x:c r="I677" s="22" t="n">
        <x:f>'Assumptions'!$H$59*IF('Assumptions'!$O$59=1,1,'Assumptions'!$D$10)*(1+'Assumptions'!$N$59)^(6-1)</x:f>
        <x:v>552.0404016</x:v>
      </x:c>
      <x:c r="J677" s="10" t="n">
        <x:f>H677*I677</x:f>
        <x:v>6236.009572270869</x:v>
      </x:c>
      <x:c r="K677" s="10" t="n">
        <x:f>J677*'Assumptions'!$T$59</x:f>
        <x:v>6236.009572270869</x:v>
      </x:c>
      <x:c r="L677" s="10" t="n">
        <x:f>K677*'Assumptions'!$U$59</x:f>
        <x:v>187.08028716812606</x:v>
      </x:c>
      <x:c r="M677" s="10" t="n">
        <x:f>K677*'Assumptions'!$V$59</x:f>
        <x:v>0</x:v>
      </x:c>
      <x:c r="N677" s="10" t="n">
        <x:f>K677-L677-M677</x:f>
        <x:v>6048.929285102743</x:v>
      </x:c>
      <x:c r="O677" s="10" t="n">
        <x:f>H677*'Assumptions'!$P$59*'Assumptions'!$Q$59*'Assumptions'!$D$11*(1+'Assumptions'!$D$13)^(6-1)</x:f>
        <x:v>2357.1897212380504</x:v>
      </x:c>
      <x:c r="P677" s="10" t="n">
        <x:f>H677*'Assumptions'!$R$59*'Assumptions'!$D$11*(1+'Assumptions'!$D$13)^(6-1)</x:f>
        <x:v>130.954984513225</x:v>
      </x:c>
      <x:c r="Q677" s="10" t="n">
        <x:f>J677*'Assumptions'!$S$59</x:f>
        <x:v>0</x:v>
      </x:c>
      <x:c r="R677" s="10" t="n">
        <x:f>H677*'Assumptions'!$Y$59*'Assumptions'!$Z$59*'Assumptions'!$D$11*(1+'Assumptions'!$D$13)^(6-1)</x:f>
        <x:v>98.21623838491877</x:v>
      </x:c>
      <x:c r="S677" s="10" t="n">
        <x:f>IF(I677=0,0,J677*'Assumptions'!$W$59+H677*'Assumptions'!$X$59)</x:f>
        <x:v>184.23316519585524</x:v>
      </x:c>
      <x:c r="T677" s="10" t="n">
        <x:f>N677*'Assumptions'!$AA$59</x:f>
        <x:v>241.95717140410972</x:v>
      </x:c>
      <x:c r="U677" s="10" t="n">
        <x:f>'Assumptions'!$AE$59*'Assumptions'!$D$11*(1+'Assumptions'!$D$13)^(6-1)</x:f>
        <x:v>0</x:v>
      </x:c>
      <x:c r="V677" s="10" t="n">
        <x:f>0</x:f>
        <x:v>0</x:v>
      </x:c>
      <x:c r="W677" s="10" t="n">
        <x:f>H677*('Assumptions'!$P$59+'Assumptions'!$Y$59)</x:f>
        <x:v>36.712949000000016</x:v>
      </x:c>
      <x:c r="X677" s="10" t="n">
        <x:f>N677/12*'Assumptions'!$AF$59</x:f>
        <x:v>504.0774404252286</x:v>
      </x:c>
      <x:c r="Y677" s="10" t="n">
        <x:f>P677/12</x:f>
        <x:v>10.912915376102085</x:v>
      </x:c>
      <x:c r="Z677" s="10" t="n">
        <x:f>0</x:f>
        <x:v>0</x:v>
      </x:c>
      <x:c r="AA677" s="10" t="n">
        <x:f>Z677*'Assumptions'!$AC$59*'Assumptions'!$D$11*(1+'Assumptions'!$D$13)^(6-1)</x:f>
        <x:v>0</x:v>
      </x:c>
      <x:c r="AB677" s="10" t="n">
        <x:f>F677/1</x:f>
        <x:v>6.032092000000003</x:v>
      </x:c>
      <x:c r="AC677" s="10" t="n">
        <x:f>AB677/'Assumptions'!$AM$59</x:f>
        <x:v>30.160460000000015</x:v>
      </x:c>
      <x:c r="AD677" s="10" t="n">
        <x:f>IF(AB677=0,0,T677/AB677)</x:f>
        <x:v>40.11165138132999</x:v>
      </x:c>
      <x:c r="AE677" s="10" t="n">
        <x:f>AA677*'Assumptions'!$D$21</x:f>
        <x:v>0</x:v>
      </x:c>
    </x:row>
    <x:row r="678" ht="16" customHeight="1">
      <x:c r="A678" s="1"/>
      <x:c r="B678" s="1"/>
      <x:c r="C678" s="1" t="str">
        <x:v>DOT-031</x:v>
      </x:c>
      <x:c r="D678" s="10" t="str">
        <x:v>BPA professional services</x:v>
      </x:c>
      <x:c r="E678" s="10" t="n">
        <x:v>6</x:v>
      </x:c>
      <x:c r="F678" s="21" t="n">
        <x:f>F550*(1+'Assumptions'!$M$60)</x:f>
        <x:v>3.0160460000000016</x:v>
      </x:c>
      <x:c r="G678" s="21" t="n">
        <x:f>H550*'Assumptions'!$K$60</x:f>
        <x:v>2.6633500000000008</x:v>
      </x:c>
      <x:c r="H678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678+G678,NA())</x:f>
        <x:v>5.679396000000002</x:v>
      </x:c>
      <x:c r="I678" s="22" t="n">
        <x:f>'Assumptions'!$H$60*IF('Assumptions'!$O$60=1,1,'Assumptions'!$D$10)*(1+'Assumptions'!$N$60)^(6-1)</x:f>
        <x:v>5520.404016</x:v>
      </x:c>
      <x:c r="J678" s="10" t="n">
        <x:f>H678*I678</x:f>
        <x:v>31352.560486854352</x:v>
      </x:c>
      <x:c r="K678" s="10" t="n">
        <x:f>J678*'Assumptions'!$T$60</x:f>
        <x:v>31352.560486854352</x:v>
      </x:c>
      <x:c r="L678" s="10" t="n">
        <x:f>K678*'Assumptions'!$U$60</x:f>
        <x:v>940.5768146056305</x:v>
      </x:c>
      <x:c r="M678" s="10" t="n">
        <x:f>K678*'Assumptions'!$V$60</x:f>
        <x:v>0</x:v>
      </x:c>
      <x:c r="N678" s="10" t="n">
        <x:f>K678-L678-M678</x:f>
        <x:v>30411.983672248723</x:v>
      </x:c>
      <x:c r="O678" s="10" t="n">
        <x:f>H678*'Assumptions'!$P$60*'Assumptions'!$Q$60*'Assumptions'!$D$11*(1+'Assumptions'!$D$13)^(6-1)</x:f>
        <x:v>15801.543697159505</x:v>
      </x:c>
      <x:c r="P678" s="10" t="n">
        <x:f>H678*'Assumptions'!$R$60*'Assumptions'!$D$11*(1+'Assumptions'!$D$13)^(6-1)</x:f>
        <x:v>65.83976540483127</x:v>
      </x:c>
      <x:c r="Q678" s="10" t="n">
        <x:f>J678*'Assumptions'!$S$60</x:f>
        <x:v>0</x:v>
      </x:c>
      <x:c r="R678" s="10" t="n">
        <x:f>H678*'Assumptions'!$Y$60*'Assumptions'!$Z$60*'Assumptions'!$D$11*(1+'Assumptions'!$D$13)^(6-1)</x:f>
        <x:v>49.379824053623445</x:v>
      </x:c>
      <x:c r="S678" s="10" t="n">
        <x:f>IF(I678=0,0,J678*'Assumptions'!$W$60+H678*'Assumptions'!$X$60)</x:f>
        <x:v>910.9280729187763</x:v>
      </x:c>
      <x:c r="T678" s="10" t="n">
        <x:f>N678*'Assumptions'!$AA$60</x:f>
        <x:v>1216.479346889949</x:v>
      </x:c>
      <x:c r="U678" s="10" t="n">
        <x:f>'Assumptions'!$AE$60*'Assumptions'!$D$11*(1+'Assumptions'!$D$13)^(6-1)</x:f>
        <x:v>0</x:v>
      </x:c>
      <x:c r="V678" s="10" t="n">
        <x:f>0</x:f>
        <x:v>0</x:v>
      </x:c>
      <x:c r="W678" s="10" t="n">
        <x:f>H678*('Assumptions'!$P$60+'Assumptions'!$Y$60)</x:f>
        <x:v>228.5956890000001</x:v>
      </x:c>
      <x:c r="X678" s="10" t="n">
        <x:f>N678/12*'Assumptions'!$AF$60</x:f>
        <x:v>2534.3319726873938</x:v>
      </x:c>
      <x:c r="Y678" s="10" t="n">
        <x:f>P678/12</x:f>
        <x:v>5.486647117069272</x:v>
      </x:c>
      <x:c r="Z678" s="10" t="n">
        <x:f>0</x:f>
        <x:v>0</x:v>
      </x:c>
      <x:c r="AA678" s="10" t="n">
        <x:f>Z678*'Assumptions'!$AC$60*'Assumptions'!$D$11*(1+'Assumptions'!$D$13)^(6-1)</x:f>
        <x:v>0</x:v>
      </x:c>
      <x:c r="AB678" s="10" t="n">
        <x:f>F678/1</x:f>
        <x:v>3.0160460000000016</x:v>
      </x:c>
      <x:c r="AC678" s="10" t="n">
        <x:f>AB678/'Assumptions'!$AM$60</x:f>
        <x:v>15.080230000000007</x:v>
      </x:c>
      <x:c r="AD678" s="10" t="n">
        <x:f>IF(AB678=0,0,T678/AB678)</x:f>
        <x:v>403.33580684444087</x:v>
      </x:c>
      <x:c r="AE678" s="10" t="n">
        <x:f>AA678*'Assumptions'!$D$21</x:f>
        <x:v>0</x:v>
      </x:c>
    </x:row>
    <x:row r="679" ht="16" customHeight="1">
      <x:c r="A679" s="1"/>
      <x:c r="B679" s="1"/>
      <x:c r="C679" s="1" t="str">
        <x:v>DOT-032</x:v>
      </x:c>
      <x:c r="D679" s="10" t="str">
        <x:v>BPA professional services</x:v>
      </x:c>
      <x:c r="E679" s="10" t="n">
        <x:v>6</x:v>
      </x:c>
      <x:c r="F679" s="21" t="n">
        <x:f>F551*(1+'Assumptions'!$M$61)</x:f>
        <x:v>1.5080230000000008</x:v>
      </x:c>
      <x:c r="G679" s="21" t="n">
        <x:f>H551*'Assumptions'!$K$61</x:f>
        <x:v>1.3316750000000004</x:v>
      </x:c>
      <x:c r="H679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679+G679,NA())</x:f>
        <x:v>2.839698000000001</x:v>
      </x:c>
      <x:c r="I679" s="22" t="n">
        <x:f>'Assumptions'!$H$61*IF('Assumptions'!$O$61=1,1,'Assumptions'!$D$10)*(1+'Assumptions'!$N$61)^(6-1)</x:f>
        <x:v>8280.606024</x:v>
      </x:c>
      <x:c r="J679" s="10" t="n">
        <x:f>H679*I679</x:f>
        <x:v>23514.420365140762</x:v>
      </x:c>
      <x:c r="K679" s="10" t="n">
        <x:f>J679*'Assumptions'!$T$61</x:f>
        <x:v>23514.420365140762</x:v>
      </x:c>
      <x:c r="L679" s="10" t="n">
        <x:f>K679*'Assumptions'!$U$61</x:f>
        <x:v>705.4326109542228</x:v>
      </x:c>
      <x:c r="M679" s="10" t="n">
        <x:f>K679*'Assumptions'!$V$61</x:f>
        <x:v>0</x:v>
      </x:c>
      <x:c r="N679" s="10" t="n">
        <x:f>K679-L679-M679</x:f>
        <x:v>22808.98775418654</x:v>
      </x:c>
      <x:c r="O679" s="10" t="n">
        <x:f>H679*'Assumptions'!$P$61*'Assumptions'!$Q$61*'Assumptions'!$D$11*(1+'Assumptions'!$D$13)^(6-1)</x:f>
        <x:v>11851.157772869628</x:v>
      </x:c>
      <x:c r="P679" s="10" t="n">
        <x:f>H679*'Assumptions'!$R$61*'Assumptions'!$D$11*(1+'Assumptions'!$D$13)^(6-1)</x:f>
        <x:v>32.919882702415634</x:v>
      </x:c>
      <x:c r="Q679" s="10" t="n">
        <x:f>J679*'Assumptions'!$S$61</x:f>
        <x:v>0</x:v>
      </x:c>
      <x:c r="R679" s="10" t="n">
        <x:f>H679*'Assumptions'!$Y$61*'Assumptions'!$Z$61*'Assumptions'!$D$11*(1+'Assumptions'!$D$13)^(6-1)</x:f>
        <x:v>24.689912026811722</x:v>
      </x:c>
      <x:c r="S679" s="10" t="n">
        <x:f>IF(I679=0,0,J679*'Assumptions'!$W$61+H679*'Assumptions'!$X$61)</x:f>
        <x:v>682.7700999890822</x:v>
      </x:c>
      <x:c r="T679" s="10" t="n">
        <x:f>N679*'Assumptions'!$AA$61</x:f>
        <x:v>912.3595101674616</x:v>
      </x:c>
      <x:c r="U679" s="10" t="n">
        <x:f>'Assumptions'!$AE$61*'Assumptions'!$D$11*(1+'Assumptions'!$D$13)^(6-1)</x:f>
        <x:v>0</x:v>
      </x:c>
      <x:c r="V679" s="10" t="n">
        <x:f>0</x:f>
        <x:v>0</x:v>
      </x:c>
      <x:c r="W679" s="10" t="n">
        <x:f>H679*('Assumptions'!$P$61+'Assumptions'!$Y$61)</x:f>
        <x:v>171.09180450000008</x:v>
      </x:c>
      <x:c r="X679" s="10" t="n">
        <x:f>N679/12*'Assumptions'!$AF$61</x:f>
        <x:v>1900.748979515545</x:v>
      </x:c>
      <x:c r="Y679" s="10" t="n">
        <x:f>P679/12</x:f>
        <x:v>2.743323558534636</x:v>
      </x:c>
      <x:c r="Z679" s="10" t="n">
        <x:f>0</x:f>
        <x:v>0</x:v>
      </x:c>
      <x:c r="AA679" s="10" t="n">
        <x:f>Z679*'Assumptions'!$AC$61*'Assumptions'!$D$11*(1+'Assumptions'!$D$13)^(6-1)</x:f>
        <x:v>0</x:v>
      </x:c>
      <x:c r="AB679" s="10" t="n">
        <x:f>F679/1</x:f>
        <x:v>1.5080230000000008</x:v>
      </x:c>
      <x:c r="AC679" s="10" t="n">
        <x:f>AB679/'Assumptions'!$AM$61</x:f>
        <x:v>7.540115000000004</x:v>
      </x:c>
      <x:c r="AD679" s="10" t="n">
        <x:f>IF(AB679=0,0,T679/AB679)</x:f>
        <x:v>605.0037102666612</x:v>
      </x:c>
      <x:c r="AE679" s="10" t="n">
        <x:f>AA679*'Assumptions'!$D$21</x:f>
        <x:v>0</x:v>
      </x:c>
    </x:row>
    <x:row r="680" ht="16" customHeight="1">
      <x:c r="A680" s="1"/>
      <x:c r="B680" s="1"/>
      <x:c r="C680" s="1" t="str">
        <x:v>DOT-033</x:v>
      </x:c>
      <x:c r="D680" s="10" t="str">
        <x:v>CornerFlow</x:v>
      </x:c>
      <x:c r="E680" s="10" t="n">
        <x:v>6</x:v>
      </x:c>
      <x:c r="F680" s="21" t="n">
        <x:f>F552*(1+'Assumptions'!$M$62)</x:f>
        <x:v>76.88908800000002</x:v>
      </x:c>
      <x:c r="G680" s="21" t="n">
        <x:f>H552*'Assumptions'!$K$62</x:f>
        <x:v>120.97428</x:v>
      </x:c>
      <x:c r="H680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680+G680,NA())</x:f>
        <x:v>197.863368</x:v>
      </x:c>
      <x:c r="I680" s="22" t="n">
        <x:f>'Assumptions'!$H$62*IF('Assumptions'!$O$62=1,1,'Assumptions'!$D$10)*(1+'Assumptions'!$N$62)^(6-1)</x:f>
        <x:v>54.0999593568</x:v>
      </x:c>
      <x:c r="J680" s="10" t="n">
        <x:f>H680*I680</x:f>
        <x:v>10704.400166999561</x:v>
      </x:c>
      <x:c r="K680" s="10" t="n">
        <x:f>J680*'Assumptions'!$T$62</x:f>
        <x:v>10704.400166999561</x:v>
      </x:c>
      <x:c r="L680" s="10" t="n">
        <x:f>K680*'Assumptions'!$U$62</x:f>
        <x:v>321.1320050099868</x:v>
      </x:c>
      <x:c r="M680" s="10" t="n">
        <x:f>K680*'Assumptions'!$V$62</x:f>
        <x:v>0</x:v>
      </x:c>
      <x:c r="N680" s="10" t="n">
        <x:f>K680-L680-M680</x:f>
        <x:v>10383.268161989574</x:v>
      </x:c>
      <x:c r="O680" s="10" t="n">
        <x:f>H680*'Assumptions'!$P$62*'Assumptions'!$Q$62*'Assumptions'!$D$11*(1+'Assumptions'!$D$13)^(6-1)</x:f>
        <x:v>1204.2338320744213</x:v>
      </x:c>
      <x:c r="P680" s="10" t="n">
        <x:f>H680*'Assumptions'!$R$62*'Assumptions'!$D$11*(1+'Assumptions'!$D$13)^(6-1)</x:f>
        <x:v>0</x:v>
      </x:c>
      <x:c r="Q680" s="10" t="n">
        <x:f>J680*'Assumptions'!$S$62</x:f>
        <x:v>0</x:v>
      </x:c>
      <x:c r="R680" s="10" t="n">
        <x:f>H680*'Assumptions'!$Y$62*'Assumptions'!$Z$62*'Assumptions'!$D$11*(1+'Assumptions'!$D$13)^(6-1)</x:f>
        <x:v>1032.2004274923613</x:v>
      </x:c>
      <x:c r="S680" s="10" t="n">
        <x:f>IF(I680=0,0,J680*'Assumptions'!$W$62+H680*'Assumptions'!$X$62)</x:f>
        <x:v>369.7866152429873</x:v>
      </x:c>
      <x:c r="T680" s="10" t="n">
        <x:f>N680*'Assumptions'!$AA$62</x:f>
        <x:v>519.1634080994787</x:v>
      </x:c>
      <x:c r="U680" s="10" t="n">
        <x:f>'Assumptions'!$AE$62*'Assumptions'!$D$11*(1+'Assumptions'!$D$13)^(6-1)</x:f>
        <x:v>139.112888916</x:v>
      </x:c>
      <x:c r="V680" s="10" t="n">
        <x:f>0</x:f>
        <x:v>0</x:v>
      </x:c>
      <x:c r="W680" s="10" t="n">
        <x:f>H680*('Assumptions'!$P$62+'Assumptions'!$Y$62)</x:f>
        <x:v>59.3590104</x:v>
      </x:c>
      <x:c r="X680" s="10" t="n">
        <x:f>N680/12*'Assumptions'!$AF$62</x:f>
        <x:v>0</x:v>
      </x:c>
      <x:c r="Y680" s="10" t="n">
        <x:f>P680/12</x:f>
        <x:v>0</x:v>
      </x:c>
      <x:c r="Z680" s="10" t="n">
        <x:f>0</x:f>
        <x:v>0</x:v>
      </x:c>
      <x:c r="AA680" s="10" t="n">
        <x:f>Z680*'Assumptions'!$AC$62*'Assumptions'!$D$11*(1+'Assumptions'!$D$13)^(6-1)</x:f>
        <x:v>0</x:v>
      </x:c>
      <x:c r="AB680" s="10" t="n">
        <x:f>F680/12</x:f>
        <x:v>6.407424000000002</x:v>
      </x:c>
      <x:c r="AC680" s="10" t="n">
        <x:f>AB680/'Assumptions'!$AM$62</x:f>
        <x:v>128.14848000000003</x:v>
      </x:c>
      <x:c r="AD680" s="10" t="n">
        <x:f>IF(AB680=0,0,T680/AB680)</x:f>
        <x:v>81.02529317545999</x:v>
      </x:c>
      <x:c r="AE680" s="10" t="n">
        <x:f>AA680*'Assumptions'!$D$21</x:f>
        <x:v>0</x:v>
      </x:c>
    </x:row>
    <x:row r="681" ht="16" customHeight="1">
      <x:c r="A681" s="1"/>
      <x:c r="B681" s="1"/>
      <x:c r="C681" s="1" t="str">
        <x:v>DOT-034</x:v>
      </x:c>
      <x:c r="D681" s="10" t="str">
        <x:v>CornerFlow</x:v>
      </x:c>
      <x:c r="E681" s="10" t="n">
        <x:v>6</x:v>
      </x:c>
      <x:c r="F681" s="21" t="n">
        <x:f>F553*(1+'Assumptions'!$M$63)</x:f>
        <x:v>15.080230000000004</x:v>
      </x:c>
      <x:c r="G681" s="21" t="n">
        <x:f>H553*'Assumptions'!$K$63</x:f>
        <x:v>13.160500000000003</x:v>
      </x:c>
      <x:c r="H681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681+G681,NA())</x:f>
        <x:v>28.240730000000006</x:v>
      </x:c>
      <x:c r="I681" s="22" t="n">
        <x:f>'Assumptions'!$H$63*IF('Assumptions'!$O$63=1,1,'Assumptions'!$D$10)*(1+'Assumptions'!$N$63)^(6-1)</x:f>
        <x:v>219.7120798368</x:v>
      </x:c>
      <x:c r="J681" s="10" t="n">
        <x:f>H681*I681</x:f>
        <x:v>6204.829524409514</x:v>
      </x:c>
      <x:c r="K681" s="10" t="n">
        <x:f>J681*'Assumptions'!$T$63</x:f>
        <x:v>6204.829524409514</x:v>
      </x:c>
      <x:c r="L681" s="10" t="n">
        <x:f>K681*'Assumptions'!$U$63</x:f>
        <x:v>186.14488573228542</x:v>
      </x:c>
      <x:c r="M681" s="10" t="n">
        <x:f>K681*'Assumptions'!$V$63</x:f>
        <x:v>0</x:v>
      </x:c>
      <x:c r="N681" s="10" t="n">
        <x:f>K681-L681-M681</x:f>
        <x:v>6018.684638677229</x:v>
      </x:c>
      <x:c r="O681" s="10" t="n">
        <x:f>H681*'Assumptions'!$P$63*'Assumptions'!$Q$63*'Assumptions'!$D$11*(1+'Assumptions'!$D$13)^(6-1)</x:f>
        <x:v>2619.0996902645</x:v>
      </x:c>
      <x:c r="P681" s="10" t="n">
        <x:f>H681*'Assumptions'!$R$63*'Assumptions'!$D$11*(1+'Assumptions'!$D$13)^(6-1)</x:f>
        <x:v>0</x:v>
      </x:c>
      <x:c r="Q681" s="10" t="n">
        <x:f>J681*'Assumptions'!$S$63</x:f>
        <x:v>0</x:v>
      </x:c>
      <x:c r="R681" s="10" t="n">
        <x:f>H681*'Assumptions'!$Y$63*'Assumptions'!$Z$63*'Assumptions'!$D$11*(1+'Assumptions'!$D$13)^(6-1)</x:f>
        <x:v>245.54059596229686</x:v>
      </x:c>
      <x:c r="S681" s="10" t="n">
        <x:f>IF(I681=0,0,J681*'Assumptions'!$W$63+H681*'Assumptions'!$X$63)</x:f>
        <x:v>188.41227520787592</x:v>
      </x:c>
      <x:c r="T681" s="10" t="n">
        <x:f>N681*'Assumptions'!$AA$63</x:f>
        <x:v>240.74738554708915</x:v>
      </x:c>
      <x:c r="U681" s="10" t="n">
        <x:f>'Assumptions'!$AE$63*'Assumptions'!$D$11*(1+'Assumptions'!$D$13)^(6-1)</x:f>
        <x:v>0</x:v>
      </x:c>
      <x:c r="V681" s="10" t="n">
        <x:f>0</x:f>
        <x:v>0</x:v>
      </x:c>
      <x:c r="W681" s="10" t="n">
        <x:f>H681*('Assumptions'!$P$63+'Assumptions'!$Y$63)</x:f>
        <x:v>63.541642500000016</x:v>
      </x:c>
      <x:c r="X681" s="10" t="n">
        <x:f>N681/12*'Assumptions'!$AF$63</x:f>
        <x:v>501.5570532231024</x:v>
      </x:c>
      <x:c r="Y681" s="10" t="n">
        <x:f>P681/12</x:f>
        <x:v>0</x:v>
      </x:c>
      <x:c r="Z681" s="10" t="n">
        <x:f>0</x:f>
        <x:v>0</x:v>
      </x:c>
      <x:c r="AA681" s="10" t="n">
        <x:f>Z681*'Assumptions'!$AC$63*'Assumptions'!$D$11*(1+'Assumptions'!$D$13)^(6-1)</x:f>
        <x:v>0</x:v>
      </x:c>
      <x:c r="AB681" s="10" t="n">
        <x:f>F681/1</x:f>
        <x:v>15.080230000000004</x:v>
      </x:c>
      <x:c r="AC681" s="10" t="n">
        <x:f>AB681/'Assumptions'!$AM$63</x:f>
        <x:v>75.40115000000002</x:v>
      </x:c>
      <x:c r="AD681" s="10" t="n">
        <x:f>IF(AB681=0,0,T681/AB681)</x:f>
        <x:v>15.96443724976934</x:v>
      </x:c>
      <x:c r="AE681" s="10" t="n">
        <x:f>AA681*'Assumptions'!$D$21</x:f>
        <x:v>0</x:v>
      </x:c>
    </x:row>
    <x:row r="682" ht="16" customHeight="1">
      <x:c r="A682" s="1"/>
      <x:c r="B682" s="1"/>
      <x:c r="C682" s="1" t="str">
        <x:v>DOT-035</x:v>
      </x:c>
      <x:c r="D682" s="10" t="str">
        <x:v>Spindle</x:v>
      </x:c>
      <x:c r="E682" s="10" t="n">
        <x:v>6</x:v>
      </x:c>
      <x:c r="F682" s="21" t="n">
        <x:f>F554*(1+'Assumptions'!$M$64)</x:f>
        <x:v>76.88908800000002</x:v>
      </x:c>
      <x:c r="G682" s="21" t="n">
        <x:f>H554*'Assumptions'!$K$64</x:f>
        <x:v>120.97428</x:v>
      </x:c>
      <x:c r="H682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682+G682,NA())</x:f>
        <x:v>197.863368</x:v>
      </x:c>
      <x:c r="I682" s="22" t="n">
        <x:f>'Assumptions'!$H$64*IF('Assumptions'!$O$64=1,1,'Assumptions'!$D$10)*(1+'Assumptions'!$N$64)^(6-1)</x:f>
        <x:v>54.0999593568</x:v>
      </x:c>
      <x:c r="J682" s="10" t="n">
        <x:f>H682*I682</x:f>
        <x:v>10704.400166999561</x:v>
      </x:c>
      <x:c r="K682" s="10" t="n">
        <x:f>J682*'Assumptions'!$T$64</x:f>
        <x:v>10704.400166999561</x:v>
      </x:c>
      <x:c r="L682" s="10" t="n">
        <x:f>K682*'Assumptions'!$U$64</x:f>
        <x:v>321.1320050099868</x:v>
      </x:c>
      <x:c r="M682" s="10" t="n">
        <x:f>K682*'Assumptions'!$V$64</x:f>
        <x:v>0</x:v>
      </x:c>
      <x:c r="N682" s="10" t="n">
        <x:f>K682-L682-M682</x:f>
        <x:v>10383.268161989574</x:v>
      </x:c>
      <x:c r="O682" s="10" t="n">
        <x:f>H682*'Assumptions'!$P$64*'Assumptions'!$Q$64*'Assumptions'!$D$11*(1+'Assumptions'!$D$13)^(6-1)</x:f>
        <x:v>1204.2338320744213</x:v>
      </x:c>
      <x:c r="P682" s="10" t="n">
        <x:f>H682*'Assumptions'!$R$64*'Assumptions'!$D$11*(1+'Assumptions'!$D$13)^(6-1)</x:f>
        <x:v>0</x:v>
      </x:c>
      <x:c r="Q682" s="10" t="n">
        <x:f>J682*'Assumptions'!$S$64</x:f>
        <x:v>0</x:v>
      </x:c>
      <x:c r="R682" s="10" t="n">
        <x:f>H682*'Assumptions'!$Y$64*'Assumptions'!$Z$64*'Assumptions'!$D$11*(1+'Assumptions'!$D$13)^(6-1)</x:f>
        <x:v>1032.2004274923613</x:v>
      </x:c>
      <x:c r="S682" s="10" t="n">
        <x:f>IF(I682=0,0,J682*'Assumptions'!$W$64+H682*'Assumptions'!$X$64)</x:f>
        <x:v>369.7866152429873</x:v>
      </x:c>
      <x:c r="T682" s="10" t="n">
        <x:f>N682*'Assumptions'!$AA$64</x:f>
        <x:v>519.1634080994787</x:v>
      </x:c>
      <x:c r="U682" s="10" t="n">
        <x:f>'Assumptions'!$AE$64*'Assumptions'!$D$11*(1+'Assumptions'!$D$13)^(6-1)</x:f>
        <x:v>139.112888916</x:v>
      </x:c>
      <x:c r="V682" s="10" t="n">
        <x:f>0</x:f>
        <x:v>0</x:v>
      </x:c>
      <x:c r="W682" s="10" t="n">
        <x:f>H682*('Assumptions'!$P$64+'Assumptions'!$Y$64)</x:f>
        <x:v>59.3590104</x:v>
      </x:c>
      <x:c r="X682" s="10" t="n">
        <x:f>N682/12*'Assumptions'!$AF$64</x:f>
        <x:v>0</x:v>
      </x:c>
      <x:c r="Y682" s="10" t="n">
        <x:f>P682/12</x:f>
        <x:v>0</x:v>
      </x:c>
      <x:c r="Z682" s="10" t="n">
        <x:f>0</x:f>
        <x:v>0</x:v>
      </x:c>
      <x:c r="AA682" s="10" t="n">
        <x:f>Z682*'Assumptions'!$AC$64*'Assumptions'!$D$11*(1+'Assumptions'!$D$13)^(6-1)</x:f>
        <x:v>0</x:v>
      </x:c>
      <x:c r="AB682" s="10" t="n">
        <x:f>F682/12</x:f>
        <x:v>6.407424000000002</x:v>
      </x:c>
      <x:c r="AC682" s="10" t="n">
        <x:f>AB682/'Assumptions'!$AM$64</x:f>
        <x:v>128.14848000000003</x:v>
      </x:c>
      <x:c r="AD682" s="10" t="n">
        <x:f>IF(AB682=0,0,T682/AB682)</x:f>
        <x:v>81.02529317545999</x:v>
      </x:c>
      <x:c r="AE682" s="10" t="n">
        <x:f>AA682*'Assumptions'!$D$21</x:f>
        <x:v>0</x:v>
      </x:c>
    </x:row>
    <x:row r="683" ht="16" customHeight="1">
      <x:c r="A683" s="1"/>
      <x:c r="B683" s="1"/>
      <x:c r="C683" s="1" t="str">
        <x:v>DOT-036</x:v>
      </x:c>
      <x:c r="D683" s="10" t="str">
        <x:v>Spindle</x:v>
      </x:c>
      <x:c r="E683" s="10" t="n">
        <x:v>6</x:v>
      </x:c>
      <x:c r="F683" s="21" t="n">
        <x:f>F555*(1+'Assumptions'!$M$65)</x:f>
        <x:v>15.080230000000004</x:v>
      </x:c>
      <x:c r="G683" s="21" t="n">
        <x:f>H555*'Assumptions'!$K$65</x:f>
        <x:v>13.160500000000003</x:v>
      </x:c>
      <x:c r="H683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683+G683,NA())</x:f>
        <x:v>28.240730000000006</x:v>
      </x:c>
      <x:c r="I683" s="22" t="n">
        <x:f>'Assumptions'!$H$65*IF('Assumptions'!$O$65=1,1,'Assumptions'!$D$10)*(1+'Assumptions'!$N$65)^(6-1)</x:f>
        <x:v>219.7120798368</x:v>
      </x:c>
      <x:c r="J683" s="10" t="n">
        <x:f>H683*I683</x:f>
        <x:v>6204.829524409514</x:v>
      </x:c>
      <x:c r="K683" s="10" t="n">
        <x:f>J683*'Assumptions'!$T$65</x:f>
        <x:v>6204.829524409514</x:v>
      </x:c>
      <x:c r="L683" s="10" t="n">
        <x:f>K683*'Assumptions'!$U$65</x:f>
        <x:v>186.14488573228542</x:v>
      </x:c>
      <x:c r="M683" s="10" t="n">
        <x:f>K683*'Assumptions'!$V$65</x:f>
        <x:v>0</x:v>
      </x:c>
      <x:c r="N683" s="10" t="n">
        <x:f>K683-L683-M683</x:f>
        <x:v>6018.684638677229</x:v>
      </x:c>
      <x:c r="O683" s="10" t="n">
        <x:f>H683*'Assumptions'!$P$65*'Assumptions'!$Q$65*'Assumptions'!$D$11*(1+'Assumptions'!$D$13)^(6-1)</x:f>
        <x:v>2619.0996902645</x:v>
      </x:c>
      <x:c r="P683" s="10" t="n">
        <x:f>H683*'Assumptions'!$R$65*'Assumptions'!$D$11*(1+'Assumptions'!$D$13)^(6-1)</x:f>
        <x:v>0</x:v>
      </x:c>
      <x:c r="Q683" s="10" t="n">
        <x:f>J683*'Assumptions'!$S$65</x:f>
        <x:v>0</x:v>
      </x:c>
      <x:c r="R683" s="10" t="n">
        <x:f>H683*'Assumptions'!$Y$65*'Assumptions'!$Z$65*'Assumptions'!$D$11*(1+'Assumptions'!$D$13)^(6-1)</x:f>
        <x:v>245.54059596229686</x:v>
      </x:c>
      <x:c r="S683" s="10" t="n">
        <x:f>IF(I683=0,0,J683*'Assumptions'!$W$65+H683*'Assumptions'!$X$65)</x:f>
        <x:v>188.41227520787592</x:v>
      </x:c>
      <x:c r="T683" s="10" t="n">
        <x:f>N683*'Assumptions'!$AA$65</x:f>
        <x:v>240.74738554708915</x:v>
      </x:c>
      <x:c r="U683" s="10" t="n">
        <x:f>'Assumptions'!$AE$65*'Assumptions'!$D$11*(1+'Assumptions'!$D$13)^(6-1)</x:f>
        <x:v>0</x:v>
      </x:c>
      <x:c r="V683" s="10" t="n">
        <x:f>0</x:f>
        <x:v>0</x:v>
      </x:c>
      <x:c r="W683" s="10" t="n">
        <x:f>H683*('Assumptions'!$P$65+'Assumptions'!$Y$65)</x:f>
        <x:v>63.541642500000016</x:v>
      </x:c>
      <x:c r="X683" s="10" t="n">
        <x:f>N683/12*'Assumptions'!$AF$65</x:f>
        <x:v>501.5570532231024</x:v>
      </x:c>
      <x:c r="Y683" s="10" t="n">
        <x:f>P683/12</x:f>
        <x:v>0</x:v>
      </x:c>
      <x:c r="Z683" s="10" t="n">
        <x:f>0</x:f>
        <x:v>0</x:v>
      </x:c>
      <x:c r="AA683" s="10" t="n">
        <x:f>Z683*'Assumptions'!$AC$65*'Assumptions'!$D$11*(1+'Assumptions'!$D$13)^(6-1)</x:f>
        <x:v>0</x:v>
      </x:c>
      <x:c r="AB683" s="10" t="n">
        <x:f>F683/1</x:f>
        <x:v>15.080230000000004</x:v>
      </x:c>
      <x:c r="AC683" s="10" t="n">
        <x:f>AB683/'Assumptions'!$AM$65</x:f>
        <x:v>75.40115000000002</x:v>
      </x:c>
      <x:c r="AD683" s="10" t="n">
        <x:f>IF(AB683=0,0,T683/AB683)</x:f>
        <x:v>15.96443724976934</x:v>
      </x:c>
      <x:c r="AE683" s="10" t="n">
        <x:f>AA683*'Assumptions'!$D$21</x:f>
        <x:v>0</x:v>
      </x:c>
    </x:row>
    <x:row r="684" ht="16" customHeight="1">
      <x:c r="A684" s="1"/>
      <x:c r="B684" s="1"/>
      <x:c r="C684" s="1" t="str">
        <x:v>DOT-037</x:v>
      </x:c>
      <x:c r="D684" s="10" t="str">
        <x:v>Maison Contour</x:v>
      </x:c>
      <x:c r="E684" s="10" t="n">
        <x:v>6</x:v>
      </x:c>
      <x:c r="F684" s="21" t="n">
        <x:f>F556*(1+'Assumptions'!$M$66)</x:f>
        <x:v>76.88908800000002</x:v>
      </x:c>
      <x:c r="G684" s="21" t="n">
        <x:f>H556*'Assumptions'!$K$66</x:f>
        <x:v>120.97428</x:v>
      </x:c>
      <x:c r="H684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684+G684,NA())</x:f>
        <x:v>197.863368</x:v>
      </x:c>
      <x:c r="I684" s="22" t="n">
        <x:f>'Assumptions'!$H$66*IF('Assumptions'!$O$66=1,1,'Assumptions'!$D$10)*(1+'Assumptions'!$N$66)^(6-1)</x:f>
        <x:v>87.2223834528</x:v>
      </x:c>
      <x:c r="J684" s="10" t="n">
        <x:f>H684*I684</x:f>
        <x:v>17258.11455495848</x:v>
      </x:c>
      <x:c r="K684" s="10" t="n">
        <x:f>J684*'Assumptions'!$T$66</x:f>
        <x:v>17258.11455495848</x:v>
      </x:c>
      <x:c r="L684" s="10" t="n">
        <x:f>K684*'Assumptions'!$U$66</x:f>
        <x:v>517.7434366487544</x:v>
      </x:c>
      <x:c r="M684" s="10" t="n">
        <x:f>K684*'Assumptions'!$V$66</x:f>
        <x:v>0</x:v>
      </x:c>
      <x:c r="N684" s="10" t="n">
        <x:f>K684-L684-M684</x:f>
        <x:v>16740.371118309726</x:v>
      </x:c>
      <x:c r="O684" s="10" t="n">
        <x:f>H684*'Assumptions'!$P$66*'Assumptions'!$Q$66*'Assumptions'!$D$11*(1+'Assumptions'!$D$13)^(6-1)</x:f>
        <x:v>1204.2338320744213</x:v>
      </x:c>
      <x:c r="P684" s="10" t="n">
        <x:f>H684*'Assumptions'!$R$66*'Assumptions'!$D$11*(1+'Assumptions'!$D$13)^(6-1)</x:f>
        <x:v>0</x:v>
      </x:c>
      <x:c r="Q684" s="10" t="n">
        <x:f>J684*'Assumptions'!$S$66</x:f>
        <x:v>0</x:v>
      </x:c>
      <x:c r="R684" s="10" t="n">
        <x:f>H684*'Assumptions'!$Y$66*'Assumptions'!$Z$66*'Assumptions'!$D$11*(1+'Assumptions'!$D$13)^(6-1)</x:f>
        <x:v>1032.2004274923613</x:v>
      </x:c>
      <x:c r="S684" s="10" t="n">
        <x:f>IF(I684=0,0,J684*'Assumptions'!$W$66+H684*'Assumptions'!$X$66)</x:f>
        <x:v>559.844332493796</x:v>
      </x:c>
      <x:c r="T684" s="10" t="n">
        <x:f>N684*'Assumptions'!$AA$66</x:f>
        <x:v>837.0185559154863</x:v>
      </x:c>
      <x:c r="U684" s="10" t="n">
        <x:f>'Assumptions'!$AE$66*'Assumptions'!$D$11*(1+'Assumptions'!$D$13)^(6-1)</x:f>
        <x:v>139.112888916</x:v>
      </x:c>
      <x:c r="V684" s="10" t="n">
        <x:f>0</x:f>
        <x:v>0</x:v>
      </x:c>
      <x:c r="W684" s="10" t="n">
        <x:f>H684*('Assumptions'!$P$66+'Assumptions'!$Y$66)</x:f>
        <x:v>59.3590104</x:v>
      </x:c>
      <x:c r="X684" s="10" t="n">
        <x:f>N684/12*'Assumptions'!$AF$66</x:f>
        <x:v>0</x:v>
      </x:c>
      <x:c r="Y684" s="10" t="n">
        <x:f>P684/12</x:f>
        <x:v>0</x:v>
      </x:c>
      <x:c r="Z684" s="10" t="n">
        <x:f>0</x:f>
        <x:v>0</x:v>
      </x:c>
      <x:c r="AA684" s="10" t="n">
        <x:f>Z684*'Assumptions'!$AC$66*'Assumptions'!$D$11*(1+'Assumptions'!$D$13)^(6-1)</x:f>
        <x:v>0</x:v>
      </x:c>
      <x:c r="AB684" s="10" t="n">
        <x:f>F684/12</x:f>
        <x:v>6.407424000000002</x:v>
      </x:c>
      <x:c r="AC684" s="10" t="n">
        <x:f>AB684/'Assumptions'!$AM$66</x:f>
        <x:v>128.14848000000003</x:v>
      </x:c>
      <x:c r="AD684" s="10" t="n">
        <x:f>IF(AB684=0,0,T684/AB684)</x:f>
        <x:v>130.6326155277825</x:v>
      </x:c>
      <x:c r="AE684" s="10" t="n">
        <x:f>AA684*'Assumptions'!$D$21</x:f>
        <x:v>0</x:v>
      </x:c>
    </x:row>
    <x:row r="685" ht="16" customHeight="1">
      <x:c r="A685" s="1"/>
      <x:c r="B685" s="1"/>
      <x:c r="C685" s="1" t="str">
        <x:v>DOT-038</x:v>
      </x:c>
      <x:c r="D685" s="10" t="str">
        <x:v>Maison Contour</x:v>
      </x:c>
      <x:c r="E685" s="10" t="n">
        <x:v>6</x:v>
      </x:c>
      <x:c r="F685" s="21" t="n">
        <x:f>F557*(1+'Assumptions'!$M$67)</x:f>
        <x:v>15.080230000000004</x:v>
      </x:c>
      <x:c r="G685" s="21" t="n">
        <x:f>H557*'Assumptions'!$K$67</x:f>
        <x:v>13.160500000000003</x:v>
      </x:c>
      <x:c r="H685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685+G685,NA())</x:f>
        <x:v>28.240730000000006</x:v>
      </x:c>
      <x:c r="I685" s="22" t="n">
        <x:f>'Assumptions'!$H$67*IF('Assumptions'!$O$67=1,1,'Assumptions'!$D$10)*(1+'Assumptions'!$N$67)^(6-1)</x:f>
        <x:v>219.7120798368</x:v>
      </x:c>
      <x:c r="J685" s="10" t="n">
        <x:f>H685*I685</x:f>
        <x:v>6204.829524409514</x:v>
      </x:c>
      <x:c r="K685" s="10" t="n">
        <x:f>J685*'Assumptions'!$T$67</x:f>
        <x:v>6204.829524409514</x:v>
      </x:c>
      <x:c r="L685" s="10" t="n">
        <x:f>K685*'Assumptions'!$U$67</x:f>
        <x:v>186.14488573228542</x:v>
      </x:c>
      <x:c r="M685" s="10" t="n">
        <x:f>K685*'Assumptions'!$V$67</x:f>
        <x:v>0</x:v>
      </x:c>
      <x:c r="N685" s="10" t="n">
        <x:f>K685-L685-M685</x:f>
        <x:v>6018.684638677229</x:v>
      </x:c>
      <x:c r="O685" s="10" t="n">
        <x:f>H685*'Assumptions'!$P$67*'Assumptions'!$Q$67*'Assumptions'!$D$11*(1+'Assumptions'!$D$13)^(6-1)</x:f>
        <x:v>2619.0996902645</x:v>
      </x:c>
      <x:c r="P685" s="10" t="n">
        <x:f>H685*'Assumptions'!$R$67*'Assumptions'!$D$11*(1+'Assumptions'!$D$13)^(6-1)</x:f>
        <x:v>0</x:v>
      </x:c>
      <x:c r="Q685" s="10" t="n">
        <x:f>J685*'Assumptions'!$S$67</x:f>
        <x:v>0</x:v>
      </x:c>
      <x:c r="R685" s="10" t="n">
        <x:f>H685*'Assumptions'!$Y$67*'Assumptions'!$Z$67*'Assumptions'!$D$11*(1+'Assumptions'!$D$13)^(6-1)</x:f>
        <x:v>245.54059596229686</x:v>
      </x:c>
      <x:c r="S685" s="10" t="n">
        <x:f>IF(I685=0,0,J685*'Assumptions'!$W$67+H685*'Assumptions'!$X$67)</x:f>
        <x:v>188.41227520787592</x:v>
      </x:c>
      <x:c r="T685" s="10" t="n">
        <x:f>N685*'Assumptions'!$AA$67</x:f>
        <x:v>240.74738554708915</x:v>
      </x:c>
      <x:c r="U685" s="10" t="n">
        <x:f>'Assumptions'!$AE$67*'Assumptions'!$D$11*(1+'Assumptions'!$D$13)^(6-1)</x:f>
        <x:v>0</x:v>
      </x:c>
      <x:c r="V685" s="10" t="n">
        <x:f>0</x:f>
        <x:v>0</x:v>
      </x:c>
      <x:c r="W685" s="10" t="n">
        <x:f>H685*('Assumptions'!$P$67+'Assumptions'!$Y$67)</x:f>
        <x:v>63.541642500000016</x:v>
      </x:c>
      <x:c r="X685" s="10" t="n">
        <x:f>N685/12*'Assumptions'!$AF$67</x:f>
        <x:v>501.5570532231024</x:v>
      </x:c>
      <x:c r="Y685" s="10" t="n">
        <x:f>P685/12</x:f>
        <x:v>0</x:v>
      </x:c>
      <x:c r="Z685" s="10" t="n">
        <x:f>0</x:f>
        <x:v>0</x:v>
      </x:c>
      <x:c r="AA685" s="10" t="n">
        <x:f>Z685*'Assumptions'!$AC$67*'Assumptions'!$D$11*(1+'Assumptions'!$D$13)^(6-1)</x:f>
        <x:v>0</x:v>
      </x:c>
      <x:c r="AB685" s="10" t="n">
        <x:f>F685/1</x:f>
        <x:v>15.080230000000004</x:v>
      </x:c>
      <x:c r="AC685" s="10" t="n">
        <x:f>AB685/'Assumptions'!$AM$67</x:f>
        <x:v>75.40115000000002</x:v>
      </x:c>
      <x:c r="AD685" s="10" t="n">
        <x:f>IF(AB685=0,0,T685/AB685)</x:f>
        <x:v>15.96443724976934</x:v>
      </x:c>
      <x:c r="AE685" s="10" t="n">
        <x:f>AA685*'Assumptions'!$D$21</x:f>
        <x:v>0</x:v>
      </x:c>
    </x:row>
    <x:row r="686" ht="16" customHeight="1">
      <x:c r="A686" s="1"/>
      <x:c r="B686" s="1"/>
      <x:c r="C686" s="1" t="str">
        <x:v>DOT-039</x:v>
      </x:c>
      <x:c r="D686" s="10" t="str">
        <x:v>DishLoom US</x:v>
      </x:c>
      <x:c r="E686" s="10" t="n">
        <x:v>6</x:v>
      </x:c>
      <x:c r="F686" s="21" t="n">
        <x:f>F558*(1+'Assumptions'!$M$68)</x:f>
        <x:v>76.88908800000002</x:v>
      </x:c>
      <x:c r="G686" s="21" t="n">
        <x:f>H558*'Assumptions'!$K$68</x:f>
        <x:v>120.97428</x:v>
      </x:c>
      <x:c r="H686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686+G686,NA())</x:f>
        <x:v>197.863368</x:v>
      </x:c>
      <x:c r="I686" s="22" t="n">
        <x:f>'Assumptions'!$H$68*IF('Assumptions'!$O$68=1,1,'Assumptions'!$D$10)*(1+'Assumptions'!$N$68)^(6-1)</x:f>
        <x:v>43.0591513248</x:v>
      </x:c>
      <x:c r="J686" s="10" t="n">
        <x:f>H686*I686</x:f>
        <x:v>8519.82870434659</x:v>
      </x:c>
      <x:c r="K686" s="10" t="n">
        <x:f>J686*'Assumptions'!$T$68</x:f>
        <x:v>8519.82870434659</x:v>
      </x:c>
      <x:c r="L686" s="10" t="n">
        <x:f>K686*'Assumptions'!$U$68</x:f>
        <x:v>255.59486113039767</x:v>
      </x:c>
      <x:c r="M686" s="10" t="n">
        <x:f>K686*'Assumptions'!$V$68</x:f>
        <x:v>0</x:v>
      </x:c>
      <x:c r="N686" s="10" t="n">
        <x:f>K686-L686-M686</x:f>
        <x:v>8264.233843216192</x:v>
      </x:c>
      <x:c r="O686" s="10" t="n">
        <x:f>H686*'Assumptions'!$P$68*'Assumptions'!$Q$68*'Assumptions'!$D$11*(1+'Assumptions'!$D$13)^(6-1)</x:f>
        <x:v>1204.2338320744213</x:v>
      </x:c>
      <x:c r="P686" s="10" t="n">
        <x:f>H686*'Assumptions'!$R$68*'Assumptions'!$D$11*(1+'Assumptions'!$D$13)^(6-1)</x:f>
        <x:v>0</x:v>
      </x:c>
      <x:c r="Q686" s="10" t="n">
        <x:f>J686*'Assumptions'!$S$68</x:f>
        <x:v>0</x:v>
      </x:c>
      <x:c r="R686" s="10" t="n">
        <x:f>H686*'Assumptions'!$Y$68*'Assumptions'!$Z$68*'Assumptions'!$D$11*(1+'Assumptions'!$D$13)^(6-1)</x:f>
        <x:v>1032.2004274923613</x:v>
      </x:c>
      <x:c r="S686" s="10" t="n">
        <x:f>IF(I686=0,0,J686*'Assumptions'!$W$68+H686*'Assumptions'!$X$68)</x:f>
        <x:v>306.4340428260511</x:v>
      </x:c>
      <x:c r="T686" s="10" t="n">
        <x:f>N686*'Assumptions'!$AA$68</x:f>
        <x:v>413.21169216080966</x:v>
      </x:c>
      <x:c r="U686" s="10" t="n">
        <x:f>'Assumptions'!$AE$68*'Assumptions'!$D$11*(1+'Assumptions'!$D$13)^(6-1)</x:f>
        <x:v>139.112888916</x:v>
      </x:c>
      <x:c r="V686" s="10" t="n">
        <x:f>0</x:f>
        <x:v>0</x:v>
      </x:c>
      <x:c r="W686" s="10" t="n">
        <x:f>H686*('Assumptions'!$P$68+'Assumptions'!$Y$68)</x:f>
        <x:v>59.3590104</x:v>
      </x:c>
      <x:c r="X686" s="10" t="n">
        <x:f>N686/12*'Assumptions'!$AF$68</x:f>
        <x:v>0</x:v>
      </x:c>
      <x:c r="Y686" s="10" t="n">
        <x:f>P686/12</x:f>
        <x:v>0</x:v>
      </x:c>
      <x:c r="Z686" s="10" t="n">
        <x:f>0</x:f>
        <x:v>0</x:v>
      </x:c>
      <x:c r="AA686" s="10" t="n">
        <x:f>Z686*'Assumptions'!$AC$68*'Assumptions'!$D$11*(1+'Assumptions'!$D$13)^(6-1)</x:f>
        <x:v>0</x:v>
      </x:c>
      <x:c r="AB686" s="10" t="n">
        <x:f>F686/12</x:f>
        <x:v>6.407424000000002</x:v>
      </x:c>
      <x:c r="AC686" s="10" t="n">
        <x:f>AB686/'Assumptions'!$AM$68</x:f>
        <x:v>128.14848000000003</x:v>
      </x:c>
      <x:c r="AD686" s="10" t="n">
        <x:f>IF(AB686=0,0,T686/AB686)</x:f>
        <x:v>64.4895190580192</x:v>
      </x:c>
      <x:c r="AE686" s="10" t="n">
        <x:f>AA686*'Assumptions'!$D$21</x:f>
        <x:v>0</x:v>
      </x:c>
    </x:row>
    <x:row r="687" ht="16" customHeight="1">
      <x:c r="A687" s="1"/>
      <x:c r="B687" s="1"/>
      <x:c r="C687" s="1" t="str">
        <x:v>DOT-040</x:v>
      </x:c>
      <x:c r="D687" s="10" t="str">
        <x:v>DishLoom US</x:v>
      </x:c>
      <x:c r="E687" s="10" t="n">
        <x:v>6</x:v>
      </x:c>
      <x:c r="F687" s="21" t="n">
        <x:f>F559*(1+'Assumptions'!$M$69)</x:f>
        <x:v>153.77817600000003</x:v>
      </x:c>
      <x:c r="G687" s="21" t="n">
        <x:f>H559*'Assumptions'!$K$69</x:f>
        <x:v>241.94856</x:v>
      </x:c>
      <x:c r="H687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687+G687,NA())</x:f>
        <x:v>395.726736</x:v>
      </x:c>
      <x:c r="I687" s="22" t="n">
        <x:f>'Assumptions'!$H$69*IF('Assumptions'!$O$69=1,1,'Assumptions'!$D$10)*(1+'Assumptions'!$N$69)^(6-1)</x:f>
        <x:v>9.9367272288</x:v>
      </x:c>
      <x:c r="J687" s="10" t="n">
        <x:f>H687*I687</x:f>
        <x:v>3932.2286327753495</x:v>
      </x:c>
      <x:c r="K687" s="10" t="n">
        <x:f>J687*'Assumptions'!$T$69</x:f>
        <x:v>3932.2286327753495</x:v>
      </x:c>
      <x:c r="L687" s="10" t="n">
        <x:f>K687*'Assumptions'!$U$69</x:f>
        <x:v>117.96685898326048</x:v>
      </x:c>
      <x:c r="M687" s="10" t="n">
        <x:f>K687*'Assumptions'!$V$69</x:f>
        <x:v>0</x:v>
      </x:c>
      <x:c r="N687" s="10" t="n">
        <x:f>K687-L687-M687</x:f>
        <x:v>3814.261773792089</x:v>
      </x:c>
      <x:c r="O687" s="10" t="n">
        <x:f>H687*'Assumptions'!$P$69*'Assumptions'!$Q$69*'Assumptions'!$D$11*(1+'Assumptions'!$D$13)^(6-1)</x:f>
        <x:v>802.8225547162809</x:v>
      </x:c>
      <x:c r="P687" s="10" t="n">
        <x:f>H687*'Assumptions'!$R$69*'Assumptions'!$D$11*(1+'Assumptions'!$D$13)^(6-1)</x:f>
        <x:v>0</x:v>
      </x:c>
      <x:c r="Q687" s="10" t="n">
        <x:f>J687*'Assumptions'!$S$69</x:f>
        <x:v>0</x:v>
      </x:c>
      <x:c r="R687" s="10" t="n">
        <x:f>H687*'Assumptions'!$Y$69*'Assumptions'!$Z$69*'Assumptions'!$D$11*(1+'Assumptions'!$D$13)^(6-1)</x:f>
        <x:v>2064.4008549847226</x:v>
      </x:c>
      <x:c r="S687" s="10" t="n">
        <x:f>IF(I687=0,0,J687*'Assumptions'!$W$69+H687*'Assumptions'!$X$69)</x:f>
        <x:v>232.75265115048515</x:v>
      </x:c>
      <x:c r="T687" s="10" t="n">
        <x:f>N687*'Assumptions'!$AA$69</x:f>
        <x:v>190.71308868960446</x:v>
      </x:c>
      <x:c r="U687" s="10" t="n">
        <x:f>'Assumptions'!$AE$69*'Assumptions'!$D$11*(1+'Assumptions'!$D$13)^(6-1)</x:f>
        <x:v>0</x:v>
      </x:c>
      <x:c r="V687" s="10" t="n">
        <x:f>0</x:f>
        <x:v>0</x:v>
      </x:c>
      <x:c r="W687" s="10" t="n">
        <x:f>H687*('Assumptions'!$P$69+'Assumptions'!$Y$69)</x:f>
        <x:v>79.1453472</x:v>
      </x:c>
      <x:c r="X687" s="10" t="n">
        <x:f>N687/12*'Assumptions'!$AF$69</x:f>
        <x:v>0</x:v>
      </x:c>
      <x:c r="Y687" s="10" t="n">
        <x:f>P687/12</x:f>
        <x:v>0</x:v>
      </x:c>
      <x:c r="Z687" s="10" t="n">
        <x:f>0</x:f>
        <x:v>0</x:v>
      </x:c>
      <x:c r="AA687" s="10" t="n">
        <x:f>Z687*'Assumptions'!$AC$69*'Assumptions'!$D$11*(1+'Assumptions'!$D$13)^(6-1)</x:f>
        <x:v>0</x:v>
      </x:c>
      <x:c r="AB687" s="10" t="n">
        <x:f>F687/1</x:f>
        <x:v>153.77817600000003</x:v>
      </x:c>
      <x:c r="AC687" s="10" t="n">
        <x:f>AB687/'Assumptions'!$AM$69</x:f>
        <x:v>3075.5635200000006</x:v>
      </x:c>
      <x:c r="AD687" s="10" t="n">
        <x:f>IF(AB687=0,0,T687/AB687)</x:f>
        <x:v>1.2401830588080613</x:v>
      </x:c>
      <x:c r="AE687" s="10" t="n">
        <x:f>AA687*'Assumptions'!$D$21</x:f>
        <x:v>0</x:v>
      </x:c>
    </x:row>
    <x:row r="688" ht="16" customHeight="1">
      <x:c r="A688" s="1"/>
      <x:c r="B688" s="1"/>
      <x:c r="C688" s="1" t="str">
        <x:v>DOT-041</x:v>
      </x:c>
      <x:c r="D688" s="10" t="str">
        <x:v>DishLoom US</x:v>
      </x:c>
      <x:c r="E688" s="10" t="n">
        <x:v>6</x:v>
      </x:c>
      <x:c r="F688" s="21" t="n">
        <x:f>F560*(1+'Assumptions'!$M$70)</x:f>
        <x:v>192.22272</x:v>
      </x:c>
      <x:c r="G688" s="21" t="n">
        <x:f>H560*'Assumptions'!$K$70</x:f>
        <x:v>302.4357</x:v>
      </x:c>
      <x:c r="H688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688+G688,NA())</x:f>
        <x:v>494.65842</x:v>
      </x:c>
      <x:c r="I688" s="22" t="n">
        <x:f>'Assumptions'!$H$70*IF('Assumptions'!$O$70=1,1,'Assumptions'!$D$10)*(1+'Assumptions'!$N$70)^(6-1)</x:f>
        <x:v>110.40808032</x:v>
      </x:c>
      <x:c r="J688" s="10" t="n">
        <x:f>H688*I688</x:f>
        <x:v>54614.28656632429</x:v>
      </x:c>
      <x:c r="K688" s="10" t="n">
        <x:f>J688*'Assumptions'!$T$70</x:f>
        <x:v>8192.142984948643</x:v>
      </x:c>
      <x:c r="L688" s="10" t="n">
        <x:f>K688*'Assumptions'!$U$70</x:f>
        <x:v>245.7642895484593</x:v>
      </x:c>
      <x:c r="M688" s="10" t="n">
        <x:f>K688*'Assumptions'!$V$70</x:f>
        <x:v>0</x:v>
      </x:c>
      <x:c r="N688" s="10" t="n">
        <x:f>K688-L688-M688</x:f>
        <x:v>7946.3786954001835</x:v>
      </x:c>
      <x:c r="O688" s="10" t="n">
        <x:f>H688*'Assumptions'!$P$70*'Assumptions'!$Q$70*'Assumptions'!$D$11*(1+'Assumptions'!$D$13)^(6-1)</x:f>
        <x:v>2007.0563867907024</x:v>
      </x:c>
      <x:c r="P688" s="10" t="n">
        <x:f>H688*'Assumptions'!$R$70*'Assumptions'!$D$11*(1+'Assumptions'!$D$13)^(6-1)</x:f>
        <x:v>0</x:v>
      </x:c>
      <x:c r="Q688" s="10" t="n">
        <x:f>J688*'Assumptions'!$S$70</x:f>
        <x:v>0</x:v>
      </x:c>
      <x:c r="R688" s="10" t="n">
        <x:f>H688*'Assumptions'!$Y$70*'Assumptions'!$Z$70*'Assumptions'!$D$11*(1+'Assumptions'!$D$13)^(6-1)</x:f>
        <x:v>2580.5010687309027</x:v>
      </x:c>
      <x:c r="S688" s="10" t="n">
        <x:f>IF(I688=0,0,J688*'Assumptions'!$W$70+H688*'Assumptions'!$X$70)</x:f>
        <x:v>1732.2118364234045</x:v>
      </x:c>
      <x:c r="T688" s="10" t="n">
        <x:f>N688*'Assumptions'!$AA$70</x:f>
        <x:v>397.3189347700092</x:v>
      </x:c>
      <x:c r="U688" s="10" t="n">
        <x:f>'Assumptions'!$AE$70*'Assumptions'!$D$11*(1+'Assumptions'!$D$13)^(6-1)</x:f>
        <x:v>0</x:v>
      </x:c>
      <x:c r="V688" s="10" t="n">
        <x:f>0</x:f>
        <x:v>0</x:v>
      </x:c>
      <x:c r="W688" s="10" t="n">
        <x:f>H688*('Assumptions'!$P$70+'Assumptions'!$Y$70)</x:f>
        <x:v>123.664605</x:v>
      </x:c>
      <x:c r="X688" s="10" t="n">
        <x:f>N688/12*'Assumptions'!$AF$70</x:f>
        <x:v>0</x:v>
      </x:c>
      <x:c r="Y688" s="10" t="n">
        <x:f>P688/12</x:f>
        <x:v>0</x:v>
      </x:c>
      <x:c r="Z688" s="10" t="n">
        <x:f>0</x:f>
        <x:v>0</x:v>
      </x:c>
      <x:c r="AA688" s="10" t="n">
        <x:f>Z688*'Assumptions'!$AC$70*'Assumptions'!$D$11*(1+'Assumptions'!$D$13)^(6-1)</x:f>
        <x:v>0</x:v>
      </x:c>
      <x:c r="AB688" s="10" t="n">
        <x:f>F688/1</x:f>
        <x:v>192.22272</x:v>
      </x:c>
      <x:c r="AC688" s="10" t="n">
        <x:f>AB688/'Assumptions'!$AM$70</x:f>
        <x:v>3844.4544</x:v>
      </x:c>
      <x:c r="AD688" s="10" t="n">
        <x:f>IF(AB688=0,0,T688/AB688)</x:f>
        <x:v>2.0669717646801025</x:v>
      </x:c>
      <x:c r="AE688" s="10" t="n">
        <x:f>AA688*'Assumptions'!$D$21</x:f>
        <x:v>0</x:v>
      </x:c>
    </x:row>
    <x:row r="689" ht="16" customHeight="1">
      <x:c r="A689" s="1"/>
      <x:c r="B689" s="1"/>
      <x:c r="C689" s="1" t="str">
        <x:v>DOT-042</x:v>
      </x:c>
      <x:c r="D689" s="10" t="str">
        <x:v>Is Makes Travel Easy</x:v>
      </x:c>
      <x:c r="E689" s="10" t="n">
        <x:v>6</x:v>
      </x:c>
      <x:c r="F689" s="21" t="n">
        <x:f>F561*(1+'Assumptions'!$M$71)</x:f>
        <x:v>230.667264</x:v>
      </x:c>
      <x:c r="G689" s="21" t="n">
        <x:f>H561*'Assumptions'!$K$71</x:f>
        <x:v>378.0491399999999</x:v>
      </x:c>
      <x:c r="H689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689+G689,NA())</x:f>
        <x:v>608.7164039999999</x:v>
      </x:c>
      <x:c r="I689" s="22" t="n">
        <x:f>'Assumptions'!$H$71*IF('Assumptions'!$O$71=1,1,'Assumptions'!$D$10)*(1+'Assumptions'!$N$71)^(6-1)</x:f>
        <x:v>32.0183432928</x:v>
      </x:c>
      <x:c r="J689" s="10" t="n">
        <x:f>H689*I689</x:f>
        <x:v>19490.09079123073</x:v>
      </x:c>
      <x:c r="K689" s="10" t="n">
        <x:f>J689*'Assumptions'!$T$71</x:f>
        <x:v>19490.09079123073</x:v>
      </x:c>
      <x:c r="L689" s="10" t="n">
        <x:f>K689*'Assumptions'!$U$71</x:f>
        <x:v>584.7027237369219</x:v>
      </x:c>
      <x:c r="M689" s="10" t="n">
        <x:f>K689*'Assumptions'!$V$71</x:f>
        <x:v>0</x:v>
      </x:c>
      <x:c r="N689" s="10" t="n">
        <x:f>K689-L689-M689</x:f>
        <x:v>18905.38806749381</x:v>
      </x:c>
      <x:c r="O689" s="10" t="n">
        <x:f>H689*'Assumptions'!$P$71*'Assumptions'!$Q$71*'Assumptions'!$D$11*(1+'Assumptions'!$D$13)^(6-1)</x:f>
        <x:v>2469.8420101541365</x:v>
      </x:c>
      <x:c r="P689" s="10" t="n">
        <x:f>H689*'Assumptions'!$R$71*'Assumptions'!$D$11*(1+'Assumptions'!$D$13)^(6-1)</x:f>
        <x:v>0</x:v>
      </x:c>
      <x:c r="Q689" s="10" t="n">
        <x:f>J689*'Assumptions'!$S$71</x:f>
        <x:v>0</x:v>
      </x:c>
      <x:c r="R689" s="10" t="n">
        <x:f>H689*'Assumptions'!$Y$71*'Assumptions'!$Z$71*'Assumptions'!$D$11*(1+'Assumptions'!$D$13)^(6-1)</x:f>
        <x:v>3175.511155912461</x:v>
      </x:c>
      <x:c r="S689" s="10" t="n">
        <x:f>IF(I689=0,0,J689*'Assumptions'!$W$71+H689*'Assumptions'!$X$71)</x:f>
        <x:v>747.8275541456912</x:v>
      </x:c>
      <x:c r="T689" s="10" t="n">
        <x:f>N689*'Assumptions'!$AA$71</x:f>
        <x:v>945.2694033746905</x:v>
      </x:c>
      <x:c r="U689" s="10" t="n">
        <x:f>'Assumptions'!$AE$71*'Assumptions'!$D$11*(1+'Assumptions'!$D$13)^(6-1)</x:f>
        <x:v>278.225777832</x:v>
      </x:c>
      <x:c r="V689" s="10" t="n">
        <x:f>0</x:f>
        <x:v>0</x:v>
      </x:c>
      <x:c r="W689" s="10" t="n">
        <x:f>H689*('Assumptions'!$P$71+'Assumptions'!$Y$71)</x:f>
        <x:v>152.17910099999997</x:v>
      </x:c>
      <x:c r="X689" s="10" t="n">
        <x:f>N689/12*'Assumptions'!$AF$71</x:f>
        <x:v>0</x:v>
      </x:c>
      <x:c r="Y689" s="10" t="n">
        <x:f>P689/12</x:f>
        <x:v>0</x:v>
      </x:c>
      <x:c r="Z689" s="10" t="n">
        <x:f>0</x:f>
        <x:v>0</x:v>
      </x:c>
      <x:c r="AA689" s="10" t="n">
        <x:f>Z689*'Assumptions'!$AC$71*'Assumptions'!$D$11*(1+'Assumptions'!$D$13)^(6-1)</x:f>
        <x:v>0</x:v>
      </x:c>
      <x:c r="AB689" s="10" t="n">
        <x:f>F689/1</x:f>
        <x:v>230.667264</x:v>
      </x:c>
      <x:c r="AC689" s="10" t="n">
        <x:f>AB689/'Assumptions'!$AM$71</x:f>
        <x:v>4613.34528</x:v>
      </x:c>
      <x:c r="AD689" s="10" t="n">
        <x:f>IF(AB689=0,0,T689/AB689)</x:f>
        <x:v>4.097978130848643</x:v>
      </x:c>
      <x:c r="AE689" s="10" t="n">
        <x:f>AA689*'Assumptions'!$D$21</x:f>
        <x:v>0</x:v>
      </x:c>
    </x:row>
    <x:row r="690" ht="16" customHeight="1">
      <x:c r="A690" s="1"/>
      <x:c r="B690" s="1"/>
      <x:c r="C690" s="1" t="str">
        <x:v>DOT-043</x:v>
      </x:c>
      <x:c r="D690" s="10" t="str">
        <x:v>Is Makes Travel Easy</x:v>
      </x:c>
      <x:c r="E690" s="10" t="n">
        <x:v>6</x:v>
      </x:c>
      <x:c r="F690" s="21" t="n">
        <x:f>F562*(1+'Assumptions'!$M$72)</x:f>
        <x:v>115.333632</x:v>
      </x:c>
      <x:c r="G690" s="21" t="n">
        <x:f>H562*'Assumptions'!$K$72</x:f>
        <x:v>189.02456999999995</x:v>
      </x:c>
      <x:c r="H690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690+G690,NA())</x:f>
        <x:v>304.35820199999995</x:v>
      </x:c>
      <x:c r="I690" s="22" t="n">
        <x:f>'Assumptions'!$H$72*IF('Assumptions'!$O$72=1,1,'Assumptions'!$D$10)*(1+'Assumptions'!$N$72)^(6-1)</x:f>
        <x:v>20.9775352608</x:v>
      </x:c>
      <x:c r="J690" s="10" t="n">
        <x:f>H690*I690</x:f>
        <x:v>6384.684914368688</x:v>
      </x:c>
      <x:c r="K690" s="10" t="n">
        <x:f>J690*'Assumptions'!$T$72</x:f>
        <x:v>6384.684914368688</x:v>
      </x:c>
      <x:c r="L690" s="10" t="n">
        <x:f>K690*'Assumptions'!$U$72</x:f>
        <x:v>191.54054743106062</x:v>
      </x:c>
      <x:c r="M690" s="10" t="n">
        <x:f>K690*'Assumptions'!$V$72</x:f>
        <x:v>0</x:v>
      </x:c>
      <x:c r="N690" s="10" t="n">
        <x:f>K690-L690-M690</x:f>
        <x:v>6193.144366937627</x:v>
      </x:c>
      <x:c r="O690" s="10" t="n">
        <x:f>H690*'Assumptions'!$P$72*'Assumptions'!$Q$72*'Assumptions'!$D$11*(1+'Assumptions'!$D$13)^(6-1)</x:f>
        <x:v>1234.9210050770682</x:v>
      </x:c>
      <x:c r="P690" s="10" t="n">
        <x:f>H690*'Assumptions'!$R$72*'Assumptions'!$D$11*(1+'Assumptions'!$D$13)^(6-1)</x:f>
        <x:v>0</x:v>
      </x:c>
      <x:c r="Q690" s="10" t="n">
        <x:f>J690*'Assumptions'!$S$72</x:f>
        <x:v>0</x:v>
      </x:c>
      <x:c r="R690" s="10" t="n">
        <x:f>H690*'Assumptions'!$Y$72*'Assumptions'!$Z$72*'Assumptions'!$D$11*(1+'Assumptions'!$D$13)^(6-1)</x:f>
        <x:v>1587.7555779562306</x:v>
      </x:c>
      <x:c r="S690" s="10" t="n">
        <x:f>IF(I690=0,0,J690*'Assumptions'!$W$72+H690*'Assumptions'!$X$72)</x:f>
        <x:v>276.4633231166919</x:v>
      </x:c>
      <x:c r="T690" s="10" t="n">
        <x:f>N690*'Assumptions'!$AA$72</x:f>
        <x:v>309.65721834688134</x:v>
      </x:c>
      <x:c r="U690" s="10" t="n">
        <x:f>'Assumptions'!$AE$72*'Assumptions'!$D$11*(1+'Assumptions'!$D$13)^(6-1)</x:f>
        <x:v>0</x:v>
      </x:c>
      <x:c r="V690" s="10" t="n">
        <x:f>0</x:f>
        <x:v>0</x:v>
      </x:c>
      <x:c r="W690" s="10" t="n">
        <x:f>H690*('Assumptions'!$P$72+'Assumptions'!$Y$72)</x:f>
        <x:v>76.08955049999999</x:v>
      </x:c>
      <x:c r="X690" s="10" t="n">
        <x:f>N690/12*'Assumptions'!$AF$72</x:f>
        <x:v>0</x:v>
      </x:c>
      <x:c r="Y690" s="10" t="n">
        <x:f>P690/12</x:f>
        <x:v>0</x:v>
      </x:c>
      <x:c r="Z690" s="10" t="n">
        <x:f>0</x:f>
        <x:v>0</x:v>
      </x:c>
      <x:c r="AA690" s="10" t="n">
        <x:f>Z690*'Assumptions'!$AC$72*'Assumptions'!$D$11*(1+'Assumptions'!$D$13)^(6-1)</x:f>
        <x:v>0</x:v>
      </x:c>
      <x:c r="AB690" s="10" t="n">
        <x:f>F690/12</x:f>
        <x:v>9.611136</x:v>
      </x:c>
      <x:c r="AC690" s="10" t="n">
        <x:f>AB690/'Assumptions'!$AM$72</x:f>
        <x:v>192.22271999999998</x:v>
      </x:c>
      <x:c r="AD690" s="10" t="n">
        <x:f>IF(AB690=0,0,T690/AB690)</x:f>
        <x:v>32.218586683913465</x:v>
      </x:c>
      <x:c r="AE690" s="10" t="n">
        <x:f>AA690*'Assumptions'!$D$21</x:f>
        <x:v>0</x:v>
      </x:c>
    </x:row>
    <x:row r="691" ht="16" customHeight="1">
      <x:c r="A691" s="1"/>
      <x:c r="B691" s="1"/>
      <x:c r="C691" s="1" t="str">
        <x:v>DOT-044</x:v>
      </x:c>
      <x:c r="D691" s="10" t="str">
        <x:v>Is Makes Travel Easy</x:v>
      </x:c>
      <x:c r="E691" s="10" t="n">
        <x:v>6</x:v>
      </x:c>
      <x:c r="F691" s="21" t="n">
        <x:f>F563*(1+'Assumptions'!$M$73)</x:f>
        <x:v>47.05031760000002</x:v>
      </x:c>
      <x:c r="G691" s="21" t="n">
        <x:f>H563*'Assumptions'!$K$73</x:f>
        <x:v>23.397764250000005</x:v>
      </x:c>
      <x:c r="H691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691+G691,NA())</x:f>
        <x:v>70.44808185000002</x:v>
      </x:c>
      <x:c r="I691" s="22" t="n">
        <x:f>'Assumptions'!$H$73*IF('Assumptions'!$O$73=1,1,'Assumptions'!$D$10)*(1+'Assumptions'!$N$73)^(6-1)</x:f>
        <x:v>54.0999593568</x:v>
      </x:c>
      <x:c r="J691" s="10" t="n">
        <x:f>H691*I691</x:f>
        <x:v>3811.238364849521</x:v>
      </x:c>
      <x:c r="K691" s="10" t="n">
        <x:f>J691*'Assumptions'!$T$73</x:f>
        <x:v>3811.238364849521</x:v>
      </x:c>
      <x:c r="L691" s="10" t="n">
        <x:f>K691*'Assumptions'!$U$73</x:f>
        <x:v>114.33715094548563</x:v>
      </x:c>
      <x:c r="M691" s="10" t="n">
        <x:f>K691*'Assumptions'!$V$73</x:f>
        <x:v>0</x:v>
      </x:c>
      <x:c r="N691" s="10" t="n">
        <x:f>K691-L691-M691</x:f>
        <x:v>3696.9012139040356</x:v>
      </x:c>
      <x:c r="O691" s="10" t="n">
        <x:f>H691*'Assumptions'!$P$73*'Assumptions'!$Q$73*'Assumptions'!$D$11*(1+'Assumptions'!$D$13)^(6-1)</x:f>
        <x:v>714.6005551376073</x:v>
      </x:c>
      <x:c r="P691" s="10" t="n">
        <x:f>H691*'Assumptions'!$R$73*'Assumptions'!$D$11*(1+'Assumptions'!$D$13)^(6-1)</x:f>
        <x:v>0</x:v>
      </x:c>
      <x:c r="Q691" s="10" t="n">
        <x:f>J691*'Assumptions'!$S$73</x:f>
        <x:v>0</x:v>
      </x:c>
      <x:c r="R691" s="10" t="n">
        <x:f>H691*'Assumptions'!$Y$73*'Assumptions'!$Z$73*'Assumptions'!$D$11*(1+'Assumptions'!$D$13)^(6-1)</x:f>
        <x:v>1225.029523093041</x:v>
      </x:c>
      <x:c r="S691" s="10" t="n">
        <x:f>IF(I691=0,0,J691*'Assumptions'!$W$73+H691*'Assumptions'!$X$73)</x:f>
        <x:v>131.66033713563613</x:v>
      </x:c>
      <x:c r="T691" s="10" t="n">
        <x:f>N691*'Assumptions'!$AA$73</x:f>
        <x:v>295.7520971123229</x:v>
      </x:c>
      <x:c r="U691" s="10" t="n">
        <x:f>'Assumptions'!$AE$73*'Assumptions'!$D$11*(1+'Assumptions'!$D$13)^(6-1)</x:f>
        <x:v>0</x:v>
      </x:c>
      <x:c r="V691" s="10" t="n">
        <x:f>0</x:f>
        <x:v>0</x:v>
      </x:c>
      <x:c r="W691" s="10" t="n">
        <x:f>H691*('Assumptions'!$P$73+'Assumptions'!$Y$73)</x:f>
        <x:v>52.83606138750002</x:v>
      </x:c>
      <x:c r="X691" s="10" t="n">
        <x:f>N691/12*'Assumptions'!$AF$73</x:f>
        <x:v>308.0751011586696</x:v>
      </x:c>
      <x:c r="Y691" s="10" t="n">
        <x:f>P691/12</x:f>
        <x:v>0</x:v>
      </x:c>
      <x:c r="Z691" s="10" t="n">
        <x:f>0</x:f>
        <x:v>0</x:v>
      </x:c>
      <x:c r="AA691" s="10" t="n">
        <x:f>Z691*'Assumptions'!$AC$73*'Assumptions'!$D$11*(1+'Assumptions'!$D$13)^(6-1)</x:f>
        <x:v>0</x:v>
      </x:c>
      <x:c r="AB691" s="10" t="n">
        <x:f>F691/1</x:f>
        <x:v>47.05031760000002</x:v>
      </x:c>
      <x:c r="AC691" s="10" t="n">
        <x:f>AB691/'Assumptions'!$AM$73</x:f>
        <x:v>470.50317600000017</x:v>
      </x:c>
      <x:c r="AD691" s="10" t="n">
        <x:f>IF(AB691=0,0,T691/AB691)</x:f>
        <x:v>6.285868240607217</x:v>
      </x:c>
      <x:c r="AE691" s="10" t="n">
        <x:f>AA691*'Assumptions'!$D$21</x:f>
        <x:v>0</x:v>
      </x:c>
    </x:row>
    <x:row r="692" ht="16" customHeight="1">
      <x:c r="A692" s="1"/>
      <x:c r="B692" s="1"/>
      <x:c r="C692" s="1" t="str">
        <x:v>DOT-045</x:v>
      </x:c>
      <x:c r="D692" s="10" t="str">
        <x:v>Is Makes Travel Easy</x:v>
      </x:c>
      <x:c r="E692" s="10" t="n">
        <x:v>6</x:v>
      </x:c>
      <x:c r="F692" s="21" t="n">
        <x:f>F564*(1+'Assumptions'!$M$74)</x:f>
        <x:v>153.77817600000003</x:v>
      </x:c>
      <x:c r="G692" s="21" t="n">
        <x:f>H564*'Assumptions'!$K$74</x:f>
        <x:v>252.03275999999997</x:v>
      </x:c>
      <x:c r="H692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692+G692,NA())</x:f>
        <x:v>405.81093599999997</x:v>
      </x:c>
      <x:c r="I692" s="22" t="n">
        <x:f>'Assumptions'!$H$74*IF('Assumptions'!$O$74=1,1,'Assumptions'!$D$10)*(1+'Assumptions'!$N$74)^(6-1)</x:f>
        <x:v>165.61212048000002</x:v>
      </x:c>
      <x:c r="J692" s="10" t="n">
        <x:f>H692*I692</x:f>
        <x:v>67207.20962493357</x:v>
      </x:c>
      <x:c r="K692" s="10" t="n">
        <x:f>J692*'Assumptions'!$T$74</x:f>
        <x:v>6720.720962493358</x:v>
      </x:c>
      <x:c r="L692" s="10" t="n">
        <x:f>K692*'Assumptions'!$U$74</x:f>
        <x:v>201.6216288748007</x:v>
      </x:c>
      <x:c r="M692" s="10" t="n">
        <x:f>K692*'Assumptions'!$V$74</x:f>
        <x:v>0</x:v>
      </x:c>
      <x:c r="N692" s="10" t="n">
        <x:f>K692-L692-M692</x:f>
        <x:v>6519.099333618557</x:v>
      </x:c>
      <x:c r="O692" s="10" t="n">
        <x:f>H692*'Assumptions'!$P$74*'Assumptions'!$Q$74*'Assumptions'!$D$11*(1+'Assumptions'!$D$13)^(6-1)</x:f>
        <x:v>1646.5613401027583</x:v>
      </x:c>
      <x:c r="P692" s="10" t="n">
        <x:f>H692*'Assumptions'!$R$74*'Assumptions'!$D$11*(1+'Assumptions'!$D$13)^(6-1)</x:f>
        <x:v>0</x:v>
      </x:c>
      <x:c r="Q692" s="10" t="n">
        <x:f>J692*'Assumptions'!$S$74</x:f>
        <x:v>0</x:v>
      </x:c>
      <x:c r="R692" s="10" t="n">
        <x:f>H692*'Assumptions'!$Y$74*'Assumptions'!$Z$74*'Assumptions'!$D$11*(1+'Assumptions'!$D$13)^(6-1)</x:f>
        <x:v>2117.0074372749746</x:v>
      </x:c>
      <x:c r="S692" s="10" t="n">
        <x:f>IF(I692=0,0,J692*'Assumptions'!$W$74+H692*'Assumptions'!$X$74)</x:f>
        <x:v>2070.7523599230735</x:v>
      </x:c>
      <x:c r="T692" s="10" t="n">
        <x:f>N692*'Assumptions'!$AA$74</x:f>
        <x:v>325.95496668092784</x:v>
      </x:c>
      <x:c r="U692" s="10" t="n">
        <x:f>'Assumptions'!$AE$74*'Assumptions'!$D$11*(1+'Assumptions'!$D$13)^(6-1)</x:f>
        <x:v>0</x:v>
      </x:c>
      <x:c r="V692" s="10" t="n">
        <x:f>0</x:f>
        <x:v>0</x:v>
      </x:c>
      <x:c r="W692" s="10" t="n">
        <x:f>H692*('Assumptions'!$P$74+'Assumptions'!$Y$74)</x:f>
        <x:v>101.45273399999999</x:v>
      </x:c>
      <x:c r="X692" s="10" t="n">
        <x:f>N692/12*'Assumptions'!$AF$74</x:f>
        <x:v>0</x:v>
      </x:c>
      <x:c r="Y692" s="10" t="n">
        <x:f>P692/12</x:f>
        <x:v>0</x:v>
      </x:c>
      <x:c r="Z692" s="10" t="n">
        <x:f>0</x:f>
        <x:v>0</x:v>
      </x:c>
      <x:c r="AA692" s="10" t="n">
        <x:f>Z692*'Assumptions'!$AC$74*'Assumptions'!$D$11*(1+'Assumptions'!$D$13)^(6-1)</x:f>
        <x:v>0</x:v>
      </x:c>
      <x:c r="AB692" s="10" t="n">
        <x:f>F692/1</x:f>
        <x:v>153.77817600000003</x:v>
      </x:c>
      <x:c r="AC692" s="10" t="n">
        <x:f>AB692/'Assumptions'!$AM$74</x:f>
        <x:v>3075.5635200000006</x:v>
      </x:c>
      <x:c r="AD692" s="10" t="n">
        <x:f>IF(AB692=0,0,T692/AB692)</x:f>
        <x:v>2.119643860783781</x:v>
      </x:c>
      <x:c r="AE692" s="10" t="n">
        <x:f>AA692*'Assumptions'!$D$21</x:f>
        <x:v>0</x:v>
      </x:c>
    </x:row>
    <x:row r="693" ht="16" customHeight="1">
      <x:c r="A693" s="1"/>
      <x:c r="B693" s="1"/>
      <x:c r="C693" s="1" t="str">
        <x:v>DOT-046</x:v>
      </x:c>
      <x:c r="D693" s="10" t="str">
        <x:v>Turbo Tax - Made Easy!</x:v>
      </x:c>
      <x:c r="E693" s="10" t="n">
        <x:v>6</x:v>
      </x:c>
      <x:c r="F693" s="21" t="n">
        <x:f>F565*(1+'Assumptions'!$M$75)</x:f>
        <x:v>405.3321984374999</x:v>
      </x:c>
      <x:c r="G693" s="21" t="n">
        <x:f>H565*'Assumptions'!$K$75</x:f>
        <x:v>125.67320312499999</x:v>
      </x:c>
      <x:c r="H693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693+G693,NA())</x:f>
        <x:v>531.0054015624999</x:v>
      </x:c>
      <x:c r="I693" s="22" t="n">
        <x:f>'Assumptions'!$H$75*IF('Assumptions'!$O$75=1,1,'Assumptions'!$D$10)*(1+'Assumptions'!$N$75)^(6-1)</x:f>
        <x:v>149</x:v>
      </x:c>
      <x:c r="J693" s="10" t="n">
        <x:f>H693*I693</x:f>
        <x:v>79119.80483281247</x:v>
      </x:c>
      <x:c r="K693" s="10" t="n">
        <x:f>J693*'Assumptions'!$T$75</x:f>
        <x:v>79119.80483281247</x:v>
      </x:c>
      <x:c r="L693" s="10" t="n">
        <x:f>K693*'Assumptions'!$U$75</x:f>
        <x:v>2373.594144984374</x:v>
      </x:c>
      <x:c r="M693" s="10" t="n">
        <x:f>K693*'Assumptions'!$V$75</x:f>
        <x:v>0</x:v>
      </x:c>
      <x:c r="N693" s="10" t="n">
        <x:f>K693-L693-M693</x:f>
        <x:v>76746.2106878281</x:v>
      </x:c>
      <x:c r="O693" s="10" t="n">
        <x:f>H693*'Assumptions'!$P$75*'Assumptions'!$Q$75*'Assumptions'!$D$11*(1+'Assumptions'!$D$13)^(6-1)</x:f>
        <x:v>3231.7991755595003</x:v>
      </x:c>
      <x:c r="P693" s="10" t="n">
        <x:f>H693*'Assumptions'!$R$75*'Assumptions'!$D$11*(1+'Assumptions'!$D$13)^(6-1)</x:f>
        <x:v>0</x:v>
      </x:c>
      <x:c r="Q693" s="10" t="n">
        <x:f>J693*'Assumptions'!$S$75</x:f>
        <x:v>0</x:v>
      </x:c>
      <x:c r="R693" s="10" t="n">
        <x:f>H693*'Assumptions'!$Y$75*'Assumptions'!$Z$75*'Assumptions'!$D$11*(1+'Assumptions'!$D$13)^(6-1)</x:f>
        <x:v>1846.7423860340007</x:v>
      </x:c>
      <x:c r="S693" s="10" t="n">
        <x:f>IF(I693=0,0,J693*'Assumptions'!$W$75+H693*'Assumptions'!$X$75)</x:f>
        <x:v>2453.7759606203117</x:v>
      </x:c>
      <x:c r="T693" s="10" t="n">
        <x:f>N693*'Assumptions'!$AA$75</x:f>
        <x:v>3837.3105343914053</x:v>
      </x:c>
      <x:c r="U693" s="10" t="n">
        <x:f>'Assumptions'!$AE$75*'Assumptions'!$D$11*(1+'Assumptions'!$D$13)^(6-1)</x:f>
        <x:v>0</x:v>
      </x:c>
      <x:c r="V693" s="10" t="n">
        <x:f>0</x:f>
        <x:v>0</x:v>
      </x:c>
      <x:c r="W693" s="10" t="n">
        <x:f>H693*('Assumptions'!$P$75+'Assumptions'!$Y$75)</x:f>
        <x:v>132.75135039062496</x:v>
      </x:c>
      <x:c r="X693" s="10" t="n">
        <x:f>N693/12*'Assumptions'!$AF$75</x:f>
        <x:v>0</x:v>
      </x:c>
      <x:c r="Y693" s="10" t="n">
        <x:f>P693/12</x:f>
        <x:v>0</x:v>
      </x:c>
      <x:c r="Z693" s="10" t="n">
        <x:f>0</x:f>
        <x:v>0</x:v>
      </x:c>
      <x:c r="AA693" s="10" t="n">
        <x:f>Z693*'Assumptions'!$AC$75*'Assumptions'!$D$11*(1+'Assumptions'!$D$13)^(6-1)</x:f>
        <x:v>0</x:v>
      </x:c>
      <x:c r="AB693" s="10" t="n">
        <x:f>F693/1</x:f>
        <x:v>405.3321984374999</x:v>
      </x:c>
      <x:c r="AC693" s="10" t="n">
        <x:f>AB693/'Assumptions'!$AM$75</x:f>
        <x:v>8106.643968749998</x:v>
      </x:c>
      <x:c r="AD693" s="10" t="n">
        <x:f>IF(AB693=0,0,T693/AB693)</x:f>
        <x:v>9.467075522703874</x:v>
      </x:c>
      <x:c r="AE693" s="10" t="n">
        <x:f>AA693*'Assumptions'!$D$21</x:f>
        <x:v>0</x:v>
      </x:c>
    </x:row>
    <x:row r="694" ht="16" customHeight="1">
      <x:c r="A694" s="1"/>
      <x:c r="B694" s="1"/>
      <x:c r="C694" s="1" t="str">
        <x:v>DOT-047</x:v>
      </x:c>
      <x:c r="D694" s="10" t="str">
        <x:v>LavaLearning adult</x:v>
      </x:c>
      <x:c r="E694" s="10" t="n">
        <x:v>6</x:v>
      </x:c>
      <x:c r="F694" s="21" t="n">
        <x:f>F566*(1+'Assumptions'!$M$76)</x:f>
        <x:v>270.22146562499995</x:v>
      </x:c>
      <x:c r="G694" s="21" t="n">
        <x:f>H566*'Assumptions'!$K$76</x:f>
        <x:v>83.76585937499998</x:v>
      </x:c>
      <x:c r="H694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694+G694,NA())</x:f>
        <x:v>353.98732499999994</x:v>
      </x:c>
      <x:c r="I694" s="22" t="n">
        <x:f>'Assumptions'!$H$76*IF('Assumptions'!$O$76=1,1,'Assumptions'!$D$10)*(1+'Assumptions'!$N$76)^(6-1)</x:f>
        <x:v>79</x:v>
      </x:c>
      <x:c r="J694" s="10" t="n">
        <x:f>H694*I694</x:f>
        <x:v>27964.998674999995</x:v>
      </x:c>
      <x:c r="K694" s="10" t="n">
        <x:f>J694*'Assumptions'!$T$76</x:f>
        <x:v>27964.998674999995</x:v>
      </x:c>
      <x:c r="L694" s="10" t="n">
        <x:f>K694*'Assumptions'!$U$76</x:f>
        <x:v>838.9499602499998</x:v>
      </x:c>
      <x:c r="M694" s="10" t="n">
        <x:f>K694*'Assumptions'!$V$76</x:f>
        <x:v>0</x:v>
      </x:c>
      <x:c r="N694" s="10" t="n">
        <x:f>K694-L694-M694</x:f>
        <x:v>27126.048714749995</x:v>
      </x:c>
      <x:c r="O694" s="10" t="n">
        <x:f>H694*'Assumptions'!$P$76*'Assumptions'!$Q$76*'Assumptions'!$D$11*(1+'Assumptions'!$D$13)^(6-1)</x:f>
        <x:v>2154.433724642368</x:v>
      </x:c>
      <x:c r="P694" s="10" t="n">
        <x:f>H694*'Assumptions'!$R$76*'Assumptions'!$D$11*(1+'Assumptions'!$D$13)^(6-1)</x:f>
        <x:v>0</x:v>
      </x:c>
      <x:c r="Q694" s="10" t="n">
        <x:f>J694*'Assumptions'!$S$76</x:f>
        <x:v>0</x:v>
      </x:c>
      <x:c r="R694" s="10" t="n">
        <x:f>H694*'Assumptions'!$Y$76*'Assumptions'!$Z$76*'Assumptions'!$D$11*(1+'Assumptions'!$D$13)^(6-1)</x:f>
        <x:v>1231.1049855099245</x:v>
      </x:c>
      <x:c r="S694" s="10" t="n">
        <x:f>IF(I694=0,0,J694*'Assumptions'!$W$76+H694*'Assumptions'!$X$76)</x:f>
        <x:v>917.1811590749999</x:v>
      </x:c>
      <x:c r="T694" s="10" t="n">
        <x:f>N694*'Assumptions'!$AA$76</x:f>
        <x:v>1356.3024357374998</x:v>
      </x:c>
      <x:c r="U694" s="10" t="n">
        <x:f>'Assumptions'!$AE$76*'Assumptions'!$D$11*(1+'Assumptions'!$D$13)^(6-1)</x:f>
        <x:v>0</x:v>
      </x:c>
      <x:c r="V694" s="10" t="n">
        <x:f>0</x:f>
        <x:v>0</x:v>
      </x:c>
      <x:c r="W694" s="10" t="n">
        <x:f>H694*('Assumptions'!$P$76+'Assumptions'!$Y$76)</x:f>
        <x:v>88.49683124999999</x:v>
      </x:c>
      <x:c r="X694" s="10" t="n">
        <x:f>N694/12*'Assumptions'!$AF$76</x:f>
        <x:v>0</x:v>
      </x:c>
      <x:c r="Y694" s="10" t="n">
        <x:f>P694/12</x:f>
        <x:v>0</x:v>
      </x:c>
      <x:c r="Z694" s="10" t="n">
        <x:f>0</x:f>
        <x:v>0</x:v>
      </x:c>
      <x:c r="AA694" s="10" t="n">
        <x:f>Z694*'Assumptions'!$AC$76*'Assumptions'!$D$11*(1+'Assumptions'!$D$13)^(6-1)</x:f>
        <x:v>0</x:v>
      </x:c>
      <x:c r="AB694" s="10" t="n">
        <x:f>F694/1</x:f>
        <x:v>270.22146562499995</x:v>
      </x:c>
      <x:c r="AC694" s="10" t="n">
        <x:f>AB694/'Assumptions'!$AM$76</x:f>
        <x:v>5404.429312499999</x:v>
      </x:c>
      <x:c r="AD694" s="10" t="n">
        <x:f>IF(AB694=0,0,T694/AB694)</x:f>
        <x:v>5.019225369829463</x:v>
      </x:c>
      <x:c r="AE694" s="10" t="n">
        <x:f>AA694*'Assumptions'!$D$21</x:f>
        <x:v>0</x:v>
      </x:c>
    </x:row>
    <x:row r="695" ht="16" customHeight="1">
      <x:c r="A695" s="1"/>
      <x:c r="B695" s="1"/>
      <x:c r="C695" s="1" t="str">
        <x:v>DOT-048</x:v>
      </x:c>
      <x:c r="D695" s="10" t="str">
        <x:v>Turbo Tax - Made Easy!</x:v>
      </x:c>
      <x:c r="E695" s="10" t="n">
        <x:v>6</x:v>
      </x:c>
      <x:c r="F695" s="21" t="n">
        <x:f>F567*(1+'Assumptions'!$M$77)</x:f>
        <x:v>810.6643968749999</x:v>
      </x:c>
      <x:c r="G695" s="21" t="n">
        <x:f>H567*'Assumptions'!$K$77</x:f>
        <x:v>251.34640624999997</x:v>
      </x:c>
      <x:c r="H695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695+G695,NA())</x:f>
        <x:v>1062.0108031249997</x:v>
      </x:c>
      <x:c r="I695" s="22" t="n">
        <x:f>'Assumptions'!$H$77*IF('Assumptions'!$O$77=1,1,'Assumptions'!$D$10)*(1+'Assumptions'!$N$77)^(6-1)</x:f>
        <x:v>20.9775352608</x:v>
      </x:c>
      <x:c r="J695" s="10" t="n">
        <x:f>H695*I695</x:f>
        <x:v>22278.36906990521</x:v>
      </x:c>
      <x:c r="K695" s="10" t="n">
        <x:f>J695*'Assumptions'!$T$77</x:f>
        <x:v>22278.36906990521</x:v>
      </x:c>
      <x:c r="L695" s="10" t="n">
        <x:f>K695*'Assumptions'!$U$77</x:f>
        <x:v>668.3510720971562</x:v>
      </x:c>
      <x:c r="M695" s="10" t="n">
        <x:f>K695*'Assumptions'!$V$77</x:f>
        <x:v>0</x:v>
      </x:c>
      <x:c r="N695" s="10" t="n">
        <x:f>K695-L695-M695</x:f>
        <x:v>21610.017997808052</x:v>
      </x:c>
      <x:c r="O695" s="10" t="n">
        <x:f>H695*'Assumptions'!$P$77*'Assumptions'!$Q$77*'Assumptions'!$D$11*(1+'Assumptions'!$D$13)^(6-1)</x:f>
        <x:v>6463.598351119001</x:v>
      </x:c>
      <x:c r="P695" s="10" t="n">
        <x:f>H695*'Assumptions'!$R$77*'Assumptions'!$D$11*(1+'Assumptions'!$D$13)^(6-1)</x:f>
        <x:v>0</x:v>
      </x:c>
      <x:c r="Q695" s="10" t="n">
        <x:f>J695*'Assumptions'!$S$77</x:f>
        <x:v>0</x:v>
      </x:c>
      <x:c r="R695" s="10" t="n">
        <x:f>H695*'Assumptions'!$Y$77*'Assumptions'!$Z$77*'Assumptions'!$D$11*(1+'Assumptions'!$D$13)^(6-1)</x:f>
        <x:v>3693.4847720680013</x:v>
      </x:c>
      <x:c r="S695" s="10" t="n">
        <x:f>IF(I695=0,0,J695*'Assumptions'!$W$77+H695*'Assumptions'!$X$77)</x:f>
        <x:v>964.675943964751</x:v>
      </x:c>
      <x:c r="T695" s="10" t="n">
        <x:f>N695*'Assumptions'!$AA$77</x:f>
        <x:v>1080.5008998904027</x:v>
      </x:c>
      <x:c r="U695" s="10" t="n">
        <x:f>'Assumptions'!$AE$77*'Assumptions'!$D$11*(1+'Assumptions'!$D$13)^(6-1)</x:f>
        <x:v>0</x:v>
      </x:c>
      <x:c r="V695" s="10" t="n">
        <x:f>0</x:f>
        <x:v>0</x:v>
      </x:c>
      <x:c r="W695" s="10" t="n">
        <x:f>H695*('Assumptions'!$P$77+'Assumptions'!$Y$77)</x:f>
        <x:v>265.5027007812499</x:v>
      </x:c>
      <x:c r="X695" s="10" t="n">
        <x:f>N695/12*'Assumptions'!$AF$77</x:f>
        <x:v>0</x:v>
      </x:c>
      <x:c r="Y695" s="10" t="n">
        <x:f>P695/12</x:f>
        <x:v>0</x:v>
      </x:c>
      <x:c r="Z695" s="10" t="n">
        <x:f>0</x:f>
        <x:v>0</x:v>
      </x:c>
      <x:c r="AA695" s="10" t="n">
        <x:f>Z695*'Assumptions'!$AC$77*'Assumptions'!$D$11*(1+'Assumptions'!$D$13)^(6-1)</x:f>
        <x:v>0</x:v>
      </x:c>
      <x:c r="AB695" s="10" t="n">
        <x:f>F695/1</x:f>
        <x:v>810.6643968749999</x:v>
      </x:c>
      <x:c r="AC695" s="10" t="n">
        <x:f>AB695/'Assumptions'!$AM$77</x:f>
        <x:v>16213.287937499996</x:v>
      </x:c>
      <x:c r="AD695" s="10" t="n">
        <x:f>IF(AB695=0,0,T695/AB695)</x:f>
        <x:v>1.332858460363605</x:v>
      </x:c>
      <x:c r="AE695" s="10" t="n">
        <x:f>AA695*'Assumptions'!$D$21</x:f>
        <x:v>0</x:v>
      </x:c>
    </x:row>
    <x:row r="696" ht="16" customHeight="1">
      <x:c r="A696" s="1"/>
      <x:c r="B696" s="1"/>
      <x:c r="C696" s="1" t="str">
        <x:v>DOT-049</x:v>
      </x:c>
      <x:c r="D696" s="10" t="str">
        <x:v>Turbo Tax - Made Easy!</x:v>
      </x:c>
      <x:c r="E696" s="10" t="n">
        <x:v>6</x:v>
      </x:c>
      <x:c r="F696" s="21" t="n">
        <x:f>F568*(1+'Assumptions'!$M$78)</x:f>
        <x:v>270.22146562499995</x:v>
      </x:c>
      <x:c r="G696" s="21" t="n">
        <x:f>H568*'Assumptions'!$K$78</x:f>
        <x:v>83.71703124999998</x:v>
      </x:c>
      <x:c r="H696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696+G696,NA())</x:f>
        <x:v>353.93849687499994</x:v>
      </x:c>
      <x:c r="I696" s="22" t="n">
        <x:f>'Assumptions'!$H$78*IF('Assumptions'!$O$78=1,1,'Assumptions'!$D$10)*(1+'Assumptions'!$N$78)^(6-1)</x:f>
        <x:v>20.9775352608</x:v>
      </x:c>
      <x:c r="J696" s="10" t="n">
        <x:f>H696*I696</x:f>
        <x:v>7424.757298349862</x:v>
      </x:c>
      <x:c r="K696" s="10" t="n">
        <x:f>J696*'Assumptions'!$T$78</x:f>
        <x:v>7424.757298349862</x:v>
      </x:c>
      <x:c r="L696" s="10" t="n">
        <x:f>K696*'Assumptions'!$U$78</x:f>
        <x:v>222.74271895049586</x:v>
      </x:c>
      <x:c r="M696" s="10" t="n">
        <x:f>K696*'Assumptions'!$V$78</x:f>
        <x:v>0</x:v>
      </x:c>
      <x:c r="N696" s="10" t="n">
        <x:f>K696-L696-M696</x:f>
        <x:v>7202.014579399366</x:v>
      </x:c>
      <x:c r="O696" s="10" t="n">
        <x:f>H696*'Assumptions'!$P$78*'Assumptions'!$Q$78*'Assumptions'!$D$11*(1+'Assumptions'!$D$13)^(6-1)</x:f>
        <x:v>2154.1365474504696</x:v>
      </x:c>
      <x:c r="P696" s="10" t="n">
        <x:f>H696*'Assumptions'!$R$78*'Assumptions'!$D$11*(1+'Assumptions'!$D$13)^(6-1)</x:f>
        <x:v>0</x:v>
      </x:c>
      <x:c r="Q696" s="10" t="n">
        <x:f>J696*'Assumptions'!$S$78</x:f>
        <x:v>0</x:v>
      </x:c>
      <x:c r="R696" s="10" t="n">
        <x:f>H696*'Assumptions'!$Y$78*'Assumptions'!$Z$78*'Assumptions'!$D$11*(1+'Assumptions'!$D$13)^(6-1)</x:f>
        <x:v>1230.935169971697</x:v>
      </x:c>
      <x:c r="S696" s="10" t="n">
        <x:f>IF(I696=0,0,J696*'Assumptions'!$W$78+H696*'Assumptions'!$X$78)</x:f>
        <x:v>321.499510714646</x:v>
      </x:c>
      <x:c r="T696" s="10" t="n">
        <x:f>N696*'Assumptions'!$AA$78</x:f>
        <x:v>360.1007289699683</x:v>
      </x:c>
      <x:c r="U696" s="10" t="n">
        <x:f>'Assumptions'!$AE$78*'Assumptions'!$D$11*(1+'Assumptions'!$D$13)^(6-1)</x:f>
        <x:v>0</x:v>
      </x:c>
      <x:c r="V696" s="10" t="n">
        <x:f>0</x:f>
        <x:v>0</x:v>
      </x:c>
      <x:c r="W696" s="10" t="n">
        <x:f>H696*('Assumptions'!$P$78+'Assumptions'!$Y$78)</x:f>
        <x:v>88.48462421874999</x:v>
      </x:c>
      <x:c r="X696" s="10" t="n">
        <x:f>N696/12*'Assumptions'!$AF$78</x:f>
        <x:v>0</x:v>
      </x:c>
      <x:c r="Y696" s="10" t="n">
        <x:f>P696/12</x:f>
        <x:v>0</x:v>
      </x:c>
      <x:c r="Z696" s="10" t="n">
        <x:f>0</x:f>
        <x:v>0</x:v>
      </x:c>
      <x:c r="AA696" s="10" t="n">
        <x:f>Z696*'Assumptions'!$AC$78*'Assumptions'!$D$11*(1+'Assumptions'!$D$13)^(6-1)</x:f>
        <x:v>0</x:v>
      </x:c>
      <x:c r="AB696" s="10" t="n">
        <x:f>F696/1</x:f>
        <x:v>270.22146562499995</x:v>
      </x:c>
      <x:c r="AC696" s="10" t="n">
        <x:f>AB696/'Assumptions'!$AM$78</x:f>
        <x:v>5404.429312499999</x:v>
      </x:c>
      <x:c r="AD696" s="10" t="n">
        <x:f>IF(AB696=0,0,T696/AB696)</x:f>
        <x:v>1.3326133367572597</x:v>
      </x:c>
      <x:c r="AE696" s="10" t="n">
        <x:f>AA696*'Assumptions'!$D$21</x:f>
        <x:v>0</x:v>
      </x:c>
    </x:row>
    <x:row r="697" ht="16" customHeight="1">
      <x:c r="A697" s="1"/>
      <x:c r="B697" s="1"/>
      <x:c r="C697" s="1" t="str">
        <x:v>DOT-050</x:v>
      </x:c>
      <x:c r="D697" s="10" t="str">
        <x:v>LavaLearning adult</x:v>
      </x:c>
      <x:c r="E697" s="10" t="n">
        <x:v>6</x:v>
      </x:c>
      <x:c r="F697" s="21" t="n">
        <x:f>F569*(1+'Assumptions'!$M$79)</x:f>
        <x:v>810.6643968749999</x:v>
      </x:c>
      <x:c r="G697" s="21" t="n">
        <x:f>H569*'Assumptions'!$K$79</x:f>
        <x:v>251.29757812499997</x:v>
      </x:c>
      <x:c r="H697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697+G697,NA())</x:f>
        <x:v>1061.9619749999997</x:v>
      </x:c>
      <x:c r="I697" s="22" t="n">
        <x:f>'Assumptions'!$H$79*IF('Assumptions'!$O$79=1,1,'Assumptions'!$D$10)*(1+'Assumptions'!$N$79)^(6-1)</x:f>
        <x:v>20.9775352608</x:v>
      </x:c>
      <x:c r="J697" s="10" t="n">
        <x:f>H697*I697</x:f>
        <x:v>22277.3447761913</x:v>
      </x:c>
      <x:c r="K697" s="10" t="n">
        <x:f>J697*'Assumptions'!$T$79</x:f>
        <x:v>22277.3447761913</x:v>
      </x:c>
      <x:c r="L697" s="10" t="n">
        <x:f>K697*'Assumptions'!$U$79</x:f>
        <x:v>668.320343285739</x:v>
      </x:c>
      <x:c r="M697" s="10" t="n">
        <x:f>K697*'Assumptions'!$V$79</x:f>
        <x:v>0</x:v>
      </x:c>
      <x:c r="N697" s="10" t="n">
        <x:f>K697-L697-M697</x:f>
        <x:v>21609.024432905564</x:v>
      </x:c>
      <x:c r="O697" s="10" t="n">
        <x:f>H697*'Assumptions'!$P$79*'Assumptions'!$Q$79*'Assumptions'!$D$11*(1+'Assumptions'!$D$13)^(6-1)</x:f>
        <x:v>6463.301173927102</x:v>
      </x:c>
      <x:c r="P697" s="10" t="n">
        <x:f>H697*'Assumptions'!$R$79*'Assumptions'!$D$11*(1+'Assumptions'!$D$13)^(6-1)</x:f>
        <x:v>0</x:v>
      </x:c>
      <x:c r="Q697" s="10" t="n">
        <x:f>J697*'Assumptions'!$S$79</x:f>
        <x:v>0</x:v>
      </x:c>
      <x:c r="R697" s="10" t="n">
        <x:f>H697*'Assumptions'!$Y$79*'Assumptions'!$Z$79*'Assumptions'!$D$11*(1+'Assumptions'!$D$13)^(6-1)</x:f>
        <x:v>3693.314956529774</x:v>
      </x:c>
      <x:c r="S697" s="10" t="n">
        <x:f>IF(I697=0,0,J697*'Assumptions'!$W$79+H697*'Assumptions'!$X$79)</x:f>
        <x:v>964.6315910095476</x:v>
      </x:c>
      <x:c r="T697" s="10" t="n">
        <x:f>N697*'Assumptions'!$AA$79</x:f>
        <x:v>1080.4512216452783</x:v>
      </x:c>
      <x:c r="U697" s="10" t="n">
        <x:f>'Assumptions'!$AE$79*'Assumptions'!$D$11*(1+'Assumptions'!$D$13)^(6-1)</x:f>
        <x:v>0</x:v>
      </x:c>
      <x:c r="V697" s="10" t="n">
        <x:f>0</x:f>
        <x:v>0</x:v>
      </x:c>
      <x:c r="W697" s="10" t="n">
        <x:f>H697*('Assumptions'!$P$79+'Assumptions'!$Y$79)</x:f>
        <x:v>265.4904937499999</x:v>
      </x:c>
      <x:c r="X697" s="10" t="n">
        <x:f>N697/12*'Assumptions'!$AF$79</x:f>
        <x:v>0</x:v>
      </x:c>
      <x:c r="Y697" s="10" t="n">
        <x:f>P697/12</x:f>
        <x:v>0</x:v>
      </x:c>
      <x:c r="Z697" s="10" t="n">
        <x:f>0</x:f>
        <x:v>0</x:v>
      </x:c>
      <x:c r="AA697" s="10" t="n">
        <x:f>Z697*'Assumptions'!$AC$79*'Assumptions'!$D$11*(1+'Assumptions'!$D$13)^(6-1)</x:f>
        <x:v>0</x:v>
      </x:c>
      <x:c r="AB697" s="10" t="n">
        <x:f>F697/1</x:f>
        <x:v>810.6643968749999</x:v>
      </x:c>
      <x:c r="AC697" s="10" t="n">
        <x:f>AB697/'Assumptions'!$AM$79</x:f>
        <x:v>16213.287937499996</x:v>
      </x:c>
      <x:c r="AD697" s="10" t="n">
        <x:f>IF(AB697=0,0,T697/AB697)</x:f>
        <x:v>1.3327971794620188</x:v>
      </x:c>
      <x:c r="AE697" s="10" t="n">
        <x:f>AA697*'Assumptions'!$D$21</x:f>
        <x:v>0</x:v>
      </x:c>
    </x:row>
    <x:row r="698" ht="16" customHeight="1">
      <x:c r="A698" s="1"/>
      <x:c r="B698" s="1"/>
      <x:c r="C698" s="1" t="str">
        <x:v>DOT-051</x:v>
      </x:c>
      <x:c r="D698" s="10" t="str">
        <x:v>LavaLearning adult</x:v>
      </x:c>
      <x:c r="E698" s="10" t="n">
        <x:v>6</x:v>
      </x:c>
      <x:c r="F698" s="21" t="n">
        <x:f>F570*(1+'Assumptions'!$M$80)</x:f>
        <x:v>162.13287937499993</x:v>
      </x:c>
      <x:c r="G698" s="21" t="n">
        <x:f>H570*'Assumptions'!$K$80</x:f>
        <x:v>50.230218749999985</x:v>
      </x:c>
      <x:c r="H698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698+G698,NA())</x:f>
        <x:v>212.3630981249999</x:v>
      </x:c>
      <x:c r="I698" s="22" t="n">
        <x:f>'Assumptions'!$H$80*IF('Assumptions'!$O$80=1,1,'Assumptions'!$D$10)*(1+'Assumptions'!$N$80)^(6-1)</x:f>
        <x:v>32.0183432928</x:v>
      </x:c>
      <x:c r="J698" s="10" t="n">
        <x:f>H698*I698</x:f>
        <x:v>6799.514578488818</x:v>
      </x:c>
      <x:c r="K698" s="10" t="n">
        <x:f>J698*'Assumptions'!$T$80</x:f>
        <x:v>6799.514578488818</x:v>
      </x:c>
      <x:c r="L698" s="10" t="n">
        <x:f>K698*'Assumptions'!$U$80</x:f>
        <x:v>203.98543735466453</x:v>
      </x:c>
      <x:c r="M698" s="10" t="n">
        <x:f>K698*'Assumptions'!$V$80</x:f>
        <x:v>0</x:v>
      </x:c>
      <x:c r="N698" s="10" t="n">
        <x:f>K698-L698-M698</x:f>
        <x:v>6595.529141134154</x:v>
      </x:c>
      <x:c r="O698" s="10" t="n">
        <x:f>H698*'Assumptions'!$P$80*'Assumptions'!$Q$80*'Assumptions'!$D$11*(1+'Assumptions'!$D$13)^(6-1)</x:f>
        <x:v>1292.4819284702814</x:v>
      </x:c>
      <x:c r="P698" s="10" t="n">
        <x:f>H698*'Assumptions'!$R$80*'Assumptions'!$D$11*(1+'Assumptions'!$D$13)^(6-1)</x:f>
        <x:v>0</x:v>
      </x:c>
      <x:c r="Q698" s="10" t="n">
        <x:f>J698*'Assumptions'!$S$80</x:f>
        <x:v>0</x:v>
      </x:c>
      <x:c r="R698" s="10" t="n">
        <x:f>H698*'Assumptions'!$Y$80*'Assumptions'!$Z$80*'Assumptions'!$D$11*(1+'Assumptions'!$D$13)^(6-1)</x:f>
        <x:v>738.5611019830181</x:v>
      </x:c>
      <x:c r="S698" s="10" t="n">
        <x:f>IF(I698=0,0,J698*'Assumptions'!$W$80+H698*'Assumptions'!$X$80)</x:f>
        <x:v>260.89485221367573</x:v>
      </x:c>
      <x:c r="T698" s="10" t="n">
        <x:f>N698*'Assumptions'!$AA$80</x:f>
        <x:v>329.7764570567077</x:v>
      </x:c>
      <x:c r="U698" s="10" t="n">
        <x:f>'Assumptions'!$AE$80*'Assumptions'!$D$11*(1+'Assumptions'!$D$13)^(6-1)</x:f>
        <x:v>0</x:v>
      </x:c>
      <x:c r="V698" s="10" t="n">
        <x:f>0</x:f>
        <x:v>0</x:v>
      </x:c>
      <x:c r="W698" s="10" t="n">
        <x:f>H698*('Assumptions'!$P$80+'Assumptions'!$Y$80)</x:f>
        <x:v>53.09077453124998</x:v>
      </x:c>
      <x:c r="X698" s="10" t="n">
        <x:f>N698/12*'Assumptions'!$AF$80</x:f>
        <x:v>0</x:v>
      </x:c>
      <x:c r="Y698" s="10" t="n">
        <x:f>P698/12</x:f>
        <x:v>0</x:v>
      </x:c>
      <x:c r="Z698" s="10" t="n">
        <x:f>0</x:f>
        <x:v>0</x:v>
      </x:c>
      <x:c r="AA698" s="10" t="n">
        <x:f>Z698*'Assumptions'!$AC$80*'Assumptions'!$D$11*(1+'Assumptions'!$D$13)^(6-1)</x:f>
        <x:v>0</x:v>
      </x:c>
      <x:c r="AB698" s="10" t="n">
        <x:f>F698/1</x:f>
        <x:v>162.13287937499993</x:v>
      </x:c>
      <x:c r="AC698" s="10" t="n">
        <x:f>AB698/'Assumptions'!$AM$80</x:f>
        <x:v>3242.6575874999985</x:v>
      </x:c>
      <x:c r="AD698" s="10" t="n">
        <x:f>IF(AB698=0,0,T698/AB698)</x:f>
        <x:v>2.0339887771558174</x:v>
      </x:c>
      <x:c r="AE698" s="10" t="n">
        <x:f>AA698*'Assumptions'!$D$21</x:f>
        <x:v>0</x:v>
      </x:c>
    </x:row>
    <x:row r="699" ht="16" customHeight="1">
      <x:c r="A699" s="1"/>
      <x:c r="B699" s="1"/>
      <x:c r="C699" s="1" t="str">
        <x:v>DOT-052</x:v>
      </x:c>
      <x:c r="D699" s="10" t="str">
        <x:v>LavaLearning Model Life</x:v>
      </x:c>
      <x:c r="E699" s="10" t="n">
        <x:v>6</x:v>
      </x:c>
      <x:c r="F699" s="21" t="n">
        <x:f>F571*(1+'Assumptions'!$M$81)</x:f>
        <x:v>0</x:v>
      </x:c>
      <x:c r="G699" s="21" t="n">
        <x:f>H571*'Assumptions'!$K$81</x:f>
        <x:v>0</x:v>
      </x:c>
      <x:c r="H699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699+G699,NA())</x:f>
        <x:v>0</x:v>
      </x:c>
      <x:c r="I699" s="22" t="n">
        <x:f>'Assumptions'!$H$81*IF('Assumptions'!$O$81=1,1,'Assumptions'!$D$10)*(1+'Assumptions'!$N$81)^(6-1)</x:f>
        <x:v>0</x:v>
      </x:c>
      <x:c r="J699" s="10" t="n">
        <x:f>H699*I699</x:f>
        <x:v>0</x:v>
      </x:c>
      <x:c r="K699" s="10" t="n">
        <x:f>J699*'Assumptions'!$T$81</x:f>
        <x:v>0</x:v>
      </x:c>
      <x:c r="L699" s="10" t="n">
        <x:f>K699*'Assumptions'!$U$81</x:f>
        <x:v>0</x:v>
      </x:c>
      <x:c r="M699" s="10" t="n">
        <x:f>K699*'Assumptions'!$V$81</x:f>
        <x:v>0</x:v>
      </x:c>
      <x:c r="N699" s="10" t="n">
        <x:f>K699-L699-M699</x:f>
        <x:v>0</x:v>
      </x:c>
      <x:c r="O699" s="10" t="n">
        <x:f>H699*'Assumptions'!$P$81*'Assumptions'!$Q$81*'Assumptions'!$D$11*(1+'Assumptions'!$D$13)^(6-1)</x:f>
        <x:v>0</x:v>
      </x:c>
      <x:c r="P699" s="10" t="n">
        <x:f>H699*'Assumptions'!$R$81*'Assumptions'!$D$11*(1+'Assumptions'!$D$13)^(6-1)</x:f>
        <x:v>0</x:v>
      </x:c>
      <x:c r="Q699" s="10" t="n">
        <x:f>J699*'Assumptions'!$S$81</x:f>
        <x:v>0</x:v>
      </x:c>
      <x:c r="R699" s="10" t="n">
        <x:f>H699*'Assumptions'!$Y$81*'Assumptions'!$Z$81*'Assumptions'!$D$11*(1+'Assumptions'!$D$13)^(6-1)</x:f>
        <x:v>0</x:v>
      </x:c>
      <x:c r="S699" s="10" t="n">
        <x:f>IF(I699=0,0,J699*'Assumptions'!$W$81+H699*'Assumptions'!$X$81)</x:f>
        <x:v>0</x:v>
      </x:c>
      <x:c r="T699" s="10" t="n">
        <x:f>N699*'Assumptions'!$AA$81</x:f>
        <x:v>0</x:v>
      </x:c>
      <x:c r="U699" s="10" t="n">
        <x:f>'Assumptions'!$AE$81*'Assumptions'!$D$11*(1+'Assumptions'!$D$13)^(6-1)</x:f>
        <x:v>0</x:v>
      </x:c>
      <x:c r="V699" s="10" t="n">
        <x:f>0</x:f>
        <x:v>0</x:v>
      </x:c>
      <x:c r="W699" s="10" t="n">
        <x:f>H699*('Assumptions'!$P$81+'Assumptions'!$Y$81)</x:f>
        <x:v>0</x:v>
      </x:c>
      <x:c r="X699" s="10" t="n">
        <x:f>N699/12*'Assumptions'!$AF$81</x:f>
        <x:v>0</x:v>
      </x:c>
      <x:c r="Y699" s="10" t="n">
        <x:f>P699/12</x:f>
        <x:v>0</x:v>
      </x:c>
      <x:c r="Z699" s="10" t="n">
        <x:f>0</x:f>
        <x:v>0</x:v>
      </x:c>
      <x:c r="AA699" s="10" t="n">
        <x:f>Z699*'Assumptions'!$AC$81*'Assumptions'!$D$11*(1+'Assumptions'!$D$13)^(6-1)</x:f>
        <x:v>0</x:v>
      </x:c>
      <x:c r="AB699" s="10" t="n">
        <x:f>F699/1</x:f>
        <x:v>0</x:v>
      </x:c>
      <x:c r="AC699" s="10" t="n">
        <x:f>AB699/'Assumptions'!$AM$81</x:f>
        <x:v>0</x:v>
      </x:c>
      <x:c r="AD699" s="10" t="n">
        <x:f>IF(AB699=0,0,T699/AB699)</x:f>
        <x:v>0</x:v>
      </x:c>
      <x:c r="AE699" s="10" t="n">
        <x:f>AA699*'Assumptions'!$D$21</x:f>
        <x:v>0</x:v>
      </x:c>
    </x:row>
    <x:row r="700" ht="16" customHeight="1">
      <x:c r="A700" s="1"/>
      <x:c r="B700" s="1"/>
      <x:c r="C700" s="1" t="str">
        <x:v>DOT-053</x:v>
      </x:c>
      <x:c r="D700" s="10" t="str">
        <x:v>LavaLearning Kids</x:v>
      </x:c>
      <x:c r="E700" s="10" t="n">
        <x:v>6</x:v>
      </x:c>
      <x:c r="F700" s="21" t="n">
        <x:f>F572*(1+'Assumptions'!$M$82)</x:f>
        <x:v>810.6643968749999</x:v>
      </x:c>
      <x:c r="G700" s="21" t="n">
        <x:f>H572*'Assumptions'!$K$82</x:f>
        <x:v>251.15109374999997</x:v>
      </x:c>
      <x:c r="H700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700+G700,NA())</x:f>
        <x:v>1061.8154906249997</x:v>
      </x:c>
      <x:c r="I700" s="22" t="n">
        <x:f>'Assumptions'!$H$82*IF('Assumptions'!$O$82=1,1,'Assumptions'!$D$10)*(1+'Assumptions'!$N$82)^(6-1)</x:f>
        <x:v>20.9775352608</x:v>
      </x:c>
      <x:c r="J700" s="10" t="n">
        <x:f>H700*I700</x:f>
        <x:v>22274.271895049584</x:v>
      </x:c>
      <x:c r="K700" s="10" t="n">
        <x:f>J700*'Assumptions'!$T$82</x:f>
        <x:v>22274.271895049584</x:v>
      </x:c>
      <x:c r="L700" s="10" t="n">
        <x:f>K700*'Assumptions'!$U$82</x:f>
        <x:v>668.2281568514875</x:v>
      </x:c>
      <x:c r="M700" s="10" t="n">
        <x:f>K700*'Assumptions'!$V$82</x:f>
        <x:v>0</x:v>
      </x:c>
      <x:c r="N700" s="10" t="n">
        <x:f>K700-L700-M700</x:f>
        <x:v>21606.043738198096</x:v>
      </x:c>
      <x:c r="O700" s="10" t="n">
        <x:f>H700*'Assumptions'!$P$82*'Assumptions'!$Q$82*'Assumptions'!$D$11*(1+'Assumptions'!$D$13)^(6-1)</x:f>
        <x:v>6462.409642351408</x:v>
      </x:c>
      <x:c r="P700" s="10" t="n">
        <x:f>H700*'Assumptions'!$R$82*'Assumptions'!$D$11*(1+'Assumptions'!$D$13)^(6-1)</x:f>
        <x:v>0</x:v>
      </x:c>
      <x:c r="Q700" s="10" t="n">
        <x:f>J700*'Assumptions'!$S$82</x:f>
        <x:v>0</x:v>
      </x:c>
      <x:c r="R700" s="10" t="n">
        <x:f>H700*'Assumptions'!$Y$82*'Assumptions'!$Z$82*'Assumptions'!$D$11*(1+'Assumptions'!$D$13)^(6-1)</x:f>
        <x:v>3692.8055099150915</x:v>
      </x:c>
      <x:c r="S700" s="10" t="n">
        <x:f>IF(I700=0,0,J700*'Assumptions'!$W$82+H700*'Assumptions'!$X$82)</x:f>
        <x:v>964.4985321439378</x:v>
      </x:c>
      <x:c r="T700" s="10" t="n">
        <x:f>N700*'Assumptions'!$AA$82</x:f>
        <x:v>1080.3021869099048</x:v>
      </x:c>
      <x:c r="U700" s="10" t="n">
        <x:f>'Assumptions'!$AE$82*'Assumptions'!$D$11*(1+'Assumptions'!$D$13)^(6-1)</x:f>
        <x:v>278.225777832</x:v>
      </x:c>
      <x:c r="V700" s="10" t="n">
        <x:f>0</x:f>
        <x:v>0</x:v>
      </x:c>
      <x:c r="W700" s="10" t="n">
        <x:f>H700*('Assumptions'!$P$82+'Assumptions'!$Y$82)</x:f>
        <x:v>265.4538726562499</x:v>
      </x:c>
      <x:c r="X700" s="10" t="n">
        <x:f>N700/12*'Assumptions'!$AF$82</x:f>
        <x:v>0</x:v>
      </x:c>
      <x:c r="Y700" s="10" t="n">
        <x:f>P700/12</x:f>
        <x:v>0</x:v>
      </x:c>
      <x:c r="Z700" s="10" t="n">
        <x:f>0</x:f>
        <x:v>0</x:v>
      </x:c>
      <x:c r="AA700" s="10" t="n">
        <x:f>Z700*'Assumptions'!$AC$82*'Assumptions'!$D$11*(1+'Assumptions'!$D$13)^(6-1)</x:f>
        <x:v>0</x:v>
      </x:c>
      <x:c r="AB700" s="10" t="n">
        <x:f>F700/1</x:f>
        <x:v>810.6643968749999</x:v>
      </x:c>
      <x:c r="AC700" s="10" t="n">
        <x:f>AB700/'Assumptions'!$AM$82</x:f>
        <x:v>16213.287937499996</x:v>
      </x:c>
      <x:c r="AD700" s="10" t="n">
        <x:f>IF(AB700=0,0,T700/AB700)</x:f>
        <x:v>1.3326133367572595</x:v>
      </x:c>
      <x:c r="AE700" s="10" t="n">
        <x:f>AA700*'Assumptions'!$D$21</x:f>
        <x:v>0</x:v>
      </x:c>
    </x:row>
    <x:row r="701" ht="16" customHeight="1">
      <x:c r="A701" s="1"/>
      <x:c r="B701" s="1"/>
      <x:c r="C701" s="1" t="str">
        <x:v>DOT-054</x:v>
      </x:c>
      <x:c r="D701" s="10" t="str">
        <x:v>VraiSkill adult</x:v>
      </x:c>
      <x:c r="E701" s="10" t="n">
        <x:v>6</x:v>
      </x:c>
      <x:c r="F701" s="21" t="n">
        <x:f>F573*(1+'Assumptions'!$M$83)</x:f>
        <x:v>1621.3287937499997</x:v>
      </x:c>
      <x:c r="G701" s="21" t="n">
        <x:f>H573*'Assumptions'!$K$83</x:f>
        <x:v>502.59515624999995</x:v>
      </x:c>
      <x:c r="H701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701+G701,NA())</x:f>
        <x:v>2123.9239499999994</x:v>
      </x:c>
      <x:c r="I701" s="22" t="n">
        <x:f>'Assumptions'!$H$83*IF('Assumptions'!$O$83=1,1,'Assumptions'!$D$10)*(1+'Assumptions'!$N$83)^(6-1)</x:f>
        <x:v>11.029767223968001</x:v>
      </x:c>
      <x:c r="J701" s="10" t="n">
        <x:f>H701*I701</x:f>
        <x:v>23426.386769910645</x:v>
      </x:c>
      <x:c r="K701" s="10" t="n">
        <x:f>J701*'Assumptions'!$T$83</x:f>
        <x:v>23426.386769910645</x:v>
      </x:c>
      <x:c r="L701" s="10" t="n">
        <x:f>K701*'Assumptions'!$U$83</x:f>
        <x:v>702.7916030973194</x:v>
      </x:c>
      <x:c r="M701" s="10" t="n">
        <x:f>K701*'Assumptions'!$V$83</x:f>
        <x:v>0</x:v>
      </x:c>
      <x:c r="N701" s="10" t="n">
        <x:f>K701-L701-M701</x:f>
        <x:v>22723.595166813324</x:v>
      </x:c>
      <x:c r="O701" s="10" t="n">
        <x:f>H701*'Assumptions'!$P$83*'Assumptions'!$Q$83*'Assumptions'!$D$11*(1+'Assumptions'!$D$13)^(6-1)</x:f>
        <x:v>12926.602347854205</x:v>
      </x:c>
      <x:c r="P701" s="10" t="n">
        <x:f>H701*'Assumptions'!$R$83*'Assumptions'!$D$11*(1+'Assumptions'!$D$13)^(6-1)</x:f>
        <x:v>0</x:v>
      </x:c>
      <x:c r="Q701" s="10" t="n">
        <x:f>J701*'Assumptions'!$S$83</x:f>
        <x:v>0</x:v>
      </x:c>
      <x:c r="R701" s="10" t="n">
        <x:f>H701*'Assumptions'!$Y$83*'Assumptions'!$Z$83*'Assumptions'!$D$11*(1+'Assumptions'!$D$13)^(6-1)</x:f>
        <x:v>7386.629913059548</x:v>
      </x:c>
      <x:c r="S701" s="10" t="n">
        <x:f>IF(I701=0,0,J701*'Assumptions'!$W$83+H701*'Assumptions'!$X$83)</x:f>
        <x:v>1316.5424013274085</x:v>
      </x:c>
      <x:c r="T701" s="10" t="n">
        <x:f>N701*'Assumptions'!$AA$83</x:f>
        <x:v>1136.1797583406662</x:v>
      </x:c>
      <x:c r="U701" s="10" t="n">
        <x:f>'Assumptions'!$AE$83*'Assumptions'!$D$11*(1+'Assumptions'!$D$13)^(6-1)</x:f>
        <x:v>278.225777832</x:v>
      </x:c>
      <x:c r="V701" s="10" t="n">
        <x:f>0</x:f>
        <x:v>0</x:v>
      </x:c>
      <x:c r="W701" s="10" t="n">
        <x:f>H701*('Assumptions'!$P$83+'Assumptions'!$Y$83)</x:f>
        <x:v>530.9809874999999</x:v>
      </x:c>
      <x:c r="X701" s="10" t="n">
        <x:f>N701/12*'Assumptions'!$AF$83</x:f>
        <x:v>0</x:v>
      </x:c>
      <x:c r="Y701" s="10" t="n">
        <x:f>P701/12</x:f>
        <x:v>0</x:v>
      </x:c>
      <x:c r="Z701" s="10" t="n">
        <x:f>0</x:f>
        <x:v>0</x:v>
      </x:c>
      <x:c r="AA701" s="10" t="n">
        <x:f>Z701*'Assumptions'!$AC$83*'Assumptions'!$D$11*(1+'Assumptions'!$D$13)^(6-1)</x:f>
        <x:v>0</x:v>
      </x:c>
      <x:c r="AB701" s="10" t="n">
        <x:f>F701/1</x:f>
        <x:v>1621.3287937499997</x:v>
      </x:c>
      <x:c r="AC701" s="10" t="n">
        <x:f>AB701/'Assumptions'!$AM$83</x:f>
        <x:v>32426.57587499999</x:v>
      </x:c>
      <x:c r="AD701" s="10" t="n">
        <x:f>IF(AB701=0,0,T701/AB701)</x:f>
        <x:v>0.700770727517135</x:v>
      </x:c>
      <x:c r="AE701" s="10" t="n">
        <x:f>AA701*'Assumptions'!$D$21</x:f>
        <x:v>0</x:v>
      </x:c>
    </x:row>
    <x:row r="702" ht="16" customHeight="1">
      <x:c r="A702" s="1"/>
      <x:c r="B702" s="1"/>
      <x:c r="C702" s="1" t="str">
        <x:v>DOT-055</x:v>
      </x:c>
      <x:c r="D702" s="10" t="str">
        <x:v>VraiSkill adult</x:v>
      </x:c>
      <x:c r="E702" s="10" t="n">
        <x:v>6</x:v>
      </x:c>
      <x:c r="F702" s="21" t="n">
        <x:f>F574*(1+'Assumptions'!$M$84)</x:f>
        <x:v>540.4429312499999</x:v>
      </x:c>
      <x:c r="G702" s="21" t="n">
        <x:f>H574*'Assumptions'!$K$84</x:f>
        <x:v>167.53171874999995</x:v>
      </x:c>
      <x:c r="H702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702+G702,NA())</x:f>
        <x:v>707.9746499999999</x:v>
      </x:c>
      <x:c r="I702" s="22" t="n">
        <x:f>'Assumptions'!$H$84*IF('Assumptions'!$O$84=1,1,'Assumptions'!$D$10)*(1+'Assumptions'!$N$84)^(6-1)</x:f>
        <x:v>26.4979392768</x:v>
      </x:c>
      <x:c r="J702" s="10" t="n">
        <x:f>H702*I702</x:f>
        <x:v>18759.869285213732</x:v>
      </x:c>
      <x:c r="K702" s="10" t="n">
        <x:f>J702*'Assumptions'!$T$84</x:f>
        <x:v>18759.869285213732</x:v>
      </x:c>
      <x:c r="L702" s="10" t="n">
        <x:f>K702*'Assumptions'!$U$84</x:f>
        <x:v>562.7960785564119</x:v>
      </x:c>
      <x:c r="M702" s="10" t="n">
        <x:f>K702*'Assumptions'!$V$84</x:f>
        <x:v>0</x:v>
      </x:c>
      <x:c r="N702" s="10" t="n">
        <x:f>K702-L702-M702</x:f>
        <x:v>18197.07320665732</x:v>
      </x:c>
      <x:c r="O702" s="10" t="n">
        <x:f>H702*'Assumptions'!$P$84*'Assumptions'!$Q$84*'Assumptions'!$D$11*(1+'Assumptions'!$D$13)^(6-1)</x:f>
        <x:v>4308.867449284736</x:v>
      </x:c>
      <x:c r="P702" s="10" t="n">
        <x:f>H702*'Assumptions'!$R$84*'Assumptions'!$D$11*(1+'Assumptions'!$D$13)^(6-1)</x:f>
        <x:v>0</x:v>
      </x:c>
      <x:c r="Q702" s="10" t="n">
        <x:f>J702*'Assumptions'!$S$84</x:f>
        <x:v>0</x:v>
      </x:c>
      <x:c r="R702" s="10" t="n">
        <x:f>H702*'Assumptions'!$Y$84*'Assumptions'!$Z$84*'Assumptions'!$D$11*(1+'Assumptions'!$D$13)^(6-1)</x:f>
        <x:v>2462.209971019849</x:v>
      </x:c>
      <x:c r="S702" s="10" t="n">
        <x:f>IF(I702=0,0,J702*'Assumptions'!$W$84+H702*'Assumptions'!$X$84)</x:f>
        <x:v>756.4286042711982</x:v>
      </x:c>
      <x:c r="T702" s="10" t="n">
        <x:f>N702*'Assumptions'!$AA$84</x:f>
        <x:v>909.853660332866</x:v>
      </x:c>
      <x:c r="U702" s="10" t="n">
        <x:f>'Assumptions'!$AE$84*'Assumptions'!$D$11*(1+'Assumptions'!$D$13)^(6-1)</x:f>
        <x:v>0</x:v>
      </x:c>
      <x:c r="V702" s="10" t="n">
        <x:f>0</x:f>
        <x:v>0</x:v>
      </x:c>
      <x:c r="W702" s="10" t="n">
        <x:f>H702*('Assumptions'!$P$84+'Assumptions'!$Y$84)</x:f>
        <x:v>176.99366249999997</x:v>
      </x:c>
      <x:c r="X702" s="10" t="n">
        <x:f>N702/12*'Assumptions'!$AF$84</x:f>
        <x:v>0</x:v>
      </x:c>
      <x:c r="Y702" s="10" t="n">
        <x:f>P702/12</x:f>
        <x:v>0</x:v>
      </x:c>
      <x:c r="Z702" s="10" t="n">
        <x:f>0</x:f>
        <x:v>0</x:v>
      </x:c>
      <x:c r="AA702" s="10" t="n">
        <x:f>Z702*'Assumptions'!$AC$84*'Assumptions'!$D$11*(1+'Assumptions'!$D$13)^(6-1)</x:f>
        <x:v>0</x:v>
      </x:c>
      <x:c r="AB702" s="10" t="n">
        <x:f>F702/1</x:f>
        <x:v>540.4429312499999</x:v>
      </x:c>
      <x:c r="AC702" s="10" t="n">
        <x:f>AB702/'Assumptions'!$AM$84</x:f>
        <x:v>10808.858624999997</x:v>
      </x:c>
      <x:c r="AD702" s="10" t="n">
        <x:f>IF(AB702=0,0,T702/AB702)</x:f>
        <x:v>1.6835332793204447</x:v>
      </x:c>
      <x:c r="AE702" s="10" t="n">
        <x:f>AA702*'Assumptions'!$D$21</x:f>
        <x:v>0</x:v>
      </x:c>
    </x:row>
    <x:row r="703" ht="16" customHeight="1">
      <x:c r="A703" s="1"/>
      <x:c r="B703" s="1"/>
      <x:c r="C703" s="1" t="str">
        <x:v>DOT-056</x:v>
      </x:c>
      <x:c r="D703" s="10" t="str">
        <x:v>VraiSkill teen</x:v>
      </x:c>
      <x:c r="E703" s="10" t="n">
        <x:v>6</x:v>
      </x:c>
      <x:c r="F703" s="21" t="n">
        <x:f>F575*(1+'Assumptions'!$M$85)</x:f>
        <x:v>540.4429312499999</x:v>
      </x:c>
      <x:c r="G703" s="21" t="n">
        <x:f>H575*'Assumptions'!$K$85</x:f>
        <x:v>167.43406249999995</x:v>
      </x:c>
      <x:c r="H703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703+G703,NA())</x:f>
        <x:v>707.8769937499999</x:v>
      </x:c>
      <x:c r="I703" s="22" t="n">
        <x:f>'Assumptions'!$H$85*IF('Assumptions'!$O$85=1,1,'Assumptions'!$D$10)*(1+'Assumptions'!$N$85)^(6-1)</x:f>
        <x:v>26.4979392768</x:v>
      </x:c>
      <x:c r="J703" s="10" t="n">
        <x:f>H703*I703</x:f>
        <x:v>18757.28159583123</x:v>
      </x:c>
      <x:c r="K703" s="10" t="n">
        <x:f>J703*'Assumptions'!$T$85</x:f>
        <x:v>18757.28159583123</x:v>
      </x:c>
      <x:c r="L703" s="10" t="n">
        <x:f>K703*'Assumptions'!$U$85</x:f>
        <x:v>562.7184478749369</x:v>
      </x:c>
      <x:c r="M703" s="10" t="n">
        <x:f>K703*'Assumptions'!$V$85</x:f>
        <x:v>0</x:v>
      </x:c>
      <x:c r="N703" s="10" t="n">
        <x:f>K703-L703-M703</x:f>
        <x:v>18194.563147956294</x:v>
      </x:c>
      <x:c r="O703" s="10" t="n">
        <x:f>H703*'Assumptions'!$P$85*'Assumptions'!$Q$85*'Assumptions'!$D$11*(1+'Assumptions'!$D$13)^(6-1)</x:f>
        <x:v>4308.273094900939</x:v>
      </x:c>
      <x:c r="P703" s="10" t="n">
        <x:f>H703*'Assumptions'!$R$85*'Assumptions'!$D$11*(1+'Assumptions'!$D$13)^(6-1)</x:f>
        <x:v>0</x:v>
      </x:c>
      <x:c r="Q703" s="10" t="n">
        <x:f>J703*'Assumptions'!$S$85</x:f>
        <x:v>0</x:v>
      </x:c>
      <x:c r="R703" s="10" t="n">
        <x:f>H703*'Assumptions'!$Y$85*'Assumptions'!$Z$85*'Assumptions'!$D$11*(1+'Assumptions'!$D$13)^(6-1)</x:f>
        <x:v>2461.870339943394</x:v>
      </x:c>
      <x:c r="S703" s="10" t="n">
        <x:f>IF(I703=0,0,J703*'Assumptions'!$W$85+H703*'Assumptions'!$X$85)</x:f>
        <x:v>756.3242644041057</x:v>
      </x:c>
      <x:c r="T703" s="10" t="n">
        <x:f>N703*'Assumptions'!$AA$85</x:f>
        <x:v>909.7281573978148</x:v>
      </x:c>
      <x:c r="U703" s="10" t="n">
        <x:f>'Assumptions'!$AE$85*'Assumptions'!$D$11*(1+'Assumptions'!$D$13)^(6-1)</x:f>
        <x:v>278.225777832</x:v>
      </x:c>
      <x:c r="V703" s="10" t="n">
        <x:f>0</x:f>
        <x:v>0</x:v>
      </x:c>
      <x:c r="W703" s="10" t="n">
        <x:f>H703*('Assumptions'!$P$85+'Assumptions'!$Y$85)</x:f>
        <x:v>176.96924843749997</x:v>
      </x:c>
      <x:c r="X703" s="10" t="n">
        <x:f>N703/12*'Assumptions'!$AF$85</x:f>
        <x:v>0</x:v>
      </x:c>
      <x:c r="Y703" s="10" t="n">
        <x:f>P703/12</x:f>
        <x:v>0</x:v>
      </x:c>
      <x:c r="Z703" s="10" t="n">
        <x:f>0</x:f>
        <x:v>0</x:v>
      </x:c>
      <x:c r="AA703" s="10" t="n">
        <x:f>Z703*'Assumptions'!$AC$85*'Assumptions'!$D$11*(1+'Assumptions'!$D$13)^(6-1)</x:f>
        <x:v>0</x:v>
      </x:c>
      <x:c r="AB703" s="10" t="n">
        <x:f>F703/1</x:f>
        <x:v>540.4429312499999</x:v>
      </x:c>
      <x:c r="AC703" s="10" t="n">
        <x:f>AB703/'Assumptions'!$AM$85</x:f>
        <x:v>10808.858624999997</x:v>
      </x:c>
      <x:c r="AD703" s="10" t="n">
        <x:f>IF(AB703=0,0,T703/AB703)</x:f>
        <x:v>1.6833010569565388</x:v>
      </x:c>
      <x:c r="AE703" s="10" t="n">
        <x:f>AA703*'Assumptions'!$D$21</x:f>
        <x:v>0</x:v>
      </x:c>
    </x:row>
    <x:row r="704" ht="16" customHeight="1">
      <x:c r="A704" s="1"/>
      <x:c r="B704" s="1"/>
      <x:c r="C704" s="1" t="str">
        <x:v>DOT-057</x:v>
      </x:c>
      <x:c r="D704" s="10" t="str">
        <x:v>VraiSkill Model Life</x:v>
      </x:c>
      <x:c r="E704" s="10" t="n">
        <x:v>6</x:v>
      </x:c>
      <x:c r="F704" s="21" t="n">
        <x:f>F576*(1+'Assumptions'!$M$86)</x:f>
        <x:v>0</x:v>
      </x:c>
      <x:c r="G704" s="21" t="n">
        <x:f>H576*'Assumptions'!$K$86</x:f>
        <x:v>0</x:v>
      </x:c>
      <x:c r="H704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704+G704,NA())</x:f>
        <x:v>0</x:v>
      </x:c>
      <x:c r="I704" s="22" t="n">
        <x:f>'Assumptions'!$H$86*IF('Assumptions'!$O$86=1,1,'Assumptions'!$D$10)*(1+'Assumptions'!$N$86)^(6-1)</x:f>
        <x:v>0</x:v>
      </x:c>
      <x:c r="J704" s="10" t="n">
        <x:f>H704*I704</x:f>
        <x:v>0</x:v>
      </x:c>
      <x:c r="K704" s="10" t="n">
        <x:f>J704*'Assumptions'!$T$86</x:f>
        <x:v>0</x:v>
      </x:c>
      <x:c r="L704" s="10" t="n">
        <x:f>K704*'Assumptions'!$U$86</x:f>
        <x:v>0</x:v>
      </x:c>
      <x:c r="M704" s="10" t="n">
        <x:f>K704*'Assumptions'!$V$86</x:f>
        <x:v>0</x:v>
      </x:c>
      <x:c r="N704" s="10" t="n">
        <x:f>K704-L704-M704</x:f>
        <x:v>0</x:v>
      </x:c>
      <x:c r="O704" s="10" t="n">
        <x:f>H704*'Assumptions'!$P$86*'Assumptions'!$Q$86*'Assumptions'!$D$11*(1+'Assumptions'!$D$13)^(6-1)</x:f>
        <x:v>0</x:v>
      </x:c>
      <x:c r="P704" s="10" t="n">
        <x:f>H704*'Assumptions'!$R$86*'Assumptions'!$D$11*(1+'Assumptions'!$D$13)^(6-1)</x:f>
        <x:v>0</x:v>
      </x:c>
      <x:c r="Q704" s="10" t="n">
        <x:f>J704*'Assumptions'!$S$86</x:f>
        <x:v>0</x:v>
      </x:c>
      <x:c r="R704" s="10" t="n">
        <x:f>H704*'Assumptions'!$Y$86*'Assumptions'!$Z$86*'Assumptions'!$D$11*(1+'Assumptions'!$D$13)^(6-1)</x:f>
        <x:v>0</x:v>
      </x:c>
      <x:c r="S704" s="10" t="n">
        <x:f>IF(I704=0,0,J704*'Assumptions'!$W$86+H704*'Assumptions'!$X$86)</x:f>
        <x:v>0</x:v>
      </x:c>
      <x:c r="T704" s="10" t="n">
        <x:f>N704*'Assumptions'!$AA$86</x:f>
        <x:v>0</x:v>
      </x:c>
      <x:c r="U704" s="10" t="n">
        <x:f>'Assumptions'!$AE$86*'Assumptions'!$D$11*(1+'Assumptions'!$D$13)^(6-1)</x:f>
        <x:v>0</x:v>
      </x:c>
      <x:c r="V704" s="10" t="n">
        <x:f>0</x:f>
        <x:v>0</x:v>
      </x:c>
      <x:c r="W704" s="10" t="n">
        <x:f>H704*('Assumptions'!$P$86+'Assumptions'!$Y$86)</x:f>
        <x:v>0</x:v>
      </x:c>
      <x:c r="X704" s="10" t="n">
        <x:f>N704/12*'Assumptions'!$AF$86</x:f>
        <x:v>0</x:v>
      </x:c>
      <x:c r="Y704" s="10" t="n">
        <x:f>P704/12</x:f>
        <x:v>0</x:v>
      </x:c>
      <x:c r="Z704" s="10" t="n">
        <x:f>0</x:f>
        <x:v>0</x:v>
      </x:c>
      <x:c r="AA704" s="10" t="n">
        <x:f>Z704*'Assumptions'!$AC$86*'Assumptions'!$D$11*(1+'Assumptions'!$D$13)^(6-1)</x:f>
        <x:v>0</x:v>
      </x:c>
      <x:c r="AB704" s="10" t="n">
        <x:f>F704/1</x:f>
        <x:v>0</x:v>
      </x:c>
      <x:c r="AC704" s="10" t="n">
        <x:f>AB704/'Assumptions'!$AM$86</x:f>
        <x:v>0</x:v>
      </x:c>
      <x:c r="AD704" s="10" t="n">
        <x:f>IF(AB704=0,0,T704/AB704)</x:f>
        <x:v>0</x:v>
      </x:c>
      <x:c r="AE704" s="10" t="n">
        <x:f>AA704*'Assumptions'!$D$21</x:f>
        <x:v>0</x:v>
      </x:c>
    </x:row>
    <x:row r="705" ht="16" customHeight="1">
      <x:c r="A705" s="1"/>
      <x:c r="B705" s="1"/>
      <x:c r="C705" s="1" t="str">
        <x:v>DOT-058</x:v>
      </x:c>
      <x:c r="D705" s="10" t="str">
        <x:v>Model Life</x:v>
      </x:c>
      <x:c r="E705" s="10" t="n">
        <x:v>6</x:v>
      </x:c>
      <x:c r="F705" s="21" t="n">
        <x:f>F577*(1+'Assumptions'!$M$87)</x:f>
        <x:v>307.55635200000006</x:v>
      </x:c>
      <x:c r="G705" s="21" t="n">
        <x:f>H577*'Assumptions'!$K$87</x:f>
        <x:v>483.89712</x:v>
      </x:c>
      <x:c r="H705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705+G705,NA())</x:f>
        <x:v>791.453472</x:v>
      </x:c>
      <x:c r="I705" s="22" t="n">
        <x:f>'Assumptions'!$H$87*IF('Assumptions'!$O$87=1,1,'Assumptions'!$D$10)*(1+'Assumptions'!$N$87)^(6-1)</x:f>
        <x:v>16.561212048</x:v>
      </x:c>
      <x:c r="J705" s="10" t="n">
        <x:f>H705*I705</x:f>
        <x:v>13107.428775917833</x:v>
      </x:c>
      <x:c r="K705" s="10" t="n">
        <x:f>J705*'Assumptions'!$T$87</x:f>
        <x:v>13107.428775917833</x:v>
      </x:c>
      <x:c r="L705" s="10" t="n">
        <x:f>K705*'Assumptions'!$U$87</x:f>
        <x:v>393.222863277535</x:v>
      </x:c>
      <x:c r="M705" s="10" t="n">
        <x:f>K705*'Assumptions'!$V$87</x:f>
        <x:v>0</x:v>
      </x:c>
      <x:c r="N705" s="10" t="n">
        <x:f>K705-L705-M705</x:f>
        <x:v>12714.205912640298</x:v>
      </x:c>
      <x:c r="O705" s="10" t="n">
        <x:f>H705*'Assumptions'!$P$87*'Assumptions'!$Q$87*'Assumptions'!$D$11*(1+'Assumptions'!$D$13)^(6-1)</x:f>
        <x:v>3211.2902188651237</x:v>
      </x:c>
      <x:c r="P705" s="10" t="n">
        <x:f>H705*'Assumptions'!$R$87*'Assumptions'!$D$11*(1+'Assumptions'!$D$13)^(6-1)</x:f>
        <x:v>0</x:v>
      </x:c>
      <x:c r="Q705" s="10" t="n">
        <x:f>J705*'Assumptions'!$S$87</x:f>
        <x:v>0</x:v>
      </x:c>
      <x:c r="R705" s="10" t="n">
        <x:f>H705*'Assumptions'!$Y$87*'Assumptions'!$Z$87*'Assumptions'!$D$11*(1+'Assumptions'!$D$13)^(6-1)</x:f>
        <x:v>4128.801709969445</x:v>
      </x:c>
      <x:c r="S705" s="10" t="n">
        <x:f>IF(I705=0,0,J705*'Assumptions'!$W$87+H705*'Assumptions'!$X$87)</x:f>
        <x:v>617.5514761016173</x:v>
      </x:c>
      <x:c r="T705" s="10" t="n">
        <x:f>N705*'Assumptions'!$AA$87</x:f>
        <x:v>635.710295632015</x:v>
      </x:c>
      <x:c r="U705" s="10" t="n">
        <x:f>'Assumptions'!$AE$87*'Assumptions'!$D$11*(1+'Assumptions'!$D$13)^(6-1)</x:f>
        <x:v>69.556444458</x:v>
      </x:c>
      <x:c r="V705" s="10" t="n">
        <x:f>0</x:f>
        <x:v>0</x:v>
      </x:c>
      <x:c r="W705" s="10" t="n">
        <x:f>H705*('Assumptions'!$P$87+'Assumptions'!$Y$87)</x:f>
        <x:v>197.863368</x:v>
      </x:c>
      <x:c r="X705" s="10" t="n">
        <x:f>N705/12*'Assumptions'!$AF$87</x:f>
        <x:v>0</x:v>
      </x:c>
      <x:c r="Y705" s="10" t="n">
        <x:f>P705/12</x:f>
        <x:v>0</x:v>
      </x:c>
      <x:c r="Z705" s="10" t="n">
        <x:f>0</x:f>
        <x:v>0</x:v>
      </x:c>
      <x:c r="AA705" s="10" t="n">
        <x:f>Z705*'Assumptions'!$AC$87*'Assumptions'!$D$11*(1+'Assumptions'!$D$13)^(6-1)</x:f>
        <x:v>0</x:v>
      </x:c>
      <x:c r="AB705" s="10" t="n">
        <x:f>F705/12</x:f>
        <x:v>25.629696000000006</x:v>
      </x:c>
      <x:c r="AC705" s="10" t="n">
        <x:f>AB705/'Assumptions'!$AM$87</x:f>
        <x:v>512.5939200000001</x:v>
      </x:c>
      <x:c r="AD705" s="10" t="n">
        <x:f>IF(AB705=0,0,T705/AB705)</x:f>
        <x:v>24.80366117616123</x:v>
      </x:c>
      <x:c r="AE705" s="10" t="n">
        <x:f>AA705*'Assumptions'!$D$21</x:f>
        <x:v>0</x:v>
      </x:c>
    </x:row>
    <x:row r="706" ht="16" customHeight="1">
      <x:c r="A706" s="1"/>
      <x:c r="B706" s="1"/>
      <x:c r="C706" s="1" t="str">
        <x:v>DOT-059</x:v>
      </x:c>
      <x:c r="D706" s="10" t="str">
        <x:v>Model Life</x:v>
      </x:c>
      <x:c r="E706" s="10" t="n">
        <x:v>6</x:v>
      </x:c>
      <x:c r="F706" s="21" t="n">
        <x:f>F578*(1+'Assumptions'!$M$88)</x:f>
        <x:v>76.88908800000002</x:v>
      </x:c>
      <x:c r="G706" s="21" t="n">
        <x:f>H578*'Assumptions'!$K$88</x:f>
        <x:v>120.97428</x:v>
      </x:c>
      <x:c r="H706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706+G706,NA())</x:f>
        <x:v>197.863368</x:v>
      </x:c>
      <x:c r="I706" s="22" t="n">
        <x:f>'Assumptions'!$H$88*IF('Assumptions'!$O$88=1,1,'Assumptions'!$D$10)*(1+'Assumptions'!$N$88)^(6-1)</x:f>
        <x:v>87.2223834528</x:v>
      </x:c>
      <x:c r="J706" s="10" t="n">
        <x:f>H706*I706</x:f>
        <x:v>17258.11455495848</x:v>
      </x:c>
      <x:c r="K706" s="10" t="n">
        <x:f>J706*'Assumptions'!$T$88</x:f>
        <x:v>17258.11455495848</x:v>
      </x:c>
      <x:c r="L706" s="10" t="n">
        <x:f>K706*'Assumptions'!$U$88</x:f>
        <x:v>517.7434366487544</x:v>
      </x:c>
      <x:c r="M706" s="10" t="n">
        <x:f>K706*'Assumptions'!$V$88</x:f>
        <x:v>0</x:v>
      </x:c>
      <x:c r="N706" s="10" t="n">
        <x:f>K706-L706-M706</x:f>
        <x:v>16740.371118309726</x:v>
      </x:c>
      <x:c r="O706" s="10" t="n">
        <x:f>H706*'Assumptions'!$P$88*'Assumptions'!$Q$88*'Assumptions'!$D$11*(1+'Assumptions'!$D$13)^(6-1)</x:f>
        <x:v>802.8225547162809</x:v>
      </x:c>
      <x:c r="P706" s="10" t="n">
        <x:f>H706*'Assumptions'!$R$88*'Assumptions'!$D$11*(1+'Assumptions'!$D$13)^(6-1)</x:f>
        <x:v>0</x:v>
      </x:c>
      <x:c r="Q706" s="10" t="n">
        <x:f>J706*'Assumptions'!$S$88</x:f>
        <x:v>0</x:v>
      </x:c>
      <x:c r="R706" s="10" t="n">
        <x:f>H706*'Assumptions'!$Y$88*'Assumptions'!$Z$88*'Assumptions'!$D$11*(1+'Assumptions'!$D$13)^(6-1)</x:f>
        <x:v>1032.2004274923613</x:v>
      </x:c>
      <x:c r="S706" s="10" t="n">
        <x:f>IF(I706=0,0,J706*'Assumptions'!$W$88+H706*'Assumptions'!$X$88)</x:f>
        <x:v>559.844332493796</x:v>
      </x:c>
      <x:c r="T706" s="10" t="n">
        <x:f>N706*'Assumptions'!$AA$88</x:f>
        <x:v>837.0185559154863</x:v>
      </x:c>
      <x:c r="U706" s="10" t="n">
        <x:f>'Assumptions'!$AE$88*'Assumptions'!$D$11*(1+'Assumptions'!$D$13)^(6-1)</x:f>
        <x:v>69.556444458</x:v>
      </x:c>
      <x:c r="V706" s="10" t="n">
        <x:f>0</x:f>
        <x:v>0</x:v>
      </x:c>
      <x:c r="W706" s="10" t="n">
        <x:f>H706*('Assumptions'!$P$88+'Assumptions'!$Y$88)</x:f>
        <x:v>49.465842</x:v>
      </x:c>
      <x:c r="X706" s="10" t="n">
        <x:f>N706/12*'Assumptions'!$AF$88</x:f>
        <x:v>0</x:v>
      </x:c>
      <x:c r="Y706" s="10" t="n">
        <x:f>P706/12</x:f>
        <x:v>0</x:v>
      </x:c>
      <x:c r="Z706" s="10" t="n">
        <x:f>0</x:f>
        <x:v>0</x:v>
      </x:c>
      <x:c r="AA706" s="10" t="n">
        <x:f>Z706*'Assumptions'!$AC$88*'Assumptions'!$D$11*(1+'Assumptions'!$D$13)^(6-1)</x:f>
        <x:v>0</x:v>
      </x:c>
      <x:c r="AB706" s="10" t="n">
        <x:f>F706/12</x:f>
        <x:v>6.407424000000002</x:v>
      </x:c>
      <x:c r="AC706" s="10" t="n">
        <x:f>AB706/'Assumptions'!$AM$88</x:f>
        <x:v>128.14848000000003</x:v>
      </x:c>
      <x:c r="AD706" s="10" t="n">
        <x:f>IF(AB706=0,0,T706/AB706)</x:f>
        <x:v>130.6326155277825</x:v>
      </x:c>
      <x:c r="AE706" s="10" t="n">
        <x:f>AA706*'Assumptions'!$D$21</x:f>
        <x:v>0</x:v>
      </x:c>
    </x:row>
    <x:row r="707" ht="16" customHeight="1">
      <x:c r="A707" s="1"/>
      <x:c r="B707" s="1"/>
      <x:c r="C707" s="1" t="str">
        <x:v>DOT-060</x:v>
      </x:c>
      <x:c r="D707" s="10" t="str">
        <x:v>Model Life</x:v>
      </x:c>
      <x:c r="E707" s="10" t="n">
        <x:v>6</x:v>
      </x:c>
      <x:c r="F707" s="21" t="n">
        <x:f>F579*(1+'Assumptions'!$M$89)</x:f>
        <x:v>76.88908800000002</x:v>
      </x:c>
      <x:c r="G707" s="21" t="n">
        <x:f>H579*'Assumptions'!$K$89</x:f>
        <x:v>120.97428</x:v>
      </x:c>
      <x:c r="H707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707+G707,NA())</x:f>
        <x:v>197.863368</x:v>
      </x:c>
      <x:c r="I707" s="22" t="n">
        <x:f>'Assumptions'!$H$89*IF('Assumptions'!$O$89=1,1,'Assumptions'!$D$10)*(1+'Assumptions'!$N$89)^(6-1)</x:f>
        <x:v>65.1407673888</x:v>
      </x:c>
      <x:c r="J707" s="10" t="n">
        <x:f>H707*I707</x:f>
        <x:v>12888.971629652535</x:v>
      </x:c>
      <x:c r="K707" s="10" t="n">
        <x:f>J707*'Assumptions'!$T$89</x:f>
        <x:v>12888.971629652535</x:v>
      </x:c>
      <x:c r="L707" s="10" t="n">
        <x:f>K707*'Assumptions'!$U$89</x:f>
        <x:v>386.66914888957604</x:v>
      </x:c>
      <x:c r="M707" s="10" t="n">
        <x:f>K707*'Assumptions'!$V$89</x:f>
        <x:v>0</x:v>
      </x:c>
      <x:c r="N707" s="10" t="n">
        <x:f>K707-L707-M707</x:f>
        <x:v>12502.302480762959</x:v>
      </x:c>
      <x:c r="O707" s="10" t="n">
        <x:f>H707*'Assumptions'!$P$89*'Assumptions'!$Q$89*'Assumptions'!$D$11*(1+'Assumptions'!$D$13)^(6-1)</x:f>
        <x:v>802.8225547162809</x:v>
      </x:c>
      <x:c r="P707" s="10" t="n">
        <x:f>H707*'Assumptions'!$R$89*'Assumptions'!$D$11*(1+'Assumptions'!$D$13)^(6-1)</x:f>
        <x:v>0</x:v>
      </x:c>
      <x:c r="Q707" s="10" t="n">
        <x:f>J707*'Assumptions'!$S$89</x:f>
        <x:v>0</x:v>
      </x:c>
      <x:c r="R707" s="10" t="n">
        <x:f>H707*'Assumptions'!$Y$89*'Assumptions'!$Z$89*'Assumptions'!$D$11*(1+'Assumptions'!$D$13)^(6-1)</x:f>
        <x:v>1032.2004274923613</x:v>
      </x:c>
      <x:c r="S707" s="10" t="n">
        <x:f>IF(I707=0,0,J707*'Assumptions'!$W$89+H707*'Assumptions'!$X$89)</x:f>
        <x:v>433.1391876599235</x:v>
      </x:c>
      <x:c r="T707" s="10" t="n">
        <x:f>N707*'Assumptions'!$AA$89</x:f>
        <x:v>625.115124038148</x:v>
      </x:c>
      <x:c r="U707" s="10" t="n">
        <x:f>'Assumptions'!$AE$89*'Assumptions'!$D$11*(1+'Assumptions'!$D$13)^(6-1)</x:f>
        <x:v>69.556444458</x:v>
      </x:c>
      <x:c r="V707" s="10" t="n">
        <x:f>0</x:f>
        <x:v>0</x:v>
      </x:c>
      <x:c r="W707" s="10" t="n">
        <x:f>H707*('Assumptions'!$P$89+'Assumptions'!$Y$89)</x:f>
        <x:v>49.465842</x:v>
      </x:c>
      <x:c r="X707" s="10" t="n">
        <x:f>N707/12*'Assumptions'!$AF$89</x:f>
        <x:v>0</x:v>
      </x:c>
      <x:c r="Y707" s="10" t="n">
        <x:f>P707/12</x:f>
        <x:v>0</x:v>
      </x:c>
      <x:c r="Z707" s="10" t="n">
        <x:f>0</x:f>
        <x:v>0</x:v>
      </x:c>
      <x:c r="AA707" s="10" t="n">
        <x:f>Z707*'Assumptions'!$AC$89*'Assumptions'!$D$11*(1+'Assumptions'!$D$13)^(6-1)</x:f>
        <x:v>0</x:v>
      </x:c>
      <x:c r="AB707" s="10" t="n">
        <x:f>F707/12</x:f>
        <x:v>6.407424000000002</x:v>
      </x:c>
      <x:c r="AC707" s="10" t="n">
        <x:f>AB707/'Assumptions'!$AM$89</x:f>
        <x:v>128.14848000000003</x:v>
      </x:c>
      <x:c r="AD707" s="10" t="n">
        <x:f>IF(AB707=0,0,T707/AB707)</x:f>
        <x:v>97.56106729290083</x:v>
      </x:c>
      <x:c r="AE707" s="10" t="n">
        <x:f>AA707*'Assumptions'!$D$21</x:f>
        <x:v>0</x:v>
      </x:c>
    </x:row>
    <x:row r="708" ht="16" customHeight="1">
      <x:c r="A708" s="1"/>
      <x:c r="B708" s="1"/>
      <x:c r="C708" s="1" t="str">
        <x:v>DOT-061</x:v>
      </x:c>
      <x:c r="D708" s="10" t="str">
        <x:v>Model Life</x:v>
      </x:c>
      <x:c r="E708" s="10" t="n">
        <x:v>6</x:v>
      </x:c>
      <x:c r="F708" s="21" t="n">
        <x:f>F580*(1+'Assumptions'!$M$90)</x:f>
        <x:v>38.44454400000001</x:v>
      </x:c>
      <x:c r="G708" s="21" t="n">
        <x:f>H580*'Assumptions'!$K$90</x:f>
        <x:v>60.48714</x:v>
      </x:c>
      <x:c r="H708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708+G708,NA())</x:f>
        <x:v>98.931684</x:v>
      </x:c>
      <x:c r="I708" s="22" t="n">
        <x:f>'Assumptions'!$H$90*IF('Assumptions'!$O$90=1,1,'Assumptions'!$D$10)*(1+'Assumptions'!$N$90)^(6-1)</x:f>
        <x:v>109.3039995168</x:v>
      </x:c>
      <x:c r="J708" s="10" t="n">
        <x:f>H708*I708</x:f>
        <x:v>10813.628740132212</x:v>
      </x:c>
      <x:c r="K708" s="10" t="n">
        <x:f>J708*'Assumptions'!$T$90</x:f>
        <x:v>10813.628740132212</x:v>
      </x:c>
      <x:c r="L708" s="10" t="n">
        <x:f>K708*'Assumptions'!$U$90</x:f>
        <x:v>324.40886220396635</x:v>
      </x:c>
      <x:c r="M708" s="10" t="n">
        <x:f>K708*'Assumptions'!$V$90</x:f>
        <x:v>0</x:v>
      </x:c>
      <x:c r="N708" s="10" t="n">
        <x:f>K708-L708-M708</x:f>
        <x:v>10489.219877928244</x:v>
      </x:c>
      <x:c r="O708" s="10" t="n">
        <x:f>H708*'Assumptions'!$P$90*'Assumptions'!$Q$90*'Assumptions'!$D$11*(1+'Assumptions'!$D$13)^(6-1)</x:f>
        <x:v>401.41127735814047</x:v>
      </x:c>
      <x:c r="P708" s="10" t="n">
        <x:f>H708*'Assumptions'!$R$90*'Assumptions'!$D$11*(1+'Assumptions'!$D$13)^(6-1)</x:f>
        <x:v>0</x:v>
      </x:c>
      <x:c r="Q708" s="10" t="n">
        <x:f>J708*'Assumptions'!$S$90</x:f>
        <x:v>0</x:v>
      </x:c>
      <x:c r="R708" s="10" t="n">
        <x:f>H708*'Assumptions'!$Y$90*'Assumptions'!$Z$90*'Assumptions'!$D$11*(1+'Assumptions'!$D$13)^(6-1)</x:f>
        <x:v>516.1002137461807</x:v>
      </x:c>
      <x:c r="S708" s="10" t="n">
        <x:f>IF(I708=0,0,J708*'Assumptions'!$W$90+H708*'Assumptions'!$X$90)</x:f>
        <x:v>343.27473866383417</x:v>
      </x:c>
      <x:c r="T708" s="10" t="n">
        <x:f>N708*'Assumptions'!$AA$90</x:f>
        <x:v>524.4609938964122</x:v>
      </x:c>
      <x:c r="U708" s="10" t="n">
        <x:f>'Assumptions'!$AE$90*'Assumptions'!$D$11*(1+'Assumptions'!$D$13)^(6-1)</x:f>
        <x:v>69.556444458</x:v>
      </x:c>
      <x:c r="V708" s="10" t="n">
        <x:f>0</x:f>
        <x:v>0</x:v>
      </x:c>
      <x:c r="W708" s="10" t="n">
        <x:f>H708*('Assumptions'!$P$90+'Assumptions'!$Y$90)</x:f>
        <x:v>24.732921</x:v>
      </x:c>
      <x:c r="X708" s="10" t="n">
        <x:f>N708/12*'Assumptions'!$AF$90</x:f>
        <x:v>0</x:v>
      </x:c>
      <x:c r="Y708" s="10" t="n">
        <x:f>P708/12</x:f>
        <x:v>0</x:v>
      </x:c>
      <x:c r="Z708" s="10" t="n">
        <x:f>0</x:f>
        <x:v>0</x:v>
      </x:c>
      <x:c r="AA708" s="10" t="n">
        <x:f>Z708*'Assumptions'!$AC$90*'Assumptions'!$D$11*(1+'Assumptions'!$D$13)^(6-1)</x:f>
        <x:v>0</x:v>
      </x:c>
      <x:c r="AB708" s="10" t="n">
        <x:f>F708/12</x:f>
        <x:v>3.203712000000001</x:v>
      </x:c>
      <x:c r="AC708" s="10" t="n">
        <x:f>AB708/'Assumptions'!$AM$90</x:f>
        <x:v>64.07424000000002</x:v>
      </x:c>
      <x:c r="AD708" s="10" t="n">
        <x:f>IF(AB708=0,0,T708/AB708)</x:f>
        <x:v>163.70416376266408</x:v>
      </x:c>
      <x:c r="AE708" s="10" t="n">
        <x:f>AA708*'Assumptions'!$D$21</x:f>
        <x:v>0</x:v>
      </x:c>
    </x:row>
    <x:row r="709" ht="16" customHeight="1">
      <x:c r="A709" s="1"/>
      <x:c r="B709" s="1"/>
      <x:c r="C709" s="1" t="str">
        <x:v>DOT-062</x:v>
      </x:c>
      <x:c r="D709" s="10" t="str">
        <x:v>Model Life</x:v>
      </x:c>
      <x:c r="E709" s="10" t="n">
        <x:v>6</x:v>
      </x:c>
      <x:c r="F709" s="21" t="n">
        <x:f>F581*(1+'Assumptions'!$M$91)</x:f>
        <x:v>38.44454400000001</x:v>
      </x:c>
      <x:c r="G709" s="21" t="n">
        <x:f>H581*'Assumptions'!$K$91</x:f>
        <x:v>60.48714</x:v>
      </x:c>
      <x:c r="H709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709+G709,NA())</x:f>
        <x:v>98.931684</x:v>
      </x:c>
      <x:c r="I709" s="22" t="n">
        <x:f>'Assumptions'!$H$91*IF('Assumptions'!$O$91=1,1,'Assumptions'!$D$10)*(1+'Assumptions'!$N$91)^(6-1)</x:f>
        <x:v>54.0999593568</x:v>
      </x:c>
      <x:c r="J709" s="10" t="n">
        <x:f>H709*I709</x:f>
        <x:v>5352.200083499781</x:v>
      </x:c>
      <x:c r="K709" s="10" t="n">
        <x:f>J709*'Assumptions'!$T$91</x:f>
        <x:v>5352.200083499781</x:v>
      </x:c>
      <x:c r="L709" s="10" t="n">
        <x:f>K709*'Assumptions'!$U$91</x:f>
        <x:v>160.5660025049934</x:v>
      </x:c>
      <x:c r="M709" s="10" t="n">
        <x:f>K709*'Assumptions'!$V$91</x:f>
        <x:v>0</x:v>
      </x:c>
      <x:c r="N709" s="10" t="n">
        <x:f>K709-L709-M709</x:f>
        <x:v>5191.634080994787</x:v>
      </x:c>
      <x:c r="O709" s="10" t="n">
        <x:f>H709*'Assumptions'!$P$91*'Assumptions'!$Q$91*'Assumptions'!$D$11*(1+'Assumptions'!$D$13)^(6-1)</x:f>
        <x:v>401.41127735814047</x:v>
      </x:c>
      <x:c r="P709" s="10" t="n">
        <x:f>H709*'Assumptions'!$R$91*'Assumptions'!$D$11*(1+'Assumptions'!$D$13)^(6-1)</x:f>
        <x:v>0</x:v>
      </x:c>
      <x:c r="Q709" s="10" t="n">
        <x:f>J709*'Assumptions'!$S$91</x:f>
        <x:v>0</x:v>
      </x:c>
      <x:c r="R709" s="10" t="n">
        <x:f>H709*'Assumptions'!$Y$91*'Assumptions'!$Z$91*'Assumptions'!$D$11*(1+'Assumptions'!$D$13)^(6-1)</x:f>
        <x:v>516.1002137461807</x:v>
      </x:c>
      <x:c r="S709" s="10" t="n">
        <x:f>IF(I709=0,0,J709*'Assumptions'!$W$91+H709*'Assumptions'!$X$91)</x:f>
        <x:v>184.89330762149365</x:v>
      </x:c>
      <x:c r="T709" s="10" t="n">
        <x:f>N709*'Assumptions'!$AA$91</x:f>
        <x:v>259.58170404973936</x:v>
      </x:c>
      <x:c r="U709" s="10" t="n">
        <x:f>'Assumptions'!$AE$91*'Assumptions'!$D$11*(1+'Assumptions'!$D$13)^(6-1)</x:f>
        <x:v>69.556444458</x:v>
      </x:c>
      <x:c r="V709" s="10" t="n">
        <x:f>0</x:f>
        <x:v>0</x:v>
      </x:c>
      <x:c r="W709" s="10" t="n">
        <x:f>H709*('Assumptions'!$P$91+'Assumptions'!$Y$91)</x:f>
        <x:v>24.732921</x:v>
      </x:c>
      <x:c r="X709" s="10" t="n">
        <x:f>N709/12*'Assumptions'!$AF$91</x:f>
        <x:v>0</x:v>
      </x:c>
      <x:c r="Y709" s="10" t="n">
        <x:f>P709/12</x:f>
        <x:v>0</x:v>
      </x:c>
      <x:c r="Z709" s="10" t="n">
        <x:f>0</x:f>
        <x:v>0</x:v>
      </x:c>
      <x:c r="AA709" s="10" t="n">
        <x:f>Z709*'Assumptions'!$AC$91*'Assumptions'!$D$11*(1+'Assumptions'!$D$13)^(6-1)</x:f>
        <x:v>0</x:v>
      </x:c>
      <x:c r="AB709" s="10" t="n">
        <x:f>F709/12</x:f>
        <x:v>3.203712000000001</x:v>
      </x:c>
      <x:c r="AC709" s="10" t="n">
        <x:f>AB709/'Assumptions'!$AM$91</x:f>
        <x:v>64.07424000000002</x:v>
      </x:c>
      <x:c r="AD709" s="10" t="n">
        <x:f>IF(AB709=0,0,T709/AB709)</x:f>
        <x:v>81.02529317545999</x:v>
      </x:c>
      <x:c r="AE709" s="10" t="n">
        <x:f>AA709*'Assumptions'!$D$21</x:f>
        <x:v>0</x:v>
      </x:c>
    </x:row>
    <x:row r="710" ht="16" customHeight="1">
      <x:c r="A710" s="1"/>
      <x:c r="B710" s="1"/>
      <x:c r="C710" s="1" t="str">
        <x:v>DOT-063</x:v>
      </x:c>
      <x:c r="D710" s="10" t="str">
        <x:v>S’otality cleaning</x:v>
      </x:c>
      <x:c r="E710" s="10" t="n">
        <x:v>6</x:v>
      </x:c>
      <x:c r="F710" s="21" t="n">
        <x:f>F582*(1+'Assumptions'!$M$92)</x:f>
        <x:v>72.38510400000003</x:v>
      </x:c>
      <x:c r="G710" s="21" t="n">
        <x:f>H582*'Assumptions'!$K$92</x:f>
        <x:v>91.55232000000002</x:v>
      </x:c>
      <x:c r="H710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710+G710,NA())</x:f>
        <x:v>163.93742400000005</x:v>
      </x:c>
      <x:c r="I710" s="22" t="n">
        <x:f>'Assumptions'!$H$92*IF('Assumptions'!$O$92=1,1,'Assumptions'!$D$10)*(1+'Assumptions'!$N$92)^(6-1)</x:f>
        <x:v>164.5080396768</x:v>
      </x:c>
      <x:c r="J710" s="10" t="n">
        <x:f>H710*I710</x:f>
        <x:v>26969.024251904393</x:v>
      </x:c>
      <x:c r="K710" s="10" t="n">
        <x:f>J710*'Assumptions'!$T$92</x:f>
        <x:v>26969.024251904393</x:v>
      </x:c>
      <x:c r="L710" s="10" t="n">
        <x:f>K710*'Assumptions'!$U$92</x:f>
        <x:v>809.0707275571318</x:v>
      </x:c>
      <x:c r="M710" s="10" t="n">
        <x:f>K710*'Assumptions'!$V$92</x:f>
        <x:v>0</x:v>
      </x:c>
      <x:c r="N710" s="10" t="n">
        <x:f>K710-L710-M710</x:f>
        <x:v>26159.95352434726</x:v>
      </x:c>
      <x:c r="O710" s="10" t="n">
        <x:f>H710*'Assumptions'!$P$92*'Assumptions'!$Q$92*'Assumptions'!$D$11*(1+'Assumptions'!$D$13)^(6-1)</x:f>
        <x:v>665.1694190775432</x:v>
      </x:c>
      <x:c r="P710" s="10" t="n">
        <x:f>H710*'Assumptions'!$R$92*'Assumptions'!$D$11*(1+'Assumptions'!$D$13)^(6-1)</x:f>
        <x:v>1520.3872436058134</x:v>
      </x:c>
      <x:c r="Q710" s="10" t="n">
        <x:f>J710*'Assumptions'!$S$92</x:f>
        <x:v>17529.865763737856</x:v>
      </x:c>
      <x:c r="R710" s="10" t="n">
        <x:f>H710*'Assumptions'!$Y$92*'Assumptions'!$Z$92*'Assumptions'!$D$11*(1+'Assumptions'!$D$13)^(6-1)</x:f>
        <x:v>1140.29043270436</x:v>
      </x:c>
      <x:c r="S710" s="10" t="n">
        <x:f>IF(I710=0,0,J710*'Assumptions'!$W$92+H710*'Assumptions'!$X$92)</x:f>
        <x:v>831.2829305052275</x:v>
      </x:c>
      <x:c r="T710" s="10" t="n">
        <x:f>N710*'Assumptions'!$AA$92</x:f>
        <x:v>1046.3981409738903</x:v>
      </x:c>
      <x:c r="U710" s="10" t="n">
        <x:f>'Assumptions'!$AE$92*'Assumptions'!$D$11*(1+'Assumptions'!$D$13)^(6-1)</x:f>
        <x:v>0</x:v>
      </x:c>
      <x:c r="V710" s="10" t="n">
        <x:f>0</x:f>
        <x:v>0</x:v>
      </x:c>
      <x:c r="W710" s="10" t="n">
        <x:f>H710*('Assumptions'!$P$92+'Assumptions'!$Y$92)</x:f>
        <x:v>49.18122720000002</x:v>
      </x:c>
      <x:c r="X710" s="10" t="n">
        <x:f>N710/12*'Assumptions'!$AF$92</x:f>
        <x:v>0</x:v>
      </x:c>
      <x:c r="Y710" s="10" t="n">
        <x:f>P710/12</x:f>
        <x:v>126.69893696715111</x:v>
      </x:c>
      <x:c r="Z710" s="10" t="n">
        <x:f>0</x:f>
        <x:v>0</x:v>
      </x:c>
      <x:c r="AA710" s="10" t="n">
        <x:f>Z710*'Assumptions'!$AC$92*'Assumptions'!$D$11*(1+'Assumptions'!$D$13)^(6-1)</x:f>
        <x:v>0</x:v>
      </x:c>
      <x:c r="AB710" s="10" t="n">
        <x:f>F710/1</x:f>
        <x:v>72.38510400000003</x:v>
      </x:c>
      <x:c r="AC710" s="10" t="n">
        <x:f>AB710/'Assumptions'!$AM$92</x:f>
        <x:v>482.5673600000002</x:v>
      </x:c>
      <x:c r="AD710" s="10" t="n">
        <x:f>IF(AB710=0,0,T710/AB710)</x:f>
        <x:v>14.455987256354428</x:v>
      </x:c>
      <x:c r="AE710" s="10" t="n">
        <x:f>AA710*'Assumptions'!$D$21</x:f>
        <x:v>0</x:v>
      </x:c>
    </x:row>
    <x:row r="711" ht="16" customHeight="1">
      <x:c r="A711" s="1"/>
      <x:c r="B711" s="1"/>
      <x:c r="C711" s="1" t="str">
        <x:v>DOT-064</x:v>
      </x:c>
      <x:c r="D711" s="10" t="str">
        <x:v>S’otality cleaning</x:v>
      </x:c>
      <x:c r="E711" s="10" t="n">
        <x:v>6</x:v>
      </x:c>
      <x:c r="F711" s="21" t="n">
        <x:f>F583*(1+'Assumptions'!$M$93)</x:f>
        <x:v>108.57765600000002</x:v>
      </x:c>
      <x:c r="G711" s="21" t="n">
        <x:f>H583*'Assumptions'!$K$93</x:f>
        <x:v>137.32848</x:v>
      </x:c>
      <x:c r="H711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711+G711,NA())</x:f>
        <x:v>245.90613600000003</x:v>
      </x:c>
      <x:c r="I711" s="22" t="n">
        <x:f>'Assumptions'!$H$93*IF('Assumptions'!$O$93=1,1,'Assumptions'!$D$10)*(1+'Assumptions'!$N$93)^(6-1)</x:f>
        <x:v>153.4672316448</x:v>
      </x:c>
      <x:c r="J711" s="10" t="n">
        <x:f>H711*I711</x:f>
        <x:v>37738.53393638969</x:v>
      </x:c>
      <x:c r="K711" s="10" t="n">
        <x:f>J711*'Assumptions'!$T$93</x:f>
        <x:v>37738.53393638969</x:v>
      </x:c>
      <x:c r="L711" s="10" t="n">
        <x:f>K711*'Assumptions'!$U$93</x:f>
        <x:v>1132.1560180916908</x:v>
      </x:c>
      <x:c r="M711" s="10" t="n">
        <x:f>K711*'Assumptions'!$V$93</x:f>
        <x:v>0</x:v>
      </x:c>
      <x:c r="N711" s="10" t="n">
        <x:f>K711-L711-M711</x:f>
        <x:v>36606.377918298</x:v>
      </x:c>
      <x:c r="O711" s="10" t="n">
        <x:f>H711*'Assumptions'!$P$93*'Assumptions'!$Q$93*'Assumptions'!$D$11*(1+'Assumptions'!$D$13)^(6-1)</x:f>
        <x:v>997.7541286163149</x:v>
      </x:c>
      <x:c r="P711" s="10" t="n">
        <x:f>H711*'Assumptions'!$R$93*'Assumptions'!$D$11*(1+'Assumptions'!$D$13)^(6-1)</x:f>
        <x:v>2280.5808654087195</x:v>
      </x:c>
      <x:c r="Q711" s="10" t="n">
        <x:f>J711*'Assumptions'!$S$93</x:f>
        <x:v>24530.0470586533</x:v>
      </x:c>
      <x:c r="R711" s="10" t="n">
        <x:f>H711*'Assumptions'!$Y$93*'Assumptions'!$Z$93*'Assumptions'!$D$11*(1+'Assumptions'!$D$13)^(6-1)</x:f>
        <x:v>1710.43564905654</x:v>
      </x:c>
      <x:c r="S711" s="10" t="n">
        <x:f>IF(I711=0,0,J711*'Assumptions'!$W$93+H711*'Assumptions'!$X$93)</x:f>
        <x:v>1168.1893249553011</x:v>
      </x:c>
      <x:c r="T711" s="10" t="n">
        <x:f>N711*'Assumptions'!$AA$93</x:f>
        <x:v>1464.25511673192</x:v>
      </x:c>
      <x:c r="U711" s="10" t="n">
        <x:f>'Assumptions'!$AE$93*'Assumptions'!$D$11*(1+'Assumptions'!$D$13)^(6-1)</x:f>
        <x:v>0</x:v>
      </x:c>
      <x:c r="V711" s="10" t="n">
        <x:f>0</x:f>
        <x:v>0</x:v>
      </x:c>
      <x:c r="W711" s="10" t="n">
        <x:f>H711*('Assumptions'!$P$93+'Assumptions'!$Y$93)</x:f>
        <x:v>73.77184080000002</x:v>
      </x:c>
      <x:c r="X711" s="10" t="n">
        <x:f>N711/12*'Assumptions'!$AF$93</x:f>
        <x:v>0</x:v>
      </x:c>
      <x:c r="Y711" s="10" t="n">
        <x:f>P711/12</x:f>
        <x:v>190.04840545072662</x:v>
      </x:c>
      <x:c r="Z711" s="10" t="n">
        <x:f>0</x:f>
        <x:v>0</x:v>
      </x:c>
      <x:c r="AA711" s="10" t="n">
        <x:f>Z711*'Assumptions'!$AC$93*'Assumptions'!$D$11*(1+'Assumptions'!$D$13)^(6-1)</x:f>
        <x:v>0</x:v>
      </x:c>
      <x:c r="AB711" s="10" t="n">
        <x:f>F711/1</x:f>
        <x:v>108.57765600000002</x:v>
      </x:c>
      <x:c r="AC711" s="10" t="n">
        <x:f>AB711/'Assumptions'!$AM$93</x:f>
        <x:v>723.8510400000001</x:v>
      </x:c>
      <x:c r="AD711" s="10" t="n">
        <x:f>IF(AB711=0,0,T711/AB711)</x:f>
        <x:v>13.485786769350774</x:v>
      </x:c>
      <x:c r="AE711" s="10" t="n">
        <x:f>AA711*'Assumptions'!$D$21</x:f>
        <x:v>0</x:v>
      </x:c>
    </x:row>
    <x:row r="712" ht="16" customHeight="1">
      <x:c r="A712" s="1"/>
      <x:c r="B712" s="1"/>
      <x:c r="C712" s="1" t="str">
        <x:v>DOT-065</x:v>
      </x:c>
      <x:c r="D712" s="10" t="str">
        <x:v>S’otality cleaning</x:v>
      </x:c>
      <x:c r="E712" s="10" t="n">
        <x:v>6</x:v>
      </x:c>
      <x:c r="F712" s="21" t="n">
        <x:f>F584*(1+'Assumptions'!$M$94)</x:f>
        <x:v>72.38510400000003</x:v>
      </x:c>
      <x:c r="G712" s="21" t="n">
        <x:f>H584*'Assumptions'!$K$94</x:f>
        <x:v>91.55232000000002</x:v>
      </x:c>
      <x:c r="H712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712+G712,NA())</x:f>
        <x:v>163.93742400000005</x:v>
      </x:c>
      <x:c r="I712" s="22" t="n">
        <x:f>'Assumptions'!$H$94*IF('Assumptions'!$O$94=1,1,'Assumptions'!$D$10)*(1+'Assumptions'!$N$94)^(6-1)</x:f>
        <x:v>175.5488477088</x:v>
      </x:c>
      <x:c r="J712" s="10" t="n">
        <x:f>H712*I712</x:f>
        <x:v>28779.025879548983</x:v>
      </x:c>
      <x:c r="K712" s="10" t="n">
        <x:f>J712*'Assumptions'!$T$94</x:f>
        <x:v>28779.025879548983</x:v>
      </x:c>
      <x:c r="L712" s="10" t="n">
        <x:f>K712*'Assumptions'!$U$94</x:f>
        <x:v>863.3707763864694</x:v>
      </x:c>
      <x:c r="M712" s="10" t="n">
        <x:f>K712*'Assumptions'!$V$94</x:f>
        <x:v>0</x:v>
      </x:c>
      <x:c r="N712" s="10" t="n">
        <x:f>K712-L712-M712</x:f>
        <x:v>27915.655103162513</x:v>
      </x:c>
      <x:c r="O712" s="10" t="n">
        <x:f>H712*'Assumptions'!$P$94*'Assumptions'!$Q$94*'Assumptions'!$D$11*(1+'Assumptions'!$D$13)^(6-1)</x:f>
        <x:v>665.1694190775432</x:v>
      </x:c>
      <x:c r="P712" s="10" t="n">
        <x:f>H712*'Assumptions'!$R$94*'Assumptions'!$D$11*(1+'Assumptions'!$D$13)^(6-1)</x:f>
        <x:v>1520.3872436058134</x:v>
      </x:c>
      <x:c r="Q712" s="10" t="n">
        <x:f>J712*'Assumptions'!$S$94</x:f>
        <x:v>18706.36682170684</x:v>
      </x:c>
      <x:c r="R712" s="10" t="n">
        <x:f>H712*'Assumptions'!$Y$94*'Assumptions'!$Z$94*'Assumptions'!$D$11*(1+'Assumptions'!$D$13)^(6-1)</x:f>
        <x:v>1140.29043270436</x:v>
      </x:c>
      <x:c r="S712" s="10" t="n">
        <x:f>IF(I712=0,0,J712*'Assumptions'!$W$94+H712*'Assumptions'!$X$94)</x:f>
        <x:v>883.7729777069205</x:v>
      </x:c>
      <x:c r="T712" s="10" t="n">
        <x:f>N712*'Assumptions'!$AA$94</x:f>
        <x:v>1116.6262041265006</x:v>
      </x:c>
      <x:c r="U712" s="10" t="n">
        <x:f>'Assumptions'!$AE$94*'Assumptions'!$D$11*(1+'Assumptions'!$D$13)^(6-1)</x:f>
        <x:v>0</x:v>
      </x:c>
      <x:c r="V712" s="10" t="n">
        <x:f>0</x:f>
        <x:v>0</x:v>
      </x:c>
      <x:c r="W712" s="10" t="n">
        <x:f>H712*('Assumptions'!$P$94+'Assumptions'!$Y$94)</x:f>
        <x:v>49.18122720000002</x:v>
      </x:c>
      <x:c r="X712" s="10" t="n">
        <x:f>N712/12*'Assumptions'!$AF$94</x:f>
        <x:v>0</x:v>
      </x:c>
      <x:c r="Y712" s="10" t="n">
        <x:f>P712/12</x:f>
        <x:v>126.69893696715111</x:v>
      </x:c>
      <x:c r="Z712" s="10" t="n">
        <x:f>0</x:f>
        <x:v>0</x:v>
      </x:c>
      <x:c r="AA712" s="10" t="n">
        <x:f>Z712*'Assumptions'!$AC$94*'Assumptions'!$D$11*(1+'Assumptions'!$D$13)^(6-1)</x:f>
        <x:v>0</x:v>
      </x:c>
      <x:c r="AB712" s="10" t="n">
        <x:f>F712/1</x:f>
        <x:v>72.38510400000003</x:v>
      </x:c>
      <x:c r="AC712" s="10" t="n">
        <x:f>AB712/'Assumptions'!$AM$94</x:f>
        <x:v>482.5673600000002</x:v>
      </x:c>
      <x:c r="AD712" s="10" t="n">
        <x:f>IF(AB712=0,0,T712/AB712)</x:f>
        <x:v>15.426187743358083</x:v>
      </x:c>
      <x:c r="AE712" s="10" t="n">
        <x:f>AA712*'Assumptions'!$D$21</x:f>
        <x:v>0</x:v>
      </x:c>
    </x:row>
    <x:row r="713" ht="16" customHeight="1">
      <x:c r="A713" s="1"/>
      <x:c r="B713" s="1"/>
      <x:c r="C713" s="1" t="str">
        <x:v>DOT-066</x:v>
      </x:c>
      <x:c r="D713" s="10" t="str">
        <x:v>S’otality cleaning</x:v>
      </x:c>
      <x:c r="E713" s="10" t="n">
        <x:v>6</x:v>
      </x:c>
      <x:c r="F713" s="21" t="n">
        <x:f>F585*(1+'Assumptions'!$M$95)</x:f>
        <x:v>108.57765600000002</x:v>
      </x:c>
      <x:c r="G713" s="21" t="n">
        <x:f>H585*'Assumptions'!$K$95</x:f>
        <x:v>137.32848</x:v>
      </x:c>
      <x:c r="H713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713+G713,NA())</x:f>
        <x:v>245.90613600000003</x:v>
      </x:c>
      <x:c r="I713" s="22" t="n">
        <x:f>'Assumptions'!$H$95*IF('Assumptions'!$O$95=1,1,'Assumptions'!$D$10)*(1+'Assumptions'!$N$95)^(6-1)</x:f>
        <x:v>164.5080396768</x:v>
      </x:c>
      <x:c r="J713" s="10" t="n">
        <x:f>H713*I713</x:f>
        <x:v>40453.53637785658</x:v>
      </x:c>
      <x:c r="K713" s="10" t="n">
        <x:f>J713*'Assumptions'!$T$95</x:f>
        <x:v>40453.53637785658</x:v>
      </x:c>
      <x:c r="L713" s="10" t="n">
        <x:f>K713*'Assumptions'!$U$95</x:f>
        <x:v>1213.6060913356973</x:v>
      </x:c>
      <x:c r="M713" s="10" t="n">
        <x:f>K713*'Assumptions'!$V$95</x:f>
        <x:v>0</x:v>
      </x:c>
      <x:c r="N713" s="10" t="n">
        <x:f>K713-L713-M713</x:f>
        <x:v>39239.93028652088</x:v>
      </x:c>
      <x:c r="O713" s="10" t="n">
        <x:f>H713*'Assumptions'!$P$95*'Assumptions'!$Q$95*'Assumptions'!$D$11*(1+'Assumptions'!$D$13)^(6-1)</x:f>
        <x:v>997.7541286163149</x:v>
      </x:c>
      <x:c r="P713" s="10" t="n">
        <x:f>H713*'Assumptions'!$R$95*'Assumptions'!$D$11*(1+'Assumptions'!$D$13)^(6-1)</x:f>
        <x:v>2280.5808654087195</x:v>
      </x:c>
      <x:c r="Q713" s="10" t="n">
        <x:f>J713*'Assumptions'!$S$95</x:f>
        <x:v>26294.798645606777</x:v>
      </x:c>
      <x:c r="R713" s="10" t="n">
        <x:f>H713*'Assumptions'!$Y$95*'Assumptions'!$Z$95*'Assumptions'!$D$11*(1+'Assumptions'!$D$13)^(6-1)</x:f>
        <x:v>1710.43564905654</x:v>
      </x:c>
      <x:c r="S713" s="10" t="n">
        <x:f>IF(I713=0,0,J713*'Assumptions'!$W$95+H713*'Assumptions'!$X$95)</x:f>
        <x:v>1246.924395757841</x:v>
      </x:c>
      <x:c r="T713" s="10" t="n">
        <x:f>N713*'Assumptions'!$AA$95</x:f>
        <x:v>1569.5972114608353</x:v>
      </x:c>
      <x:c r="U713" s="10" t="n">
        <x:f>'Assumptions'!$AE$95*'Assumptions'!$D$11*(1+'Assumptions'!$D$13)^(6-1)</x:f>
        <x:v>0</x:v>
      </x:c>
      <x:c r="V713" s="10" t="n">
        <x:f>0</x:f>
        <x:v>0</x:v>
      </x:c>
      <x:c r="W713" s="10" t="n">
        <x:f>H713*('Assumptions'!$P$95+'Assumptions'!$Y$95)</x:f>
        <x:v>73.77184080000002</x:v>
      </x:c>
      <x:c r="X713" s="10" t="n">
        <x:f>N713/12*'Assumptions'!$AF$95</x:f>
        <x:v>0</x:v>
      </x:c>
      <x:c r="Y713" s="10" t="n">
        <x:f>P713/12</x:f>
        <x:v>190.04840545072662</x:v>
      </x:c>
      <x:c r="Z713" s="10" t="n">
        <x:f>0</x:f>
        <x:v>0</x:v>
      </x:c>
      <x:c r="AA713" s="10" t="n">
        <x:f>Z713*'Assumptions'!$AC$95*'Assumptions'!$D$11*(1+'Assumptions'!$D$13)^(6-1)</x:f>
        <x:v>0</x:v>
      </x:c>
      <x:c r="AB713" s="10" t="n">
        <x:f>F713/1</x:f>
        <x:v>108.57765600000002</x:v>
      </x:c>
      <x:c r="AC713" s="10" t="n">
        <x:f>AB713/'Assumptions'!$AM$95</x:f>
        <x:v>723.8510400000001</x:v>
      </x:c>
      <x:c r="AD713" s="10" t="n">
        <x:f>IF(AB713=0,0,T713/AB713)</x:f>
        <x:v>14.45598725635443</x:v>
      </x:c>
      <x:c r="AE713" s="10" t="n">
        <x:f>AA713*'Assumptions'!$D$21</x:f>
        <x:v>0</x:v>
      </x:c>
    </x:row>
    <x:row r="714" ht="16" customHeight="1">
      <x:c r="A714" s="1"/>
      <x:c r="B714" s="1"/>
      <x:c r="C714" s="1" t="str">
        <x:v>DOT-067</x:v>
      </x:c>
      <x:c r="D714" s="10" t="str">
        <x:v>S’otality cleaning</x:v>
      </x:c>
      <x:c r="E714" s="10" t="n">
        <x:v>6</x:v>
      </x:c>
      <x:c r="F714" s="21" t="n">
        <x:f>F586*(1+'Assumptions'!$M$96)</x:f>
        <x:v>48.256736000000025</x:v>
      </x:c>
      <x:c r="G714" s="21" t="n">
        <x:f>H586*'Assumptions'!$K$96</x:f>
        <x:v>61.034880000000015</x:v>
      </x:c>
      <x:c r="H714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714+G714,NA())</x:f>
        <x:v>109.29161600000003</x:v>
      </x:c>
      <x:c r="I714" s="22" t="n">
        <x:f>'Assumptions'!$H$96*IF('Assumptions'!$O$96=1,1,'Assumptions'!$D$10)*(1+'Assumptions'!$N$96)^(6-1)</x:f>
        <x:v>219.7120798368</x:v>
      </x:c>
      <x:c r="J714" s="10" t="n">
        <x:f>H714*I714</x:f>
        <x:v>24012.688260084895</x:v>
      </x:c>
      <x:c r="K714" s="10" t="n">
        <x:f>J714*'Assumptions'!$T$96</x:f>
        <x:v>24012.688260084895</x:v>
      </x:c>
      <x:c r="L714" s="10" t="n">
        <x:f>K714*'Assumptions'!$U$96</x:f>
        <x:v>720.3806478025468</x:v>
      </x:c>
      <x:c r="M714" s="10" t="n">
        <x:f>K714*'Assumptions'!$V$96</x:f>
        <x:v>0</x:v>
      </x:c>
      <x:c r="N714" s="10" t="n">
        <x:f>K714-L714-M714</x:f>
        <x:v>23292.307612282348</x:v>
      </x:c>
      <x:c r="O714" s="10" t="n">
        <x:f>H714*'Assumptions'!$P$96*'Assumptions'!$Q$96*'Assumptions'!$D$11*(1+'Assumptions'!$D$13)^(6-1)</x:f>
        <x:v>443.44627938502896</x:v>
      </x:c>
      <x:c r="P714" s="10" t="n">
        <x:f>H714*'Assumptions'!$R$96*'Assumptions'!$D$11*(1+'Assumptions'!$D$13)^(6-1)</x:f>
        <x:v>1013.5914957372089</x:v>
      </x:c>
      <x:c r="Q714" s="10" t="n">
        <x:f>J714*'Assumptions'!$S$96</x:f>
        <x:v>15608.247369055181</x:v>
      </x:c>
      <x:c r="R714" s="10" t="n">
        <x:f>H714*'Assumptions'!$Y$96*'Assumptions'!$Z$96*'Assumptions'!$D$11*(1+'Assumptions'!$D$13)^(6-1)</x:f>
        <x:v>760.1936218029067</x:v>
      </x:c>
      <x:c r="S714" s="10" t="n">
        <x:f>IF(I714=0,0,J714*'Assumptions'!$W$96+H714*'Assumptions'!$X$96)</x:f>
        <x:v>729.155444342462</x:v>
      </x:c>
      <x:c r="T714" s="10" t="n">
        <x:f>N714*'Assumptions'!$AA$96</x:f>
        <x:v>931.692304491294</x:v>
      </x:c>
      <x:c r="U714" s="10" t="n">
        <x:f>'Assumptions'!$AE$96*'Assumptions'!$D$11*(1+'Assumptions'!$D$13)^(6-1)</x:f>
        <x:v>0</x:v>
      </x:c>
      <x:c r="V714" s="10" t="n">
        <x:f>0</x:f>
        <x:v>0</x:v>
      </x:c>
      <x:c r="W714" s="10" t="n">
        <x:f>H714*('Assumptions'!$P$96+'Assumptions'!$Y$96)</x:f>
        <x:v>32.787484800000016</x:v>
      </x:c>
      <x:c r="X714" s="10" t="n">
        <x:f>N714/12*'Assumptions'!$AF$96</x:f>
        <x:v>0</x:v>
      </x:c>
      <x:c r="Y714" s="10" t="n">
        <x:f>P714/12</x:f>
        <x:v>84.46595797810075</x:v>
      </x:c>
      <x:c r="Z714" s="10" t="n">
        <x:f>0</x:f>
        <x:v>0</x:v>
      </x:c>
      <x:c r="AA714" s="10" t="n">
        <x:f>Z714*'Assumptions'!$AC$96*'Assumptions'!$D$11*(1+'Assumptions'!$D$13)^(6-1)</x:f>
        <x:v>0</x:v>
      </x:c>
      <x:c r="AB714" s="10" t="n">
        <x:f>F714/1</x:f>
        <x:v>48.256736000000025</x:v>
      </x:c>
      <x:c r="AC714" s="10" t="n">
        <x:f>AB714/'Assumptions'!$AM$96</x:f>
        <x:v>321.7115733333335</x:v>
      </x:c>
      <x:c r="AD714" s="10" t="n">
        <x:f>IF(AB714=0,0,T714/AB714)</x:f>
        <x:v>19.306989691372692</x:v>
      </x:c>
      <x:c r="AE714" s="10" t="n">
        <x:f>AA714*'Assumptions'!$D$21</x:f>
        <x:v>0</x:v>
      </x:c>
    </x:row>
    <x:row r="715" ht="16" customHeight="1">
      <x:c r="A715" s="1"/>
      <x:c r="B715" s="1"/>
      <x:c r="C715" s="1" t="str">
        <x:v>DOT-068</x:v>
      </x:c>
      <x:c r="D715" s="10" t="str">
        <x:v>S’otality cleaning</x:v>
      </x:c>
      <x:c r="E715" s="10" t="n">
        <x:v>6</x:v>
      </x:c>
      <x:c r="F715" s="21" t="n">
        <x:f>F587*(1+'Assumptions'!$M$97)</x:f>
        <x:v>72.38510400000003</x:v>
      </x:c>
      <x:c r="G715" s="21" t="n">
        <x:f>H587*'Assumptions'!$K$97</x:f>
        <x:v>91.55232000000002</x:v>
      </x:c>
      <x:c r="H715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715+G715,NA())</x:f>
        <x:v>163.93742400000005</x:v>
      </x:c>
      <x:c r="I715" s="22" t="n">
        <x:f>'Assumptions'!$H$97*IF('Assumptions'!$O$97=1,1,'Assumptions'!$D$10)*(1+'Assumptions'!$N$97)^(6-1)</x:f>
        <x:v>208.6712718048</x:v>
      </x:c>
      <x:c r="J715" s="10" t="n">
        <x:f>H715*I715</x:f>
        <x:v>34209.030762482755</x:v>
      </x:c>
      <x:c r="K715" s="10" t="n">
        <x:f>J715*'Assumptions'!$T$97</x:f>
        <x:v>34209.030762482755</x:v>
      </x:c>
      <x:c r="L715" s="10" t="n">
        <x:f>K715*'Assumptions'!$U$97</x:f>
        <x:v>1026.2709228744825</x:v>
      </x:c>
      <x:c r="M715" s="10" t="n">
        <x:f>K715*'Assumptions'!$V$97</x:f>
        <x:v>0</x:v>
      </x:c>
      <x:c r="N715" s="10" t="n">
        <x:f>K715-L715-M715</x:f>
        <x:v>33182.759839608276</x:v>
      </x:c>
      <x:c r="O715" s="10" t="n">
        <x:f>H715*'Assumptions'!$P$97*'Assumptions'!$Q$97*'Assumptions'!$D$11*(1+'Assumptions'!$D$13)^(6-1)</x:f>
        <x:v>665.1694190775432</x:v>
      </x:c>
      <x:c r="P715" s="10" t="n">
        <x:f>H715*'Assumptions'!$R$97*'Assumptions'!$D$11*(1+'Assumptions'!$D$13)^(6-1)</x:f>
        <x:v>1520.3872436058134</x:v>
      </x:c>
      <x:c r="Q715" s="10" t="n">
        <x:f>J715*'Assumptions'!$S$97</x:f>
        <x:v>22235.86999561379</x:v>
      </x:c>
      <x:c r="R715" s="10" t="n">
        <x:f>H715*'Assumptions'!$Y$97*'Assumptions'!$Z$97*'Assumptions'!$D$11*(1+'Assumptions'!$D$13)^(6-1)</x:f>
        <x:v>1140.29043270436</x:v>
      </x:c>
      <x:c r="S715" s="10" t="n">
        <x:f>IF(I715=0,0,J715*'Assumptions'!$W$97+H715*'Assumptions'!$X$97)</x:f>
        <x:v>1041.2431193119999</x:v>
      </x:c>
      <x:c r="T715" s="10" t="n">
        <x:f>N715*'Assumptions'!$AA$97</x:f>
        <x:v>1327.310393584331</x:v>
      </x:c>
      <x:c r="U715" s="10" t="n">
        <x:f>'Assumptions'!$AE$97*'Assumptions'!$D$11*(1+'Assumptions'!$D$13)^(6-1)</x:f>
        <x:v>0</x:v>
      </x:c>
      <x:c r="V715" s="10" t="n">
        <x:f>0</x:f>
        <x:v>0</x:v>
      </x:c>
      <x:c r="W715" s="10" t="n">
        <x:f>H715*('Assumptions'!$P$97+'Assumptions'!$Y$97)</x:f>
        <x:v>49.18122720000002</x:v>
      </x:c>
      <x:c r="X715" s="10" t="n">
        <x:f>N715/12*'Assumptions'!$AF$97</x:f>
        <x:v>0</x:v>
      </x:c>
      <x:c r="Y715" s="10" t="n">
        <x:f>P715/12</x:f>
        <x:v>126.69893696715111</x:v>
      </x:c>
      <x:c r="Z715" s="10" t="n">
        <x:f>0</x:f>
        <x:v>0</x:v>
      </x:c>
      <x:c r="AA715" s="10" t="n">
        <x:f>Z715*'Assumptions'!$AC$97*'Assumptions'!$D$11*(1+'Assumptions'!$D$13)^(6-1)</x:f>
        <x:v>0</x:v>
      </x:c>
      <x:c r="AB715" s="10" t="n">
        <x:f>F715/1</x:f>
        <x:v>72.38510400000003</x:v>
      </x:c>
      <x:c r="AC715" s="10" t="n">
        <x:f>AB715/'Assumptions'!$AM$97</x:f>
        <x:v>482.5673600000002</x:v>
      </x:c>
      <x:c r="AD715" s="10" t="n">
        <x:f>IF(AB715=0,0,T715/AB715)</x:f>
        <x:v>18.336789204369044</x:v>
      </x:c>
      <x:c r="AE715" s="10" t="n">
        <x:f>AA715*'Assumptions'!$D$21</x:f>
        <x:v>0</x:v>
      </x:c>
    </x:row>
    <x:row r="716" ht="16" customHeight="1">
      <x:c r="A716" s="1"/>
      <x:c r="B716" s="1"/>
      <x:c r="C716" s="1" t="str">
        <x:v>DOT-069</x:v>
      </x:c>
      <x:c r="D716" s="10" t="str">
        <x:v>S’otality cleaning</x:v>
      </x:c>
      <x:c r="E716" s="10" t="n">
        <x:v>6</x:v>
      </x:c>
      <x:c r="F716" s="21" t="n">
        <x:f>F588*(1+'Assumptions'!$M$98)</x:f>
        <x:v>24.128368000000012</x:v>
      </x:c>
      <x:c r="G716" s="21" t="n">
        <x:f>H588*'Assumptions'!$K$98</x:f>
        <x:v>30.517440000000008</x:v>
      </x:c>
      <x:c r="H716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716+G716,NA())</x:f>
        <x:v>54.64580800000002</x:v>
      </x:c>
      <x:c r="I716" s="22" t="n">
        <x:f>'Assumptions'!$H$98*IF('Assumptions'!$O$98=1,1,'Assumptions'!$D$10)*(1+'Assumptions'!$N$98)^(6-1)</x:f>
        <x:v>330.1201601568</x:v>
      </x:c>
      <x:c r="J716" s="10" t="n">
        <x:f>H716*I716</x:f>
        <x:v>18039.682888857747</x:v>
      </x:c>
      <x:c r="K716" s="10" t="n">
        <x:f>J716*'Assumptions'!$T$98</x:f>
        <x:v>18039.682888857747</x:v>
      </x:c>
      <x:c r="L716" s="10" t="n">
        <x:f>K716*'Assumptions'!$U$98</x:f>
        <x:v>541.1904866657324</x:v>
      </x:c>
      <x:c r="M716" s="10" t="n">
        <x:f>K716*'Assumptions'!$V$98</x:f>
        <x:v>0</x:v>
      </x:c>
      <x:c r="N716" s="10" t="n">
        <x:f>K716-L716-M716</x:f>
        <x:v>17498.492402192016</x:v>
      </x:c>
      <x:c r="O716" s="10" t="n">
        <x:f>H716*'Assumptions'!$P$98*'Assumptions'!$Q$98*'Assumptions'!$D$11*(1+'Assumptions'!$D$13)^(6-1)</x:f>
        <x:v>221.72313969251448</x:v>
      </x:c>
      <x:c r="P716" s="10" t="n">
        <x:f>H716*'Assumptions'!$R$98*'Assumptions'!$D$11*(1+'Assumptions'!$D$13)^(6-1)</x:f>
        <x:v>506.79574786860445</x:v>
      </x:c>
      <x:c r="Q716" s="10" t="n">
        <x:f>J716*'Assumptions'!$S$98</x:f>
        <x:v>11725.793877757536</x:v>
      </x:c>
      <x:c r="R716" s="10" t="n">
        <x:f>H716*'Assumptions'!$Y$98*'Assumptions'!$Z$98*'Assumptions'!$D$11*(1+'Assumptions'!$D$13)^(6-1)</x:f>
        <x:v>380.09681090145335</x:v>
      </x:c>
      <x:c r="S716" s="10" t="n">
        <x:f>IF(I716=0,0,J716*'Assumptions'!$W$98+H716*'Assumptions'!$X$98)</x:f>
        <x:v>539.5445461768746</x:v>
      </x:c>
      <x:c r="T716" s="10" t="n">
        <x:f>N716*'Assumptions'!$AA$98</x:f>
        <x:v>699.9396960876807</x:v>
      </x:c>
      <x:c r="U716" s="10" t="n">
        <x:f>'Assumptions'!$AE$98*'Assumptions'!$D$11*(1+'Assumptions'!$D$13)^(6-1)</x:f>
        <x:v>0</x:v>
      </x:c>
      <x:c r="V716" s="10" t="n">
        <x:f>0</x:f>
        <x:v>0</x:v>
      </x:c>
      <x:c r="W716" s="10" t="n">
        <x:f>H716*('Assumptions'!$P$98+'Assumptions'!$Y$98)</x:f>
        <x:v>16.393742400000008</x:v>
      </x:c>
      <x:c r="X716" s="10" t="n">
        <x:f>N716/12*'Assumptions'!$AF$98</x:f>
        <x:v>0</x:v>
      </x:c>
      <x:c r="Y716" s="10" t="n">
        <x:f>P716/12</x:f>
        <x:v>42.23297898905037</x:v>
      </x:c>
      <x:c r="Z716" s="10" t="n">
        <x:f>0</x:f>
        <x:v>0</x:v>
      </x:c>
      <x:c r="AA716" s="10" t="n">
        <x:f>Z716*'Assumptions'!$AC$98*'Assumptions'!$D$11*(1+'Assumptions'!$D$13)^(6-1)</x:f>
        <x:v>0</x:v>
      </x:c>
      <x:c r="AB716" s="10" t="n">
        <x:f>F716/1</x:f>
        <x:v>24.128368000000012</x:v>
      </x:c>
      <x:c r="AC716" s="10" t="n">
        <x:f>AB716/'Assumptions'!$AM$98</x:f>
        <x:v>160.85578666666675</x:v>
      </x:c>
      <x:c r="AD716" s="10" t="n">
        <x:f>IF(AB716=0,0,T716/AB716)</x:f>
        <x:v>29.00899456140922</x:v>
      </x:c>
      <x:c r="AE716" s="10" t="n">
        <x:f>AA716*'Assumptions'!$D$21</x:f>
        <x:v>0</x:v>
      </x:c>
    </x:row>
    <x:row r="717" ht="16" customHeight="1">
      <x:c r="A717" s="1"/>
      <x:c r="B717" s="1"/>
      <x:c r="C717" s="1" t="str">
        <x:v>DOT-070</x:v>
      </x:c>
      <x:c r="D717" s="10" t="str">
        <x:v>S’otality laundry</x:v>
      </x:c>
      <x:c r="E717" s="10" t="n">
        <x:v>6</x:v>
      </x:c>
      <x:c r="F717" s="21" t="n">
        <x:f>F589*(1+'Assumptions'!$M$99)</x:f>
        <x:v>217.15531200000004</x:v>
      </x:c>
      <x:c r="G717" s="21" t="n">
        <x:f>H589*'Assumptions'!$K$99</x:f>
        <x:v>274.65696</x:v>
      </x:c>
      <x:c r="H717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717+G717,NA())</x:f>
        <x:v>491.81227200000006</x:v>
      </x:c>
      <x:c r="I717" s="22" t="n">
        <x:f>'Assumptions'!$H$99*IF('Assumptions'!$O$99=1,1,'Assumptions'!$D$10)*(1+'Assumptions'!$N$99)^(6-1)</x:f>
        <x:v>66.244848192</x:v>
      </x:c>
      <x:c r="J717" s="10" t="n">
        <x:f>H717*I717</x:f>
        <x:v>32580.02929760262</x:v>
      </x:c>
      <x:c r="K717" s="10" t="n">
        <x:f>J717*'Assumptions'!$T$99</x:f>
        <x:v>32580.02929760262</x:v>
      </x:c>
      <x:c r="L717" s="10" t="n">
        <x:f>K717*'Assumptions'!$U$99</x:f>
        <x:v>977.4008789280786</x:v>
      </x:c>
      <x:c r="M717" s="10" t="n">
        <x:f>K717*'Assumptions'!$V$99</x:f>
        <x:v>0</x:v>
      </x:c>
      <x:c r="N717" s="10" t="n">
        <x:f>K717-L717-M717</x:f>
        <x:v>31602.628418674543</x:v>
      </x:c>
      <x:c r="O717" s="10" t="n">
        <x:f>H717*'Assumptions'!$P$99*'Assumptions'!$Q$99*'Assumptions'!$D$11*(1+'Assumptions'!$D$13)^(6-1)</x:f>
        <x:v>1995.5082572326298</x:v>
      </x:c>
      <x:c r="P717" s="10" t="n">
        <x:f>H717*'Assumptions'!$R$99*'Assumptions'!$D$11*(1+'Assumptions'!$D$13)^(6-1)</x:f>
        <x:v>0</x:v>
      </x:c>
      <x:c r="Q717" s="10" t="n">
        <x:f>J717*'Assumptions'!$S$99</x:f>
        <x:v>21177.019043441705</x:v>
      </x:c>
      <x:c r="R717" s="10" t="n">
        <x:f>H717*'Assumptions'!$Y$99*'Assumptions'!$Z$99*'Assumptions'!$D$11*(1+'Assumptions'!$D$13)^(6-1)</x:f>
        <x:v>3420.87129811308</x:v>
      </x:c>
      <x:c r="S717" s="10" t="n">
        <x:f>IF(I717=0,0,J717*'Assumptions'!$W$99+H717*'Assumptions'!$X$99)</x:f>
        <x:v>1092.3645312304761</x:v>
      </x:c>
      <x:c r="T717" s="10" t="n">
        <x:f>N717*'Assumptions'!$AA$99</x:f>
        <x:v>1264.1051367469818</x:v>
      </x:c>
      <x:c r="U717" s="10" t="n">
        <x:f>'Assumptions'!$AE$99*'Assumptions'!$D$11*(1+'Assumptions'!$D$13)^(6-1)</x:f>
        <x:v>0</x:v>
      </x:c>
      <x:c r="V717" s="10" t="n">
        <x:f>0</x:f>
        <x:v>0</x:v>
      </x:c>
      <x:c r="W717" s="10" t="n">
        <x:f>H717*('Assumptions'!$P$99+'Assumptions'!$Y$99)</x:f>
        <x:v>147.54368160000004</x:v>
      </x:c>
      <x:c r="X717" s="10" t="n">
        <x:f>N717/12*'Assumptions'!$AF$99</x:f>
        <x:v>0</x:v>
      </x:c>
      <x:c r="Y717" s="10" t="n">
        <x:f>P717/12</x:f>
        <x:v>0</x:v>
      </x:c>
      <x:c r="Z717" s="10" t="n">
        <x:f>0</x:f>
        <x:v>0</x:v>
      </x:c>
      <x:c r="AA717" s="10" t="n">
        <x:f>Z717*'Assumptions'!$AC$99*'Assumptions'!$D$11*(1+'Assumptions'!$D$13)^(6-1)</x:f>
        <x:v>0</x:v>
      </x:c>
      <x:c r="AB717" s="10" t="n">
        <x:f>F717/1</x:f>
        <x:v>217.15531200000004</x:v>
      </x:c>
      <x:c r="AC717" s="10" t="n">
        <x:f>AB717/'Assumptions'!$AM$99</x:f>
        <x:v>1447.7020800000003</x:v>
      </x:c>
      <x:c r="AD717" s="10" t="n">
        <x:f>IF(AB717=0,0,T717/AB717)</x:f>
        <x:v>5.82120292202192</x:v>
      </x:c>
      <x:c r="AE717" s="10" t="n">
        <x:f>AA717*'Assumptions'!$D$21</x:f>
        <x:v>0</x:v>
      </x:c>
    </x:row>
    <x:row r="718" ht="16" customHeight="1">
      <x:c r="A718" s="1"/>
      <x:c r="B718" s="1"/>
      <x:c r="C718" s="1" t="str">
        <x:v>DOT-071</x:v>
      </x:c>
      <x:c r="D718" s="10" t="str">
        <x:v>S’otality Personal Chef</x:v>
      </x:c>
      <x:c r="E718" s="10" t="n">
        <x:v>6</x:v>
      </x:c>
      <x:c r="F718" s="21" t="n">
        <x:f>F590*(1+'Assumptions'!$M$100)</x:f>
        <x:v>36.19255200000001</x:v>
      </x:c>
      <x:c r="G718" s="21" t="n">
        <x:f>H590*'Assumptions'!$K$100</x:f>
        <x:v>44.60976</x:v>
      </x:c>
      <x:c r="H718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718+G718,NA())</x:f>
        <x:v>80.80231200000001</x:v>
      </x:c>
      <x:c r="I718" s="22" t="n">
        <x:f>'Assumptions'!$H$100*IF('Assumptions'!$O$100=1,1,'Assumptions'!$D$10)*(1+'Assumptions'!$N$100)^(6-1)</x:f>
        <x:v>717.65252208</x:v>
      </x:c>
      <x:c r="J718" s="10" t="n">
        <x:f>H718*I718</x:f>
        <x:v>57987.982996695064</x:v>
      </x:c>
      <x:c r="K718" s="10" t="n">
        <x:f>J718*'Assumptions'!$T$100</x:f>
        <x:v>57987.982996695064</x:v>
      </x:c>
      <x:c r="L718" s="10" t="n">
        <x:f>K718*'Assumptions'!$U$100</x:f>
        <x:v>1739.639489900852</x:v>
      </x:c>
      <x:c r="M718" s="10" t="n">
        <x:f>K718*'Assumptions'!$V$100</x:f>
        <x:v>0</x:v>
      </x:c>
      <x:c r="N718" s="10" t="n">
        <x:f>K718-L718-M718</x:f>
        <x:v>56248.34350679421</x:v>
      </x:c>
      <x:c r="O718" s="10" t="n">
        <x:f>H718*'Assumptions'!$P$100*'Assumptions'!$Q$100*'Assumptions'!$D$11*(1+'Assumptions'!$D$13)^(6-1)</x:f>
        <x:v>1873.440508901996</x:v>
      </x:c>
      <x:c r="P718" s="10" t="n">
        <x:f>H718*'Assumptions'!$R$100*'Assumptions'!$D$11*(1+'Assumptions'!$D$13)^(6-1)</x:f>
        <x:v>9367.20254450998</x:v>
      </x:c>
      <x:c r="Q718" s="10" t="n">
        <x:f>J718*'Assumptions'!$S$100</x:f>
        <x:v>28993.991498347532</x:v>
      </x:c>
      <x:c r="R718" s="10" t="n">
        <x:f>H718*'Assumptions'!$Y$100*'Assumptions'!$Z$100*'Assumptions'!$D$11*(1+'Assumptions'!$D$13)^(6-1)</x:f>
        <x:v>562.0321526705989</x:v>
      </x:c>
      <x:c r="S718" s="10" t="n">
        <x:f>IF(I718=0,0,J718*'Assumptions'!$W$100+H718*'Assumptions'!$X$100)</x:f>
        <x:v>1705.892200504157</x:v>
      </x:c>
      <x:c r="T718" s="10" t="n">
        <x:f>N718*'Assumptions'!$AA$100</x:f>
        <x:v>2249.9337402717683</x:v>
      </x:c>
      <x:c r="U718" s="10" t="n">
        <x:f>'Assumptions'!$AE$100*'Assumptions'!$D$11*(1+'Assumptions'!$D$13)^(6-1)</x:f>
        <x:v>0</x:v>
      </x:c>
      <x:c r="V718" s="10" t="n">
        <x:f>0</x:f>
        <x:v>0</x:v>
      </x:c>
      <x:c r="W718" s="10" t="n">
        <x:f>H718*('Assumptions'!$P$100+'Assumptions'!$Y$100)</x:f>
        <x:v>56.56161840000001</x:v>
      </x:c>
      <x:c r="X718" s="10" t="n">
        <x:f>N718/12*'Assumptions'!$AF$100</x:f>
        <x:v>0</x:v>
      </x:c>
      <x:c r="Y718" s="10" t="n">
        <x:f>P718/12</x:f>
        <x:v>780.6002120424984</x:v>
      </x:c>
      <x:c r="Z718" s="10" t="n">
        <x:f>0</x:f>
        <x:v>0</x:v>
      </x:c>
      <x:c r="AA718" s="10" t="n">
        <x:f>Z718*'Assumptions'!$AC$100*'Assumptions'!$D$11*(1+'Assumptions'!$D$13)^(6-1)</x:f>
        <x:v>0</x:v>
      </x:c>
      <x:c r="AB718" s="10" t="n">
        <x:f>F718/1</x:f>
        <x:v>36.19255200000001</x:v>
      </x:c>
      <x:c r="AC718" s="10" t="n">
        <x:f>AB718/'Assumptions'!$AM$100</x:f>
        <x:v>241.2836800000001</x:v>
      </x:c>
      <x:c r="AD718" s="10" t="n">
        <x:f>IF(AB718=0,0,T718/AB718)</x:f>
        <x:v>62.1656560795096</x:v>
      </x:c>
      <x:c r="AE718" s="10" t="n">
        <x:f>AA718*'Assumptions'!$D$21</x:f>
        <x:v>0</x:v>
      </x:c>
    </x:row>
    <x:row r="719" ht="16" customHeight="1">
      <x:c r="A719" s="1"/>
      <x:c r="B719" s="1"/>
      <x:c r="C719" s="1" t="str">
        <x:v>DOT-072</x:v>
      </x:c>
      <x:c r="D719" s="10" t="str">
        <x:v>S’otality interiors</x:v>
      </x:c>
      <x:c r="E719" s="10" t="n">
        <x:v>6</x:v>
      </x:c>
      <x:c r="F719" s="21" t="n">
        <x:f>F591*(1+'Assumptions'!$M$101)</x:f>
        <x:v>13.572207000000002</x:v>
      </x:c>
      <x:c r="G719" s="21" t="n">
        <x:f>H591*'Assumptions'!$K$101</x:f>
        <x:v>11.985075000000002</x:v>
      </x:c>
      <x:c r="H719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719+G719,NA())</x:f>
        <x:v>25.557282000000004</x:v>
      </x:c>
      <x:c r="I719" s="22" t="n">
        <x:f>'Assumptions'!$H$101*IF('Assumptions'!$O$101=1,1,'Assumptions'!$D$10)*(1+'Assumptions'!$N$101)^(6-1)</x:f>
        <x:v>1656.1212048</x:v>
      </x:c>
      <x:c r="J719" s="10" t="n">
        <x:f>H719*I719</x:f>
        <x:v>42325.95665725336</x:v>
      </x:c>
      <x:c r="K719" s="10" t="n">
        <x:f>J719*'Assumptions'!$T$101</x:f>
        <x:v>42325.95665725336</x:v>
      </x:c>
      <x:c r="L719" s="10" t="n">
        <x:f>K719*'Assumptions'!$U$101</x:f>
        <x:v>1269.7786997176006</x:v>
      </x:c>
      <x:c r="M719" s="10" t="n">
        <x:f>K719*'Assumptions'!$V$101</x:f>
        <x:v>0</x:v>
      </x:c>
      <x:c r="N719" s="10" t="n">
        <x:f>K719-L719-M719</x:f>
        <x:v>41056.17795753576</x:v>
      </x:c>
      <x:c r="O719" s="10" t="n">
        <x:f>H719*'Assumptions'!$P$101*'Assumptions'!$Q$101*'Assumptions'!$D$11*(1+'Assumptions'!$D$13)^(6-1)</x:f>
        <x:v>16295.341937695732</x:v>
      </x:c>
      <x:c r="P719" s="10" t="n">
        <x:f>H719*'Assumptions'!$R$101*'Assumptions'!$D$11*(1+'Assumptions'!$D$13)^(6-1)</x:f>
        <x:v>1481.394721608703</x:v>
      </x:c>
      <x:c r="Q719" s="10" t="n">
        <x:f>J719*'Assumptions'!$S$101</x:f>
        <x:v>0</x:v>
      </x:c>
      <x:c r="R719" s="10" t="n">
        <x:f>H719*'Assumptions'!$Y$101*'Assumptions'!$Z$101*'Assumptions'!$D$11*(1+'Assumptions'!$D$13)^(6-1)</x:f>
        <x:v>222.20920824130545</x:v>
      </x:c>
      <x:c r="S719" s="10" t="n">
        <x:f>IF(I719=0,0,J719*'Assumptions'!$W$101+H719*'Assumptions'!$X$101)</x:f>
        <x:v>1235.1199276603475</x:v>
      </x:c>
      <x:c r="T719" s="10" t="n">
        <x:f>N719*'Assumptions'!$AA$101</x:f>
        <x:v>1642.2471183014304</x:v>
      </x:c>
      <x:c r="U719" s="10" t="n">
        <x:f>'Assumptions'!$AE$101*'Assumptions'!$D$11*(1+'Assumptions'!$D$13)^(6-1)</x:f>
        <x:v>0</x:v>
      </x:c>
      <x:c r="V719" s="10" t="n">
        <x:f>0</x:f>
        <x:v>0</x:v>
      </x:c>
      <x:c r="W719" s="10" t="n">
        <x:f>H719*('Assumptions'!$P$101+'Assumptions'!$Y$101)</x:f>
        <x:v>261.96214050000003</x:v>
      </x:c>
      <x:c r="X719" s="10" t="n">
        <x:f>N719/12*'Assumptions'!$AF$101</x:f>
        <x:v>3421.3481631279797</x:v>
      </x:c>
      <x:c r="Y719" s="10" t="n">
        <x:f>P719/12</x:f>
        <x:v>123.44956013405859</x:v>
      </x:c>
      <x:c r="Z719" s="10" t="n">
        <x:f>0</x:f>
        <x:v>0</x:v>
      </x:c>
      <x:c r="AA719" s="10" t="n">
        <x:f>Z719*'Assumptions'!$AC$101*'Assumptions'!$D$11*(1+'Assumptions'!$D$13)^(6-1)</x:f>
        <x:v>0</x:v>
      </x:c>
      <x:c r="AB719" s="10" t="n">
        <x:f>F719/1</x:f>
        <x:v>13.572207000000002</x:v>
      </x:c>
      <x:c r="AC719" s="10" t="n">
        <x:f>AB719/'Assumptions'!$AM$101</x:f>
        <x:v>67.861035</x:v>
      </x:c>
      <x:c r="AD719" s="10" t="n">
        <x:f>IF(AB719=0,0,T719/AB719)</x:f>
        <x:v>121.00074205333223</x:v>
      </x:c>
      <x:c r="AE719" s="10" t="n">
        <x:f>AA719*'Assumptions'!$D$21</x:f>
        <x:v>0</x:v>
      </x:c>
    </x:row>
    <x:row r="720" ht="16" customHeight="1">
      <x:c r="A720" s="1"/>
      <x:c r="B720" s="1"/>
      <x:c r="C720" s="1" t="str">
        <x:v>DOT-073</x:v>
      </x:c>
      <x:c r="D720" s="10" t="str">
        <x:v>S’otality interiors</x:v>
      </x:c>
      <x:c r="E720" s="10" t="n">
        <x:v>6</x:v>
      </x:c>
      <x:c r="F720" s="21" t="n">
        <x:f>F592*(1+'Assumptions'!$M$102)</x:f>
        <x:v>36.19255200000001</x:v>
      </x:c>
      <x:c r="G720" s="21" t="n">
        <x:f>H592*'Assumptions'!$K$102</x:f>
        <x:v>45.77616000000001</x:v>
      </x:c>
      <x:c r="H720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720+G720,NA())</x:f>
        <x:v>81.96871200000002</x:v>
      </x:c>
      <x:c r="I720" s="22" t="n">
        <x:f>'Assumptions'!$H$102*IF('Assumptions'!$O$102=1,1,'Assumptions'!$D$10)*(1+'Assumptions'!$N$102)^(6-1)</x:f>
        <x:v>331.22424096000003</x:v>
      </x:c>
      <x:c r="J720" s="10" t="n">
        <x:f>H720*I720</x:f>
        <x:v>27150.024414668853</x:v>
      </x:c>
      <x:c r="K720" s="10" t="n">
        <x:f>J720*'Assumptions'!$T$102</x:f>
        <x:v>27150.024414668853</x:v>
      </x:c>
      <x:c r="L720" s="10" t="n">
        <x:f>K720*'Assumptions'!$U$102</x:f>
        <x:v>814.5007324400656</x:v>
      </x:c>
      <x:c r="M720" s="10" t="n">
        <x:f>K720*'Assumptions'!$V$102</x:f>
        <x:v>0</x:v>
      </x:c>
      <x:c r="N720" s="10" t="n">
        <x:f>K720-L720-M720</x:f>
        <x:v>26335.523682228788</x:v>
      </x:c>
      <x:c r="O720" s="10" t="n">
        <x:f>H720*'Assumptions'!$P$102*'Assumptions'!$Q$102*'Assumptions'!$D$11*(1+'Assumptions'!$D$13)^(6-1)</x:f>
        <x:v>831.4617738469292</x:v>
      </x:c>
      <x:c r="P720" s="10" t="n">
        <x:f>H720*'Assumptions'!$R$102*'Assumptions'!$D$11*(1+'Assumptions'!$D$13)^(6-1)</x:f>
        <x:v>0</x:v>
      </x:c>
      <x:c r="Q720" s="10" t="n">
        <x:f>J720*'Assumptions'!$S$102</x:f>
        <x:v>16290.01464880131</x:v>
      </x:c>
      <x:c r="R720" s="10" t="n">
        <x:f>H720*'Assumptions'!$Y$102*'Assumptions'!$Z$102*'Assumptions'!$D$11*(1+'Assumptions'!$D$13)^(6-1)</x:f>
        <x:v>570.14521635218</x:v>
      </x:c>
      <x:c r="S720" s="10" t="n">
        <x:f>IF(I720=0,0,J720*'Assumptions'!$W$102+H720*'Assumptions'!$X$102)</x:f>
        <x:v>811.9413216253968</x:v>
      </x:c>
      <x:c r="T720" s="10" t="n">
        <x:f>N720*'Assumptions'!$AA$102</x:f>
        <x:v>1053.4209472891516</x:v>
      </x:c>
      <x:c r="U720" s="10" t="n">
        <x:f>'Assumptions'!$AE$102*'Assumptions'!$D$11*(1+'Assumptions'!$D$13)^(6-1)</x:f>
        <x:v>0</x:v>
      </x:c>
      <x:c r="V720" s="10" t="n">
        <x:f>0</x:f>
        <x:v>0</x:v>
      </x:c>
      <x:c r="W720" s="10" t="n">
        <x:f>H720*('Assumptions'!$P$102+'Assumptions'!$Y$102)</x:f>
        <x:v>36.88592040000001</x:v>
      </x:c>
      <x:c r="X720" s="10" t="n">
        <x:f>N720/12*'Assumptions'!$AF$102</x:f>
        <x:v>0</x:v>
      </x:c>
      <x:c r="Y720" s="10" t="n">
        <x:f>P720/12</x:f>
        <x:v>0</x:v>
      </x:c>
      <x:c r="Z720" s="10" t="n">
        <x:f>0</x:f>
        <x:v>0</x:v>
      </x:c>
      <x:c r="AA720" s="10" t="n">
        <x:f>Z720*'Assumptions'!$AC$102*'Assumptions'!$D$11*(1+'Assumptions'!$D$13)^(6-1)</x:f>
        <x:v>0</x:v>
      </x:c>
      <x:c r="AB720" s="10" t="n">
        <x:f>F720/1</x:f>
        <x:v>36.19255200000001</x:v>
      </x:c>
      <x:c r="AC720" s="10" t="n">
        <x:f>AB720/'Assumptions'!$AM$102</x:f>
        <x:v>241.2836800000001</x:v>
      </x:c>
      <x:c r="AD720" s="10" t="n">
        <x:f>IF(AB720=0,0,T720/AB720)</x:f>
        <x:v>29.106014610109593</x:v>
      </x:c>
      <x:c r="AE720" s="10" t="n">
        <x:f>AA720*'Assumptions'!$D$21</x:f>
        <x:v>0</x:v>
      </x:c>
    </x:row>
    <x:row r="721" ht="16" customHeight="1">
      <x:c r="A721" s="1"/>
      <x:c r="B721" s="1"/>
      <x:c r="C721" s="1" t="str">
        <x:v>DOT-074</x:v>
      </x:c>
      <x:c r="D721" s="10" t="str">
        <x:v>S’otality interiors</x:v>
      </x:c>
      <x:c r="E721" s="10" t="n">
        <x:v>6</x:v>
      </x:c>
      <x:c r="F721" s="21" t="n">
        <x:f>F593*(1+'Assumptions'!$M$103)</x:f>
        <x:v>15.3778176</x:v>
      </x:c>
      <x:c r="G721" s="21" t="n">
        <x:f>H593*'Assumptions'!$K$103</x:f>
        <x:v>25.203275999999995</x:v>
      </x:c>
      <x:c r="H721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721+G721,NA())</x:f>
        <x:v>40.581093599999996</x:v>
      </x:c>
      <x:c r="I721" s="22" t="n">
        <x:f>'Assumptions'!$H$103*IF('Assumptions'!$O$103=1,1,'Assumptions'!$D$10)*(1+'Assumptions'!$N$103)^(6-1)</x:f>
        <x:v>1656.1212048</x:v>
      </x:c>
      <x:c r="J721" s="10" t="n">
        <x:f>H721*I721</x:f>
        <x:v>67207.20962493356</x:v>
      </x:c>
      <x:c r="K721" s="10" t="n">
        <x:f>J721*'Assumptions'!$T$103</x:f>
        <x:v>6720.720962493357</x:v>
      </x:c>
      <x:c r="L721" s="10" t="n">
        <x:f>K721*'Assumptions'!$U$103</x:f>
        <x:v>201.62162887480068</x:v>
      </x:c>
      <x:c r="M721" s="10" t="n">
        <x:f>K721*'Assumptions'!$V$103</x:f>
        <x:v>0</x:v>
      </x:c>
      <x:c r="N721" s="10" t="n">
        <x:f>K721-L721-M721</x:f>
        <x:v>6519.099333618556</x:v>
      </x:c>
      <x:c r="O721" s="10" t="n">
        <x:f>H721*'Assumptions'!$P$103*'Assumptions'!$Q$103*'Assumptions'!$D$11*(1+'Assumptions'!$D$13)^(6-1)</x:f>
        <x:v>1881.784388688866</x:v>
      </x:c>
      <x:c r="P721" s="10" t="n">
        <x:f>H721*'Assumptions'!$R$103*'Assumptions'!$D$11*(1+'Assumptions'!$D$13)^(6-1)</x:f>
        <x:v>0</x:v>
      </x:c>
      <x:c r="Q721" s="10" t="n">
        <x:f>J721*'Assumptions'!$S$103</x:f>
        <x:v>0</x:v>
      </x:c>
      <x:c r="R721" s="10" t="n">
        <x:f>H721*'Assumptions'!$Y$103*'Assumptions'!$Z$103*'Assumptions'!$D$11*(1+'Assumptions'!$D$13)^(6-1)</x:f>
        <x:v>211.7007437274974</x:v>
      </x:c>
      <x:c r="S721" s="10" t="n">
        <x:f>IF(I721=0,0,J721*'Assumptions'!$W$103+H721*'Assumptions'!$X$103)</x:f>
        <x:v>1961.183407203073</x:v>
      </x:c>
      <x:c r="T721" s="10" t="n">
        <x:f>N721*'Assumptions'!$AA$103</x:f>
        <x:v>325.9549666809278</x:v>
      </x:c>
      <x:c r="U721" s="10" t="n">
        <x:f>'Assumptions'!$AE$103*'Assumptions'!$D$11*(1+'Assumptions'!$D$13)^(6-1)</x:f>
        <x:v>0</x:v>
      </x:c>
      <x:c r="V721" s="10" t="n">
        <x:f>0</x:f>
        <x:v>0</x:v>
      </x:c>
      <x:c r="W721" s="10" t="n">
        <x:f>H721*('Assumptions'!$P$103+'Assumptions'!$Y$103)</x:f>
        <x:v>46.66825763999999</x:v>
      </x:c>
      <x:c r="X721" s="10" t="n">
        <x:f>N721/12*'Assumptions'!$AF$103</x:f>
        <x:v>0</x:v>
      </x:c>
      <x:c r="Y721" s="10" t="n">
        <x:f>P721/12</x:f>
        <x:v>0</x:v>
      </x:c>
      <x:c r="Z721" s="10" t="n">
        <x:f>0</x:f>
        <x:v>0</x:v>
      </x:c>
      <x:c r="AA721" s="10" t="n">
        <x:f>Z721*'Assumptions'!$AC$103*'Assumptions'!$D$11*(1+'Assumptions'!$D$13)^(6-1)</x:f>
        <x:v>0</x:v>
      </x:c>
      <x:c r="AB721" s="10" t="n">
        <x:f>F721/1</x:f>
        <x:v>15.3778176</x:v>
      </x:c>
      <x:c r="AC721" s="10" t="n">
        <x:f>AB721/'Assumptions'!$AM$103</x:f>
        <x:v>307.556352</x:v>
      </x:c>
      <x:c r="AD721" s="10" t="n">
        <x:f>IF(AB721=0,0,T721/AB721)</x:f>
        <x:v>21.19643860783781</x:v>
      </x:c>
      <x:c r="AE721" s="10" t="n">
        <x:f>AA721*'Assumptions'!$D$21</x:f>
        <x:v>0</x:v>
      </x:c>
    </x:row>
    <x:row r="722" ht="16" customHeight="1">
      <x:c r="A722" s="1"/>
      <x:c r="B722" s="1"/>
      <x:c r="C722" s="1" t="str">
        <x:v>DOT-075</x:v>
      </x:c>
      <x:c r="D722" s="10" t="str">
        <x:v>S’otality concierge</x:v>
      </x:c>
      <x:c r="E722" s="10" t="n">
        <x:v>6</x:v>
      </x:c>
      <x:c r="F722" s="21" t="n">
        <x:f>F594*(1+'Assumptions'!$M$104)</x:f>
        <x:v>180.96276000000003</x:v>
      </x:c>
      <x:c r="G722" s="21" t="n">
        <x:f>H594*'Assumptions'!$K$104</x:f>
        <x:v>159.80100000000004</x:v>
      </x:c>
      <x:c r="H722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722+G722,NA())</x:f>
        <x:v>340.76376000000005</x:v>
      </x:c>
      <x:c r="I722" s="22" t="n">
        <x:f>'Assumptions'!$H$104*IF('Assumptions'!$O$104=1,1,'Assumptions'!$D$10)*(1+'Assumptions'!$N$104)^(6-1)</x:f>
        <x:v>82.80606024000001</x:v>
      </x:c>
      <x:c r="J722" s="10" t="n">
        <x:f>H722*I722</x:f>
        <x:v>28217.30443816891</x:v>
      </x:c>
      <x:c r="K722" s="10" t="n">
        <x:f>J722*'Assumptions'!$T$104</x:f>
        <x:v>28217.30443816891</x:v>
      </x:c>
      <x:c r="L722" s="10" t="n">
        <x:f>K722*'Assumptions'!$U$104</x:f>
        <x:v>846.5191331450673</x:v>
      </x:c>
      <x:c r="M722" s="10" t="n">
        <x:f>K722*'Assumptions'!$V$104</x:f>
        <x:v>0</x:v>
      </x:c>
      <x:c r="N722" s="10" t="n">
        <x:f>K722-L722-M722</x:f>
        <x:v>27370.785305023845</x:v>
      </x:c>
      <x:c r="O722" s="10" t="n">
        <x:f>H722*'Assumptions'!$P$104*'Assumptions'!$Q$104*'Assumptions'!$D$11*(1+'Assumptions'!$D$13)^(6-1)</x:f>
        <x:v>10369.763051260921</x:v>
      </x:c>
      <x:c r="P722" s="10" t="n">
        <x:f>H722*'Assumptions'!$R$104*'Assumptions'!$D$11*(1+'Assumptions'!$D$13)^(6-1)</x:f>
        <x:v>0</x:v>
      </x:c>
      <x:c r="Q722" s="10" t="n">
        <x:f>J722*'Assumptions'!$S$104</x:f>
        <x:v>0</x:v>
      </x:c>
      <x:c r="R722" s="10" t="n">
        <x:f>H722*'Assumptions'!$Y$104*'Assumptions'!$Z$104*'Assumptions'!$D$11*(1+'Assumptions'!$D$13)^(6-1)</x:f>
        <x:v>2962.789443217406</x:v>
      </x:c>
      <x:c r="S722" s="10" t="n">
        <x:f>IF(I722=0,0,J722*'Assumptions'!$W$104+H722*'Assumptions'!$X$104)</x:f>
        <x:v>920.5309567068986</x:v>
      </x:c>
      <x:c r="T722" s="10" t="n">
        <x:f>N722*'Assumptions'!$AA$104</x:f>
        <x:v>1094.8314122009538</x:v>
      </x:c>
      <x:c r="U722" s="10" t="n">
        <x:f>'Assumptions'!$AE$104*'Assumptions'!$D$11*(1+'Assumptions'!$D$13)^(6-1)</x:f>
        <x:v>0</x:v>
      </x:c>
      <x:c r="V722" s="10" t="n">
        <x:f>0</x:f>
        <x:v>0</x:v>
      </x:c>
      <x:c r="W722" s="10" t="n">
        <x:f>H722*('Assumptions'!$P$104+'Assumptions'!$Y$104)</x:f>
        <x:v>340.76376000000005</x:v>
      </x:c>
      <x:c r="X722" s="10" t="n">
        <x:f>N722/12*'Assumptions'!$AF$104</x:f>
        <x:v>2280.8987754186537</x:v>
      </x:c>
      <x:c r="Y722" s="10" t="n">
        <x:f>P722/12</x:f>
        <x:v>0</x:v>
      </x:c>
      <x:c r="Z722" s="10" t="n">
        <x:f>0</x:f>
        <x:v>0</x:v>
      </x:c>
      <x:c r="AA722" s="10" t="n">
        <x:f>Z722*'Assumptions'!$AC$104*'Assumptions'!$D$11*(1+'Assumptions'!$D$13)^(6-1)</x:f>
        <x:v>0</x:v>
      </x:c>
      <x:c r="AB722" s="10" t="n">
        <x:f>F722/1</x:f>
        <x:v>180.96276000000003</x:v>
      </x:c>
      <x:c r="AC722" s="10" t="n">
        <x:f>AB722/'Assumptions'!$AM$104</x:f>
        <x:v>904.8138000000001</x:v>
      </x:c>
      <x:c r="AD722" s="10" t="n">
        <x:f>IF(AB722=0,0,T722/AB722)</x:f>
        <x:v>6.050037102666613</x:v>
      </x:c>
      <x:c r="AE722" s="10" t="n">
        <x:f>AA722*'Assumptions'!$D$21</x:f>
        <x:v>0</x:v>
      </x:c>
    </x:row>
    <x:row r="723" ht="16" customHeight="1">
      <x:c r="A723" s="1"/>
      <x:c r="B723" s="1"/>
      <x:c r="C723" s="1" t="str">
        <x:v>DOT-076</x:v>
      </x:c>
      <x:c r="D723" s="10" t="str">
        <x:v>S’otality administration</x:v>
      </x:c>
      <x:c r="E723" s="10" t="n">
        <x:v>6</x:v>
      </x:c>
      <x:c r="F723" s="21" t="n">
        <x:f>F595*(1+'Assumptions'!$M$105)</x:f>
        <x:v>361.92552000000006</x:v>
      </x:c>
      <x:c r="G723" s="21" t="n">
        <x:f>H595*'Assumptions'!$K$105</x:f>
        <x:v>319.6020000000001</x:v>
      </x:c>
      <x:c r="H723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723+G723,NA())</x:f>
        <x:v>681.5275200000001</x:v>
      </x:c>
      <x:c r="I723" s="22" t="n">
        <x:f>'Assumptions'!$H$105*IF('Assumptions'!$O$105=1,1,'Assumptions'!$D$10)*(1+'Assumptions'!$N$105)^(6-1)</x:f>
        <x:v>66.244848192</x:v>
      </x:c>
      <x:c r="J723" s="10" t="n">
        <x:f>H723*I723</x:f>
        <x:v>45147.68710107025</x:v>
      </x:c>
      <x:c r="K723" s="10" t="n">
        <x:f>J723*'Assumptions'!$T$105</x:f>
        <x:v>45147.68710107025</x:v>
      </x:c>
      <x:c r="L723" s="10" t="n">
        <x:f>K723*'Assumptions'!$U$105</x:f>
        <x:v>1354.4306130321074</x:v>
      </x:c>
      <x:c r="M723" s="10" t="n">
        <x:f>K723*'Assumptions'!$V$105</x:f>
        <x:v>0</x:v>
      </x:c>
      <x:c r="N723" s="10" t="n">
        <x:f>K723-L723-M723</x:f>
        <x:v>43793.25648803815</x:v>
      </x:c>
      <x:c r="O723" s="10" t="n">
        <x:f>H723*'Assumptions'!$P$105*'Assumptions'!$Q$105*'Assumptions'!$D$11*(1+'Assumptions'!$D$13)^(6-1)</x:f>
        <x:v>23702.31554573925</x:v>
      </x:c>
      <x:c r="P723" s="10" t="n">
        <x:f>H723*'Assumptions'!$R$105*'Assumptions'!$D$11*(1+'Assumptions'!$D$13)^(6-1)</x:f>
        <x:v>0</x:v>
      </x:c>
      <x:c r="Q723" s="10" t="n">
        <x:f>J723*'Assumptions'!$S$105</x:f>
        <x:v>0</x:v>
      </x:c>
      <x:c r="R723" s="10" t="n">
        <x:f>H723*'Assumptions'!$Y$105*'Assumptions'!$Z$105*'Assumptions'!$D$11*(1+'Assumptions'!$D$13)^(6-1)</x:f>
        <x:v>5925.578886434812</x:v>
      </x:c>
      <x:c r="S723" s="10" t="n">
        <x:f>IF(I723=0,0,J723*'Assumptions'!$W$105+H723*'Assumptions'!$X$105)</x:f>
        <x:v>1513.7411819310375</x:v>
      </x:c>
      <x:c r="T723" s="10" t="n">
        <x:f>N723*'Assumptions'!$AA$105</x:f>
        <x:v>1751.730259521526</x:v>
      </x:c>
      <x:c r="U723" s="10" t="n">
        <x:f>'Assumptions'!$AE$105*'Assumptions'!$D$11*(1+'Assumptions'!$D$13)^(6-1)</x:f>
        <x:v>0</x:v>
      </x:c>
      <x:c r="V723" s="10" t="n">
        <x:f>0</x:f>
        <x:v>0</x:v>
      </x:c>
      <x:c r="W723" s="10" t="n">
        <x:f>H723*('Assumptions'!$P$105+'Assumptions'!$Y$105)</x:f>
        <x:v>851.9094000000001</x:v>
      </x:c>
      <x:c r="X723" s="10" t="n">
        <x:f>N723/12*'Assumptions'!$AF$105</x:f>
        <x:v>3649.4380406698456</x:v>
      </x:c>
      <x:c r="Y723" s="10" t="n">
        <x:f>P723/12</x:f>
        <x:v>0</x:v>
      </x:c>
      <x:c r="Z723" s="10" t="n">
        <x:f>0</x:f>
        <x:v>0</x:v>
      </x:c>
      <x:c r="AA723" s="10" t="n">
        <x:f>Z723*'Assumptions'!$AC$105*'Assumptions'!$D$11*(1+'Assumptions'!$D$13)^(6-1)</x:f>
        <x:v>0</x:v>
      </x:c>
      <x:c r="AB723" s="10" t="n">
        <x:f>F723/1</x:f>
        <x:v>361.92552000000006</x:v>
      </x:c>
      <x:c r="AC723" s="10" t="n">
        <x:f>AB723/'Assumptions'!$AM$105</x:f>
        <x:v>1809.6276000000003</x:v>
      </x:c>
      <x:c r="AD723" s="10" t="n">
        <x:f>IF(AB723=0,0,T723/AB723)</x:f>
        <x:v>4.84002968213329</x:v>
      </x:c>
      <x:c r="AE723" s="10" t="n">
        <x:f>AA723*'Assumptions'!$D$21</x:f>
        <x:v>0</x:v>
      </x:c>
    </x:row>
    <x:row r="724" ht="16" customHeight="1">
      <x:c r="A724" s="1"/>
      <x:c r="B724" s="1"/>
      <x:c r="C724" s="1" t="str">
        <x:v>DOT-077</x:v>
      </x:c>
      <x:c r="D724" s="10" t="str">
        <x:v>S’otality bike tours</x:v>
      </x:c>
      <x:c r="E724" s="10" t="n">
        <x:v>6</x:v>
      </x:c>
      <x:c r="F724" s="21" t="n">
        <x:f>F596*(1+'Assumptions'!$M$106)</x:f>
        <x:v>144.77020800000005</x:v>
      </x:c>
      <x:c r="G724" s="21" t="n">
        <x:f>H596*'Assumptions'!$K$106</x:f>
        <x:v>178.43904</x:v>
      </x:c>
      <x:c r="H724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724+G724,NA())</x:f>
        <x:v>323.20924800000006</x:v>
      </x:c>
      <x:c r="I724" s="22" t="n">
        <x:f>'Assumptions'!$H$106*IF('Assumptions'!$O$106=1,1,'Assumptions'!$D$10)*(1+'Assumptions'!$N$106)^(6-1)</x:f>
        <x:v>71.765252208</x:v>
      </x:c>
      <x:c r="J724" s="10" t="n">
        <x:f>H724*I724</x:f>
        <x:v>23195.193198678026</x:v>
      </x:c>
      <x:c r="K724" s="10" t="n">
        <x:f>J724*'Assumptions'!$T$106</x:f>
        <x:v>23195.193198678026</x:v>
      </x:c>
      <x:c r="L724" s="10" t="n">
        <x:f>K724*'Assumptions'!$U$106</x:f>
        <x:v>695.8557959603407</x:v>
      </x:c>
      <x:c r="M724" s="10" t="n">
        <x:f>K724*'Assumptions'!$V$106</x:f>
        <x:v>0</x:v>
      </x:c>
      <x:c r="N724" s="10" t="n">
        <x:f>K724-L724-M724</x:f>
        <x:v>22499.337402717683</x:v>
      </x:c>
      <x:c r="O724" s="10" t="n">
        <x:f>H724*'Assumptions'!$P$106*'Assumptions'!$Q$106*'Assumptions'!$D$11*(1+'Assumptions'!$D$13)^(6-1)</x:f>
        <x:v>1967.1125343470958</x:v>
      </x:c>
      <x:c r="P724" s="10" t="n">
        <x:f>H724*'Assumptions'!$R$106*'Assumptions'!$D$11*(1+'Assumptions'!$D$13)^(6-1)</x:f>
        <x:v>1873.440508901996</x:v>
      </x:c>
      <x:c r="Q724" s="10" t="n">
        <x:f>J724*'Assumptions'!$S$106</x:f>
        <x:v>10437.836939405111</x:v>
      </x:c>
      <x:c r="R724" s="10" t="n">
        <x:f>H724*'Assumptions'!$Y$106*'Assumptions'!$Z$106*'Assumptions'!$D$11*(1+'Assumptions'!$D$13)^(6-1)</x:f>
        <x:v>2248.1286106823954</x:v>
      </x:c>
      <x:c r="S724" s="10" t="n">
        <x:f>IF(I724=0,0,J724*'Assumptions'!$W$106+H724*'Assumptions'!$X$106)</x:f>
        <x:v>769.6233771616628</x:v>
      </x:c>
      <x:c r="T724" s="10" t="n">
        <x:f>N724*'Assumptions'!$AA$106</x:f>
        <x:v>899.9734961087073</x:v>
      </x:c>
      <x:c r="U724" s="10" t="n">
        <x:f>'Assumptions'!$AE$106*'Assumptions'!$D$11*(1+'Assumptions'!$D$13)^(6-1)</x:f>
        <x:v>0</x:v>
      </x:c>
      <x:c r="V724" s="10" t="n">
        <x:f>0</x:f>
        <x:v>0</x:v>
      </x:c>
      <x:c r="W724" s="10" t="n">
        <x:f>H724*('Assumptions'!$P$106+'Assumptions'!$Y$106)</x:f>
        <x:v>113.12323680000002</x:v>
      </x:c>
      <x:c r="X724" s="10" t="n">
        <x:f>N724/12*'Assumptions'!$AF$106</x:f>
        <x:v>0</x:v>
      </x:c>
      <x:c r="Y724" s="10" t="n">
        <x:f>P724/12</x:f>
        <x:v>156.12004240849967</x:v>
      </x:c>
      <x:c r="Z724" s="10" t="n">
        <x:f>0</x:f>
        <x:v>0</x:v>
      </x:c>
      <x:c r="AA724" s="10" t="n">
        <x:f>Z724*'Assumptions'!$AC$106*'Assumptions'!$D$11*(1+'Assumptions'!$D$13)^(6-1)</x:f>
        <x:v>0</x:v>
      </x:c>
      <x:c r="AB724" s="10" t="n">
        <x:f>F724/1</x:f>
        <x:v>144.77020800000005</x:v>
      </x:c>
      <x:c r="AC724" s="10" t="n">
        <x:f>AB724/'Assumptions'!$AM$106</x:f>
        <x:v>965.1347200000004</x:v>
      </x:c>
      <x:c r="AD724" s="10" t="n">
        <x:f>IF(AB724=0,0,T724/AB724)</x:f>
        <x:v>6.21656560795096</x:v>
      </x:c>
      <x:c r="AE724" s="10" t="n">
        <x:f>AA724*'Assumptions'!$D$21</x:f>
        <x:v>0</x:v>
      </x:c>
    </x:row>
    <x:row r="725" ht="16" customHeight="1">
      <x:c r="A725" s="1"/>
      <x:c r="B725" s="1"/>
      <x:c r="C725" s="1" t="str">
        <x:v>DOT-078</x:v>
      </x:c>
      <x:c r="D725" s="10" t="str">
        <x:v>S’otality editorial</x:v>
      </x:c>
      <x:c r="E725" s="10" t="n">
        <x:v>6</x:v>
      </x:c>
      <x:c r="F725" s="21" t="n">
        <x:f>F597*(1+'Assumptions'!$M$107)</x:f>
        <x:v>11.762579400000005</x:v>
      </x:c>
      <x:c r="G725" s="21" t="n">
        <x:f>H597*'Assumptions'!$K$107</x:f>
        <x:v>5.833684500000001</x:v>
      </x:c>
      <x:c r="H725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725+G725,NA())</x:f>
        <x:v>17.596263900000007</x:v>
      </x:c>
      <x:c r="I725" s="22" t="n">
        <x:f>'Assumptions'!$H$107*IF('Assumptions'!$O$107=1,1,'Assumptions'!$D$10)*(1+'Assumptions'!$N$107)^(6-1)</x:f>
        <x:v>276.0202008</x:v>
      </x:c>
      <x:c r="J725" s="10" t="n">
        <x:f>H725*I725</x:f>
        <x:v>4856.924295007793</x:v>
      </x:c>
      <x:c r="K725" s="10" t="n">
        <x:f>J725*'Assumptions'!$T$107</x:f>
        <x:v>4856.924295007793</x:v>
      </x:c>
      <x:c r="L725" s="10" t="n">
        <x:f>K725*'Assumptions'!$U$107</x:f>
        <x:v>145.7077288502338</x:v>
      </x:c>
      <x:c r="M725" s="10" t="n">
        <x:f>K725*'Assumptions'!$V$107</x:f>
        <x:v>0</x:v>
      </x:c>
      <x:c r="N725" s="10" t="n">
        <x:f>K725-L725-M725</x:f>
        <x:v>4711.216566157559</x:v>
      </x:c>
      <x:c r="O725" s="10" t="n">
        <x:f>H725*'Assumptions'!$P$107*'Assumptions'!$Q$107*'Assumptions'!$D$11*(1+'Assumptions'!$D$13)^(6-1)</x:f>
        <x:v>1631.9114035048815</x:v>
      </x:c>
      <x:c r="P725" s="10" t="n">
        <x:f>H725*'Assumptions'!$R$107*'Assumptions'!$D$11*(1+'Assumptions'!$D$13)^(6-1)</x:f>
        <x:v>0</x:v>
      </x:c>
      <x:c r="Q725" s="10" t="n">
        <x:f>J725*'Assumptions'!$S$107</x:f>
        <x:v>0</x:v>
      </x:c>
      <x:c r="R725" s="10" t="n">
        <x:f>H725*'Assumptions'!$Y$107*'Assumptions'!$Z$107*'Assumptions'!$D$11*(1+'Assumptions'!$D$13)^(6-1)</x:f>
        <x:v>305.9833881571653</x:v>
      </x:c>
      <x:c r="S725" s="10" t="n">
        <x:f>IF(I725=0,0,J725*'Assumptions'!$W$107+H725*'Assumptions'!$X$107)</x:f>
        <x:v>146.12968372522602</x:v>
      </x:c>
      <x:c r="T725" s="10" t="n">
        <x:f>N725*'Assumptions'!$AA$107</x:f>
        <x:v>376.89732529260476</x:v>
      </x:c>
      <x:c r="U725" s="10" t="n">
        <x:f>'Assumptions'!$AE$107*'Assumptions'!$D$11*(1+'Assumptions'!$D$13)^(6-1)</x:f>
        <x:v>0</x:v>
      </x:c>
      <x:c r="V725" s="10" t="n">
        <x:f>0</x:f>
        <x:v>0</x:v>
      </x:c>
      <x:c r="W725" s="10" t="n">
        <x:f>H725*('Assumptions'!$P$107+'Assumptions'!$Y$107)</x:f>
        <x:v>43.99065975000002</x:v>
      </x:c>
      <x:c r="X725" s="10" t="n">
        <x:f>N725/12*'Assumptions'!$AF$107</x:f>
        <x:v>392.6013805131299</x:v>
      </x:c>
      <x:c r="Y725" s="10" t="n">
        <x:f>P725/12</x:f>
        <x:v>0</x:v>
      </x:c>
      <x:c r="Z725" s="10" t="n">
        <x:f>0</x:f>
        <x:v>0</x:v>
      </x:c>
      <x:c r="AA725" s="10" t="n">
        <x:f>Z725*'Assumptions'!$AC$107*'Assumptions'!$D$11*(1+'Assumptions'!$D$13)^(6-1)</x:f>
        <x:v>0</x:v>
      </x:c>
      <x:c r="AB725" s="10" t="n">
        <x:f>F725/1</x:f>
        <x:v>11.762579400000005</x:v>
      </x:c>
      <x:c r="AC725" s="10" t="n">
        <x:f>AB725/'Assumptions'!$AM$107</x:f>
        <x:v>117.62579400000004</x:v>
      </x:c>
      <x:c r="AD725" s="10" t="n">
        <x:f>IF(AB725=0,0,T725/AB725)</x:f>
        <x:v>32.04206428503297</x:v>
      </x:c>
      <x:c r="AE725" s="10" t="n">
        <x:f>AA725*'Assumptions'!$D$21</x:f>
        <x:v>0</x:v>
      </x:c>
    </x:row>
    <x:row r="726" ht="16" customHeight="1">
      <x:c r="A726" s="1"/>
      <x:c r="B726" s="1"/>
      <x:c r="C726" s="1" t="str">
        <x:v>DOT-079</x:v>
      </x:c>
      <x:c r="D726" s="10" t="str">
        <x:v>S’otality editorial</x:v>
      </x:c>
      <x:c r="E726" s="10" t="n">
        <x:v>6</x:v>
      </x:c>
      <x:c r="F726" s="21" t="n">
        <x:f>F598*(1+'Assumptions'!$M$108)</x:f>
        <x:v>3.920859800000002</x:v>
      </x:c>
      <x:c r="G726" s="21" t="n">
        <x:f>H598*'Assumptions'!$K$108</x:f>
        <x:v>1.9445615000000007</x:v>
      </x:c>
      <x:c r="H726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726+G726,NA())</x:f>
        <x:v>5.865421300000003</x:v>
      </x:c>
      <x:c r="I726" s="22" t="n">
        <x:f>'Assumptions'!$H$108*IF('Assumptions'!$O$108=1,1,'Assumptions'!$D$10)*(1+'Assumptions'!$N$108)^(6-1)</x:f>
        <x:v>1104.0808032</x:v>
      </x:c>
      <x:c r="J726" s="10" t="n">
        <x:f>H726*I726</x:f>
        <x:v>6475.899060010392</x:v>
      </x:c>
      <x:c r="K726" s="10" t="n">
        <x:f>J726*'Assumptions'!$T$108</x:f>
        <x:v>6475.899060010392</x:v>
      </x:c>
      <x:c r="L726" s="10" t="n">
        <x:f>K726*'Assumptions'!$U$108</x:f>
        <x:v>194.27697180031174</x:v>
      </x:c>
      <x:c r="M726" s="10" t="n">
        <x:f>K726*'Assumptions'!$V$108</x:f>
        <x:v>0</x:v>
      </x:c>
      <x:c r="N726" s="10" t="n">
        <x:f>K726-L726-M726</x:f>
        <x:v>6281.62208821008</x:v>
      </x:c>
      <x:c r="O726" s="10" t="n">
        <x:f>H726*'Assumptions'!$P$108*'Assumptions'!$Q$108*'Assumptions'!$D$11*(1+'Assumptions'!$D$13)^(6-1)</x:f>
        <x:v>2175.881871339842</x:v>
      </x:c>
      <x:c r="P726" s="10" t="n">
        <x:f>H726*'Assumptions'!$R$108*'Assumptions'!$D$11*(1+'Assumptions'!$D$13)^(6-1)</x:f>
        <x:v>679.9630847937007</x:v>
      </x:c>
      <x:c r="Q726" s="10" t="n">
        <x:f>J726*'Assumptions'!$S$108</x:f>
        <x:v>0</x:v>
      </x:c>
      <x:c r="R726" s="10" t="n">
        <x:f>H726*'Assumptions'!$Y$108*'Assumptions'!$Z$108*'Assumptions'!$D$11*(1+'Assumptions'!$D$13)^(6-1)</x:f>
        <x:v>101.9944627190551</x:v>
      </x:c>
      <x:c r="S726" s="10" t="n">
        <x:f>IF(I726=0,0,J726*'Assumptions'!$W$108+H726*'Assumptions'!$X$108)</x:f>
        <x:v>189.56069913030137</x:v>
      </x:c>
      <x:c r="T726" s="10" t="n">
        <x:f>N726*'Assumptions'!$AA$108</x:f>
        <x:v>502.5297670568064</x:v>
      </x:c>
      <x:c r="U726" s="10" t="n">
        <x:f>'Assumptions'!$AE$108*'Assumptions'!$D$11*(1+'Assumptions'!$D$13)^(6-1)</x:f>
        <x:v>0</x:v>
      </x:c>
      <x:c r="V726" s="10" t="n">
        <x:f>0</x:f>
        <x:v>0</x:v>
      </x:c>
      <x:c r="W726" s="10" t="n">
        <x:f>H726*('Assumptions'!$P$108+'Assumptions'!$Y$108)</x:f>
        <x:v>49.85608105000003</x:v>
      </x:c>
      <x:c r="X726" s="10" t="n">
        <x:f>N726/12*'Assumptions'!$AF$108</x:f>
        <x:v>523.46850735084</x:v>
      </x:c>
      <x:c r="Y726" s="10" t="n">
        <x:f>P726/12</x:f>
        <x:v>56.663590399475055</x:v>
      </x:c>
      <x:c r="Z726" s="10" t="n">
        <x:f>0</x:f>
        <x:v>0</x:v>
      </x:c>
      <x:c r="AA726" s="10" t="n">
        <x:f>Z726*'Assumptions'!$AC$108*'Assumptions'!$D$11*(1+'Assumptions'!$D$13)^(6-1)</x:f>
        <x:v>0</x:v>
      </x:c>
      <x:c r="AB726" s="10" t="n">
        <x:f>F726/1</x:f>
        <x:v>3.920859800000002</x:v>
      </x:c>
      <x:c r="AC726" s="10" t="n">
        <x:f>AB726/'Assumptions'!$AM$108</x:f>
        <x:v>39.208598000000016</x:v>
      </x:c>
      <x:c r="AD726" s="10" t="n">
        <x:f>IF(AB726=0,0,T726/AB726)</x:f>
        <x:v>128.1682571401319</x:v>
      </x:c>
      <x:c r="AE726" s="10" t="n">
        <x:f>AA726*'Assumptions'!$D$21</x:f>
        <x:v>0</x:v>
      </x:c>
    </x:row>
    <x:row r="727" ht="16" customHeight="1">
      <x:c r="A727" s="1"/>
      <x:c r="B727" s="1"/>
      <x:c r="C727" s="1" t="str">
        <x:v>DOT-080</x:v>
      </x:c>
      <x:c r="D727" s="10" t="str">
        <x:v>Tomato Odyssey</x:v>
      </x:c>
      <x:c r="E727" s="10" t="n">
        <x:v>6</x:v>
      </x:c>
      <x:c r="F727" s="21" t="n">
        <x:f>F599*(1+'Assumptions'!$M$109)</x:f>
        <x:v>11.762579400000005</x:v>
      </x:c>
      <x:c r="G727" s="21" t="n">
        <x:f>H599*'Assumptions'!$K$109</x:f>
        <x:v>5.833684500000001</x:v>
      </x:c>
      <x:c r="H727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727+G727,NA())</x:f>
        <x:v>17.596263900000007</x:v>
      </x:c>
      <x:c r="I727" s="22" t="n">
        <x:f>'Assumptions'!$H$109*IF('Assumptions'!$O$109=1,1,'Assumptions'!$D$10)*(1+'Assumptions'!$N$109)^(6-1)</x:f>
        <x:v>276.0202008</x:v>
      </x:c>
      <x:c r="J727" s="10" t="n">
        <x:f>H727*I727</x:f>
        <x:v>4856.924295007793</x:v>
      </x:c>
      <x:c r="K727" s="10" t="n">
        <x:f>J727*'Assumptions'!$T$109</x:f>
        <x:v>4856.924295007793</x:v>
      </x:c>
      <x:c r="L727" s="10" t="n">
        <x:f>K727*'Assumptions'!$U$109</x:f>
        <x:v>145.7077288502338</x:v>
      </x:c>
      <x:c r="M727" s="10" t="n">
        <x:f>K727*'Assumptions'!$V$109</x:f>
        <x:v>0</x:v>
      </x:c>
      <x:c r="N727" s="10" t="n">
        <x:f>K727-L727-M727</x:f>
        <x:v>4711.216566157559</x:v>
      </x:c>
      <x:c r="O727" s="10" t="n">
        <x:f>H727*'Assumptions'!$P$109*'Assumptions'!$Q$109*'Assumptions'!$D$11*(1+'Assumptions'!$D$13)^(6-1)</x:f>
        <x:v>1631.9114035048815</x:v>
      </x:c>
      <x:c r="P727" s="10" t="n">
        <x:f>H727*'Assumptions'!$R$109*'Assumptions'!$D$11*(1+'Assumptions'!$D$13)^(6-1)</x:f>
        <x:v>0</x:v>
      </x:c>
      <x:c r="Q727" s="10" t="n">
        <x:f>J727*'Assumptions'!$S$109</x:f>
        <x:v>0</x:v>
      </x:c>
      <x:c r="R727" s="10" t="n">
        <x:f>H727*'Assumptions'!$Y$109*'Assumptions'!$Z$109*'Assumptions'!$D$11*(1+'Assumptions'!$D$13)^(6-1)</x:f>
        <x:v>305.9833881571653</x:v>
      </x:c>
      <x:c r="S727" s="10" t="n">
        <x:f>IF(I727=0,0,J727*'Assumptions'!$W$109+H727*'Assumptions'!$X$109)</x:f>
        <x:v>146.12968372522602</x:v>
      </x:c>
      <x:c r="T727" s="10" t="n">
        <x:f>N727*'Assumptions'!$AA$109</x:f>
        <x:v>376.89732529260476</x:v>
      </x:c>
      <x:c r="U727" s="10" t="n">
        <x:f>'Assumptions'!$AE$109*'Assumptions'!$D$11*(1+'Assumptions'!$D$13)^(6-1)</x:f>
        <x:v>0</x:v>
      </x:c>
      <x:c r="V727" s="10" t="n">
        <x:f>0</x:f>
        <x:v>0</x:v>
      </x:c>
      <x:c r="W727" s="10" t="n">
        <x:f>H727*('Assumptions'!$P$109+'Assumptions'!$Y$109)</x:f>
        <x:v>43.99065975000002</x:v>
      </x:c>
      <x:c r="X727" s="10" t="n">
        <x:f>N727/12*'Assumptions'!$AF$109</x:f>
        <x:v>392.6013805131299</x:v>
      </x:c>
      <x:c r="Y727" s="10" t="n">
        <x:f>P727/12</x:f>
        <x:v>0</x:v>
      </x:c>
      <x:c r="Z727" s="10" t="n">
        <x:f>0</x:f>
        <x:v>0</x:v>
      </x:c>
      <x:c r="AA727" s="10" t="n">
        <x:f>Z727*'Assumptions'!$AC$109*'Assumptions'!$D$11*(1+'Assumptions'!$D$13)^(6-1)</x:f>
        <x:v>0</x:v>
      </x:c>
      <x:c r="AB727" s="10" t="n">
        <x:f>F727/1</x:f>
        <x:v>11.762579400000005</x:v>
      </x:c>
      <x:c r="AC727" s="10" t="n">
        <x:f>AB727/'Assumptions'!$AM$109</x:f>
        <x:v>117.62579400000004</x:v>
      </x:c>
      <x:c r="AD727" s="10" t="n">
        <x:f>IF(AB727=0,0,T727/AB727)</x:f>
        <x:v>32.04206428503297</x:v>
      </x:c>
      <x:c r="AE727" s="10" t="n">
        <x:f>AA727*'Assumptions'!$D$21</x:f>
        <x:v>0</x:v>
      </x:c>
    </x:row>
    <x:row r="728" ht="16" customHeight="1">
      <x:c r="A728" s="1"/>
      <x:c r="B728" s="1"/>
      <x:c r="C728" s="1" t="str">
        <x:v>DOT-081</x:v>
      </x:c>
      <x:c r="D728" s="10" t="str">
        <x:v>Tomato Odyssey</x:v>
      </x:c>
      <x:c r="E728" s="10" t="n">
        <x:v>6</x:v>
      </x:c>
      <x:c r="F728" s="21" t="n">
        <x:f>F600*(1+'Assumptions'!$M$110)</x:f>
        <x:v>3.920859800000002</x:v>
      </x:c>
      <x:c r="G728" s="21" t="n">
        <x:f>H600*'Assumptions'!$K$110</x:f>
        <x:v>1.9445615000000007</x:v>
      </x:c>
      <x:c r="H728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728+G728,NA())</x:f>
        <x:v>5.865421300000003</x:v>
      </x:c>
      <x:c r="I728" s="22" t="n">
        <x:f>'Assumptions'!$H$110*IF('Assumptions'!$O$110=1,1,'Assumptions'!$D$10)*(1+'Assumptions'!$N$110)^(6-1)</x:f>
        <x:v>1104.0808032</x:v>
      </x:c>
      <x:c r="J728" s="10" t="n">
        <x:f>H728*I728</x:f>
        <x:v>6475.899060010392</x:v>
      </x:c>
      <x:c r="K728" s="10" t="n">
        <x:f>J728*'Assumptions'!$T$110</x:f>
        <x:v>6475.899060010392</x:v>
      </x:c>
      <x:c r="L728" s="10" t="n">
        <x:f>K728*'Assumptions'!$U$110</x:f>
        <x:v>194.27697180031174</x:v>
      </x:c>
      <x:c r="M728" s="10" t="n">
        <x:f>K728*'Assumptions'!$V$110</x:f>
        <x:v>0</x:v>
      </x:c>
      <x:c r="N728" s="10" t="n">
        <x:f>K728-L728-M728</x:f>
        <x:v>6281.62208821008</x:v>
      </x:c>
      <x:c r="O728" s="10" t="n">
        <x:f>H728*'Assumptions'!$P$110*'Assumptions'!$Q$110*'Assumptions'!$D$11*(1+'Assumptions'!$D$13)^(6-1)</x:f>
        <x:v>2175.881871339842</x:v>
      </x:c>
      <x:c r="P728" s="10" t="n">
        <x:f>H728*'Assumptions'!$R$110*'Assumptions'!$D$11*(1+'Assumptions'!$D$13)^(6-1)</x:f>
        <x:v>679.9630847937007</x:v>
      </x:c>
      <x:c r="Q728" s="10" t="n">
        <x:f>J728*'Assumptions'!$S$110</x:f>
        <x:v>0</x:v>
      </x:c>
      <x:c r="R728" s="10" t="n">
        <x:f>H728*'Assumptions'!$Y$110*'Assumptions'!$Z$110*'Assumptions'!$D$11*(1+'Assumptions'!$D$13)^(6-1)</x:f>
        <x:v>101.9944627190551</x:v>
      </x:c>
      <x:c r="S728" s="10" t="n">
        <x:f>IF(I728=0,0,J728*'Assumptions'!$W$110+H728*'Assumptions'!$X$110)</x:f>
        <x:v>189.56069913030137</x:v>
      </x:c>
      <x:c r="T728" s="10" t="n">
        <x:f>N728*'Assumptions'!$AA$110</x:f>
        <x:v>502.5297670568064</x:v>
      </x:c>
      <x:c r="U728" s="10" t="n">
        <x:f>'Assumptions'!$AE$110*'Assumptions'!$D$11*(1+'Assumptions'!$D$13)^(6-1)</x:f>
        <x:v>0</x:v>
      </x:c>
      <x:c r="V728" s="10" t="n">
        <x:f>0</x:f>
        <x:v>0</x:v>
      </x:c>
      <x:c r="W728" s="10" t="n">
        <x:f>H728*('Assumptions'!$P$110+'Assumptions'!$Y$110)</x:f>
        <x:v>49.85608105000003</x:v>
      </x:c>
      <x:c r="X728" s="10" t="n">
        <x:f>N728/12*'Assumptions'!$AF$110</x:f>
        <x:v>523.46850735084</x:v>
      </x:c>
      <x:c r="Y728" s="10" t="n">
        <x:f>P728/12</x:f>
        <x:v>56.663590399475055</x:v>
      </x:c>
      <x:c r="Z728" s="10" t="n">
        <x:f>0</x:f>
        <x:v>0</x:v>
      </x:c>
      <x:c r="AA728" s="10" t="n">
        <x:f>Z728*'Assumptions'!$AC$110*'Assumptions'!$D$11*(1+'Assumptions'!$D$13)^(6-1)</x:f>
        <x:v>0</x:v>
      </x:c>
      <x:c r="AB728" s="10" t="n">
        <x:f>F728/1</x:f>
        <x:v>3.920859800000002</x:v>
      </x:c>
      <x:c r="AC728" s="10" t="n">
        <x:f>AB728/'Assumptions'!$AM$110</x:f>
        <x:v>39.208598000000016</x:v>
      </x:c>
      <x:c r="AD728" s="10" t="n">
        <x:f>IF(AB728=0,0,T728/AB728)</x:f>
        <x:v>128.1682571401319</x:v>
      </x:c>
      <x:c r="AE728" s="10" t="n">
        <x:f>AA728*'Assumptions'!$D$21</x:f>
        <x:v>0</x:v>
      </x:c>
    </x:row>
    <x:row r="729" ht="16" customHeight="1">
      <x:c r="A729" s="1"/>
      <x:c r="B729" s="1"/>
      <x:c r="C729" s="1" t="str">
        <x:v>DOT-082</x:v>
      </x:c>
      <x:c r="D729" s="10" t="str">
        <x:v>Semajes Studio</x:v>
      </x:c>
      <x:c r="E729" s="10" t="n">
        <x:v>6</x:v>
      </x:c>
      <x:c r="F729" s="21" t="n">
        <x:f>F601*(1+'Assumptions'!$M$111)</x:f>
        <x:v>27.144414000000005</x:v>
      </x:c>
      <x:c r="G729" s="21" t="n">
        <x:f>H601*'Assumptions'!$K$111</x:f>
        <x:v>23.970150000000004</x:v>
      </x:c>
      <x:c r="H729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729+G729,NA())</x:f>
        <x:v>51.11456400000001</x:v>
      </x:c>
      <x:c r="I729" s="22" t="n">
        <x:f>'Assumptions'!$H$111*IF('Assumptions'!$O$111=1,1,'Assumptions'!$D$10)*(1+'Assumptions'!$N$111)^(6-1)</x:f>
        <x:v>607.24444176</x:v>
      </x:c>
      <x:c r="J729" s="10" t="n">
        <x:f>H729*I729</x:f>
        <x:v>31039.034881985797</x:v>
      </x:c>
      <x:c r="K729" s="10" t="n">
        <x:f>J729*'Assumptions'!$T$111</x:f>
        <x:v>31039.034881985797</x:v>
      </x:c>
      <x:c r="L729" s="10" t="n">
        <x:f>K729*'Assumptions'!$U$111</x:f>
        <x:v>931.1710464595739</x:v>
      </x:c>
      <x:c r="M729" s="10" t="n">
        <x:f>K729*'Assumptions'!$V$111</x:f>
        <x:v>0</x:v>
      </x:c>
      <x:c r="N729" s="10" t="n">
        <x:f>K729-L729-M729</x:f>
        <x:v>30107.863835526223</x:v>
      </x:c>
      <x:c r="O729" s="10" t="n">
        <x:f>H729*'Assumptions'!$P$111*'Assumptions'!$Q$111*'Assumptions'!$D$11*(1+'Assumptions'!$D$13)^(6-1)</x:f>
        <x:v>17776.736659304435</x:v>
      </x:c>
      <x:c r="P729" s="10" t="n">
        <x:f>H729*'Assumptions'!$R$111*'Assumptions'!$D$11*(1+'Assumptions'!$D$13)^(6-1)</x:f>
        <x:v>4740.4631091478495</x:v>
      </x:c>
      <x:c r="Q729" s="10" t="n">
        <x:f>J729*'Assumptions'!$S$111</x:f>
        <x:v>0</x:v>
      </x:c>
      <x:c r="R729" s="10" t="n">
        <x:f>H729*'Assumptions'!$Y$111*'Assumptions'!$Z$111*'Assumptions'!$D$11*(1+'Assumptions'!$D$13)^(6-1)</x:f>
        <x:v>444.4184164826109</x:v>
      </x:c>
      <x:c r="S729" s="10" t="n">
        <x:f>IF(I729=0,0,J729*'Assumptions'!$W$111+H729*'Assumptions'!$X$111)</x:f>
        <x:v>915.4663807775881</x:v>
      </x:c>
      <x:c r="T729" s="10" t="n">
        <x:f>N729*'Assumptions'!$AA$111</x:f>
        <x:v>1204.314553421049</x:v>
      </x:c>
      <x:c r="U729" s="10" t="n">
        <x:f>'Assumptions'!$AE$111*'Assumptions'!$D$11*(1+'Assumptions'!$D$13)^(6-1)</x:f>
        <x:v>0</x:v>
      </x:c>
      <x:c r="V729" s="10" t="n">
        <x:f>0</x:f>
        <x:v>0</x:v>
      </x:c>
      <x:c r="W729" s="10" t="n">
        <x:f>H729*('Assumptions'!$P$111+'Assumptions'!$Y$111)</x:f>
        <x:v>319.46602500000006</x:v>
      </x:c>
      <x:c r="X729" s="10" t="n">
        <x:f>N729/12*'Assumptions'!$AF$111</x:f>
        <x:v>2508.9886529605187</x:v>
      </x:c>
      <x:c r="Y729" s="10" t="n">
        <x:f>P729/12</x:f>
        <x:v>395.03859242898744</x:v>
      </x:c>
      <x:c r="Z729" s="10" t="n">
        <x:f>0</x:f>
        <x:v>0</x:v>
      </x:c>
      <x:c r="AA729" s="10" t="n">
        <x:f>Z729*'Assumptions'!$AC$111*'Assumptions'!$D$11*(1+'Assumptions'!$D$13)^(6-1)</x:f>
        <x:v>0</x:v>
      </x:c>
      <x:c r="AB729" s="10" t="n">
        <x:f>F729/1</x:f>
        <x:v>27.144414000000005</x:v>
      </x:c>
      <x:c r="AC729" s="10" t="n">
        <x:f>AB729/'Assumptions'!$AM$111</x:f>
        <x:v>135.72207</x:v>
      </x:c>
      <x:c r="AD729" s="10" t="n">
        <x:f>IF(AB729=0,0,T729/AB729)</x:f>
        <x:v>44.36693875288849</x:v>
      </x:c>
      <x:c r="AE729" s="10" t="n">
        <x:f>AA729*'Assumptions'!$D$21</x:f>
        <x:v>0</x:v>
      </x:c>
    </x:row>
    <x:row r="730" ht="16" customHeight="1">
      <x:c r="A730" s="1"/>
      <x:c r="B730" s="1"/>
      <x:c r="C730" s="1" t="str">
        <x:v>DOT-083</x:v>
      </x:c>
      <x:c r="D730" s="10" t="str">
        <x:v>Semajes Studio</x:v>
      </x:c>
      <x:c r="E730" s="10" t="n">
        <x:v>6</x:v>
      </x:c>
      <x:c r="F730" s="21" t="n">
        <x:f>F602*(1+'Assumptions'!$M$112)</x:f>
        <x:v>13.572207000000002</x:v>
      </x:c>
      <x:c r="G730" s="21" t="n">
        <x:f>H602*'Assumptions'!$K$112</x:f>
        <x:v>11.985075000000002</x:v>
      </x:c>
      <x:c r="H730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730+G730,NA())</x:f>
        <x:v>25.557282000000004</x:v>
      </x:c>
      <x:c r="I730" s="22" t="n">
        <x:f>'Assumptions'!$H$112*IF('Assumptions'!$O$112=1,1,'Assumptions'!$D$10)*(1+'Assumptions'!$N$112)^(6-1)</x:f>
        <x:v>1324.8969638400001</x:v>
      </x:c>
      <x:c r="J730" s="10" t="n">
        <x:f>H730*I730</x:f>
        <x:v>33860.76532580269</x:v>
      </x:c>
      <x:c r="K730" s="10" t="n">
        <x:f>J730*'Assumptions'!$T$112</x:f>
        <x:v>33860.76532580269</x:v>
      </x:c>
      <x:c r="L730" s="10" t="n">
        <x:f>K730*'Assumptions'!$U$112</x:f>
        <x:v>1015.8229597740807</x:v>
      </x:c>
      <x:c r="M730" s="10" t="n">
        <x:f>K730*'Assumptions'!$V$112</x:f>
        <x:v>0</x:v>
      </x:c>
      <x:c r="N730" s="10" t="n">
        <x:f>K730-L730-M730</x:f>
        <x:v>32844.94236602861</x:v>
      </x:c>
      <x:c r="O730" s="10" t="n">
        <x:f>H730*'Assumptions'!$P$112*'Assumptions'!$Q$112*'Assumptions'!$D$11*(1+'Assumptions'!$D$13)^(6-1)</x:f>
        <x:v>14813.947216087028</x:v>
      </x:c>
      <x:c r="P730" s="10" t="n">
        <x:f>H730*'Assumptions'!$R$112*'Assumptions'!$D$11*(1+'Assumptions'!$D$13)^(6-1)</x:f>
        <x:v>4444.184164826109</x:v>
      </x:c>
      <x:c r="Q730" s="10" t="n">
        <x:f>J730*'Assumptions'!$S$112</x:f>
        <x:v>0</x:v>
      </x:c>
      <x:c r="R730" s="10" t="n">
        <x:f>H730*'Assumptions'!$Y$112*'Assumptions'!$Z$112*'Assumptions'!$D$11*(1+'Assumptions'!$D$13)^(6-1)</x:f>
        <x:v>222.20920824130545</x:v>
      </x:c>
      <x:c r="S730" s="10" t="n">
        <x:f>IF(I730=0,0,J730*'Assumptions'!$W$112+H730*'Assumptions'!$X$112)</x:f>
        <x:v>989.6293790482781</x:v>
      </x:c>
      <x:c r="T730" s="10" t="n">
        <x:f>N730*'Assumptions'!$AA$112</x:f>
        <x:v>1313.7976946411445</x:v>
      </x:c>
      <x:c r="U730" s="10" t="n">
        <x:f>'Assumptions'!$AE$112*'Assumptions'!$D$11*(1+'Assumptions'!$D$13)^(6-1)</x:f>
        <x:v>0</x:v>
      </x:c>
      <x:c r="V730" s="10" t="n">
        <x:f>0</x:f>
        <x:v>0</x:v>
      </x:c>
      <x:c r="W730" s="10" t="n">
        <x:f>H730*('Assumptions'!$P$112+'Assumptions'!$Y$112)</x:f>
        <x:v>261.96214050000003</x:v>
      </x:c>
      <x:c r="X730" s="10" t="n">
        <x:f>N730/12*'Assumptions'!$AF$112</x:f>
        <x:v>2737.078530502384</x:v>
      </x:c>
      <x:c r="Y730" s="10" t="n">
        <x:f>P730/12</x:f>
        <x:v>370.3486804021757</x:v>
      </x:c>
      <x:c r="Z730" s="10" t="n">
        <x:f>0</x:f>
        <x:v>0</x:v>
      </x:c>
      <x:c r="AA730" s="10" t="n">
        <x:f>Z730*'Assumptions'!$AC$112*'Assumptions'!$D$11*(1+'Assumptions'!$D$13)^(6-1)</x:f>
        <x:v>0</x:v>
      </x:c>
      <x:c r="AB730" s="10" t="n">
        <x:f>F730/1</x:f>
        <x:v>13.572207000000002</x:v>
      </x:c>
      <x:c r="AC730" s="10" t="n">
        <x:f>AB730/'Assumptions'!$AM$112</x:f>
        <x:v>67.861035</x:v>
      </x:c>
      <x:c r="AD730" s="10" t="n">
        <x:f>IF(AB730=0,0,T730/AB730)</x:f>
        <x:v>96.8005936426658</x:v>
      </x:c>
      <x:c r="AE730" s="10" t="n">
        <x:f>AA730*'Assumptions'!$D$21</x:f>
        <x:v>0</x:v>
      </x:c>
    </x:row>
    <x:row r="731" ht="16" customHeight="1">
      <x:c r="A731" s="1"/>
      <x:c r="B731" s="1"/>
      <x:c r="C731" s="1" t="str">
        <x:v>DOT-084</x:v>
      </x:c>
      <x:c r="D731" s="10" t="str">
        <x:v>Semajes Studio</x:v>
      </x:c>
      <x:c r="E731" s="10" t="n">
        <x:v>6</x:v>
      </x:c>
      <x:c r="F731" s="21" t="n">
        <x:f>F603*(1+'Assumptions'!$M$113)</x:f>
        <x:v>90.48138000000002</x:v>
      </x:c>
      <x:c r="G731" s="21" t="n">
        <x:f>H603*'Assumptions'!$K$113</x:f>
        <x:v>79.90050000000002</x:v>
      </x:c>
      <x:c r="H731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731+G731,NA())</x:f>
        <x:v>170.38188000000002</x:v>
      </x:c>
      <x:c r="I731" s="22" t="n">
        <x:f>'Assumptions'!$H$113*IF('Assumptions'!$O$113=1,1,'Assumptions'!$D$10)*(1+'Assumptions'!$N$113)^(6-1)</x:f>
        <x:v>38.642828112000004</x:v>
      </x:c>
      <x:c r="J731" s="10" t="n">
        <x:f>H731*I731</x:f>
        <x:v>6584.037702239412</x:v>
      </x:c>
      <x:c r="K731" s="10" t="n">
        <x:f>J731*'Assumptions'!$T$113</x:f>
        <x:v>6584.037702239412</x:v>
      </x:c>
      <x:c r="L731" s="10" t="n">
        <x:f>K731*'Assumptions'!$U$113</x:f>
        <x:v>197.52113106718235</x:v>
      </x:c>
      <x:c r="M731" s="10" t="n">
        <x:f>K731*'Assumptions'!$V$113</x:f>
        <x:v>0</x:v>
      </x:c>
      <x:c r="N731" s="10" t="n">
        <x:f>K731-L731-M731</x:f>
        <x:v>6386.51657117223</x:v>
      </x:c>
      <x:c r="O731" s="10" t="n">
        <x:f>H731*'Assumptions'!$P$113*'Assumptions'!$Q$113*'Assumptions'!$D$11*(1+'Assumptions'!$D$13)^(6-1)</x:f>
        <x:v>987.5964810724686</x:v>
      </x:c>
      <x:c r="P731" s="10" t="n">
        <x:f>H731*'Assumptions'!$R$113*'Assumptions'!$D$11*(1+'Assumptions'!$D$13)^(6-1)</x:f>
        <x:v>0</x:v>
      </x:c>
      <x:c r="Q731" s="10" t="n">
        <x:f>J731*'Assumptions'!$S$113</x:f>
        <x:v>0</x:v>
      </x:c>
      <x:c r="R731" s="10" t="n">
        <x:f>H731*'Assumptions'!$Y$113*'Assumptions'!$Z$113*'Assumptions'!$D$11*(1+'Assumptions'!$D$13)^(6-1)</x:f>
        <x:v>1481.394721608703</x:v>
      </x:c>
      <x:c r="S731" s="10" t="n">
        <x:f>IF(I731=0,0,J731*'Assumptions'!$W$113+H731*'Assumptions'!$X$113)</x:f>
        <x:v>242.05165736494297</x:v>
      </x:c>
      <x:c r="T731" s="10" t="n">
        <x:f>N731*'Assumptions'!$AA$113</x:f>
        <x:v>255.46066284688922</x:v>
      </x:c>
      <x:c r="U731" s="10" t="n">
        <x:f>'Assumptions'!$AE$113*'Assumptions'!$D$11*(1+'Assumptions'!$D$13)^(6-1)</x:f>
        <x:v>0</x:v>
      </x:c>
      <x:c r="V731" s="10" t="n">
        <x:f>0</x:f>
        <x:v>0</x:v>
      </x:c>
      <x:c r="W731" s="10" t="n">
        <x:f>H731*('Assumptions'!$P$113+'Assumptions'!$Y$113)</x:f>
        <x:v>59.633658000000004</x:v>
      </x:c>
      <x:c r="X731" s="10" t="n">
        <x:f>N731/12*'Assumptions'!$AF$113</x:f>
        <x:v>532.2097142643526</x:v>
      </x:c>
      <x:c r="Y731" s="10" t="n">
        <x:f>P731/12</x:f>
        <x:v>0</x:v>
      </x:c>
      <x:c r="Z731" s="10" t="n">
        <x:f>0</x:f>
        <x:v>0</x:v>
      </x:c>
      <x:c r="AA731" s="10" t="n">
        <x:f>Z731*'Assumptions'!$AC$113*'Assumptions'!$D$11*(1+'Assumptions'!$D$13)^(6-1)</x:f>
        <x:v>0</x:v>
      </x:c>
      <x:c r="AB731" s="10" t="n">
        <x:f>F731/1</x:f>
        <x:v>90.48138000000002</x:v>
      </x:c>
      <x:c r="AC731" s="10" t="n">
        <x:f>AB731/'Assumptions'!$AM$113</x:f>
        <x:v>452.40690000000006</x:v>
      </x:c>
      <x:c r="AD731" s="10" t="n">
        <x:f>IF(AB731=0,0,T731/AB731)</x:f>
        <x:v>2.823350647911086</x:v>
      </x:c>
      <x:c r="AE731" s="10" t="n">
        <x:f>AA731*'Assumptions'!$D$21</x:f>
        <x:v>0</x:v>
      </x:c>
    </x:row>
    <x:row r="732" ht="16" customHeight="1">
      <x:c r="A732" s="1"/>
      <x:c r="B732" s="1"/>
      <x:c r="C732" s="1" t="str">
        <x:v>DOT-085</x:v>
      </x:c>
      <x:c r="D732" s="10" t="str">
        <x:v>Semajes Studio</x:v>
      </x:c>
      <x:c r="E732" s="10" t="n">
        <x:v>6</x:v>
      </x:c>
      <x:c r="F732" s="21" t="n">
        <x:f>F604*(1+'Assumptions'!$M$114)</x:f>
        <x:v>27.144414000000005</x:v>
      </x:c>
      <x:c r="G732" s="21" t="n">
        <x:f>H604*'Assumptions'!$K$114</x:f>
        <x:v>23.970150000000004</x:v>
      </x:c>
      <x:c r="H732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732+G732,NA())</x:f>
        <x:v>51.11456400000001</x:v>
      </x:c>
      <x:c r="I732" s="22" t="n">
        <x:f>'Assumptions'!$H$114*IF('Assumptions'!$O$114=1,1,'Assumptions'!$D$10)*(1+'Assumptions'!$N$114)^(6-1)</x:f>
        <x:v>165.61212048000002</x:v>
      </x:c>
      <x:c r="J732" s="10" t="n">
        <x:f>H732*I732</x:f>
        <x:v>8465.191331450673</x:v>
      </x:c>
      <x:c r="K732" s="10" t="n">
        <x:f>J732*'Assumptions'!$T$114</x:f>
        <x:v>8465.191331450673</x:v>
      </x:c>
      <x:c r="L732" s="10" t="n">
        <x:f>K732*'Assumptions'!$U$114</x:f>
        <x:v>253.95573994352017</x:v>
      </x:c>
      <x:c r="M732" s="10" t="n">
        <x:f>K732*'Assumptions'!$V$114</x:f>
        <x:v>0</x:v>
      </x:c>
      <x:c r="N732" s="10" t="n">
        <x:f>K732-L732-M732</x:f>
        <x:v>8211.235591507153</x:v>
      </x:c>
      <x:c r="O732" s="10" t="n">
        <x:f>H732*'Assumptions'!$P$114*'Assumptions'!$Q$114*'Assumptions'!$D$11*(1+'Assumptions'!$D$13)^(6-1)</x:f>
        <x:v>740.6973608043515</x:v>
      </x:c>
      <x:c r="P732" s="10" t="n">
        <x:f>H732*'Assumptions'!$R$114*'Assumptions'!$D$11*(1+'Assumptions'!$D$13)^(6-1)</x:f>
        <x:v>0</x:v>
      </x:c>
      <x:c r="Q732" s="10" t="n">
        <x:f>J732*'Assumptions'!$S$114</x:f>
        <x:v>0</x:v>
      </x:c>
      <x:c r="R732" s="10" t="n">
        <x:f>H732*'Assumptions'!$Y$114*'Assumptions'!$Z$114*'Assumptions'!$D$11*(1+'Assumptions'!$D$13)^(6-1)</x:f>
        <x:v>444.4184164826109</x:v>
      </x:c>
      <x:c r="S732" s="10" t="n">
        <x:f>IF(I732=0,0,J732*'Assumptions'!$W$114+H732*'Assumptions'!$X$114)</x:f>
        <x:v>260.82491781206954</x:v>
      </x:c>
      <x:c r="T732" s="10" t="n">
        <x:f>N732*'Assumptions'!$AA$114</x:f>
        <x:v>328.44942366028613</x:v>
      </x:c>
      <x:c r="U732" s="10" t="n">
        <x:f>'Assumptions'!$AE$114*'Assumptions'!$D$11*(1+'Assumptions'!$D$13)^(6-1)</x:f>
        <x:v>0</x:v>
      </x:c>
      <x:c r="V732" s="10" t="n">
        <x:f>0</x:f>
        <x:v>0</x:v>
      </x:c>
      <x:c r="W732" s="10" t="n">
        <x:f>H732*('Assumptions'!$P$114+'Assumptions'!$Y$114)</x:f>
        <x:v>25.557282000000004</x:v>
      </x:c>
      <x:c r="X732" s="10" t="n">
        <x:f>N732/12*'Assumptions'!$AF$114</x:f>
        <x:v>684.269632625596</x:v>
      </x:c>
      <x:c r="Y732" s="10" t="n">
        <x:f>P732/12</x:f>
        <x:v>0</x:v>
      </x:c>
      <x:c r="Z732" s="10" t="n">
        <x:f>0</x:f>
        <x:v>0</x:v>
      </x:c>
      <x:c r="AA732" s="10" t="n">
        <x:f>Z732*'Assumptions'!$AC$114*'Assumptions'!$D$11*(1+'Assumptions'!$D$13)^(6-1)</x:f>
        <x:v>0</x:v>
      </x:c>
      <x:c r="AB732" s="10" t="n">
        <x:f>F732/1</x:f>
        <x:v>27.144414000000005</x:v>
      </x:c>
      <x:c r="AC732" s="10" t="n">
        <x:f>AB732/'Assumptions'!$AM$114</x:f>
        <x:v>135.72207</x:v>
      </x:c>
      <x:c r="AD732" s="10" t="n">
        <x:f>IF(AB732=0,0,T732/AB732)</x:f>
        <x:v>12.100074205333225</x:v>
      </x:c>
      <x:c r="AE732" s="10" t="n">
        <x:f>AA732*'Assumptions'!$D$21</x:f>
        <x:v>0</x:v>
      </x:c>
    </x:row>
    <x:row r="733" ht="16" customHeight="1">
      <x:c r="A733" s="1"/>
      <x:c r="B733" s="1"/>
      <x:c r="C733" s="1" t="str">
        <x:v>DOT-086</x:v>
      </x:c>
      <x:c r="D733" s="10" t="str">
        <x:v>Semajes Studio</x:v>
      </x:c>
      <x:c r="E733" s="10" t="n">
        <x:v>6</x:v>
      </x:c>
      <x:c r="F733" s="21" t="n">
        <x:f>F605*(1+'Assumptions'!$M$115)</x:f>
        <x:v>13.572207000000002</x:v>
      </x:c>
      <x:c r="G733" s="21" t="n">
        <x:f>H605*'Assumptions'!$K$115</x:f>
        <x:v>11.985075000000002</x:v>
      </x:c>
      <x:c r="H733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733+G733,NA())</x:f>
        <x:v>25.557282000000004</x:v>
      </x:c>
      <x:c r="I733" s="22" t="n">
        <x:f>'Assumptions'!$H$115*IF('Assumptions'!$O$115=1,1,'Assumptions'!$D$10)*(1+'Assumptions'!$N$115)^(6-1)</x:f>
        <x:v>552.0404016</x:v>
      </x:c>
      <x:c r="J733" s="10" t="n">
        <x:f>H733*I733</x:f>
        <x:v>14108.652219084453</x:v>
      </x:c>
      <x:c r="K733" s="10" t="n">
        <x:f>J733*'Assumptions'!$T$115</x:f>
        <x:v>14108.652219084453</x:v>
      </x:c>
      <x:c r="L733" s="10" t="n">
        <x:f>K733*'Assumptions'!$U$115</x:f>
        <x:v>423.2595665725336</x:v>
      </x:c>
      <x:c r="M733" s="10" t="n">
        <x:f>K733*'Assumptions'!$V$115</x:f>
        <x:v>0</x:v>
      </x:c>
      <x:c r="N733" s="10" t="n">
        <x:f>K733-L733-M733</x:f>
        <x:v>13685.39265251192</x:v>
      </x:c>
      <x:c r="O733" s="10" t="n">
        <x:f>H733*'Assumptions'!$P$115*'Assumptions'!$Q$115*'Assumptions'!$D$11*(1+'Assumptions'!$D$13)^(6-1)</x:f>
        <x:v>1481.394721608703</x:v>
      </x:c>
      <x:c r="P733" s="10" t="n">
        <x:f>H733*'Assumptions'!$R$115*'Assumptions'!$D$11*(1+'Assumptions'!$D$13)^(6-1)</x:f>
        <x:v>0</x:v>
      </x:c>
      <x:c r="Q733" s="10" t="n">
        <x:f>J733*'Assumptions'!$S$115</x:f>
        <x:v>0</x:v>
      </x:c>
      <x:c r="R733" s="10" t="n">
        <x:f>H733*'Assumptions'!$Y$115*'Assumptions'!$Z$115*'Assumptions'!$D$11*(1+'Assumptions'!$D$13)^(6-1)</x:f>
        <x:v>222.20920824130545</x:v>
      </x:c>
      <x:c r="S733" s="10" t="n">
        <x:f>IF(I733=0,0,J733*'Assumptions'!$W$115+H733*'Assumptions'!$X$115)</x:f>
        <x:v>416.8180989534492</x:v>
      </x:c>
      <x:c r="T733" s="10" t="n">
        <x:f>N733*'Assumptions'!$AA$115</x:f>
        <x:v>547.4157061004769</x:v>
      </x:c>
      <x:c r="U733" s="10" t="n">
        <x:f>'Assumptions'!$AE$115*'Assumptions'!$D$11*(1+'Assumptions'!$D$13)^(6-1)</x:f>
        <x:v>0</x:v>
      </x:c>
      <x:c r="V733" s="10" t="n">
        <x:f>0</x:f>
        <x:v>0</x:v>
      </x:c>
      <x:c r="W733" s="10" t="n">
        <x:f>H733*('Assumptions'!$P$115+'Assumptions'!$Y$115)</x:f>
        <x:v>31.946602500000004</x:v>
      </x:c>
      <x:c r="X733" s="10" t="n">
        <x:f>N733/12*'Assumptions'!$AF$115</x:f>
        <x:v>1140.4493877093266</x:v>
      </x:c>
      <x:c r="Y733" s="10" t="n">
        <x:f>P733/12</x:f>
        <x:v>0</x:v>
      </x:c>
      <x:c r="Z733" s="10" t="n">
        <x:f>0</x:f>
        <x:v>0</x:v>
      </x:c>
      <x:c r="AA733" s="10" t="n">
        <x:f>Z733*'Assumptions'!$AC$115*'Assumptions'!$D$11*(1+'Assumptions'!$D$13)^(6-1)</x:f>
        <x:v>0</x:v>
      </x:c>
      <x:c r="AB733" s="10" t="n">
        <x:f>F733/1</x:f>
        <x:v>13.572207000000002</x:v>
      </x:c>
      <x:c r="AC733" s="10" t="n">
        <x:f>AB733/'Assumptions'!$AM$115</x:f>
        <x:v>67.861035</x:v>
      </x:c>
      <x:c r="AD733" s="10" t="n">
        <x:f>IF(AB733=0,0,T733/AB733)</x:f>
        <x:v>40.33358068444409</x:v>
      </x:c>
      <x:c r="AE733" s="10" t="n">
        <x:f>AA733*'Assumptions'!$D$21</x:f>
        <x:v>0</x:v>
      </x:c>
    </x:row>
    <x:row r="734" ht="16" customHeight="1">
      <x:c r="A734" s="1"/>
      <x:c r="B734" s="1"/>
      <x:c r="C734" s="1" t="str">
        <x:v>DOT-087</x:v>
      </x:c>
      <x:c r="D734" s="10" t="str">
        <x:v>Semajes Studio</x:v>
      </x:c>
      <x:c r="E734" s="10" t="n">
        <x:v>6</x:v>
      </x:c>
      <x:c r="F734" s="21" t="n">
        <x:f>F606*(1+'Assumptions'!$M$116)</x:f>
        <x:v>136.14089502720006</x:v>
      </x:c>
      <x:c r="G734" s="21" t="n">
        <x:f>H606*'Assumptions'!$K$116</x:f>
        <x:v>54.09967075200001</x:v>
      </x:c>
      <x:c r="H734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734+G734,NA())</x:f>
        <x:v>190.24056577920007</x:v>
      </x:c>
      <x:c r="I734" s="22" t="n">
        <x:f>'Assumptions'!$H$116*IF('Assumptions'!$O$116=1,1,'Assumptions'!$D$10)*(1+'Assumptions'!$N$116)^(6-1)</x:f>
        <x:v>104.887676304</x:v>
      </x:c>
      <x:c r="J734" s="10" t="n">
        <x:f>H734*I734</x:f>
        <x:v>19953.890883338554</x:v>
      </x:c>
      <x:c r="K734" s="10" t="n">
        <x:f>J734*'Assumptions'!$T$116</x:f>
        <x:v>19953.890883338554</x:v>
      </x:c>
      <x:c r="L734" s="10" t="n">
        <x:f>K734*'Assumptions'!$U$116</x:f>
        <x:v>598.6167265001566</x:v>
      </x:c>
      <x:c r="M734" s="10" t="n">
        <x:f>K734*'Assumptions'!$V$116</x:f>
        <x:v>399.07781766677107</x:v>
      </x:c>
      <x:c r="N734" s="10" t="n">
        <x:f>K734-L734-M734</x:f>
        <x:v>18956.196339171627</x:v>
      </x:c>
      <x:c r="O734" s="10" t="n">
        <x:f>H734*'Assumptions'!$P$116*'Assumptions'!$Q$116*'Assumptions'!$D$11*(1+'Assumptions'!$D$13)^(6-1)</x:f>
        <x:v>1654.0571684099282</x:v>
      </x:c>
      <x:c r="P734" s="10" t="n">
        <x:f>H734*'Assumptions'!$R$116*'Assumptions'!$D$11*(1+'Assumptions'!$D$13)^(6-1)</x:f>
        <x:v>7718.933452579665</x:v>
      </x:c>
      <x:c r="Q734" s="10" t="n">
        <x:f>J734*'Assumptions'!$S$116</x:f>
        <x:v>0</x:v>
      </x:c>
      <x:c r="R734" s="10" t="n">
        <x:f>H734*'Assumptions'!$Y$116*'Assumptions'!$Z$116*'Assumptions'!$D$11*(1+'Assumptions'!$D$13)^(6-1)</x:f>
        <x:v>992.434301045957</x:v>
      </x:c>
      <x:c r="S734" s="10" t="n">
        <x:f>IF(I734=0,0,J734*'Assumptions'!$W$116+H734*'Assumptions'!$X$116)</x:f>
        <x:v>635.7350053505781</x:v>
      </x:c>
      <x:c r="T734" s="10" t="n">
        <x:f>N734*'Assumptions'!$AA$116</x:f>
        <x:v>1516.49570713373</x:v>
      </x:c>
      <x:c r="U734" s="10" t="n">
        <x:f>'Assumptions'!$AE$116*'Assumptions'!$D$11*(1+'Assumptions'!$D$13)^(6-1)</x:f>
        <x:v>0</x:v>
      </x:c>
      <x:c r="V734" s="10" t="n">
        <x:f>0</x:f>
        <x:v>0</x:v>
      </x:c>
      <x:c r="W734" s="10" t="n">
        <x:f>H734*('Assumptions'!$P$116+'Assumptions'!$Y$116)</x:f>
        <x:v>57.07216973376002</x:v>
      </x:c>
      <x:c r="X734" s="10" t="n">
        <x:f>N734/12*'Assumptions'!$AF$116</x:f>
        <x:v>0</x:v>
      </x:c>
      <x:c r="Y734" s="10" t="n">
        <x:f>P734/12</x:f>
        <x:v>643.2444543816388</x:v>
      </x:c>
      <x:c r="Z734" s="10" t="n">
        <x:f>0</x:f>
        <x:v>0</x:v>
      </x:c>
      <x:c r="AA734" s="10" t="n">
        <x:f>Z734*'Assumptions'!$AC$116*'Assumptions'!$D$11*(1+'Assumptions'!$D$13)^(6-1)</x:f>
        <x:v>0</x:v>
      </x:c>
      <x:c r="AB734" s="10" t="n">
        <x:f>F734/1</x:f>
        <x:v>136.14089502720006</x:v>
      </x:c>
      <x:c r="AC734" s="10" t="n">
        <x:f>AB734/'Assumptions'!$AM$116</x:f>
        <x:v>4538.029834240002</x:v>
      </x:c>
      <x:c r="AD734" s="10" t="n">
        <x:f>IF(AB734=0,0,T734/AB734)</x:f>
        <x:v>11.139163635076324</x:v>
      </x:c>
      <x:c r="AE734" s="10" t="n">
        <x:f>AA734*'Assumptions'!$D$21</x:f>
        <x:v>0</x:v>
      </x:c>
    </x:row>
    <x:row r="735" ht="16" customHeight="1">
      <x:c r="A735" s="1"/>
      <x:c r="B735" s="1"/>
      <x:c r="C735" s="1" t="str">
        <x:v>DOT-088</x:v>
      </x:c>
      <x:c r="D735" s="10" t="str">
        <x:v>Semajes Studio</x:v>
      </x:c>
      <x:c r="E735" s="10" t="n">
        <x:v>6</x:v>
      </x:c>
      <x:c r="F735" s="21" t="n">
        <x:f>F607*(1+'Assumptions'!$M$117)</x:f>
        <x:v>68.07044751360003</x:v>
      </x:c>
      <x:c r="G735" s="21" t="n">
        <x:f>H607*'Assumptions'!$K$117</x:f>
        <x:v>27.049835376000004</x:v>
      </x:c>
      <x:c r="H735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735+G735,NA())</x:f>
        <x:v>95.12028288960003</x:v>
      </x:c>
      <x:c r="I735" s="22" t="n">
        <x:f>'Assumptions'!$H$117*IF('Assumptions'!$O$117=1,1,'Assumptions'!$D$10)*(1+'Assumptions'!$N$117)^(6-1)</x:f>
        <x:v>276.0202008</x:v>
      </x:c>
      <x:c r="J735" s="10" t="n">
        <x:f>H735*I735</x:f>
        <x:v>26255.119583340205</x:v>
      </x:c>
      <x:c r="K735" s="10" t="n">
        <x:f>J735*'Assumptions'!$T$117</x:f>
        <x:v>26255.119583340205</x:v>
      </x:c>
      <x:c r="L735" s="10" t="n">
        <x:f>K735*'Assumptions'!$U$117</x:f>
        <x:v>787.6535875002062</x:v>
      </x:c>
      <x:c r="M735" s="10" t="n">
        <x:f>K735*'Assumptions'!$V$117</x:f>
        <x:v>525.1023916668041</x:v>
      </x:c>
      <x:c r="N735" s="10" t="n">
        <x:f>K735-L735-M735</x:f>
        <x:v>24942.363604173195</x:v>
      </x:c>
      <x:c r="O735" s="10" t="n">
        <x:f>H735*'Assumptions'!$P$117*'Assumptions'!$Q$117*'Assumptions'!$D$11*(1+'Assumptions'!$D$13)^(6-1)</x:f>
        <x:v>1378.3809736749402</x:v>
      </x:c>
      <x:c r="P735" s="10" t="n">
        <x:f>H735*'Assumptions'!$R$117*'Assumptions'!$D$11*(1+'Assumptions'!$D$13)^(6-1)</x:f>
        <x:v>12129.752568339472</x:v>
      </x:c>
      <x:c r="Q735" s="10" t="n">
        <x:f>J735*'Assumptions'!$S$117</x:f>
        <x:v>0</x:v>
      </x:c>
      <x:c r="R735" s="10" t="n">
        <x:f>H735*'Assumptions'!$Y$117*'Assumptions'!$Z$117*'Assumptions'!$D$11*(1+'Assumptions'!$D$13)^(6-1)</x:f>
        <x:v>496.2171505229785</x:v>
      </x:c>
      <x:c r="S735" s="10" t="n">
        <x:f>IF(I735=0,0,J735*'Assumptions'!$W$117+H735*'Assumptions'!$X$117)</x:f>
        <x:v>789.9345527837461</x:v>
      </x:c>
      <x:c r="T735" s="10" t="n">
        <x:f>N735*'Assumptions'!$AA$117</x:f>
        <x:v>1995.3890883338556</x:v>
      </x:c>
      <x:c r="U735" s="10" t="n">
        <x:f>'Assumptions'!$AE$117*'Assumptions'!$D$11*(1+'Assumptions'!$D$13)^(6-1)</x:f>
        <x:v>0</x:v>
      </x:c>
      <x:c r="V735" s="10" t="n">
        <x:f>0</x:f>
        <x:v>0</x:v>
      </x:c>
      <x:c r="W735" s="10" t="n">
        <x:f>H735*('Assumptions'!$P$117+'Assumptions'!$Y$117)</x:f>
        <x:v>38.048113155840014</x:v>
      </x:c>
      <x:c r="X735" s="10" t="n">
        <x:f>N735/12*'Assumptions'!$AF$117</x:f>
        <x:v>0</x:v>
      </x:c>
      <x:c r="Y735" s="10" t="n">
        <x:f>P735/12</x:f>
        <x:v>1010.8127140282894</x:v>
      </x:c>
      <x:c r="Z735" s="10" t="n">
        <x:f>0</x:f>
        <x:v>0</x:v>
      </x:c>
      <x:c r="AA735" s="10" t="n">
        <x:f>Z735*'Assumptions'!$AC$117*'Assumptions'!$D$11*(1+'Assumptions'!$D$13)^(6-1)</x:f>
        <x:v>0</x:v>
      </x:c>
      <x:c r="AB735" s="10" t="n">
        <x:f>F735/1</x:f>
        <x:v>68.07044751360003</x:v>
      </x:c>
      <x:c r="AC735" s="10" t="n">
        <x:f>AB735/'Assumptions'!$AM$117</x:f>
        <x:v>2269.014917120001</x:v>
      </x:c>
      <x:c r="AD735" s="10" t="n">
        <x:f>IF(AB735=0,0,T735/AB735)</x:f>
        <x:v>29.313588513358752</x:v>
      </x:c>
      <x:c r="AE735" s="10" t="n">
        <x:f>AA735*'Assumptions'!$D$21</x:f>
        <x:v>0</x:v>
      </x:c>
    </x:row>
    <x:row r="736" ht="16" customHeight="1">
      <x:c r="A736" s="1"/>
      <x:c r="B736" s="1"/>
      <x:c r="C736" s="1" t="str">
        <x:v>DOT-089</x:v>
      </x:c>
      <x:c r="D736" s="10" t="str">
        <x:v>Semajes Studio</x:v>
      </x:c>
      <x:c r="E736" s="10" t="n">
        <x:v>6</x:v>
      </x:c>
      <x:c r="F736" s="21" t="n">
        <x:f>F608*(1+'Assumptions'!$M$118)</x:f>
        <x:v>27.228179005440005</x:v>
      </x:c>
      <x:c r="G736" s="21" t="n">
        <x:f>H608*'Assumptions'!$K$118</x:f>
        <x:v>10.8199341504</x:v>
      </x:c>
      <x:c r="H736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736+G736,NA())</x:f>
        <x:v>38.04811315584001</x:v>
      </x:c>
      <x:c r="I736" s="22" t="n">
        <x:f>'Assumptions'!$H$118*IF('Assumptions'!$O$118=1,1,'Assumptions'!$D$10)*(1+'Assumptions'!$N$118)^(6-1)</x:f>
        <x:v>193.21414056</x:v>
      </x:c>
      <x:c r="J736" s="10" t="n">
        <x:f>H736*I736</x:f>
        <x:v>7351.433483335256</x:v>
      </x:c>
      <x:c r="K736" s="10" t="n">
        <x:f>J736*'Assumptions'!$T$118</x:f>
        <x:v>7351.433483335256</x:v>
      </x:c>
      <x:c r="L736" s="10" t="n">
        <x:f>K736*'Assumptions'!$U$118</x:f>
        <x:v>220.54300450005766</x:v>
      </x:c>
      <x:c r="M736" s="10" t="n">
        <x:f>K736*'Assumptions'!$V$118</x:f>
        <x:v>147.02866966670513</x:v>
      </x:c>
      <x:c r="N736" s="10" t="n">
        <x:f>K736-L736-M736</x:f>
        <x:v>6983.861809168493</x:v>
      </x:c>
      <x:c r="O736" s="10" t="n">
        <x:f>H736*'Assumptions'!$P$118*'Assumptions'!$Q$118*'Assumptions'!$D$11*(1+'Assumptions'!$D$13)^(6-1)</x:f>
        <x:v>1102.704778939952</x:v>
      </x:c>
      <x:c r="P736" s="10" t="n">
        <x:f>H736*'Assumptions'!$R$118*'Assumptions'!$D$11*(1+'Assumptions'!$D$13)^(6-1)</x:f>
        <x:v>3969.7372041838266</x:v>
      </x:c>
      <x:c r="Q736" s="10" t="n">
        <x:f>J736*'Assumptions'!$S$118</x:f>
        <x:v>0</x:v>
      </x:c>
      <x:c r="R736" s="10" t="n">
        <x:f>H736*'Assumptions'!$Y$118*'Assumptions'!$Z$118*'Assumptions'!$D$11*(1+'Assumptions'!$D$13)^(6-1)</x:f>
        <x:v>198.48686020919135</x:v>
      </x:c>
      <x:c r="S736" s="10" t="n">
        <x:f>IF(I736=0,0,J736*'Assumptions'!$W$118+H736*'Assumptions'!$X$118)</x:f>
        <x:v>224.60600496347445</x:v>
      </x:c>
      <x:c r="T736" s="10" t="n">
        <x:f>N736*'Assumptions'!$AA$118</x:f>
        <x:v>558.7089447334795</x:v>
      </x:c>
      <x:c r="U736" s="10" t="n">
        <x:f>'Assumptions'!$AE$118*'Assumptions'!$D$11*(1+'Assumptions'!$D$13)^(6-1)</x:f>
        <x:v>0</x:v>
      </x:c>
      <x:c r="V736" s="10" t="n">
        <x:f>0</x:f>
        <x:v>0</x:v>
      </x:c>
      <x:c r="W736" s="10" t="n">
        <x:f>H736*('Assumptions'!$P$118+'Assumptions'!$Y$118)</x:f>
        <x:v>24.731273551296006</x:v>
      </x:c>
      <x:c r="X736" s="10" t="n">
        <x:f>N736/12*'Assumptions'!$AF$118</x:f>
        <x:v>0</x:v>
      </x:c>
      <x:c r="Y736" s="10" t="n">
        <x:f>P736/12</x:f>
        <x:v>330.81143368198553</x:v>
      </x:c>
      <x:c r="Z736" s="10" t="n">
        <x:f>0</x:f>
        <x:v>0</x:v>
      </x:c>
      <x:c r="AA736" s="10" t="n">
        <x:f>Z736*'Assumptions'!$AC$118*'Assumptions'!$D$11*(1+'Assumptions'!$D$13)^(6-1)</x:f>
        <x:v>0</x:v>
      </x:c>
      <x:c r="AB736" s="10" t="n">
        <x:f>F736/1</x:f>
        <x:v>27.228179005440005</x:v>
      </x:c>
      <x:c r="AC736" s="10" t="n">
        <x:f>AB736/'Assumptions'!$AM$118</x:f>
        <x:v>907.6059668480002</x:v>
      </x:c>
      <x:c r="AD736" s="10" t="n">
        <x:f>IF(AB736=0,0,T736/AB736)</x:f>
        <x:v>20.519511959351128</x:v>
      </x:c>
      <x:c r="AE736" s="10" t="n">
        <x:f>AA736*'Assumptions'!$D$21</x:f>
        <x:v>0</x:v>
      </x:c>
    </x:row>
    <x:row r="737" ht="16" customHeight="1">
      <x:c r="A737" s="1"/>
      <x:c r="B737" s="1"/>
      <x:c r="C737" s="1" t="str">
        <x:v>DOT-090</x:v>
      </x:c>
      <x:c r="D737" s="10" t="str">
        <x:v>Semajes Marketplace</x:v>
      </x:c>
      <x:c r="E737" s="10" t="n">
        <x:v>6</x:v>
      </x:c>
      <x:c r="F737" s="21" t="n">
        <x:f>F609*(1+'Assumptions'!$M$119)</x:f>
        <x:v>76.88908800000002</x:v>
      </x:c>
      <x:c r="G737" s="21" t="n">
        <x:f>H609*'Assumptions'!$K$119</x:f>
        <x:v>120.97428</x:v>
      </x:c>
      <x:c r="H737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737+G737,NA())</x:f>
        <x:v>197.863368</x:v>
      </x:c>
      <x:c r="I737" s="22" t="n">
        <x:f>'Assumptions'!$H$119*IF('Assumptions'!$O$119=1,1,'Assumptions'!$D$10)*(1+'Assumptions'!$N$119)^(6-1)</x:f>
        <x:v>662.4484819200001</x:v>
      </x:c>
      <x:c r="J737" s="10" t="n">
        <x:f>H737*I737</x:f>
        <x:v>131074.28775917832</x:v>
      </x:c>
      <x:c r="K737" s="10" t="n">
        <x:f>J737*'Assumptions'!$T$119</x:f>
        <x:v>19661.143163876746</x:v>
      </x:c>
      <x:c r="L737" s="10" t="n">
        <x:f>K737*'Assumptions'!$U$119</x:f>
        <x:v>589.8342949163024</x:v>
      </x:c>
      <x:c r="M737" s="10" t="n">
        <x:f>K737*'Assumptions'!$V$119</x:f>
        <x:v>0</x:v>
      </x:c>
      <x:c r="N737" s="10" t="n">
        <x:f>K737-L737-M737</x:f>
        <x:v>19071.308868960445</x:v>
      </x:c>
      <x:c r="O737" s="10" t="n">
        <x:f>H737*'Assumptions'!$P$119*'Assumptions'!$Q$119*'Assumptions'!$D$11*(1+'Assumptions'!$D$13)^(6-1)</x:f>
        <x:v>2007.0563867907024</x:v>
      </x:c>
      <x:c r="P737" s="10" t="n">
        <x:f>H737*'Assumptions'!$R$119*'Assumptions'!$D$11*(1+'Assumptions'!$D$13)^(6-1)</x:f>
        <x:v>0</x:v>
      </x:c>
      <x:c r="Q737" s="10" t="n">
        <x:f>J737*'Assumptions'!$S$119</x:f>
        <x:v>0</x:v>
      </x:c>
      <x:c r="R737" s="10" t="n">
        <x:f>H737*'Assumptions'!$Y$119*'Assumptions'!$Z$119*'Assumptions'!$D$11*(1+'Assumptions'!$D$13)^(6-1)</x:f>
        <x:v>1032.2004274923613</x:v>
      </x:c>
      <x:c r="S737" s="10" t="n">
        <x:f>IF(I737=0,0,J737*'Assumptions'!$W$119+H737*'Assumptions'!$X$119)</x:f>
        <x:v>3860.513355416171</x:v>
      </x:c>
      <x:c r="T737" s="10" t="n">
        <x:f>N737*'Assumptions'!$AA$119</x:f>
        <x:v>953.5654434480223</x:v>
      </x:c>
      <x:c r="U737" s="10" t="n">
        <x:f>'Assumptions'!$AE$119*'Assumptions'!$D$11*(1+'Assumptions'!$D$13)^(6-1)</x:f>
        <x:v>278.225777832</x:v>
      </x:c>
      <x:c r="V737" s="10" t="n">
        <x:f>0</x:f>
        <x:v>0</x:v>
      </x:c>
      <x:c r="W737" s="10" t="n">
        <x:f>H737*('Assumptions'!$P$119+'Assumptions'!$Y$119)</x:f>
        <x:v>79.1453472</x:v>
      </x:c>
      <x:c r="X737" s="10" t="n">
        <x:f>N737/12*'Assumptions'!$AF$119</x:f>
        <x:v>0</x:v>
      </x:c>
      <x:c r="Y737" s="10" t="n">
        <x:f>P737/12</x:f>
        <x:v>0</x:v>
      </x:c>
      <x:c r="Z737" s="10" t="n">
        <x:f>0</x:f>
        <x:v>0</x:v>
      </x:c>
      <x:c r="AA737" s="10" t="n">
        <x:f>Z737*'Assumptions'!$AC$119*'Assumptions'!$D$11*(1+'Assumptions'!$D$13)^(6-1)</x:f>
        <x:v>0</x:v>
      </x:c>
      <x:c r="AB737" s="10" t="n">
        <x:f>F737/1</x:f>
        <x:v>76.88908800000002</x:v>
      </x:c>
      <x:c r="AC737" s="10" t="n">
        <x:f>AB737/'Assumptions'!$AM$119</x:f>
        <x:v>1537.7817600000003</x:v>
      </x:c>
      <x:c r="AD737" s="10" t="n">
        <x:f>IF(AB737=0,0,T737/AB737)</x:f>
        <x:v>12.401830588080614</x:v>
      </x:c>
      <x:c r="AE737" s="10" t="n">
        <x:f>AA737*'Assumptions'!$D$21</x:f>
        <x:v>0</x:v>
      </x:c>
    </x:row>
    <x:row r="738" ht="16" customHeight="1">
      <x:c r="A738" s="1"/>
      <x:c r="B738" s="1"/>
      <x:c r="C738" s="1" t="str">
        <x:v>DOT-091</x:v>
      </x:c>
      <x:c r="D738" s="10" t="str">
        <x:v>Semajes Marketplace</x:v>
      </x:c>
      <x:c r="E738" s="10" t="n">
        <x:v>6</x:v>
      </x:c>
      <x:c r="F738" s="21" t="n">
        <x:f>F610*(1+'Assumptions'!$M$120)</x:f>
        <x:v>153.77817600000003</x:v>
      </x:c>
      <x:c r="G738" s="21" t="n">
        <x:f>H610*'Assumptions'!$K$120</x:f>
        <x:v>241.94856</x:v>
      </x:c>
      <x:c r="H738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738+G738,NA())</x:f>
        <x:v>395.726736</x:v>
      </x:c>
      <x:c r="I738" s="22" t="n">
        <x:f>'Assumptions'!$H$120*IF('Assumptions'!$O$120=1,1,'Assumptions'!$D$10)*(1+'Assumptions'!$N$120)^(6-1)</x:f>
        <x:v>82.80606024000001</x:v>
      </x:c>
      <x:c r="J738" s="10" t="n">
        <x:f>H738*I738</x:f>
        <x:v>32768.57193979458</x:v>
      </x:c>
      <x:c r="K738" s="10" t="n">
        <x:f>J738*'Assumptions'!$T$120</x:f>
        <x:v>6553.714387958917</x:v>
      </x:c>
      <x:c r="L738" s="10" t="n">
        <x:f>K738*'Assumptions'!$U$120</x:f>
        <x:v>196.6114316387675</x:v>
      </x:c>
      <x:c r="M738" s="10" t="n">
        <x:f>K738*'Assumptions'!$V$120</x:f>
        <x:v>0</x:v>
      </x:c>
      <x:c r="N738" s="10" t="n">
        <x:f>K738-L738-M738</x:f>
        <x:v>6357.102956320149</x:v>
      </x:c>
      <x:c r="O738" s="10" t="n">
        <x:f>H738*'Assumptions'!$P$120*'Assumptions'!$Q$120*'Assumptions'!$D$11*(1+'Assumptions'!$D$13)^(6-1)</x:f>
        <x:v>1605.6451094325619</x:v>
      </x:c>
      <x:c r="P738" s="10" t="n">
        <x:f>H738*'Assumptions'!$R$120*'Assumptions'!$D$11*(1+'Assumptions'!$D$13)^(6-1)</x:f>
        <x:v>0</x:v>
      </x:c>
      <x:c r="Q738" s="10" t="n">
        <x:f>J738*'Assumptions'!$S$120</x:f>
        <x:v>0</x:v>
      </x:c>
      <x:c r="R738" s="10" t="n">
        <x:f>H738*'Assumptions'!$Y$120*'Assumptions'!$Z$120*'Assumptions'!$D$11*(1+'Assumptions'!$D$13)^(6-1)</x:f>
        <x:v>2064.4008549847226</x:v>
      </x:c>
      <x:c r="S738" s="10" t="n">
        <x:f>IF(I738=0,0,J738*'Assumptions'!$W$120+H738*'Assumptions'!$X$120)</x:f>
        <x:v>1069.006607054043</x:v>
      </x:c>
      <x:c r="T738" s="10" t="n">
        <x:f>N738*'Assumptions'!$AA$120</x:f>
        <x:v>317.8551478160075</x:v>
      </x:c>
      <x:c r="U738" s="10" t="n">
        <x:f>'Assumptions'!$AE$120*'Assumptions'!$D$11*(1+'Assumptions'!$D$13)^(6-1)</x:f>
        <x:v>0</x:v>
      </x:c>
      <x:c r="V738" s="10" t="n">
        <x:f>0</x:f>
        <x:v>0</x:v>
      </x:c>
      <x:c r="W738" s="10" t="n">
        <x:f>H738*('Assumptions'!$P$120+'Assumptions'!$Y$120)</x:f>
        <x:v>98.931684</x:v>
      </x:c>
      <x:c r="X738" s="10" t="n">
        <x:f>N738/12*'Assumptions'!$AF$120</x:f>
        <x:v>0</x:v>
      </x:c>
      <x:c r="Y738" s="10" t="n">
        <x:f>P738/12</x:f>
        <x:v>0</x:v>
      </x:c>
      <x:c r="Z738" s="10" t="n">
        <x:f>0</x:f>
        <x:v>0</x:v>
      </x:c>
      <x:c r="AA738" s="10" t="n">
        <x:f>Z738*'Assumptions'!$AC$120*'Assumptions'!$D$11*(1+'Assumptions'!$D$13)^(6-1)</x:f>
        <x:v>0</x:v>
      </x:c>
      <x:c r="AB738" s="10" t="n">
        <x:f>F738/1</x:f>
        <x:v>153.77817600000003</x:v>
      </x:c>
      <x:c r="AC738" s="10" t="n">
        <x:f>AB738/'Assumptions'!$AM$120</x:f>
        <x:v>3075.5635200000006</x:v>
      </x:c>
      <x:c r="AD738" s="10" t="n">
        <x:f>IF(AB738=0,0,T738/AB738)</x:f>
        <x:v>2.066971764680103</x:v>
      </x:c>
      <x:c r="AE738" s="10" t="n">
        <x:f>AA738*'Assumptions'!$D$21</x:f>
        <x:v>0</x:v>
      </x:c>
    </x:row>
    <x:row r="739" ht="16" customHeight="1">
      <x:c r="A739" s="1"/>
      <x:c r="B739" s="1"/>
      <x:c r="C739" s="1" t="str">
        <x:v>DOT-092</x:v>
      </x:c>
      <x:c r="D739" s="10" t="str">
        <x:v>Semajes Marketplace</x:v>
      </x:c>
      <x:c r="E739" s="10" t="n">
        <x:v>6</x:v>
      </x:c>
      <x:c r="F739" s="21" t="n">
        <x:f>F611*(1+'Assumptions'!$M$121)</x:f>
        <x:v>76.88908800000002</x:v>
      </x:c>
      <x:c r="G739" s="21" t="n">
        <x:f>H611*'Assumptions'!$K$121</x:f>
        <x:v>120.97428</x:v>
      </x:c>
      <x:c r="H739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739+G739,NA())</x:f>
        <x:v>197.863368</x:v>
      </x:c>
      <x:c r="I739" s="22" t="n">
        <x:f>'Assumptions'!$H$121*IF('Assumptions'!$O$121=1,1,'Assumptions'!$D$10)*(1+'Assumptions'!$N$121)^(6-1)</x:f>
        <x:v>276.0202008</x:v>
      </x:c>
      <x:c r="J739" s="10" t="n">
        <x:f>H739*I739</x:f>
        <x:v>54614.2865663243</x:v>
      </x:c>
      <x:c r="K739" s="10" t="n">
        <x:f>J739*'Assumptions'!$T$121</x:f>
        <x:v>10922.85731326486</x:v>
      </x:c>
      <x:c r="L739" s="10" t="n">
        <x:f>K739*'Assumptions'!$U$121</x:f>
        <x:v>327.6857193979458</x:v>
      </x:c>
      <x:c r="M739" s="10" t="n">
        <x:f>K739*'Assumptions'!$V$121</x:f>
        <x:v>0</x:v>
      </x:c>
      <x:c r="N739" s="10" t="n">
        <x:f>K739-L739-M739</x:f>
        <x:v>10595.171593866915</x:v>
      </x:c>
      <x:c r="O739" s="10" t="n">
        <x:f>H739*'Assumptions'!$P$121*'Assumptions'!$Q$121*'Assumptions'!$D$11*(1+'Assumptions'!$D$13)^(6-1)</x:f>
        <x:v>1204.2338320744213</x:v>
      </x:c>
      <x:c r="P739" s="10" t="n">
        <x:f>H739*'Assumptions'!$R$121*'Assumptions'!$D$11*(1+'Assumptions'!$D$13)^(6-1)</x:f>
        <x:v>0</x:v>
      </x:c>
      <x:c r="Q739" s="10" t="n">
        <x:f>J739*'Assumptions'!$S$121</x:f>
        <x:v>0</x:v>
      </x:c>
      <x:c r="R739" s="10" t="n">
        <x:f>H739*'Assumptions'!$Y$121*'Assumptions'!$Z$121*'Assumptions'!$D$11*(1+'Assumptions'!$D$13)^(6-1)</x:f>
        <x:v>1032.2004274923613</x:v>
      </x:c>
      <x:c r="S739" s="10" t="n">
        <x:f>IF(I739=0,0,J739*'Assumptions'!$W$121+H739*'Assumptions'!$X$121)</x:f>
        <x:v>1643.1733208234048</x:v>
      </x:c>
      <x:c r="T739" s="10" t="n">
        <x:f>N739*'Assumptions'!$AA$121</x:f>
        <x:v>529.7585796933457</x:v>
      </x:c>
      <x:c r="U739" s="10" t="n">
        <x:f>'Assumptions'!$AE$121*'Assumptions'!$D$11*(1+'Assumptions'!$D$13)^(6-1)</x:f>
        <x:v>0</x:v>
      </x:c>
      <x:c r="V739" s="10" t="n">
        <x:f>0</x:f>
        <x:v>0</x:v>
      </x:c>
      <x:c r="W739" s="10" t="n">
        <x:f>H739*('Assumptions'!$P$121+'Assumptions'!$Y$121)</x:f>
        <x:v>59.3590104</x:v>
      </x:c>
      <x:c r="X739" s="10" t="n">
        <x:f>N739/12*'Assumptions'!$AF$121</x:f>
        <x:v>0</x:v>
      </x:c>
      <x:c r="Y739" s="10" t="n">
        <x:f>P739/12</x:f>
        <x:v>0</x:v>
      </x:c>
      <x:c r="Z739" s="10" t="n">
        <x:f>0</x:f>
        <x:v>0</x:v>
      </x:c>
      <x:c r="AA739" s="10" t="n">
        <x:f>Z739*'Assumptions'!$AC$121*'Assumptions'!$D$11*(1+'Assumptions'!$D$13)^(6-1)</x:f>
        <x:v>0</x:v>
      </x:c>
      <x:c r="AB739" s="10" t="n">
        <x:f>F739/1</x:f>
        <x:v>76.88908800000002</x:v>
      </x:c>
      <x:c r="AC739" s="10" t="n">
        <x:f>AB739/'Assumptions'!$AM$121</x:f>
        <x:v>1537.7817600000003</x:v>
      </x:c>
      <x:c r="AD739" s="10" t="n">
        <x:f>IF(AB739=0,0,T739/AB739)</x:f>
        <x:v>6.889905882267008</x:v>
      </x:c>
      <x:c r="AE739" s="10" t="n">
        <x:f>AA739*'Assumptions'!$D$21</x:f>
        <x:v>0</x:v>
      </x:c>
    </x:row>
    <x:row r="740" ht="16" customHeight="1">
      <x:c r="A740" s="1"/>
      <x:c r="B740" s="1"/>
      <x:c r="C740" s="1" t="str">
        <x:v>DOT-093</x:v>
      </x:c>
      <x:c r="D740" s="10" t="str">
        <x:v>Semajes Marketplace</x:v>
      </x:c>
      <x:c r="E740" s="10" t="n">
        <x:v>6</x:v>
      </x:c>
      <x:c r="F740" s="21" t="n">
        <x:f>F612*(1+'Assumptions'!$M$122)</x:f>
        <x:v>15.3778176</x:v>
      </x:c>
      <x:c r="G740" s="21" t="n">
        <x:f>H612*'Assumptions'!$K$122</x:f>
        <x:v>24.194855999999998</x:v>
      </x:c>
      <x:c r="H740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740+G740,NA())</x:f>
        <x:v>39.5726736</x:v>
      </x:c>
      <x:c r="I740" s="22" t="n">
        <x:f>'Assumptions'!$H$122*IF('Assumptions'!$O$122=1,1,'Assumptions'!$D$10)*(1+'Assumptions'!$N$122)^(6-1)</x:f>
        <x:v>552.0404016</x:v>
      </x:c>
      <x:c r="J740" s="10" t="n">
        <x:f>H740*I740</x:f>
        <x:v>21845.71462652972</x:v>
      </x:c>
      <x:c r="K740" s="10" t="n">
        <x:f>J740*'Assumptions'!$T$122</x:f>
        <x:v>3276.857193979458</x:v>
      </x:c>
      <x:c r="L740" s="10" t="n">
        <x:f>K740*'Assumptions'!$U$122</x:f>
        <x:v>98.30571581938374</x:v>
      </x:c>
      <x:c r="M740" s="10" t="n">
        <x:f>K740*'Assumptions'!$V$122</x:f>
        <x:v>0</x:v>
      </x:c>
      <x:c r="N740" s="10" t="n">
        <x:f>K740-L740-M740</x:f>
        <x:v>3178.551478160074</x:v>
      </x:c>
      <x:c r="O740" s="10" t="n">
        <x:f>H740*'Assumptions'!$P$122*'Assumptions'!$Q$122*'Assumptions'!$D$11*(1+'Assumptions'!$D$13)^(6-1)</x:f>
        <x:v>401.41127735814047</x:v>
      </x:c>
      <x:c r="P740" s="10" t="n">
        <x:f>H740*'Assumptions'!$R$122*'Assumptions'!$D$11*(1+'Assumptions'!$D$13)^(6-1)</x:f>
        <x:v>0</x:v>
      </x:c>
      <x:c r="Q740" s="10" t="n">
        <x:f>J740*'Assumptions'!$S$122</x:f>
        <x:v>0</x:v>
      </x:c>
      <x:c r="R740" s="10" t="n">
        <x:f>H740*'Assumptions'!$Y$122*'Assumptions'!$Z$122*'Assumptions'!$D$11*(1+'Assumptions'!$D$13)^(6-1)</x:f>
        <x:v>206.44008549847223</x:v>
      </x:c>
      <x:c r="S740" s="10" t="n">
        <x:f>IF(I740=0,0,J740*'Assumptions'!$W$122+H740*'Assumptions'!$X$122)</x:f>
        <x:v>645.3975262493618</x:v>
      </x:c>
      <x:c r="T740" s="10" t="n">
        <x:f>N740*'Assumptions'!$AA$122</x:f>
        <x:v>158.92757390800372</x:v>
      </x:c>
      <x:c r="U740" s="10" t="n">
        <x:f>'Assumptions'!$AE$122*'Assumptions'!$D$11*(1+'Assumptions'!$D$13)^(6-1)</x:f>
        <x:v>0</x:v>
      </x:c>
      <x:c r="V740" s="10" t="n">
        <x:f>0</x:f>
        <x:v>0</x:v>
      </x:c>
      <x:c r="W740" s="10" t="n">
        <x:f>H740*('Assumptions'!$P$122+'Assumptions'!$Y$122)</x:f>
        <x:v>15.829069440000001</x:v>
      </x:c>
      <x:c r="X740" s="10" t="n">
        <x:f>N740/12*'Assumptions'!$AF$122</x:f>
        <x:v>0</x:v>
      </x:c>
      <x:c r="Y740" s="10" t="n">
        <x:f>P740/12</x:f>
        <x:v>0</x:v>
      </x:c>
      <x:c r="Z740" s="10" t="n">
        <x:f>0</x:f>
        <x:v>0</x:v>
      </x:c>
      <x:c r="AA740" s="10" t="n">
        <x:f>Z740*'Assumptions'!$AC$122*'Assumptions'!$D$11*(1+'Assumptions'!$D$13)^(6-1)</x:f>
        <x:v>0</x:v>
      </x:c>
      <x:c r="AB740" s="10" t="n">
        <x:f>F740/1</x:f>
        <x:v>15.3778176</x:v>
      </x:c>
      <x:c r="AC740" s="10" t="n">
        <x:f>AB740/'Assumptions'!$AM$122</x:f>
        <x:v>307.556352</x:v>
      </x:c>
      <x:c r="AD740" s="10" t="n">
        <x:f>IF(AB740=0,0,T740/AB740)</x:f>
        <x:v>10.334858823400515</x:v>
      </x:c>
      <x:c r="AE740" s="10" t="n">
        <x:f>AA740*'Assumptions'!$D$21</x:f>
        <x:v>0</x:v>
      </x:c>
    </x:row>
    <x:row r="741" ht="16" customHeight="1">
      <x:c r="A741" s="1"/>
      <x:c r="B741" s="1"/>
      <x:c r="C741" s="1" t="str">
        <x:v>DOT-094</x:v>
      </x:c>
      <x:c r="D741" s="10" t="str">
        <x:v>Semajes premium and media</x:v>
      </x:c>
      <x:c r="E741" s="10" t="n">
        <x:v>6</x:v>
      </x:c>
      <x:c r="F741" s="21" t="n">
        <x:f>F613*(1+'Assumptions'!$M$123)</x:f>
        <x:v>76.88908800000002</x:v>
      </x:c>
      <x:c r="G741" s="21" t="n">
        <x:f>H613*'Assumptions'!$K$123</x:f>
        <x:v>120.97428</x:v>
      </x:c>
      <x:c r="H741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741+G741,NA())</x:f>
        <x:v>197.863368</x:v>
      </x:c>
      <x:c r="I741" s="22" t="n">
        <x:f>'Assumptions'!$H$123*IF('Assumptions'!$O$123=1,1,'Assumptions'!$D$10)*(1+'Assumptions'!$N$123)^(6-1)</x:f>
        <x:v>9.9367272288</x:v>
      </x:c>
      <x:c r="J741" s="10" t="n">
        <x:f>H741*I741</x:f>
        <x:v>1966.1143163876748</x:v>
      </x:c>
      <x:c r="K741" s="10" t="n">
        <x:f>J741*'Assumptions'!$T$123</x:f>
        <x:v>1966.1143163876748</x:v>
      </x:c>
      <x:c r="L741" s="10" t="n">
        <x:f>K741*'Assumptions'!$U$123</x:f>
        <x:v>58.98342949163024</x:v>
      </x:c>
      <x:c r="M741" s="10" t="n">
        <x:f>K741*'Assumptions'!$V$123</x:f>
        <x:v>0</x:v>
      </x:c>
      <x:c r="N741" s="10" t="n">
        <x:f>K741-L741-M741</x:f>
        <x:v>1907.1308868960446</x:v>
      </x:c>
      <x:c r="O741" s="10" t="n">
        <x:f>H741*'Assumptions'!$P$123*'Assumptions'!$Q$123*'Assumptions'!$D$11*(1+'Assumptions'!$D$13)^(6-1)</x:f>
        <x:v>401.41127735814047</x:v>
      </x:c>
      <x:c r="P741" s="10" t="n">
        <x:f>H741*'Assumptions'!$R$123*'Assumptions'!$D$11*(1+'Assumptions'!$D$13)^(6-1)</x:f>
        <x:v>0</x:v>
      </x:c>
      <x:c r="Q741" s="10" t="n">
        <x:f>J741*'Assumptions'!$S$123</x:f>
        <x:v>0</x:v>
      </x:c>
      <x:c r="R741" s="10" t="n">
        <x:f>H741*'Assumptions'!$Y$123*'Assumptions'!$Z$123*'Assumptions'!$D$11*(1+'Assumptions'!$D$13)^(6-1)</x:f>
        <x:v>1032.2004274923613</x:v>
      </x:c>
      <x:c r="S741" s="10" t="n">
        <x:f>IF(I741=0,0,J741*'Assumptions'!$W$123+H741*'Assumptions'!$X$123)</x:f>
        <x:v>116.37632557524257</x:v>
      </x:c>
      <x:c r="T741" s="10" t="n">
        <x:f>N741*'Assumptions'!$AA$123</x:f>
        <x:v>95.35654434480223</x:v>
      </x:c>
      <x:c r="U741" s="10" t="n">
        <x:f>'Assumptions'!$AE$123*'Assumptions'!$D$11*(1+'Assumptions'!$D$13)^(6-1)</x:f>
        <x:v>0</x:v>
      </x:c>
      <x:c r="V741" s="10" t="n">
        <x:f>0</x:f>
        <x:v>0</x:v>
      </x:c>
      <x:c r="W741" s="10" t="n">
        <x:f>H741*('Assumptions'!$P$123+'Assumptions'!$Y$123)</x:f>
        <x:v>39.5726736</x:v>
      </x:c>
      <x:c r="X741" s="10" t="n">
        <x:f>N741/12*'Assumptions'!$AF$123</x:f>
        <x:v>0</x:v>
      </x:c>
      <x:c r="Y741" s="10" t="n">
        <x:f>P741/12</x:f>
        <x:v>0</x:v>
      </x:c>
      <x:c r="Z741" s="10" t="n">
        <x:f>0</x:f>
        <x:v>0</x:v>
      </x:c>
      <x:c r="AA741" s="10" t="n">
        <x:f>Z741*'Assumptions'!$AC$123*'Assumptions'!$D$11*(1+'Assumptions'!$D$13)^(6-1)</x:f>
        <x:v>0</x:v>
      </x:c>
      <x:c r="AB741" s="10" t="n">
        <x:f>F741/12</x:f>
        <x:v>6.407424000000002</x:v>
      </x:c>
      <x:c r="AC741" s="10" t="n">
        <x:f>AB741/'Assumptions'!$AM$123</x:f>
        <x:v>128.14848000000003</x:v>
      </x:c>
      <x:c r="AD741" s="10" t="n">
        <x:f>IF(AB741=0,0,T741/AB741)</x:f>
        <x:v>14.882196705696737</x:v>
      </x:c>
      <x:c r="AE741" s="10" t="n">
        <x:f>AA741*'Assumptions'!$D$21</x:f>
        <x:v>0</x:v>
      </x:c>
    </x:row>
    <x:row r="742" ht="16" customHeight="1">
      <x:c r="A742" s="1"/>
      <x:c r="B742" s="1"/>
      <x:c r="C742" s="1" t="str">
        <x:v>DOT-095</x:v>
      </x:c>
      <x:c r="D742" s="10" t="str">
        <x:v>Semajes premium and media</x:v>
      </x:c>
      <x:c r="E742" s="10" t="n">
        <x:v>6</x:v>
      </x:c>
      <x:c r="F742" s="21" t="n">
        <x:f>F614*(1+'Assumptions'!$M$124)</x:f>
        <x:v>76.88908800000002</x:v>
      </x:c>
      <x:c r="G742" s="21" t="n">
        <x:f>H614*'Assumptions'!$K$124</x:f>
        <x:v>120.97428</x:v>
      </x:c>
      <x:c r="H742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742+G742,NA())</x:f>
        <x:v>197.863368</x:v>
      </x:c>
      <x:c r="I742" s="22" t="n">
        <x:f>'Assumptions'!$H$124*IF('Assumptions'!$O$124=1,1,'Assumptions'!$D$10)*(1+'Assumptions'!$N$124)^(6-1)</x:f>
        <x:v>20.9775352608</x:v>
      </x:c>
      <x:c r="J742" s="10" t="n">
        <x:f>H742*I742</x:f>
        <x:v>4150.685779040647</x:v>
      </x:c>
      <x:c r="K742" s="10" t="n">
        <x:f>J742*'Assumptions'!$T$124</x:f>
        <x:v>4150.685779040647</x:v>
      </x:c>
      <x:c r="L742" s="10" t="n">
        <x:f>K742*'Assumptions'!$U$124</x:f>
        <x:v>124.5205733712194</x:v>
      </x:c>
      <x:c r="M742" s="10" t="n">
        <x:f>K742*'Assumptions'!$V$124</x:f>
        <x:v>0</x:v>
      </x:c>
      <x:c r="N742" s="10" t="n">
        <x:f>K742-L742-M742</x:f>
        <x:v>4026.165205669427</x:v>
      </x:c>
      <x:c r="O742" s="10" t="n">
        <x:f>H742*'Assumptions'!$P$124*'Assumptions'!$Q$124*'Assumptions'!$D$11*(1+'Assumptions'!$D$13)^(6-1)</x:f>
        <x:v>802.8225547162809</x:v>
      </x:c>
      <x:c r="P742" s="10" t="n">
        <x:f>H742*'Assumptions'!$R$124*'Assumptions'!$D$11*(1+'Assumptions'!$D$13)^(6-1)</x:f>
        <x:v>0</x:v>
      </x:c>
      <x:c r="Q742" s="10" t="n">
        <x:f>J742*'Assumptions'!$S$124</x:f>
        <x:v>0</x:v>
      </x:c>
      <x:c r="R742" s="10" t="n">
        <x:f>H742*'Assumptions'!$Y$124*'Assumptions'!$Z$124*'Assumptions'!$D$11*(1+'Assumptions'!$D$13)^(6-1)</x:f>
        <x:v>1032.2004274923613</x:v>
      </x:c>
      <x:c r="S742" s="10" t="n">
        <x:f>IF(I742=0,0,J742*'Assumptions'!$W$124+H742*'Assumptions'!$X$124)</x:f>
        <x:v>179.72889799217876</x:v>
      </x:c>
      <x:c r="T742" s="10" t="n">
        <x:f>N742*'Assumptions'!$AA$124</x:f>
        <x:v>201.30826028347136</x:v>
      </x:c>
      <x:c r="U742" s="10" t="n">
        <x:f>'Assumptions'!$AE$124*'Assumptions'!$D$11*(1+'Assumptions'!$D$13)^(6-1)</x:f>
        <x:v>0</x:v>
      </x:c>
      <x:c r="V742" s="10" t="n">
        <x:f>0</x:f>
        <x:v>0</x:v>
      </x:c>
      <x:c r="W742" s="10" t="n">
        <x:f>H742*('Assumptions'!$P$124+'Assumptions'!$Y$124)</x:f>
        <x:v>49.465842</x:v>
      </x:c>
      <x:c r="X742" s="10" t="n">
        <x:f>N742/12*'Assumptions'!$AF$124</x:f>
        <x:v>0</x:v>
      </x:c>
      <x:c r="Y742" s="10" t="n">
        <x:f>P742/12</x:f>
        <x:v>0</x:v>
      </x:c>
      <x:c r="Z742" s="10" t="n">
        <x:f>0</x:f>
        <x:v>0</x:v>
      </x:c>
      <x:c r="AA742" s="10" t="n">
        <x:f>Z742*'Assumptions'!$AC$124*'Assumptions'!$D$11*(1+'Assumptions'!$D$13)^(6-1)</x:f>
        <x:v>0</x:v>
      </x:c>
      <x:c r="AB742" s="10" t="n">
        <x:f>F742/12</x:f>
        <x:v>6.407424000000002</x:v>
      </x:c>
      <x:c r="AC742" s="10" t="n">
        <x:f>AB742/'Assumptions'!$AM$124</x:f>
        <x:v>128.14848000000003</x:v>
      </x:c>
      <x:c r="AD742" s="10" t="n">
        <x:f>IF(AB742=0,0,T742/AB742)</x:f>
        <x:v>31.41797082313755</x:v>
      </x:c>
      <x:c r="AE742" s="10" t="n">
        <x:f>AA742*'Assumptions'!$D$21</x:f>
        <x:v>0</x:v>
      </x:c>
    </x:row>
    <x:row r="743" ht="16" customHeight="1">
      <x:c r="A743" s="1"/>
      <x:c r="B743" s="1"/>
      <x:c r="C743" s="1" t="str">
        <x:v>DOT-096</x:v>
      </x:c>
      <x:c r="D743" s="10" t="str">
        <x:v>Semajes premium and media</x:v>
      </x:c>
      <x:c r="E743" s="10" t="n">
        <x:v>6</x:v>
      </x:c>
      <x:c r="F743" s="21" t="n">
        <x:f>F615*(1+'Assumptions'!$M$125)</x:f>
        <x:v>38.44454400000001</x:v>
      </x:c>
      <x:c r="G743" s="21" t="n">
        <x:f>H615*'Assumptions'!$K$125</x:f>
        <x:v>60.48714</x:v>
      </x:c>
      <x:c r="H743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743+G743,NA())</x:f>
        <x:v>98.931684</x:v>
      </x:c>
      <x:c r="I743" s="22" t="n">
        <x:f>'Assumptions'!$H$125*IF('Assumptions'!$O$125=1,1,'Assumptions'!$D$10)*(1+'Assumptions'!$N$125)^(6-1)</x:f>
        <x:v>43.0591513248</x:v>
      </x:c>
      <x:c r="J743" s="10" t="n">
        <x:f>H743*I743</x:f>
        <x:v>4259.914352173295</x:v>
      </x:c>
      <x:c r="K743" s="10" t="n">
        <x:f>J743*'Assumptions'!$T$125</x:f>
        <x:v>4259.914352173295</x:v>
      </x:c>
      <x:c r="L743" s="10" t="n">
        <x:f>K743*'Assumptions'!$U$125</x:f>
        <x:v>127.79743056519884</x:v>
      </x:c>
      <x:c r="M743" s="10" t="n">
        <x:f>K743*'Assumptions'!$V$125</x:f>
        <x:v>0</x:v>
      </x:c>
      <x:c r="N743" s="10" t="n">
        <x:f>K743-L743-M743</x:f>
        <x:v>4132.116921608096</x:v>
      </x:c>
      <x:c r="O743" s="10" t="n">
        <x:f>H743*'Assumptions'!$P$125*'Assumptions'!$Q$125*'Assumptions'!$D$11*(1+'Assumptions'!$D$13)^(6-1)</x:f>
        <x:v>802.8225547162809</x:v>
      </x:c>
      <x:c r="P743" s="10" t="n">
        <x:f>H743*'Assumptions'!$R$125*'Assumptions'!$D$11*(1+'Assumptions'!$D$13)^(6-1)</x:f>
        <x:v>0</x:v>
      </x:c>
      <x:c r="Q743" s="10" t="n">
        <x:f>J743*'Assumptions'!$S$125</x:f>
        <x:v>0</x:v>
      </x:c>
      <x:c r="R743" s="10" t="n">
        <x:f>H743*'Assumptions'!$Y$125*'Assumptions'!$Z$125*'Assumptions'!$D$11*(1+'Assumptions'!$D$13)^(6-1)</x:f>
        <x:v>516.1002137461807</x:v>
      </x:c>
      <x:c r="S743" s="10" t="n">
        <x:f>IF(I743=0,0,J743*'Assumptions'!$W$125+H743*'Assumptions'!$X$125)</x:f>
        <x:v>153.21702141302555</x:v>
      </x:c>
      <x:c r="T743" s="10" t="n">
        <x:f>N743*'Assumptions'!$AA$125</x:f>
        <x:v>206.60584608040483</x:v>
      </x:c>
      <x:c r="U743" s="10" t="n">
        <x:f>'Assumptions'!$AE$125*'Assumptions'!$D$11*(1+'Assumptions'!$D$13)^(6-1)</x:f>
        <x:v>0</x:v>
      </x:c>
      <x:c r="V743" s="10" t="n">
        <x:f>0</x:f>
        <x:v>0</x:v>
      </x:c>
      <x:c r="W743" s="10" t="n">
        <x:f>H743*('Assumptions'!$P$125+'Assumptions'!$Y$125)</x:f>
        <x:v>34.6260894</x:v>
      </x:c>
      <x:c r="X743" s="10" t="n">
        <x:f>N743/12*'Assumptions'!$AF$125</x:f>
        <x:v>0</x:v>
      </x:c>
      <x:c r="Y743" s="10" t="n">
        <x:f>P743/12</x:f>
        <x:v>0</x:v>
      </x:c>
      <x:c r="Z743" s="10" t="n">
        <x:f>0</x:f>
        <x:v>0</x:v>
      </x:c>
      <x:c r="AA743" s="10" t="n">
        <x:f>Z743*'Assumptions'!$AC$125*'Assumptions'!$D$11*(1+'Assumptions'!$D$13)^(6-1)</x:f>
        <x:v>0</x:v>
      </x:c>
      <x:c r="AB743" s="10" t="n">
        <x:f>F743/12</x:f>
        <x:v>3.203712000000001</x:v>
      </x:c>
      <x:c r="AC743" s="10" t="n">
        <x:f>AB743/'Assumptions'!$AM$125</x:f>
        <x:v>64.07424000000002</x:v>
      </x:c>
      <x:c r="AD743" s="10" t="n">
        <x:f>IF(AB743=0,0,T743/AB743)</x:f>
        <x:v>64.4895190580192</x:v>
      </x:c>
      <x:c r="AE743" s="10" t="n">
        <x:f>AA743*'Assumptions'!$D$21</x:f>
        <x:v>0</x:v>
      </x:c>
    </x:row>
    <x:row r="744" ht="16" customHeight="1">
      <x:c r="A744" s="1"/>
      <x:c r="B744" s="1"/>
      <x:c r="C744" s="1" t="str">
        <x:v>DOT-097</x:v>
      </x:c>
      <x:c r="D744" s="10" t="str">
        <x:v>Semajes premium and media</x:v>
      </x:c>
      <x:c r="E744" s="10" t="n">
        <x:v>6</x:v>
      </x:c>
      <x:c r="F744" s="21" t="n">
        <x:f>F616*(1+'Assumptions'!$M$126)</x:f>
        <x:v>23.066726399999997</x:v>
      </x:c>
      <x:c r="G744" s="21" t="n">
        <x:f>H616*'Assumptions'!$K$126</x:f>
        <x:v>36.292283999999995</x:v>
      </x:c>
      <x:c r="H744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744+G744,NA())</x:f>
        <x:v>59.35901039999999</x:v>
      </x:c>
      <x:c r="I744" s="22" t="n">
        <x:f>'Assumptions'!$H$126*IF('Assumptions'!$O$126=1,1,'Assumptions'!$D$10)*(1+'Assumptions'!$N$126)^(6-1)</x:f>
        <x:v>109.3039995168</x:v>
      </x:c>
      <x:c r="J744" s="10" t="n">
        <x:f>H744*I744</x:f>
        <x:v>6488.177244079325</x:v>
      </x:c>
      <x:c r="K744" s="10" t="n">
        <x:f>J744*'Assumptions'!$T$126</x:f>
        <x:v>6488.177244079325</x:v>
      </x:c>
      <x:c r="L744" s="10" t="n">
        <x:f>K744*'Assumptions'!$U$126</x:f>
        <x:v>194.64531732237973</x:v>
      </x:c>
      <x:c r="M744" s="10" t="n">
        <x:f>K744*'Assumptions'!$V$126</x:f>
        <x:v>0</x:v>
      </x:c>
      <x:c r="N744" s="10" t="n">
        <x:f>K744-L744-M744</x:f>
        <x:v>6293.531926756945</x:v>
      </x:c>
      <x:c r="O744" s="10" t="n">
        <x:f>H744*'Assumptions'!$P$126*'Assumptions'!$Q$126*'Assumptions'!$D$11*(1+'Assumptions'!$D$13)^(6-1)</x:f>
        <x:v>2408.4676641488422</x:v>
      </x:c>
      <x:c r="P744" s="10" t="n">
        <x:f>H744*'Assumptions'!$R$126*'Assumptions'!$D$11*(1+'Assumptions'!$D$13)^(6-1)</x:f>
        <x:v>0</x:v>
      </x:c>
      <x:c r="Q744" s="10" t="n">
        <x:f>J744*'Assumptions'!$S$126</x:f>
        <x:v>0</x:v>
      </x:c>
      <x:c r="R744" s="10" t="n">
        <x:f>H744*'Assumptions'!$Y$126*'Assumptions'!$Z$126*'Assumptions'!$D$11*(1+'Assumptions'!$D$13)^(6-1)</x:f>
        <x:v>309.66012824770826</x:v>
      </x:c>
      <x:c r="S744" s="10" t="n">
        <x:f>IF(I744=0,0,J744*'Assumptions'!$W$126+H744*'Assumptions'!$X$126)</x:f>
        <x:v>205.9648431983004</x:v>
      </x:c>
      <x:c r="T744" s="10" t="n">
        <x:f>N744*'Assumptions'!$AA$126</x:f>
        <x:v>314.6765963378473</x:v>
      </x:c>
      <x:c r="U744" s="10" t="n">
        <x:f>'Assumptions'!$AE$126*'Assumptions'!$D$11*(1+'Assumptions'!$D$13)^(6-1)</x:f>
        <x:v>0</x:v>
      </x:c>
      <x:c r="V744" s="10" t="n">
        <x:f>0</x:f>
        <x:v>0</x:v>
      </x:c>
      <x:c r="W744" s="10" t="n">
        <x:f>H744*('Assumptions'!$P$126+'Assumptions'!$Y$126)</x:f>
        <x:v>68.26286195999998</x:v>
      </x:c>
      <x:c r="X744" s="10" t="n">
        <x:f>N744/12*'Assumptions'!$AF$126</x:f>
        <x:v>0</x:v>
      </x:c>
      <x:c r="Y744" s="10" t="n">
        <x:f>P744/12</x:f>
        <x:v>0</x:v>
      </x:c>
      <x:c r="Z744" s="10" t="n">
        <x:f>0</x:f>
        <x:v>0</x:v>
      </x:c>
      <x:c r="AA744" s="10" t="n">
        <x:f>Z744*'Assumptions'!$AC$126*'Assumptions'!$D$11*(1+'Assumptions'!$D$13)^(6-1)</x:f>
        <x:v>0</x:v>
      </x:c>
      <x:c r="AB744" s="10" t="n">
        <x:f>F744/1</x:f>
        <x:v>23.066726399999997</x:v>
      </x:c>
      <x:c r="AC744" s="10" t="n">
        <x:f>AB744/'Assumptions'!$AM$126</x:f>
        <x:v>461.3345279999999</x:v>
      </x:c>
      <x:c r="AD744" s="10" t="n">
        <x:f>IF(AB744=0,0,T744/AB744)</x:f>
        <x:v>13.642013646888678</x:v>
      </x:c>
      <x:c r="AE744" s="10" t="n">
        <x:f>AA744*'Assumptions'!$D$21</x:f>
        <x:v>0</x:v>
      </x:c>
    </x:row>
    <x:row r="745" ht="16" customHeight="1">
      <x:c r="A745" s="1"/>
      <x:c r="B745" s="1"/>
      <x:c r="C745" s="1" t="str">
        <x:v>DOT-098</x:v>
      </x:c>
      <x:c r="D745" s="10" t="str">
        <x:v>Semajes premium and media</x:v>
      </x:c>
      <x:c r="E745" s="10" t="n">
        <x:v>6</x:v>
      </x:c>
      <x:c r="F745" s="21" t="n">
        <x:f>F617*(1+'Assumptions'!$M$127)</x:f>
        <x:v>11.533363199999998</x:v>
      </x:c>
      <x:c r="G745" s="21" t="n">
        <x:f>H617*'Assumptions'!$K$127</x:f>
        <x:v>18.146141999999998</x:v>
      </x:c>
      <x:c r="H745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745+G745,NA())</x:f>
        <x:v>29.679505199999994</x:v>
      </x:c>
      <x:c r="I745" s="22" t="n">
        <x:f>'Assumptions'!$H$127*IF('Assumptions'!$O$127=1,1,'Assumptions'!$D$10)*(1+'Assumptions'!$N$127)^(6-1)</x:f>
        <x:v>274.9161199968</x:v>
      </x:c>
      <x:c r="J745" s="10" t="n">
        <x:f>H745*I745</x:f>
        <x:v>8159.374413008847</x:v>
      </x:c>
      <x:c r="K745" s="10" t="n">
        <x:f>J745*'Assumptions'!$T$127</x:f>
        <x:v>8159.374413008847</x:v>
      </x:c>
      <x:c r="L745" s="10" t="n">
        <x:f>K745*'Assumptions'!$U$127</x:f>
        <x:v>244.78123239026542</x:v>
      </x:c>
      <x:c r="M745" s="10" t="n">
        <x:f>K745*'Assumptions'!$V$127</x:f>
        <x:v>0</x:v>
      </x:c>
      <x:c r="N745" s="10" t="n">
        <x:f>K745-L745-M745</x:f>
        <x:v>7914.593180618582</x:v>
      </x:c>
      <x:c r="O745" s="10" t="n">
        <x:f>H745*'Assumptions'!$P$127*'Assumptions'!$Q$127*'Assumptions'!$D$11*(1+'Assumptions'!$D$13)^(6-1)</x:f>
        <x:v>3612.701496223263</x:v>
      </x:c>
      <x:c r="P745" s="10" t="n">
        <x:f>H745*'Assumptions'!$R$127*'Assumptions'!$D$11*(1+'Assumptions'!$D$13)^(6-1)</x:f>
        <x:v>0</x:v>
      </x:c>
      <x:c r="Q745" s="10" t="n">
        <x:f>J745*'Assumptions'!$S$127</x:f>
        <x:v>0</x:v>
      </x:c>
      <x:c r="R745" s="10" t="n">
        <x:f>H745*'Assumptions'!$Y$127*'Assumptions'!$Z$127*'Assumptions'!$D$11*(1+'Assumptions'!$D$13)^(6-1)</x:f>
        <x:v>154.83006412385413</x:v>
      </x:c>
      <x:c r="S745" s="10" t="n">
        <x:f>IF(I745=0,0,J745*'Assumptions'!$W$127+H745*'Assumptions'!$X$127)</x:f>
        <x:v>245.52570953725657</x:v>
      </x:c>
      <x:c r="T745" s="10" t="n">
        <x:f>N745*'Assumptions'!$AA$127</x:f>
        <x:v>395.7296590309291</x:v>
      </x:c>
      <x:c r="U745" s="10" t="n">
        <x:f>'Assumptions'!$AE$127*'Assumptions'!$D$11*(1+'Assumptions'!$D$13)^(6-1)</x:f>
        <x:v>0</x:v>
      </x:c>
      <x:c r="V745" s="10" t="n">
        <x:f>0</x:f>
        <x:v>0</x:v>
      </x:c>
      <x:c r="W745" s="10" t="n">
        <x:f>H745*('Assumptions'!$P$127+'Assumptions'!$Y$127)</x:f>
        <x:v>93.49044137999998</x:v>
      </x:c>
      <x:c r="X745" s="10" t="n">
        <x:f>N745/12*'Assumptions'!$AF$127</x:f>
        <x:v>0</x:v>
      </x:c>
      <x:c r="Y745" s="10" t="n">
        <x:f>P745/12</x:f>
        <x:v>0</x:v>
      </x:c>
      <x:c r="Z745" s="10" t="n">
        <x:f>0</x:f>
        <x:v>0</x:v>
      </x:c>
      <x:c r="AA745" s="10" t="n">
        <x:f>Z745*'Assumptions'!$AC$127*'Assumptions'!$D$11*(1+'Assumptions'!$D$13)^(6-1)</x:f>
        <x:v>0</x:v>
      </x:c>
      <x:c r="AB745" s="10" t="n">
        <x:f>F745/1</x:f>
        <x:v>11.533363199999998</x:v>
      </x:c>
      <x:c r="AC745" s="10" t="n">
        <x:f>AB745/'Assumptions'!$AM$127</x:f>
        <x:v>230.66726399999996</x:v>
      </x:c>
      <x:c r="AD745" s="10" t="n">
        <x:f>IF(AB745=0,0,T745/AB745)</x:f>
        <x:v>34.3117312936897</x:v>
      </x:c>
      <x:c r="AE745" s="10" t="n">
        <x:f>AA745*'Assumptions'!$D$21</x:f>
        <x:v>0</x:v>
      </x:c>
    </x:row>
    <x:row r="746" ht="16" customHeight="1">
      <x:c r="A746" s="1"/>
      <x:c r="B746" s="1"/>
      <x:c r="C746" s="1" t="str">
        <x:v>DOT-099</x:v>
      </x:c>
      <x:c r="D746" s="10" t="str">
        <x:v>Semajes premium and media</x:v>
      </x:c>
      <x:c r="E746" s="10" t="n">
        <x:v>6</x:v>
      </x:c>
      <x:c r="F746" s="21" t="n">
        <x:f>F618*(1+'Assumptions'!$M$128)</x:f>
        <x:v>38.44454400000001</x:v>
      </x:c>
      <x:c r="G746" s="21" t="n">
        <x:f>H618*'Assumptions'!$K$128</x:f>
        <x:v>60.48714</x:v>
      </x:c>
      <x:c r="H746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746+G746,NA())</x:f>
        <x:v>98.931684</x:v>
      </x:c>
      <x:c r="I746" s="22" t="n">
        <x:f>'Assumptions'!$H$128*IF('Assumptions'!$O$128=1,1,'Assumptions'!$D$10)*(1+'Assumptions'!$N$128)^(6-1)</x:f>
        <x:v>32.0183432928</x:v>
      </x:c>
      <x:c r="J746" s="10" t="n">
        <x:f>H746*I746</x:f>
        <x:v>3167.628620846809</x:v>
      </x:c>
      <x:c r="K746" s="10" t="n">
        <x:f>J746*'Assumptions'!$T$128</x:f>
        <x:v>3167.628620846809</x:v>
      </x:c>
      <x:c r="L746" s="10" t="n">
        <x:f>K746*'Assumptions'!$U$128</x:f>
        <x:v>95.02885862540427</x:v>
      </x:c>
      <x:c r="M746" s="10" t="n">
        <x:f>K746*'Assumptions'!$V$128</x:f>
        <x:v>0</x:v>
      </x:c>
      <x:c r="N746" s="10" t="n">
        <x:f>K746-L746-M746</x:f>
        <x:v>3072.599762221405</x:v>
      </x:c>
      <x:c r="O746" s="10" t="n">
        <x:f>H746*'Assumptions'!$P$128*'Assumptions'!$Q$128*'Assumptions'!$D$11*(1+'Assumptions'!$D$13)^(6-1)</x:f>
        <x:v>602.1169160372107</x:v>
      </x:c>
      <x:c r="P746" s="10" t="n">
        <x:f>H746*'Assumptions'!$R$128*'Assumptions'!$D$11*(1+'Assumptions'!$D$13)^(6-1)</x:f>
        <x:v>0</x:v>
      </x:c>
      <x:c r="Q746" s="10" t="n">
        <x:f>J746*'Assumptions'!$S$128</x:f>
        <x:v>0</x:v>
      </x:c>
      <x:c r="R746" s="10" t="n">
        <x:f>H746*'Assumptions'!$Y$128*'Assumptions'!$Z$128*'Assumptions'!$D$11*(1+'Assumptions'!$D$13)^(6-1)</x:f>
        <x:v>516.1002137461807</x:v>
      </x:c>
      <x:c r="S746" s="10" t="n">
        <x:f>IF(I746=0,0,J746*'Assumptions'!$W$128+H746*'Assumptions'!$X$128)</x:f>
        <x:v>121.54073520455748</x:v>
      </x:c>
      <x:c r="T746" s="10" t="n">
        <x:f>N746*'Assumptions'!$AA$128</x:f>
        <x:v>153.62998811107025</x:v>
      </x:c>
      <x:c r="U746" s="10" t="n">
        <x:f>'Assumptions'!$AE$128*'Assumptions'!$D$11*(1+'Assumptions'!$D$13)^(6-1)</x:f>
        <x:v>0</x:v>
      </x:c>
      <x:c r="V746" s="10" t="n">
        <x:f>0</x:f>
        <x:v>0</x:v>
      </x:c>
      <x:c r="W746" s="10" t="n">
        <x:f>H746*('Assumptions'!$P$128+'Assumptions'!$Y$128)</x:f>
        <x:v>29.6795052</x:v>
      </x:c>
      <x:c r="X746" s="10" t="n">
        <x:f>N746/12*'Assumptions'!$AF$128</x:f>
        <x:v>0</x:v>
      </x:c>
      <x:c r="Y746" s="10" t="n">
        <x:f>P746/12</x:f>
        <x:v>0</x:v>
      </x:c>
      <x:c r="Z746" s="10" t="n">
        <x:f>0</x:f>
        <x:v>0</x:v>
      </x:c>
      <x:c r="AA746" s="10" t="n">
        <x:f>Z746*'Assumptions'!$AC$128*'Assumptions'!$D$11*(1+'Assumptions'!$D$13)^(6-1)</x:f>
        <x:v>0</x:v>
      </x:c>
      <x:c r="AB746" s="10" t="n">
        <x:f>F746/1</x:f>
        <x:v>38.44454400000001</x:v>
      </x:c>
      <x:c r="AC746" s="10" t="n">
        <x:f>AB746/'Assumptions'!$AM$128</x:f>
        <x:v>768.8908800000002</x:v>
      </x:c>
      <x:c r="AD746" s="10" t="n">
        <x:f>IF(AB746=0,0,T746/AB746)</x:f>
        <x:v>3.9961454117148643</x:v>
      </x:c>
      <x:c r="AE746" s="10" t="n">
        <x:f>AA746*'Assumptions'!$D$21</x:f>
        <x:v>0</x:v>
      </x:c>
    </x:row>
    <x:row r="747" ht="16" customHeight="1">
      <x:c r="A747" s="1"/>
      <x:c r="B747" s="1"/>
      <x:c r="C747" s="1" t="str">
        <x:v>DOT-100</x:v>
      </x:c>
      <x:c r="D747" s="10" t="str">
        <x:v>Semajes courses</x:v>
      </x:c>
      <x:c r="E747" s="10" t="n">
        <x:v>6</x:v>
      </x:c>
      <x:c r="F747" s="21" t="n">
        <x:f>F619*(1+'Assumptions'!$M$129)</x:f>
        <x:v>324.26575874999986</x:v>
      </x:c>
      <x:c r="G747" s="21" t="n">
        <x:f>H619*'Assumptions'!$K$129</x:f>
        <x:v>100.51903124999997</x:v>
      </x:c>
      <x:c r="H747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747+G747,NA())</x:f>
        <x:v>424.7847899999998</x:v>
      </x:c>
      <x:c r="I747" s="22" t="n">
        <x:f>'Assumptions'!$H$129*IF('Assumptions'!$O$129=1,1,'Assumptions'!$D$10)*(1+'Assumptions'!$N$129)^(6-1)</x:f>
        <x:v>43.0591513248</x:v>
      </x:c>
      <x:c r="J747" s="10" t="n">
        <x:f>H747*I747</x:f>
        <x:v>18290.87255308338</x:v>
      </x:c>
      <x:c r="K747" s="10" t="n">
        <x:f>J747*'Assumptions'!$T$129</x:f>
        <x:v>18290.87255308338</x:v>
      </x:c>
      <x:c r="L747" s="10" t="n">
        <x:f>K747*'Assumptions'!$U$129</x:f>
        <x:v>548.7261765925014</x:v>
      </x:c>
      <x:c r="M747" s="10" t="n">
        <x:f>K747*'Assumptions'!$V$129</x:f>
        <x:v>0</x:v>
      </x:c>
      <x:c r="N747" s="10" t="n">
        <x:f>K747-L747-M747</x:f>
        <x:v>17742.146376490877</x:v>
      </x:c>
      <x:c r="O747" s="10" t="n">
        <x:f>H747*'Assumptions'!$P$129*'Assumptions'!$Q$129*'Assumptions'!$D$11*(1+'Assumptions'!$D$13)^(6-1)</x:f>
        <x:v>2585.320469570841</x:v>
      </x:c>
      <x:c r="P747" s="10" t="n">
        <x:f>H747*'Assumptions'!$R$129*'Assumptions'!$D$11*(1+'Assumptions'!$D$13)^(6-1)</x:f>
        <x:v>0</x:v>
      </x:c>
      <x:c r="Q747" s="10" t="n">
        <x:f>J747*'Assumptions'!$S$129</x:f>
        <x:v>0</x:v>
      </x:c>
      <x:c r="R747" s="10" t="n">
        <x:f>H747*'Assumptions'!$Y$129*'Assumptions'!$Z$129*'Assumptions'!$D$11*(1+'Assumptions'!$D$13)^(6-1)</x:f>
        <x:v>1477.3259826119092</x:v>
      </x:c>
      <x:c r="S747" s="10" t="n">
        <x:f>IF(I747=0,0,J747*'Assumptions'!$W$129+H747*'Assumptions'!$X$129)</x:f>
        <x:v>657.870741039418</x:v>
      </x:c>
      <x:c r="T747" s="10" t="n">
        <x:f>N747*'Assumptions'!$AA$129</x:f>
        <x:v>887.1073188245439</x:v>
      </x:c>
      <x:c r="U747" s="10" t="n">
        <x:f>'Assumptions'!$AE$129*'Assumptions'!$D$11*(1+'Assumptions'!$D$13)^(6-1)</x:f>
        <x:v>0</x:v>
      </x:c>
      <x:c r="V747" s="10" t="n">
        <x:f>0</x:f>
        <x:v>0</x:v>
      </x:c>
      <x:c r="W747" s="10" t="n">
        <x:f>H747*('Assumptions'!$P$129+'Assumptions'!$Y$129)</x:f>
        <x:v>106.19619749999995</x:v>
      </x:c>
      <x:c r="X747" s="10" t="n">
        <x:f>N747/12*'Assumptions'!$AF$129</x:f>
        <x:v>0</x:v>
      </x:c>
      <x:c r="Y747" s="10" t="n">
        <x:f>P747/12</x:f>
        <x:v>0</x:v>
      </x:c>
      <x:c r="Z747" s="10" t="n">
        <x:f>0</x:f>
        <x:v>0</x:v>
      </x:c>
      <x:c r="AA747" s="10" t="n">
        <x:f>Z747*'Assumptions'!$AC$129*'Assumptions'!$D$11*(1+'Assumptions'!$D$13)^(6-1)</x:f>
        <x:v>0</x:v>
      </x:c>
      <x:c r="AB747" s="10" t="n">
        <x:f>F747/1</x:f>
        <x:v>324.26575874999986</x:v>
      </x:c>
      <x:c r="AC747" s="10" t="n">
        <x:f>AB747/'Assumptions'!$AM$129</x:f>
        <x:v>6485.315174999997</x:v>
      </x:c>
      <x:c r="AD747" s="10" t="n">
        <x:f>IF(AB747=0,0,T747/AB747)</x:f>
        <x:v>2.735741578895722</x:v>
      </x:c>
      <x:c r="AE747" s="10" t="n">
        <x:f>AA747*'Assumptions'!$D$21</x:f>
        <x:v>0</x:v>
      </x:c>
    </x:row>
    <x:row r="748" ht="16" customHeight="1">
      <x:c r="A748" s="1"/>
      <x:c r="B748" s="1"/>
      <x:c r="C748" s="1" t="str">
        <x:v>DOT-101</x:v>
      </x:c>
      <x:c r="D748" s="10" t="str">
        <x:v>Sleepy Face</x:v>
      </x:c>
      <x:c r="E748" s="10" t="n">
        <x:v>6</x:v>
      </x:c>
      <x:c r="F748" s="21" t="n">
        <x:f>F620*(1+'Assumptions'!$M$130)</x:f>
        <x:v>272.2817900544001</x:v>
      </x:c>
      <x:c r="G748" s="21" t="n">
        <x:f>H620*'Assumptions'!$K$130</x:f>
        <x:v>108.05354150400002</x:v>
      </x:c>
      <x:c r="H748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748+G748,NA())</x:f>
        <x:v>380.3353315584001</x:v>
      </x:c>
      <x:c r="I748" s="22" t="n">
        <x:f>'Assumptions'!$H$130*IF('Assumptions'!$O$130=1,1,'Assumptions'!$D$10)*(1+'Assumptions'!$N$130)^(6-1)</x:f>
        <x:v>104.887676304</x:v>
      </x:c>
      <x:c r="J748" s="10" t="n">
        <x:f>H748*I748</x:f>
        <x:v>39892.48914347199</x:v>
      </x:c>
      <x:c r="K748" s="10" t="n">
        <x:f>J748*'Assumptions'!$T$130</x:f>
        <x:v>39892.48914347199</x:v>
      </x:c>
      <x:c r="L748" s="10" t="n">
        <x:f>K748*'Assumptions'!$U$130</x:f>
        <x:v>3191.3991314777595</x:v>
      </x:c>
      <x:c r="M748" s="10" t="n">
        <x:f>K748*'Assumptions'!$V$130</x:f>
        <x:v>797.8497828694399</x:v>
      </x:c>
      <x:c r="N748" s="10" t="n">
        <x:f>K748-L748-M748</x:f>
        <x:v>35903.24022912479</x:v>
      </x:c>
      <x:c r="O748" s="10" t="n">
        <x:f>H748*'Assumptions'!$P$130*'Assumptions'!$Q$130*'Assumptions'!$D$11*(1+'Assumptions'!$D$13)^(6-1)</x:f>
        <x:v>2314.7926694337266</x:v>
      </x:c>
      <x:c r="P748" s="10" t="n">
        <x:f>H748*'Assumptions'!$R$130*'Assumptions'!$D$11*(1+'Assumptions'!$D$13)^(6-1)</x:f>
        <x:v>13227.386682478438</x:v>
      </x:c>
      <x:c r="Q748" s="10" t="n">
        <x:f>J748*'Assumptions'!$S$130</x:f>
        <x:v>0</x:v>
      </x:c>
      <x:c r="R748" s="10" t="n">
        <x:f>H748*'Assumptions'!$Y$130*'Assumptions'!$Z$130*'Assumptions'!$D$11*(1+'Assumptions'!$D$13)^(6-1)</x:f>
        <x:v>1984.1080023717657</x:v>
      </x:c>
      <x:c r="S748" s="10" t="n">
        <x:f>IF(I748=0,0,J748*'Assumptions'!$W$130+H748*'Assumptions'!$X$130)</x:f>
        <x:v>1270.9827846282078</x:v>
      </x:c>
      <x:c r="T748" s="10" t="n">
        <x:f>N748*'Assumptions'!$AA$130</x:f>
        <x:v>2872.2592183299835</x:v>
      </x:c>
      <x:c r="U748" s="10" t="n">
        <x:f>'Assumptions'!$AE$130*'Assumptions'!$D$11*(1+'Assumptions'!$D$13)^(6-1)</x:f>
        <x:v>0</x:v>
      </x:c>
      <x:c r="V748" s="10" t="n">
        <x:f>0</x:f>
        <x:v>0</x:v>
      </x:c>
      <x:c r="W748" s="10" t="n">
        <x:f>H748*('Assumptions'!$P$130+'Assumptions'!$Y$130)</x:f>
        <x:v>114.10059946752004</x:v>
      </x:c>
      <x:c r="X748" s="10" t="n">
        <x:f>N748/12*'Assumptions'!$AF$130</x:f>
        <x:v>0</x:v>
      </x:c>
      <x:c r="Y748" s="10" t="n">
        <x:f>P748/12</x:f>
        <x:v>1102.2822235398698</x:v>
      </x:c>
      <x:c r="Z748" s="10" t="n">
        <x:f>0</x:f>
        <x:v>0</x:v>
      </x:c>
      <x:c r="AA748" s="10" t="n">
        <x:f>Z748*'Assumptions'!$AC$130*'Assumptions'!$D$11*(1+'Assumptions'!$D$13)^(6-1)</x:f>
        <x:v>0</x:v>
      </x:c>
      <x:c r="AB748" s="10" t="n">
        <x:f>F748/1</x:f>
        <x:v>272.2817900544001</x:v>
      </x:c>
      <x:c r="AC748" s="10" t="n">
        <x:f>AB748/'Assumptions'!$AM$130</x:f>
        <x:v>9076.059668480004</x:v>
      </x:c>
      <x:c r="AD748" s="10" t="n">
        <x:f>IF(AB748=0,0,T748/AB748)</x:f>
        <x:v>10.54884800689802</x:v>
      </x:c>
      <x:c r="AE748" s="10" t="n">
        <x:f>AA748*'Assumptions'!$D$21</x:f>
        <x:v>0</x:v>
      </x:c>
    </x:row>
    <x:row r="749" ht="16" customHeight="1">
      <x:c r="A749" s="1"/>
      <x:c r="B749" s="1"/>
      <x:c r="C749" s="1" t="str">
        <x:v>DOT-102</x:v>
      </x:c>
      <x:c r="D749" s="10" t="str">
        <x:v>Sleepy Face</x:v>
      </x:c>
      <x:c r="E749" s="10" t="n">
        <x:v>6</x:v>
      </x:c>
      <x:c r="F749" s="21" t="n">
        <x:f>F621*(1+'Assumptions'!$M$131)</x:f>
        <x:v>408.4226850816001</x:v>
      </x:c>
      <x:c r="G749" s="21" t="n">
        <x:f>H621*'Assumptions'!$K$131</x:f>
        <x:v>162.080312256</x:v>
      </x:c>
      <x:c r="H749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749+G749,NA())</x:f>
        <x:v>570.5029973376002</x:v>
      </x:c>
      <x:c r="I749" s="22" t="n">
        <x:f>'Assumptions'!$H$131*IF('Assumptions'!$O$131=1,1,'Assumptions'!$D$10)*(1+'Assumptions'!$N$131)^(6-1)</x:f>
        <x:v>182.173332528</x:v>
      </x:c>
      <x:c r="J749" s="10" t="n">
        <x:f>H749*I749</x:f>
        <x:v>103930.43224220333</x:v>
      </x:c>
      <x:c r="K749" s="10" t="n">
        <x:f>J749*'Assumptions'!$T$131</x:f>
        <x:v>103930.43224220333</x:v>
      </x:c>
      <x:c r="L749" s="10" t="n">
        <x:f>K749*'Assumptions'!$U$131</x:f>
        <x:v>8314.434579376266</x:v>
      </x:c>
      <x:c r="M749" s="10" t="n">
        <x:f>K749*'Assumptions'!$V$131</x:f>
        <x:v>2078.6086448440665</x:v>
      </x:c>
      <x:c r="N749" s="10" t="n">
        <x:f>K749-L749-M749</x:f>
        <x:v>93537.389017983</x:v>
      </x:c>
      <x:c r="O749" s="10" t="n">
        <x:f>H749*'Assumptions'!$P$131*'Assumptions'!$Q$131*'Assumptions'!$D$11*(1+'Assumptions'!$D$13)^(6-1)</x:f>
        <x:v>3472.18900415059</x:v>
      </x:c>
      <x:c r="P749" s="10" t="n">
        <x:f>H749*'Assumptions'!$R$131*'Assumptions'!$D$11*(1+'Assumptions'!$D$13)^(6-1)</x:f>
        <x:v>39682.16004743531</x:v>
      </x:c>
      <x:c r="Q749" s="10" t="n">
        <x:f>J749*'Assumptions'!$S$131</x:f>
        <x:v>0</x:v>
      </x:c>
      <x:c r="R749" s="10" t="n">
        <x:f>H749*'Assumptions'!$Y$131*'Assumptions'!$Z$131*'Assumptions'!$D$11*(1+'Assumptions'!$D$13)^(6-1)</x:f>
        <x:v>2976.1620035576484</x:v>
      </x:c>
      <x:c r="S749" s="10" t="n">
        <x:f>IF(I749=0,0,J749*'Assumptions'!$W$131+H749*'Assumptions'!$X$131)</x:f>
        <x:v>3185.1334342251766</x:v>
      </x:c>
      <x:c r="T749" s="10" t="n">
        <x:f>N749*'Assumptions'!$AA$131</x:f>
        <x:v>7482.99112143864</x:v>
      </x:c>
      <x:c r="U749" s="10" t="n">
        <x:f>'Assumptions'!$AE$131*'Assumptions'!$D$11*(1+'Assumptions'!$D$13)^(6-1)</x:f>
        <x:v>0</x:v>
      </x:c>
      <x:c r="V749" s="10" t="n">
        <x:f>0</x:f>
        <x:v>0</x:v>
      </x:c>
      <x:c r="W749" s="10" t="n">
        <x:f>H749*('Assumptions'!$P$131+'Assumptions'!$Y$131)</x:f>
        <x:v>171.15089920128005</x:v>
      </x:c>
      <x:c r="X749" s="10" t="n">
        <x:f>N749/12*'Assumptions'!$AF$131</x:f>
        <x:v>0</x:v>
      </x:c>
      <x:c r="Y749" s="10" t="n">
        <x:f>P749/12</x:f>
        <x:v>3306.846670619609</x:v>
      </x:c>
      <x:c r="Z749" s="10" t="n">
        <x:f>0</x:f>
        <x:v>0</x:v>
      </x:c>
      <x:c r="AA749" s="10" t="n">
        <x:f>Z749*'Assumptions'!$AC$131*'Assumptions'!$D$11*(1+'Assumptions'!$D$13)^(6-1)</x:f>
        <x:v>0</x:v>
      </x:c>
      <x:c r="AB749" s="10" t="n">
        <x:f>F749/1</x:f>
        <x:v>408.4226850816001</x:v>
      </x:c>
      <x:c r="AC749" s="10" t="n">
        <x:f>AB749/'Assumptions'!$AM$131</x:f>
        <x:v>13614.089502720004</x:v>
      </x:c>
      <x:c r="AD749" s="10" t="n">
        <x:f>IF(AB749=0,0,T749/AB749)</x:f>
        <x:v>18.321683380401822</x:v>
      </x:c>
      <x:c r="AE749" s="10" t="n">
        <x:f>AA749*'Assumptions'!$D$21</x:f>
        <x:v>0</x:v>
      </x:c>
    </x:row>
    <x:row r="750" ht="16" customHeight="1">
      <x:c r="A750" s="1"/>
      <x:c r="B750" s="1"/>
      <x:c r="C750" s="1" t="str">
        <x:v>DOT-103</x:v>
      </x:c>
      <x:c r="D750" s="10" t="str">
        <x:v>Sleepy Face</x:v>
      </x:c>
      <x:c r="E750" s="10" t="n">
        <x:v>6</x:v>
      </x:c>
      <x:c r="F750" s="21" t="n">
        <x:f>F622*(1+'Assumptions'!$M$132)</x:f>
        <x:v>90.76059668480002</x:v>
      </x:c>
      <x:c r="G750" s="21" t="n">
        <x:f>H622*'Assumptions'!$K$132</x:f>
        <x:v>36.01784716800001</x:v>
      </x:c>
      <x:c r="H750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750+G750,NA())</x:f>
        <x:v>126.77844385280002</x:v>
      </x:c>
      <x:c r="I750" s="22" t="n">
        <x:f>'Assumptions'!$H$132*IF('Assumptions'!$O$132=1,1,'Assumptions'!$D$10)*(1+'Assumptions'!$N$132)^(6-1)</x:f>
        <x:v>248.41818072</x:v>
      </x:c>
      <x:c r="J750" s="10" t="n">
        <x:f>H750*I750</x:f>
        <x:v>31494.07037642525</x:v>
      </x:c>
      <x:c r="K750" s="10" t="n">
        <x:f>J750*'Assumptions'!$T$132</x:f>
        <x:v>31494.07037642525</x:v>
      </x:c>
      <x:c r="L750" s="10" t="n">
        <x:f>K750*'Assumptions'!$U$132</x:f>
        <x:v>2519.5256301140203</x:v>
      </x:c>
      <x:c r="M750" s="10" t="n">
        <x:f>K750*'Assumptions'!$V$132</x:f>
        <x:v>629.8814075285051</x:v>
      </x:c>
      <x:c r="N750" s="10" t="n">
        <x:f>K750-L750-M750</x:f>
        <x:v>28344.663338782724</x:v>
      </x:c>
      <x:c r="O750" s="10" t="n">
        <x:f>H750*'Assumptions'!$P$132*'Assumptions'!$Q$132*'Assumptions'!$D$11*(1+'Assumptions'!$D$13)^(6-1)</x:f>
        <x:v>771.5975564779086</x:v>
      </x:c>
      <x:c r="P750" s="10" t="n">
        <x:f>H750*'Assumptions'!$R$132*'Assumptions'!$D$11*(1+'Assumptions'!$D$13)^(6-1)</x:f>
        <x:v>13227.386682478436</x:v>
      </x:c>
      <x:c r="Q750" s="10" t="n">
        <x:f>J750*'Assumptions'!$S$132</x:f>
        <x:v>0</x:v>
      </x:c>
      <x:c r="R750" s="10" t="n">
        <x:f>H750*'Assumptions'!$Y$132*'Assumptions'!$Z$132*'Assumptions'!$D$11*(1+'Assumptions'!$D$13)^(6-1)</x:f>
        <x:v>661.3693341239217</x:v>
      </x:c>
      <x:c r="S750" s="10" t="n">
        <x:f>IF(I750=0,0,J750*'Assumptions'!$W$132+H750*'Assumptions'!$X$132)</x:f>
        <x:v>951.3615740721723</x:v>
      </x:c>
      <x:c r="T750" s="10" t="n">
        <x:f>N750*'Assumptions'!$AA$132</x:f>
        <x:v>2267.573067102618</x:v>
      </x:c>
      <x:c r="U750" s="10" t="n">
        <x:f>'Assumptions'!$AE$132*'Assumptions'!$D$11*(1+'Assumptions'!$D$13)^(6-1)</x:f>
        <x:v>0</x:v>
      </x:c>
      <x:c r="V750" s="10" t="n">
        <x:f>0</x:f>
        <x:v>0</x:v>
      </x:c>
      <x:c r="W750" s="10" t="n">
        <x:f>H750*('Assumptions'!$P$132+'Assumptions'!$Y$132)</x:f>
        <x:v>38.033533155840004</x:v>
      </x:c>
      <x:c r="X750" s="10" t="n">
        <x:f>N750/12*'Assumptions'!$AF$132</x:f>
        <x:v>0</x:v>
      </x:c>
      <x:c r="Y750" s="10" t="n">
        <x:f>P750/12</x:f>
        <x:v>1102.2822235398696</x:v>
      </x:c>
      <x:c r="Z750" s="10" t="n">
        <x:f>0</x:f>
        <x:v>0</x:v>
      </x:c>
      <x:c r="AA750" s="10" t="n">
        <x:f>Z750*'Assumptions'!$AC$132*'Assumptions'!$D$11*(1+'Assumptions'!$D$13)^(6-1)</x:f>
        <x:v>0</x:v>
      </x:c>
      <x:c r="AB750" s="10" t="n">
        <x:f>F750/1</x:f>
        <x:v>90.76059668480002</x:v>
      </x:c>
      <x:c r="AC750" s="10" t="n">
        <x:f>AB750/'Assumptions'!$AM$132</x:f>
        <x:v>3025.3532228266677</x:v>
      </x:c>
      <x:c r="AD750" s="10" t="n">
        <x:f>IF(AB750=0,0,T750/AB750)</x:f>
        <x:v>24.98411370054794</x:v>
      </x:c>
      <x:c r="AE750" s="10" t="n">
        <x:f>AA750*'Assumptions'!$D$21</x:f>
        <x:v>0</x:v>
      </x:c>
    </x:row>
    <x:row r="751" ht="16" customHeight="1">
      <x:c r="A751" s="1"/>
      <x:c r="B751" s="1"/>
      <x:c r="C751" s="1" t="str">
        <x:v>DOT-104</x:v>
      </x:c>
      <x:c r="D751" s="10" t="str">
        <x:v>Sleepy Face</x:v>
      </x:c>
      <x:c r="E751" s="10" t="n">
        <x:v>6</x:v>
      </x:c>
      <x:c r="F751" s="21" t="n">
        <x:f>F623*(1+'Assumptions'!$M$133)</x:f>
        <x:v>272.2817900544001</x:v>
      </x:c>
      <x:c r="G751" s="21" t="n">
        <x:f>H623*'Assumptions'!$K$133</x:f>
        <x:v>108.05354150400002</x:v>
      </x:c>
      <x:c r="H751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751+G751,NA())</x:f>
        <x:v>380.3353315584001</x:v>
      </x:c>
      <x:c r="I751" s="22" t="n">
        <x:f>'Assumptions'!$H$133*IF('Assumptions'!$O$133=1,1,'Assumptions'!$D$10)*(1+'Assumptions'!$N$133)^(6-1)</x:f>
        <x:v>104.887676304</x:v>
      </x:c>
      <x:c r="J751" s="10" t="n">
        <x:f>H751*I751</x:f>
        <x:v>39892.48914347199</x:v>
      </x:c>
      <x:c r="K751" s="10" t="n">
        <x:f>J751*'Assumptions'!$T$133</x:f>
        <x:v>39892.48914347199</x:v>
      </x:c>
      <x:c r="L751" s="10" t="n">
        <x:f>K751*'Assumptions'!$U$133</x:f>
        <x:v>3191.3991314777595</x:v>
      </x:c>
      <x:c r="M751" s="10" t="n">
        <x:f>K751*'Assumptions'!$V$133</x:f>
        <x:v>797.8497828694399</x:v>
      </x:c>
      <x:c r="N751" s="10" t="n">
        <x:f>K751-L751-M751</x:f>
        <x:v>35903.24022912479</x:v>
      </x:c>
      <x:c r="O751" s="10" t="n">
        <x:f>H751*'Assumptions'!$P$133*'Assumptions'!$Q$133*'Assumptions'!$D$11*(1+'Assumptions'!$D$13)^(6-1)</x:f>
        <x:v>2314.7926694337266</x:v>
      </x:c>
      <x:c r="P751" s="10" t="n">
        <x:f>H751*'Assumptions'!$R$133*'Assumptions'!$D$11*(1+'Assumptions'!$D$13)^(6-1)</x:f>
        <x:v>15431.951129558178</x:v>
      </x:c>
      <x:c r="Q751" s="10" t="n">
        <x:f>J751*'Assumptions'!$S$133</x:f>
        <x:v>0</x:v>
      </x:c>
      <x:c r="R751" s="10" t="n">
        <x:f>H751*'Assumptions'!$Y$133*'Assumptions'!$Z$133*'Assumptions'!$D$11*(1+'Assumptions'!$D$13)^(6-1)</x:f>
        <x:v>1984.1080023717657</x:v>
      </x:c>
      <x:c r="S751" s="10" t="n">
        <x:f>IF(I751=0,0,J751*'Assumptions'!$W$133+H751*'Assumptions'!$X$133)</x:f>
        <x:v>1270.9827846282078</x:v>
      </x:c>
      <x:c r="T751" s="10" t="n">
        <x:f>N751*'Assumptions'!$AA$133</x:f>
        <x:v>2872.2592183299835</x:v>
      </x:c>
      <x:c r="U751" s="10" t="n">
        <x:f>'Assumptions'!$AE$133*'Assumptions'!$D$11*(1+'Assumptions'!$D$13)^(6-1)</x:f>
        <x:v>0</x:v>
      </x:c>
      <x:c r="V751" s="10" t="n">
        <x:f>0</x:f>
        <x:v>0</x:v>
      </x:c>
      <x:c r="W751" s="10" t="n">
        <x:f>H751*('Assumptions'!$P$133+'Assumptions'!$Y$133)</x:f>
        <x:v>114.10059946752004</x:v>
      </x:c>
      <x:c r="X751" s="10" t="n">
        <x:f>N751/12*'Assumptions'!$AF$133</x:f>
        <x:v>0</x:v>
      </x:c>
      <x:c r="Y751" s="10" t="n">
        <x:f>P751/12</x:f>
        <x:v>1285.9959274631815</x:v>
      </x:c>
      <x:c r="Z751" s="10" t="n">
        <x:f>0</x:f>
        <x:v>0</x:v>
      </x:c>
      <x:c r="AA751" s="10" t="n">
        <x:f>Z751*'Assumptions'!$AC$133*'Assumptions'!$D$11*(1+'Assumptions'!$D$13)^(6-1)</x:f>
        <x:v>0</x:v>
      </x:c>
      <x:c r="AB751" s="10" t="n">
        <x:f>F751/1</x:f>
        <x:v>272.2817900544001</x:v>
      </x:c>
      <x:c r="AC751" s="10" t="n">
        <x:f>AB751/'Assumptions'!$AM$133</x:f>
        <x:v>9076.059668480004</x:v>
      </x:c>
      <x:c r="AD751" s="10" t="n">
        <x:f>IF(AB751=0,0,T751/AB751)</x:f>
        <x:v>10.54884800689802</x:v>
      </x:c>
      <x:c r="AE751" s="10" t="n">
        <x:f>AA751*'Assumptions'!$D$21</x:f>
        <x:v>0</x:v>
      </x:c>
    </x:row>
    <x:row r="752" ht="16" customHeight="1">
      <x:c r="A752" s="1"/>
      <x:c r="B752" s="1"/>
      <x:c r="C752" s="1" t="str">
        <x:v>DOT-105</x:v>
      </x:c>
      <x:c r="D752" s="10" t="str">
        <x:v>Sleepy Face</x:v>
      </x:c>
      <x:c r="E752" s="10" t="n">
        <x:v>6</x:v>
      </x:c>
      <x:c r="F752" s="21" t="n">
        <x:f>F624*(1+'Assumptions'!$M$134)</x:f>
        <x:v>136.14089502720006</x:v>
      </x:c>
      <x:c r="G752" s="21" t="n">
        <x:f>H624*'Assumptions'!$K$134</x:f>
        <x:v>54.02677075200001</x:v>
      </x:c>
      <x:c r="H752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752+G752,NA())</x:f>
        <x:v>190.16766577920006</x:v>
      </x:c>
      <x:c r="I752" s="22" t="n">
        <x:f>'Assumptions'!$H$134*IF('Assumptions'!$O$134=1,1,'Assumptions'!$D$10)*(1+'Assumptions'!$N$134)^(6-1)</x:f>
        <x:v>193.21414056</x:v>
      </x:c>
      <x:c r="J752" s="10" t="n">
        <x:f>H752*I752</x:f>
        <x:v>36743.08210582946</x:v>
      </x:c>
      <x:c r="K752" s="10" t="n">
        <x:f>J752*'Assumptions'!$T$134</x:f>
        <x:v>36743.08210582946</x:v>
      </x:c>
      <x:c r="L752" s="10" t="n">
        <x:f>K752*'Assumptions'!$U$134</x:f>
        <x:v>2939.446568466357</x:v>
      </x:c>
      <x:c r="M752" s="10" t="n">
        <x:f>K752*'Assumptions'!$V$134</x:f>
        <x:v>734.8616421165892</x:v>
      </x:c>
      <x:c r="N752" s="10" t="n">
        <x:f>K752-L752-M752</x:f>
        <x:v>33068.773895246515</x:v>
      </x:c>
      <x:c r="O752" s="10" t="n">
        <x:f>H752*'Assumptions'!$P$134*'Assumptions'!$Q$134*'Assumptions'!$D$11*(1+'Assumptions'!$D$13)^(6-1)</x:f>
        <x:v>1157.3963347168633</x:v>
      </x:c>
      <x:c r="P752" s="10" t="n">
        <x:f>H752*'Assumptions'!$R$134*'Assumptions'!$D$11*(1+'Assumptions'!$D$13)^(6-1)</x:f>
        <x:v>14329.668906018307</x:v>
      </x:c>
      <x:c r="Q752" s="10" t="n">
        <x:f>J752*'Assumptions'!$S$134</x:f>
        <x:v>0</x:v>
      </x:c>
      <x:c r="R752" s="10" t="n">
        <x:f>H752*'Assumptions'!$Y$134*'Assumptions'!$Z$134*'Assumptions'!$D$11*(1+'Assumptions'!$D$13)^(6-1)</x:f>
        <x:v>992.0540011858828</x:v>
      </x:c>
      <x:c r="S752" s="10" t="n">
        <x:f>IF(I752=0,0,J752*'Assumptions'!$W$134+H752*'Assumptions'!$X$134)</x:f>
        <x:v>1122.5996808028144</x:v>
      </x:c>
      <x:c r="T752" s="10" t="n">
        <x:f>N752*'Assumptions'!$AA$134</x:f>
        <x:v>2645.5019116197213</x:v>
      </x:c>
      <x:c r="U752" s="10" t="n">
        <x:f>'Assumptions'!$AE$134*'Assumptions'!$D$11*(1+'Assumptions'!$D$13)^(6-1)</x:f>
        <x:v>0</x:v>
      </x:c>
      <x:c r="V752" s="10" t="n">
        <x:f>0</x:f>
        <x:v>0</x:v>
      </x:c>
      <x:c r="W752" s="10" t="n">
        <x:f>H752*('Assumptions'!$P$134+'Assumptions'!$Y$134)</x:f>
        <x:v>57.05029973376002</x:v>
      </x:c>
      <x:c r="X752" s="10" t="n">
        <x:f>N752/12*'Assumptions'!$AF$134</x:f>
        <x:v>0</x:v>
      </x:c>
      <x:c r="Y752" s="10" t="n">
        <x:f>P752/12</x:f>
        <x:v>1194.1390755015257</x:v>
      </x:c>
      <x:c r="Z752" s="10" t="n">
        <x:f>0</x:f>
        <x:v>0</x:v>
      </x:c>
      <x:c r="AA752" s="10" t="n">
        <x:f>Z752*'Assumptions'!$AC$134*'Assumptions'!$D$11*(1+'Assumptions'!$D$13)^(6-1)</x:f>
        <x:v>0</x:v>
      </x:c>
      <x:c r="AB752" s="10" t="n">
        <x:f>F752/1</x:f>
        <x:v>136.14089502720006</x:v>
      </x:c>
      <x:c r="AC752" s="10" t="n">
        <x:f>AB752/'Assumptions'!$AM$134</x:f>
        <x:v>4538.029834240002</x:v>
      </x:c>
      <x:c r="AD752" s="10" t="n">
        <x:f>IF(AB752=0,0,T752/AB752)</x:f>
        <x:v>19.432088433759507</x:v>
      </x:c>
      <x:c r="AE752" s="10" t="n">
        <x:f>AA752*'Assumptions'!$D$21</x:f>
        <x:v>0</x:v>
      </x:c>
    </x:row>
    <x:row r="753" ht="16" customHeight="1">
      <x:c r="A753" s="1"/>
      <x:c r="B753" s="1"/>
      <x:c r="C753" s="1" t="str">
        <x:v>DOT-106</x:v>
      </x:c>
      <x:c r="D753" s="10" t="str">
        <x:v>QzoticMusic</x:v>
      </x:c>
      <x:c r="E753" s="10" t="n">
        <x:v>6</x:v>
      </x:c>
      <x:c r="F753" s="21" t="n">
        <x:f>F625*(1+'Assumptions'!$M$135)</x:f>
        <x:v>810.6643968749999</x:v>
      </x:c>
      <x:c r="G753" s="21" t="n">
        <x:f>H625*'Assumptions'!$K$135</x:f>
        <x:v>251.15109374999997</x:v>
      </x:c>
      <x:c r="H753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753+G753,NA())</x:f>
        <x:v>1061.8154906249997</x:v>
      </x:c>
      <x:c r="I753" s="22" t="n">
        <x:f>'Assumptions'!$H$135*IF('Assumptions'!$O$135=1,1,'Assumptions'!$D$10)*(1+'Assumptions'!$N$135)^(6-1)</x:f>
        <x:v>5.5204040160000005</x:v>
      </x:c>
      <x:c r="J753" s="10" t="n">
        <x:f>H753*I753</x:f>
        <x:v>5861.6504986972595</x:v>
      </x:c>
      <x:c r="K753" s="10" t="n">
        <x:f>J753*'Assumptions'!$T$135</x:f>
        <x:v>5861.6504986972595</x:v>
      </x:c>
      <x:c r="L753" s="10" t="n">
        <x:f>K753*'Assumptions'!$U$135</x:f>
        <x:v>175.8495149609178</x:v>
      </x:c>
      <x:c r="M753" s="10" t="n">
        <x:f>K753*'Assumptions'!$V$135</x:f>
        <x:v>0</x:v>
      </x:c>
      <x:c r="N753" s="10" t="n">
        <x:f>K753-L753-M753</x:f>
        <x:v>5685.800983736342</x:v>
      </x:c>
      <x:c r="O753" s="10" t="n">
        <x:f>H753*'Assumptions'!$P$135*'Assumptions'!$Q$135*'Assumptions'!$D$11*(1+'Assumptions'!$D$13)^(6-1)</x:f>
        <x:v>861.6546189801877</x:v>
      </x:c>
      <x:c r="P753" s="10" t="n">
        <x:f>H753*'Assumptions'!$R$135*'Assumptions'!$D$11*(1+'Assumptions'!$D$13)^(6-1)</x:f>
        <x:v>0</x:v>
      </x:c>
      <x:c r="Q753" s="10" t="n">
        <x:f>J753*'Assumptions'!$S$135</x:f>
        <x:v>0</x:v>
      </x:c>
      <x:c r="R753" s="10" t="n">
        <x:f>H753*'Assumptions'!$Y$135*'Assumptions'!$Z$135*'Assumptions'!$D$11*(1+'Assumptions'!$D$13)^(6-1)</x:f>
        <x:v>3692.8055099150915</x:v>
      </x:c>
      <x:c r="S753" s="10" t="n">
        <x:f>IF(I753=0,0,J753*'Assumptions'!$W$135+H753*'Assumptions'!$X$135)</x:f>
        <x:v>488.5325116497204</x:v>
      </x:c>
      <x:c r="T753" s="10" t="n">
        <x:f>N753*'Assumptions'!$AA$135</x:f>
        <x:v>284.2900491868171</x:v>
      </x:c>
      <x:c r="U753" s="10" t="n">
        <x:f>'Assumptions'!$AE$135*'Assumptions'!$D$11*(1+'Assumptions'!$D$13)^(6-1)</x:f>
        <x:v>0</x:v>
      </x:c>
      <x:c r="V753" s="10" t="n">
        <x:f>0</x:f>
        <x:v>0</x:v>
      </x:c>
      <x:c r="W753" s="10" t="n">
        <x:f>H753*('Assumptions'!$P$135+'Assumptions'!$Y$135)</x:f>
        <x:v>127.41785887499998</x:v>
      </x:c>
      <x:c r="X753" s="10" t="n">
        <x:f>N753/12*'Assumptions'!$AF$135</x:f>
        <x:v>0</x:v>
      </x:c>
      <x:c r="Y753" s="10" t="n">
        <x:f>P753/12</x:f>
        <x:v>0</x:v>
      </x:c>
      <x:c r="Z753" s="10" t="n">
        <x:f>0</x:f>
        <x:v>0</x:v>
      </x:c>
      <x:c r="AA753" s="10" t="n">
        <x:f>Z753*'Assumptions'!$AC$135*'Assumptions'!$D$11*(1+'Assumptions'!$D$13)^(6-1)</x:f>
        <x:v>0</x:v>
      </x:c>
      <x:c r="AB753" s="10" t="n">
        <x:f>F753/12</x:f>
        <x:v>67.55536640624999</x:v>
      </x:c>
      <x:c r="AC753" s="10" t="n">
        <x:f>AB753/'Assumptions'!$AM$135</x:f>
        <x:v>1351.1073281249996</x:v>
      </x:c>
      <x:c r="AD753" s="10" t="n">
        <x:f>IF(AB753=0,0,T753/AB753)</x:f>
        <x:v>4.208252642391346</x:v>
      </x:c>
      <x:c r="AE753" s="10" t="n">
        <x:f>AA753*'Assumptions'!$D$21</x:f>
        <x:v>0</x:v>
      </x:c>
    </x:row>
    <x:row r="754" ht="16" customHeight="1">
      <x:c r="A754" s="1"/>
      <x:c r="B754" s="1"/>
      <x:c r="C754" s="1" t="str">
        <x:v>DOT-107</x:v>
      </x:c>
      <x:c r="D754" s="10" t="str">
        <x:v>QzoticMusic</x:v>
      </x:c>
      <x:c r="E754" s="10" t="n">
        <x:v>6</x:v>
      </x:c>
      <x:c r="F754" s="21" t="n">
        <x:f>F626*(1+'Assumptions'!$M$136)</x:f>
        <x:v>235.2515880000001</x:v>
      </x:c>
      <x:c r="G754" s="21" t="n">
        <x:f>H626*'Assumptions'!$K$136</x:f>
        <x:v>116.67369000000004</x:v>
      </x:c>
      <x:c r="H754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754+G754,NA())</x:f>
        <x:v>351.92527800000016</x:v>
      </x:c>
      <x:c r="I754" s="22" t="n">
        <x:f>'Assumptions'!$H$136*IF('Assumptions'!$O$136=1,1,'Assumptions'!$D$10)*(1+'Assumptions'!$N$136)^(6-1)</x:f>
        <x:v>27.60202008</x:v>
      </x:c>
      <x:c r="J754" s="10" t="n">
        <x:f>H754*I754</x:f>
        <x:v>9713.848590015587</x:v>
      </x:c>
      <x:c r="K754" s="10" t="n">
        <x:f>J754*'Assumptions'!$T$136</x:f>
        <x:v>9713.848590015587</x:v>
      </x:c>
      <x:c r="L754" s="10" t="n">
        <x:f>K754*'Assumptions'!$U$136</x:f>
        <x:v>291.4154577004676</x:v>
      </x:c>
      <x:c r="M754" s="10" t="n">
        <x:f>K754*'Assumptions'!$V$136</x:f>
        <x:v>0</x:v>
      </x:c>
      <x:c r="N754" s="10" t="n">
        <x:f>K754-L754-M754</x:f>
        <x:v>9422.433132315118</x:v>
      </x:c>
      <x:c r="O754" s="10" t="n">
        <x:f>H754*'Assumptions'!$P$136*'Assumptions'!$Q$136*'Assumptions'!$D$11*(1+'Assumptions'!$D$13)^(6-1)</x:f>
        <x:v>2141.883717100157</x:v>
      </x:c>
      <x:c r="P754" s="10" t="n">
        <x:f>H754*'Assumptions'!$R$136*'Assumptions'!$D$11*(1+'Assumptions'!$D$13)^(6-1)</x:f>
        <x:v>4079.7785087622037</x:v>
      </x:c>
      <x:c r="Q754" s="10" t="n">
        <x:f>J754*'Assumptions'!$S$136</x:f>
        <x:v>0</x:v>
      </x:c>
      <x:c r="R754" s="10" t="n">
        <x:f>H754*'Assumptions'!$Y$136*'Assumptions'!$Z$136*'Assumptions'!$D$11*(1+'Assumptions'!$D$13)^(6-1)</x:f>
        <x:v>6119.667763143305</x:v>
      </x:c>
      <x:c r="S754" s="10" t="n">
        <x:f>IF(I754=0,0,J754*'Assumptions'!$W$136+H754*'Assumptions'!$X$136)</x:f>
        <x:v>387.27919251045205</x:v>
      </x:c>
      <x:c r="T754" s="10" t="n">
        <x:f>N754*'Assumptions'!$AA$136</x:f>
        <x:v>753.7946505852095</x:v>
      </x:c>
      <x:c r="U754" s="10" t="n">
        <x:f>'Assumptions'!$AE$136*'Assumptions'!$D$11*(1+'Assumptions'!$D$13)^(6-1)</x:f>
        <x:v>0</x:v>
      </x:c>
      <x:c r="V754" s="10" t="n">
        <x:f>0</x:f>
        <x:v>0</x:v>
      </x:c>
      <x:c r="W754" s="10" t="n">
        <x:f>H754*('Assumptions'!$P$136+'Assumptions'!$Y$136)</x:f>
        <x:v>228.7514307000001</x:v>
      </x:c>
      <x:c r="X754" s="10" t="n">
        <x:f>N754/12*'Assumptions'!$AF$136</x:f>
        <x:v>785.2027610262599</x:v>
      </x:c>
      <x:c r="Y754" s="10" t="n">
        <x:f>P754/12</x:f>
        <x:v>339.98154239685033</x:v>
      </x:c>
      <x:c r="Z754" s="10" t="n">
        <x:f>0</x:f>
        <x:v>0</x:v>
      </x:c>
      <x:c r="AA754" s="10" t="n">
        <x:f>Z754*'Assumptions'!$AC$136*'Assumptions'!$D$11*(1+'Assumptions'!$D$13)^(6-1)</x:f>
        <x:v>0</x:v>
      </x:c>
      <x:c r="AB754" s="10" t="n">
        <x:f>F754/1</x:f>
        <x:v>235.2515880000001</x:v>
      </x:c>
      <x:c r="AC754" s="10" t="n">
        <x:f>AB754/'Assumptions'!$AM$136</x:f>
        <x:v>2352.515880000001</x:v>
      </x:c>
      <x:c r="AD754" s="10" t="n">
        <x:f>IF(AB754=0,0,T754/AB754)</x:f>
        <x:v>3.2042064285032974</x:v>
      </x:c>
      <x:c r="AE754" s="10" t="n">
        <x:f>AA754*'Assumptions'!$D$21</x:f>
        <x:v>0</x:v>
      </x:c>
    </x:row>
    <x:row r="755" ht="16" customHeight="1">
      <x:c r="A755" s="1"/>
      <x:c r="B755" s="1"/>
      <x:c r="C755" s="1" t="str">
        <x:v>DOT-108</x:v>
      </x:c>
      <x:c r="D755" s="10" t="str">
        <x:v>QzoticMusic</x:v>
      </x:c>
      <x:c r="E755" s="10" t="n">
        <x:v>6</x:v>
      </x:c>
      <x:c r="F755" s="21" t="n">
        <x:f>F627*(1+'Assumptions'!$M$137)</x:f>
        <x:v>11.762579400000005</x:v>
      </x:c>
      <x:c r="G755" s="21" t="n">
        <x:f>H627*'Assumptions'!$K$137</x:f>
        <x:v>5.833684500000001</x:v>
      </x:c>
      <x:c r="H755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755+G755,NA())</x:f>
        <x:v>17.596263900000007</x:v>
      </x:c>
      <x:c r="I755" s="22" t="n">
        <x:f>'Assumptions'!$H$137*IF('Assumptions'!$O$137=1,1,'Assumptions'!$D$10)*(1+'Assumptions'!$N$137)^(6-1)</x:f>
        <x:v>276.0202008</x:v>
      </x:c>
      <x:c r="J755" s="10" t="n">
        <x:f>H755*I755</x:f>
        <x:v>4856.924295007793</x:v>
      </x:c>
      <x:c r="K755" s="10" t="n">
        <x:f>J755*'Assumptions'!$T$137</x:f>
        <x:v>4856.924295007793</x:v>
      </x:c>
      <x:c r="L755" s="10" t="n">
        <x:f>K755*'Assumptions'!$U$137</x:f>
        <x:v>145.7077288502338</x:v>
      </x:c>
      <x:c r="M755" s="10" t="n">
        <x:f>K755*'Assumptions'!$V$137</x:f>
        <x:v>0</x:v>
      </x:c>
      <x:c r="N755" s="10" t="n">
        <x:f>K755-L755-M755</x:f>
        <x:v>4711.216566157559</x:v>
      </x:c>
      <x:c r="O755" s="10" t="n">
        <x:f>H755*'Assumptions'!$P$137*'Assumptions'!$Q$137*'Assumptions'!$D$11*(1+'Assumptions'!$D$13)^(6-1)</x:f>
        <x:v>1631.9114035048815</x:v>
      </x:c>
      <x:c r="P755" s="10" t="n">
        <x:f>H755*'Assumptions'!$R$137*'Assumptions'!$D$11*(1+'Assumptions'!$D$13)^(6-1)</x:f>
        <x:v>0</x:v>
      </x:c>
      <x:c r="Q755" s="10" t="n">
        <x:f>J755*'Assumptions'!$S$137</x:f>
        <x:v>0</x:v>
      </x:c>
      <x:c r="R755" s="10" t="n">
        <x:f>H755*'Assumptions'!$Y$137*'Assumptions'!$Z$137*'Assumptions'!$D$11*(1+'Assumptions'!$D$13)^(6-1)</x:f>
        <x:v>305.9833881571653</x:v>
      </x:c>
      <x:c r="S755" s="10" t="n">
        <x:f>IF(I755=0,0,J755*'Assumptions'!$W$137+H755*'Assumptions'!$X$137)</x:f>
        <x:v>146.12968372522602</x:v>
      </x:c>
      <x:c r="T755" s="10" t="n">
        <x:f>N755*'Assumptions'!$AA$137</x:f>
        <x:v>376.89732529260476</x:v>
      </x:c>
      <x:c r="U755" s="10" t="n">
        <x:f>'Assumptions'!$AE$137*'Assumptions'!$D$11*(1+'Assumptions'!$D$13)^(6-1)</x:f>
        <x:v>0</x:v>
      </x:c>
      <x:c r="V755" s="10" t="n">
        <x:f>0</x:f>
        <x:v>0</x:v>
      </x:c>
      <x:c r="W755" s="10" t="n">
        <x:f>H755*('Assumptions'!$P$137+'Assumptions'!$Y$137)</x:f>
        <x:v>43.99065975000002</x:v>
      </x:c>
      <x:c r="X755" s="10" t="n">
        <x:f>N755/12*'Assumptions'!$AF$137</x:f>
        <x:v>392.6013805131299</x:v>
      </x:c>
      <x:c r="Y755" s="10" t="n">
        <x:f>P755/12</x:f>
        <x:v>0</x:v>
      </x:c>
      <x:c r="Z755" s="10" t="n">
        <x:f>0</x:f>
        <x:v>0</x:v>
      </x:c>
      <x:c r="AA755" s="10" t="n">
        <x:f>Z755*'Assumptions'!$AC$137*'Assumptions'!$D$11*(1+'Assumptions'!$D$13)^(6-1)</x:f>
        <x:v>0</x:v>
      </x:c>
      <x:c r="AB755" s="10" t="n">
        <x:f>F755/1</x:f>
        <x:v>11.762579400000005</x:v>
      </x:c>
      <x:c r="AC755" s="10" t="n">
        <x:f>AB755/'Assumptions'!$AM$137</x:f>
        <x:v>117.62579400000004</x:v>
      </x:c>
      <x:c r="AD755" s="10" t="n">
        <x:f>IF(AB755=0,0,T755/AB755)</x:f>
        <x:v>32.04206428503297</x:v>
      </x:c>
      <x:c r="AE755" s="10" t="n">
        <x:f>AA755*'Assumptions'!$D$21</x:f>
        <x:v>0</x:v>
      </x:c>
    </x:row>
    <x:row r="756" ht="16" customHeight="1">
      <x:c r="A756" s="1"/>
      <x:c r="B756" s="1"/>
      <x:c r="C756" s="1" t="str">
        <x:v>DOT-109</x:v>
      </x:c>
      <x:c r="D756" s="10" t="str">
        <x:v>LesPetitFilms</x:v>
      </x:c>
      <x:c r="E756" s="10" t="n">
        <x:v>6</x:v>
      </x:c>
      <x:c r="F756" s="21" t="n">
        <x:f>F628*(1+'Assumptions'!$M$138)</x:f>
        <x:v>7.841719600000004</x:v>
      </x:c>
      <x:c r="G756" s="21" t="n">
        <x:f>H628*'Assumptions'!$K$138</x:f>
        <x:v>3.8891230000000014</x:v>
      </x:c>
      <x:c r="H756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756+G756,NA())</x:f>
        <x:v>11.730842600000006</x:v>
      </x:c>
      <x:c r="I756" s="22" t="n">
        <x:f>'Assumptions'!$H$138*IF('Assumptions'!$O$138=1,1,'Assumptions'!$D$10)*(1+'Assumptions'!$N$138)^(6-1)</x:f>
        <x:v>3864.2828112</x:v>
      </x:c>
      <x:c r="J756" s="10" t="n">
        <x:f>H756*I756</x:f>
        <x:v>45331.29342007274</x:v>
      </x:c>
      <x:c r="K756" s="10" t="n">
        <x:f>J756*'Assumptions'!$T$138</x:f>
        <x:v>45331.29342007274</x:v>
      </x:c>
      <x:c r="L756" s="10" t="n">
        <x:f>K756*'Assumptions'!$U$138</x:f>
        <x:v>1359.938802602182</x:v>
      </x:c>
      <x:c r="M756" s="10" t="n">
        <x:f>K756*'Assumptions'!$V$138</x:f>
        <x:v>0</x:v>
      </x:c>
      <x:c r="N756" s="10" t="n">
        <x:f>K756-L756-M756</x:f>
        <x:v>43971.354617470555</x:v>
      </x:c>
      <x:c r="O756" s="10" t="n">
        <x:f>H756*'Assumptions'!$P$138*'Assumptions'!$Q$138*'Assumptions'!$D$11*(1+'Assumptions'!$D$13)^(6-1)</x:f>
        <x:v>15299.169407858264</x:v>
      </x:c>
      <x:c r="P756" s="10" t="n">
        <x:f>H756*'Assumptions'!$R$138*'Assumptions'!$D$11*(1+'Assumptions'!$D$13)^(6-1)</x:f>
        <x:v>4759.741593555905</x:v>
      </x:c>
      <x:c r="Q756" s="10" t="n">
        <x:f>J756*'Assumptions'!$S$138</x:f>
        <x:v>0</x:v>
      </x:c>
      <x:c r="R756" s="10" t="n">
        <x:f>H756*'Assumptions'!$Y$138*'Assumptions'!$Z$138*'Assumptions'!$D$11*(1+'Assumptions'!$D$13)^(6-1)</x:f>
        <x:v>203.9889254381102</x:v>
      </x:c>
      <x:c r="S756" s="10" t="n">
        <x:f>IF(I756=0,0,J756*'Assumptions'!$W$138+H756*'Assumptions'!$X$138)</x:f>
        <x:v>1318.1267619621094</x:v>
      </x:c>
      <x:c r="T756" s="10" t="n">
        <x:f>N756*'Assumptions'!$AA$138</x:f>
        <x:v>3517.7083693976447</x:v>
      </x:c>
      <x:c r="U756" s="10" t="n">
        <x:f>'Assumptions'!$AE$138*'Assumptions'!$D$11*(1+'Assumptions'!$D$13)^(6-1)</x:f>
        <x:v>0</x:v>
      </x:c>
      <x:c r="V756" s="10" t="n">
        <x:f>0</x:f>
        <x:v>0</x:v>
      </x:c>
      <x:c r="W756" s="10" t="n">
        <x:f>H756*('Assumptions'!$P$138+'Assumptions'!$Y$138)</x:f>
        <x:v>299.1364863000002</x:v>
      </x:c>
      <x:c r="X756" s="10" t="n">
        <x:f>N756/12*'Assumptions'!$AF$138</x:f>
        <x:v>3664.2795514558798</x:v>
      </x:c>
      <x:c r="Y756" s="10" t="n">
        <x:f>P756/12</x:f>
        <x:v>396.6451327963254</x:v>
      </x:c>
      <x:c r="Z756" s="10" t="n">
        <x:f>0</x:f>
        <x:v>0</x:v>
      </x:c>
      <x:c r="AA756" s="10" t="n">
        <x:f>Z756*'Assumptions'!$AC$138*'Assumptions'!$D$11*(1+'Assumptions'!$D$13)^(6-1)</x:f>
        <x:v>0</x:v>
      </x:c>
      <x:c r="AB756" s="10" t="n">
        <x:f>F756/1</x:f>
        <x:v>7.841719600000004</x:v>
      </x:c>
      <x:c r="AC756" s="10" t="n">
        <x:f>AB756/'Assumptions'!$AM$138</x:f>
        <x:v>78.41719600000003</x:v>
      </x:c>
      <x:c r="AD756" s="10" t="n">
        <x:f>IF(AB756=0,0,T756/AB756)</x:f>
        <x:v>448.58889999046164</x:v>
      </x:c>
      <x:c r="AE756" s="10" t="n">
        <x:f>AA756*'Assumptions'!$D$21</x:f>
        <x:v>0</x:v>
      </x:c>
    </x:row>
    <x:row r="757" ht="16" customHeight="1">
      <x:c r="A757" s="1"/>
      <x:c r="B757" s="1"/>
      <x:c r="C757" s="1" t="str">
        <x:v>DOT-110</x:v>
      </x:c>
      <x:c r="D757" s="10" t="str">
        <x:v>LesPetitFilms</x:v>
      </x:c>
      <x:c r="E757" s="10" t="n">
        <x:v>6</x:v>
      </x:c>
      <x:c r="F757" s="21" t="n">
        <x:f>F629*(1+'Assumptions'!$M$139)</x:f>
        <x:v>7.841719600000004</x:v>
      </x:c>
      <x:c r="G757" s="21" t="n">
        <x:f>H629*'Assumptions'!$K$139</x:f>
        <x:v>3.8891230000000014</x:v>
      </x:c>
      <x:c r="H757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757+G757,NA())</x:f>
        <x:v>11.730842600000006</x:v>
      </x:c>
      <x:c r="I757" s="22" t="n">
        <x:f>'Assumptions'!$H$139*IF('Assumptions'!$O$139=1,1,'Assumptions'!$D$10)*(1+'Assumptions'!$N$139)^(6-1)</x:f>
        <x:v>1656.1212048</x:v>
      </x:c>
      <x:c r="J757" s="10" t="n">
        <x:f>H757*I757</x:f>
        <x:v>19427.697180031173</x:v>
      </x:c>
      <x:c r="K757" s="10" t="n">
        <x:f>J757*'Assumptions'!$T$139</x:f>
        <x:v>19427.697180031173</x:v>
      </x:c>
      <x:c r="L757" s="10" t="n">
        <x:f>K757*'Assumptions'!$U$139</x:f>
        <x:v>582.8309154009352</x:v>
      </x:c>
      <x:c r="M757" s="10" t="n">
        <x:f>K757*'Assumptions'!$V$139</x:f>
        <x:v>0</x:v>
      </x:c>
      <x:c r="N757" s="10" t="n">
        <x:f>K757-L757-M757</x:f>
        <x:v>18844.866264630236</x:v>
      </x:c>
      <x:c r="O757" s="10" t="n">
        <x:f>H757*'Assumptions'!$P$139*'Assumptions'!$Q$139*'Assumptions'!$D$11*(1+'Assumptions'!$D$13)^(6-1)</x:f>
        <x:v>6119.667763143305</x:v>
      </x:c>
      <x:c r="P757" s="10" t="n">
        <x:f>H757*'Assumptions'!$R$139*'Assumptions'!$D$11*(1+'Assumptions'!$D$13)^(6-1)</x:f>
        <x:v>2719.8523391748026</x:v>
      </x:c>
      <x:c r="Q757" s="10" t="n">
        <x:f>J757*'Assumptions'!$S$139</x:f>
        <x:v>0</x:v>
      </x:c>
      <x:c r="R757" s="10" t="n">
        <x:f>H757*'Assumptions'!$Y$139*'Assumptions'!$Z$139*'Assumptions'!$D$11*(1+'Assumptions'!$D$13)^(6-1)</x:f>
        <x:v>203.9889254381102</x:v>
      </x:c>
      <x:c r="S757" s="10" t="n">
        <x:f>IF(I757=0,0,J757*'Assumptions'!$W$139+H757*'Assumptions'!$X$139)</x:f>
        <x:v>566.922471000904</x:v>
      </x:c>
      <x:c r="T757" s="10" t="n">
        <x:f>N757*'Assumptions'!$AA$139</x:f>
        <x:v>1507.589301170419</x:v>
      </x:c>
      <x:c r="U757" s="10" t="n">
        <x:f>'Assumptions'!$AE$139*'Assumptions'!$D$11*(1+'Assumptions'!$D$13)^(6-1)</x:f>
        <x:v>0</x:v>
      </x:c>
      <x:c r="V757" s="10" t="n">
        <x:f>0</x:f>
        <x:v>0</x:v>
      </x:c>
      <x:c r="W757" s="10" t="n">
        <x:f>H757*('Assumptions'!$P$139+'Assumptions'!$Y$139)</x:f>
        <x:v>123.17384730000006</x:v>
      </x:c>
      <x:c r="X757" s="10" t="n">
        <x:f>N757/12*'Assumptions'!$AF$139</x:f>
        <x:v>1570.4055220525197</x:v>
      </x:c>
      <x:c r="Y757" s="10" t="n">
        <x:f>P757/12</x:f>
        <x:v>226.65436159790022</x:v>
      </x:c>
      <x:c r="Z757" s="10" t="n">
        <x:f>0</x:f>
        <x:v>0</x:v>
      </x:c>
      <x:c r="AA757" s="10" t="n">
        <x:f>Z757*'Assumptions'!$AC$139*'Assumptions'!$D$11*(1+'Assumptions'!$D$13)^(6-1)</x:f>
        <x:v>0</x:v>
      </x:c>
      <x:c r="AB757" s="10" t="n">
        <x:f>F757/1</x:f>
        <x:v>7.841719600000004</x:v>
      </x:c>
      <x:c r="AC757" s="10" t="n">
        <x:f>AB757/'Assumptions'!$AM$139</x:f>
        <x:v>78.41719600000003</x:v>
      </x:c>
      <x:c r="AD757" s="10" t="n">
        <x:f>IF(AB757=0,0,T757/AB757)</x:f>
        <x:v>192.25238571019784</x:v>
      </x:c>
      <x:c r="AE757" s="10" t="n">
        <x:f>AA757*'Assumptions'!$D$21</x:f>
        <x:v>0</x:v>
      </x:c>
    </x:row>
    <x:row r="758" ht="16" customHeight="1">
      <x:c r="A758" s="1"/>
      <x:c r="B758" s="1"/>
      <x:c r="C758" s="1" t="str">
        <x:v>DOT-111</x:v>
      </x:c>
      <x:c r="D758" s="10" t="str">
        <x:v>LesPetitFilms</x:v>
      </x:c>
      <x:c r="E758" s="10" t="n">
        <x:v>6</x:v>
      </x:c>
      <x:c r="F758" s="21" t="n">
        <x:f>F630*(1+'Assumptions'!$M$140)</x:f>
        <x:v>11.762579400000005</x:v>
      </x:c>
      <x:c r="G758" s="21" t="n">
        <x:f>H630*'Assumptions'!$K$140</x:f>
        <x:v>5.833684500000001</x:v>
      </x:c>
      <x:c r="H758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758+G758,NA())</x:f>
        <x:v>17.596263900000007</x:v>
      </x:c>
      <x:c r="I758" s="22" t="n">
        <x:f>'Assumptions'!$H$140*IF('Assumptions'!$O$140=1,1,'Assumptions'!$D$10)*(1+'Assumptions'!$N$140)^(6-1)</x:f>
        <x:v>552.0404016</x:v>
      </x:c>
      <x:c r="J758" s="10" t="n">
        <x:f>H758*I758</x:f>
        <x:v>9713.848590015587</x:v>
      </x:c>
      <x:c r="K758" s="10" t="n">
        <x:f>J758*'Assumptions'!$T$140</x:f>
        <x:v>9713.848590015587</x:v>
      </x:c>
      <x:c r="L758" s="10" t="n">
        <x:f>K758*'Assumptions'!$U$140</x:f>
        <x:v>291.4154577004676</x:v>
      </x:c>
      <x:c r="M758" s="10" t="n">
        <x:f>K758*'Assumptions'!$V$140</x:f>
        <x:v>0</x:v>
      </x:c>
      <x:c r="N758" s="10" t="n">
        <x:f>K758-L758-M758</x:f>
        <x:v>9422.433132315118</x:v>
      </x:c>
      <x:c r="O758" s="10" t="n">
        <x:f>H758*'Assumptions'!$P$140*'Assumptions'!$Q$140*'Assumptions'!$D$11*(1+'Assumptions'!$D$13)^(6-1)</x:f>
        <x:v>2447.8671052573222</x:v>
      </x:c>
      <x:c r="P758" s="10" t="n">
        <x:f>H758*'Assumptions'!$R$140*'Assumptions'!$D$11*(1+'Assumptions'!$D$13)^(6-1)</x:f>
        <x:v>1019.9446271905509</x:v>
      </x:c>
      <x:c r="Q758" s="10" t="n">
        <x:f>J758*'Assumptions'!$S$140</x:f>
        <x:v>0</x:v>
      </x:c>
      <x:c r="R758" s="10" t="n">
        <x:f>H758*'Assumptions'!$Y$140*'Assumptions'!$Z$140*'Assumptions'!$D$11*(1+'Assumptions'!$D$13)^(6-1)</x:f>
        <x:v>305.9833881571653</x:v>
      </x:c>
      <x:c r="S758" s="10" t="n">
        <x:f>IF(I758=0,0,J758*'Assumptions'!$W$140+H758*'Assumptions'!$X$140)</x:f>
        <x:v>286.980488280452</x:v>
      </x:c>
      <x:c r="T758" s="10" t="n">
        <x:f>N758*'Assumptions'!$AA$140</x:f>
        <x:v>753.7946505852095</x:v>
      </x:c>
      <x:c r="U758" s="10" t="n">
        <x:f>'Assumptions'!$AE$140*'Assumptions'!$D$11*(1+'Assumptions'!$D$13)^(6-1)</x:f>
        <x:v>0</x:v>
      </x:c>
      <x:c r="V758" s="10" t="n">
        <x:f>0</x:f>
        <x:v>0</x:v>
      </x:c>
      <x:c r="W758" s="10" t="n">
        <x:f>H758*('Assumptions'!$P$140+'Assumptions'!$Y$140)</x:f>
        <x:v>61.586923650000024</x:v>
      </x:c>
      <x:c r="X758" s="10" t="n">
        <x:f>N758/12*'Assumptions'!$AF$140</x:f>
        <x:v>785.2027610262599</x:v>
      </x:c>
      <x:c r="Y758" s="10" t="n">
        <x:f>P758/12</x:f>
        <x:v>84.99538559921258</x:v>
      </x:c>
      <x:c r="Z758" s="10" t="n">
        <x:f>0</x:f>
        <x:v>0</x:v>
      </x:c>
      <x:c r="AA758" s="10" t="n">
        <x:f>Z758*'Assumptions'!$AC$140*'Assumptions'!$D$11*(1+'Assumptions'!$D$13)^(6-1)</x:f>
        <x:v>0</x:v>
      </x:c>
      <x:c r="AB758" s="10" t="n">
        <x:f>F758/1</x:f>
        <x:v>11.762579400000005</x:v>
      </x:c>
      <x:c r="AC758" s="10" t="n">
        <x:f>AB758/'Assumptions'!$AM$140</x:f>
        <x:v>117.62579400000004</x:v>
      </x:c>
      <x:c r="AD758" s="10" t="n">
        <x:f>IF(AB758=0,0,T758/AB758)</x:f>
        <x:v>64.08412857006594</x:v>
      </x:c>
      <x:c r="AE758" s="10" t="n">
        <x:f>AA758*'Assumptions'!$D$21</x:f>
        <x:v>0</x:v>
      </x:c>
    </x:row>
    <x:row r="759" ht="16" customHeight="1">
      <x:c r="A759" s="1"/>
      <x:c r="B759" s="1"/>
      <x:c r="C759" s="1" t="str">
        <x:v>DOT-112</x:v>
      </x:c>
      <x:c r="D759" s="10" t="str">
        <x:v>Learn Anglais</x:v>
      </x:c>
      <x:c r="E759" s="10" t="n">
        <x:v>6</x:v>
      </x:c>
      <x:c r="F759" s="21" t="n">
        <x:f>F631*(1+'Assumptions'!$M$141)</x:f>
        <x:v>384.44544</x:v>
      </x:c>
      <x:c r="G759" s="21" t="n">
        <x:f>H631*'Assumptions'!$K$141</x:f>
        <x:v>630.0818999999999</x:v>
      </x:c>
      <x:c r="H759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759+G759,NA())</x:f>
        <x:v>1014.5273399999999</x:v>
      </x:c>
      <x:c r="I759" s="22" t="n">
        <x:f>'Assumptions'!$H$141*IF('Assumptions'!$O$141=1,1,'Assumptions'!$D$10)*(1+'Assumptions'!$N$141)^(6-1)</x:f>
        <x:v>49.683636144</x:v>
      </x:c>
      <x:c r="J759" s="10" t="n">
        <x:f>H759*I759</x:f>
        <x:v>50405.407218700166</x:v>
      </x:c>
      <x:c r="K759" s="10" t="n">
        <x:f>J759*'Assumptions'!$T$141</x:f>
        <x:v>16801.802406233386</x:v>
      </x:c>
      <x:c r="L759" s="10" t="n">
        <x:f>K759*'Assumptions'!$U$141</x:f>
        <x:v>504.05407218700157</x:v>
      </x:c>
      <x:c r="M759" s="10" t="n">
        <x:f>K759*'Assumptions'!$V$141</x:f>
        <x:v>0</x:v>
      </x:c>
      <x:c r="N759" s="10" t="n">
        <x:f>K759-L759-M759</x:f>
        <x:v>16297.748334046384</x:v>
      </x:c>
      <x:c r="O759" s="10" t="n">
        <x:f>H759*'Assumptions'!$P$141*'Assumptions'!$Q$141*'Assumptions'!$D$11*(1+'Assumptions'!$D$13)^(6-1)</x:f>
        <x:v>4116.403350256895</x:v>
      </x:c>
      <x:c r="P759" s="10" t="n">
        <x:f>H759*'Assumptions'!$R$141*'Assumptions'!$D$11*(1+'Assumptions'!$D$13)^(6-1)</x:f>
        <x:v>0</x:v>
      </x:c>
      <x:c r="Q759" s="10" t="n">
        <x:f>J759*'Assumptions'!$S$141</x:f>
        <x:v>0</x:v>
      </x:c>
      <x:c r="R759" s="10" t="n">
        <x:f>H759*'Assumptions'!$Y$141*'Assumptions'!$Z$141*'Assumptions'!$D$11*(1+'Assumptions'!$D$13)^(6-1)</x:f>
        <x:v>5292.518593187435</x:v>
      </x:c>
      <x:c r="S759" s="10" t="n">
        <x:f>IF(I759=0,0,J759*'Assumptions'!$W$141+H759*'Assumptions'!$X$141)</x:f>
        <x:v>1766.1150113423048</x:v>
      </x:c>
      <x:c r="T759" s="10" t="n">
        <x:f>N759*'Assumptions'!$AA$141</x:f>
        <x:v>814.8874167023192</x:v>
      </x:c>
      <x:c r="U759" s="10" t="n">
        <x:f>'Assumptions'!$AE$141*'Assumptions'!$D$11*(1+'Assumptions'!$D$13)^(6-1)</x:f>
        <x:v>0</x:v>
      </x:c>
      <x:c r="V759" s="10" t="n">
        <x:f>0</x:f>
        <x:v>0</x:v>
      </x:c>
      <x:c r="W759" s="10" t="n">
        <x:f>H759*('Assumptions'!$P$141+'Assumptions'!$Y$141)</x:f>
        <x:v>253.63183499999997</x:v>
      </x:c>
      <x:c r="X759" s="10" t="n">
        <x:f>N759/12*'Assumptions'!$AF$141</x:f>
        <x:v>0</x:v>
      </x:c>
      <x:c r="Y759" s="10" t="n">
        <x:f>P759/12</x:f>
        <x:v>0</x:v>
      </x:c>
      <x:c r="Z759" s="10" t="n">
        <x:f>0</x:f>
        <x:v>0</x:v>
      </x:c>
      <x:c r="AA759" s="10" t="n">
        <x:f>Z759*'Assumptions'!$AC$141*'Assumptions'!$D$11*(1+'Assumptions'!$D$13)^(6-1)</x:f>
        <x:v>0</x:v>
      </x:c>
      <x:c r="AB759" s="10" t="n">
        <x:f>F759/1</x:f>
        <x:v>384.44544</x:v>
      </x:c>
      <x:c r="AC759" s="10" t="n">
        <x:f>AB759/'Assumptions'!$AM$141</x:f>
        <x:v>7688.9088</x:v>
      </x:c>
      <x:c r="AD759" s="10" t="n">
        <x:f>IF(AB759=0,0,T759/AB759)</x:f>
        <x:v>2.11964386078378</x:v>
      </x:c>
      <x:c r="AE759" s="10" t="n">
        <x:f>AA759*'Assumptions'!$D$21</x:f>
        <x:v>0</x:v>
      </x:c>
    </x:row>
    <x:row r="760" ht="16" customHeight="1">
      <x:c r="A760" s="1"/>
      <x:c r="B760" s="1"/>
      <x:c r="C760" s="1" t="str">
        <x:v>DOT-113</x:v>
      </x:c>
      <x:c r="D760" s="10" t="str">
        <x:v>Learn Anglais</x:v>
      </x:c>
      <x:c r="E760" s="10" t="n">
        <x:v>6</x:v>
      </x:c>
      <x:c r="F760" s="21" t="n">
        <x:f>F632*(1+'Assumptions'!$M$142)</x:f>
        <x:v>230.667264</x:v>
      </x:c>
      <x:c r="G760" s="21" t="n">
        <x:f>H632*'Assumptions'!$K$142</x:f>
        <x:v>378.0491399999999</x:v>
      </x:c>
      <x:c r="H760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760+G760,NA())</x:f>
        <x:v>608.7164039999999</x:v>
      </x:c>
      <x:c r="I760" s="22" t="n">
        <x:f>'Assumptions'!$H$142*IF('Assumptions'!$O$142=1,1,'Assumptions'!$D$10)*(1+'Assumptions'!$N$142)^(6-1)</x:f>
        <x:v>93.846868272</x:v>
      </x:c>
      <x:c r="J760" s="10" t="n">
        <x:f>H760*I760</x:f>
        <x:v>57126.12818119352</x:v>
      </x:c>
      <x:c r="K760" s="10" t="n">
        <x:f>J760*'Assumptions'!$T$142</x:f>
        <x:v>17137.838454358054</x:v>
      </x:c>
      <x:c r="L760" s="10" t="n">
        <x:f>K760*'Assumptions'!$U$142</x:f>
        <x:v>514.1351536307416</x:v>
      </x:c>
      <x:c r="M760" s="10" t="n">
        <x:f>K760*'Assumptions'!$V$142</x:f>
        <x:v>0</x:v>
      </x:c>
      <x:c r="N760" s="10" t="n">
        <x:f>K760-L760-M760</x:f>
        <x:v>16623.703300727313</x:v>
      </x:c>
      <x:c r="O760" s="10" t="n">
        <x:f>H760*'Assumptions'!$P$142*'Assumptions'!$Q$142*'Assumptions'!$D$11*(1+'Assumptions'!$D$13)^(6-1)</x:f>
        <x:v>2469.8420101541365</x:v>
      </x:c>
      <x:c r="P760" s="10" t="n">
        <x:f>H760*'Assumptions'!$R$142*'Assumptions'!$D$11*(1+'Assumptions'!$D$13)^(6-1)</x:f>
        <x:v>0</x:v>
      </x:c>
      <x:c r="Q760" s="10" t="n">
        <x:f>J760*'Assumptions'!$S$142</x:f>
        <x:v>0</x:v>
      </x:c>
      <x:c r="R760" s="10" t="n">
        <x:f>H760*'Assumptions'!$Y$142*'Assumptions'!$Z$142*'Assumptions'!$D$11*(1+'Assumptions'!$D$13)^(6-1)</x:f>
        <x:v>3175.511155912461</x:v>
      </x:c>
      <x:c r="S760" s="10" t="n">
        <x:f>IF(I760=0,0,J760*'Assumptions'!$W$142+H760*'Assumptions'!$X$142)</x:f>
        <x:v>1839.2726384546122</x:v>
      </x:c>
      <x:c r="T760" s="10" t="n">
        <x:f>N760*'Assumptions'!$AA$142</x:f>
        <x:v>831.1851650363657</x:v>
      </x:c>
      <x:c r="U760" s="10" t="n">
        <x:f>'Assumptions'!$AE$142*'Assumptions'!$D$11*(1+'Assumptions'!$D$13)^(6-1)</x:f>
        <x:v>0</x:v>
      </x:c>
      <x:c r="V760" s="10" t="n">
        <x:f>0</x:f>
        <x:v>0</x:v>
      </x:c>
      <x:c r="W760" s="10" t="n">
        <x:f>H760*('Assumptions'!$P$142+'Assumptions'!$Y$142)</x:f>
        <x:v>152.17910099999997</x:v>
      </x:c>
      <x:c r="X760" s="10" t="n">
        <x:f>N760/12*'Assumptions'!$AF$142</x:f>
        <x:v>0</x:v>
      </x:c>
      <x:c r="Y760" s="10" t="n">
        <x:f>P760/12</x:f>
        <x:v>0</x:v>
      </x:c>
      <x:c r="Z760" s="10" t="n">
        <x:f>0</x:f>
        <x:v>0</x:v>
      </x:c>
      <x:c r="AA760" s="10" t="n">
        <x:f>Z760*'Assumptions'!$AC$142*'Assumptions'!$D$11*(1+'Assumptions'!$D$13)^(6-1)</x:f>
        <x:v>0</x:v>
      </x:c>
      <x:c r="AB760" s="10" t="n">
        <x:f>F760/1</x:f>
        <x:v>230.667264</x:v>
      </x:c>
      <x:c r="AC760" s="10" t="n">
        <x:f>AB760/'Assumptions'!$AM$142</x:f>
        <x:v>4613.34528</x:v>
      </x:c>
      <x:c r="AD760" s="10" t="n">
        <x:f>IF(AB760=0,0,T760/AB760)</x:f>
        <x:v>3.603394563332427</x:v>
      </x:c>
      <x:c r="AE760" s="10" t="n">
        <x:f>AA760*'Assumptions'!$D$21</x:f>
        <x:v>0</x:v>
      </x:c>
    </x:row>
    <x:row r="761" ht="16" customHeight="1">
      <x:c r="A761" s="1"/>
      <x:c r="B761" s="1"/>
      <x:c r="C761" s="1" t="str">
        <x:v>DOT-114</x:v>
      </x:c>
      <x:c r="D761" s="10" t="str">
        <x:v>Learn Anglais</x:v>
      </x:c>
      <x:c r="E761" s="10" t="n">
        <x:v>6</x:v>
      </x:c>
      <x:c r="F761" s="21" t="n">
        <x:f>F633*(1+'Assumptions'!$M$143)</x:f>
        <x:v>324.26575874999986</x:v>
      </x:c>
      <x:c r="G761" s="21" t="n">
        <x:f>H633*'Assumptions'!$K$143</x:f>
        <x:v>100.51903124999997</x:v>
      </x:c>
      <x:c r="H761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761+G761,NA())</x:f>
        <x:v>424.7847899999998</x:v>
      </x:c>
      <x:c r="I761" s="22" t="n">
        <x:f>'Assumptions'!$H$143*IF('Assumptions'!$O$143=1,1,'Assumptions'!$D$10)*(1+'Assumptions'!$N$143)^(6-1)</x:f>
        <x:v>32.0183432928</x:v>
      </x:c>
      <x:c r="J761" s="10" t="n">
        <x:f>H761*I761</x:f>
        <x:v>13600.905231779949</x:v>
      </x:c>
      <x:c r="K761" s="10" t="n">
        <x:f>J761*'Assumptions'!$T$143</x:f>
        <x:v>13600.905231779949</x:v>
      </x:c>
      <x:c r="L761" s="10" t="n">
        <x:f>K761*'Assumptions'!$U$143</x:f>
        <x:v>408.02715695339845</x:v>
      </x:c>
      <x:c r="M761" s="10" t="n">
        <x:f>K761*'Assumptions'!$V$143</x:f>
        <x:v>0</x:v>
      </x:c>
      <x:c r="N761" s="10" t="n">
        <x:f>K761-L761-M761</x:f>
        <x:v>13192.87807482655</x:v>
      </x:c>
      <x:c r="O761" s="10" t="n">
        <x:f>H761*'Assumptions'!$P$143*'Assumptions'!$Q$143*'Assumptions'!$D$11*(1+'Assumptions'!$D$13)^(6-1)</x:f>
        <x:v>2585.320469570841</x:v>
      </x:c>
      <x:c r="P761" s="10" t="n">
        <x:f>H761*'Assumptions'!$R$143*'Assumptions'!$D$11*(1+'Assumptions'!$D$13)^(6-1)</x:f>
        <x:v>0</x:v>
      </x:c>
      <x:c r="Q761" s="10" t="n">
        <x:f>J761*'Assumptions'!$S$143</x:f>
        <x:v>0</x:v>
      </x:c>
      <x:c r="R761" s="10" t="n">
        <x:f>H761*'Assumptions'!$Y$143*'Assumptions'!$Z$143*'Assumptions'!$D$11*(1+'Assumptions'!$D$13)^(6-1)</x:f>
        <x:v>1477.3259826119092</x:v>
      </x:c>
      <x:c r="S761" s="10" t="n">
        <x:f>IF(I761=0,0,J761*'Assumptions'!$W$143+H761*'Assumptions'!$X$143)</x:f>
        <x:v>521.8616887216185</x:v>
      </x:c>
      <x:c r="T761" s="10" t="n">
        <x:f>N761*'Assumptions'!$AA$143</x:f>
        <x:v>659.6439037413276</x:v>
      </x:c>
      <x:c r="U761" s="10" t="n">
        <x:f>'Assumptions'!$AE$143*'Assumptions'!$D$11*(1+'Assumptions'!$D$13)^(6-1)</x:f>
        <x:v>0</x:v>
      </x:c>
      <x:c r="V761" s="10" t="n">
        <x:f>0</x:f>
        <x:v>0</x:v>
      </x:c>
      <x:c r="W761" s="10" t="n">
        <x:f>H761*('Assumptions'!$P$143+'Assumptions'!$Y$143)</x:f>
        <x:v>106.19619749999995</x:v>
      </x:c>
      <x:c r="X761" s="10" t="n">
        <x:f>N761/12*'Assumptions'!$AF$143</x:f>
        <x:v>0</x:v>
      </x:c>
      <x:c r="Y761" s="10" t="n">
        <x:f>P761/12</x:f>
        <x:v>0</x:v>
      </x:c>
      <x:c r="Z761" s="10" t="n">
        <x:f>0</x:f>
        <x:v>0</x:v>
      </x:c>
      <x:c r="AA761" s="10" t="n">
        <x:f>Z761*'Assumptions'!$AC$143*'Assumptions'!$D$11*(1+'Assumptions'!$D$13)^(6-1)</x:f>
        <x:v>0</x:v>
      </x:c>
      <x:c r="AB761" s="10" t="n">
        <x:f>F761/1</x:f>
        <x:v>324.26575874999986</x:v>
      </x:c>
      <x:c r="AC761" s="10" t="n">
        <x:f>AB761/'Assumptions'!$AM$143</x:f>
        <x:v>6485.315174999997</x:v>
      </x:c>
      <x:c r="AD761" s="10" t="n">
        <x:f>IF(AB761=0,0,T761/AB761)</x:f>
        <x:v>2.03426937917887</x:v>
      </x:c>
      <x:c r="AE761" s="10" t="n">
        <x:f>AA761*'Assumptions'!$D$21</x:f>
        <x:v>0</x:v>
      </x:c>
    </x:row>
    <x:row r="762" ht="16" customHeight="1">
      <x:c r="A762" s="1"/>
      <x:c r="B762" s="1"/>
      <x:c r="C762" s="1" t="str">
        <x:v>DOT-115</x:v>
      </x:c>
      <x:c r="D762" s="10" t="str">
        <x:v>Learn Anglais</x:v>
      </x:c>
      <x:c r="E762" s="10" t="n">
        <x:v>6</x:v>
      </x:c>
      <x:c r="F762" s="21" t="n">
        <x:f>F634*(1+'Assumptions'!$M$144)</x:f>
        <x:v>153.77817600000003</x:v>
      </x:c>
      <x:c r="G762" s="21" t="n">
        <x:f>H634*'Assumptions'!$K$144</x:f>
        <x:v>241.94856</x:v>
      </x:c>
      <x:c r="H762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762+G762,NA())</x:f>
        <x:v>395.726736</x:v>
      </x:c>
      <x:c r="I762" s="22" t="n">
        <x:f>'Assumptions'!$H$144*IF('Assumptions'!$O$144=1,1,'Assumptions'!$D$10)*(1+'Assumptions'!$N$144)^(6-1)</x:f>
        <x:v>49.683636144</x:v>
      </x:c>
      <x:c r="J762" s="10" t="n">
        <x:f>H762*I762</x:f>
        <x:v>19661.143163876746</x:v>
      </x:c>
      <x:c r="K762" s="10" t="n">
        <x:f>J762*'Assumptions'!$T$144</x:f>
        <x:v>6553.714387958915</x:v>
      </x:c>
      <x:c r="L762" s="10" t="n">
        <x:f>K762*'Assumptions'!$U$144</x:f>
        <x:v>196.61143163876744</x:v>
      </x:c>
      <x:c r="M762" s="10" t="n">
        <x:f>K762*'Assumptions'!$V$144</x:f>
        <x:v>0</x:v>
      </x:c>
      <x:c r="N762" s="10" t="n">
        <x:f>K762-L762-M762</x:f>
        <x:v>6357.102956320147</x:v>
      </x:c>
      <x:c r="O762" s="10" t="n">
        <x:f>H762*'Assumptions'!$P$144*'Assumptions'!$Q$144*'Assumptions'!$D$11*(1+'Assumptions'!$D$13)^(6-1)</x:f>
        <x:v>2408.4676641488427</x:v>
      </x:c>
      <x:c r="P762" s="10" t="n">
        <x:f>H762*'Assumptions'!$R$144*'Assumptions'!$D$11*(1+'Assumptions'!$D$13)^(6-1)</x:f>
        <x:v>0</x:v>
      </x:c>
      <x:c r="Q762" s="10" t="n">
        <x:f>J762*'Assumptions'!$S$144</x:f>
        <x:v>0</x:v>
      </x:c>
      <x:c r="R762" s="10" t="n">
        <x:f>H762*'Assumptions'!$Y$144*'Assumptions'!$Z$144*'Assumptions'!$D$11*(1+'Assumptions'!$D$13)^(6-1)</x:f>
        <x:v>2064.4008549847226</x:v>
      </x:c>
      <x:c r="S762" s="10" t="n">
        <x:f>IF(I762=0,0,J762*'Assumptions'!$W$144+H762*'Assumptions'!$X$144)</x:f>
        <x:v>688.8911725524257</x:v>
      </x:c>
      <x:c r="T762" s="10" t="n">
        <x:f>N762*'Assumptions'!$AA$144</x:f>
        <x:v>317.8551478160074</x:v>
      </x:c>
      <x:c r="U762" s="10" t="n">
        <x:f>'Assumptions'!$AE$144*'Assumptions'!$D$11*(1+'Assumptions'!$D$13)^(6-1)</x:f>
        <x:v>0</x:v>
      </x:c>
      <x:c r="V762" s="10" t="n">
        <x:f>0</x:f>
        <x:v>0</x:v>
      </x:c>
      <x:c r="W762" s="10" t="n">
        <x:f>H762*('Assumptions'!$P$144+'Assumptions'!$Y$144)</x:f>
        <x:v>118.7180208</x:v>
      </x:c>
      <x:c r="X762" s="10" t="n">
        <x:f>N762/12*'Assumptions'!$AF$144</x:f>
        <x:v>0</x:v>
      </x:c>
      <x:c r="Y762" s="10" t="n">
        <x:f>P762/12</x:f>
        <x:v>0</x:v>
      </x:c>
      <x:c r="Z762" s="10" t="n">
        <x:f>0</x:f>
        <x:v>0</x:v>
      </x:c>
      <x:c r="AA762" s="10" t="n">
        <x:f>Z762*'Assumptions'!$AC$144*'Assumptions'!$D$11*(1+'Assumptions'!$D$13)^(6-1)</x:f>
        <x:v>0</x:v>
      </x:c>
      <x:c r="AB762" s="10" t="n">
        <x:f>F762/1</x:f>
        <x:v>153.77817600000003</x:v>
      </x:c>
      <x:c r="AC762" s="10" t="n">
        <x:f>AB762/'Assumptions'!$AM$144</x:f>
        <x:v>3075.5635200000006</x:v>
      </x:c>
      <x:c r="AD762" s="10" t="n">
        <x:f>IF(AB762=0,0,T762/AB762)</x:f>
        <x:v>2.066971764680102</x:v>
      </x:c>
      <x:c r="AE762" s="10" t="n">
        <x:f>AA762*'Assumptions'!$D$21</x:f>
        <x:v>0</x:v>
      </x:c>
    </x:row>
    <x:row r="763" ht="16" customHeight="1">
      <x:c r="A763" s="1"/>
      <x:c r="B763" s="1"/>
      <x:c r="C763" s="1" t="str">
        <x:v>DOT-116</x:v>
      </x:c>
      <x:c r="D763" s="10" t="str">
        <x:v>Fiefé</x:v>
      </x:c>
      <x:c r="E763" s="10" t="n">
        <x:v>6</x:v>
      </x:c>
      <x:c r="F763" s="21" t="n">
        <x:f>F635*(1+'Assumptions'!$M$145)</x:f>
        <x:v>54.45635801088001</x:v>
      </x:c>
      <x:c r="G763" s="21" t="n">
        <x:f>H635*'Assumptions'!$K$145</x:f>
        <x:v>21.610708300800002</x:v>
      </x:c>
      <x:c r="H763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763+G763,NA())</x:f>
        <x:v>76.06706631168001</x:v>
      </x:c>
      <x:c r="I763" s="22" t="n">
        <x:f>'Assumptions'!$H$145*IF('Assumptions'!$O$145=1,1,'Assumptions'!$D$10)*(1+'Assumptions'!$N$145)^(6-1)</x:f>
        <x:v>496.83636144</x:v>
      </x:c>
      <x:c r="J763" s="10" t="n">
        <x:f>H763*I763</x:f>
        <x:v>37792.8844517103</x:v>
      </x:c>
      <x:c r="K763" s="10" t="n">
        <x:f>J763*'Assumptions'!$T$145</x:f>
        <x:v>37792.8844517103</x:v>
      </x:c>
      <x:c r="L763" s="10" t="n">
        <x:f>K763*'Assumptions'!$U$145</x:f>
        <x:v>1133.7865335513088</x:v>
      </x:c>
      <x:c r="M763" s="10" t="n">
        <x:f>K763*'Assumptions'!$V$145</x:f>
        <x:v>755.857689034206</x:v>
      </x:c>
      <x:c r="N763" s="10" t="n">
        <x:f>K763-L763-M763</x:f>
        <x:v>35903.240229124785</x:v>
      </x:c>
      <x:c r="O763" s="10" t="n">
        <x:f>H763*'Assumptions'!$P$145*'Assumptions'!$Q$145*'Assumptions'!$D$11*(1+'Assumptions'!$D$13)^(6-1)</x:f>
        <x:v>2204.5644470797392</x:v>
      </x:c>
      <x:c r="P763" s="10" t="n">
        <x:f>H763*'Assumptions'!$R$145*'Assumptions'!$D$11*(1+'Assumptions'!$D$13)^(6-1)</x:f>
        <x:v>22045.644470797393</x:v>
      </x:c>
      <x:c r="Q763" s="10" t="n">
        <x:f>J763*'Assumptions'!$S$145</x:f>
        <x:v>0</x:v>
      </x:c>
      <x:c r="R763" s="10" t="n">
        <x:f>H763*'Assumptions'!$Y$145*'Assumptions'!$Z$145*'Assumptions'!$D$11*(1+'Assumptions'!$D$13)^(6-1)</x:f>
        <x:v>396.82160047435303</x:v>
      </x:c>
      <x:c r="S763" s="10" t="n">
        <x:f>IF(I763=0,0,J763*'Assumptions'!$W$145+H763*'Assumptions'!$X$145)</x:f>
        <x:v>1118.8137689931027</x:v>
      </x:c>
      <x:c r="T763" s="10" t="n">
        <x:f>N763*'Assumptions'!$AA$145</x:f>
        <x:v>2872.259218329983</x:v>
      </x:c>
      <x:c r="U763" s="10" t="n">
        <x:f>'Assumptions'!$AE$145*'Assumptions'!$D$11*(1+'Assumptions'!$D$13)^(6-1)</x:f>
        <x:v>0</x:v>
      </x:c>
      <x:c r="V763" s="10" t="n">
        <x:f>0</x:f>
        <x:v>0</x:v>
      </x:c>
      <x:c r="W763" s="10" t="n">
        <x:f>H763*('Assumptions'!$P$145+'Assumptions'!$Y$145)</x:f>
        <x:v>49.443593102592004</x:v>
      </x:c>
      <x:c r="X763" s="10" t="n">
        <x:f>N763/12*'Assumptions'!$AF$145</x:f>
        <x:v>0</x:v>
      </x:c>
      <x:c r="Y763" s="10" t="n">
        <x:f>P763/12</x:f>
        <x:v>1837.1370392331162</x:v>
      </x:c>
      <x:c r="Z763" s="10" t="n">
        <x:f>0</x:f>
        <x:v>0</x:v>
      </x:c>
      <x:c r="AA763" s="10" t="n">
        <x:f>Z763*'Assumptions'!$AC$145*'Assumptions'!$D$11*(1+'Assumptions'!$D$13)^(6-1)</x:f>
        <x:v>0</x:v>
      </x:c>
      <x:c r="AB763" s="10" t="n">
        <x:f>F763/1</x:f>
        <x:v>54.45635801088001</x:v>
      </x:c>
      <x:c r="AC763" s="10" t="n">
        <x:f>AB763/'Assumptions'!$AM$145</x:f>
        <x:v>1815.2119336960004</x:v>
      </x:c>
      <x:c r="AD763" s="10" t="n">
        <x:f>IF(AB763=0,0,T763/AB763)</x:f>
        <x:v>52.7442400344901</x:v>
      </x:c>
      <x:c r="AE763" s="10" t="n">
        <x:f>AA763*'Assumptions'!$D$21</x:f>
        <x:v>0</x:v>
      </x:c>
    </x:row>
    <x:row r="764" ht="16" customHeight="1">
      <x:c r="A764" s="1"/>
      <x:c r="B764" s="1"/>
      <x:c r="C764" s="1" t="str">
        <x:v>DOT-117</x:v>
      </x:c>
      <x:c r="D764" s="10" t="str">
        <x:v>Fiefé</x:v>
      </x:c>
      <x:c r="E764" s="10" t="n">
        <x:v>6</x:v>
      </x:c>
      <x:c r="F764" s="21" t="n">
        <x:f>F636*(1+'Assumptions'!$M$146)</x:f>
        <x:v>68.07044751360003</x:v>
      </x:c>
      <x:c r="G764" s="21" t="n">
        <x:f>H636*'Assumptions'!$K$146</x:f>
        <x:v>27.013385376000006</x:v>
      </x:c>
      <x:c r="H764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764+G764,NA())</x:f>
        <x:v>95.08383288960003</x:v>
      </x:c>
      <x:c r="I764" s="22" t="n">
        <x:f>'Assumptions'!$H$146*IF('Assumptions'!$O$146=1,1,'Assumptions'!$D$10)*(1+'Assumptions'!$N$146)^(6-1)</x:f>
        <x:v>193.21414056</x:v>
      </x:c>
      <x:c r="J764" s="10" t="n">
        <x:f>H764*I764</x:f>
        <x:v>18371.54105291473</x:v>
      </x:c>
      <x:c r="K764" s="10" t="n">
        <x:f>J764*'Assumptions'!$T$146</x:f>
        <x:v>18371.54105291473</x:v>
      </x:c>
      <x:c r="L764" s="10" t="n">
        <x:f>K764*'Assumptions'!$U$146</x:f>
        <x:v>551.1462315874419</x:v>
      </x:c>
      <x:c r="M764" s="10" t="n">
        <x:f>K764*'Assumptions'!$V$146</x:f>
        <x:v>367.4308210582946</x:v>
      </x:c>
      <x:c r="N764" s="10" t="n">
        <x:f>K764-L764-M764</x:f>
        <x:v>17452.964000268996</x:v>
      </x:c>
      <x:c r="O764" s="10" t="n">
        <x:f>H764*'Assumptions'!$P$146*'Assumptions'!$Q$146*'Assumptions'!$D$11*(1+'Assumptions'!$D$13)^(6-1)</x:f>
        <x:v>1240.0675014823535</x:v>
      </x:c>
      <x:c r="P764" s="10" t="n">
        <x:f>H764*'Assumptions'!$R$146*'Assumptions'!$D$11*(1+'Assumptions'!$D$13)^(6-1)</x:f>
        <x:v>8818.257788318959</x:v>
      </x:c>
      <x:c r="Q764" s="10" t="n">
        <x:f>J764*'Assumptions'!$S$146</x:f>
        <x:v>0</x:v>
      </x:c>
      <x:c r="R764" s="10" t="n">
        <x:f>H764*'Assumptions'!$Y$146*'Assumptions'!$Z$146*'Assumptions'!$D$11*(1+'Assumptions'!$D$13)^(6-1)</x:f>
        <x:v>496.0270005929414</x:v>
      </x:c>
      <x:c r="S764" s="10" t="n">
        <x:f>IF(I764=0,0,J764*'Assumptions'!$W$146+H764*'Assumptions'!$X$146)</x:f>
        <x:v>561.2998404014072</x:v>
      </x:c>
      <x:c r="T764" s="10" t="n">
        <x:f>N764*'Assumptions'!$AA$146</x:f>
        <x:v>1396.2371200215198</x:v>
      </x:c>
      <x:c r="U764" s="10" t="n">
        <x:f>'Assumptions'!$AE$146*'Assumptions'!$D$11*(1+'Assumptions'!$D$13)^(6-1)</x:f>
        <x:v>0</x:v>
      </x:c>
      <x:c r="V764" s="10" t="n">
        <x:f>0</x:f>
        <x:v>0</x:v>
      </x:c>
      <x:c r="W764" s="10" t="n">
        <x:f>H764*('Assumptions'!$P$146+'Assumptions'!$Y$146)</x:f>
        <x:v>38.03353315584001</x:v>
      </x:c>
      <x:c r="X764" s="10" t="n">
        <x:f>N764/12*'Assumptions'!$AF$146</x:f>
        <x:v>0</x:v>
      </x:c>
      <x:c r="Y764" s="10" t="n">
        <x:f>P764/12</x:f>
        <x:v>734.8548156932466</x:v>
      </x:c>
      <x:c r="Z764" s="10" t="n">
        <x:f>0</x:f>
        <x:v>0</x:v>
      </x:c>
      <x:c r="AA764" s="10" t="n">
        <x:f>Z764*'Assumptions'!$AC$146*'Assumptions'!$D$11*(1+'Assumptions'!$D$13)^(6-1)</x:f>
        <x:v>0</x:v>
      </x:c>
      <x:c r="AB764" s="10" t="n">
        <x:f>F764/1</x:f>
        <x:v>68.07044751360003</x:v>
      </x:c>
      <x:c r="AC764" s="10" t="n">
        <x:f>AB764/'Assumptions'!$AM$146</x:f>
        <x:v>2269.014917120001</x:v>
      </x:c>
      <x:c r="AD764" s="10" t="n">
        <x:f>IF(AB764=0,0,T764/AB764)</x:f>
        <x:v>20.511648902301705</x:v>
      </x:c>
      <x:c r="AE764" s="10" t="n">
        <x:f>AA764*'Assumptions'!$D$21</x:f>
        <x:v>0</x:v>
      </x:c>
    </x:row>
    <x:row r="765" ht="16" customHeight="1">
      <x:c r="A765" s="1"/>
      <x:c r="B765" s="1"/>
      <x:c r="C765" s="1" t="str">
        <x:v>DOT-118</x:v>
      </x:c>
      <x:c r="D765" s="10" t="str">
        <x:v>Fiefé Design</x:v>
      </x:c>
      <x:c r="E765" s="10" t="n">
        <x:v>6</x:v>
      </x:c>
      <x:c r="F765" s="21" t="n">
        <x:f>F637*(1+'Assumptions'!$M$147)</x:f>
        <x:v>9.076059668480003</x:v>
      </x:c>
      <x:c r="G765" s="21" t="n">
        <x:f>H637*'Assumptions'!$K$147</x:f>
        <x:v>3.6017847168000006</x:v>
      </x:c>
      <x:c r="H765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765+G765,NA())</x:f>
        <x:v>12.677844385280004</x:v>
      </x:c>
      <x:c r="I765" s="22" t="n">
        <x:f>'Assumptions'!$H$147*IF('Assumptions'!$O$147=1,1,'Assumptions'!$D$10)*(1+'Assumptions'!$N$147)^(6-1)</x:f>
        <x:v>2760.202008</x:v>
      </x:c>
      <x:c r="J765" s="10" t="n">
        <x:f>H765*I765</x:f>
        <x:v>34993.411529361394</x:v>
      </x:c>
      <x:c r="K765" s="10" t="n">
        <x:f>J765*'Assumptions'!$T$147</x:f>
        <x:v>34993.411529361394</x:v>
      </x:c>
      <x:c r="L765" s="10" t="n">
        <x:f>K765*'Assumptions'!$U$147</x:f>
        <x:v>1049.8023458808418</x:v>
      </x:c>
      <x:c r="M765" s="10" t="n">
        <x:f>K765*'Assumptions'!$V$147</x:f>
        <x:v>699.8682305872279</x:v>
      </x:c>
      <x:c r="N765" s="10" t="n">
        <x:f>K765-L765-M765</x:f>
        <x:v>33243.74095289333</x:v>
      </x:c>
      <x:c r="O765" s="10" t="n">
        <x:f>H765*'Assumptions'!$P$147*'Assumptions'!$Q$147*'Assumptions'!$D$11*(1+'Assumptions'!$D$13)^(6-1)</x:f>
        <x:v>7054.606230655167</x:v>
      </x:c>
      <x:c r="P765" s="10" t="n">
        <x:f>H765*'Assumptions'!$R$147*'Assumptions'!$D$11*(1+'Assumptions'!$D$13)^(6-1)</x:f>
        <x:v>13227.386682478438</x:v>
      </x:c>
      <x:c r="Q765" s="10" t="n">
        <x:f>J765*'Assumptions'!$S$147</x:f>
        <x:v>0</x:v>
      </x:c>
      <x:c r="R765" s="10" t="n">
        <x:f>H765*'Assumptions'!$Y$147*'Assumptions'!$Z$147*'Assumptions'!$D$11*(1+'Assumptions'!$D$13)^(6-1)</x:f>
        <x:v>66.13693341239218</x:v>
      </x:c>
      <x:c r="S765" s="10" t="n">
        <x:f>IF(I765=0,0,J765*'Assumptions'!$W$147+H765*'Assumptions'!$X$147)</x:f>
        <x:v>1018.6122876670645</x:v>
      </x:c>
      <x:c r="T765" s="10" t="n">
        <x:f>N765*'Assumptions'!$AA$147</x:f>
        <x:v>2659.4992762314664</x:v>
      </x:c>
      <x:c r="U765" s="10" t="n">
        <x:f>'Assumptions'!$AE$147*'Assumptions'!$D$11*(1+'Assumptions'!$D$13)^(6-1)</x:f>
        <x:v>0</x:v>
      </x:c>
      <x:c r="V765" s="10" t="n">
        <x:f>0</x:f>
        <x:v>0</x:v>
      </x:c>
      <x:c r="W765" s="10" t="n">
        <x:f>H765*('Assumptions'!$P$147+'Assumptions'!$Y$147)</x:f>
        <x:v>103.32443174003204</x:v>
      </x:c>
      <x:c r="X765" s="10" t="n">
        <x:f>N765/12*'Assumptions'!$AF$147</x:f>
        <x:v>0</x:v>
      </x:c>
      <x:c r="Y765" s="10" t="n">
        <x:f>P765/12</x:f>
        <x:v>1102.2822235398698</x:v>
      </x:c>
      <x:c r="Z765" s="10" t="n">
        <x:f>0</x:f>
        <x:v>0</x:v>
      </x:c>
      <x:c r="AA765" s="10" t="n">
        <x:f>Z765*'Assumptions'!$AC$147*'Assumptions'!$D$11*(1+'Assumptions'!$D$13)^(6-1)</x:f>
        <x:v>0</x:v>
      </x:c>
      <x:c r="AB765" s="10" t="n">
        <x:f>F765/1</x:f>
        <x:v>9.076059668480003</x:v>
      </x:c>
      <x:c r="AC765" s="10" t="n">
        <x:f>AB765/'Assumptions'!$AM$147</x:f>
        <x:v>302.53532228266675</x:v>
      </x:c>
      <x:c r="AD765" s="10" t="n">
        <x:f>IF(AB765=0,0,T765/AB765)</x:f>
        <x:v>293.0235557471672</x:v>
      </x:c>
      <x:c r="AE765" s="10" t="n">
        <x:f>AA765*'Assumptions'!$D$21</x:f>
        <x:v>0</x:v>
      </x:c>
    </x:row>
    <x:row r="766" ht="16" customHeight="1">
      <x:c r="A766" s="1"/>
      <x:c r="B766" s="1"/>
      <x:c r="C766" s="1" t="str">
        <x:v>DOT-119</x:v>
      </x:c>
      <x:c r="D766" s="10" t="str">
        <x:v>OsezArt</x:v>
      </x:c>
      <x:c r="E766" s="10" t="n">
        <x:v>6</x:v>
      </x:c>
      <x:c r="F766" s="21" t="n">
        <x:f>F638*(1+'Assumptions'!$M$148)</x:f>
        <x:v>7.6889088</x:v>
      </x:c>
      <x:c r="G766" s="21" t="n">
        <x:f>H638*'Assumptions'!$K$148</x:f>
        <x:v>12.097427999999999</x:v>
      </x:c>
      <x:c r="H766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766+G766,NA())</x:f>
        <x:v>19.7863368</x:v>
      </x:c>
      <x:c r="I766" s="22" t="n">
        <x:f>'Assumptions'!$H$148*IF('Assumptions'!$O$148=1,1,'Assumptions'!$D$10)*(1+'Assumptions'!$N$148)^(6-1)</x:f>
        <x:v>5520.404016</x:v>
      </x:c>
      <x:c r="J766" s="10" t="n">
        <x:f>H766*I766</x:f>
        <x:v>109228.5731326486</x:v>
      </x:c>
      <x:c r="K766" s="10" t="n">
        <x:f>J766*'Assumptions'!$T$148</x:f>
        <x:v>21845.71462652972</x:v>
      </x:c>
      <x:c r="L766" s="10" t="n">
        <x:f>K766*'Assumptions'!$U$148</x:f>
        <x:v>655.3714387958915</x:v>
      </x:c>
      <x:c r="M766" s="10" t="n">
        <x:f>K766*'Assumptions'!$V$148</x:f>
        <x:v>0</x:v>
      </x:c>
      <x:c r="N766" s="10" t="n">
        <x:f>K766-L766-M766</x:f>
        <x:v>21190.34318773383</x:v>
      </x:c>
      <x:c r="O766" s="10" t="n">
        <x:f>H766*'Assumptions'!$P$148*'Assumptions'!$Q$148*'Assumptions'!$D$11*(1+'Assumptions'!$D$13)^(6-1)</x:f>
        <x:v>5505.068946625926</x:v>
      </x:c>
      <x:c r="P766" s="10" t="n">
        <x:f>H766*'Assumptions'!$R$148*'Assumptions'!$D$11*(1+'Assumptions'!$D$13)^(6-1)</x:f>
        <x:v>0</x:v>
      </x:c>
      <x:c r="Q766" s="10" t="n">
        <x:f>J766*'Assumptions'!$S$148</x:f>
        <x:v>0</x:v>
      </x:c>
      <x:c r="R766" s="10" t="n">
        <x:f>H766*'Assumptions'!$Y$148*'Assumptions'!$Z$148*'Assumptions'!$D$11*(1+'Assumptions'!$D$13)^(6-1)</x:f>
        <x:v>103.22004274923611</x:v>
      </x:c>
      <x:c r="S766" s="10" t="n">
        <x:f>IF(I766=0,0,J766*'Assumptions'!$W$148+H766*'Assumptions'!$X$148)</x:f>
        <x:v>3173.5645218868094</x:v>
      </x:c>
      <x:c r="T766" s="10" t="n">
        <x:f>N766*'Assumptions'!$AA$148</x:f>
        <x:v>1059.5171593866914</x:v>
      </x:c>
      <x:c r="U766" s="10" t="n">
        <x:f>'Assumptions'!$AE$148*'Assumptions'!$D$11*(1+'Assumptions'!$D$13)^(6-1)</x:f>
        <x:v>0</x:v>
      </x:c>
      <x:c r="V766" s="10" t="n">
        <x:f>0</x:f>
        <x:v>0</x:v>
      </x:c>
      <x:c r="W766" s="10" t="n">
        <x:f>H766*('Assumptions'!$P$148+'Assumptions'!$Y$148)</x:f>
        <x:v>82.11329772</x:v>
      </x:c>
      <x:c r="X766" s="10" t="n">
        <x:f>N766/12*'Assumptions'!$AF$148</x:f>
        <x:v>0</x:v>
      </x:c>
      <x:c r="Y766" s="10" t="n">
        <x:f>P766/12</x:f>
        <x:v>0</x:v>
      </x:c>
      <x:c r="Z766" s="10" t="n">
        <x:f>0</x:f>
        <x:v>0</x:v>
      </x:c>
      <x:c r="AA766" s="10" t="n">
        <x:f>Z766*'Assumptions'!$AC$148*'Assumptions'!$D$11*(1+'Assumptions'!$D$13)^(6-1)</x:f>
        <x:v>0</x:v>
      </x:c>
      <x:c r="AB766" s="10" t="n">
        <x:f>F766/1</x:f>
        <x:v>7.6889088</x:v>
      </x:c>
      <x:c r="AC766" s="10" t="n">
        <x:f>AB766/'Assumptions'!$AM$148</x:f>
        <x:v>153.778176</x:v>
      </x:c>
      <x:c r="AD766" s="10" t="n">
        <x:f>IF(AB766=0,0,T766/AB766)</x:f>
        <x:v>137.7981176453402</x:v>
      </x:c>
      <x:c r="AE766" s="10" t="n">
        <x:f>AA766*'Assumptions'!$D$21</x:f>
        <x:v>0</x:v>
      </x:c>
    </x:row>
    <x:row r="767" ht="16" customHeight="1">
      <x:c r="A767" s="1"/>
      <x:c r="B767" s="1"/>
      <x:c r="C767" s="1" t="str">
        <x:v>DOT-120</x:v>
      </x:c>
      <x:c r="D767" s="10" t="str">
        <x:v>OsezArt</x:v>
      </x:c>
      <x:c r="E767" s="10" t="n">
        <x:v>6</x:v>
      </x:c>
      <x:c r="F767" s="21" t="n">
        <x:f>F639*(1+'Assumptions'!$M$149)</x:f>
        <x:v>4.524069000000002</x:v>
      </x:c>
      <x:c r="G767" s="21" t="n">
        <x:f>H639*'Assumptions'!$K$149</x:f>
        <x:v>3.995025000000001</x:v>
      </x:c>
      <x:c r="H767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767+G767,NA())</x:f>
        <x:v>8.519094000000003</x:v>
      </x:c>
      <x:c r="I767" s="22" t="n">
        <x:f>'Assumptions'!$H$149*IF('Assumptions'!$O$149=1,1,'Assumptions'!$D$10)*(1+'Assumptions'!$N$149)^(6-1)</x:f>
        <x:v>5520.404016</x:v>
      </x:c>
      <x:c r="J767" s="10" t="n">
        <x:f>H767*I767</x:f>
        <x:v>47028.840730281525</x:v>
      </x:c>
      <x:c r="K767" s="10" t="n">
        <x:f>J767*'Assumptions'!$T$149</x:f>
        <x:v>47028.840730281525</x:v>
      </x:c>
      <x:c r="L767" s="10" t="n">
        <x:f>K767*'Assumptions'!$U$149</x:f>
        <x:v>1410.8652219084456</x:v>
      </x:c>
      <x:c r="M767" s="10" t="n">
        <x:f>K767*'Assumptions'!$V$149</x:f>
        <x:v>0</x:v>
      </x:c>
      <x:c r="N767" s="10" t="n">
        <x:f>K767-L767-M767</x:f>
        <x:v>45617.97550837308</x:v>
      </x:c>
      <x:c r="O767" s="10" t="n">
        <x:f>H767*'Assumptions'!$P$149*'Assumptions'!$Q$149*'Assumptions'!$D$11*(1+'Assumptions'!$D$13)^(6-1)</x:f>
        <x:v>19258.131380913142</x:v>
      </x:c>
      <x:c r="P767" s="10" t="n">
        <x:f>H767*'Assumptions'!$R$149*'Assumptions'!$D$11*(1+'Assumptions'!$D$13)^(6-1)</x:f>
        <x:v>2468.991202681172</x:v>
      </x:c>
      <x:c r="Q767" s="10" t="n">
        <x:f>J767*'Assumptions'!$S$149</x:f>
        <x:v>0</x:v>
      </x:c>
      <x:c r="R767" s="10" t="n">
        <x:f>H767*'Assumptions'!$Y$149*'Assumptions'!$Z$149*'Assumptions'!$D$11*(1+'Assumptions'!$D$13)^(6-1)</x:f>
        <x:v>74.06973608043516</x:v>
      </x:c>
      <x:c r="S767" s="10" t="n">
        <x:f>IF(I767=0,0,J767*'Assumptions'!$W$149+H767*'Assumptions'!$X$149)</x:f>
        <x:v>1366.3921093781644</x:v>
      </x:c>
      <x:c r="T767" s="10" t="n">
        <x:f>N767*'Assumptions'!$AA$149</x:f>
        <x:v>1824.7190203349232</x:v>
      </x:c>
      <x:c r="U767" s="10" t="n">
        <x:f>'Assumptions'!$AE$149*'Assumptions'!$D$11*(1+'Assumptions'!$D$13)^(6-1)</x:f>
        <x:v>0</x:v>
      </x:c>
      <x:c r="V767" s="10" t="n">
        <x:f>0</x:f>
        <x:v>0</x:v>
      </x:c>
      <x:c r="W767" s="10" t="n">
        <x:f>H767*('Assumptions'!$P$149+'Assumptions'!$Y$149)</x:f>
        <x:v>257.7025935000001</x:v>
      </x:c>
      <x:c r="X767" s="10" t="n">
        <x:f>N767/12*'Assumptions'!$AF$149</x:f>
        <x:v>3801.49795903109</x:v>
      </x:c>
      <x:c r="Y767" s="10" t="n">
        <x:f>P767/12</x:f>
        <x:v>205.7492668900977</x:v>
      </x:c>
      <x:c r="Z767" s="10" t="n">
        <x:f>0</x:f>
        <x:v>0</x:v>
      </x:c>
      <x:c r="AA767" s="10" t="n">
        <x:f>Z767*'Assumptions'!$AC$149*'Assumptions'!$D$11*(1+'Assumptions'!$D$13)^(6-1)</x:f>
        <x:v>0</x:v>
      </x:c>
      <x:c r="AB767" s="10" t="n">
        <x:f>F767/1</x:f>
        <x:v>4.524069000000002</x:v>
      </x:c>
      <x:c r="AC767" s="10" t="n">
        <x:f>AB767/'Assumptions'!$AM$149</x:f>
        <x:v>22.620345000000007</x:v>
      </x:c>
      <x:c r="AD767" s="10" t="n">
        <x:f>IF(AB767=0,0,T767/AB767)</x:f>
        <x:v>403.3358068444408</x:v>
      </x:c>
      <x:c r="AE767" s="10" t="n">
        <x:f>AA767*'Assumptions'!$D$21</x:f>
        <x:v>0</x:v>
      </x:c>
    </x:row>
    <x:row r="768" ht="16" customHeight="1">
      <x:c r="A768" s="1"/>
      <x:c r="B768" s="1"/>
      <x:c r="C768" s="1" t="str">
        <x:v>DOT-121</x:v>
      </x:c>
      <x:c r="D768" s="10" t="str">
        <x:v>OsezArt</x:v>
      </x:c>
      <x:c r="E768" s="10" t="n">
        <x:v>6</x:v>
      </x:c>
      <x:c r="F768" s="21" t="n">
        <x:f>F640*(1+'Assumptions'!$M$150)</x:f>
        <x:v>4.524069000000002</x:v>
      </x:c>
      <x:c r="G768" s="21" t="n">
        <x:f>H640*'Assumptions'!$K$150</x:f>
        <x:v>3.948150000000001</x:v>
      </x:c>
      <x:c r="H768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768+G768,NA())</x:f>
        <x:v>8.472219000000003</x:v>
      </x:c>
      <x:c r="I768" s="22" t="n">
        <x:f>'Assumptions'!$H$150*IF('Assumptions'!$O$150=1,1,'Assumptions'!$D$10)*(1+'Assumptions'!$N$150)^(6-1)</x:f>
        <x:v>3312.2424096</x:v>
      </x:c>
      <x:c r="J768" s="10" t="n">
        <x:f>H768*I768</x:f>
        <x:v>28062.04307521891</x:v>
      </x:c>
      <x:c r="K768" s="10" t="n">
        <x:f>J768*'Assumptions'!$T$150</x:f>
        <x:v>28062.04307521891</x:v>
      </x:c>
      <x:c r="L768" s="10" t="n">
        <x:f>K768*'Assumptions'!$U$150</x:f>
        <x:v>841.8612922565673</x:v>
      </x:c>
      <x:c r="M768" s="10" t="n">
        <x:f>K768*'Assumptions'!$V$150</x:f>
        <x:v>0</x:v>
      </x:c>
      <x:c r="N768" s="10" t="n">
        <x:f>K768-L768-M768</x:f>
        <x:v>27220.181782962343</x:v>
      </x:c>
      <x:c r="O768" s="10" t="n">
        <x:f>H768*'Assumptions'!$P$150*'Assumptions'!$Q$150*'Assumptions'!$D$11*(1+'Assumptions'!$D$13)^(6-1)</x:f>
        <x:v>11491.299891035493</x:v>
      </x:c>
      <x:c r="P768" s="10" t="n">
        <x:f>H768*'Assumptions'!$R$150*'Assumptions'!$D$11*(1+'Assumptions'!$D$13)^(6-1)</x:f>
        <x:v>1964.324767698375</x:v>
      </x:c>
      <x:c r="Q768" s="10" t="n">
        <x:f>J768*'Assumptions'!$S$150</x:f>
        <x:v>0</x:v>
      </x:c>
      <x:c r="R768" s="10" t="n">
        <x:f>H768*'Assumptions'!$Y$150*'Assumptions'!$Z$150*'Assumptions'!$D$11*(1+'Assumptions'!$D$13)^(6-1)</x:f>
        <x:v>73.66217878868908</x:v>
      </x:c>
      <x:c r="S768" s="10" t="n">
        <x:f>IF(I768=0,0,J768*'Assumptions'!$W$150+H768*'Assumptions'!$X$150)</x:f>
        <x:v>816.3409148813483</x:v>
      </x:c>
      <x:c r="T768" s="10" t="n">
        <x:f>N768*'Assumptions'!$AA$150</x:f>
        <x:v>1088.8072713184938</x:v>
      </x:c>
      <x:c r="U768" s="10" t="n">
        <x:f>'Assumptions'!$AE$150*'Assumptions'!$D$11*(1+'Assumptions'!$D$13)^(6-1)</x:f>
        <x:v>0</x:v>
      </x:c>
      <x:c r="V768" s="10" t="n">
        <x:f>0</x:f>
        <x:v>0</x:v>
      </x:c>
      <x:c r="W768" s="10" t="n">
        <x:f>H768*('Assumptions'!$P$150+'Assumptions'!$Y$150)</x:f>
        <x:v>154.61799675000006</x:v>
      </x:c>
      <x:c r="X768" s="10" t="n">
        <x:f>N768/12*'Assumptions'!$AF$150</x:f>
        <x:v>2268.3484819135288</x:v>
      </x:c>
      <x:c r="Y768" s="10" t="n">
        <x:f>P768/12</x:f>
        <x:v>163.69373064153123</x:v>
      </x:c>
      <x:c r="Z768" s="10" t="n">
        <x:f>0</x:f>
        <x:v>0</x:v>
      </x:c>
      <x:c r="AA768" s="10" t="n">
        <x:f>Z768*'Assumptions'!$AC$150*'Assumptions'!$D$11*(1+'Assumptions'!$D$13)^(6-1)</x:f>
        <x:v>0</x:v>
      </x:c>
      <x:c r="AB768" s="10" t="n">
        <x:f>F768/1</x:f>
        <x:v>4.524069000000002</x:v>
      </x:c>
      <x:c r="AC768" s="10" t="n">
        <x:f>AB768/'Assumptions'!$AM$150</x:f>
        <x:v>22.620345000000007</x:v>
      </x:c>
      <x:c r="AD768" s="10" t="n">
        <x:f>IF(AB768=0,0,T768/AB768)</x:f>
        <x:v>240.66990828798</x:v>
      </x:c>
      <x:c r="AE768" s="10" t="n">
        <x:f>AA768*'Assumptions'!$D$21</x:f>
        <x:v>0</x:v>
      </x:c>
    </x:row>
    <x:row r="769" ht="16" customHeight="1">
      <x:c r="A769" s="1"/>
      <x:c r="B769" s="1"/>
      <x:c r="C769" s="1" t="str">
        <x:v>DOT-122</x:v>
      </x:c>
      <x:c r="D769" s="10" t="str">
        <x:v>OsezArt</x:v>
      </x:c>
      <x:c r="E769" s="10" t="n">
        <x:v>6</x:v>
      </x:c>
      <x:c r="F769" s="21" t="n">
        <x:f>F641*(1+'Assumptions'!$M$151)</x:f>
        <x:v>1.5080230000000008</x:v>
      </x:c>
      <x:c r="G769" s="21" t="n">
        <x:f>H641*'Assumptions'!$K$151</x:f>
        <x:v>1.3160500000000004</x:v>
      </x:c>
      <x:c r="H769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769+G769,NA())</x:f>
        <x:v>2.824073000000001</x:v>
      </x:c>
      <x:c r="I769" s="22" t="n">
        <x:f>'Assumptions'!$H$151*IF('Assumptions'!$O$151=1,1,'Assumptions'!$D$10)*(1+'Assumptions'!$N$151)^(6-1)</x:f>
        <x:v>11040.808032</x:v>
      </x:c>
      <x:c r="J769" s="10" t="n">
        <x:f>H769*I769</x:f>
        <x:v>31180.047861354353</x:v>
      </x:c>
      <x:c r="K769" s="10" t="n">
        <x:f>J769*'Assumptions'!$T$151</x:f>
        <x:v>31180.047861354353</x:v>
      </x:c>
      <x:c r="L769" s="10" t="n">
        <x:f>K769*'Assumptions'!$U$151</x:f>
        <x:v>935.4014358406306</x:v>
      </x:c>
      <x:c r="M769" s="10" t="n">
        <x:f>K769*'Assumptions'!$V$151</x:f>
        <x:v>0</x:v>
      </x:c>
      <x:c r="N769" s="10" t="n">
        <x:f>K769-L769-M769</x:f>
        <x:v>30244.64642551372</x:v>
      </x:c>
      <x:c r="O769" s="10" t="n">
        <x:f>H769*'Assumptions'!$P$151*'Assumptions'!$Q$151*'Assumptions'!$D$11*(1+'Assumptions'!$D$13)^(6-1)</x:f>
        <x:v>12768.11099003944</x:v>
      </x:c>
      <x:c r="P769" s="10" t="n">
        <x:f>H769*'Assumptions'!$R$151*'Assumptions'!$D$11*(1+'Assumptions'!$D$13)^(6-1)</x:f>
        <x:v>1636.9373064153128</x:v>
      </x:c>
      <x:c r="Q769" s="10" t="n">
        <x:f>J769*'Assumptions'!$S$151</x:f>
        <x:v>0</x:v>
      </x:c>
      <x:c r="R769" s="10" t="n">
        <x:f>H769*'Assumptions'!$Y$151*'Assumptions'!$Z$151*'Assumptions'!$D$11*(1+'Assumptions'!$D$13)^(6-1)</x:f>
        <x:v>24.554059596229692</x:v>
      </x:c>
      <x:c r="S769" s="10" t="n">
        <x:f>IF(I769=0,0,J769*'Assumptions'!$W$151+H769*'Assumptions'!$X$151)</x:f>
        <x:v>905.0686098792763</x:v>
      </x:c>
      <x:c r="T769" s="10" t="n">
        <x:f>N769*'Assumptions'!$AA$151</x:f>
        <x:v>1209.785857020549</x:v>
      </x:c>
      <x:c r="U769" s="10" t="n">
        <x:f>'Assumptions'!$AE$151*'Assumptions'!$D$11*(1+'Assumptions'!$D$13)^(6-1)</x:f>
        <x:v>0</x:v>
      </x:c>
      <x:c r="V769" s="10" t="n">
        <x:f>0</x:f>
        <x:v>0</x:v>
      </x:c>
      <x:c r="W769" s="10" t="n">
        <x:f>H769*('Assumptions'!$P$151+'Assumptions'!$Y$151)</x:f>
        <x:v>170.15039825000008</x:v>
      </x:c>
      <x:c r="X769" s="10" t="n">
        <x:f>N769/12*'Assumptions'!$AF$151</x:f>
        <x:v>2520.3872021261436</x:v>
      </x:c>
      <x:c r="Y769" s="10" t="n">
        <x:f>P769/12</x:f>
        <x:v>136.41144220127606</x:v>
      </x:c>
      <x:c r="Z769" s="10" t="n">
        <x:f>0</x:f>
        <x:v>0</x:v>
      </x:c>
      <x:c r="AA769" s="10" t="n">
        <x:f>Z769*'Assumptions'!$AC$151*'Assumptions'!$D$11*(1+'Assumptions'!$D$13)^(6-1)</x:f>
        <x:v>0</x:v>
      </x:c>
      <x:c r="AB769" s="10" t="n">
        <x:f>F769/1</x:f>
        <x:v>1.5080230000000008</x:v>
      </x:c>
      <x:c r="AC769" s="10" t="n">
        <x:f>AB769/'Assumptions'!$AM$151</x:f>
        <x:v>7.540115000000004</x:v>
      </x:c>
      <x:c r="AD769" s="10" t="n">
        <x:f>IF(AB769=0,0,T769/AB769)</x:f>
        <x:v>802.2330276266001</x:v>
      </x:c>
      <x:c r="AE769" s="10" t="n">
        <x:f>AA769*'Assumptions'!$D$21</x:f>
        <x:v>0</x:v>
      </x:c>
    </x:row>
    <x:row r="770" ht="16" customHeight="1">
      <x:c r="A770" s="1"/>
      <x:c r="B770" s="1"/>
      <x:c r="C770" s="1" t="str">
        <x:v>DOT-123</x:v>
      </x:c>
      <x:c r="D770" s="10" t="str">
        <x:v>FinBot research</x:v>
      </x:c>
      <x:c r="E770" s="10" t="n">
        <x:v>6</x:v>
      </x:c>
      <x:c r="F770" s="21" t="n">
        <x:f>F642*(1+'Assumptions'!$M$152)</x:f>
        <x:v>162.13287937499993</x:v>
      </x:c>
      <x:c r="G770" s="21" t="n">
        <x:f>H642*'Assumptions'!$K$152</x:f>
        <x:v>50.230218749999985</x:v>
      </x:c>
      <x:c r="H770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770+G770,NA())</x:f>
        <x:v>212.3630981249999</x:v>
      </x:c>
      <x:c r="I770" s="22" t="n">
        <x:f>'Assumptions'!$H$152*IF('Assumptions'!$O$152=1,1,'Assumptions'!$D$10)*(1+'Assumptions'!$N$152)^(6-1)</x:f>
        <x:v>32.0183432928</x:v>
      </x:c>
      <x:c r="J770" s="10" t="n">
        <x:f>H770*I770</x:f>
        <x:v>6799.514578488818</x:v>
      </x:c>
      <x:c r="K770" s="10" t="n">
        <x:f>J770*'Assumptions'!$T$152</x:f>
        <x:v>6799.514578488818</x:v>
      </x:c>
      <x:c r="L770" s="10" t="n">
        <x:f>K770*'Assumptions'!$U$152</x:f>
        <x:v>203.98543735466453</x:v>
      </x:c>
      <x:c r="M770" s="10" t="n">
        <x:f>K770*'Assumptions'!$V$152</x:f>
        <x:v>0</x:v>
      </x:c>
      <x:c r="N770" s="10" t="n">
        <x:f>K770-L770-M770</x:f>
        <x:v>6595.529141134154</x:v>
      </x:c>
      <x:c r="O770" s="10" t="n">
        <x:f>H770*'Assumptions'!$P$152*'Assumptions'!$Q$152*'Assumptions'!$D$11*(1+'Assumptions'!$D$13)^(6-1)</x:f>
        <x:v>2215.6833059490546</x:v>
      </x:c>
      <x:c r="P770" s="10" t="n">
        <x:f>H770*'Assumptions'!$R$152*'Assumptions'!$D$11*(1+'Assumptions'!$D$13)^(6-1)</x:f>
        <x:v>0</x:v>
      </x:c>
      <x:c r="Q770" s="10" t="n">
        <x:f>J770*'Assumptions'!$S$152</x:f>
        <x:v>0</x:v>
      </x:c>
      <x:c r="R770" s="10" t="n">
        <x:f>H770*'Assumptions'!$Y$152*'Assumptions'!$Z$152*'Assumptions'!$D$11*(1+'Assumptions'!$D$13)^(6-1)</x:f>
        <x:v>738.5611019830181</x:v>
      </x:c>
      <x:c r="S770" s="10" t="n">
        <x:f>IF(I770=0,0,J770*'Assumptions'!$W$152+H770*'Assumptions'!$X$152)</x:f>
        <x:v>260.89485221367573</x:v>
      </x:c>
      <x:c r="T770" s="10" t="n">
        <x:f>N770*'Assumptions'!$AA$152</x:f>
        <x:v>329.7764570567077</x:v>
      </x:c>
      <x:c r="U770" s="10" t="n">
        <x:f>'Assumptions'!$AE$152*'Assumptions'!$D$11*(1+'Assumptions'!$D$13)^(6-1)</x:f>
        <x:v>278.225777832</x:v>
      </x:c>
      <x:c r="V770" s="10" t="n">
        <x:f>0</x:f>
        <x:v>0</x:v>
      </x:c>
      <x:c r="W770" s="10" t="n">
        <x:f>H770*('Assumptions'!$P$152+'Assumptions'!$Y$152)</x:f>
        <x:v>63.70892943749998</x:v>
      </x:c>
      <x:c r="X770" s="10" t="n">
        <x:f>N770/12*'Assumptions'!$AF$152</x:f>
        <x:v>0</x:v>
      </x:c>
      <x:c r="Y770" s="10" t="n">
        <x:f>P770/12</x:f>
        <x:v>0</x:v>
      </x:c>
      <x:c r="Z770" s="10" t="n">
        <x:f>0</x:f>
        <x:v>0</x:v>
      </x:c>
      <x:c r="AA770" s="10" t="n">
        <x:f>Z770*'Assumptions'!$AC$152*'Assumptions'!$D$11*(1+'Assumptions'!$D$13)^(6-1)</x:f>
        <x:v>0</x:v>
      </x:c>
      <x:c r="AB770" s="10" t="n">
        <x:f>F770/12</x:f>
        <x:v>13.511073281249994</x:v>
      </x:c>
      <x:c r="AC770" s="10" t="n">
        <x:f>AB770/'Assumptions'!$AM$152</x:f>
        <x:v>270.22146562499984</x:v>
      </x:c>
      <x:c r="AD770" s="10" t="n">
        <x:f>IF(AB770=0,0,T770/AB770)</x:f>
        <x:v>24.407865325869807</x:v>
      </x:c>
      <x:c r="AE770" s="10" t="n">
        <x:f>AA770*'Assumptions'!$D$21</x:f>
        <x:v>0</x:v>
      </x:c>
    </x:row>
    <x:row r="771" ht="16" customHeight="1">
      <x:c r="A771" s="1"/>
      <x:c r="B771" s="1"/>
      <x:c r="C771" s="1" t="str">
        <x:v>DOT-124</x:v>
      </x:c>
      <x:c r="D771" s="10" t="str">
        <x:v>Functional Analysis</x:v>
      </x:c>
      <x:c r="E771" s="10" t="n">
        <x:v>6</x:v>
      </x:c>
      <x:c r="F771" s="21" t="n">
        <x:f>F643*(1+'Assumptions'!$M$153)</x:f>
        <x:v>324.26575874999986</x:v>
      </x:c>
      <x:c r="G771" s="21" t="n">
        <x:f>H643*'Assumptions'!$K$153</x:f>
        <x:v>100.46043749999997</x:v>
      </x:c>
      <x:c r="H771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771+G771,NA())</x:f>
        <x:v>424.7261962499998</x:v>
      </x:c>
      <x:c r="I771" s="22" t="n">
        <x:f>'Assumptions'!$H$153*IF('Assumptions'!$O$153=1,1,'Assumptions'!$D$10)*(1+'Assumptions'!$N$153)^(6-1)</x:f>
        <x:v>20.9775352608</x:v>
      </x:c>
      <x:c r="J771" s="10" t="n">
        <x:f>H771*I771</x:f>
        <x:v>8909.708758019831</x:v>
      </x:c>
      <x:c r="K771" s="10" t="n">
        <x:f>J771*'Assumptions'!$T$153</x:f>
        <x:v>8909.708758019831</x:v>
      </x:c>
      <x:c r="L771" s="10" t="n">
        <x:f>K771*'Assumptions'!$U$153</x:f>
        <x:v>267.2912627405949</x:v>
      </x:c>
      <x:c r="M771" s="10" t="n">
        <x:f>K771*'Assumptions'!$V$153</x:f>
        <x:v>0</x:v>
      </x:c>
      <x:c r="N771" s="10" t="n">
        <x:f>K771-L771-M771</x:f>
        <x:v>8642.417495279236</x:v>
      </x:c>
      <x:c r="O771" s="10" t="n">
        <x:f>H771*'Assumptions'!$P$153*'Assumptions'!$Q$153*'Assumptions'!$D$11*(1+'Assumptions'!$D$13)^(6-1)</x:f>
        <x:v>1723.3092379603754</x:v>
      </x:c>
      <x:c r="P771" s="10" t="n">
        <x:f>H771*'Assumptions'!$R$153*'Assumptions'!$D$11*(1+'Assumptions'!$D$13)^(6-1)</x:f>
        <x:v>0</x:v>
      </x:c>
      <x:c r="Q771" s="10" t="n">
        <x:f>J771*'Assumptions'!$S$153</x:f>
        <x:v>0</x:v>
      </x:c>
      <x:c r="R771" s="10" t="n">
        <x:f>H771*'Assumptions'!$Y$153*'Assumptions'!$Z$153*'Assumptions'!$D$11*(1+'Assumptions'!$D$13)^(6-1)</x:f>
        <x:v>1477.1222039660363</x:v>
      </x:c>
      <x:c r="S771" s="10" t="n">
        <x:f>IF(I771=0,0,J771*'Assumptions'!$W$153+H771*'Assumptions'!$X$153)</x:f>
        <x:v>385.799412857575</x:v>
      </x:c>
      <x:c r="T771" s="10" t="n">
        <x:f>N771*'Assumptions'!$AA$153</x:f>
        <x:v>432.12087476396187</x:v>
      </x:c>
      <x:c r="U771" s="10" t="n">
        <x:f>'Assumptions'!$AE$153*'Assumptions'!$D$11*(1+'Assumptions'!$D$13)^(6-1)</x:f>
        <x:v>0</x:v>
      </x:c>
      <x:c r="V771" s="10" t="n">
        <x:f>0</x:f>
        <x:v>0</x:v>
      </x:c>
      <x:c r="W771" s="10" t="n">
        <x:f>H771*('Assumptions'!$P$153+'Assumptions'!$Y$153)</x:f>
        <x:v>84.94523924999997</x:v>
      </x:c>
      <x:c r="X771" s="10" t="n">
        <x:f>N771/12*'Assumptions'!$AF$153</x:f>
        <x:v>0</x:v>
      </x:c>
      <x:c r="Y771" s="10" t="n">
        <x:f>P771/12</x:f>
        <x:v>0</x:v>
      </x:c>
      <x:c r="Z771" s="10" t="n">
        <x:f>0</x:f>
        <x:v>0</x:v>
      </x:c>
      <x:c r="AA771" s="10" t="n">
        <x:f>Z771*'Assumptions'!$AC$153*'Assumptions'!$D$11*(1+'Assumptions'!$D$13)^(6-1)</x:f>
        <x:v>0</x:v>
      </x:c>
      <x:c r="AB771" s="10" t="n">
        <x:f>F771/1</x:f>
        <x:v>324.26575874999986</x:v>
      </x:c>
      <x:c r="AC771" s="10" t="n">
        <x:f>AB771/'Assumptions'!$AM$153</x:f>
        <x:v>6485.315174999997</x:v>
      </x:c>
      <x:c r="AD771" s="10" t="n">
        <x:f>IF(AB771=0,0,T771/AB771)</x:f>
        <x:v>1.3326133367572597</x:v>
      </x:c>
      <x:c r="AE771" s="10" t="n">
        <x:f>AA771*'Assumptions'!$D$21</x:f>
        <x:v>0</x:v>
      </x:c>
    </x:row>
    <x:row r="772" ht="16" customHeight="1">
      <x:c r="A772" s="1"/>
      <x:c r="B772" s="1"/>
      <x:c r="C772" s="1" t="str">
        <x:v>DOT-125</x:v>
      </x:c>
      <x:c r="D772" s="10" t="str">
        <x:v>Functional Analysis</x:v>
      </x:c>
      <x:c r="E772" s="10" t="n">
        <x:v>6</x:v>
      </x:c>
      <x:c r="F772" s="21" t="n">
        <x:f>F644*(1+'Assumptions'!$M$154)</x:f>
        <x:v>27.144414000000005</x:v>
      </x:c>
      <x:c r="G772" s="21" t="n">
        <x:f>H644*'Assumptions'!$K$154</x:f>
        <x:v>23.688900000000004</x:v>
      </x:c>
      <x:c r="H772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772+G772,NA())</x:f>
        <x:v>50.83331400000001</x:v>
      </x:c>
      <x:c r="I772" s="22" t="n">
        <x:f>'Assumptions'!$H$154*IF('Assumptions'!$O$154=1,1,'Assumptions'!$D$10)*(1+'Assumptions'!$N$154)^(6-1)</x:f>
        <x:v>109.3039995168</x:v>
      </x:c>
      <x:c r="J772" s="10" t="n">
        <x:f>H772*I772</x:f>
        <x:v>5556.284528893344</x:v>
      </x:c>
      <x:c r="K772" s="10" t="n">
        <x:f>J772*'Assumptions'!$T$154</x:f>
        <x:v>5556.284528893344</x:v>
      </x:c>
      <x:c r="L772" s="10" t="n">
        <x:f>K772*'Assumptions'!$U$154</x:f>
        <x:v>166.68853586680032</x:v>
      </x:c>
      <x:c r="M772" s="10" t="n">
        <x:f>K772*'Assumptions'!$V$154</x:f>
        <x:v>0</x:v>
      </x:c>
      <x:c r="N772" s="10" t="n">
        <x:f>K772-L772-M772</x:f>
        <x:v>5389.5959930265435</x:v>
      </x:c>
      <x:c r="O772" s="10" t="n">
        <x:f>H772*'Assumptions'!$P$154*'Assumptions'!$Q$154*'Assumptions'!$D$11*(1+'Assumptions'!$D$13)^(6-1)</x:f>
        <x:v>2357.1897212380495</x:v>
      </x:c>
      <x:c r="P772" s="10" t="n">
        <x:f>H772*'Assumptions'!$R$154*'Assumptions'!$D$11*(1+'Assumptions'!$D$13)^(6-1)</x:f>
        <x:v>0</x:v>
      </x:c>
      <x:c r="Q772" s="10" t="n">
        <x:f>J772*'Assumptions'!$S$154</x:f>
        <x:v>0</x:v>
      </x:c>
      <x:c r="R772" s="10" t="n">
        <x:f>H772*'Assumptions'!$Y$154*'Assumptions'!$Z$154*'Assumptions'!$D$11*(1+'Assumptions'!$D$13)^(6-1)</x:f>
        <x:v>441.97307273213437</x:v>
      </x:c>
      <x:c r="S772" s="10" t="n">
        <x:f>IF(I772=0,0,J772*'Assumptions'!$W$154+H772*'Assumptions'!$X$154)</x:f>
        <x:v>176.38224553790698</x:v>
      </x:c>
      <x:c r="T772" s="10" t="n">
        <x:f>N772*'Assumptions'!$AA$154</x:f>
        <x:v>215.58383972106174</x:v>
      </x:c>
      <x:c r="U772" s="10" t="n">
        <x:f>'Assumptions'!$AE$154*'Assumptions'!$D$11*(1+'Assumptions'!$D$13)^(6-1)</x:f>
        <x:v>0</x:v>
      </x:c>
      <x:c r="V772" s="10" t="n">
        <x:f>0</x:f>
        <x:v>0</x:v>
      </x:c>
      <x:c r="W772" s="10" t="n">
        <x:f>H772*('Assumptions'!$P$154+'Assumptions'!$Y$154)</x:f>
        <x:v>63.54164250000001</x:v>
      </x:c>
      <x:c r="X772" s="10" t="n">
        <x:f>N772/12*'Assumptions'!$AF$154</x:f>
        <x:v>449.1329994188786</x:v>
      </x:c>
      <x:c r="Y772" s="10" t="n">
        <x:f>P772/12</x:f>
        <x:v>0</x:v>
      </x:c>
      <x:c r="Z772" s="10" t="n">
        <x:f>0</x:f>
        <x:v>0</x:v>
      </x:c>
      <x:c r="AA772" s="10" t="n">
        <x:f>Z772*'Assumptions'!$AC$154*'Assumptions'!$D$11*(1+'Assumptions'!$D$13)^(6-1)</x:f>
        <x:v>0</x:v>
      </x:c>
      <x:c r="AB772" s="10" t="n">
        <x:f>F772/1</x:f>
        <x:v>27.144414000000005</x:v>
      </x:c>
      <x:c r="AC772" s="10" t="n">
        <x:f>AB772/'Assumptions'!$AM$154</x:f>
        <x:v>135.72207</x:v>
      </x:c>
      <x:c r="AD772" s="10" t="n">
        <x:f>IF(AB772=0,0,T772/AB772)</x:f>
        <x:v>7.94210697350334</x:v>
      </x:c>
      <x:c r="AE772" s="10" t="n">
        <x:f>AA772*'Assumptions'!$D$21</x:f>
        <x:v>0</x:v>
      </x:c>
    </x:row>
    <x:row r="773" ht="16" customHeight="1">
      <x:c r="A773" s="1"/>
      <x:c r="B773" s="1"/>
      <x:c r="C773" s="1" t="str">
        <x:v>DOT-126</x:v>
      </x:c>
      <x:c r="D773" s="10" t="str">
        <x:v>Independent candy game</x:v>
      </x:c>
      <x:c r="E773" s="10" t="n">
        <x:v>6</x:v>
      </x:c>
      <x:c r="F773" s="21" t="n">
        <x:f>F645*(1+'Assumptions'!$M$155)</x:f>
        <x:v>810.6643968749999</x:v>
      </x:c>
      <x:c r="G773" s="21" t="n">
        <x:f>H645*'Assumptions'!$K$155</x:f>
        <x:v>251.15109374999997</x:v>
      </x:c>
      <x:c r="H773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773+G773,NA())</x:f>
        <x:v>1061.8154906249997</x:v>
      </x:c>
      <x:c r="I773" s="22" t="n">
        <x:f>'Assumptions'!$H$155*IF('Assumptions'!$O$155=1,1,'Assumptions'!$D$10)*(1+'Assumptions'!$N$155)^(6-1)</x:f>
        <x:v>5.509363207968001</x:v>
      </x:c>
      <x:c r="J773" s="10" t="n">
        <x:f>H773*I773</x:f>
        <x:v>5849.927197699865</x:v>
      </x:c>
      <x:c r="K773" s="10" t="n">
        <x:f>J773*'Assumptions'!$T$155</x:f>
        <x:v>5849.927197699865</x:v>
      </x:c>
      <x:c r="L773" s="10" t="n">
        <x:f>K773*'Assumptions'!$U$155</x:f>
        <x:v>175.49781593099596</x:v>
      </x:c>
      <x:c r="M773" s="10" t="n">
        <x:f>K773*'Assumptions'!$V$155</x:f>
        <x:v>0</x:v>
      </x:c>
      <x:c r="N773" s="10" t="n">
        <x:f>K773-L773-M773</x:f>
        <x:v>5674.4293817688695</x:v>
      </x:c>
      <x:c r="O773" s="10" t="n">
        <x:f>H773*'Assumptions'!$P$155*'Assumptions'!$Q$155*'Assumptions'!$D$11*(1+'Assumptions'!$D$13)^(6-1)</x:f>
        <x:v>861.6546189801877</x:v>
      </x:c>
      <x:c r="P773" s="10" t="n">
        <x:f>H773*'Assumptions'!$R$155*'Assumptions'!$D$11*(1+'Assumptions'!$D$13)^(6-1)</x:f>
        <x:v>0</x:v>
      </x:c>
      <x:c r="Q773" s="10" t="n">
        <x:f>J773*'Assumptions'!$S$155</x:f>
        <x:v>0</x:v>
      </x:c>
      <x:c r="R773" s="10" t="n">
        <x:f>H773*'Assumptions'!$Y$155*'Assumptions'!$Z$155*'Assumptions'!$D$11*(1+'Assumptions'!$D$13)^(6-1)</x:f>
        <x:v>3692.8055099150915</x:v>
      </x:c>
      <x:c r="S773" s="10" t="n">
        <x:f>IF(I773=0,0,J773*'Assumptions'!$W$155+H773*'Assumptions'!$X$155)</x:f>
        <x:v>488.192535920796</x:v>
      </x:c>
      <x:c r="T773" s="10" t="n">
        <x:f>N773*'Assumptions'!$AA$155</x:f>
        <x:v>283.7214690884435</x:v>
      </x:c>
      <x:c r="U773" s="10" t="n">
        <x:f>'Assumptions'!$AE$155*'Assumptions'!$D$11*(1+'Assumptions'!$D$13)^(6-1)</x:f>
        <x:v>0</x:v>
      </x:c>
      <x:c r="V773" s="10" t="n">
        <x:f>0</x:f>
        <x:v>0</x:v>
      </x:c>
      <x:c r="W773" s="10" t="n">
        <x:f>H773*('Assumptions'!$P$155+'Assumptions'!$Y$155)</x:f>
        <x:v>127.41785887499998</x:v>
      </x:c>
      <x:c r="X773" s="10" t="n">
        <x:f>N773/12*'Assumptions'!$AF$155</x:f>
        <x:v>0</x:v>
      </x:c>
      <x:c r="Y773" s="10" t="n">
        <x:f>P773/12</x:f>
        <x:v>0</x:v>
      </x:c>
      <x:c r="Z773" s="10" t="n">
        <x:f>0</x:f>
        <x:v>0</x:v>
      </x:c>
      <x:c r="AA773" s="10" t="n">
        <x:f>Z773*'Assumptions'!$AC$155*'Assumptions'!$D$11*(1+'Assumptions'!$D$13)^(6-1)</x:f>
        <x:v>0</x:v>
      </x:c>
      <x:c r="AB773" s="10" t="n">
        <x:f>F773/1</x:f>
        <x:v>810.6643968749999</x:v>
      </x:c>
      <x:c r="AC773" s="10" t="n">
        <x:f>AB773/'Assumptions'!$AM$155</x:f>
        <x:v>16213.287937499996</x:v>
      </x:c>
      <x:c r="AD773" s="10" t="n">
        <x:f>IF(AB773=0,0,T773/AB773)</x:f>
        <x:v>0.34998634475888035</x:v>
      </x:c>
      <x:c r="AE773" s="10" t="n">
        <x:f>AA773*'Assumptions'!$D$21</x:f>
        <x:v>0</x:v>
      </x:c>
    </x:row>
    <x:row r="774" ht="16" customHeight="1">
      <x:c r="A774" s="1"/>
      <x:c r="B774" s="1"/>
      <x:c r="C774" s="1" t="str">
        <x:v>DOT-127</x:v>
      </x:c>
      <x:c r="D774" s="10" t="str">
        <x:v>Learn Anglais</x:v>
      </x:c>
      <x:c r="E774" s="10" t="n">
        <x:v>6</x:v>
      </x:c>
      <x:c r="F774" s="21" t="n">
        <x:f>F646*(1+'Assumptions'!$M$156)</x:f>
        <x:v>192.22272</x:v>
      </x:c>
      <x:c r="G774" s="21" t="n">
        <x:f>H646*'Assumptions'!$K$156</x:f>
        <x:v>315.04094999999995</x:v>
      </x:c>
      <x:c r="H774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774+G774,NA())</x:f>
        <x:v>507.26366999999993</x:v>
      </x:c>
      <x:c r="I774" s="22" t="n">
        <x:f>'Assumptions'!$H$156*IF('Assumptions'!$O$156=1,1,'Assumptions'!$D$10)*(1+'Assumptions'!$N$156)^(6-1)</x:f>
        <x:v>26.4979392768</x:v>
      </x:c>
      <x:c r="J774" s="10" t="n">
        <x:f>H774*I774</x:f>
        <x:v>13441.441924986711</x:v>
      </x:c>
      <x:c r="K774" s="10" t="n">
        <x:f>J774*'Assumptions'!$T$156</x:f>
        <x:v>4480.480641662237</x:v>
      </x:c>
      <x:c r="L774" s="10" t="n">
        <x:f>K774*'Assumptions'!$U$156</x:f>
        <x:v>134.4144192498671</x:v>
      </x:c>
      <x:c r="M774" s="10" t="n">
        <x:f>K774*'Assumptions'!$V$156</x:f>
        <x:v>0</x:v>
      </x:c>
      <x:c r="N774" s="10" t="n">
        <x:f>K774-L774-M774</x:f>
        <x:v>4346.06622241237</x:v>
      </x:c>
      <x:c r="O774" s="10" t="n">
        <x:f>H774*'Assumptions'!$P$156*'Assumptions'!$Q$156*'Assumptions'!$D$11*(1+'Assumptions'!$D$13)^(6-1)</x:f>
        <x:v>2058.2016751284473</x:v>
      </x:c>
      <x:c r="P774" s="10" t="n">
        <x:f>H774*'Assumptions'!$R$156*'Assumptions'!$D$11*(1+'Assumptions'!$D$13)^(6-1)</x:f>
        <x:v>0</x:v>
      </x:c>
      <x:c r="Q774" s="10" t="n">
        <x:f>J774*'Assumptions'!$S$156</x:f>
        <x:v>0</x:v>
      </x:c>
      <x:c r="R774" s="10" t="n">
        <x:f>H774*'Assumptions'!$Y$156*'Assumptions'!$Z$156*'Assumptions'!$D$11*(1+'Assumptions'!$D$13)^(6-1)</x:f>
        <x:v>2646.2592965937174</x:v>
      </x:c>
      <x:c r="S774" s="10" t="n">
        <x:f>IF(I774=0,0,J774*'Assumptions'!$W$156+H774*'Assumptions'!$X$156)</x:f>
        <x:v>541.9809168246146</x:v>
      </x:c>
      <x:c r="T774" s="10" t="n">
        <x:f>N774*'Assumptions'!$AA$156</x:f>
        <x:v>217.3033111206185</x:v>
      </x:c>
      <x:c r="U774" s="10" t="n">
        <x:f>'Assumptions'!$AE$156*'Assumptions'!$D$11*(1+'Assumptions'!$D$13)^(6-1)</x:f>
        <x:v>0</x:v>
      </x:c>
      <x:c r="V774" s="10" t="n">
        <x:f>0</x:f>
        <x:v>0</x:v>
      </x:c>
      <x:c r="W774" s="10" t="n">
        <x:f>H774*('Assumptions'!$P$156+'Assumptions'!$Y$156)</x:f>
        <x:v>126.81591749999998</x:v>
      </x:c>
      <x:c r="X774" s="10" t="n">
        <x:f>N774/12*'Assumptions'!$AF$156</x:f>
        <x:v>0</x:v>
      </x:c>
      <x:c r="Y774" s="10" t="n">
        <x:f>P774/12</x:f>
        <x:v>0</x:v>
      </x:c>
      <x:c r="Z774" s="10" t="n">
        <x:f>0</x:f>
        <x:v>0</x:v>
      </x:c>
      <x:c r="AA774" s="10" t="n">
        <x:f>Z774*'Assumptions'!$AC$156*'Assumptions'!$D$11*(1+'Assumptions'!$D$13)^(6-1)</x:f>
        <x:v>0</x:v>
      </x:c>
      <x:c r="AB774" s="10" t="n">
        <x:f>F774/1</x:f>
        <x:v>192.22272</x:v>
      </x:c>
      <x:c r="AC774" s="10" t="n">
        <x:f>AB774/'Assumptions'!$AM$156</x:f>
        <x:v>3844.4544</x:v>
      </x:c>
      <x:c r="AD774" s="10" t="n">
        <x:f>IF(AB774=0,0,T774/AB774)</x:f>
        <x:v>1.1304767257513497</x:v>
      </x:c>
      <x:c r="AE774" s="10" t="n">
        <x:f>AA774*'Assumptions'!$D$21</x:f>
        <x:v>0</x:v>
      </x:c>
    </x:row>
    <x:row r="775" ht="16" customHeight="1">
      <x:c r="A775" s="1"/>
      <x:c r="B775" s="1"/>
      <x:c r="C775" s="1" t="str">
        <x:v>DOT-128</x:v>
      </x:c>
      <x:c r="D775" s="10" t="str">
        <x:v>Learn Anglais</x:v>
      </x:c>
      <x:c r="E775" s="10" t="n">
        <x:v>6</x:v>
      </x:c>
      <x:c r="F775" s="21" t="n">
        <x:f>F647*(1+'Assumptions'!$M$157)</x:f>
        <x:v>76.88908800000002</x:v>
      </x:c>
      <x:c r="G775" s="21" t="n">
        <x:f>H647*'Assumptions'!$K$157</x:f>
        <x:v>126.01637999999998</x:v>
      </x:c>
      <x:c r="H775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775+G775,NA())</x:f>
        <x:v>202.90546799999998</x:v>
      </x:c>
      <x:c r="I775" s="22" t="n">
        <x:f>'Assumptions'!$H$157*IF('Assumptions'!$O$157=1,1,'Assumptions'!$D$10)*(1+'Assumptions'!$N$157)^(6-1)</x:f>
        <x:v>182.173332528</x:v>
      </x:c>
      <x:c r="J775" s="10" t="n">
        <x:f>H775*I775</x:f>
        <x:v>36963.96529371346</x:v>
      </x:c>
      <x:c r="K775" s="10" t="n">
        <x:f>J775*'Assumptions'!$T$157</x:f>
        <x:v>11089.189588114037</x:v>
      </x:c>
      <x:c r="L775" s="10" t="n">
        <x:f>K775*'Assumptions'!$U$157</x:f>
        <x:v>332.6756876434211</x:v>
      </x:c>
      <x:c r="M775" s="10" t="n">
        <x:f>K775*'Assumptions'!$V$157</x:f>
        <x:v>0</x:v>
      </x:c>
      <x:c r="N775" s="10" t="n">
        <x:f>K775-L775-M775</x:f>
        <x:v>10756.513900470616</x:v>
      </x:c>
      <x:c r="O775" s="10" t="n">
        <x:f>H775*'Assumptions'!$P$157*'Assumptions'!$Q$157*'Assumptions'!$D$11*(1+'Assumptions'!$D$13)^(6-1)</x:f>
        <x:v>823.2806700513792</x:v>
      </x:c>
      <x:c r="P775" s="10" t="n">
        <x:f>H775*'Assumptions'!$R$157*'Assumptions'!$D$11*(1+'Assumptions'!$D$13)^(6-1)</x:f>
        <x:v>0</x:v>
      </x:c>
      <x:c r="Q775" s="10" t="n">
        <x:f>J775*'Assumptions'!$S$157</x:f>
        <x:v>0</x:v>
      </x:c>
      <x:c r="R775" s="10" t="n">
        <x:f>H775*'Assumptions'!$Y$157*'Assumptions'!$Z$157*'Assumptions'!$D$11*(1+'Assumptions'!$D$13)^(6-1)</x:f>
        <x:v>1058.5037186374873</x:v>
      </x:c>
      <x:c r="S775" s="10" t="n">
        <x:f>IF(I775=0,0,J775*'Assumptions'!$W$157+H775*'Assumptions'!$X$157)</x:f>
        <x:v>1132.8266339176903</x:v>
      </x:c>
      <x:c r="T775" s="10" t="n">
        <x:f>N775*'Assumptions'!$AA$157</x:f>
        <x:v>537.8256950235308</x:v>
      </x:c>
      <x:c r="U775" s="10" t="n">
        <x:f>'Assumptions'!$AE$157*'Assumptions'!$D$11*(1+'Assumptions'!$D$13)^(6-1)</x:f>
        <x:v>0</x:v>
      </x:c>
      <x:c r="V775" s="10" t="n">
        <x:f>0</x:f>
        <x:v>0</x:v>
      </x:c>
      <x:c r="W775" s="10" t="n">
        <x:f>H775*('Assumptions'!$P$157+'Assumptions'!$Y$157)</x:f>
        <x:v>50.726366999999996</x:v>
      </x:c>
      <x:c r="X775" s="10" t="n">
        <x:f>N775/12*'Assumptions'!$AF$157</x:f>
        <x:v>0</x:v>
      </x:c>
      <x:c r="Y775" s="10" t="n">
        <x:f>P775/12</x:f>
        <x:v>0</x:v>
      </x:c>
      <x:c r="Z775" s="10" t="n">
        <x:f>0</x:f>
        <x:v>0</x:v>
      </x:c>
      <x:c r="AA775" s="10" t="n">
        <x:f>Z775*'Assumptions'!$AC$157*'Assumptions'!$D$11*(1+'Assumptions'!$D$13)^(6-1)</x:f>
        <x:v>0</x:v>
      </x:c>
      <x:c r="AB775" s="10" t="n">
        <x:f>F775/1</x:f>
        <x:v>76.88908800000002</x:v>
      </x:c>
      <x:c r="AC775" s="10" t="n">
        <x:f>AB775/'Assumptions'!$AM$157</x:f>
        <x:v>1537.7817600000003</x:v>
      </x:c>
      <x:c r="AD775" s="10" t="n">
        <x:f>IF(AB775=0,0,T775/AB775)</x:f>
        <x:v>6.994824740586475</x:v>
      </x:c>
      <x:c r="AE775" s="10" t="n">
        <x:f>AA775*'Assumptions'!$D$21</x:f>
        <x:v>0</x:v>
      </x:c>
    </x:row>
    <x:row r="776" ht="16" customHeight="1">
      <x:c r="A776" s="1"/>
      <x:c r="B776" s="1"/>
      <x:c r="C776" s="1" t="str">
        <x:v>DOT-001</x:v>
      </x:c>
      <x:c r="D776" s="10" t="str">
        <x:v>ETV courses</x:v>
      </x:c>
      <x:c r="E776" s="10" t="n">
        <x:v>7</x:v>
      </x:c>
      <x:c r="F776" s="21" t="n">
        <x:f>F648*(1+'Assumptions'!$M$30)</x:f>
        <x:v>333.9937315124999</x:v>
      </x:c>
      <x:c r="G776" s="21" t="n">
        <x:f>H648*'Assumptions'!$K$30</x:f>
        <x:v>106.21084593749995</x:v>
      </x:c>
      <x:c r="H776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776+G776,NA())</x:f>
        <x:v>440.2045774499999</x:v>
      </x:c>
      <x:c r="I776" s="22" t="n">
        <x:f>'Assumptions'!$H$30*IF('Assumptions'!$O$30=1,1,'Assumptions'!$D$10)*(1+'Assumptions'!$N$30)^(7-1)</x:f>
        <x:v>29</x:v>
      </x:c>
      <x:c r="J776" s="10" t="n">
        <x:f>H776*I776</x:f>
        <x:v>12765.932746049997</x:v>
      </x:c>
      <x:c r="K776" s="10" t="n">
        <x:f>J776*'Assumptions'!$T$30</x:f>
        <x:v>12765.932746049997</x:v>
      </x:c>
      <x:c r="L776" s="10" t="n">
        <x:f>K776*'Assumptions'!$U$30</x:f>
        <x:v>382.9779823814999</x:v>
      </x:c>
      <x:c r="M776" s="10" t="n">
        <x:f>K776*'Assumptions'!$V$30</x:f>
        <x:v>0</x:v>
      </x:c>
      <x:c r="N776" s="10" t="n">
        <x:f>K776-L776-M776</x:f>
        <x:v>12382.954763668497</x:v>
      </x:c>
      <x:c r="O776" s="10" t="n">
        <x:f>H776*'Assumptions'!$P$30*'Assumptions'!$Q$30*'Assumptions'!$D$11*(1+'Assumptions'!$D$13)^(7-1)</x:f>
        <x:v>2759.54325489544</x:v>
      </x:c>
      <x:c r="P776" s="10" t="n">
        <x:f>H776*'Assumptions'!$R$30*'Assumptions'!$D$11*(1+'Assumptions'!$D$13)^(7-1)</x:f>
        <x:v>0</x:v>
      </x:c>
      <x:c r="Q776" s="10" t="n">
        <x:f>J776*'Assumptions'!$S$30</x:f>
        <x:v>0</x:v>
      </x:c>
      <x:c r="R776" s="10" t="n">
        <x:f>H776*'Assumptions'!$Y$30*'Assumptions'!$Z$30*'Assumptions'!$D$11*(1+'Assumptions'!$D$13)^(7-1)</x:f>
        <x:v>1576.8818599402516</x:v>
      </x:c>
      <x:c r="S776" s="10" t="n">
        <x:f>IF(I776=0,0,J776*'Assumptions'!$W$30+H776*'Assumptions'!$X$30)</x:f>
        <x:v>502.2734228704499</x:v>
      </x:c>
      <x:c r="T776" s="10" t="n">
        <x:f>N776*'Assumptions'!$AA$30</x:f>
        <x:v>619.1477381834248</x:v>
      </x:c>
      <x:c r="U776" s="10" t="n">
        <x:f>'Assumptions'!$AE$30*'Assumptions'!$D$11*(1+'Assumptions'!$D$13)^(7-1)</x:f>
        <x:v>0</x:v>
      </x:c>
      <x:c r="V776" s="10" t="n">
        <x:f>0</x:f>
        <x:v>0</x:v>
      </x:c>
      <x:c r="W776" s="10" t="n">
        <x:f>H776*('Assumptions'!$P$30+'Assumptions'!$Y$30)</x:f>
        <x:v>110.05114436249997</x:v>
      </x:c>
      <x:c r="X776" s="10" t="n">
        <x:f>N776/12*'Assumptions'!$AF$30</x:f>
        <x:v>0</x:v>
      </x:c>
      <x:c r="Y776" s="10" t="n">
        <x:f>P776/12</x:f>
        <x:v>0</x:v>
      </x:c>
      <x:c r="Z776" s="10" t="n">
        <x:f>0</x:f>
        <x:v>0</x:v>
      </x:c>
      <x:c r="AA776" s="10" t="n">
        <x:f>Z776*'Assumptions'!$AC$30*'Assumptions'!$D$11*(1+'Assumptions'!$D$13)^(7-1)</x:f>
        <x:v>0</x:v>
      </x:c>
      <x:c r="AB776" s="10" t="n">
        <x:f>F776/1</x:f>
        <x:v>333.9937315124999</x:v>
      </x:c>
      <x:c r="AC776" s="10" t="n">
        <x:f>AB776/'Assumptions'!$AM$30</x:f>
        <x:v>6679.874630249998</x:v>
      </x:c>
      <x:c r="AD776" s="10" t="n">
        <x:f>IF(AB776=0,0,T776/AB776)</x:f>
        <x:v>1.853770534493558</x:v>
      </x:c>
      <x:c r="AE776" s="10" t="n">
        <x:f>AA776*'Assumptions'!$D$21</x:f>
        <x:v>0</x:v>
      </x:c>
    </x:row>
    <x:row r="777" ht="16" customHeight="1">
      <x:c r="A777" s="1"/>
      <x:c r="B777" s="1"/>
      <x:c r="C777" s="1" t="str">
        <x:v>DOT-002</x:v>
      </x:c>
      <x:c r="D777" s="10" t="str">
        <x:v>ETV courses</x:v>
      </x:c>
      <x:c r="E777" s="10" t="n">
        <x:v>7</x:v>
      </x:c>
      <x:c r="F777" s="21" t="n">
        <x:f>F649*(1+'Assumptions'!$M$31)</x:f>
        <x:v>528.8234082281249</x:v>
      </x:c>
      <x:c r="G777" s="21" t="n">
        <x:f>H649*'Assumptions'!$K$31</x:f>
        <x:v>168.16717273437496</x:v>
      </x:c>
      <x:c r="H777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777+G777,NA())</x:f>
        <x:v>696.9905809624998</x:v>
      </x:c>
      <x:c r="I777" s="22" t="n">
        <x:f>'Assumptions'!$H$31*IF('Assumptions'!$O$31=1,1,'Assumptions'!$D$10)*(1+'Assumptions'!$N$31)^(7-1)</x:f>
        <x:v>43.920334351296006</x:v>
      </x:c>
      <x:c r="J777" s="10" t="n">
        <x:f>H777*I777</x:f>
        <x:v>30612.059355577043</x:v>
      </x:c>
      <x:c r="K777" s="10" t="n">
        <x:f>J777*'Assumptions'!$T$31</x:f>
        <x:v>30612.059355577043</x:v>
      </x:c>
      <x:c r="L777" s="10" t="n">
        <x:f>K777*'Assumptions'!$U$31</x:f>
        <x:v>918.3617806673112</x:v>
      </x:c>
      <x:c r="M777" s="10" t="n">
        <x:f>K777*'Assumptions'!$V$31</x:f>
        <x:v>0</x:v>
      </x:c>
      <x:c r="N777" s="10" t="n">
        <x:f>K777-L777-M777</x:f>
        <x:v>29693.697574909733</x:v>
      </x:c>
      <x:c r="O777" s="10" t="n">
        <x:f>H777*'Assumptions'!$P$31*'Assumptions'!$Q$31*'Assumptions'!$D$11*(1+'Assumptions'!$D$13)^(7-1)</x:f>
        <x:v>4369.276820251113</x:v>
      </x:c>
      <x:c r="P777" s="10" t="n">
        <x:f>H777*'Assumptions'!$R$31*'Assumptions'!$D$11*(1+'Assumptions'!$D$13)^(7-1)</x:f>
        <x:v>0</x:v>
      </x:c>
      <x:c r="Q777" s="10" t="n">
        <x:f>J777*'Assumptions'!$S$31</x:f>
        <x:v>0</x:v>
      </x:c>
      <x:c r="R777" s="10" t="n">
        <x:f>H777*'Assumptions'!$Y$31*'Assumptions'!$Z$31*'Assumptions'!$D$11*(1+'Assumptions'!$D$13)^(7-1)</x:f>
        <x:v>2496.729611572065</x:v>
      </x:c>
      <x:c r="S777" s="10" t="n">
        <x:f>IF(I777=0,0,J777*'Assumptions'!$W$31+H777*'Assumptions'!$X$31)</x:f>
        <x:v>1096.8468956004842</x:v>
      </x:c>
      <x:c r="T777" s="10" t="n">
        <x:f>N777*'Assumptions'!$AA$31</x:f>
        <x:v>1484.6848787454867</x:v>
      </x:c>
      <x:c r="U777" s="10" t="n">
        <x:f>'Assumptions'!$AE$31*'Assumptions'!$D$11*(1+'Assumptions'!$D$13)^(7-1)</x:f>
        <x:v>0</x:v>
      </x:c>
      <x:c r="V777" s="10" t="n">
        <x:f>0</x:f>
        <x:v>0</x:v>
      </x:c>
      <x:c r="W777" s="10" t="n">
        <x:f>H777*('Assumptions'!$P$31+'Assumptions'!$Y$31)</x:f>
        <x:v>174.24764524062496</x:v>
      </x:c>
      <x:c r="X777" s="10" t="n">
        <x:f>N777/12*'Assumptions'!$AF$31</x:f>
        <x:v>0</x:v>
      </x:c>
      <x:c r="Y777" s="10" t="n">
        <x:f>P777/12</x:f>
        <x:v>0</x:v>
      </x:c>
      <x:c r="Z777" s="10" t="n">
        <x:f>0</x:f>
        <x:v>0</x:v>
      </x:c>
      <x:c r="AA777" s="10" t="n">
        <x:f>Z777*'Assumptions'!$AC$31*'Assumptions'!$D$11*(1+'Assumptions'!$D$13)^(7-1)</x:f>
        <x:v>0</x:v>
      </x:c>
      <x:c r="AB777" s="10" t="n">
        <x:f>F777/1</x:f>
        <x:v>528.8234082281249</x:v>
      </x:c>
      <x:c r="AC777" s="10" t="n">
        <x:f>AB777/'Assumptions'!$AM$31</x:f>
        <x:v>10576.468164562497</x:v>
      </x:c>
      <x:c r="AD777" s="10" t="n">
        <x:f>IF(AB777=0,0,T777/AB777)</x:f>
        <x:v>2.807524885708199</x:v>
      </x:c>
      <x:c r="AE777" s="10" t="n">
        <x:f>AA777*'Assumptions'!$D$21</x:f>
        <x:v>0</x:v>
      </x:c>
    </x:row>
    <x:row r="778" ht="16" customHeight="1">
      <x:c r="A778" s="1"/>
      <x:c r="B778" s="1"/>
      <x:c r="C778" s="1" t="str">
        <x:v>DOT-003</x:v>
      </x:c>
      <x:c r="D778" s="10" t="str">
        <x:v>ETV services</x:v>
      </x:c>
      <x:c r="E778" s="10" t="n">
        <x:v>7</x:v>
      </x:c>
      <x:c r="F778" s="21" t="n">
        <x:f>F650*(1+'Assumptions'!$M$32)</x:f>
        <x:v>9.319582140000003</x:v>
      </x:c>
      <x:c r="G778" s="21" t="n">
        <x:f>H650*'Assumptions'!$K$32</x:f>
        <x:v>8.565969000000003</x:v>
      </x:c>
      <x:c r="H778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778+G778,NA())</x:f>
        <x:v>17.885551140000004</x:v>
      </x:c>
      <x:c r="I778" s="22" t="n">
        <x:f>'Assumptions'!$H$32*IF('Assumptions'!$O$32=1,1,'Assumptions'!$D$10)*(1+'Assumptions'!$N$32)^(7-1)</x:f>
        <x:v>1970.784233712</x:v>
      </x:c>
      <x:c r="J778" s="10" t="n">
        <x:f>H778*I778</x:f>
        <x:v>35248.5621979617</x:v>
      </x:c>
      <x:c r="K778" s="10" t="n">
        <x:f>J778*'Assumptions'!$T$32</x:f>
        <x:v>35248.5621979617</x:v>
      </x:c>
      <x:c r="L778" s="10" t="n">
        <x:f>K778*'Assumptions'!$U$32</x:f>
        <x:v>1057.456865938851</x:v>
      </x:c>
      <x:c r="M778" s="10" t="n">
        <x:f>K778*'Assumptions'!$V$32</x:f>
        <x:v>0</x:v>
      </x:c>
      <x:c r="N778" s="10" t="n">
        <x:f>K778-L778-M778</x:f>
        <x:v>34191.105332022846</x:v>
      </x:c>
      <x:c r="O778" s="10" t="n">
        <x:f>H778*'Assumptions'!$P$32*'Assumptions'!$Q$32*'Assumptions'!$D$11*(1+'Assumptions'!$D$13)^(7-1)</x:f>
        <x:v>19220.655072063495</x:v>
      </x:c>
      <x:c r="P778" s="10" t="n">
        <x:f>H778*'Assumptions'!$R$32*'Assumptions'!$D$11*(1+'Assumptions'!$D$13)^(7-1)</x:f>
        <x:v>533.907085335097</x:v>
      </x:c>
      <x:c r="Q778" s="10" t="n">
        <x:f>J778*'Assumptions'!$S$32</x:f>
        <x:v>0</x:v>
      </x:c>
      <x:c r="R778" s="10" t="n">
        <x:f>H778*'Assumptions'!$Y$32*'Assumptions'!$Z$32*'Assumptions'!$D$11*(1+'Assumptions'!$D$13)^(7-1)</x:f>
        <x:v>160.1721256005291</x:v>
      </x:c>
      <x:c r="S778" s="10" t="n">
        <x:f>IF(I778=0,0,J778*'Assumptions'!$W$32+H778*'Assumptions'!$X$32)</x:f>
        <x:v>1027.5739690828893</x:v>
      </x:c>
      <x:c r="T778" s="10" t="n">
        <x:f>N778*'Assumptions'!$AA$32</x:f>
        <x:v>1367.6442132809138</x:v>
      </x:c>
      <x:c r="U778" s="10" t="n">
        <x:f>'Assumptions'!$AE$32*'Assumptions'!$D$11*(1+'Assumptions'!$D$13)^(7-1)</x:f>
        <x:v>0</x:v>
      </x:c>
      <x:c r="V778" s="10" t="n">
        <x:f>0</x:f>
        <x:v>0</x:v>
      </x:c>
      <x:c r="W778" s="10" t="n">
        <x:f>H778*('Assumptions'!$P$32+'Assumptions'!$Y$32)</x:f>
        <x:v>362.18241058500007</x:v>
      </x:c>
      <x:c r="X778" s="10" t="n">
        <x:f>N778/12*'Assumptions'!$AF$32</x:f>
        <x:v>2849.2587776685705</x:v>
      </x:c>
      <x:c r="Y778" s="10" t="n">
        <x:f>P778/12</x:f>
        <x:v>44.492257111258084</x:v>
      </x:c>
      <x:c r="Z778" s="10" t="n">
        <x:f>0</x:f>
        <x:v>0</x:v>
      </x:c>
      <x:c r="AA778" s="10" t="n">
        <x:f>Z778*'Assumptions'!$AC$32*'Assumptions'!$D$11*(1+'Assumptions'!$D$13)^(7-1)</x:f>
        <x:v>0</x:v>
      </x:c>
      <x:c r="AB778" s="10" t="n">
        <x:f>F778/1</x:f>
        <x:v>9.319582140000003</x:v>
      </x:c>
      <x:c r="AC778" s="10" t="n">
        <x:f>AB778/'Assumptions'!$AM$32</x:f>
        <x:v>46.597910700000014</x:v>
      </x:c>
      <x:c r="AD778" s="10" t="n">
        <x:f>IF(AB778=0,0,T778/AB778)</x:f>
        <x:v>146.7495208192793</x:v>
      </x:c>
      <x:c r="AE778" s="10" t="n">
        <x:f>AA778*'Assumptions'!$D$21</x:f>
        <x:v>0</x:v>
      </x:c>
    </x:row>
    <x:row r="779" ht="16" customHeight="1">
      <x:c r="A779" s="1"/>
      <x:c r="B779" s="1"/>
      <x:c r="C779" s="1" t="str">
        <x:v>DOT-004</x:v>
      </x:c>
      <x:c r="D779" s="10" t="str">
        <x:v>ETV services</x:v>
      </x:c>
      <x:c r="E779" s="10" t="n">
        <x:v>7</x:v>
      </x:c>
      <x:c r="F779" s="21" t="n">
        <x:f>F651*(1+'Assumptions'!$M$33)</x:f>
        <x:v>6.213054760000003</x:v>
      </x:c>
      <x:c r="G779" s="21" t="n">
        <x:f>H651*'Assumptions'!$K$33</x:f>
        <x:v>5.710646000000002</x:v>
      </x:c>
      <x:c r="H779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779+G779,NA())</x:f>
        <x:v>11.923700760000006</x:v>
      </x:c>
      <x:c r="I779" s="22" t="n">
        <x:f>'Assumptions'!$H$33*IF('Assumptions'!$O$33=1,1,'Assumptions'!$D$10)*(1+'Assumptions'!$N$33)^(7-1)</x:f>
        <x:v>2815.40604816</x:v>
      </x:c>
      <x:c r="J779" s="10" t="n">
        <x:f>H779*I779</x:f>
        <x:v>33570.059236154004</x:v>
      </x:c>
      <x:c r="K779" s="10" t="n">
        <x:f>J779*'Assumptions'!$T$33</x:f>
        <x:v>33570.059236154004</x:v>
      </x:c>
      <x:c r="L779" s="10" t="n">
        <x:f>K779*'Assumptions'!$U$33</x:f>
        <x:v>1007.10177708462</x:v>
      </x:c>
      <x:c r="M779" s="10" t="n">
        <x:f>K779*'Assumptions'!$V$33</x:f>
        <x:v>0</x:v>
      </x:c>
      <x:c r="N779" s="10" t="n">
        <x:f>K779-L779-M779</x:f>
        <x:v>32562.957459069385</x:v>
      </x:c>
      <x:c r="O779" s="10" t="n">
        <x:f>H779*'Assumptions'!$P$33*'Assumptions'!$Q$33*'Assumptions'!$D$11*(1+'Assumptions'!$D$13)^(7-1)</x:f>
        <x:v>19220.6550720635</x:v>
      </x:c>
      <x:c r="P779" s="10" t="n">
        <x:f>H779*'Assumptions'!$R$33*'Assumptions'!$D$11*(1+'Assumptions'!$D$13)^(7-1)</x:f>
        <x:v>355.9380568900648</x:v>
      </x:c>
      <x:c r="Q779" s="10" t="n">
        <x:f>J779*'Assumptions'!$S$33</x:f>
        <x:v>0</x:v>
      </x:c>
      <x:c r="R779" s="10" t="n">
        <x:f>H779*'Assumptions'!$Y$33*'Assumptions'!$Z$33*'Assumptions'!$D$11*(1+'Assumptions'!$D$13)^(7-1)</x:f>
        <x:v>106.78141706701943</x:v>
      </x:c>
      <x:c r="S779" s="10" t="n">
        <x:f>IF(I779=0,0,J779*'Assumptions'!$W$33+H779*'Assumptions'!$X$33)</x:f>
        <x:v>977.1088280764662</x:v>
      </x:c>
      <x:c r="T779" s="10" t="n">
        <x:f>N779*'Assumptions'!$AA$33</x:f>
        <x:v>1302.5182983627753</x:v>
      </x:c>
      <x:c r="U779" s="10" t="n">
        <x:f>'Assumptions'!$AE$33*'Assumptions'!$D$11*(1+'Assumptions'!$D$13)^(7-1)</x:f>
        <x:v>0</x:v>
      </x:c>
      <x:c r="V779" s="10" t="n">
        <x:f>0</x:f>
        <x:v>0</x:v>
      </x:c>
      <x:c r="W779" s="10" t="n">
        <x:f>H779*('Assumptions'!$P$33+'Assumptions'!$Y$33)</x:f>
        <x:v>360.6919479900002</x:v>
      </x:c>
      <x:c r="X779" s="10" t="n">
        <x:f>N779/12*'Assumptions'!$AF$33</x:f>
        <x:v>2713.579788255782</x:v>
      </x:c>
      <x:c r="Y779" s="10" t="n">
        <x:f>P779/12</x:f>
        <x:v>29.661504740838733</x:v>
      </x:c>
      <x:c r="Z779" s="10" t="n">
        <x:f>0</x:f>
        <x:v>0</x:v>
      </x:c>
      <x:c r="AA779" s="10" t="n">
        <x:f>Z779*'Assumptions'!$AC$33*'Assumptions'!$D$11*(1+'Assumptions'!$D$13)^(7-1)</x:f>
        <x:v>0</x:v>
      </x:c>
      <x:c r="AB779" s="10" t="n">
        <x:f>F779/1</x:f>
        <x:v>6.213054760000003</x:v>
      </x:c>
      <x:c r="AC779" s="10" t="n">
        <x:f>AB779/'Assumptions'!$AM$33</x:f>
        <x:v>31.065273800000014</x:v>
      </x:c>
      <x:c r="AD779" s="10" t="n">
        <x:f>IF(AB779=0,0,T779/AB779)</x:f>
        <x:v>209.6421725989704</x:v>
      </x:c>
      <x:c r="AE779" s="10" t="n">
        <x:f>AA779*'Assumptions'!$D$21</x:f>
        <x:v>0</x:v>
      </x:c>
    </x:row>
    <x:row r="780" ht="16" customHeight="1">
      <x:c r="A780" s="1"/>
      <x:c r="B780" s="1"/>
      <x:c r="C780" s="1" t="str">
        <x:v>DOT-005</x:v>
      </x:c>
      <x:c r="D780" s="10" t="str">
        <x:v>ETV services</x:v>
      </x:c>
      <x:c r="E780" s="10" t="n">
        <x:v>7</x:v>
      </x:c>
      <x:c r="F780" s="21" t="n">
        <x:f>F652*(1+'Assumptions'!$M$34)</x:f>
        <x:v>6.213054760000003</x:v>
      </x:c>
      <x:c r="G780" s="21" t="n">
        <x:f>H652*'Assumptions'!$K$34</x:f>
        <x:v>5.710646000000002</x:v>
      </x:c>
      <x:c r="H780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780+G780,NA())</x:f>
        <x:v>11.923700760000006</x:v>
      </x:c>
      <x:c r="I780" s="22" t="n">
        <x:f>'Assumptions'!$H$34*IF('Assumptions'!$O$34=1,1,'Assumptions'!$D$10)*(1+'Assumptions'!$N$34)^(7-1)</x:f>
        <x:v>1689.243628896</x:v>
      </x:c>
      <x:c r="J780" s="10" t="n">
        <x:f>H780*I780</x:f>
        <x:v>20142.035541692403</x:v>
      </x:c>
      <x:c r="K780" s="10" t="n">
        <x:f>J780*'Assumptions'!$T$34</x:f>
        <x:v>20142.035541692403</x:v>
      </x:c>
      <x:c r="L780" s="10" t="n">
        <x:f>K780*'Assumptions'!$U$34</x:f>
        <x:v>604.261066250772</x:v>
      </x:c>
      <x:c r="M780" s="10" t="n">
        <x:f>K780*'Assumptions'!$V$34</x:f>
        <x:v>0</x:v>
      </x:c>
      <x:c r="N780" s="10" t="n">
        <x:f>K780-L780-M780</x:f>
        <x:v>19537.77447544163</x:v>
      </x:c>
      <x:c r="O780" s="10" t="n">
        <x:f>H780*'Assumptions'!$P$34*'Assumptions'!$Q$34*'Assumptions'!$D$11*(1+'Assumptions'!$D$13)^(7-1)</x:f>
        <x:v>11532.3930432381</x:v>
      </x:c>
      <x:c r="P780" s="10" t="n">
        <x:f>H780*'Assumptions'!$R$34*'Assumptions'!$D$11*(1+'Assumptions'!$D$13)^(7-1)</x:f>
        <x:v>355.9380568900648</x:v>
      </x:c>
      <x:c r="Q780" s="10" t="n">
        <x:f>J780*'Assumptions'!$S$34</x:f>
        <x:v>0</x:v>
      </x:c>
      <x:c r="R780" s="10" t="n">
        <x:f>H780*'Assumptions'!$Y$34*'Assumptions'!$Z$34*'Assumptions'!$D$11*(1+'Assumptions'!$D$13)^(7-1)</x:f>
        <x:v>106.78141706701943</x:v>
      </x:c>
      <x:c r="S780" s="10" t="n">
        <x:f>IF(I780=0,0,J780*'Assumptions'!$W$34+H780*'Assumptions'!$X$34)</x:f>
        <x:v>587.6961409370798</x:v>
      </x:c>
      <x:c r="T780" s="10" t="n">
        <x:f>N780*'Assumptions'!$AA$34</x:f>
        <x:v>781.5109790176652</x:v>
      </x:c>
      <x:c r="U780" s="10" t="n">
        <x:f>'Assumptions'!$AE$34*'Assumptions'!$D$11*(1+'Assumptions'!$D$13)^(7-1)</x:f>
        <x:v>0</x:v>
      </x:c>
      <x:c r="V780" s="10" t="n">
        <x:f>0</x:f>
        <x:v>0</x:v>
      </x:c>
      <x:c r="W780" s="10" t="n">
        <x:f>H780*('Assumptions'!$P$34+'Assumptions'!$Y$34)</x:f>
        <x:v>217.60753887000013</x:v>
      </x:c>
      <x:c r="X780" s="10" t="n">
        <x:f>N780/12*'Assumptions'!$AF$34</x:f>
        <x:v>1628.1478729534692</x:v>
      </x:c>
      <x:c r="Y780" s="10" t="n">
        <x:f>P780/12</x:f>
        <x:v>29.661504740838733</x:v>
      </x:c>
      <x:c r="Z780" s="10" t="n">
        <x:f>0</x:f>
        <x:v>0</x:v>
      </x:c>
      <x:c r="AA780" s="10" t="n">
        <x:f>Z780*'Assumptions'!$AC$34*'Assumptions'!$D$11*(1+'Assumptions'!$D$13)^(7-1)</x:f>
        <x:v>0</x:v>
      </x:c>
      <x:c r="AB780" s="10" t="n">
        <x:f>F780/1</x:f>
        <x:v>6.213054760000003</x:v>
      </x:c>
      <x:c r="AC780" s="10" t="n">
        <x:f>AB780/'Assumptions'!$AM$34</x:f>
        <x:v>31.065273800000014</x:v>
      </x:c>
      <x:c r="AD780" s="10" t="n">
        <x:f>IF(AB780=0,0,T780/AB780)</x:f>
        <x:v>125.78530355938226</x:v>
      </x:c>
      <x:c r="AE780" s="10" t="n">
        <x:f>AA780*'Assumptions'!$D$21</x:f>
        <x:v>0</x:v>
      </x:c>
    </x:row>
    <x:row r="781" ht="16" customHeight="1">
      <x:c r="A781" s="1"/>
      <x:c r="B781" s="1"/>
      <x:c r="C781" s="1" t="str">
        <x:v>DOT-006</x:v>
      </x:c>
      <x:c r="D781" s="10" t="str">
        <x:v>ETV services</x:v>
      </x:c>
      <x:c r="E781" s="10" t="n">
        <x:v>7</x:v>
      </x:c>
      <x:c r="F781" s="21" t="n">
        <x:f>F653*(1+'Assumptions'!$M$35)</x:f>
        <x:v>9.319582140000003</x:v>
      </x:c>
      <x:c r="G781" s="21" t="n">
        <x:f>H653*'Assumptions'!$K$35</x:f>
        <x:v>8.565969000000003</x:v>
      </x:c>
      <x:c r="H781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781+G781,NA())</x:f>
        <x:v>17.885551140000004</x:v>
      </x:c>
      <x:c r="I781" s="22" t="n">
        <x:f>'Assumptions'!$H$35*IF('Assumptions'!$O$35=1,1,'Assumptions'!$D$10)*(1+'Assumptions'!$N$35)^(7-1)</x:f>
        <x:v>844.621814448</x:v>
      </x:c>
      <x:c r="J781" s="10" t="n">
        <x:f>H781*I781</x:f>
        <x:v>15106.526656269298</x:v>
      </x:c>
      <x:c r="K781" s="10" t="n">
        <x:f>J781*'Assumptions'!$T$35</x:f>
        <x:v>15106.526656269298</x:v>
      </x:c>
      <x:c r="L781" s="10" t="n">
        <x:f>K781*'Assumptions'!$U$35</x:f>
        <x:v>453.1957996880789</x:v>
      </x:c>
      <x:c r="M781" s="10" t="n">
        <x:f>K781*'Assumptions'!$V$35</x:f>
        <x:v>0</x:v>
      </x:c>
      <x:c r="N781" s="10" t="n">
        <x:f>K781-L781-M781</x:f>
        <x:v>14653.330856581219</x:v>
      </x:c>
      <x:c r="O781" s="10" t="n">
        <x:f>H781*'Assumptions'!$P$35*'Assumptions'!$Q$35*'Assumptions'!$D$11*(1+'Assumptions'!$D$13)^(7-1)</x:f>
        <x:v>7688.2620288253975</x:v>
      </x:c>
      <x:c r="P781" s="10" t="n">
        <x:f>H781*'Assumptions'!$R$35*'Assumptions'!$D$11*(1+'Assumptions'!$D$13)^(7-1)</x:f>
        <x:v>533.907085335097</x:v>
      </x:c>
      <x:c r="Q781" s="10" t="n">
        <x:f>J781*'Assumptions'!$S$35</x:f>
        <x:v>0</x:v>
      </x:c>
      <x:c r="R781" s="10" t="n">
        <x:f>H781*'Assumptions'!$Y$35*'Assumptions'!$Z$35*'Assumptions'!$D$11*(1+'Assumptions'!$D$13)^(7-1)</x:f>
        <x:v>160.1721256005291</x:v>
      </x:c>
      <x:c r="S781" s="10" t="n">
        <x:f>IF(I781=0,0,J781*'Assumptions'!$W$35+H781*'Assumptions'!$X$35)</x:f>
        <x:v>443.4549383738097</x:v>
      </x:c>
      <x:c r="T781" s="10" t="n">
        <x:f>N781*'Assumptions'!$AA$35</x:f>
        <x:v>586.1332342632487</x:v>
      </x:c>
      <x:c r="U781" s="10" t="n">
        <x:f>'Assumptions'!$AE$35*'Assumptions'!$D$11*(1+'Assumptions'!$D$13)^(7-1)</x:f>
        <x:v>0</x:v>
      </x:c>
      <x:c r="V781" s="10" t="n">
        <x:f>0</x:f>
        <x:v>0</x:v>
      </x:c>
      <x:c r="W781" s="10" t="n">
        <x:f>H781*('Assumptions'!$P$35+'Assumptions'!$Y$35)</x:f>
        <x:v>147.55579690500002</x:v>
      </x:c>
      <x:c r="X781" s="10" t="n">
        <x:f>N781/12*'Assumptions'!$AF$35</x:f>
        <x:v>1221.1109047151015</x:v>
      </x:c>
      <x:c r="Y781" s="10" t="n">
        <x:f>P781/12</x:f>
        <x:v>44.492257111258084</x:v>
      </x:c>
      <x:c r="Z781" s="10" t="n">
        <x:f>0</x:f>
        <x:v>0</x:v>
      </x:c>
      <x:c r="AA781" s="10" t="n">
        <x:f>Z781*'Assumptions'!$AC$35*'Assumptions'!$D$11*(1+'Assumptions'!$D$13)^(7-1)</x:f>
        <x:v>0</x:v>
      </x:c>
      <x:c r="AB781" s="10" t="n">
        <x:f>F781/1</x:f>
        <x:v>9.319582140000003</x:v>
      </x:c>
      <x:c r="AC781" s="10" t="n">
        <x:f>AB781/'Assumptions'!$AM$35</x:f>
        <x:v>46.597910700000014</x:v>
      </x:c>
      <x:c r="AD781" s="10" t="n">
        <x:f>IF(AB781=0,0,T781/AB781)</x:f>
        <x:v>62.892651779691114</x:v>
      </x:c>
      <x:c r="AE781" s="10" t="n">
        <x:f>AA781*'Assumptions'!$D$21</x:f>
        <x:v>0</x:v>
      </x:c>
    </x:row>
    <x:row r="782" ht="16" customHeight="1">
      <x:c r="A782" s="1"/>
      <x:c r="B782" s="1"/>
      <x:c r="C782" s="1" t="str">
        <x:v>DOT-007</x:v>
      </x:c>
      <x:c r="D782" s="10" t="str">
        <x:v>BPA professional services</x:v>
      </x:c>
      <x:c r="E782" s="10" t="n">
        <x:v>7</x:v>
      </x:c>
      <x:c r="F782" s="21" t="n">
        <x:f>F654*(1+'Assumptions'!$M$36)</x:f>
        <x:v>37.27832856000001</x:v>
      </x:c>
      <x:c r="G782" s="21" t="n">
        <x:f>H654*'Assumptions'!$K$36</x:f>
        <x:v>34.07637600000001</x:v>
      </x:c>
      <x:c r="H782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782+G782,NA())</x:f>
        <x:v>71.35470456000002</x:v>
      </x:c>
      <x:c r="I782" s="22" t="n">
        <x:f>'Assumptions'!$H$36*IF('Assumptions'!$O$36=1,1,'Assumptions'!$D$10)*(1+'Assumptions'!$N$36)^(7-1)</x:f>
        <x:v>250</x:v>
      </x:c>
      <x:c r="J782" s="10" t="n">
        <x:f>H782*I782</x:f>
        <x:v>17838.676140000003</x:v>
      </x:c>
      <x:c r="K782" s="10" t="n">
        <x:f>J782*'Assumptions'!$T$36</x:f>
        <x:v>17838.676140000003</x:v>
      </x:c>
      <x:c r="L782" s="10" t="n">
        <x:f>K782*'Assumptions'!$U$36</x:f>
        <x:v>535.1602842000001</x:v>
      </x:c>
      <x:c r="M782" s="10" t="n">
        <x:f>K782*'Assumptions'!$V$36</x:f>
        <x:v>0</x:v>
      </x:c>
      <x:c r="N782" s="10" t="n">
        <x:f>K782-L782-M782</x:f>
        <x:v>17303.515855800004</x:v>
      </x:c>
      <x:c r="O782" s="10" t="n">
        <x:f>H782*'Assumptions'!$P$36*'Assumptions'!$Q$36*'Assumptions'!$D$11*(1+'Assumptions'!$D$13)^(7-1)</x:f>
        <x:v>4258.358417423857</x:v>
      </x:c>
      <x:c r="P782" s="10" t="n">
        <x:f>H782*'Assumptions'!$R$36*'Assumptions'!$D$11*(1+'Assumptions'!$D$13)^(7-1)</x:f>
        <x:v>852.0124884801634</x:v>
      </x:c>
      <x:c r="Q782" s="10" t="n">
        <x:f>J782*'Assumptions'!$S$36</x:f>
        <x:v>0</x:v>
      </x:c>
      <x:c r="R782" s="10" t="n">
        <x:f>H782*'Assumptions'!$Y$36*'Assumptions'!$Z$36*'Assumptions'!$D$11*(1+'Assumptions'!$D$13)^(7-1)</x:f>
        <x:v>639.0093663601225</x:v>
      </x:c>
      <x:c r="S782" s="10" t="n">
        <x:f>IF(I782=0,0,J782*'Assumptions'!$W$36+H782*'Assumptions'!$X$36)</x:f>
        <x:v>538.7280194280002</x:v>
      </x:c>
      <x:c r="T782" s="10" t="n">
        <x:f>N782*'Assumptions'!$AA$36</x:f>
        <x:v>692.1406342320001</x:v>
      </x:c>
      <x:c r="U782" s="10" t="n">
        <x:f>'Assumptions'!$AE$36*'Assumptions'!$D$11*(1+'Assumptions'!$D$13)^(7-1)</x:f>
        <x:v>0</x:v>
      </x:c>
      <x:c r="V782" s="10" t="n">
        <x:f>0</x:f>
        <x:v>0</x:v>
      </x:c>
      <x:c r="W782" s="10" t="n">
        <x:f>H782*('Assumptions'!$P$36+'Assumptions'!$Y$36)</x:f>
        <x:v>77.27714503848001</x:v>
      </x:c>
      <x:c r="X782" s="10" t="n">
        <x:f>N782/12*'Assumptions'!$AF$36</x:f>
        <x:v>1441.9596546500004</x:v>
      </x:c>
      <x:c r="Y782" s="10" t="n">
        <x:f>P782/12</x:f>
        <x:v>71.00104070668029</x:v>
      </x:c>
      <x:c r="Z782" s="10" t="n">
        <x:f>0</x:f>
        <x:v>0</x:v>
      </x:c>
      <x:c r="AA782" s="10" t="n">
        <x:f>Z782*'Assumptions'!$AC$36*'Assumptions'!$D$11*(1+'Assumptions'!$D$13)^(7-1)</x:f>
        <x:v>0</x:v>
      </x:c>
      <x:c r="AB782" s="10" t="n">
        <x:f>F782/1</x:f>
        <x:v>37.27832856000001</x:v>
      </x:c>
      <x:c r="AC782" s="10" t="n">
        <x:f>AB782/'Assumptions'!$AM$36</x:f>
        <x:v>186.39164280000006</x:v>
      </x:c>
      <x:c r="AD782" s="10" t="n">
        <x:f>IF(AB782=0,0,T782/AB782)</x:f>
        <x:v>18.566836576859654</x:v>
      </x:c>
      <x:c r="AE782" s="10" t="n">
        <x:f>AA782*'Assumptions'!$D$21</x:f>
        <x:v>0</x:v>
      </x:c>
    </x:row>
    <x:row r="783" ht="16" customHeight="1">
      <x:c r="A783" s="1"/>
      <x:c r="B783" s="1"/>
      <x:c r="C783" s="1" t="str">
        <x:v>DOT-008</x:v>
      </x:c>
      <x:c r="D783" s="10" t="str">
        <x:v>BPA professional services</x:v>
      </x:c>
      <x:c r="E783" s="10" t="n">
        <x:v>7</x:v>
      </x:c>
      <x:c r="F783" s="21" t="n">
        <x:f>F655*(1+'Assumptions'!$M$37)</x:f>
        <x:v>13.979373210000002</x:v>
      </x:c>
      <x:c r="G783" s="21" t="n">
        <x:f>H655*'Assumptions'!$K$37</x:f>
        <x:v>12.778641000000002</x:v>
      </x:c>
      <x:c r="H783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783+G783,NA())</x:f>
        <x:v>26.758014210000006</x:v>
      </x:c>
      <x:c r="I783" s="22" t="n">
        <x:f>'Assumptions'!$H$37*IF('Assumptions'!$O$37=1,1,'Assumptions'!$D$10)*(1+'Assumptions'!$N$37)^(7-1)</x:f>
        <x:v>600</x:v>
      </x:c>
      <x:c r="J783" s="10" t="n">
        <x:f>H783*I783</x:f>
        <x:v>16054.808526000004</x:v>
      </x:c>
      <x:c r="K783" s="10" t="n">
        <x:f>J783*'Assumptions'!$T$37</x:f>
        <x:v>16054.808526000004</x:v>
      </x:c>
      <x:c r="L783" s="10" t="n">
        <x:f>K783*'Assumptions'!$U$37</x:f>
        <x:v>481.6442557800001</x:v>
      </x:c>
      <x:c r="M783" s="10" t="n">
        <x:f>K783*'Assumptions'!$V$37</x:f>
        <x:v>0</x:v>
      </x:c>
      <x:c r="N783" s="10" t="n">
        <x:f>K783-L783-M783</x:f>
        <x:v>15573.164270220004</x:v>
      </x:c>
      <x:c r="O783" s="10" t="n">
        <x:f>H783*'Assumptions'!$P$37*'Assumptions'!$Q$37*'Assumptions'!$D$11*(1+'Assumptions'!$D$13)^(7-1)</x:f>
        <x:v>7668.11239632147</x:v>
      </x:c>
      <x:c r="P783" s="10" t="n">
        <x:f>H783*'Assumptions'!$R$37*'Assumptions'!$D$11*(1+'Assumptions'!$D$13)^(7-1)</x:f>
        <x:v>319.50468318006125</x:v>
      </x:c>
      <x:c r="Q783" s="10" t="n">
        <x:f>J783*'Assumptions'!$S$37</x:f>
        <x:v>0</x:v>
      </x:c>
      <x:c r="R783" s="10" t="n">
        <x:f>H783*'Assumptions'!$Y$37*'Assumptions'!$Z$37*'Assumptions'!$D$11*(1+'Assumptions'!$D$13)^(7-1)</x:f>
        <x:v>239.62851238504595</x:v>
      </x:c>
      <x:c r="S783" s="10" t="n">
        <x:f>IF(I783=0,0,J783*'Assumptions'!$W$37+H783*'Assumptions'!$X$37)</x:f>
        <x:v>473.61685151700016</x:v>
      </x:c>
      <x:c r="T783" s="10" t="n">
        <x:f>N783*'Assumptions'!$AA$37</x:f>
        <x:v>622.9265708088002</x:v>
      </x:c>
      <x:c r="U783" s="10" t="n">
        <x:f>'Assumptions'!$AE$37*'Assumptions'!$D$11*(1+'Assumptions'!$D$13)^(7-1)</x:f>
        <x:v>0</x:v>
      </x:c>
      <x:c r="V783" s="10" t="n">
        <x:f>0</x:f>
        <x:v>0</x:v>
      </x:c>
      <x:c r="W783" s="10" t="n">
        <x:f>H783*('Assumptions'!$P$37+'Assumptions'!$Y$37)</x:f>
        <x:v>113.72156039250002</x:v>
      </x:c>
      <x:c r="X783" s="10" t="n">
        <x:f>N783/12*'Assumptions'!$AF$37</x:f>
        <x:v>1297.7636891850004</x:v>
      </x:c>
      <x:c r="Y783" s="10" t="n">
        <x:f>P783/12</x:f>
        <x:v>26.625390265005105</x:v>
      </x:c>
      <x:c r="Z783" s="10" t="n">
        <x:f>0</x:f>
        <x:v>0</x:v>
      </x:c>
      <x:c r="AA783" s="10" t="n">
        <x:f>Z783*'Assumptions'!$AC$37*'Assumptions'!$D$11*(1+'Assumptions'!$D$13)^(7-1)</x:f>
        <x:v>0</x:v>
      </x:c>
      <x:c r="AB783" s="10" t="n">
        <x:f>F783/1</x:f>
        <x:v>13.979373210000002</x:v>
      </x:c>
      <x:c r="AC783" s="10" t="n">
        <x:f>AB783/'Assumptions'!$AM$37</x:f>
        <x:v>69.89686605</x:v>
      </x:c>
      <x:c r="AD783" s="10" t="n">
        <x:f>IF(AB783=0,0,T783/AB783)</x:f>
        <x:v>44.56040778446319</x:v>
      </x:c>
      <x:c r="AE783" s="10" t="n">
        <x:f>AA783*'Assumptions'!$D$21</x:f>
        <x:v>0</x:v>
      </x:c>
    </x:row>
    <x:row r="784" ht="16" customHeight="1">
      <x:c r="A784" s="1"/>
      <x:c r="B784" s="1"/>
      <x:c r="C784" s="1" t="str">
        <x:v>DOT-009</x:v>
      </x:c>
      <x:c r="D784" s="10" t="str">
        <x:v>BPA professional services</x:v>
      </x:c>
      <x:c r="E784" s="10" t="n">
        <x:v>7</x:v>
      </x:c>
      <x:c r="F784" s="21" t="n">
        <x:f>F656*(1+'Assumptions'!$M$38)</x:f>
        <x:v>9.319582140000003</x:v>
      </x:c>
      <x:c r="G784" s="21" t="n">
        <x:f>H656*'Assumptions'!$K$38</x:f>
        <x:v>8.519094000000003</x:v>
      </x:c>
      <x:c r="H784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784+G784,NA())</x:f>
        <x:v>17.838676140000004</x:v>
      </x:c>
      <x:c r="I784" s="22" t="n">
        <x:f>'Assumptions'!$H$38*IF('Assumptions'!$O$38=1,1,'Assumptions'!$D$10)*(1+'Assumptions'!$N$38)^(7-1)</x:f>
        <x:v>900</x:v>
      </x:c>
      <x:c r="J784" s="10" t="n">
        <x:f>H784*I784</x:f>
        <x:v>16054.808526000004</x:v>
      </x:c>
      <x:c r="K784" s="10" t="n">
        <x:f>J784*'Assumptions'!$T$38</x:f>
        <x:v>16054.808526000004</x:v>
      </x:c>
      <x:c r="L784" s="10" t="n">
        <x:f>K784*'Assumptions'!$U$38</x:f>
        <x:v>481.6442557800001</x:v>
      </x:c>
      <x:c r="M784" s="10" t="n">
        <x:f>K784*'Assumptions'!$V$38</x:f>
        <x:v>0</x:v>
      </x:c>
      <x:c r="N784" s="10" t="n">
        <x:f>K784-L784-M784</x:f>
        <x:v>15573.164270220004</x:v>
      </x:c>
      <x:c r="O784" s="10" t="n">
        <x:f>H784*'Assumptions'!$P$38*'Assumptions'!$Q$38*'Assumptions'!$D$11*(1+'Assumptions'!$D$13)^(7-1)</x:f>
        <x:v>7668.11239632147</x:v>
      </x:c>
      <x:c r="P784" s="10" t="n">
        <x:f>H784*'Assumptions'!$R$38*'Assumptions'!$D$11*(1+'Assumptions'!$D$13)^(7-1)</x:f>
        <x:v>213.00312212004084</x:v>
      </x:c>
      <x:c r="Q784" s="10" t="n">
        <x:f>J784*'Assumptions'!$S$38</x:f>
        <x:v>0</x:v>
      </x:c>
      <x:c r="R784" s="10" t="n">
        <x:f>H784*'Assumptions'!$Y$38*'Assumptions'!$Z$38*'Assumptions'!$D$11*(1+'Assumptions'!$D$13)^(7-1)</x:f>
        <x:v>159.75234159003062</x:v>
      </x:c>
      <x:c r="S784" s="10" t="n">
        <x:f>IF(I784=0,0,J784*'Assumptions'!$W$38+H784*'Assumptions'!$X$38)</x:f>
        <x:v>470.94105009600014</x:v>
      </x:c>
      <x:c r="T784" s="10" t="n">
        <x:f>N784*'Assumptions'!$AA$38</x:f>
        <x:v>622.9265708088002</x:v>
      </x:c>
      <x:c r="U784" s="10" t="n">
        <x:f>'Assumptions'!$AE$38*'Assumptions'!$D$11*(1+'Assumptions'!$D$13)^(7-1)</x:f>
        <x:v>0</x:v>
      </x:c>
      <x:c r="V784" s="10" t="n">
        <x:f>0</x:f>
        <x:v>0</x:v>
      </x:c>
      <x:c r="W784" s="10" t="n">
        <x:f>H784*('Assumptions'!$P$38+'Assumptions'!$Y$38)</x:f>
        <x:v>111.49172587500003</x:v>
      </x:c>
      <x:c r="X784" s="10" t="n">
        <x:f>N784/12*'Assumptions'!$AF$38</x:f>
        <x:v>1297.7636891850004</x:v>
      </x:c>
      <x:c r="Y784" s="10" t="n">
        <x:f>P784/12</x:f>
        <x:v>17.75026017667007</x:v>
      </x:c>
      <x:c r="Z784" s="10" t="n">
        <x:f>0</x:f>
        <x:v>0</x:v>
      </x:c>
      <x:c r="AA784" s="10" t="n">
        <x:f>Z784*'Assumptions'!$AC$38*'Assumptions'!$D$11*(1+'Assumptions'!$D$13)^(7-1)</x:f>
        <x:v>0</x:v>
      </x:c>
      <x:c r="AB784" s="10" t="n">
        <x:f>F784/1</x:f>
        <x:v>9.319582140000003</x:v>
      </x:c>
      <x:c r="AC784" s="10" t="n">
        <x:f>AB784/'Assumptions'!$AM$38</x:f>
        <x:v>46.597910700000014</x:v>
      </x:c>
      <x:c r="AD784" s="10" t="n">
        <x:f>IF(AB784=0,0,T784/AB784)</x:f>
        <x:v>66.84061167669476</x:v>
      </x:c>
      <x:c r="AE784" s="10" t="n">
        <x:f>AA784*'Assumptions'!$D$21</x:f>
        <x:v>0</x:v>
      </x:c>
    </x:row>
    <x:row r="785" ht="16" customHeight="1">
      <x:c r="A785" s="1"/>
      <x:c r="B785" s="1"/>
      <x:c r="C785" s="1" t="str">
        <x:v>DOT-010</x:v>
      </x:c>
      <x:c r="D785" s="10" t="str">
        <x:v>BPA professional services</x:v>
      </x:c>
      <x:c r="E785" s="10" t="n">
        <x:v>7</x:v>
      </x:c>
      <x:c r="F785" s="21" t="n">
        <x:f>F657*(1+'Assumptions'!$M$39)</x:f>
        <x:v>9.319582140000003</x:v>
      </x:c>
      <x:c r="G785" s="21" t="n">
        <x:f>H657*'Assumptions'!$K$39</x:f>
        <x:v>8.519094000000003</x:v>
      </x:c>
      <x:c r="H785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785+G785,NA())</x:f>
        <x:v>17.838676140000004</x:v>
      </x:c>
      <x:c r="I785" s="22" t="n">
        <x:f>'Assumptions'!$H$39*IF('Assumptions'!$O$39=1,1,'Assumptions'!$D$10)*(1+'Assumptions'!$N$39)^(7-1)</x:f>
        <x:v>1800</x:v>
      </x:c>
      <x:c r="J785" s="10" t="n">
        <x:f>H785*I785</x:f>
        <x:v>32109.61705200001</x:v>
      </x:c>
      <x:c r="K785" s="10" t="n">
        <x:f>J785*'Assumptions'!$T$39</x:f>
        <x:v>32109.61705200001</x:v>
      </x:c>
      <x:c r="L785" s="10" t="n">
        <x:f>K785*'Assumptions'!$U$39</x:f>
        <x:v>963.2885115600002</x:v>
      </x:c>
      <x:c r="M785" s="10" t="n">
        <x:f>K785*'Assumptions'!$V$39</x:f>
        <x:v>0</x:v>
      </x:c>
      <x:c r="N785" s="10" t="n">
        <x:f>K785-L785-M785</x:f>
        <x:v>31146.32854044001</x:v>
      </x:c>
      <x:c r="O785" s="10" t="n">
        <x:f>H785*'Assumptions'!$P$39*'Assumptions'!$Q$39*'Assumptions'!$D$11*(1+'Assumptions'!$D$13)^(7-1)</x:f>
        <x:v>15336.22479264294</x:v>
      </x:c>
      <x:c r="P785" s="10" t="n">
        <x:f>H785*'Assumptions'!$R$39*'Assumptions'!$D$11*(1+'Assumptions'!$D$13)^(7-1)</x:f>
        <x:v>213.00312212004084</x:v>
      </x:c>
      <x:c r="Q785" s="10" t="n">
        <x:f>J785*'Assumptions'!$S$39</x:f>
        <x:v>0</x:v>
      </x:c>
      <x:c r="R785" s="10" t="n">
        <x:f>H785*'Assumptions'!$Y$39*'Assumptions'!$Z$39*'Assumptions'!$D$11*(1+'Assumptions'!$D$13)^(7-1)</x:f>
        <x:v>159.75234159003062</x:v>
      </x:c>
      <x:c r="S785" s="10" t="n">
        <x:f>IF(I785=0,0,J785*'Assumptions'!$W$39+H785*'Assumptions'!$X$39)</x:f>
        <x:v>936.5304973500004</x:v>
      </x:c>
      <x:c r="T785" s="10" t="n">
        <x:f>N785*'Assumptions'!$AA$39</x:f>
        <x:v>1245.8531416176004</x:v>
      </x:c>
      <x:c r="U785" s="10" t="n">
        <x:f>'Assumptions'!$AE$39*'Assumptions'!$D$11*(1+'Assumptions'!$D$13)^(7-1)</x:f>
        <x:v>0</x:v>
      </x:c>
      <x:c r="V785" s="10" t="n">
        <x:f>0</x:f>
        <x:v>0</x:v>
      </x:c>
      <x:c r="W785" s="10" t="n">
        <x:f>H785*('Assumptions'!$P$39+'Assumptions'!$Y$39)</x:f>
        <x:v>218.52378271500004</x:v>
      </x:c>
      <x:c r="X785" s="10" t="n">
        <x:f>N785/12*'Assumptions'!$AF$39</x:f>
        <x:v>2595.527378370001</x:v>
      </x:c>
      <x:c r="Y785" s="10" t="n">
        <x:f>P785/12</x:f>
        <x:v>17.75026017667007</x:v>
      </x:c>
      <x:c r="Z785" s="10" t="n">
        <x:f>0</x:f>
        <x:v>0</x:v>
      </x:c>
      <x:c r="AA785" s="10" t="n">
        <x:f>Z785*'Assumptions'!$AC$39*'Assumptions'!$D$11*(1+'Assumptions'!$D$13)^(7-1)</x:f>
        <x:v>0</x:v>
      </x:c>
      <x:c r="AB785" s="10" t="n">
        <x:f>F785/1</x:f>
        <x:v>9.319582140000003</x:v>
      </x:c>
      <x:c r="AC785" s="10" t="n">
        <x:f>AB785/'Assumptions'!$AM$39</x:f>
        <x:v>46.597910700000014</x:v>
      </x:c>
      <x:c r="AD785" s="10" t="n">
        <x:f>IF(AB785=0,0,T785/AB785)</x:f>
        <x:v>133.68122335338953</x:v>
      </x:c>
      <x:c r="AE785" s="10" t="n">
        <x:f>AA785*'Assumptions'!$D$21</x:f>
        <x:v>0</x:v>
      </x:c>
    </x:row>
    <x:row r="786" ht="16" customHeight="1">
      <x:c r="A786" s="1"/>
      <x:c r="B786" s="1"/>
      <x:c r="C786" s="1" t="str">
        <x:v>DOT-011</x:v>
      </x:c>
      <x:c r="D786" s="10" t="str">
        <x:v>BPA professional services</x:v>
      </x:c>
      <x:c r="E786" s="10" t="n">
        <x:v>7</x:v>
      </x:c>
      <x:c r="F786" s="21" t="n">
        <x:f>F658*(1+'Assumptions'!$M$40)</x:f>
        <x:v>27.958746420000004</x:v>
      </x:c>
      <x:c r="G786" s="21" t="n">
        <x:f>H658*'Assumptions'!$K$40</x:f>
        <x:v>25.557282000000004</x:v>
      </x:c>
      <x:c r="H786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786+G786,NA())</x:f>
        <x:v>53.51602842000001</x:v>
      </x:c>
      <x:c r="I786" s="22" t="n">
        <x:f>'Assumptions'!$H$40*IF('Assumptions'!$O$40=1,1,'Assumptions'!$D$10)*(1+'Assumptions'!$N$40)^(7-1)</x:f>
        <x:v>600</x:v>
      </x:c>
      <x:c r="J786" s="10" t="n">
        <x:f>H786*I786</x:f>
        <x:v>32109.61705200001</x:v>
      </x:c>
      <x:c r="K786" s="10" t="n">
        <x:f>J786*'Assumptions'!$T$40</x:f>
        <x:v>32109.61705200001</x:v>
      </x:c>
      <x:c r="L786" s="10" t="n">
        <x:f>K786*'Assumptions'!$U$40</x:f>
        <x:v>963.2885115600002</x:v>
      </x:c>
      <x:c r="M786" s="10" t="n">
        <x:f>K786*'Assumptions'!$V$40</x:f>
        <x:v>0</x:v>
      </x:c>
      <x:c r="N786" s="10" t="n">
        <x:f>K786-L786-M786</x:f>
        <x:v>31146.32854044001</x:v>
      </x:c>
      <x:c r="O786" s="10" t="n">
        <x:f>H786*'Assumptions'!$P$40*'Assumptions'!$Q$40*'Assumptions'!$D$11*(1+'Assumptions'!$D$13)^(7-1)</x:f>
        <x:v>15336.22479264294</x:v>
      </x:c>
      <x:c r="P786" s="10" t="n">
        <x:f>H786*'Assumptions'!$R$40*'Assumptions'!$D$11*(1+'Assumptions'!$D$13)^(7-1)</x:f>
        <x:v>639.0093663601225</x:v>
      </x:c>
      <x:c r="Q786" s="10" t="n">
        <x:f>J786*'Assumptions'!$S$40</x:f>
        <x:v>0</x:v>
      </x:c>
      <x:c r="R786" s="10" t="n">
        <x:f>H786*'Assumptions'!$Y$40*'Assumptions'!$Z$40*'Assumptions'!$D$11*(1+'Assumptions'!$D$13)^(7-1)</x:f>
        <x:v>479.2570247700919</x:v>
      </x:c>
      <x:c r="S786" s="10" t="n">
        <x:f>IF(I786=0,0,J786*'Assumptions'!$W$40+H786*'Assumptions'!$X$40)</x:f>
        <x:v>947.2337030340003</x:v>
      </x:c>
      <x:c r="T786" s="10" t="n">
        <x:f>N786*'Assumptions'!$AA$40</x:f>
        <x:v>1245.8531416176004</x:v>
      </x:c>
      <x:c r="U786" s="10" t="n">
        <x:f>'Assumptions'!$AE$40*'Assumptions'!$D$11*(1+'Assumptions'!$D$13)^(7-1)</x:f>
        <x:v>0</x:v>
      </x:c>
      <x:c r="V786" s="10" t="n">
        <x:f>0</x:f>
        <x:v>0</x:v>
      </x:c>
      <x:c r="W786" s="10" t="n">
        <x:f>H786*('Assumptions'!$P$40+'Assumptions'!$Y$40)</x:f>
        <x:v>227.44312078500005</x:v>
      </x:c>
      <x:c r="X786" s="10" t="n">
        <x:f>N786/12*'Assumptions'!$AF$40</x:f>
        <x:v>2595.527378370001</x:v>
      </x:c>
      <x:c r="Y786" s="10" t="n">
        <x:f>P786/12</x:f>
        <x:v>53.25078053001021</x:v>
      </x:c>
      <x:c r="Z786" s="10" t="n">
        <x:f>0</x:f>
        <x:v>0</x:v>
      </x:c>
      <x:c r="AA786" s="10" t="n">
        <x:f>Z786*'Assumptions'!$AC$40*'Assumptions'!$D$11*(1+'Assumptions'!$D$13)^(7-1)</x:f>
        <x:v>0</x:v>
      </x:c>
      <x:c r="AB786" s="10" t="n">
        <x:f>F786/12</x:f>
        <x:v>2.3298955350000004</x:v>
      </x:c>
      <x:c r="AC786" s="10" t="n">
        <x:f>AB786/'Assumptions'!$AM$40</x:f>
        <x:v>11.649477675000002</x:v>
      </x:c>
      <x:c r="AD786" s="10" t="n">
        <x:f>IF(AB786=0,0,T786/AB786)</x:f>
        <x:v>534.7248934135582</x:v>
      </x:c>
      <x:c r="AE786" s="10" t="n">
        <x:f>AA786*'Assumptions'!$D$21</x:f>
        <x:v>0</x:v>
      </x:c>
    </x:row>
    <x:row r="787" ht="16" customHeight="1">
      <x:c r="A787" s="1"/>
      <x:c r="B787" s="1"/>
      <x:c r="C787" s="1" t="str">
        <x:v>DOT-012</x:v>
      </x:c>
      <x:c r="D787" s="10" t="str">
        <x:v>BPA professional services</x:v>
      </x:c>
      <x:c r="E787" s="10" t="n">
        <x:v>7</x:v>
      </x:c>
      <x:c r="F787" s="21" t="n">
        <x:f>F659*(1+'Assumptions'!$M$41)</x:f>
        <x:v>18.639164280000006</x:v>
      </x:c>
      <x:c r="G787" s="21" t="n">
        <x:f>H659*'Assumptions'!$K$41</x:f>
        <x:v>17.038188000000005</x:v>
      </x:c>
      <x:c r="H787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787+G787,NA())</x:f>
        <x:v>35.67735228000001</x:v>
      </x:c>
      <x:c r="I787" s="22" t="n">
        <x:f>'Assumptions'!$H$41*IF('Assumptions'!$O$41=1,1,'Assumptions'!$D$10)*(1+'Assumptions'!$N$41)^(7-1)</x:f>
        <x:v>1080</x:v>
      </x:c>
      <x:c r="J787" s="10" t="n">
        <x:f>H787*I787</x:f>
        <x:v>38531.54046240001</x:v>
      </x:c>
      <x:c r="K787" s="10" t="n">
        <x:f>J787*'Assumptions'!$T$41</x:f>
        <x:v>38531.54046240001</x:v>
      </x:c>
      <x:c r="L787" s="10" t="n">
        <x:f>K787*'Assumptions'!$U$41</x:f>
        <x:v>1155.9462138720003</x:v>
      </x:c>
      <x:c r="M787" s="10" t="n">
        <x:f>K787*'Assumptions'!$V$41</x:f>
        <x:v>0</x:v>
      </x:c>
      <x:c r="N787" s="10" t="n">
        <x:f>K787-L787-M787</x:f>
        <x:v>37375.59424852801</x:v>
      </x:c>
      <x:c r="O787" s="10" t="n">
        <x:f>H787*'Assumptions'!$P$41*'Assumptions'!$Q$41*'Assumptions'!$D$11*(1+'Assumptions'!$D$13)^(7-1)</x:f>
        <x:v>20448.29972352392</x:v>
      </x:c>
      <x:c r="P787" s="10" t="n">
        <x:f>H787*'Assumptions'!$R$41*'Assumptions'!$D$11*(1+'Assumptions'!$D$13)^(7-1)</x:f>
        <x:v>426.0062442400817</x:v>
      </x:c>
      <x:c r="Q787" s="10" t="n">
        <x:f>J787*'Assumptions'!$S$41</x:f>
        <x:v>0</x:v>
      </x:c>
      <x:c r="R787" s="10" t="n">
        <x:f>H787*'Assumptions'!$Y$41*'Assumptions'!$Z$41*'Assumptions'!$D$11*(1+'Assumptions'!$D$13)^(7-1)</x:f>
        <x:v>319.50468318006125</x:v>
      </x:c>
      <x:c r="S787" s="10" t="n">
        <x:f>IF(I787=0,0,J787*'Assumptions'!$W$41+H787*'Assumptions'!$X$41)</x:f>
        <x:v>1128.1178790936003</x:v>
      </x:c>
      <x:c r="T787" s="10" t="n">
        <x:f>N787*'Assumptions'!$AA$41</x:f>
        <x:v>1495.0237699411205</x:v>
      </x:c>
      <x:c r="U787" s="10" t="n">
        <x:f>'Assumptions'!$AE$41*'Assumptions'!$D$11*(1+'Assumptions'!$D$13)^(7-1)</x:f>
        <x:v>0</x:v>
      </x:c>
      <x:c r="V787" s="10" t="n">
        <x:f>0</x:f>
        <x:v>0</x:v>
      </x:c>
      <x:c r="W787" s="10" t="n">
        <x:f>H787*('Assumptions'!$P$41+'Assumptions'!$Y$41)</x:f>
        <x:v>294.33815631000004</x:v>
      </x:c>
      <x:c r="X787" s="10" t="n">
        <x:f>N787/12*'Assumptions'!$AF$41</x:f>
        <x:v>3114.632854044001</x:v>
      </x:c>
      <x:c r="Y787" s="10" t="n">
        <x:f>P787/12</x:f>
        <x:v>35.50052035334014</x:v>
      </x:c>
      <x:c r="Z787" s="10" t="n">
        <x:f>0</x:f>
        <x:v>0</x:v>
      </x:c>
      <x:c r="AA787" s="10" t="n">
        <x:f>Z787*'Assumptions'!$AC$41*'Assumptions'!$D$11*(1+'Assumptions'!$D$13)^(7-1)</x:f>
        <x:v>0</x:v>
      </x:c>
      <x:c r="AB787" s="10" t="n">
        <x:f>F787/12</x:f>
        <x:v>1.5532636900000005</x:v>
      </x:c>
      <x:c r="AC787" s="10" t="n">
        <x:f>AB787/'Assumptions'!$AM$41</x:f>
        <x:v>7.766318450000003</x:v>
      </x:c>
      <x:c r="AD787" s="10" t="n">
        <x:f>IF(AB787=0,0,T787/AB787)</x:f>
        <x:v>962.5048081444046</x:v>
      </x:c>
      <x:c r="AE787" s="10" t="n">
        <x:f>AA787*'Assumptions'!$D$21</x:f>
        <x:v>0</x:v>
      </x:c>
    </x:row>
    <x:row r="788" ht="16" customHeight="1">
      <x:c r="A788" s="1"/>
      <x:c r="B788" s="1"/>
      <x:c r="C788" s="1" t="str">
        <x:v>DOT-013</x:v>
      </x:c>
      <x:c r="D788" s="10" t="str">
        <x:v>BPA professional services</x:v>
      </x:c>
      <x:c r="E788" s="10" t="n">
        <x:v>7</x:v>
      </x:c>
      <x:c r="F788" s="21" t="n">
        <x:f>F660*(1+'Assumptions'!$M$42)</x:f>
        <x:v>13.979373210000002</x:v>
      </x:c>
      <x:c r="G788" s="21" t="n">
        <x:f>H660*'Assumptions'!$K$42</x:f>
        <x:v>12.778641000000002</x:v>
      </x:c>
      <x:c r="H788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788+G788,NA())</x:f>
        <x:v>26.758014210000006</x:v>
      </x:c>
      <x:c r="I788" s="22" t="n">
        <x:f>'Assumptions'!$H$42*IF('Assumptions'!$O$42=1,1,'Assumptions'!$D$10)*(1+'Assumptions'!$N$42)^(7-1)</x:f>
        <x:v>2160</x:v>
      </x:c>
      <x:c r="J788" s="10" t="n">
        <x:f>H788*I788</x:f>
        <x:v>57797.31069360001</x:v>
      </x:c>
      <x:c r="K788" s="10" t="n">
        <x:f>J788*'Assumptions'!$T$42</x:f>
        <x:v>57797.31069360001</x:v>
      </x:c>
      <x:c r="L788" s="10" t="n">
        <x:f>K788*'Assumptions'!$U$42</x:f>
        <x:v>1733.9193208080003</x:v>
      </x:c>
      <x:c r="M788" s="10" t="n">
        <x:f>K788*'Assumptions'!$V$42</x:f>
        <x:v>0</x:v>
      </x:c>
      <x:c r="N788" s="10" t="n">
        <x:f>K788-L788-M788</x:f>
        <x:v>56063.39137279201</x:v>
      </x:c>
      <x:c r="O788" s="10" t="n">
        <x:f>H788*'Assumptions'!$P$42*'Assumptions'!$Q$42*'Assumptions'!$D$11*(1+'Assumptions'!$D$13)^(7-1)</x:f>
        <x:v>30672.44958528588</x:v>
      </x:c>
      <x:c r="P788" s="10" t="n">
        <x:f>H788*'Assumptions'!$R$42*'Assumptions'!$D$11*(1+'Assumptions'!$D$13)^(7-1)</x:f>
        <x:v>319.50468318006125</x:v>
      </x:c>
      <x:c r="Q788" s="10" t="n">
        <x:f>J788*'Assumptions'!$S$42</x:f>
        <x:v>0</x:v>
      </x:c>
      <x:c r="R788" s="10" t="n">
        <x:f>H788*'Assumptions'!$Y$42*'Assumptions'!$Z$42*'Assumptions'!$D$11*(1+'Assumptions'!$D$13)^(7-1)</x:f>
        <x:v>239.62851238504595</x:v>
      </x:c>
      <x:c r="S788" s="10" t="n">
        <x:f>IF(I788=0,0,J788*'Assumptions'!$W$42+H788*'Assumptions'!$X$42)</x:f>
        <x:v>1684.1494143774005</x:v>
      </x:c>
      <x:c r="T788" s="10" t="n">
        <x:f>N788*'Assumptions'!$AA$42</x:f>
        <x:v>2242.5356549116805</x:v>
      </x:c>
      <x:c r="U788" s="10" t="n">
        <x:f>'Assumptions'!$AE$42*'Assumptions'!$D$11*(1+'Assumptions'!$D$13)^(7-1)</x:f>
        <x:v>0</x:v>
      </x:c>
      <x:c r="V788" s="10" t="n">
        <x:f>0</x:f>
        <x:v>0</x:v>
      </x:c>
      <x:c r="W788" s="10" t="n">
        <x:f>H788*('Assumptions'!$P$42+'Assumptions'!$Y$42)</x:f>
        <x:v>434.8177309125001</x:v>
      </x:c>
      <x:c r="X788" s="10" t="n">
        <x:f>N788/12*'Assumptions'!$AF$42</x:f>
        <x:v>4671.949281066</x:v>
      </x:c>
      <x:c r="Y788" s="10" t="n">
        <x:f>P788/12</x:f>
        <x:v>26.625390265005105</x:v>
      </x:c>
      <x:c r="Z788" s="10" t="n">
        <x:f>0</x:f>
        <x:v>0</x:v>
      </x:c>
      <x:c r="AA788" s="10" t="n">
        <x:f>Z788*'Assumptions'!$AC$42*'Assumptions'!$D$11*(1+'Assumptions'!$D$13)^(7-1)</x:f>
        <x:v>0</x:v>
      </x:c>
      <x:c r="AB788" s="10" t="n">
        <x:f>F788/12</x:f>
        <x:v>1.1649477675000002</x:v>
      </x:c>
      <x:c r="AC788" s="10" t="n">
        <x:f>AB788/'Assumptions'!$AM$42</x:f>
        <x:v>5.824738837500001</x:v>
      </x:c>
      <x:c r="AD788" s="10" t="n">
        <x:f>IF(AB788=0,0,T788/AB788)</x:f>
        <x:v>1925.0096162888094</x:v>
      </x:c>
      <x:c r="AE788" s="10" t="n">
        <x:f>AA788*'Assumptions'!$D$21</x:f>
        <x:v>0</x:v>
      </x:c>
    </x:row>
    <x:row r="789" ht="16" customHeight="1">
      <x:c r="A789" s="1"/>
      <x:c r="B789" s="1"/>
      <x:c r="C789" s="1" t="str">
        <x:v>DOT-014</x:v>
      </x:c>
      <x:c r="D789" s="10" t="str">
        <x:v>BPA professional services</x:v>
      </x:c>
      <x:c r="E789" s="10" t="n">
        <x:v>7</x:v>
      </x:c>
      <x:c r="F789" s="21" t="n">
        <x:f>F661*(1+'Assumptions'!$M$43)</x:f>
        <x:v>9.319582140000003</x:v>
      </x:c>
      <x:c r="G789" s="21" t="n">
        <x:f>H661*'Assumptions'!$K$43</x:f>
        <x:v>8.519094000000003</x:v>
      </x:c>
      <x:c r="H789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789+G789,NA())</x:f>
        <x:v>17.838676140000004</x:v>
      </x:c>
      <x:c r="I789" s="22" t="n">
        <x:f>'Assumptions'!$H$43*IF('Assumptions'!$O$43=1,1,'Assumptions'!$D$10)*(1+'Assumptions'!$N$43)^(7-1)</x:f>
        <x:v>3000</x:v>
      </x:c>
      <x:c r="J789" s="10" t="n">
        <x:f>H789*I789</x:f>
        <x:v>53516.02842000001</x:v>
      </x:c>
      <x:c r="K789" s="10" t="n">
        <x:f>J789*'Assumptions'!$T$43</x:f>
        <x:v>53516.02842000001</x:v>
      </x:c>
      <x:c r="L789" s="10" t="n">
        <x:f>K789*'Assumptions'!$U$43</x:f>
        <x:v>1605.4808526000002</x:v>
      </x:c>
      <x:c r="M789" s="10" t="n">
        <x:f>K789*'Assumptions'!$V$43</x:f>
        <x:v>0</x:v>
      </x:c>
      <x:c r="N789" s="10" t="n">
        <x:f>K789-L789-M789</x:f>
        <x:v>51910.54756740001</x:v>
      </x:c>
      <x:c r="O789" s="10" t="n">
        <x:f>H789*'Assumptions'!$P$43*'Assumptions'!$Q$43*'Assumptions'!$D$11*(1+'Assumptions'!$D$13)^(7-1)</x:f>
        <x:v>25560.374654404903</x:v>
      </x:c>
      <x:c r="P789" s="10" t="n">
        <x:f>H789*'Assumptions'!$R$43*'Assumptions'!$D$11*(1+'Assumptions'!$D$13)^(7-1)</x:f>
        <x:v>213.00312212004084</x:v>
      </x:c>
      <x:c r="Q789" s="10" t="n">
        <x:f>J789*'Assumptions'!$S$43</x:f>
        <x:v>0</x:v>
      </x:c>
      <x:c r="R789" s="10" t="n">
        <x:f>H789*'Assumptions'!$Y$43*'Assumptions'!$Z$43*'Assumptions'!$D$11*(1+'Assumptions'!$D$13)^(7-1)</x:f>
        <x:v>159.75234159003062</x:v>
      </x:c>
      <x:c r="S789" s="10" t="n">
        <x:f>IF(I789=0,0,J789*'Assumptions'!$W$43+H789*'Assumptions'!$X$43)</x:f>
        <x:v>1557.3164270220002</x:v>
      </x:c>
      <x:c r="T789" s="10" t="n">
        <x:f>N789*'Assumptions'!$AA$43</x:f>
        <x:v>2076.4219026960004</x:v>
      </x:c>
      <x:c r="U789" s="10" t="n">
        <x:f>'Assumptions'!$AE$43*'Assumptions'!$D$11*(1+'Assumptions'!$D$13)^(7-1)</x:f>
        <x:v>0</x:v>
      </x:c>
      <x:c r="V789" s="10" t="n">
        <x:f>0</x:f>
        <x:v>0</x:v>
      </x:c>
      <x:c r="W789" s="10" t="n">
        <x:f>H789*('Assumptions'!$P$43+'Assumptions'!$Y$43)</x:f>
        <x:v>361.23319183500007</x:v>
      </x:c>
      <x:c r="X789" s="10" t="n">
        <x:f>N789/12*'Assumptions'!$AF$43</x:f>
        <x:v>4325.878963950001</x:v>
      </x:c>
      <x:c r="Y789" s="10" t="n">
        <x:f>P789/12</x:f>
        <x:v>17.75026017667007</x:v>
      </x:c>
      <x:c r="Z789" s="10" t="n">
        <x:f>0</x:f>
        <x:v>0</x:v>
      </x:c>
      <x:c r="AA789" s="10" t="n">
        <x:f>Z789*'Assumptions'!$AC$43*'Assumptions'!$D$11*(1+'Assumptions'!$D$13)^(7-1)</x:f>
        <x:v>0</x:v>
      </x:c>
      <x:c r="AB789" s="10" t="n">
        <x:f>F789/12</x:f>
        <x:v>0.7766318450000003</x:v>
      </x:c>
      <x:c r="AC789" s="10" t="n">
        <x:f>AB789/'Assumptions'!$AM$43</x:f>
        <x:v>3.8831592250000013</x:v>
      </x:c>
      <x:c r="AD789" s="10" t="n">
        <x:f>IF(AB789=0,0,T789/AB789)</x:f>
        <x:v>2673.62446706779</x:v>
      </x:c>
      <x:c r="AE789" s="10" t="n">
        <x:f>AA789*'Assumptions'!$D$21</x:f>
        <x:v>0</x:v>
      </x:c>
    </x:row>
    <x:row r="790" ht="16" customHeight="1">
      <x:c r="A790" s="1"/>
      <x:c r="B790" s="1"/>
      <x:c r="C790" s="1" t="str">
        <x:v>DOT-015</x:v>
      </x:c>
      <x:c r="D790" s="10" t="str">
        <x:v>BPA professional services</x:v>
      </x:c>
      <x:c r="E790" s="10" t="n">
        <x:v>7</x:v>
      </x:c>
      <x:c r="F790" s="21" t="n">
        <x:f>F662*(1+'Assumptions'!$M$44)</x:f>
        <x:v>7.766318450000002</x:v>
      </x:c>
      <x:c r="G790" s="21" t="n">
        <x:f>H662*'Assumptions'!$K$44</x:f>
        <x:v>7.099245000000002</x:v>
      </x:c>
      <x:c r="H790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790+G790,NA())</x:f>
        <x:v>14.865563450000003</x:v>
      </x:c>
      <x:c r="I790" s="22" t="n">
        <x:f>'Assumptions'!$H$44*IF('Assumptions'!$O$44=1,1,'Assumptions'!$D$10)*(1+'Assumptions'!$N$44)^(7-1)</x:f>
        <x:v>1200</x:v>
      </x:c>
      <x:c r="J790" s="10" t="n">
        <x:f>H790*I790</x:f>
        <x:v>17838.676140000003</x:v>
      </x:c>
      <x:c r="K790" s="10" t="n">
        <x:f>J790*'Assumptions'!$T$44</x:f>
        <x:v>17838.676140000003</x:v>
      </x:c>
      <x:c r="L790" s="10" t="n">
        <x:f>K790*'Assumptions'!$U$44</x:f>
        <x:v>535.1602842000001</x:v>
      </x:c>
      <x:c r="M790" s="10" t="n">
        <x:f>K790*'Assumptions'!$V$44</x:f>
        <x:v>0</x:v>
      </x:c>
      <x:c r="N790" s="10" t="n">
        <x:f>K790-L790-M790</x:f>
        <x:v>17303.515855800004</x:v>
      </x:c>
      <x:c r="O790" s="10" t="n">
        <x:f>H790*'Assumptions'!$P$44*'Assumptions'!$Q$44*'Assumptions'!$D$11*(1+'Assumptions'!$D$13)^(7-1)</x:f>
        <x:v>10650.156106002041</x:v>
      </x:c>
      <x:c r="P790" s="10" t="n">
        <x:f>H790*'Assumptions'!$R$44*'Assumptions'!$D$11*(1+'Assumptions'!$D$13)^(7-1)</x:f>
        <x:v>177.50260176670068</x:v>
      </x:c>
      <x:c r="Q790" s="10" t="n">
        <x:f>J790*'Assumptions'!$S$44</x:f>
        <x:v>0</x:v>
      </x:c>
      <x:c r="R790" s="10" t="n">
        <x:f>H790*'Assumptions'!$Y$44*'Assumptions'!$Z$44*'Assumptions'!$D$11*(1+'Assumptions'!$D$13)^(7-1)</x:f>
        <x:v>133.12695132502554</x:v>
      </x:c>
      <x:c r="S790" s="10" t="n">
        <x:f>IF(I790=0,0,J790*'Assumptions'!$W$44+H790*'Assumptions'!$X$44)</x:f>
        <x:v>521.7812770950002</x:v>
      </x:c>
      <x:c r="T790" s="10" t="n">
        <x:f>N790*'Assumptions'!$AA$44</x:f>
        <x:v>692.1406342320001</x:v>
      </x:c>
      <x:c r="U790" s="10" t="n">
        <x:f>'Assumptions'!$AE$44*'Assumptions'!$D$11*(1+'Assumptions'!$D$13)^(7-1)</x:f>
        <x:v>0</x:v>
      </x:c>
      <x:c r="V790" s="10" t="n">
        <x:f>0</x:f>
        <x:v>0</x:v>
      </x:c>
      <x:c r="W790" s="10" t="n">
        <x:f>H790*('Assumptions'!$P$44+'Assumptions'!$Y$44)</x:f>
        <x:v>152.37202536250004</x:v>
      </x:c>
      <x:c r="X790" s="10" t="n">
        <x:f>N790/12*'Assumptions'!$AF$44</x:f>
        <x:v>1441.9596546500004</x:v>
      </x:c>
      <x:c r="Y790" s="10" t="n">
        <x:f>P790/12</x:f>
        <x:v>14.79188348055839</x:v>
      </x:c>
      <x:c r="Z790" s="10" t="n">
        <x:f>0</x:f>
        <x:v>0</x:v>
      </x:c>
      <x:c r="AA790" s="10" t="n">
        <x:f>Z790*'Assumptions'!$AC$44*'Assumptions'!$D$11*(1+'Assumptions'!$D$13)^(7-1)</x:f>
        <x:v>0</x:v>
      </x:c>
      <x:c r="AB790" s="10" t="n">
        <x:f>F790/1</x:f>
        <x:v>7.766318450000002</x:v>
      </x:c>
      <x:c r="AC790" s="10" t="n">
        <x:f>AB790/'Assumptions'!$AM$44</x:f>
        <x:v>38.83159225000001</x:v>
      </x:c>
      <x:c r="AD790" s="10" t="n">
        <x:f>IF(AB790=0,0,T790/AB790)</x:f>
        <x:v>89.12081556892635</x:v>
      </x:c>
      <x:c r="AE790" s="10" t="n">
        <x:f>AA790*'Assumptions'!$D$21</x:f>
        <x:v>0</x:v>
      </x:c>
    </x:row>
    <x:row r="791" ht="16" customHeight="1">
      <x:c r="A791" s="1"/>
      <x:c r="B791" s="1"/>
      <x:c r="C791" s="1" t="str">
        <x:v>DOT-016</x:v>
      </x:c>
      <x:c r="D791" s="10" t="str">
        <x:v>BPA professional services</x:v>
      </x:c>
      <x:c r="E791" s="10" t="n">
        <x:v>7</x:v>
      </x:c>
      <x:c r="F791" s="21" t="n">
        <x:f>F663*(1+'Assumptions'!$M$45)</x:f>
        <x:v>4.659791070000002</x:v>
      </x:c>
      <x:c r="G791" s="21" t="n">
        <x:f>H663*'Assumptions'!$K$45</x:f>
        <x:v>4.259547000000001</x:v>
      </x:c>
      <x:c r="H791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791+G791,NA())</x:f>
        <x:v>8.919338070000002</x:v>
      </x:c>
      <x:c r="I791" s="22" t="n">
        <x:f>'Assumptions'!$H$45*IF('Assumptions'!$O$45=1,1,'Assumptions'!$D$10)*(1+'Assumptions'!$N$45)^(7-1)</x:f>
        <x:v>1800</x:v>
      </x:c>
      <x:c r="J791" s="10" t="n">
        <x:f>H791*I791</x:f>
        <x:v>16054.808526000004</x:v>
      </x:c>
      <x:c r="K791" s="10" t="n">
        <x:f>J791*'Assumptions'!$T$45</x:f>
        <x:v>16054.808526000004</x:v>
      </x:c>
      <x:c r="L791" s="10" t="n">
        <x:f>K791*'Assumptions'!$U$45</x:f>
        <x:v>481.6442557800001</x:v>
      </x:c>
      <x:c r="M791" s="10" t="n">
        <x:f>K791*'Assumptions'!$V$45</x:f>
        <x:v>0</x:v>
      </x:c>
      <x:c r="N791" s="10" t="n">
        <x:f>K791-L791-M791</x:f>
        <x:v>15573.164270220004</x:v>
      </x:c>
      <x:c r="O791" s="10" t="n">
        <x:f>H791*'Assumptions'!$P$45*'Assumptions'!$Q$45*'Assumptions'!$D$11*(1+'Assumptions'!$D$13)^(7-1)</x:f>
        <x:v>3195.046831800613</x:v>
      </x:c>
      <x:c r="P791" s="10" t="n">
        <x:f>H791*'Assumptions'!$R$45*'Assumptions'!$D$11*(1+'Assumptions'!$D$13)^(7-1)</x:f>
        <x:v>106.50156106002042</x:v>
      </x:c>
      <x:c r="Q791" s="10" t="n">
        <x:f>J791*'Assumptions'!$S$45</x:f>
        <x:v>0</x:v>
      </x:c>
      <x:c r="R791" s="10" t="n">
        <x:f>H791*'Assumptions'!$Y$45*'Assumptions'!$Z$45*'Assumptions'!$D$11*(1+'Assumptions'!$D$13)^(7-1)</x:f>
        <x:v>79.87617079501531</x:v>
      </x:c>
      <x:c r="S791" s="10" t="n">
        <x:f>IF(I791=0,0,J791*'Assumptions'!$W$45+H791*'Assumptions'!$X$45)</x:f>
        <x:v>468.2652486750002</x:v>
      </x:c>
      <x:c r="T791" s="10" t="n">
        <x:f>N791*'Assumptions'!$AA$45</x:f>
        <x:v>622.9265708088002</x:v>
      </x:c>
      <x:c r="U791" s="10" t="n">
        <x:f>'Assumptions'!$AE$45*'Assumptions'!$D$11*(1+'Assumptions'!$D$13)^(7-1)</x:f>
        <x:v>0</x:v>
      </x:c>
      <x:c r="V791" s="10" t="n">
        <x:f>0</x:f>
        <x:v>0</x:v>
      </x:c>
      <x:c r="W791" s="10" t="n">
        <x:f>H791*('Assumptions'!$P$45+'Assumptions'!$Y$45)</x:f>
        <x:v>46.82652486750001</x:v>
      </x:c>
      <x:c r="X791" s="10" t="n">
        <x:f>N791/12*'Assumptions'!$AF$45</x:f>
        <x:v>1297.7636891850004</x:v>
      </x:c>
      <x:c r="Y791" s="10" t="n">
        <x:f>P791/12</x:f>
        <x:v>8.875130088335036</x:v>
      </x:c>
      <x:c r="Z791" s="10" t="n">
        <x:f>0</x:f>
        <x:v>0</x:v>
      </x:c>
      <x:c r="AA791" s="10" t="n">
        <x:f>Z791*'Assumptions'!$AC$45*'Assumptions'!$D$11*(1+'Assumptions'!$D$13)^(7-1)</x:f>
        <x:v>0</x:v>
      </x:c>
      <x:c r="AB791" s="10" t="n">
        <x:f>F791/1</x:f>
        <x:v>4.659791070000002</x:v>
      </x:c>
      <x:c r="AC791" s="10" t="n">
        <x:f>AB791/'Assumptions'!$AM$45</x:f>
        <x:v>23.298955350000007</x:v>
      </x:c>
      <x:c r="AD791" s="10" t="n">
        <x:f>IF(AB791=0,0,T791/AB791)</x:f>
        <x:v>133.68122335338953</x:v>
      </x:c>
      <x:c r="AE791" s="10" t="n">
        <x:f>AA791*'Assumptions'!$D$21</x:f>
        <x:v>0</x:v>
      </x:c>
    </x:row>
    <x:row r="792" ht="16" customHeight="1">
      <x:c r="A792" s="1"/>
      <x:c r="B792" s="1"/>
      <x:c r="C792" s="1" t="str">
        <x:v>DOT-017</x:v>
      </x:c>
      <x:c r="D792" s="10" t="str">
        <x:v>BPA professional services</x:v>
      </x:c>
      <x:c r="E792" s="10" t="n">
        <x:v>7</x:v>
      </x:c>
      <x:c r="F792" s="21" t="n">
        <x:f>F664*(1+'Assumptions'!$M$46)</x:f>
        <x:v>4.659791070000002</x:v>
      </x:c>
      <x:c r="G792" s="21" t="n">
        <x:f>H664*'Assumptions'!$K$46</x:f>
        <x:v>4.259547000000001</x:v>
      </x:c>
      <x:c r="H792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792+G792,NA())</x:f>
        <x:v>8.919338070000002</x:v>
      </x:c>
      <x:c r="I792" s="22" t="n">
        <x:f>'Assumptions'!$H$46*IF('Assumptions'!$O$46=1,1,'Assumptions'!$D$10)*(1+'Assumptions'!$N$46)^(7-1)</x:f>
        <x:v>1500</x:v>
      </x:c>
      <x:c r="J792" s="10" t="n">
        <x:f>H792*I792</x:f>
        <x:v>13379.007105000002</x:v>
      </x:c>
      <x:c r="K792" s="10" t="n">
        <x:f>J792*'Assumptions'!$T$46</x:f>
        <x:v>13379.007105000002</x:v>
      </x:c>
      <x:c r="L792" s="10" t="n">
        <x:f>K792*'Assumptions'!$U$46</x:f>
        <x:v>401.37021315000004</x:v>
      </x:c>
      <x:c r="M792" s="10" t="n">
        <x:f>K792*'Assumptions'!$V$46</x:f>
        <x:v>0</x:v>
      </x:c>
      <x:c r="N792" s="10" t="n">
        <x:f>K792-L792-M792</x:f>
        <x:v>12977.636891850003</x:v>
      </x:c>
      <x:c r="O792" s="10" t="n">
        <x:f>H792*'Assumptions'!$P$46*'Assumptions'!$Q$46*'Assumptions'!$D$11*(1+'Assumptions'!$D$13)^(7-1)</x:f>
        <x:v>3834.056198160735</x:v>
      </x:c>
      <x:c r="P792" s="10" t="n">
        <x:f>H792*'Assumptions'!$R$46*'Assumptions'!$D$11*(1+'Assumptions'!$D$13)^(7-1)</x:f>
        <x:v>106.50156106002042</x:v>
      </x:c>
      <x:c r="Q792" s="10" t="n">
        <x:f>J792*'Assumptions'!$S$46</x:f>
        <x:v>0</x:v>
      </x:c>
      <x:c r="R792" s="10" t="n">
        <x:f>H792*'Assumptions'!$Y$46*'Assumptions'!$Z$46*'Assumptions'!$D$11*(1+'Assumptions'!$D$13)^(7-1)</x:f>
        <x:v>79.87617079501531</x:v>
      </x:c>
      <x:c r="S792" s="10" t="n">
        <x:f>IF(I792=0,0,J792*'Assumptions'!$W$46+H792*'Assumptions'!$X$46)</x:f>
        <x:v>390.6670074660001</x:v>
      </x:c>
      <x:c r="T792" s="10" t="n">
        <x:f>N792*'Assumptions'!$AA$46</x:f>
        <x:v>519.1054756740001</x:v>
      </x:c>
      <x:c r="U792" s="10" t="n">
        <x:f>'Assumptions'!$AE$46*'Assumptions'!$D$11*(1+'Assumptions'!$D$13)^(7-1)</x:f>
        <x:v>0</x:v>
      </x:c>
      <x:c r="V792" s="10" t="n">
        <x:f>0</x:f>
        <x:v>0</x:v>
      </x:c>
      <x:c r="W792" s="10" t="n">
        <x:f>H792*('Assumptions'!$P$46+'Assumptions'!$Y$46)</x:f>
        <x:v>55.745862937500014</x:v>
      </x:c>
      <x:c r="X792" s="10" t="n">
        <x:f>N792/12*'Assumptions'!$AF$46</x:f>
        <x:v>1081.4697409875002</x:v>
      </x:c>
      <x:c r="Y792" s="10" t="n">
        <x:f>P792/12</x:f>
        <x:v>8.875130088335036</x:v>
      </x:c>
      <x:c r="Z792" s="10" t="n">
        <x:f>0</x:f>
        <x:v>0</x:v>
      </x:c>
      <x:c r="AA792" s="10" t="n">
        <x:f>Z792*'Assumptions'!$AC$46*'Assumptions'!$D$11*(1+'Assumptions'!$D$13)^(7-1)</x:f>
        <x:v>0</x:v>
      </x:c>
      <x:c r="AB792" s="10" t="n">
        <x:f>F792/1</x:f>
        <x:v>4.659791070000002</x:v>
      </x:c>
      <x:c r="AC792" s="10" t="n">
        <x:f>AB792/'Assumptions'!$AM$46</x:f>
        <x:v>23.298955350000007</x:v>
      </x:c>
      <x:c r="AD792" s="10" t="n">
        <x:f>IF(AB792=0,0,T792/AB792)</x:f>
        <x:v>111.40101946115793</x:v>
      </x:c>
      <x:c r="AE792" s="10" t="n">
        <x:f>AA792*'Assumptions'!$D$21</x:f>
        <x:v>0</x:v>
      </x:c>
    </x:row>
    <x:row r="793" ht="16" customHeight="1">
      <x:c r="A793" s="1"/>
      <x:c r="B793" s="1"/>
      <x:c r="C793" s="1" t="str">
        <x:v>DOT-018</x:v>
      </x:c>
      <x:c r="D793" s="10" t="str">
        <x:v>BPA professional services</x:v>
      </x:c>
      <x:c r="E793" s="10" t="n">
        <x:v>7</x:v>
      </x:c>
      <x:c r="F793" s="21" t="n">
        <x:f>F665*(1+'Assumptions'!$M$47)</x:f>
        <x:v>6.213054760000003</x:v>
      </x:c>
      <x:c r="G793" s="21" t="n">
        <x:f>H665*'Assumptions'!$K$47</x:f>
        <x:v>5.679396000000002</x:v>
      </x:c>
      <x:c r="H793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793+G793,NA())</x:f>
        <x:v>11.892450760000006</x:v>
      </x:c>
      <x:c r="I793" s="22" t="n">
        <x:f>'Assumptions'!$H$47*IF('Assumptions'!$O$47=1,1,'Assumptions'!$D$10)*(1+'Assumptions'!$N$47)^(7-1)</x:f>
        <x:v>1200</x:v>
      </x:c>
      <x:c r="J793" s="10" t="n">
        <x:f>H793*I793</x:f>
        <x:v>14270.940912000007</x:v>
      </x:c>
      <x:c r="K793" s="10" t="n">
        <x:f>J793*'Assumptions'!$T$47</x:f>
        <x:v>14270.940912000007</x:v>
      </x:c>
      <x:c r="L793" s="10" t="n">
        <x:f>K793*'Assumptions'!$U$47</x:f>
        <x:v>428.1282273600002</x:v>
      </x:c>
      <x:c r="M793" s="10" t="n">
        <x:f>K793*'Assumptions'!$V$47</x:f>
        <x:v>0</x:v>
      </x:c>
      <x:c r="N793" s="10" t="n">
        <x:f>K793-L793-M793</x:f>
        <x:v>13842.812684640006</x:v>
      </x:c>
      <x:c r="O793" s="10" t="n">
        <x:f>H793*'Assumptions'!$P$47*'Assumptions'!$Q$47*'Assumptions'!$D$11*(1+'Assumptions'!$D$13)^(7-1)</x:f>
        <x:v>3408.0499539206544</x:v>
      </x:c>
      <x:c r="P793" s="10" t="n">
        <x:f>H793*'Assumptions'!$R$47*'Assumptions'!$D$11*(1+'Assumptions'!$D$13)^(7-1)</x:f>
        <x:v>142.0020814133606</x:v>
      </x:c>
      <x:c r="Q793" s="10" t="n">
        <x:f>J793*'Assumptions'!$S$47</x:f>
        <x:v>0</x:v>
      </x:c>
      <x:c r="R793" s="10" t="n">
        <x:f>H793*'Assumptions'!$Y$47*'Assumptions'!$Z$47*'Assumptions'!$D$11*(1+'Assumptions'!$D$13)^(7-1)</x:f>
        <x:v>106.50156106002045</x:v>
      </x:c>
      <x:c r="S793" s="10" t="n">
        <x:f>IF(I793=0,0,J793*'Assumptions'!$W$47+H793*'Assumptions'!$X$47)</x:f>
        <x:v>417.42502167600026</x:v>
      </x:c>
      <x:c r="T793" s="10" t="n">
        <x:f>N793*'Assumptions'!$AA$47</x:f>
        <x:v>553.7125073856002</x:v>
      </x:c>
      <x:c r="U793" s="10" t="n">
        <x:f>'Assumptions'!$AE$47*'Assumptions'!$D$11*(1+'Assumptions'!$D$13)^(7-1)</x:f>
        <x:v>0</x:v>
      </x:c>
      <x:c r="V793" s="10" t="n">
        <x:f>0</x:f>
        <x:v>0</x:v>
      </x:c>
      <x:c r="W793" s="10" t="n">
        <x:f>H793*('Assumptions'!$P$47+'Assumptions'!$Y$47)</x:f>
        <x:v>50.542915730000026</x:v>
      </x:c>
      <x:c r="X793" s="10" t="n">
        <x:f>N793/12*'Assumptions'!$AF$47</x:f>
        <x:v>1153.5677237200005</x:v>
      </x:c>
      <x:c r="Y793" s="10" t="n">
        <x:f>P793/12</x:f>
        <x:v>11.833506784446717</x:v>
      </x:c>
      <x:c r="Z793" s="10" t="n">
        <x:f>0</x:f>
        <x:v>0</x:v>
      </x:c>
      <x:c r="AA793" s="10" t="n">
        <x:f>Z793*'Assumptions'!$AC$47*'Assumptions'!$D$11*(1+'Assumptions'!$D$13)^(7-1)</x:f>
        <x:v>0</x:v>
      </x:c>
      <x:c r="AB793" s="10" t="n">
        <x:f>F793/1</x:f>
        <x:v>6.213054760000003</x:v>
      </x:c>
      <x:c r="AC793" s="10" t="n">
        <x:f>AB793/'Assumptions'!$AM$47</x:f>
        <x:v>31.065273800000014</x:v>
      </x:c>
      <x:c r="AD793" s="10" t="n">
        <x:f>IF(AB793=0,0,T793/AB793)</x:f>
        <x:v>89.12081556892635</x:v>
      </x:c>
      <x:c r="AE793" s="10" t="n">
        <x:f>AA793*'Assumptions'!$D$21</x:f>
        <x:v>0</x:v>
      </x:c>
    </x:row>
    <x:row r="794" ht="16" customHeight="1">
      <x:c r="A794" s="1"/>
      <x:c r="B794" s="1"/>
      <x:c r="C794" s="1" t="str">
        <x:v>DOT-019</x:v>
      </x:c>
      <x:c r="D794" s="10" t="str">
        <x:v>BPA professional services</x:v>
      </x:c>
      <x:c r="E794" s="10" t="n">
        <x:v>7</x:v>
      </x:c>
      <x:c r="F794" s="21" t="n">
        <x:f>F666*(1+'Assumptions'!$M$48)</x:f>
        <x:v>3.1065273800000015</x:v>
      </x:c>
      <x:c r="G794" s="21" t="n">
        <x:f>H666*'Assumptions'!$K$48</x:f>
        <x:v>2.839698000000001</x:v>
      </x:c>
      <x:c r="H794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794+G794,NA())</x:f>
        <x:v>5.946225380000003</x:v>
      </x:c>
      <x:c r="I794" s="22" t="n">
        <x:f>'Assumptions'!$H$48*IF('Assumptions'!$O$48=1,1,'Assumptions'!$D$10)*(1+'Assumptions'!$N$48)^(7-1)</x:f>
        <x:v>3000</x:v>
      </x:c>
      <x:c r="J794" s="10" t="n">
        <x:f>H794*I794</x:f>
        <x:v>17838.67614000001</x:v>
      </x:c>
      <x:c r="K794" s="10" t="n">
        <x:f>J794*'Assumptions'!$T$48</x:f>
        <x:v>17838.67614000001</x:v>
      </x:c>
      <x:c r="L794" s="10" t="n">
        <x:f>K794*'Assumptions'!$U$48</x:f>
        <x:v>535.1602842000003</x:v>
      </x:c>
      <x:c r="M794" s="10" t="n">
        <x:f>K794*'Assumptions'!$V$48</x:f>
        <x:v>0</x:v>
      </x:c>
      <x:c r="N794" s="10" t="n">
        <x:f>K794-L794-M794</x:f>
        <x:v>17303.51585580001</x:v>
      </x:c>
      <x:c r="O794" s="10" t="n">
        <x:f>H794*'Assumptions'!$P$48*'Assumptions'!$Q$48*'Assumptions'!$D$11*(1+'Assumptions'!$D$13)^(7-1)</x:f>
        <x:v>5112.074930880982</x:v>
      </x:c>
      <x:c r="P794" s="10" t="n">
        <x:f>H794*'Assumptions'!$R$48*'Assumptions'!$D$11*(1+'Assumptions'!$D$13)^(7-1)</x:f>
        <x:v>71.0010407066803</x:v>
      </x:c>
      <x:c r="Q794" s="10" t="n">
        <x:f>J794*'Assumptions'!$S$48</x:f>
        <x:v>0</x:v>
      </x:c>
      <x:c r="R794" s="10" t="n">
        <x:f>H794*'Assumptions'!$Y$48*'Assumptions'!$Z$48*'Assumptions'!$D$11*(1+'Assumptions'!$D$13)^(7-1)</x:f>
        <x:v>53.250780530010225</x:v>
      </x:c>
      <x:c r="S794" s="10" t="n">
        <x:f>IF(I794=0,0,J794*'Assumptions'!$W$48+H794*'Assumptions'!$X$48)</x:f>
        <x:v>519.1054756740003</x:v>
      </x:c>
      <x:c r="T794" s="10" t="n">
        <x:f>N794*'Assumptions'!$AA$48</x:f>
        <x:v>692.1406342320005</x:v>
      </x:c>
      <x:c r="U794" s="10" t="n">
        <x:f>'Assumptions'!$AE$48*'Assumptions'!$D$11*(1+'Assumptions'!$D$13)^(7-1)</x:f>
        <x:v>0</x:v>
      </x:c>
      <x:c r="V794" s="10" t="n">
        <x:f>0</x:f>
        <x:v>0</x:v>
      </x:c>
      <x:c r="W794" s="10" t="n">
        <x:f>H794*('Assumptions'!$P$48+'Assumptions'!$Y$48)</x:f>
        <x:v>72.84126090500004</x:v>
      </x:c>
      <x:c r="X794" s="10" t="n">
        <x:f>N794/12*'Assumptions'!$AF$48</x:f>
        <x:v>1441.9596546500009</x:v>
      </x:c>
      <x:c r="Y794" s="10" t="n">
        <x:f>P794/12</x:f>
        <x:v>5.916753392223359</x:v>
      </x:c>
      <x:c r="Z794" s="10" t="n">
        <x:f>0</x:f>
        <x:v>0</x:v>
      </x:c>
      <x:c r="AA794" s="10" t="n">
        <x:f>Z794*'Assumptions'!$AC$48*'Assumptions'!$D$11*(1+'Assumptions'!$D$13)^(7-1)</x:f>
        <x:v>0</x:v>
      </x:c>
      <x:c r="AB794" s="10" t="n">
        <x:f>F794/1</x:f>
        <x:v>3.1065273800000015</x:v>
      </x:c>
      <x:c r="AC794" s="10" t="n">
        <x:f>AB794/'Assumptions'!$AM$48</x:f>
        <x:v>15.532636900000007</x:v>
      </x:c>
      <x:c r="AD794" s="10" t="n">
        <x:f>IF(AB794=0,0,T794/AB794)</x:f>
        <x:v>222.80203892231594</x:v>
      </x:c>
      <x:c r="AE794" s="10" t="n">
        <x:f>AA794*'Assumptions'!$D$21</x:f>
        <x:v>0</x:v>
      </x:c>
    </x:row>
    <x:row r="795" ht="16" customHeight="1">
      <x:c r="A795" s="1"/>
      <x:c r="B795" s="1"/>
      <x:c r="C795" s="1" t="str">
        <x:v>DOT-020</x:v>
      </x:c>
      <x:c r="D795" s="10" t="str">
        <x:v>BPA professional services</x:v>
      </x:c>
      <x:c r="E795" s="10" t="n">
        <x:v>7</x:v>
      </x:c>
      <x:c r="F795" s="21" t="n">
        <x:f>F667*(1+'Assumptions'!$M$49)</x:f>
        <x:v>4.659791070000002</x:v>
      </x:c>
      <x:c r="G795" s="21" t="n">
        <x:f>H667*'Assumptions'!$K$49</x:f>
        <x:v>4.259547000000001</x:v>
      </x:c>
      <x:c r="H795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795+G795,NA())</x:f>
        <x:v>8.919338070000002</x:v>
      </x:c>
      <x:c r="I795" s="22" t="n">
        <x:f>'Assumptions'!$H$49*IF('Assumptions'!$O$49=1,1,'Assumptions'!$D$10)*(1+'Assumptions'!$N$49)^(7-1)</x:f>
        <x:v>1800</x:v>
      </x:c>
      <x:c r="J795" s="10" t="n">
        <x:f>H795*I795</x:f>
        <x:v>16054.808526000004</x:v>
      </x:c>
      <x:c r="K795" s="10" t="n">
        <x:f>J795*'Assumptions'!$T$49</x:f>
        <x:v>16054.808526000004</x:v>
      </x:c>
      <x:c r="L795" s="10" t="n">
        <x:f>K795*'Assumptions'!$U$49</x:f>
        <x:v>481.6442557800001</x:v>
      </x:c>
      <x:c r="M795" s="10" t="n">
        <x:f>K795*'Assumptions'!$V$49</x:f>
        <x:v>0</x:v>
      </x:c>
      <x:c r="N795" s="10" t="n">
        <x:f>K795-L795-M795</x:f>
        <x:v>15573.164270220004</x:v>
      </x:c>
      <x:c r="O795" s="10" t="n">
        <x:f>H795*'Assumptions'!$P$49*'Assumptions'!$Q$49*'Assumptions'!$D$11*(1+'Assumptions'!$D$13)^(7-1)</x:f>
        <x:v>3834.056198160735</x:v>
      </x:c>
      <x:c r="P795" s="10" t="n">
        <x:f>H795*'Assumptions'!$R$49*'Assumptions'!$D$11*(1+'Assumptions'!$D$13)^(7-1)</x:f>
        <x:v>106.50156106002042</x:v>
      </x:c>
      <x:c r="Q795" s="10" t="n">
        <x:f>J795*'Assumptions'!$S$49</x:f>
        <x:v>0</x:v>
      </x:c>
      <x:c r="R795" s="10" t="n">
        <x:f>H795*'Assumptions'!$Y$49*'Assumptions'!$Z$49*'Assumptions'!$D$11*(1+'Assumptions'!$D$13)^(7-1)</x:f>
        <x:v>79.87617079501531</x:v>
      </x:c>
      <x:c r="S795" s="10" t="n">
        <x:f>IF(I795=0,0,J795*'Assumptions'!$W$49+H795*'Assumptions'!$X$49)</x:f>
        <x:v>468.2652486750002</x:v>
      </x:c>
      <x:c r="T795" s="10" t="n">
        <x:f>N795*'Assumptions'!$AA$49</x:f>
        <x:v>622.9265708088002</x:v>
      </x:c>
      <x:c r="U795" s="10" t="n">
        <x:f>'Assumptions'!$AE$49*'Assumptions'!$D$11*(1+'Assumptions'!$D$13)^(7-1)</x:f>
        <x:v>0</x:v>
      </x:c>
      <x:c r="V795" s="10" t="n">
        <x:f>0</x:f>
        <x:v>0</x:v>
      </x:c>
      <x:c r="W795" s="10" t="n">
        <x:f>H795*('Assumptions'!$P$49+'Assumptions'!$Y$49)</x:f>
        <x:v>55.745862937500014</x:v>
      </x:c>
      <x:c r="X795" s="10" t="n">
        <x:f>N795/12*'Assumptions'!$AF$49</x:f>
        <x:v>1297.7636891850004</x:v>
      </x:c>
      <x:c r="Y795" s="10" t="n">
        <x:f>P795/12</x:f>
        <x:v>8.875130088335036</x:v>
      </x:c>
      <x:c r="Z795" s="10" t="n">
        <x:f>0</x:f>
        <x:v>0</x:v>
      </x:c>
      <x:c r="AA795" s="10" t="n">
        <x:f>Z795*'Assumptions'!$AC$49*'Assumptions'!$D$11*(1+'Assumptions'!$D$13)^(7-1)</x:f>
        <x:v>0</x:v>
      </x:c>
      <x:c r="AB795" s="10" t="n">
        <x:f>F795/1</x:f>
        <x:v>4.659791070000002</x:v>
      </x:c>
      <x:c r="AC795" s="10" t="n">
        <x:f>AB795/'Assumptions'!$AM$49</x:f>
        <x:v>23.298955350000007</x:v>
      </x:c>
      <x:c r="AD795" s="10" t="n">
        <x:f>IF(AB795=0,0,T795/AB795)</x:f>
        <x:v>133.68122335338953</x:v>
      </x:c>
      <x:c r="AE795" s="10" t="n">
        <x:f>AA795*'Assumptions'!$D$21</x:f>
        <x:v>0</x:v>
      </x:c>
    </x:row>
    <x:row r="796" ht="16" customHeight="1">
      <x:c r="A796" s="1"/>
      <x:c r="B796" s="1"/>
      <x:c r="C796" s="1" t="str">
        <x:v>DOT-021</x:v>
      </x:c>
      <x:c r="D796" s="10" t="str">
        <x:v>BPA professional services</x:v>
      </x:c>
      <x:c r="E796" s="10" t="n">
        <x:v>7</x:v>
      </x:c>
      <x:c r="F796" s="21" t="n">
        <x:f>F668*(1+'Assumptions'!$M$50)</x:f>
        <x:v>3.1065273800000015</x:v>
      </x:c>
      <x:c r="G796" s="21" t="n">
        <x:f>H668*'Assumptions'!$K$50</x:f>
        <x:v>2.839698000000001</x:v>
      </x:c>
      <x:c r="H796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796+G796,NA())</x:f>
        <x:v>5.946225380000003</x:v>
      </x:c>
      <x:c r="I796" s="22" t="n">
        <x:f>'Assumptions'!$H$50*IF('Assumptions'!$O$50=1,1,'Assumptions'!$D$10)*(1+'Assumptions'!$N$50)^(7-1)</x:f>
        <x:v>4200</x:v>
      </x:c>
      <x:c r="J796" s="10" t="n">
        <x:f>H796*I796</x:f>
        <x:v>24974.146596000013</x:v>
      </x:c>
      <x:c r="K796" s="10" t="n">
        <x:f>J796*'Assumptions'!$T$50</x:f>
        <x:v>24974.146596000013</x:v>
      </x:c>
      <x:c r="L796" s="10" t="n">
        <x:f>K796*'Assumptions'!$U$50</x:f>
        <x:v>749.2243978800004</x:v>
      </x:c>
      <x:c r="M796" s="10" t="n">
        <x:f>K796*'Assumptions'!$V$50</x:f>
        <x:v>0</x:v>
      </x:c>
      <x:c r="N796" s="10" t="n">
        <x:f>K796-L796-M796</x:f>
        <x:v>24224.922198120013</x:v>
      </x:c>
      <x:c r="O796" s="10" t="n">
        <x:f>H796*'Assumptions'!$P$50*'Assumptions'!$Q$50*'Assumptions'!$D$11*(1+'Assumptions'!$D$13)^(7-1)</x:f>
        <x:v>5112.074930880982</x:v>
      </x:c>
      <x:c r="P796" s="10" t="n">
        <x:f>H796*'Assumptions'!$R$50*'Assumptions'!$D$11*(1+'Assumptions'!$D$13)^(7-1)</x:f>
        <x:v>71.0010407066803</x:v>
      </x:c>
      <x:c r="Q796" s="10" t="n">
        <x:f>J796*'Assumptions'!$S$50</x:f>
        <x:v>0</x:v>
      </x:c>
      <x:c r="R796" s="10" t="n">
        <x:f>H796*'Assumptions'!$Y$50*'Assumptions'!$Z$50*'Assumptions'!$D$11*(1+'Assumptions'!$D$13)^(7-1)</x:f>
        <x:v>53.250780530010225</x:v>
      </x:c>
      <x:c r="S796" s="10" t="n">
        <x:f>IF(I796=0,0,J796*'Assumptions'!$W$50+H796*'Assumptions'!$X$50)</x:f>
        <x:v>726.0341188980004</x:v>
      </x:c>
      <x:c r="T796" s="10" t="n">
        <x:f>N796*'Assumptions'!$AA$50</x:f>
        <x:v>968.9968879248006</x:v>
      </x:c>
      <x:c r="U796" s="10" t="n">
        <x:f>'Assumptions'!$AE$50*'Assumptions'!$D$11*(1+'Assumptions'!$D$13)^(7-1)</x:f>
        <x:v>0</x:v>
      </x:c>
      <x:c r="V796" s="10" t="n">
        <x:f>0</x:f>
        <x:v>0</x:v>
      </x:c>
      <x:c r="W796" s="10" t="n">
        <x:f>H796*('Assumptions'!$P$50+'Assumptions'!$Y$50)</x:f>
        <x:v>72.84126090500004</x:v>
      </x:c>
      <x:c r="X796" s="10" t="n">
        <x:f>N796/12*'Assumptions'!$AF$50</x:f>
        <x:v>2018.7435165100012</x:v>
      </x:c>
      <x:c r="Y796" s="10" t="n">
        <x:f>P796/12</x:f>
        <x:v>5.916753392223359</x:v>
      </x:c>
      <x:c r="Z796" s="10" t="n">
        <x:f>0</x:f>
        <x:v>0</x:v>
      </x:c>
      <x:c r="AA796" s="10" t="n">
        <x:f>Z796*'Assumptions'!$AC$50*'Assumptions'!$D$11*(1+'Assumptions'!$D$13)^(7-1)</x:f>
        <x:v>0</x:v>
      </x:c>
      <x:c r="AB796" s="10" t="n">
        <x:f>F796/1</x:f>
        <x:v>3.1065273800000015</x:v>
      </x:c>
      <x:c r="AC796" s="10" t="n">
        <x:f>AB796/'Assumptions'!$AM$50</x:f>
        <x:v>15.532636900000007</x:v>
      </x:c>
      <x:c r="AD796" s="10" t="n">
        <x:f>IF(AB796=0,0,T796/AB796)</x:f>
        <x:v>311.9228544912423</x:v>
      </x:c>
      <x:c r="AE796" s="10" t="n">
        <x:f>AA796*'Assumptions'!$D$21</x:f>
        <x:v>0</x:v>
      </x:c>
    </x:row>
    <x:row r="797" ht="16" customHeight="1">
      <x:c r="A797" s="1"/>
      <x:c r="B797" s="1"/>
      <x:c r="C797" s="1" t="str">
        <x:v>DOT-022</x:v>
      </x:c>
      <x:c r="D797" s="10" t="str">
        <x:v>BPA professional services</x:v>
      </x:c>
      <x:c r="E797" s="10" t="n">
        <x:v>7</x:v>
      </x:c>
      <x:c r="F797" s="21" t="n">
        <x:f>F669*(1+'Assumptions'!$M$51)</x:f>
        <x:v>12.426109520000006</x:v>
      </x:c>
      <x:c r="G797" s="21" t="n">
        <x:f>H669*'Assumptions'!$K$51</x:f>
        <x:v>11.358792000000005</x:v>
      </x:c>
      <x:c r="H797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797+G797,NA())</x:f>
        <x:v>23.784901520000012</x:v>
      </x:c>
      <x:c r="I797" s="22" t="n">
        <x:f>'Assumptions'!$H$51*IF('Assumptions'!$O$51=1,1,'Assumptions'!$D$10)*(1+'Assumptions'!$N$51)^(7-1)</x:f>
        <x:v>900</x:v>
      </x:c>
      <x:c r="J797" s="10" t="n">
        <x:f>H797*I797</x:f>
        <x:v>21406.411368000012</x:v>
      </x:c>
      <x:c r="K797" s="10" t="n">
        <x:f>J797*'Assumptions'!$T$51</x:f>
        <x:v>21406.411368000012</x:v>
      </x:c>
      <x:c r="L797" s="10" t="n">
        <x:f>K797*'Assumptions'!$U$51</x:f>
        <x:v>642.1923410400003</x:v>
      </x:c>
      <x:c r="M797" s="10" t="n">
        <x:f>K797*'Assumptions'!$V$51</x:f>
        <x:v>0</x:v>
      </x:c>
      <x:c r="N797" s="10" t="n">
        <x:f>K797-L797-M797</x:f>
        <x:v>20764.21902696001</x:v>
      </x:c>
      <x:c r="O797" s="10" t="n">
        <x:f>H797*'Assumptions'!$P$51*'Assumptions'!$Q$51*'Assumptions'!$D$11*(1+'Assumptions'!$D$13)^(7-1)</x:f>
        <x:v>5112.074930880982</x:v>
      </x:c>
      <x:c r="P797" s="10" t="n">
        <x:f>H797*'Assumptions'!$R$51*'Assumptions'!$D$11*(1+'Assumptions'!$D$13)^(7-1)</x:f>
        <x:v>284.0041628267212</x:v>
      </x:c>
      <x:c r="Q797" s="10" t="n">
        <x:f>J797*'Assumptions'!$S$51</x:f>
        <x:v>0</x:v>
      </x:c>
      <x:c r="R797" s="10" t="n">
        <x:f>H797*'Assumptions'!$Y$51*'Assumptions'!$Z$51*'Assumptions'!$D$11*(1+'Assumptions'!$D$13)^(7-1)</x:f>
        <x:v>213.0031221200409</x:v>
      </x:c>
      <x:c r="S797" s="10" t="n">
        <x:f>IF(I797=0,0,J797*'Assumptions'!$W$51+H797*'Assumptions'!$X$51)</x:f>
        <x:v>627.9214001280004</x:v>
      </x:c>
      <x:c r="T797" s="10" t="n">
        <x:f>N797*'Assumptions'!$AA$51</x:f>
        <x:v>830.5687610784005</x:v>
      </x:c>
      <x:c r="U797" s="10" t="n">
        <x:f>'Assumptions'!$AE$51*'Assumptions'!$D$11*(1+'Assumptions'!$D$13)^(7-1)</x:f>
        <x:v>0</x:v>
      </x:c>
      <x:c r="V797" s="10" t="n">
        <x:f>0</x:f>
        <x:v>0</x:v>
      </x:c>
      <x:c r="W797" s="10" t="n">
        <x:f>H797*('Assumptions'!$P$51+'Assumptions'!$Y$51)</x:f>
        <x:v>77.30092994000005</x:v>
      </x:c>
      <x:c r="X797" s="10" t="n">
        <x:f>N797/12*'Assumptions'!$AF$51</x:f>
        <x:v>1730.3515855800008</x:v>
      </x:c>
      <x:c r="Y797" s="10" t="n">
        <x:f>P797/12</x:f>
        <x:v>23.667013568893434</x:v>
      </x:c>
      <x:c r="Z797" s="10" t="n">
        <x:f>0</x:f>
        <x:v>0</x:v>
      </x:c>
      <x:c r="AA797" s="10" t="n">
        <x:f>Z797*'Assumptions'!$AC$51*'Assumptions'!$D$11*(1+'Assumptions'!$D$13)^(7-1)</x:f>
        <x:v>0</x:v>
      </x:c>
      <x:c r="AB797" s="10" t="n">
        <x:f>F797/1</x:f>
        <x:v>12.426109520000006</x:v>
      </x:c>
      <x:c r="AC797" s="10" t="n">
        <x:f>AB797/'Assumptions'!$AM$51</x:f>
        <x:v>62.13054760000003</x:v>
      </x:c>
      <x:c r="AD797" s="10" t="n">
        <x:f>IF(AB797=0,0,T797/AB797)</x:f>
        <x:v>66.84061167669478</x:v>
      </x:c>
      <x:c r="AE797" s="10" t="n">
        <x:f>AA797*'Assumptions'!$D$21</x:f>
        <x:v>0</x:v>
      </x:c>
    </x:row>
    <x:row r="798" ht="16" customHeight="1">
      <x:c r="A798" s="1"/>
      <x:c r="B798" s="1"/>
      <x:c r="C798" s="1" t="str">
        <x:v>DOT-023</x:v>
      </x:c>
      <x:c r="D798" s="10" t="str">
        <x:v>BPA professional services</x:v>
      </x:c>
      <x:c r="E798" s="10" t="n">
        <x:v>7</x:v>
      </x:c>
      <x:c r="F798" s="21" t="n">
        <x:f>F670*(1+'Assumptions'!$M$52)</x:f>
        <x:v>7.766318450000002</x:v>
      </x:c>
      <x:c r="G798" s="21" t="n">
        <x:f>H670*'Assumptions'!$K$52</x:f>
        <x:v>7.099245000000002</x:v>
      </x:c>
      <x:c r="H798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798+G798,NA())</x:f>
        <x:v>14.865563450000003</x:v>
      </x:c>
      <x:c r="I798" s="22" t="n">
        <x:f>'Assumptions'!$H$52*IF('Assumptions'!$O$52=1,1,'Assumptions'!$D$10)*(1+'Assumptions'!$N$52)^(7-1)</x:f>
        <x:v>1800</x:v>
      </x:c>
      <x:c r="J798" s="10" t="n">
        <x:f>H798*I798</x:f>
        <x:v>26758.014210000005</x:v>
      </x:c>
      <x:c r="K798" s="10" t="n">
        <x:f>J798*'Assumptions'!$T$52</x:f>
        <x:v>26758.014210000005</x:v>
      </x:c>
      <x:c r="L798" s="10" t="n">
        <x:f>K798*'Assumptions'!$U$52</x:f>
        <x:v>802.7404263000001</x:v>
      </x:c>
      <x:c r="M798" s="10" t="n">
        <x:f>K798*'Assumptions'!$V$52</x:f>
        <x:v>0</x:v>
      </x:c>
      <x:c r="N798" s="10" t="n">
        <x:f>K798-L798-M798</x:f>
        <x:v>25955.273783700006</x:v>
      </x:c>
      <x:c r="O798" s="10" t="n">
        <x:f>H798*'Assumptions'!$P$52*'Assumptions'!$Q$52*'Assumptions'!$D$11*(1+'Assumptions'!$D$13)^(7-1)</x:f>
        <x:v>6390.093663601226</x:v>
      </x:c>
      <x:c r="P798" s="10" t="n">
        <x:f>H798*'Assumptions'!$R$52*'Assumptions'!$D$11*(1+'Assumptions'!$D$13)^(7-1)</x:f>
        <x:v>177.50260176670068</x:v>
      </x:c>
      <x:c r="Q798" s="10" t="n">
        <x:f>J798*'Assumptions'!$S$52</x:f>
        <x:v>0</x:v>
      </x:c>
      <x:c r="R798" s="10" t="n">
        <x:f>H798*'Assumptions'!$Y$52*'Assumptions'!$Z$52*'Assumptions'!$D$11*(1+'Assumptions'!$D$13)^(7-1)</x:f>
        <x:v>133.12695132502554</x:v>
      </x:c>
      <x:c r="S798" s="10" t="n">
        <x:f>IF(I798=0,0,J798*'Assumptions'!$W$52+H798*'Assumptions'!$X$52)</x:f>
        <x:v>780.4420811250002</x:v>
      </x:c>
      <x:c r="T798" s="10" t="n">
        <x:f>N798*'Assumptions'!$AA$52</x:f>
        <x:v>1038.2109513480002</x:v>
      </x:c>
      <x:c r="U798" s="10" t="n">
        <x:f>'Assumptions'!$AE$52*'Assumptions'!$D$11*(1+'Assumptions'!$D$13)^(7-1)</x:f>
        <x:v>0</x:v>
      </x:c>
      <x:c r="V798" s="10" t="n">
        <x:f>0</x:f>
        <x:v>0</x:v>
      </x:c>
      <x:c r="W798" s="10" t="n">
        <x:f>H798*('Assumptions'!$P$52+'Assumptions'!$Y$52)</x:f>
        <x:v>92.90977156250003</x:v>
      </x:c>
      <x:c r="X798" s="10" t="n">
        <x:f>N798/12*'Assumptions'!$AF$52</x:f>
        <x:v>2162.9394819750005</x:v>
      </x:c>
      <x:c r="Y798" s="10" t="n">
        <x:f>P798/12</x:f>
        <x:v>14.79188348055839</x:v>
      </x:c>
      <x:c r="Z798" s="10" t="n">
        <x:f>0</x:f>
        <x:v>0</x:v>
      </x:c>
      <x:c r="AA798" s="10" t="n">
        <x:f>Z798*'Assumptions'!$AC$52*'Assumptions'!$D$11*(1+'Assumptions'!$D$13)^(7-1)</x:f>
        <x:v>0</x:v>
      </x:c>
      <x:c r="AB798" s="10" t="n">
        <x:f>F798/1</x:f>
        <x:v>7.766318450000002</x:v>
      </x:c>
      <x:c r="AC798" s="10" t="n">
        <x:f>AB798/'Assumptions'!$AM$52</x:f>
        <x:v>38.83159225000001</x:v>
      </x:c>
      <x:c r="AD798" s="10" t="n">
        <x:f>IF(AB798=0,0,T798/AB798)</x:f>
        <x:v>133.68122335338953</x:v>
      </x:c>
      <x:c r="AE798" s="10" t="n">
        <x:f>AA798*'Assumptions'!$D$21</x:f>
        <x:v>0</x:v>
      </x:c>
    </x:row>
    <x:row r="799" ht="16" customHeight="1">
      <x:c r="A799" s="1"/>
      <x:c r="B799" s="1"/>
      <x:c r="C799" s="1" t="str">
        <x:v>DOT-024</x:v>
      </x:c>
      <x:c r="D799" s="10" t="str">
        <x:v>BPA professional services</x:v>
      </x:c>
      <x:c r="E799" s="10" t="n">
        <x:v>7</x:v>
      </x:c>
      <x:c r="F799" s="21" t="n">
        <x:f>F671*(1+'Assumptions'!$M$53)</x:f>
        <x:v>38.83159225000002</x:v>
      </x:c>
      <x:c r="G799" s="21" t="n">
        <x:f>H671*'Assumptions'!$K$53</x:f>
        <x:v>35.300912500000024</x:v>
      </x:c>
      <x:c r="H799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799+G799,NA())</x:f>
        <x:v>74.13250475000004</x:v>
      </x:c>
      <x:c r="I799" s="22" t="n">
        <x:f>'Assumptions'!$H$53*IF('Assumptions'!$O$53=1,1,'Assumptions'!$D$10)*(1+'Assumptions'!$N$53)^(7-1)</x:f>
        <x:v>540</x:v>
      </x:c>
      <x:c r="J799" s="10" t="n">
        <x:f>H799*I799</x:f>
        <x:v>40031.55256500002</x:v>
      </x:c>
      <x:c r="K799" s="10" t="n">
        <x:f>J799*'Assumptions'!$T$53</x:f>
        <x:v>40031.55256500002</x:v>
      </x:c>
      <x:c r="L799" s="10" t="n">
        <x:f>K799*'Assumptions'!$U$53</x:f>
        <x:v>1200.9465769500005</x:v>
      </x:c>
      <x:c r="M799" s="10" t="n">
        <x:f>K799*'Assumptions'!$V$53</x:f>
        <x:v>0</x:v>
      </x:c>
      <x:c r="N799" s="10" t="n">
        <x:f>K799-L799-M799</x:f>
        <x:v>38830.60598805002</x:v>
      </x:c>
      <x:c r="O799" s="10" t="n">
        <x:f>H799*'Assumptions'!$P$53*'Assumptions'!$Q$53*'Assumptions'!$D$11*(1+'Assumptions'!$D$13)^(7-1)</x:f>
        <x:v>10622.170505302147</x:v>
      </x:c>
      <x:c r="P799" s="10" t="n">
        <x:f>H799*'Assumptions'!$R$53*'Assumptions'!$D$11*(1+'Assumptions'!$D$13)^(7-1)</x:f>
        <x:v>885.1808754418456</x:v>
      </x:c>
      <x:c r="Q799" s="10" t="n">
        <x:f>J799*'Assumptions'!$S$53</x:f>
        <x:v>0</x:v>
      </x:c>
      <x:c r="R799" s="10" t="n">
        <x:f>H799*'Assumptions'!$Y$53*'Assumptions'!$Z$53*'Assumptions'!$D$11*(1+'Assumptions'!$D$13)^(7-1)</x:f>
        <x:v>663.8856565813842</x:v>
      </x:c>
      <x:c r="S799" s="10" t="n">
        <x:f>IF(I799=0,0,J799*'Assumptions'!$W$53+H799*'Assumptions'!$X$53)</x:f>
        <x:v>1183.1547758100007</x:v>
      </x:c>
      <x:c r="T799" s="10" t="n">
        <x:f>N799*'Assumptions'!$AA$53</x:f>
        <x:v>1553.2242395220007</x:v>
      </x:c>
      <x:c r="U799" s="10" t="n">
        <x:f>'Assumptions'!$AE$53*'Assumptions'!$D$11*(1+'Assumptions'!$D$13)^(7-1)</x:f>
        <x:v>0</x:v>
      </x:c>
      <x:c r="V799" s="10" t="n">
        <x:f>0</x:f>
        <x:v>0</x:v>
      </x:c>
      <x:c r="W799" s="10" t="n">
        <x:f>H799*('Assumptions'!$P$53+'Assumptions'!$Y$53)</x:f>
        <x:v>166.7981356875001</x:v>
      </x:c>
      <x:c r="X799" s="10" t="n">
        <x:f>N799/12*'Assumptions'!$AF$53</x:f>
        <x:v>3235.8838323375016</x:v>
      </x:c>
      <x:c r="Y799" s="10" t="n">
        <x:f>P799/12</x:f>
        <x:v>73.76507295348713</x:v>
      </x:c>
      <x:c r="Z799" s="10" t="n">
        <x:f>0</x:f>
        <x:v>0</x:v>
      </x:c>
      <x:c r="AA799" s="10" t="n">
        <x:f>Z799*'Assumptions'!$AC$53*'Assumptions'!$D$11*(1+'Assumptions'!$D$13)^(7-1)</x:f>
        <x:v>0</x:v>
      </x:c>
      <x:c r="AB799" s="10" t="n">
        <x:f>F799/1</x:f>
        <x:v>38.83159225000002</x:v>
      </x:c>
      <x:c r="AC799" s="10" t="n">
        <x:f>AB799/'Assumptions'!$AM$53</x:f>
        <x:v>194.15796125000008</x:v>
      </x:c>
      <x:c r="AD799" s="10" t="n">
        <x:f>IF(AB799=0,0,T799/AB799)</x:f>
        <x:v>39.99898406231333</x:v>
      </x:c>
      <x:c r="AE799" s="10" t="n">
        <x:f>AA799*'Assumptions'!$D$21</x:f>
        <x:v>0</x:v>
      </x:c>
    </x:row>
    <x:row r="800" ht="16" customHeight="1">
      <x:c r="A800" s="1"/>
      <x:c r="B800" s="1"/>
      <x:c r="C800" s="1" t="str">
        <x:v>DOT-025</x:v>
      </x:c>
      <x:c r="D800" s="10" t="str">
        <x:v>BPA professional services</x:v>
      </x:c>
      <x:c r="E800" s="10" t="n">
        <x:v>7</x:v>
      </x:c>
      <x:c r="F800" s="21" t="n">
        <x:f>F672*(1+'Assumptions'!$M$54)</x:f>
        <x:v>15.532636900000004</x:v>
      </x:c>
      <x:c r="G800" s="21" t="n">
        <x:f>H672*'Assumptions'!$K$54</x:f>
        <x:v>14.120365000000003</x:v>
      </x:c>
      <x:c r="H800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800+G800,NA())</x:f>
        <x:v>29.653001900000007</x:v>
      </x:c>
      <x:c r="I800" s="22" t="n">
        <x:f>'Assumptions'!$H$54*IF('Assumptions'!$O$54=1,1,'Assumptions'!$D$10)*(1+'Assumptions'!$N$54)^(7-1)</x:f>
        <x:v>1020</x:v>
      </x:c>
      <x:c r="J800" s="10" t="n">
        <x:f>H800*I800</x:f>
        <x:v>30246.061938000006</x:v>
      </x:c>
      <x:c r="K800" s="10" t="n">
        <x:f>J800*'Assumptions'!$T$54</x:f>
        <x:v>30246.061938000006</x:v>
      </x:c>
      <x:c r="L800" s="10" t="n">
        <x:f>K800*'Assumptions'!$U$54</x:f>
        <x:v>907.3818581400002</x:v>
      </x:c>
      <x:c r="M800" s="10" t="n">
        <x:f>K800*'Assumptions'!$V$54</x:f>
        <x:v>0</x:v>
      </x:c>
      <x:c r="N800" s="10" t="n">
        <x:f>K800-L800-M800</x:f>
        <x:v>29338.680079860005</x:v>
      </x:c>
      <x:c r="O800" s="10" t="n">
        <x:f>H800*'Assumptions'!$P$54*'Assumptions'!$Q$54*'Assumptions'!$D$11*(1+'Assumptions'!$D$13)^(7-1)</x:f>
        <x:v>10622.170505302143</x:v>
      </x:c>
      <x:c r="P800" s="10" t="n">
        <x:f>H800*'Assumptions'!$R$54*'Assumptions'!$D$11*(1+'Assumptions'!$D$13)^(7-1)</x:f>
        <x:v>354.0723501767381</x:v>
      </x:c>
      <x:c r="Q800" s="10" t="n">
        <x:f>J800*'Assumptions'!$S$54</x:f>
        <x:v>0</x:v>
      </x:c>
      <x:c r="R800" s="10" t="n">
        <x:f>H800*'Assumptions'!$Y$54*'Assumptions'!$Z$54*'Assumptions'!$D$11*(1+'Assumptions'!$D$13)^(7-1)</x:f>
        <x:v>265.5542626325536</x:v>
      </x:c>
      <x:c r="S800" s="10" t="n">
        <x:f>IF(I800=0,0,J800*'Assumptions'!$W$54+H800*'Assumptions'!$X$54)</x:f>
        <x:v>886.0316967720003</x:v>
      </x:c>
      <x:c r="T800" s="10" t="n">
        <x:f>N800*'Assumptions'!$AA$54</x:f>
        <x:v>1173.5472031944003</x:v>
      </x:c>
      <x:c r="U800" s="10" t="n">
        <x:f>'Assumptions'!$AE$54*'Assumptions'!$D$11*(1+'Assumptions'!$D$13)^(7-1)</x:f>
        <x:v>0</x:v>
      </x:c>
      <x:c r="V800" s="10" t="n">
        <x:f>0</x:f>
        <x:v>0</x:v>
      </x:c>
      <x:c r="W800" s="10" t="n">
        <x:f>H800*('Assumptions'!$P$54+'Assumptions'!$Y$54)</x:f>
        <x:v>155.67825997500003</x:v>
      </x:c>
      <x:c r="X800" s="10" t="n">
        <x:f>N800/12*'Assumptions'!$AF$54</x:f>
        <x:v>2444.8900066550004</x:v>
      </x:c>
      <x:c r="Y800" s="10" t="n">
        <x:f>P800/12</x:f>
        <x:v>29.50602918139484</x:v>
      </x:c>
      <x:c r="Z800" s="10" t="n">
        <x:f>0</x:f>
        <x:v>0</x:v>
      </x:c>
      <x:c r="AA800" s="10" t="n">
        <x:f>Z800*'Assumptions'!$AC$54*'Assumptions'!$D$11*(1+'Assumptions'!$D$13)^(7-1)</x:f>
        <x:v>0</x:v>
      </x:c>
      <x:c r="AB800" s="10" t="n">
        <x:f>F800/1</x:f>
        <x:v>15.532636900000004</x:v>
      </x:c>
      <x:c r="AC800" s="10" t="n">
        <x:f>AB800/'Assumptions'!$AM$54</x:f>
        <x:v>77.66318450000001</x:v>
      </x:c>
      <x:c r="AD800" s="10" t="n">
        <x:f>IF(AB800=0,0,T800/AB800)</x:f>
        <x:v>75.5536365621474</x:v>
      </x:c>
      <x:c r="AE800" s="10" t="n">
        <x:f>AA800*'Assumptions'!$D$21</x:f>
        <x:v>0</x:v>
      </x:c>
    </x:row>
    <x:row r="801" ht="16" customHeight="1">
      <x:c r="A801" s="1"/>
      <x:c r="B801" s="1"/>
      <x:c r="C801" s="1" t="str">
        <x:v>DOT-026</x:v>
      </x:c>
      <x:c r="D801" s="10" t="str">
        <x:v>BPA professional services</x:v>
      </x:c>
      <x:c r="E801" s="10" t="n">
        <x:v>7</x:v>
      </x:c>
      <x:c r="F801" s="21" t="n">
        <x:f>F673*(1+'Assumptions'!$M$55)</x:f>
        <x:v>6.213054760000003</x:v>
      </x:c>
      <x:c r="G801" s="21" t="n">
        <x:f>H673*'Assumptions'!$K$55</x:f>
        <x:v>5.648146000000002</x:v>
      </x:c>
      <x:c r="H801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801+G801,NA())</x:f>
        <x:v>11.861200760000006</x:v>
      </x:c>
      <x:c r="I801" s="22" t="n">
        <x:f>'Assumptions'!$H$55*IF('Assumptions'!$O$55=1,1,'Assumptions'!$D$10)*(1+'Assumptions'!$N$55)^(7-1)</x:f>
        <x:v>1800</x:v>
      </x:c>
      <x:c r="J801" s="10" t="n">
        <x:f>H801*I801</x:f>
        <x:v>21350.161368000012</x:v>
      </x:c>
      <x:c r="K801" s="10" t="n">
        <x:f>J801*'Assumptions'!$T$55</x:f>
        <x:v>21350.161368000012</x:v>
      </x:c>
      <x:c r="L801" s="10" t="n">
        <x:f>K801*'Assumptions'!$U$55</x:f>
        <x:v>640.5048410400003</x:v>
      </x:c>
      <x:c r="M801" s="10" t="n">
        <x:f>K801*'Assumptions'!$V$55</x:f>
        <x:v>0</x:v>
      </x:c>
      <x:c r="N801" s="10" t="n">
        <x:f>K801-L801-M801</x:f>
        <x:v>20709.65652696001</x:v>
      </x:c>
      <x:c r="O801" s="10" t="n">
        <x:f>H801*'Assumptions'!$P$55*'Assumptions'!$Q$55*'Assumptions'!$D$11*(1+'Assumptions'!$D$13)^(7-1)</x:f>
        <x:v>8497.736404241718</x:v>
      </x:c>
      <x:c r="P801" s="10" t="n">
        <x:f>H801*'Assumptions'!$R$55*'Assumptions'!$D$11*(1+'Assumptions'!$D$13)^(7-1)</x:f>
        <x:v>141.62894007069528</x:v>
      </x:c>
      <x:c r="Q801" s="10" t="n">
        <x:f>J801*'Assumptions'!$S$55</x:f>
        <x:v>0</x:v>
      </x:c>
      <x:c r="R801" s="10" t="n">
        <x:f>H801*'Assumptions'!$Y$55*'Assumptions'!$Z$55*'Assumptions'!$D$11*(1+'Assumptions'!$D$13)^(7-1)</x:f>
        <x:v>106.22170505302147</x:v>
      </x:c>
      <x:c r="S801" s="10" t="n">
        <x:f>IF(I801=0,0,J801*'Assumptions'!$W$55+H801*'Assumptions'!$X$55)</x:f>
        <x:v>622.7130399000004</x:v>
      </x:c>
      <x:c r="T801" s="10" t="n">
        <x:f>N801*'Assumptions'!$AA$55</x:f>
        <x:v>828.3862610784005</x:v>
      </x:c>
      <x:c r="U801" s="10" t="n">
        <x:f>'Assumptions'!$AE$55*'Assumptions'!$D$11*(1+'Assumptions'!$D$13)^(7-1)</x:f>
        <x:v>0</x:v>
      </x:c>
      <x:c r="V801" s="10" t="n">
        <x:f>0</x:f>
        <x:v>0</x:v>
      </x:c>
      <x:c r="W801" s="10" t="n">
        <x:f>H801*('Assumptions'!$P$55+'Assumptions'!$Y$55)</x:f>
        <x:v>121.57730779000006</x:v>
      </x:c>
      <x:c r="X801" s="10" t="n">
        <x:f>N801/12*'Assumptions'!$AF$55</x:f>
        <x:v>1725.8047105800008</x:v>
      </x:c>
      <x:c r="Y801" s="10" t="n">
        <x:f>P801/12</x:f>
        <x:v>11.80241167255794</x:v>
      </x:c>
      <x:c r="Z801" s="10" t="n">
        <x:f>0</x:f>
        <x:v>0</x:v>
      </x:c>
      <x:c r="AA801" s="10" t="n">
        <x:f>Z801*'Assumptions'!$AC$55*'Assumptions'!$D$11*(1+'Assumptions'!$D$13)^(7-1)</x:f>
        <x:v>0</x:v>
      </x:c>
      <x:c r="AB801" s="10" t="n">
        <x:f>F801/1</x:f>
        <x:v>6.213054760000003</x:v>
      </x:c>
      <x:c r="AC801" s="10" t="n">
        <x:f>AB801/'Assumptions'!$AM$55</x:f>
        <x:v>31.065273800000014</x:v>
      </x:c>
      <x:c r="AD801" s="10" t="n">
        <x:f>IF(AB801=0,0,T801/AB801)</x:f>
        <x:v>133.32994687437778</x:v>
      </x:c>
      <x:c r="AE801" s="10" t="n">
        <x:f>AA801*'Assumptions'!$D$21</x:f>
        <x:v>0</x:v>
      </x:c>
    </x:row>
    <x:row r="802" ht="16" customHeight="1">
      <x:c r="A802" s="1"/>
      <x:c r="B802" s="1"/>
      <x:c r="C802" s="1" t="str">
        <x:v>DOT-027</x:v>
      </x:c>
      <x:c r="D802" s="10" t="str">
        <x:v>BPA professional services</x:v>
      </x:c>
      <x:c r="E802" s="10" t="n">
        <x:v>7</x:v>
      </x:c>
      <x:c r="F802" s="21" t="n">
        <x:f>F674*(1+'Assumptions'!$M$56)</x:f>
        <x:v>6.213054760000003</x:v>
      </x:c>
      <x:c r="G802" s="21" t="n">
        <x:f>H674*'Assumptions'!$K$56</x:f>
        <x:v>5.648146000000002</x:v>
      </x:c>
      <x:c r="H802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802+G802,NA())</x:f>
        <x:v>11.861200760000006</x:v>
      </x:c>
      <x:c r="I802" s="22" t="n">
        <x:f>'Assumptions'!$H$56*IF('Assumptions'!$O$56=1,1,'Assumptions'!$D$10)*(1+'Assumptions'!$N$56)^(7-1)</x:f>
        <x:v>1800</x:v>
      </x:c>
      <x:c r="J802" s="10" t="n">
        <x:f>H802*I802</x:f>
        <x:v>21350.161368000012</x:v>
      </x:c>
      <x:c r="K802" s="10" t="n">
        <x:f>J802*'Assumptions'!$T$56</x:f>
        <x:v>21350.161368000012</x:v>
      </x:c>
      <x:c r="L802" s="10" t="n">
        <x:f>K802*'Assumptions'!$U$56</x:f>
        <x:v>640.5048410400003</x:v>
      </x:c>
      <x:c r="M802" s="10" t="n">
        <x:f>K802*'Assumptions'!$V$56</x:f>
        <x:v>0</x:v>
      </x:c>
      <x:c r="N802" s="10" t="n">
        <x:f>K802-L802-M802</x:f>
        <x:v>20709.65652696001</x:v>
      </x:c>
      <x:c r="O802" s="10" t="n">
        <x:f>H802*'Assumptions'!$P$56*'Assumptions'!$Q$56*'Assumptions'!$D$11*(1+'Assumptions'!$D$13)^(7-1)</x:f>
        <x:v>8497.736404241718</x:v>
      </x:c>
      <x:c r="P802" s="10" t="n">
        <x:f>H802*'Assumptions'!$R$56*'Assumptions'!$D$11*(1+'Assumptions'!$D$13)^(7-1)</x:f>
        <x:v>141.62894007069528</x:v>
      </x:c>
      <x:c r="Q802" s="10" t="n">
        <x:f>J802*'Assumptions'!$S$56</x:f>
        <x:v>0</x:v>
      </x:c>
      <x:c r="R802" s="10" t="n">
        <x:f>H802*'Assumptions'!$Y$56*'Assumptions'!$Z$56*'Assumptions'!$D$11*(1+'Assumptions'!$D$13)^(7-1)</x:f>
        <x:v>106.22170505302147</x:v>
      </x:c>
      <x:c r="S802" s="10" t="n">
        <x:f>IF(I802=0,0,J802*'Assumptions'!$W$56+H802*'Assumptions'!$X$56)</x:f>
        <x:v>622.7130399000004</x:v>
      </x:c>
      <x:c r="T802" s="10" t="n">
        <x:f>N802*'Assumptions'!$AA$56</x:f>
        <x:v>828.3862610784005</x:v>
      </x:c>
      <x:c r="U802" s="10" t="n">
        <x:f>'Assumptions'!$AE$56*'Assumptions'!$D$11*(1+'Assumptions'!$D$13)^(7-1)</x:f>
        <x:v>0</x:v>
      </x:c>
      <x:c r="V802" s="10" t="n">
        <x:f>0</x:f>
        <x:v>0</x:v>
      </x:c>
      <x:c r="W802" s="10" t="n">
        <x:f>H802*('Assumptions'!$P$56+'Assumptions'!$Y$56)</x:f>
        <x:v>121.57730779000006</x:v>
      </x:c>
      <x:c r="X802" s="10" t="n">
        <x:f>N802/12*'Assumptions'!$AF$56</x:f>
        <x:v>1725.8047105800008</x:v>
      </x:c>
      <x:c r="Y802" s="10" t="n">
        <x:f>P802/12</x:f>
        <x:v>11.80241167255794</x:v>
      </x:c>
      <x:c r="Z802" s="10" t="n">
        <x:f>0</x:f>
        <x:v>0</x:v>
      </x:c>
      <x:c r="AA802" s="10" t="n">
        <x:f>Z802*'Assumptions'!$AC$56*'Assumptions'!$D$11*(1+'Assumptions'!$D$13)^(7-1)</x:f>
        <x:v>0</x:v>
      </x:c>
      <x:c r="AB802" s="10" t="n">
        <x:f>F802/1</x:f>
        <x:v>6.213054760000003</x:v>
      </x:c>
      <x:c r="AC802" s="10" t="n">
        <x:f>AB802/'Assumptions'!$AM$56</x:f>
        <x:v>31.065273800000014</x:v>
      </x:c>
      <x:c r="AD802" s="10" t="n">
        <x:f>IF(AB802=0,0,T802/AB802)</x:f>
        <x:v>133.32994687437778</x:v>
      </x:c>
      <x:c r="AE802" s="10" t="n">
        <x:f>AA802*'Assumptions'!$D$21</x:f>
        <x:v>0</x:v>
      </x:c>
    </x:row>
    <x:row r="803" ht="16" customHeight="1">
      <x:c r="A803" s="1"/>
      <x:c r="B803" s="1"/>
      <x:c r="C803" s="1" t="str">
        <x:v>DOT-028</x:v>
      </x:c>
      <x:c r="D803" s="10" t="str">
        <x:v>BPA professional services</x:v>
      </x:c>
      <x:c r="E803" s="10" t="n">
        <x:v>7</x:v>
      </x:c>
      <x:c r="F803" s="21" t="n">
        <x:f>F675*(1+'Assumptions'!$M$57)</x:f>
        <x:v>3.1065273800000015</x:v>
      </x:c>
      <x:c r="G803" s="21" t="n">
        <x:f>H675*'Assumptions'!$K$57</x:f>
        <x:v>2.824073000000001</x:v>
      </x:c>
      <x:c r="H803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803+G803,NA())</x:f>
        <x:v>5.930600380000003</x:v>
      </x:c>
      <x:c r="I803" s="22" t="n">
        <x:f>'Assumptions'!$H$57*IF('Assumptions'!$O$57=1,1,'Assumptions'!$D$10)*(1+'Assumptions'!$N$57)^(7-1)</x:f>
        <x:v>1800</x:v>
      </x:c>
      <x:c r="J803" s="10" t="n">
        <x:f>H803*I803</x:f>
        <x:v>10675.080684000006</x:v>
      </x:c>
      <x:c r="K803" s="10" t="n">
        <x:f>J803*'Assumptions'!$T$57</x:f>
        <x:v>10675.080684000006</x:v>
      </x:c>
      <x:c r="L803" s="10" t="n">
        <x:f>K803*'Assumptions'!$U$57</x:f>
        <x:v>320.25242052000016</x:v>
      </x:c>
      <x:c r="M803" s="10" t="n">
        <x:f>K803*'Assumptions'!$V$57</x:f>
        <x:v>0</x:v>
      </x:c>
      <x:c r="N803" s="10" t="n">
        <x:f>K803-L803-M803</x:f>
        <x:v>10354.828263480005</x:v>
      </x:c>
      <x:c r="O803" s="10" t="n">
        <x:f>H803*'Assumptions'!$P$57*'Assumptions'!$Q$57*'Assumptions'!$D$11*(1+'Assumptions'!$D$13)^(7-1)</x:f>
        <x:v>5098.641842545031</x:v>
      </x:c>
      <x:c r="P803" s="10" t="n">
        <x:f>H803*'Assumptions'!$R$57*'Assumptions'!$D$11*(1+'Assumptions'!$D$13)^(7-1)</x:f>
        <x:v>70.81447003534764</x:v>
      </x:c>
      <x:c r="Q803" s="10" t="n">
        <x:f>J803*'Assumptions'!$S$57</x:f>
        <x:v>0</x:v>
      </x:c>
      <x:c r="R803" s="10" t="n">
        <x:f>H803*'Assumptions'!$Y$57*'Assumptions'!$Z$57*'Assumptions'!$D$11*(1+'Assumptions'!$D$13)^(7-1)</x:f>
        <x:v>53.11085252651073</x:v>
      </x:c>
      <x:c r="S803" s="10" t="n">
        <x:f>IF(I803=0,0,J803*'Assumptions'!$W$57+H803*'Assumptions'!$X$57)</x:f>
        <x:v>311.3565199500002</x:v>
      </x:c>
      <x:c r="T803" s="10" t="n">
        <x:f>N803*'Assumptions'!$AA$57</x:f>
        <x:v>414.19313053920024</x:v>
      </x:c>
      <x:c r="U803" s="10" t="n">
        <x:f>'Assumptions'!$AE$57*'Assumptions'!$D$11*(1+'Assumptions'!$D$13)^(7-1)</x:f>
        <x:v>0</x:v>
      </x:c>
      <x:c r="V803" s="10" t="n">
        <x:f>0</x:f>
        <x:v>0</x:v>
      </x:c>
      <x:c r="W803" s="10" t="n">
        <x:f>H803*('Assumptions'!$P$57+'Assumptions'!$Y$57)</x:f>
        <x:v>72.64985465500004</x:v>
      </x:c>
      <x:c r="X803" s="10" t="n">
        <x:f>N803/12*'Assumptions'!$AF$57</x:f>
        <x:v>862.9023552900004</x:v>
      </x:c>
      <x:c r="Y803" s="10" t="n">
        <x:f>P803/12</x:f>
        <x:v>5.90120583627897</x:v>
      </x:c>
      <x:c r="Z803" s="10" t="n">
        <x:f>0</x:f>
        <x:v>0</x:v>
      </x:c>
      <x:c r="AA803" s="10" t="n">
        <x:f>Z803*'Assumptions'!$AC$57*'Assumptions'!$D$11*(1+'Assumptions'!$D$13)^(7-1)</x:f>
        <x:v>0</x:v>
      </x:c>
      <x:c r="AB803" s="10" t="n">
        <x:f>F803/1</x:f>
        <x:v>3.1065273800000015</x:v>
      </x:c>
      <x:c r="AC803" s="10" t="n">
        <x:f>AB803/'Assumptions'!$AM$57</x:f>
        <x:v>15.532636900000007</x:v>
      </x:c>
      <x:c r="AD803" s="10" t="n">
        <x:f>IF(AB803=0,0,T803/AB803)</x:f>
        <x:v>133.32994687437778</x:v>
      </x:c>
      <x:c r="AE803" s="10" t="n">
        <x:f>AA803*'Assumptions'!$D$21</x:f>
        <x:v>0</x:v>
      </x:c>
    </x:row>
    <x:row r="804" ht="16" customHeight="1">
      <x:c r="A804" s="1"/>
      <x:c r="B804" s="1"/>
      <x:c r="C804" s="1" t="str">
        <x:v>DOT-029</x:v>
      </x:c>
      <x:c r="D804" s="10" t="str">
        <x:v>BPA professional services</x:v>
      </x:c>
      <x:c r="E804" s="10" t="n">
        <x:v>7</x:v>
      </x:c>
      <x:c r="F804" s="21" t="n">
        <x:f>F676*(1+'Assumptions'!$M$58)</x:f>
        <x:v>31.065273800000007</x:v>
      </x:c>
      <x:c r="G804" s="21" t="n">
        <x:f>H676*'Assumptions'!$K$58</x:f>
        <x:v>28.240730000000006</x:v>
      </x:c>
      <x:c r="H804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804+G804,NA())</x:f>
        <x:v>59.30600380000001</x:v>
      </x:c>
      <x:c r="I804" s="22" t="n">
        <x:f>'Assumptions'!$H$58*IF('Assumptions'!$O$58=1,1,'Assumptions'!$D$10)*(1+'Assumptions'!$N$58)^(7-1)</x:f>
        <x:v>180</x:v>
      </x:c>
      <x:c r="J804" s="10" t="n">
        <x:f>H804*I804</x:f>
        <x:v>10675.080684000002</x:v>
      </x:c>
      <x:c r="K804" s="10" t="n">
        <x:f>J804*'Assumptions'!$T$58</x:f>
        <x:v>10675.080684000002</x:v>
      </x:c>
      <x:c r="L804" s="10" t="n">
        <x:f>K804*'Assumptions'!$U$58</x:f>
        <x:v>320.25242052000004</x:v>
      </x:c>
      <x:c r="M804" s="10" t="n">
        <x:f>K804*'Assumptions'!$V$58</x:f>
        <x:v>0</x:v>
      </x:c>
      <x:c r="N804" s="10" t="n">
        <x:f>K804-L804-M804</x:f>
        <x:v>10354.828263480002</x:v>
      </x:c>
      <x:c r="O804" s="10" t="n">
        <x:f>H804*'Assumptions'!$P$58*'Assumptions'!$Q$58*'Assumptions'!$D$11*(1+'Assumptions'!$D$13)^(7-1)</x:f>
        <x:v>4248.868202120858</x:v>
      </x:c>
      <x:c r="P804" s="10" t="n">
        <x:f>H804*'Assumptions'!$R$58*'Assumptions'!$D$11*(1+'Assumptions'!$D$13)^(7-1)</x:f>
        <x:v>708.1447003534762</x:v>
      </x:c>
      <x:c r="Q804" s="10" t="n">
        <x:f>J804*'Assumptions'!$S$58</x:f>
        <x:v>0</x:v>
      </x:c>
      <x:c r="R804" s="10" t="n">
        <x:f>H804*'Assumptions'!$Y$58*'Assumptions'!$Z$58*'Assumptions'!$D$11*(1+'Assumptions'!$D$13)^(7-1)</x:f>
        <x:v>531.1085252651072</x:v>
      </x:c>
      <x:c r="S804" s="10" t="n">
        <x:f>IF(I804=0,0,J804*'Assumptions'!$W$58+H804*'Assumptions'!$X$58)</x:f>
        <x:v>327.3691409760001</x:v>
      </x:c>
      <x:c r="T804" s="10" t="n">
        <x:f>N804*'Assumptions'!$AA$58</x:f>
        <x:v>414.19313053920007</x:v>
      </x:c>
      <x:c r="U804" s="10" t="n">
        <x:f>'Assumptions'!$AE$58*'Assumptions'!$D$11*(1+'Assumptions'!$D$13)^(7-1)</x:f>
        <x:v>0</x:v>
      </x:c>
      <x:c r="V804" s="10" t="n">
        <x:f>0</x:f>
        <x:v>0</x:v>
      </x:c>
      <x:c r="W804" s="10" t="n">
        <x:f>H804*('Assumptions'!$P$58+'Assumptions'!$Y$58)</x:f>
        <x:v>74.13250475000001</x:v>
      </x:c>
      <x:c r="X804" s="10" t="n">
        <x:f>N804/12*'Assumptions'!$AF$58</x:f>
        <x:v>862.9023552900002</x:v>
      </x:c>
      <x:c r="Y804" s="10" t="n">
        <x:f>P804/12</x:f>
        <x:v>59.01205836278968</x:v>
      </x:c>
      <x:c r="Z804" s="10" t="n">
        <x:f>0</x:f>
        <x:v>0</x:v>
      </x:c>
      <x:c r="AA804" s="10" t="n">
        <x:f>Z804*'Assumptions'!$AC$58*'Assumptions'!$D$11*(1+'Assumptions'!$D$13)^(7-1)</x:f>
        <x:v>0</x:v>
      </x:c>
      <x:c r="AB804" s="10" t="n">
        <x:f>F804/1</x:f>
        <x:v>31.065273800000007</x:v>
      </x:c>
      <x:c r="AC804" s="10" t="n">
        <x:f>AB804/'Assumptions'!$AM$58</x:f>
        <x:v>155.32636900000003</x:v>
      </x:c>
      <x:c r="AD804" s="10" t="n">
        <x:f>IF(AB804=0,0,T804/AB804)</x:f>
        <x:v>13.332994687437777</x:v>
      </x:c>
      <x:c r="AE804" s="10" t="n">
        <x:f>AA804*'Assumptions'!$D$21</x:f>
        <x:v>0</x:v>
      </x:c>
    </x:row>
    <x:row r="805" ht="16" customHeight="1">
      <x:c r="A805" s="1"/>
      <x:c r="B805" s="1"/>
      <x:c r="C805" s="1" t="str">
        <x:v>DOT-030</x:v>
      </x:c>
      <x:c r="D805" s="10" t="str">
        <x:v>BPA professional services</x:v>
      </x:c>
      <x:c r="E805" s="10" t="n">
        <x:v>7</x:v>
      </x:c>
      <x:c r="F805" s="21" t="n">
        <x:f>F677*(1+'Assumptions'!$M$59)</x:f>
        <x:v>6.213054760000003</x:v>
      </x:c>
      <x:c r="G805" s="21" t="n">
        <x:f>H677*'Assumptions'!$K$59</x:f>
        <x:v>5.648146000000002</x:v>
      </x:c>
      <x:c r="H805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805+G805,NA())</x:f>
        <x:v>11.861200760000006</x:v>
      </x:c>
      <x:c r="I805" s="22" t="n">
        <x:f>'Assumptions'!$H$59*IF('Assumptions'!$O$59=1,1,'Assumptions'!$D$10)*(1+'Assumptions'!$N$59)^(7-1)</x:f>
        <x:v>563.0812096320001</x:v>
      </x:c>
      <x:c r="J805" s="10" t="n">
        <x:f>H805*I805</x:f>
        <x:v>6678.819271628802</x:v>
      </x:c>
      <x:c r="K805" s="10" t="n">
        <x:f>J805*'Assumptions'!$T$59</x:f>
        <x:v>6678.819271628802</x:v>
      </x:c>
      <x:c r="L805" s="10" t="n">
        <x:f>K805*'Assumptions'!$U$59</x:f>
        <x:v>200.36457814886407</x:v>
      </x:c>
      <x:c r="M805" s="10" t="n">
        <x:f>K805*'Assumptions'!$V$59</x:f>
        <x:v>0</x:v>
      </x:c>
      <x:c r="N805" s="10" t="n">
        <x:f>K805-L805-M805</x:f>
        <x:v>6478.454693479938</x:v>
      </x:c>
      <x:c r="O805" s="10" t="n">
        <x:f>H805*'Assumptions'!$P$59*'Assumptions'!$Q$59*'Assumptions'!$D$11*(1+'Assumptions'!$D$13)^(7-1)</x:f>
        <x:v>2549.3209212725155</x:v>
      </x:c>
      <x:c r="P805" s="10" t="n">
        <x:f>H805*'Assumptions'!$R$59*'Assumptions'!$D$11*(1+'Assumptions'!$D$13)^(7-1)</x:f>
        <x:v>141.62894007069528</x:v>
      </x:c>
      <x:c r="Q805" s="10" t="n">
        <x:f>J805*'Assumptions'!$S$59</x:f>
        <x:v>0</x:v>
      </x:c>
      <x:c r="R805" s="10" t="n">
        <x:f>H805*'Assumptions'!$Y$59*'Assumptions'!$Z$59*'Assumptions'!$D$11*(1+'Assumptions'!$D$13)^(7-1)</x:f>
        <x:v>106.22170505302147</x:v>
      </x:c>
      <x:c r="S805" s="10" t="n">
        <x:f>IF(I805=0,0,J805*'Assumptions'!$W$59+H805*'Assumptions'!$X$59)</x:f>
        <x:v>197.24411910523528</x:v>
      </x:c>
      <x:c r="T805" s="10" t="n">
        <x:f>N805*'Assumptions'!$AA$59</x:f>
        <x:v>259.1381877391975</x:v>
      </x:c>
      <x:c r="U805" s="10" t="n">
        <x:f>'Assumptions'!$AE$59*'Assumptions'!$D$11*(1+'Assumptions'!$D$13)^(7-1)</x:f>
        <x:v>0</x:v>
      </x:c>
      <x:c r="V805" s="10" t="n">
        <x:f>0</x:f>
        <x:v>0</x:v>
      </x:c>
      <x:c r="W805" s="10" t="n">
        <x:f>H805*('Assumptions'!$P$59+'Assumptions'!$Y$59)</x:f>
        <x:v>38.54890247000002</x:v>
      </x:c>
      <x:c r="X805" s="10" t="n">
        <x:f>N805/12*'Assumptions'!$AF$59</x:f>
        <x:v>539.8712244566615</x:v>
      </x:c>
      <x:c r="Y805" s="10" t="n">
        <x:f>P805/12</x:f>
        <x:v>11.80241167255794</x:v>
      </x:c>
      <x:c r="Z805" s="10" t="n">
        <x:f>0</x:f>
        <x:v>0</x:v>
      </x:c>
      <x:c r="AA805" s="10" t="n">
        <x:f>Z805*'Assumptions'!$AC$59*'Assumptions'!$D$11*(1+'Assumptions'!$D$13)^(7-1)</x:f>
        <x:v>0</x:v>
      </x:c>
      <x:c r="AB805" s="10" t="n">
        <x:f>F805/1</x:f>
        <x:v>6.213054760000003</x:v>
      </x:c>
      <x:c r="AC805" s="10" t="n">
        <x:f>AB805/'Assumptions'!$AM$59</x:f>
        <x:v>31.065273800000014</x:v>
      </x:c>
      <x:c r="AD805" s="10" t="n">
        <x:f>IF(AB805=0,0,T805/AB805)</x:f>
        <x:v>41.708659870108306</x:v>
      </x:c>
      <x:c r="AE805" s="10" t="n">
        <x:f>AA805*'Assumptions'!$D$21</x:f>
        <x:v>0</x:v>
      </x:c>
    </x:row>
    <x:row r="806" ht="16" customHeight="1">
      <x:c r="A806" s="1"/>
      <x:c r="B806" s="1"/>
      <x:c r="C806" s="1" t="str">
        <x:v>DOT-031</x:v>
      </x:c>
      <x:c r="D806" s="10" t="str">
        <x:v>BPA professional services</x:v>
      </x:c>
      <x:c r="E806" s="10" t="n">
        <x:v>7</x:v>
      </x:c>
      <x:c r="F806" s="21" t="n">
        <x:f>F678*(1+'Assumptions'!$M$60)</x:f>
        <x:v>3.1065273800000015</x:v>
      </x:c>
      <x:c r="G806" s="21" t="n">
        <x:f>H678*'Assumptions'!$K$60</x:f>
        <x:v>2.839698000000001</x:v>
      </x:c>
      <x:c r="H806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806+G806,NA())</x:f>
        <x:v>5.946225380000003</x:v>
      </x:c>
      <x:c r="I806" s="22" t="n">
        <x:f>'Assumptions'!$H$60*IF('Assumptions'!$O$60=1,1,'Assumptions'!$D$10)*(1+'Assumptions'!$N$60)^(7-1)</x:f>
        <x:v>5630.81209632</x:v>
      </x:c>
      <x:c r="J806" s="10" t="n">
        <x:f>H806*I806</x:f>
        <x:v>33482.077797149</x:v>
      </x:c>
      <x:c r="K806" s="10" t="n">
        <x:f>J806*'Assumptions'!$T$60</x:f>
        <x:v>33482.077797149</x:v>
      </x:c>
      <x:c r="L806" s="10" t="n">
        <x:f>K806*'Assumptions'!$U$60</x:f>
        <x:v>1004.46233391447</x:v>
      </x:c>
      <x:c r="M806" s="10" t="n">
        <x:f>K806*'Assumptions'!$V$60</x:f>
        <x:v>0</x:v>
      </x:c>
      <x:c r="N806" s="10" t="n">
        <x:f>K806-L806-M806</x:f>
        <x:v>32477.61546323453</x:v>
      </x:c>
      <x:c r="O806" s="10" t="n">
        <x:f>H806*'Assumptions'!$P$60*'Assumptions'!$Q$60*'Assumptions'!$D$11*(1+'Assumptions'!$D$13)^(7-1)</x:f>
        <x:v>17040.249769603273</x:v>
      </x:c>
      <x:c r="P806" s="10" t="n">
        <x:f>H806*'Assumptions'!$R$60*'Assumptions'!$D$11*(1+'Assumptions'!$D$13)^(7-1)</x:f>
        <x:v>71.0010407066803</x:v>
      </x:c>
      <x:c r="Q806" s="10" t="n">
        <x:f>J806*'Assumptions'!$S$60</x:f>
        <x:v>0</x:v>
      </x:c>
      <x:c r="R806" s="10" t="n">
        <x:f>H806*'Assumptions'!$Y$60*'Assumptions'!$Z$60*'Assumptions'!$D$11*(1+'Assumptions'!$D$13)^(7-1)</x:f>
        <x:v>53.250780530010225</x:v>
      </x:c>
      <x:c r="S806" s="10" t="n">
        <x:f>IF(I806=0,0,J806*'Assumptions'!$W$60+H806*'Assumptions'!$X$60)</x:f>
        <x:v>972.7641237313211</x:v>
      </x:c>
      <x:c r="T806" s="10" t="n">
        <x:f>N806*'Assumptions'!$AA$60</x:f>
        <x:v>1299.1046185293812</x:v>
      </x:c>
      <x:c r="U806" s="10" t="n">
        <x:f>'Assumptions'!$AE$60*'Assumptions'!$D$11*(1+'Assumptions'!$D$13)^(7-1)</x:f>
        <x:v>0</x:v>
      </x:c>
      <x:c r="V806" s="10" t="n">
        <x:f>0</x:f>
        <x:v>0</x:v>
      </x:c>
      <x:c r="W806" s="10" t="n">
        <x:f>H806*('Assumptions'!$P$60+'Assumptions'!$Y$60)</x:f>
        <x:v>239.33557154500014</x:v>
      </x:c>
      <x:c r="X806" s="10" t="n">
        <x:f>N806/12*'Assumptions'!$AF$60</x:f>
        <x:v>2706.4679552695443</x:v>
      </x:c>
      <x:c r="Y806" s="10" t="n">
        <x:f>P806/12</x:f>
        <x:v>5.916753392223359</x:v>
      </x:c>
      <x:c r="Z806" s="10" t="n">
        <x:f>0</x:f>
        <x:v>0</x:v>
      </x:c>
      <x:c r="AA806" s="10" t="n">
        <x:f>Z806*'Assumptions'!$AC$60*'Assumptions'!$D$11*(1+'Assumptions'!$D$13)^(7-1)</x:f>
        <x:v>0</x:v>
      </x:c>
      <x:c r="AB806" s="10" t="n">
        <x:f>F806/1</x:f>
        <x:v>3.1065273800000015</x:v>
      </x:c>
      <x:c r="AC806" s="10" t="n">
        <x:f>AB806/'Assumptions'!$AM$60</x:f>
        <x:v>15.532636900000007</x:v>
      </x:c>
      <x:c r="AD806" s="10" t="n">
        <x:f>IF(AB806=0,0,T806/AB806)</x:f>
        <x:v>418.18547194951185</x:v>
      </x:c>
      <x:c r="AE806" s="10" t="n">
        <x:f>AA806*'Assumptions'!$D$21</x:f>
        <x:v>0</x:v>
      </x:c>
    </x:row>
    <x:row r="807" ht="16" customHeight="1">
      <x:c r="A807" s="1"/>
      <x:c r="B807" s="1"/>
      <x:c r="C807" s="1" t="str">
        <x:v>DOT-032</x:v>
      </x:c>
      <x:c r="D807" s="10" t="str">
        <x:v>BPA professional services</x:v>
      </x:c>
      <x:c r="E807" s="10" t="n">
        <x:v>7</x:v>
      </x:c>
      <x:c r="F807" s="21" t="n">
        <x:f>F679*(1+'Assumptions'!$M$61)</x:f>
        <x:v>1.5532636900000008</x:v>
      </x:c>
      <x:c r="G807" s="21" t="n">
        <x:f>H679*'Assumptions'!$K$61</x:f>
        <x:v>1.4198490000000006</x:v>
      </x:c>
      <x:c r="H807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807+G807,NA())</x:f>
        <x:v>2.9731126900000016</x:v>
      </x:c>
      <x:c r="I807" s="22" t="n">
        <x:f>'Assumptions'!$H$61*IF('Assumptions'!$O$61=1,1,'Assumptions'!$D$10)*(1+'Assumptions'!$N$61)^(7-1)</x:f>
        <x:v>8446.21814448</x:v>
      </x:c>
      <x:c r="J807" s="10" t="n">
        <x:f>H807*I807</x:f>
        <x:v>25111.558347861755</x:v>
      </x:c>
      <x:c r="K807" s="10" t="n">
        <x:f>J807*'Assumptions'!$T$61</x:f>
        <x:v>25111.558347861755</x:v>
      </x:c>
      <x:c r="L807" s="10" t="n">
        <x:f>K807*'Assumptions'!$U$61</x:f>
        <x:v>753.3467504358526</x:v>
      </x:c>
      <x:c r="M807" s="10" t="n">
        <x:f>K807*'Assumptions'!$V$61</x:f>
        <x:v>0</x:v>
      </x:c>
      <x:c r="N807" s="10" t="n">
        <x:f>K807-L807-M807</x:f>
        <x:v>24358.211597425903</x:v>
      </x:c>
      <x:c r="O807" s="10" t="n">
        <x:f>H807*'Assumptions'!$P$61*'Assumptions'!$Q$61*'Assumptions'!$D$11*(1+'Assumptions'!$D$13)^(7-1)</x:f>
        <x:v>12780.187327202455</x:v>
      </x:c>
      <x:c r="P807" s="10" t="n">
        <x:f>H807*'Assumptions'!$R$61*'Assumptions'!$D$11*(1+'Assumptions'!$D$13)^(7-1)</x:f>
        <x:v>35.50052035334015</x:v>
      </x:c>
      <x:c r="Q807" s="10" t="n">
        <x:f>J807*'Assumptions'!$S$61</x:f>
        <x:v>0</x:v>
      </x:c>
      <x:c r="R807" s="10" t="n">
        <x:f>H807*'Assumptions'!$Y$61*'Assumptions'!$Z$61*'Assumptions'!$D$11*(1+'Assumptions'!$D$13)^(7-1)</x:f>
        <x:v>26.625390265005112</x:v>
      </x:c>
      <x:c r="S807" s="10" t="n">
        <x:f>IF(I807=0,0,J807*'Assumptions'!$W$61+H807*'Assumptions'!$X$61)</x:f>
        <x:v>729.127125894991</x:v>
      </x:c>
      <x:c r="T807" s="10" t="n">
        <x:f>N807*'Assumptions'!$AA$61</x:f>
        <x:v>974.3284638970362</x:v>
      </x:c>
      <x:c r="U807" s="10" t="n">
        <x:f>'Assumptions'!$AE$61*'Assumptions'!$D$11*(1+'Assumptions'!$D$13)^(7-1)</x:f>
        <x:v>0</x:v>
      </x:c>
      <x:c r="V807" s="10" t="n">
        <x:f>0</x:f>
        <x:v>0</x:v>
      </x:c>
      <x:c r="W807" s="10" t="n">
        <x:f>H807*('Assumptions'!$P$61+'Assumptions'!$Y$61)</x:f>
        <x:v>179.1300395725001</x:v>
      </x:c>
      <x:c r="X807" s="10" t="n">
        <x:f>N807/12*'Assumptions'!$AF$61</x:f>
        <x:v>2029.8509664521587</x:v>
      </x:c>
      <x:c r="Y807" s="10" t="n">
        <x:f>P807/12</x:f>
        <x:v>2.9583766961116793</x:v>
      </x:c>
      <x:c r="Z807" s="10" t="n">
        <x:f>0</x:f>
        <x:v>0</x:v>
      </x:c>
      <x:c r="AA807" s="10" t="n">
        <x:f>Z807*'Assumptions'!$AC$61*'Assumptions'!$D$11*(1+'Assumptions'!$D$13)^(7-1)</x:f>
        <x:v>0</x:v>
      </x:c>
      <x:c r="AB807" s="10" t="n">
        <x:f>F807/1</x:f>
        <x:v>1.5532636900000008</x:v>
      </x:c>
      <x:c r="AC807" s="10" t="n">
        <x:f>AB807/'Assumptions'!$AM$61</x:f>
        <x:v>7.7663184500000035</x:v>
      </x:c>
      <x:c r="AD807" s="10" t="n">
        <x:f>IF(AB807=0,0,T807/AB807)</x:f>
        <x:v>627.2782079242679</x:v>
      </x:c>
      <x:c r="AE807" s="10" t="n">
        <x:f>AA807*'Assumptions'!$D$21</x:f>
        <x:v>0</x:v>
      </x:c>
    </x:row>
    <x:row r="808" ht="16" customHeight="1">
      <x:c r="A808" s="1"/>
      <x:c r="B808" s="1"/>
      <x:c r="C808" s="1" t="str">
        <x:v>DOT-033</x:v>
      </x:c>
      <x:c r="D808" s="10" t="str">
        <x:v>CornerFlow</x:v>
      </x:c>
      <x:c r="E808" s="10" t="n">
        <x:v>7</x:v>
      </x:c>
      <x:c r="F808" s="21" t="n">
        <x:f>F680*(1+'Assumptions'!$M$62)</x:f>
        <x:v>79.19576064000002</x:v>
      </x:c>
      <x:c r="G808" s="21" t="n">
        <x:f>H680*'Assumptions'!$K$62</x:f>
        <x:v>138.5043576</x:v>
      </x:c>
      <x:c r="H808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808+G808,NA())</x:f>
        <x:v>217.70011824</x:v>
      </x:c>
      <x:c r="I808" s="22" t="n">
        <x:f>'Assumptions'!$H$62*IF('Assumptions'!$O$62=1,1,'Assumptions'!$D$10)*(1+'Assumptions'!$N$62)^(7-1)</x:f>
        <x:v>55.181958543936005</x:v>
      </x:c>
      <x:c r="J808" s="10" t="n">
        <x:f>H808*I808</x:f>
        <x:v>12013.118899729647</x:v>
      </x:c>
      <x:c r="K808" s="10" t="n">
        <x:f>J808*'Assumptions'!$T$62</x:f>
        <x:v>12013.118899729647</x:v>
      </x:c>
      <x:c r="L808" s="10" t="n">
        <x:f>K808*'Assumptions'!$U$62</x:f>
        <x:v>360.3935669918894</x:v>
      </x:c>
      <x:c r="M808" s="10" t="n">
        <x:f>K808*'Assumptions'!$V$62</x:f>
        <x:v>0</x:v>
      </x:c>
      <x:c r="N808" s="10" t="n">
        <x:f>K808-L808-M808</x:f>
        <x:v>11652.725332737757</x:v>
      </x:c>
      <x:c r="O808" s="10" t="n">
        <x:f>H808*'Assumptions'!$P$62*'Assumptions'!$Q$62*'Assumptions'!$D$11*(1+'Assumptions'!$D$13)^(7-1)</x:f>
        <x:v>1364.712962230311</x:v>
      </x:c>
      <x:c r="P808" s="10" t="n">
        <x:f>H808*'Assumptions'!$R$62*'Assumptions'!$D$11*(1+'Assumptions'!$D$13)^(7-1)</x:f>
        <x:v>0</x:v>
      </x:c>
      <x:c r="Q808" s="10" t="n">
        <x:f>J808*'Assumptions'!$S$62</x:f>
        <x:v>0</x:v>
      </x:c>
      <x:c r="R808" s="10" t="n">
        <x:f>H808*'Assumptions'!$Y$62*'Assumptions'!$Z$62*'Assumptions'!$D$11*(1+'Assumptions'!$D$13)^(7-1)</x:f>
        <x:v>1169.7539676259807</x:v>
      </x:c>
      <x:c r="S808" s="10" t="n">
        <x:f>IF(I808=0,0,J808*'Assumptions'!$W$62+H808*'Assumptions'!$X$62)</x:f>
        <x:v>413.69048356415976</x:v>
      </x:c>
      <x:c r="T808" s="10" t="n">
        <x:f>N808*'Assumptions'!$AA$62</x:f>
        <x:v>582.6362666368879</x:v>
      </x:c>
      <x:c r="U808" s="10" t="n">
        <x:f>'Assumptions'!$AE$62*'Assumptions'!$D$11*(1+'Assumptions'!$D$13)^(7-1)</x:f>
        <x:v>143.28627558348</x:v>
      </x:c>
      <x:c r="V808" s="10" t="n">
        <x:f>0</x:f>
        <x:v>0</x:v>
      </x:c>
      <x:c r="W808" s="10" t="n">
        <x:f>H808*('Assumptions'!$P$62+'Assumptions'!$Y$62)</x:f>
        <x:v>65.310035472</x:v>
      </x:c>
      <x:c r="X808" s="10" t="n">
        <x:f>N808/12*'Assumptions'!$AF$62</x:f>
        <x:v>0</x:v>
      </x:c>
      <x:c r="Y808" s="10" t="n">
        <x:f>P808/12</x:f>
        <x:v>0</x:v>
      </x:c>
      <x:c r="Z808" s="10" t="n">
        <x:f>0</x:f>
        <x:v>0</x:v>
      </x:c>
      <x:c r="AA808" s="10" t="n">
        <x:f>Z808*'Assumptions'!$AC$62*'Assumptions'!$D$11*(1+'Assumptions'!$D$13)^(7-1)</x:f>
        <x:v>0</x:v>
      </x:c>
      <x:c r="AB808" s="10" t="n">
        <x:f>F808/12</x:f>
        <x:v>6.599646720000002</x:v>
      </x:c>
      <x:c r="AC808" s="10" t="n">
        <x:f>AB808/'Assumptions'!$AM$62</x:f>
        <x:v>131.99293440000002</x:v>
      </x:c>
      <x:c r="AD808" s="10" t="n">
        <x:f>IF(AB808=0,0,T808/AB808)</x:f>
        <x:v>88.28294776313234</x:v>
      </x:c>
      <x:c r="AE808" s="10" t="n">
        <x:f>AA808*'Assumptions'!$D$21</x:f>
        <x:v>0</x:v>
      </x:c>
    </x:row>
    <x:row r="809" ht="16" customHeight="1">
      <x:c r="A809" s="1"/>
      <x:c r="B809" s="1"/>
      <x:c r="C809" s="1" t="str">
        <x:v>DOT-034</x:v>
      </x:c>
      <x:c r="D809" s="10" t="str">
        <x:v>CornerFlow</x:v>
      </x:c>
      <x:c r="E809" s="10" t="n">
        <x:v>7</x:v>
      </x:c>
      <x:c r="F809" s="21" t="n">
        <x:f>F681*(1+'Assumptions'!$M$63)</x:f>
        <x:v>15.532636900000004</x:v>
      </x:c>
      <x:c r="G809" s="21" t="n">
        <x:f>H681*'Assumptions'!$K$63</x:f>
        <x:v>14.120365000000003</x:v>
      </x:c>
      <x:c r="H809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809+G809,NA())</x:f>
        <x:v>29.653001900000007</x:v>
      </x:c>
      <x:c r="I809" s="22" t="n">
        <x:f>'Assumptions'!$H$63*IF('Assumptions'!$O$63=1,1,'Assumptions'!$D$10)*(1+'Assumptions'!$N$63)^(7-1)</x:f>
        <x:v>224.106321433536</x:v>
      </x:c>
      <x:c r="J809" s="10" t="n">
        <x:f>H809*I809</x:f>
        <x:v>6645.425175270656</x:v>
      </x:c>
      <x:c r="K809" s="10" t="n">
        <x:f>J809*'Assumptions'!$T$63</x:f>
        <x:v>6645.425175270656</x:v>
      </x:c>
      <x:c r="L809" s="10" t="n">
        <x:f>K809*'Assumptions'!$U$63</x:f>
        <x:v>199.36275525811968</x:v>
      </x:c>
      <x:c r="M809" s="10" t="n">
        <x:f>K809*'Assumptions'!$V$63</x:f>
        <x:v>0</x:v>
      </x:c>
      <x:c r="N809" s="10" t="n">
        <x:f>K809-L809-M809</x:f>
        <x:v>6446.062420012537</x:v>
      </x:c>
      <x:c r="O809" s="10" t="n">
        <x:f>H809*'Assumptions'!$P$63*'Assumptions'!$Q$63*'Assumptions'!$D$11*(1+'Assumptions'!$D$13)^(7-1)</x:f>
        <x:v>2832.578801413905</x:v>
      </x:c>
      <x:c r="P809" s="10" t="n">
        <x:f>H809*'Assumptions'!$R$63*'Assumptions'!$D$11*(1+'Assumptions'!$D$13)^(7-1)</x:f>
        <x:v>0</x:v>
      </x:c>
      <x:c r="Q809" s="10" t="n">
        <x:f>J809*'Assumptions'!$S$63</x:f>
        <x:v>0</x:v>
      </x:c>
      <x:c r="R809" s="10" t="n">
        <x:f>H809*'Assumptions'!$Y$63*'Assumptions'!$Z$63*'Assumptions'!$D$11*(1+'Assumptions'!$D$13)^(7-1)</x:f>
        <x:v>265.5542626325536</x:v>
      </x:c>
      <x:c r="S809" s="10" t="n">
        <x:f>IF(I809=0,0,J809*'Assumptions'!$W$63+H809*'Assumptions'!$X$63)</x:f>
        <x:v>201.61323065284904</x:v>
      </x:c>
      <x:c r="T809" s="10" t="n">
        <x:f>N809*'Assumptions'!$AA$63</x:f>
        <x:v>257.84249680050146</x:v>
      </x:c>
      <x:c r="U809" s="10" t="n">
        <x:f>'Assumptions'!$AE$63*'Assumptions'!$D$11*(1+'Assumptions'!$D$13)^(7-1)</x:f>
        <x:v>0</x:v>
      </x:c>
      <x:c r="V809" s="10" t="n">
        <x:f>0</x:f>
        <x:v>0</x:v>
      </x:c>
      <x:c r="W809" s="10" t="n">
        <x:f>H809*('Assumptions'!$P$63+'Assumptions'!$Y$63)</x:f>
        <x:v>66.71925427500001</x:v>
      </x:c>
      <x:c r="X809" s="10" t="n">
        <x:f>N809/12*'Assumptions'!$AF$63</x:f>
        <x:v>537.171868334378</x:v>
      </x:c>
      <x:c r="Y809" s="10" t="n">
        <x:f>P809/12</x:f>
        <x:v>0</x:v>
      </x:c>
      <x:c r="Z809" s="10" t="n">
        <x:f>0</x:f>
        <x:v>0</x:v>
      </x:c>
      <x:c r="AA809" s="10" t="n">
        <x:f>Z809*'Assumptions'!$AC$63*'Assumptions'!$D$11*(1+'Assumptions'!$D$13)^(7-1)</x:f>
        <x:v>0</x:v>
      </x:c>
      <x:c r="AB809" s="10" t="n">
        <x:f>F809/1</x:f>
        <x:v>15.532636900000004</x:v>
      </x:c>
      <x:c r="AC809" s="10" t="n">
        <x:f>AB809/'Assumptions'!$AM$63</x:f>
        <x:v>77.66318450000001</x:v>
      </x:c>
      <x:c r="AD809" s="10" t="n">
        <x:f>IF(AB809=0,0,T809/AB809)</x:f>
        <x:v>16.600046628303105</x:v>
      </x:c>
      <x:c r="AE809" s="10" t="n">
        <x:f>AA809*'Assumptions'!$D$21</x:f>
        <x:v>0</x:v>
      </x:c>
    </x:row>
    <x:row r="810" ht="16" customHeight="1">
      <x:c r="A810" s="1"/>
      <x:c r="B810" s="1"/>
      <x:c r="C810" s="1" t="str">
        <x:v>DOT-035</x:v>
      </x:c>
      <x:c r="D810" s="10" t="str">
        <x:v>Spindle</x:v>
      </x:c>
      <x:c r="E810" s="10" t="n">
        <x:v>7</x:v>
      </x:c>
      <x:c r="F810" s="21" t="n">
        <x:f>F682*(1+'Assumptions'!$M$64)</x:f>
        <x:v>79.19576064000002</x:v>
      </x:c>
      <x:c r="G810" s="21" t="n">
        <x:f>H682*'Assumptions'!$K$64</x:f>
        <x:v>138.5043576</x:v>
      </x:c>
      <x:c r="H810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810+G810,NA())</x:f>
        <x:v>217.70011824</x:v>
      </x:c>
      <x:c r="I810" s="22" t="n">
        <x:f>'Assumptions'!$H$64*IF('Assumptions'!$O$64=1,1,'Assumptions'!$D$10)*(1+'Assumptions'!$N$64)^(7-1)</x:f>
        <x:v>55.181958543936005</x:v>
      </x:c>
      <x:c r="J810" s="10" t="n">
        <x:f>H810*I810</x:f>
        <x:v>12013.118899729647</x:v>
      </x:c>
      <x:c r="K810" s="10" t="n">
        <x:f>J810*'Assumptions'!$T$64</x:f>
        <x:v>12013.118899729647</x:v>
      </x:c>
      <x:c r="L810" s="10" t="n">
        <x:f>K810*'Assumptions'!$U$64</x:f>
        <x:v>360.3935669918894</x:v>
      </x:c>
      <x:c r="M810" s="10" t="n">
        <x:f>K810*'Assumptions'!$V$64</x:f>
        <x:v>0</x:v>
      </x:c>
      <x:c r="N810" s="10" t="n">
        <x:f>K810-L810-M810</x:f>
        <x:v>11652.725332737757</x:v>
      </x:c>
      <x:c r="O810" s="10" t="n">
        <x:f>H810*'Assumptions'!$P$64*'Assumptions'!$Q$64*'Assumptions'!$D$11*(1+'Assumptions'!$D$13)^(7-1)</x:f>
        <x:v>1364.712962230311</x:v>
      </x:c>
      <x:c r="P810" s="10" t="n">
        <x:f>H810*'Assumptions'!$R$64*'Assumptions'!$D$11*(1+'Assumptions'!$D$13)^(7-1)</x:f>
        <x:v>0</x:v>
      </x:c>
      <x:c r="Q810" s="10" t="n">
        <x:f>J810*'Assumptions'!$S$64</x:f>
        <x:v>0</x:v>
      </x:c>
      <x:c r="R810" s="10" t="n">
        <x:f>H810*'Assumptions'!$Y$64*'Assumptions'!$Z$64*'Assumptions'!$D$11*(1+'Assumptions'!$D$13)^(7-1)</x:f>
        <x:v>1169.7539676259807</x:v>
      </x:c>
      <x:c r="S810" s="10" t="n">
        <x:f>IF(I810=0,0,J810*'Assumptions'!$W$64+H810*'Assumptions'!$X$64)</x:f>
        <x:v>413.69048356415976</x:v>
      </x:c>
      <x:c r="T810" s="10" t="n">
        <x:f>N810*'Assumptions'!$AA$64</x:f>
        <x:v>582.6362666368879</x:v>
      </x:c>
      <x:c r="U810" s="10" t="n">
        <x:f>'Assumptions'!$AE$64*'Assumptions'!$D$11*(1+'Assumptions'!$D$13)^(7-1)</x:f>
        <x:v>143.28627558348</x:v>
      </x:c>
      <x:c r="V810" s="10" t="n">
        <x:f>0</x:f>
        <x:v>0</x:v>
      </x:c>
      <x:c r="W810" s="10" t="n">
        <x:f>H810*('Assumptions'!$P$64+'Assumptions'!$Y$64)</x:f>
        <x:v>65.310035472</x:v>
      </x:c>
      <x:c r="X810" s="10" t="n">
        <x:f>N810/12*'Assumptions'!$AF$64</x:f>
        <x:v>0</x:v>
      </x:c>
      <x:c r="Y810" s="10" t="n">
        <x:f>P810/12</x:f>
        <x:v>0</x:v>
      </x:c>
      <x:c r="Z810" s="10" t="n">
        <x:f>0</x:f>
        <x:v>0</x:v>
      </x:c>
      <x:c r="AA810" s="10" t="n">
        <x:f>Z810*'Assumptions'!$AC$64*'Assumptions'!$D$11*(1+'Assumptions'!$D$13)^(7-1)</x:f>
        <x:v>0</x:v>
      </x:c>
      <x:c r="AB810" s="10" t="n">
        <x:f>F810/12</x:f>
        <x:v>6.599646720000002</x:v>
      </x:c>
      <x:c r="AC810" s="10" t="n">
        <x:f>AB810/'Assumptions'!$AM$64</x:f>
        <x:v>131.99293440000002</x:v>
      </x:c>
      <x:c r="AD810" s="10" t="n">
        <x:f>IF(AB810=0,0,T810/AB810)</x:f>
        <x:v>88.28294776313234</x:v>
      </x:c>
      <x:c r="AE810" s="10" t="n">
        <x:f>AA810*'Assumptions'!$D$21</x:f>
        <x:v>0</x:v>
      </x:c>
    </x:row>
    <x:row r="811" ht="16" customHeight="1">
      <x:c r="A811" s="1"/>
      <x:c r="B811" s="1"/>
      <x:c r="C811" s="1" t="str">
        <x:v>DOT-036</x:v>
      </x:c>
      <x:c r="D811" s="10" t="str">
        <x:v>Spindle</x:v>
      </x:c>
      <x:c r="E811" s="10" t="n">
        <x:v>7</x:v>
      </x:c>
      <x:c r="F811" s="21" t="n">
        <x:f>F683*(1+'Assumptions'!$M$65)</x:f>
        <x:v>15.532636900000004</x:v>
      </x:c>
      <x:c r="G811" s="21" t="n">
        <x:f>H683*'Assumptions'!$K$65</x:f>
        <x:v>14.120365000000003</x:v>
      </x:c>
      <x:c r="H811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811+G811,NA())</x:f>
        <x:v>29.653001900000007</x:v>
      </x:c>
      <x:c r="I811" s="22" t="n">
        <x:f>'Assumptions'!$H$65*IF('Assumptions'!$O$65=1,1,'Assumptions'!$D$10)*(1+'Assumptions'!$N$65)^(7-1)</x:f>
        <x:v>224.106321433536</x:v>
      </x:c>
      <x:c r="J811" s="10" t="n">
        <x:f>H811*I811</x:f>
        <x:v>6645.425175270656</x:v>
      </x:c>
      <x:c r="K811" s="10" t="n">
        <x:f>J811*'Assumptions'!$T$65</x:f>
        <x:v>6645.425175270656</x:v>
      </x:c>
      <x:c r="L811" s="10" t="n">
        <x:f>K811*'Assumptions'!$U$65</x:f>
        <x:v>199.36275525811968</x:v>
      </x:c>
      <x:c r="M811" s="10" t="n">
        <x:f>K811*'Assumptions'!$V$65</x:f>
        <x:v>0</x:v>
      </x:c>
      <x:c r="N811" s="10" t="n">
        <x:f>K811-L811-M811</x:f>
        <x:v>6446.062420012537</x:v>
      </x:c>
      <x:c r="O811" s="10" t="n">
        <x:f>H811*'Assumptions'!$P$65*'Assumptions'!$Q$65*'Assumptions'!$D$11*(1+'Assumptions'!$D$13)^(7-1)</x:f>
        <x:v>2832.578801413905</x:v>
      </x:c>
      <x:c r="P811" s="10" t="n">
        <x:f>H811*'Assumptions'!$R$65*'Assumptions'!$D$11*(1+'Assumptions'!$D$13)^(7-1)</x:f>
        <x:v>0</x:v>
      </x:c>
      <x:c r="Q811" s="10" t="n">
        <x:f>J811*'Assumptions'!$S$65</x:f>
        <x:v>0</x:v>
      </x:c>
      <x:c r="R811" s="10" t="n">
        <x:f>H811*'Assumptions'!$Y$65*'Assumptions'!$Z$65*'Assumptions'!$D$11*(1+'Assumptions'!$D$13)^(7-1)</x:f>
        <x:v>265.5542626325536</x:v>
      </x:c>
      <x:c r="S811" s="10" t="n">
        <x:f>IF(I811=0,0,J811*'Assumptions'!$W$65+H811*'Assumptions'!$X$65)</x:f>
        <x:v>201.61323065284904</x:v>
      </x:c>
      <x:c r="T811" s="10" t="n">
        <x:f>N811*'Assumptions'!$AA$65</x:f>
        <x:v>257.84249680050146</x:v>
      </x:c>
      <x:c r="U811" s="10" t="n">
        <x:f>'Assumptions'!$AE$65*'Assumptions'!$D$11*(1+'Assumptions'!$D$13)^(7-1)</x:f>
        <x:v>0</x:v>
      </x:c>
      <x:c r="V811" s="10" t="n">
        <x:f>0</x:f>
        <x:v>0</x:v>
      </x:c>
      <x:c r="W811" s="10" t="n">
        <x:f>H811*('Assumptions'!$P$65+'Assumptions'!$Y$65)</x:f>
        <x:v>66.71925427500001</x:v>
      </x:c>
      <x:c r="X811" s="10" t="n">
        <x:f>N811/12*'Assumptions'!$AF$65</x:f>
        <x:v>537.171868334378</x:v>
      </x:c>
      <x:c r="Y811" s="10" t="n">
        <x:f>P811/12</x:f>
        <x:v>0</x:v>
      </x:c>
      <x:c r="Z811" s="10" t="n">
        <x:f>0</x:f>
        <x:v>0</x:v>
      </x:c>
      <x:c r="AA811" s="10" t="n">
        <x:f>Z811*'Assumptions'!$AC$65*'Assumptions'!$D$11*(1+'Assumptions'!$D$13)^(7-1)</x:f>
        <x:v>0</x:v>
      </x:c>
      <x:c r="AB811" s="10" t="n">
        <x:f>F811/1</x:f>
        <x:v>15.532636900000004</x:v>
      </x:c>
      <x:c r="AC811" s="10" t="n">
        <x:f>AB811/'Assumptions'!$AM$65</x:f>
        <x:v>77.66318450000001</x:v>
      </x:c>
      <x:c r="AD811" s="10" t="n">
        <x:f>IF(AB811=0,0,T811/AB811)</x:f>
        <x:v>16.600046628303105</x:v>
      </x:c>
      <x:c r="AE811" s="10" t="n">
        <x:f>AA811*'Assumptions'!$D$21</x:f>
        <x:v>0</x:v>
      </x:c>
    </x:row>
    <x:row r="812" ht="16" customHeight="1">
      <x:c r="A812" s="1"/>
      <x:c r="B812" s="1"/>
      <x:c r="C812" s="1" t="str">
        <x:v>DOT-037</x:v>
      </x:c>
      <x:c r="D812" s="10" t="str">
        <x:v>Maison Contour</x:v>
      </x:c>
      <x:c r="E812" s="10" t="n">
        <x:v>7</x:v>
      </x:c>
      <x:c r="F812" s="21" t="n">
        <x:f>F684*(1+'Assumptions'!$M$66)</x:f>
        <x:v>79.19576064000002</x:v>
      </x:c>
      <x:c r="G812" s="21" t="n">
        <x:f>H684*'Assumptions'!$K$66</x:f>
        <x:v>138.5043576</x:v>
      </x:c>
      <x:c r="H812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812+G812,NA())</x:f>
        <x:v>217.70011824</x:v>
      </x:c>
      <x:c r="I812" s="22" t="n">
        <x:f>'Assumptions'!$H$66*IF('Assumptions'!$O$66=1,1,'Assumptions'!$D$10)*(1+'Assumptions'!$N$66)^(7-1)</x:f>
        <x:v>88.966831121856</x:v>
      </x:c>
      <x:c r="J812" s="10" t="n">
        <x:f>H812*I812</x:f>
        <x:v>19368.089654666164</x:v>
      </x:c>
      <x:c r="K812" s="10" t="n">
        <x:f>J812*'Assumptions'!$T$66</x:f>
        <x:v>19368.089654666164</x:v>
      </x:c>
      <x:c r="L812" s="10" t="n">
        <x:f>K812*'Assumptions'!$U$66</x:f>
        <x:v>581.0426896399849</x:v>
      </x:c>
      <x:c r="M812" s="10" t="n">
        <x:f>K812*'Assumptions'!$V$66</x:f>
        <x:v>0</x:v>
      </x:c>
      <x:c r="N812" s="10" t="n">
        <x:f>K812-L812-M812</x:f>
        <x:v>18787.04696502618</x:v>
      </x:c>
      <x:c r="O812" s="10" t="n">
        <x:f>H812*'Assumptions'!$P$66*'Assumptions'!$Q$66*'Assumptions'!$D$11*(1+'Assumptions'!$D$13)^(7-1)</x:f>
        <x:v>1364.712962230311</x:v>
      </x:c>
      <x:c r="P812" s="10" t="n">
        <x:f>H812*'Assumptions'!$R$66*'Assumptions'!$D$11*(1+'Assumptions'!$D$13)^(7-1)</x:f>
        <x:v>0</x:v>
      </x:c>
      <x:c r="Q812" s="10" t="n">
        <x:f>J812*'Assumptions'!$S$66</x:f>
        <x:v>0</x:v>
      </x:c>
      <x:c r="R812" s="10" t="n">
        <x:f>H812*'Assumptions'!$Y$66*'Assumptions'!$Z$66*'Assumptions'!$D$11*(1+'Assumptions'!$D$13)^(7-1)</x:f>
        <x:v>1169.7539676259807</x:v>
      </x:c>
      <x:c r="S812" s="10" t="n">
        <x:f>IF(I812=0,0,J812*'Assumptions'!$W$66+H812*'Assumptions'!$X$66)</x:f>
        <x:v>626.9846354573187</x:v>
      </x:c>
      <x:c r="T812" s="10" t="n">
        <x:f>N812*'Assumptions'!$AA$66</x:f>
        <x:v>939.3523482513091</x:v>
      </x:c>
      <x:c r="U812" s="10" t="n">
        <x:f>'Assumptions'!$AE$66*'Assumptions'!$D$11*(1+'Assumptions'!$D$13)^(7-1)</x:f>
        <x:v>143.28627558348</x:v>
      </x:c>
      <x:c r="V812" s="10" t="n">
        <x:f>0</x:f>
        <x:v>0</x:v>
      </x:c>
      <x:c r="W812" s="10" t="n">
        <x:f>H812*('Assumptions'!$P$66+'Assumptions'!$Y$66)</x:f>
        <x:v>65.310035472</x:v>
      </x:c>
      <x:c r="X812" s="10" t="n">
        <x:f>N812/12*'Assumptions'!$AF$66</x:f>
        <x:v>0</x:v>
      </x:c>
      <x:c r="Y812" s="10" t="n">
        <x:f>P812/12</x:f>
        <x:v>0</x:v>
      </x:c>
      <x:c r="Z812" s="10" t="n">
        <x:f>0</x:f>
        <x:v>0</x:v>
      </x:c>
      <x:c r="AA812" s="10" t="n">
        <x:f>Z812*'Assumptions'!$AC$66*'Assumptions'!$D$11*(1+'Assumptions'!$D$13)^(7-1)</x:f>
        <x:v>0</x:v>
      </x:c>
      <x:c r="AB812" s="10" t="n">
        <x:f>F812/12</x:f>
        <x:v>6.599646720000002</x:v>
      </x:c>
      <x:c r="AC812" s="10" t="n">
        <x:f>AB812/'Assumptions'!$AM$66</x:f>
        <x:v>131.99293440000002</x:v>
      </x:c>
      <x:c r="AD812" s="10" t="n">
        <x:f>IF(AB812=0,0,T812/AB812)</x:f>
        <x:v>142.33373210790725</x:v>
      </x:c>
      <x:c r="AE812" s="10" t="n">
        <x:f>AA812*'Assumptions'!$D$21</x:f>
        <x:v>0</x:v>
      </x:c>
    </x:row>
    <x:row r="813" ht="16" customHeight="1">
      <x:c r="A813" s="1"/>
      <x:c r="B813" s="1"/>
      <x:c r="C813" s="1" t="str">
        <x:v>DOT-038</x:v>
      </x:c>
      <x:c r="D813" s="10" t="str">
        <x:v>Maison Contour</x:v>
      </x:c>
      <x:c r="E813" s="10" t="n">
        <x:v>7</x:v>
      </x:c>
      <x:c r="F813" s="21" t="n">
        <x:f>F685*(1+'Assumptions'!$M$67)</x:f>
        <x:v>15.532636900000004</x:v>
      </x:c>
      <x:c r="G813" s="21" t="n">
        <x:f>H685*'Assumptions'!$K$67</x:f>
        <x:v>14.120365000000003</x:v>
      </x:c>
      <x:c r="H813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813+G813,NA())</x:f>
        <x:v>29.653001900000007</x:v>
      </x:c>
      <x:c r="I813" s="22" t="n">
        <x:f>'Assumptions'!$H$67*IF('Assumptions'!$O$67=1,1,'Assumptions'!$D$10)*(1+'Assumptions'!$N$67)^(7-1)</x:f>
        <x:v>224.106321433536</x:v>
      </x:c>
      <x:c r="J813" s="10" t="n">
        <x:f>H813*I813</x:f>
        <x:v>6645.425175270656</x:v>
      </x:c>
      <x:c r="K813" s="10" t="n">
        <x:f>J813*'Assumptions'!$T$67</x:f>
        <x:v>6645.425175270656</x:v>
      </x:c>
      <x:c r="L813" s="10" t="n">
        <x:f>K813*'Assumptions'!$U$67</x:f>
        <x:v>199.36275525811968</x:v>
      </x:c>
      <x:c r="M813" s="10" t="n">
        <x:f>K813*'Assumptions'!$V$67</x:f>
        <x:v>0</x:v>
      </x:c>
      <x:c r="N813" s="10" t="n">
        <x:f>K813-L813-M813</x:f>
        <x:v>6446.062420012537</x:v>
      </x:c>
      <x:c r="O813" s="10" t="n">
        <x:f>H813*'Assumptions'!$P$67*'Assumptions'!$Q$67*'Assumptions'!$D$11*(1+'Assumptions'!$D$13)^(7-1)</x:f>
        <x:v>2832.578801413905</x:v>
      </x:c>
      <x:c r="P813" s="10" t="n">
        <x:f>H813*'Assumptions'!$R$67*'Assumptions'!$D$11*(1+'Assumptions'!$D$13)^(7-1)</x:f>
        <x:v>0</x:v>
      </x:c>
      <x:c r="Q813" s="10" t="n">
        <x:f>J813*'Assumptions'!$S$67</x:f>
        <x:v>0</x:v>
      </x:c>
      <x:c r="R813" s="10" t="n">
        <x:f>H813*'Assumptions'!$Y$67*'Assumptions'!$Z$67*'Assumptions'!$D$11*(1+'Assumptions'!$D$13)^(7-1)</x:f>
        <x:v>265.5542626325536</x:v>
      </x:c>
      <x:c r="S813" s="10" t="n">
        <x:f>IF(I813=0,0,J813*'Assumptions'!$W$67+H813*'Assumptions'!$X$67)</x:f>
        <x:v>201.61323065284904</x:v>
      </x:c>
      <x:c r="T813" s="10" t="n">
        <x:f>N813*'Assumptions'!$AA$67</x:f>
        <x:v>257.84249680050146</x:v>
      </x:c>
      <x:c r="U813" s="10" t="n">
        <x:f>'Assumptions'!$AE$67*'Assumptions'!$D$11*(1+'Assumptions'!$D$13)^(7-1)</x:f>
        <x:v>0</x:v>
      </x:c>
      <x:c r="V813" s="10" t="n">
        <x:f>0</x:f>
        <x:v>0</x:v>
      </x:c>
      <x:c r="W813" s="10" t="n">
        <x:f>H813*('Assumptions'!$P$67+'Assumptions'!$Y$67)</x:f>
        <x:v>66.71925427500001</x:v>
      </x:c>
      <x:c r="X813" s="10" t="n">
        <x:f>N813/12*'Assumptions'!$AF$67</x:f>
        <x:v>537.171868334378</x:v>
      </x:c>
      <x:c r="Y813" s="10" t="n">
        <x:f>P813/12</x:f>
        <x:v>0</x:v>
      </x:c>
      <x:c r="Z813" s="10" t="n">
        <x:f>0</x:f>
        <x:v>0</x:v>
      </x:c>
      <x:c r="AA813" s="10" t="n">
        <x:f>Z813*'Assumptions'!$AC$67*'Assumptions'!$D$11*(1+'Assumptions'!$D$13)^(7-1)</x:f>
        <x:v>0</x:v>
      </x:c>
      <x:c r="AB813" s="10" t="n">
        <x:f>F813/1</x:f>
        <x:v>15.532636900000004</x:v>
      </x:c>
      <x:c r="AC813" s="10" t="n">
        <x:f>AB813/'Assumptions'!$AM$67</x:f>
        <x:v>77.66318450000001</x:v>
      </x:c>
      <x:c r="AD813" s="10" t="n">
        <x:f>IF(AB813=0,0,T813/AB813)</x:f>
        <x:v>16.600046628303105</x:v>
      </x:c>
      <x:c r="AE813" s="10" t="n">
        <x:f>AA813*'Assumptions'!$D$21</x:f>
        <x:v>0</x:v>
      </x:c>
    </x:row>
    <x:row r="814" ht="16" customHeight="1">
      <x:c r="A814" s="1"/>
      <x:c r="B814" s="1"/>
      <x:c r="C814" s="1" t="str">
        <x:v>DOT-039</x:v>
      </x:c>
      <x:c r="D814" s="10" t="str">
        <x:v>DishLoom US</x:v>
      </x:c>
      <x:c r="E814" s="10" t="n">
        <x:v>7</x:v>
      </x:c>
      <x:c r="F814" s="21" t="n">
        <x:f>F686*(1+'Assumptions'!$M$68)</x:f>
        <x:v>79.19576064000002</x:v>
      </x:c>
      <x:c r="G814" s="21" t="n">
        <x:f>H686*'Assumptions'!$K$68</x:f>
        <x:v>138.5043576</x:v>
      </x:c>
      <x:c r="H814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814+G814,NA())</x:f>
        <x:v>217.70011824</x:v>
      </x:c>
      <x:c r="I814" s="22" t="n">
        <x:f>'Assumptions'!$H$68*IF('Assumptions'!$O$68=1,1,'Assumptions'!$D$10)*(1+'Assumptions'!$N$68)^(7-1)</x:f>
        <x:v>43.920334351296006</x:v>
      </x:c>
      <x:c r="J814" s="10" t="n">
        <x:f>H814*I814</x:f>
        <x:v>9561.461981417475</x:v>
      </x:c>
      <x:c r="K814" s="10" t="n">
        <x:f>J814*'Assumptions'!$T$68</x:f>
        <x:v>9561.461981417475</x:v>
      </x:c>
      <x:c r="L814" s="10" t="n">
        <x:f>K814*'Assumptions'!$U$68</x:f>
        <x:v>286.8438594425242</x:v>
      </x:c>
      <x:c r="M814" s="10" t="n">
        <x:f>K814*'Assumptions'!$V$68</x:f>
        <x:v>0</x:v>
      </x:c>
      <x:c r="N814" s="10" t="n">
        <x:f>K814-L814-M814</x:f>
        <x:v>9274.61812197495</x:v>
      </x:c>
      <x:c r="O814" s="10" t="n">
        <x:f>H814*'Assumptions'!$P$68*'Assumptions'!$Q$68*'Assumptions'!$D$11*(1+'Assumptions'!$D$13)^(7-1)</x:f>
        <x:v>1364.712962230311</x:v>
      </x:c>
      <x:c r="P814" s="10" t="n">
        <x:f>H814*'Assumptions'!$R$68*'Assumptions'!$D$11*(1+'Assumptions'!$D$13)^(7-1)</x:f>
        <x:v>0</x:v>
      </x:c>
      <x:c r="Q814" s="10" t="n">
        <x:f>J814*'Assumptions'!$S$68</x:f>
        <x:v>0</x:v>
      </x:c>
      <x:c r="R814" s="10" t="n">
        <x:f>H814*'Assumptions'!$Y$68*'Assumptions'!$Z$68*'Assumptions'!$D$11*(1+'Assumptions'!$D$13)^(7-1)</x:f>
        <x:v>1169.7539676259807</x:v>
      </x:c>
      <x:c r="S814" s="10" t="n">
        <x:f>IF(I814=0,0,J814*'Assumptions'!$W$68+H814*'Assumptions'!$X$68)</x:f>
        <x:v>342.59243293310675</x:v>
      </x:c>
      <x:c r="T814" s="10" t="n">
        <x:f>N814*'Assumptions'!$AA$68</x:f>
        <x:v>463.73090609874754</x:v>
      </x:c>
      <x:c r="U814" s="10" t="n">
        <x:f>'Assumptions'!$AE$68*'Assumptions'!$D$11*(1+'Assumptions'!$D$13)^(7-1)</x:f>
        <x:v>143.28627558348</x:v>
      </x:c>
      <x:c r="V814" s="10" t="n">
        <x:f>0</x:f>
        <x:v>0</x:v>
      </x:c>
      <x:c r="W814" s="10" t="n">
        <x:f>H814*('Assumptions'!$P$68+'Assumptions'!$Y$68)</x:f>
        <x:v>65.310035472</x:v>
      </x:c>
      <x:c r="X814" s="10" t="n">
        <x:f>N814/12*'Assumptions'!$AF$68</x:f>
        <x:v>0</x:v>
      </x:c>
      <x:c r="Y814" s="10" t="n">
        <x:f>P814/12</x:f>
        <x:v>0</x:v>
      </x:c>
      <x:c r="Z814" s="10" t="n">
        <x:f>0</x:f>
        <x:v>0</x:v>
      </x:c>
      <x:c r="AA814" s="10" t="n">
        <x:f>Z814*'Assumptions'!$AC$68*'Assumptions'!$D$11*(1+'Assumptions'!$D$13)^(7-1)</x:f>
        <x:v>0</x:v>
      </x:c>
      <x:c r="AB814" s="10" t="n">
        <x:f>F814/12</x:f>
        <x:v>6.599646720000002</x:v>
      </x:c>
      <x:c r="AC814" s="10" t="n">
        <x:f>AB814/'Assumptions'!$AM$68</x:f>
        <x:v>131.99293440000002</x:v>
      </x:c>
      <x:c r="AD814" s="10" t="n">
        <x:f>IF(AB814=0,0,T814/AB814)</x:f>
        <x:v>70.26601964820739</x:v>
      </x:c>
      <x:c r="AE814" s="10" t="n">
        <x:f>AA814*'Assumptions'!$D$21</x:f>
        <x:v>0</x:v>
      </x:c>
    </x:row>
    <x:row r="815" ht="16" customHeight="1">
      <x:c r="A815" s="1"/>
      <x:c r="B815" s="1"/>
      <x:c r="C815" s="1" t="str">
        <x:v>DOT-040</x:v>
      </x:c>
      <x:c r="D815" s="10" t="str">
        <x:v>DishLoom US</x:v>
      </x:c>
      <x:c r="E815" s="10" t="n">
        <x:v>7</x:v>
      </x:c>
      <x:c r="F815" s="21" t="n">
        <x:f>F687*(1+'Assumptions'!$M$69)</x:f>
        <x:v>158.39152128000003</x:v>
      </x:c>
      <x:c r="G815" s="21" t="n">
        <x:f>H687*'Assumptions'!$K$69</x:f>
        <x:v>277.0087152</x:v>
      </x:c>
      <x:c r="H815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815+G815,NA())</x:f>
        <x:v>435.40023648</x:v>
      </x:c>
      <x:c r="I815" s="22" t="n">
        <x:f>'Assumptions'!$H$69*IF('Assumptions'!$O$69=1,1,'Assumptions'!$D$10)*(1+'Assumptions'!$N$69)^(7-1)</x:f>
        <x:v>10.135461773376</x:v>
      </x:c>
      <x:c r="J815" s="10" t="n">
        <x:f>H815*I815</x:f>
        <x:v>4412.982452961911</x:v>
      </x:c>
      <x:c r="K815" s="10" t="n">
        <x:f>J815*'Assumptions'!$T$69</x:f>
        <x:v>4412.982452961911</x:v>
      </x:c>
      <x:c r="L815" s="10" t="n">
        <x:f>K815*'Assumptions'!$U$69</x:f>
        <x:v>132.38947358885733</x:v>
      </x:c>
      <x:c r="M815" s="10" t="n">
        <x:f>K815*'Assumptions'!$V$69</x:f>
        <x:v>0</x:v>
      </x:c>
      <x:c r="N815" s="10" t="n">
        <x:f>K815-L815-M815</x:f>
        <x:v>4280.592979373054</x:v>
      </x:c>
      <x:c r="O815" s="10" t="n">
        <x:f>H815*'Assumptions'!$P$69*'Assumptions'!$Q$69*'Assumptions'!$D$11*(1+'Assumptions'!$D$13)^(7-1)</x:f>
        <x:v>909.8086414868741</x:v>
      </x:c>
      <x:c r="P815" s="10" t="n">
        <x:f>H815*'Assumptions'!$R$69*'Assumptions'!$D$11*(1+'Assumptions'!$D$13)^(7-1)</x:f>
        <x:v>0</x:v>
      </x:c>
      <x:c r="Q815" s="10" t="n">
        <x:f>J815*'Assumptions'!$S$69</x:f>
        <x:v>0</x:v>
      </x:c>
      <x:c r="R815" s="10" t="n">
        <x:f>H815*'Assumptions'!$Y$69*'Assumptions'!$Z$69*'Assumptions'!$D$11*(1+'Assumptions'!$D$13)^(7-1)</x:f>
        <x:v>2339.5079352519615</x:v>
      </x:c>
      <x:c r="S815" s="10" t="n">
        <x:f>IF(I815=0,0,J815*'Assumptions'!$W$69+H815*'Assumptions'!$X$69)</x:f>
        <x:v>258.5965620798954</x:v>
      </x:c>
      <x:c r="T815" s="10" t="n">
        <x:f>N815*'Assumptions'!$AA$69</x:f>
        <x:v>214.0296489686527</x:v>
      </x:c>
      <x:c r="U815" s="10" t="n">
        <x:f>'Assumptions'!$AE$69*'Assumptions'!$D$11*(1+'Assumptions'!$D$13)^(7-1)</x:f>
        <x:v>0</x:v>
      </x:c>
      <x:c r="V815" s="10" t="n">
        <x:f>0</x:f>
        <x:v>0</x:v>
      </x:c>
      <x:c r="W815" s="10" t="n">
        <x:f>H815*('Assumptions'!$P$69+'Assumptions'!$Y$69)</x:f>
        <x:v>87.080047296</x:v>
      </x:c>
      <x:c r="X815" s="10" t="n">
        <x:f>N815/12*'Assumptions'!$AF$69</x:f>
        <x:v>0</x:v>
      </x:c>
      <x:c r="Y815" s="10" t="n">
        <x:f>P815/12</x:f>
        <x:v>0</x:v>
      </x:c>
      <x:c r="Z815" s="10" t="n">
        <x:f>0</x:f>
        <x:v>0</x:v>
      </x:c>
      <x:c r="AA815" s="10" t="n">
        <x:f>Z815*'Assumptions'!$AC$69*'Assumptions'!$D$11*(1+'Assumptions'!$D$13)^(7-1)</x:f>
        <x:v>0</x:v>
      </x:c>
      <x:c r="AB815" s="10" t="n">
        <x:f>F815/1</x:f>
        <x:v>158.39152128000003</x:v>
      </x:c>
      <x:c r="AC815" s="10" t="n">
        <x:f>AB815/'Assumptions'!$AM$69</x:f>
        <x:v>3167.8304256000006</x:v>
      </x:c>
      <x:c r="AD815" s="10" t="n">
        <x:f>IF(AB815=0,0,T815/AB815)</x:f>
        <x:v>1.3512696086193727</x:v>
      </x:c>
      <x:c r="AE815" s="10" t="n">
        <x:f>AA815*'Assumptions'!$D$21</x:f>
        <x:v>0</x:v>
      </x:c>
    </x:row>
    <x:row r="816" ht="16" customHeight="1">
      <x:c r="A816" s="1"/>
      <x:c r="B816" s="1"/>
      <x:c r="C816" s="1" t="str">
        <x:v>DOT-041</x:v>
      </x:c>
      <x:c r="D816" s="10" t="str">
        <x:v>DishLoom US</x:v>
      </x:c>
      <x:c r="E816" s="10" t="n">
        <x:v>7</x:v>
      </x:c>
      <x:c r="F816" s="21" t="n">
        <x:f>F688*(1+'Assumptions'!$M$70)</x:f>
        <x:v>197.9894016</x:v>
      </x:c>
      <x:c r="G816" s="21" t="n">
        <x:f>H688*'Assumptions'!$K$70</x:f>
        <x:v>346.26089399999995</x:v>
      </x:c>
      <x:c r="H816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816+G816,NA())</x:f>
        <x:v>544.2502956</x:v>
      </x:c>
      <x:c r="I816" s="22" t="n">
        <x:f>'Assumptions'!$H$70*IF('Assumptions'!$O$70=1,1,'Assumptions'!$D$10)*(1+'Assumptions'!$N$70)^(7-1)</x:f>
        <x:v>112.61624192640001</x:v>
      </x:c>
      <x:c r="J816" s="10" t="n">
        <x:f>H816*I816</x:f>
        <x:v>61291.422957804316</x:v>
      </x:c>
      <x:c r="K816" s="10" t="n">
        <x:f>J816*'Assumptions'!$T$70</x:f>
        <x:v>9193.713443670647</x:v>
      </x:c>
      <x:c r="L816" s="10" t="n">
        <x:f>K816*'Assumptions'!$U$70</x:f>
        <x:v>275.81140331011943</x:v>
      </x:c>
      <x:c r="M816" s="10" t="n">
        <x:f>K816*'Assumptions'!$V$70</x:f>
        <x:v>0</x:v>
      </x:c>
      <x:c r="N816" s="10" t="n">
        <x:f>K816-L816-M816</x:f>
        <x:v>8917.902040360528</x:v>
      </x:c>
      <x:c r="O816" s="10" t="n">
        <x:f>H816*'Assumptions'!$P$70*'Assumptions'!$Q$70*'Assumptions'!$D$11*(1+'Assumptions'!$D$13)^(7-1)</x:f>
        <x:v>2274.521603717185</x:v>
      </x:c>
      <x:c r="P816" s="10" t="n">
        <x:f>H816*'Assumptions'!$R$70*'Assumptions'!$D$11*(1+'Assumptions'!$D$13)^(7-1)</x:f>
        <x:v>0</x:v>
      </x:c>
      <x:c r="Q816" s="10" t="n">
        <x:f>J816*'Assumptions'!$S$70</x:f>
        <x:v>0</x:v>
      </x:c>
      <x:c r="R816" s="10" t="n">
        <x:f>H816*'Assumptions'!$Y$70*'Assumptions'!$Z$70*'Assumptions'!$D$11*(1+'Assumptions'!$D$13)^(7-1)</x:f>
        <x:v>2924.384919064952</x:v>
      </x:c>
      <x:c r="S816" s="10" t="n">
        <x:f>IF(I816=0,0,J816*'Assumptions'!$W$70+H816*'Assumptions'!$X$70)</x:f>
        <x:v>1940.7263544563252</x:v>
      </x:c>
      <x:c r="T816" s="10" t="n">
        <x:f>N816*'Assumptions'!$AA$70</x:f>
        <x:v>445.8951020180264</x:v>
      </x:c>
      <x:c r="U816" s="10" t="n">
        <x:f>'Assumptions'!$AE$70*'Assumptions'!$D$11*(1+'Assumptions'!$D$13)^(7-1)</x:f>
        <x:v>0</x:v>
      </x:c>
      <x:c r="V816" s="10" t="n">
        <x:f>0</x:f>
        <x:v>0</x:v>
      </x:c>
      <x:c r="W816" s="10" t="n">
        <x:f>H816*('Assumptions'!$P$70+'Assumptions'!$Y$70)</x:f>
        <x:v>136.0625739</x:v>
      </x:c>
      <x:c r="X816" s="10" t="n">
        <x:f>N816/12*'Assumptions'!$AF$70</x:f>
        <x:v>0</x:v>
      </x:c>
      <x:c r="Y816" s="10" t="n">
        <x:f>P816/12</x:f>
        <x:v>0</x:v>
      </x:c>
      <x:c r="Z816" s="10" t="n">
        <x:f>0</x:f>
        <x:v>0</x:v>
      </x:c>
      <x:c r="AA816" s="10" t="n">
        <x:f>Z816*'Assumptions'!$AC$70*'Assumptions'!$D$11*(1+'Assumptions'!$D$13)^(7-1)</x:f>
        <x:v>0</x:v>
      </x:c>
      <x:c r="AB816" s="10" t="n">
        <x:f>F816/1</x:f>
        <x:v>197.9894016</x:v>
      </x:c>
      <x:c r="AC816" s="10" t="n">
        <x:f>AB816/'Assumptions'!$AM$70</x:f>
        <x:v>3959.788032</x:v>
      </x:c>
      <x:c r="AD816" s="10" t="n">
        <x:f>IF(AB816=0,0,T816/AB816)</x:f>
        <x:v>2.2521160143656216</x:v>
      </x:c>
      <x:c r="AE816" s="10" t="n">
        <x:f>AA816*'Assumptions'!$D$21</x:f>
        <x:v>0</x:v>
      </x:c>
    </x:row>
    <x:row r="817" ht="16" customHeight="1">
      <x:c r="A817" s="1"/>
      <x:c r="B817" s="1"/>
      <x:c r="C817" s="1" t="str">
        <x:v>DOT-042</x:v>
      </x:c>
      <x:c r="D817" s="10" t="str">
        <x:v>Is Makes Travel Easy</x:v>
      </x:c>
      <x:c r="E817" s="10" t="n">
        <x:v>7</x:v>
      </x:c>
      <x:c r="F817" s="21" t="n">
        <x:f>F689*(1+'Assumptions'!$M$71)</x:f>
        <x:v>237.58728191999998</x:v>
      </x:c>
      <x:c r="G817" s="21" t="n">
        <x:f>H689*'Assumptions'!$K$71</x:f>
        <x:v>426.1014827999999</x:v>
      </x:c>
      <x:c r="H817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817+G817,NA())</x:f>
        <x:v>663.6887647199999</x:v>
      </x:c>
      <x:c r="I817" s="22" t="n">
        <x:f>'Assumptions'!$H$71*IF('Assumptions'!$O$71=1,1,'Assumptions'!$D$10)*(1+'Assumptions'!$N$71)^(7-1)</x:f>
        <x:v>32.658710158656</x:v>
      </x:c>
      <x:c r="J817" s="10" t="n">
        <x:f>H817*I817</x:f>
        <x:v>21675.21900254691</x:v>
      </x:c>
      <x:c r="K817" s="10" t="n">
        <x:f>J817*'Assumptions'!$T$71</x:f>
        <x:v>21675.21900254691</x:v>
      </x:c>
      <x:c r="L817" s="10" t="n">
        <x:f>K817*'Assumptions'!$U$71</x:f>
        <x:v>650.2565700764072</x:v>
      </x:c>
      <x:c r="M817" s="10" t="n">
        <x:f>K817*'Assumptions'!$V$71</x:f>
        <x:v>0</x:v>
      </x:c>
      <x:c r="N817" s="10" t="n">
        <x:f>K817-L817-M817</x:f>
        <x:v>21024.962432470504</x:v>
      </x:c>
      <x:c r="O817" s="10" t="n">
        <x:f>H817*'Assumptions'!$P$71*'Assumptions'!$Q$71*'Assumptions'!$D$11*(1+'Assumptions'!$D$13)^(7-1)</x:f>
        <x:v>2773.6768279304392</x:v>
      </x:c>
      <x:c r="P817" s="10" t="n">
        <x:f>H817*'Assumptions'!$R$71*'Assumptions'!$D$11*(1+'Assumptions'!$D$13)^(7-1)</x:f>
        <x:v>0</x:v>
      </x:c>
      <x:c r="Q817" s="10" t="n">
        <x:f>J817*'Assumptions'!$S$71</x:f>
        <x:v>0</x:v>
      </x:c>
      <x:c r="R817" s="10" t="n">
        <x:f>H817*'Assumptions'!$Y$71*'Assumptions'!$Z$71*'Assumptions'!$D$11*(1+'Assumptions'!$D$13)^(7-1)</x:f>
        <x:v>3566.1559216248497</x:v>
      </x:c>
      <x:c r="S817" s="10" t="n">
        <x:f>IF(I817=0,0,J817*'Assumptions'!$W$71+H817*'Assumptions'!$X$71)</x:f>
        <x:v>827.6879804898604</x:v>
      </x:c>
      <x:c r="T817" s="10" t="n">
        <x:f>N817*'Assumptions'!$AA$71</x:f>
        <x:v>1051.2481216235253</x:v>
      </x:c>
      <x:c r="U817" s="10" t="n">
        <x:f>'Assumptions'!$AE$71*'Assumptions'!$D$11*(1+'Assumptions'!$D$13)^(7-1)</x:f>
        <x:v>286.57255116696</x:v>
      </x:c>
      <x:c r="V817" s="10" t="n">
        <x:f>0</x:f>
        <x:v>0</x:v>
      </x:c>
      <x:c r="W817" s="10" t="n">
        <x:f>H817*('Assumptions'!$P$71+'Assumptions'!$Y$71)</x:f>
        <x:v>165.92219117999997</x:v>
      </x:c>
      <x:c r="X817" s="10" t="n">
        <x:f>N817/12*'Assumptions'!$AF$71</x:f>
        <x:v>0</x:v>
      </x:c>
      <x:c r="Y817" s="10" t="n">
        <x:f>P817/12</x:f>
        <x:v>0</x:v>
      </x:c>
      <x:c r="Z817" s="10" t="n">
        <x:f>0</x:f>
        <x:v>0</x:v>
      </x:c>
      <x:c r="AA817" s="10" t="n">
        <x:f>Z817*'Assumptions'!$AC$71*'Assumptions'!$D$11*(1+'Assumptions'!$D$13)^(7-1)</x:f>
        <x:v>0</x:v>
      </x:c>
      <x:c r="AB817" s="10" t="n">
        <x:f>F817/1</x:f>
        <x:v>237.58728191999998</x:v>
      </x:c>
      <x:c r="AC817" s="10" t="n">
        <x:f>AB817/'Assumptions'!$AM$71</x:f>
        <x:v>4751.7456384</x:v>
      </x:c>
      <x:c r="AD817" s="10" t="n">
        <x:f>IF(AB817=0,0,T817/AB817)</x:f>
        <x:v>4.424681797477274</x:v>
      </x:c>
      <x:c r="AE817" s="10" t="n">
        <x:f>AA817*'Assumptions'!$D$21</x:f>
        <x:v>0</x:v>
      </x:c>
    </x:row>
    <x:row r="818" ht="16" customHeight="1">
      <x:c r="A818" s="1"/>
      <x:c r="B818" s="1"/>
      <x:c r="C818" s="1" t="str">
        <x:v>DOT-043</x:v>
      </x:c>
      <x:c r="D818" s="10" t="str">
        <x:v>Is Makes Travel Easy</x:v>
      </x:c>
      <x:c r="E818" s="10" t="n">
        <x:v>7</x:v>
      </x:c>
      <x:c r="F818" s="21" t="n">
        <x:f>F690*(1+'Assumptions'!$M$72)</x:f>
        <x:v>118.79364095999999</x:v>
      </x:c>
      <x:c r="G818" s="21" t="n">
        <x:f>H690*'Assumptions'!$K$72</x:f>
        <x:v>213.05074139999996</x:v>
      </x:c>
      <x:c r="H818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818+G818,NA())</x:f>
        <x:v>331.84438235999994</x:v>
      </x:c>
      <x:c r="I818" s="22" t="n">
        <x:f>'Assumptions'!$H$72*IF('Assumptions'!$O$72=1,1,'Assumptions'!$D$10)*(1+'Assumptions'!$N$72)^(7-1)</x:f>
        <x:v>21.397085966016</x:v>
      </x:c>
      <x:c r="J818" s="10" t="n">
        <x:f>H818*I818</x:f>
        <x:v>7100.502776696402</x:v>
      </x:c>
      <x:c r="K818" s="10" t="n">
        <x:f>J818*'Assumptions'!$T$72</x:f>
        <x:v>7100.502776696402</x:v>
      </x:c>
      <x:c r="L818" s="10" t="n">
        <x:f>K818*'Assumptions'!$U$72</x:f>
        <x:v>213.01508330089206</x:v>
      </x:c>
      <x:c r="M818" s="10" t="n">
        <x:f>K818*'Assumptions'!$V$72</x:f>
        <x:v>0</x:v>
      </x:c>
      <x:c r="N818" s="10" t="n">
        <x:f>K818-L818-M818</x:f>
        <x:v>6887.48769339551</x:v>
      </x:c>
      <x:c r="O818" s="10" t="n">
        <x:f>H818*'Assumptions'!$P$72*'Assumptions'!$Q$72*'Assumptions'!$D$11*(1+'Assumptions'!$D$13)^(7-1)</x:f>
        <x:v>1386.8384139652196</x:v>
      </x:c>
      <x:c r="P818" s="10" t="n">
        <x:f>H818*'Assumptions'!$R$72*'Assumptions'!$D$11*(1+'Assumptions'!$D$13)^(7-1)</x:f>
        <x:v>0</x:v>
      </x:c>
      <x:c r="Q818" s="10" t="n">
        <x:f>J818*'Assumptions'!$S$72</x:f>
        <x:v>0</x:v>
      </x:c>
      <x:c r="R818" s="10" t="n">
        <x:f>H818*'Assumptions'!$Y$72*'Assumptions'!$Z$72*'Assumptions'!$D$11*(1+'Assumptions'!$D$13)^(7-1)</x:f>
        <x:v>1783.0779608124249</x:v>
      </x:c>
      <x:c r="S818" s="10" t="n">
        <x:f>IF(I818=0,0,J818*'Assumptions'!$W$72+H818*'Assumptions'!$X$72)</x:f>
        <x:v>305.46789523219564</x:v>
      </x:c>
      <x:c r="T818" s="10" t="n">
        <x:f>N818*'Assumptions'!$AA$72</x:f>
        <x:v>344.3743846697755</x:v>
      </x:c>
      <x:c r="U818" s="10" t="n">
        <x:f>'Assumptions'!$AE$72*'Assumptions'!$D$11*(1+'Assumptions'!$D$13)^(7-1)</x:f>
        <x:v>0</x:v>
      </x:c>
      <x:c r="V818" s="10" t="n">
        <x:f>0</x:f>
        <x:v>0</x:v>
      </x:c>
      <x:c r="W818" s="10" t="n">
        <x:f>H818*('Assumptions'!$P$72+'Assumptions'!$Y$72)</x:f>
        <x:v>82.96109558999999</x:v>
      </x:c>
      <x:c r="X818" s="10" t="n">
        <x:f>N818/12*'Assumptions'!$AF$72</x:f>
        <x:v>0</x:v>
      </x:c>
      <x:c r="Y818" s="10" t="n">
        <x:f>P818/12</x:f>
        <x:v>0</x:v>
      </x:c>
      <x:c r="Z818" s="10" t="n">
        <x:f>0</x:f>
        <x:v>0</x:v>
      </x:c>
      <x:c r="AA818" s="10" t="n">
        <x:f>Z818*'Assumptions'!$AC$72*'Assumptions'!$D$11*(1+'Assumptions'!$D$13)^(7-1)</x:f>
        <x:v>0</x:v>
      </x:c>
      <x:c r="AB818" s="10" t="n">
        <x:f>F818/12</x:f>
        <x:v>9.899470079999999</x:v>
      </x:c>
      <x:c r="AC818" s="10" t="n">
        <x:f>AB818/'Assumptions'!$AM$72</x:f>
        <x:v>197.98940159999995</x:v>
      </x:c>
      <x:c r="AD818" s="10" t="n">
        <x:f>IF(AB818=0,0,T818/AB818)</x:f>
        <x:v>34.787153442235116</x:v>
      </x:c>
      <x:c r="AE818" s="10" t="n">
        <x:f>AA818*'Assumptions'!$D$21</x:f>
        <x:v>0</x:v>
      </x:c>
    </x:row>
    <x:row r="819" ht="16" customHeight="1">
      <x:c r="A819" s="1"/>
      <x:c r="B819" s="1"/>
      <x:c r="C819" s="1" t="str">
        <x:v>DOT-044</x:v>
      </x:c>
      <x:c r="D819" s="10" t="str">
        <x:v>Is Makes Travel Easy</x:v>
      </x:c>
      <x:c r="E819" s="10" t="n">
        <x:v>7</x:v>
      </x:c>
      <x:c r="F819" s="21" t="n">
        <x:f>F691*(1+'Assumptions'!$M$73)</x:f>
        <x:v>48.461827128000024</x:v>
      </x:c>
      <x:c r="G819" s="21" t="n">
        <x:f>H691*'Assumptions'!$K$73</x:f>
        <x:v>24.656828647500006</x:v>
      </x:c>
      <x:c r="H819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819+G819,NA())</x:f>
        <x:v>73.11865577550003</x:v>
      </x:c>
      <x:c r="I819" s="22" t="n">
        <x:f>'Assumptions'!$H$73*IF('Assumptions'!$O$73=1,1,'Assumptions'!$D$10)*(1+'Assumptions'!$N$73)^(7-1)</x:f>
        <x:v>55.181958543936005</x:v>
      </x:c>
      <x:c r="J819" s="10" t="n">
        <x:f>H819*I819</x:f>
        <x:v>4034.8306317919696</x:v>
      </x:c>
      <x:c r="K819" s="10" t="n">
        <x:f>J819*'Assumptions'!$T$73</x:f>
        <x:v>4034.8306317919696</x:v>
      </x:c>
      <x:c r="L819" s="10" t="n">
        <x:f>K819*'Assumptions'!$U$73</x:f>
        <x:v>121.04491895375908</x:v>
      </x:c>
      <x:c r="M819" s="10" t="n">
        <x:f>K819*'Assumptions'!$V$73</x:f>
        <x:v>0</x:v>
      </x:c>
      <x:c r="N819" s="10" t="n">
        <x:f>K819-L819-M819</x:f>
        <x:v>3913.7857128382107</x:v>
      </x:c>
      <x:c r="O819" s="10" t="n">
        <x:f>H819*'Assumptions'!$P$73*'Assumptions'!$Q$73*'Assumptions'!$D$11*(1+'Assumptions'!$D$13)^(7-1)</x:f>
        <x:v>763.9406149186809</x:v>
      </x:c>
      <x:c r="P819" s="10" t="n">
        <x:f>H819*'Assumptions'!$R$73*'Assumptions'!$D$11*(1+'Assumptions'!$D$13)^(7-1)</x:f>
        <x:v>0</x:v>
      </x:c>
      <x:c r="Q819" s="10" t="n">
        <x:f>J819*'Assumptions'!$S$73</x:f>
        <x:v>0</x:v>
      </x:c>
      <x:c r="R819" s="10" t="n">
        <x:f>H819*'Assumptions'!$Y$73*'Assumptions'!$Z$73*'Assumptions'!$D$11*(1+'Assumptions'!$D$13)^(7-1)</x:f>
        <x:v>1309.6124827177389</x:v>
      </x:c>
      <x:c r="S819" s="10" t="n">
        <x:f>IF(I819=0,0,J819*'Assumptions'!$W$73+H819*'Assumptions'!$X$73)</x:f>
        <x:v>138.94568505461712</x:v>
      </x:c>
      <x:c r="T819" s="10" t="n">
        <x:f>N819*'Assumptions'!$AA$73</x:f>
        <x:v>313.10285702705687</x:v>
      </x:c>
      <x:c r="U819" s="10" t="n">
        <x:f>'Assumptions'!$AE$73*'Assumptions'!$D$11*(1+'Assumptions'!$D$13)^(7-1)</x:f>
        <x:v>0</x:v>
      </x:c>
      <x:c r="V819" s="10" t="n">
        <x:f>0</x:f>
        <x:v>0</x:v>
      </x:c>
      <x:c r="W819" s="10" t="n">
        <x:f>H819*('Assumptions'!$P$73+'Assumptions'!$Y$73)</x:f>
        <x:v>54.83899183162502</x:v>
      </x:c>
      <x:c r="X819" s="10" t="n">
        <x:f>N819/12*'Assumptions'!$AF$73</x:f>
        <x:v>326.1488094031842</x:v>
      </x:c>
      <x:c r="Y819" s="10" t="n">
        <x:f>P819/12</x:f>
        <x:v>0</x:v>
      </x:c>
      <x:c r="Z819" s="10" t="n">
        <x:f>0</x:f>
        <x:v>0</x:v>
      </x:c>
      <x:c r="AA819" s="10" t="n">
        <x:f>Z819*'Assumptions'!$AC$73*'Assumptions'!$D$11*(1+'Assumptions'!$D$13)^(7-1)</x:f>
        <x:v>0</x:v>
      </x:c>
      <x:c r="AB819" s="10" t="n">
        <x:f>F819/1</x:f>
        <x:v>48.461827128000024</x:v>
      </x:c>
      <x:c r="AC819" s="10" t="n">
        <x:f>AB819/'Assumptions'!$AM$73</x:f>
        <x:v>484.6182712800002</x:v>
      </x:c>
      <x:c r="AD819" s="10" t="n">
        <x:f>IF(AB819=0,0,T819/AB819)</x:f>
        <x:v>6.4608141207732945</x:v>
      </x:c>
      <x:c r="AE819" s="10" t="n">
        <x:f>AA819*'Assumptions'!$D$21</x:f>
        <x:v>0</x:v>
      </x:c>
    </x:row>
    <x:row r="820" ht="16" customHeight="1">
      <x:c r="A820" s="1"/>
      <x:c r="B820" s="1"/>
      <x:c r="C820" s="1" t="str">
        <x:v>DOT-045</x:v>
      </x:c>
      <x:c r="D820" s="10" t="str">
        <x:v>Is Makes Travel Easy</x:v>
      </x:c>
      <x:c r="E820" s="10" t="n">
        <x:v>7</x:v>
      </x:c>
      <x:c r="F820" s="21" t="n">
        <x:f>F692*(1+'Assumptions'!$M$74)</x:f>
        <x:v>158.39152128000003</x:v>
      </x:c>
      <x:c r="G820" s="21" t="n">
        <x:f>H692*'Assumptions'!$K$74</x:f>
        <x:v>284.06765519999993</x:v>
      </x:c>
      <x:c r="H820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820+G820,NA())</x:f>
        <x:v>442.45917648</x:v>
      </x:c>
      <x:c r="I820" s="22" t="n">
        <x:f>'Assumptions'!$H$74*IF('Assumptions'!$O$74=1,1,'Assumptions'!$D$10)*(1+'Assumptions'!$N$74)^(7-1)</x:f>
        <x:v>168.92436288960002</x:v>
      </x:c>
      <x:c r="J820" s="10" t="n">
        <x:f>H820*I820</x:f>
        <x:v>74742.1344915411</x:v>
      </x:c>
      <x:c r="K820" s="10" t="n">
        <x:f>J820*'Assumptions'!$T$74</x:f>
        <x:v>7474.213449154111</x:v>
      </x:c>
      <x:c r="L820" s="10" t="n">
        <x:f>K820*'Assumptions'!$U$74</x:f>
        <x:v>224.2264034746233</x:v>
      </x:c>
      <x:c r="M820" s="10" t="n">
        <x:f>K820*'Assumptions'!$V$74</x:f>
        <x:v>0</x:v>
      </x:c>
      <x:c r="N820" s="10" t="n">
        <x:f>K820-L820-M820</x:f>
        <x:v>7249.987045679488</x:v>
      </x:c>
      <x:c r="O820" s="10" t="n">
        <x:f>H820*'Assumptions'!$P$74*'Assumptions'!$Q$74*'Assumptions'!$D$11*(1+'Assumptions'!$D$13)^(7-1)</x:f>
        <x:v>1849.1178852869598</x:v>
      </x:c>
      <x:c r="P820" s="10" t="n">
        <x:f>H820*'Assumptions'!$R$74*'Assumptions'!$D$11*(1+'Assumptions'!$D$13)^(7-1)</x:f>
        <x:v>0</x:v>
      </x:c>
      <x:c r="Q820" s="10" t="n">
        <x:f>J820*'Assumptions'!$S$74</x:f>
        <x:v>0</x:v>
      </x:c>
      <x:c r="R820" s="10" t="n">
        <x:f>H820*'Assumptions'!$Y$74*'Assumptions'!$Z$74*'Assumptions'!$D$11*(1+'Assumptions'!$D$13)^(7-1)</x:f>
        <x:v>2377.4372810832338</x:v>
      </x:c>
      <x:c r="S820" s="10" t="n">
        <x:f>IF(I820=0,0,J820*'Assumptions'!$W$74+H820*'Assumptions'!$X$74)</x:f>
        <x:v>2300.259653198692</x:v>
      </x:c>
      <x:c r="T820" s="10" t="n">
        <x:f>N820*'Assumptions'!$AA$74</x:f>
        <x:v>362.4993522839744</x:v>
      </x:c>
      <x:c r="U820" s="10" t="n">
        <x:f>'Assumptions'!$AE$74*'Assumptions'!$D$11*(1+'Assumptions'!$D$13)^(7-1)</x:f>
        <x:v>0</x:v>
      </x:c>
      <x:c r="V820" s="10" t="n">
        <x:f>0</x:f>
        <x:v>0</x:v>
      </x:c>
      <x:c r="W820" s="10" t="n">
        <x:f>H820*('Assumptions'!$P$74+'Assumptions'!$Y$74)</x:f>
        <x:v>110.61479412</x:v>
      </x:c>
      <x:c r="X820" s="10" t="n">
        <x:f>N820/12*'Assumptions'!$AF$74</x:f>
        <x:v>0</x:v>
      </x:c>
      <x:c r="Y820" s="10" t="n">
        <x:f>P820/12</x:f>
        <x:v>0</x:v>
      </x:c>
      <x:c r="Z820" s="10" t="n">
        <x:f>0</x:f>
        <x:v>0</x:v>
      </x:c>
      <x:c r="AA820" s="10" t="n">
        <x:f>Z820*'Assumptions'!$AC$74*'Assumptions'!$D$11*(1+'Assumptions'!$D$13)^(7-1)</x:f>
        <x:v>0</x:v>
      </x:c>
      <x:c r="AB820" s="10" t="n">
        <x:f>F820/1</x:f>
        <x:v>158.39152128000003</x:v>
      </x:c>
      <x:c r="AC820" s="10" t="n">
        <x:f>AB820/'Assumptions'!$AM$74</x:f>
        <x:v>3167.8304256000006</x:v>
      </x:c>
      <x:c r="AD820" s="10" t="n">
        <x:f>IF(AB820=0,0,T820/AB820)</x:f>
        <x:v>2.288628515936521</x:v>
      </x:c>
      <x:c r="AE820" s="10" t="n">
        <x:f>AA820*'Assumptions'!$D$21</x:f>
        <x:v>0</x:v>
      </x:c>
    </x:row>
    <x:row r="821" ht="16" customHeight="1">
      <x:c r="A821" s="1"/>
      <x:c r="B821" s="1"/>
      <x:c r="C821" s="1" t="str">
        <x:v>DOT-046</x:v>
      </x:c>
      <x:c r="D821" s="10" t="str">
        <x:v>Turbo Tax - Made Easy!</x:v>
      </x:c>
      <x:c r="E821" s="10" t="n">
        <x:v>7</x:v>
      </x:c>
      <x:c r="F821" s="21" t="n">
        <x:f>F693*(1+'Assumptions'!$M$75)</x:f>
        <x:v>417.4921643906249</x:v>
      </x:c>
      <x:c r="G821" s="21" t="n">
        <x:f>H693*'Assumptions'!$K$75</x:f>
        <x:v>132.75135039062496</x:v>
      </x:c>
      <x:c r="H821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821+G821,NA())</x:f>
        <x:v>550.2435147812498</x:v>
      </x:c>
      <x:c r="I821" s="22" t="n">
        <x:f>'Assumptions'!$H$75*IF('Assumptions'!$O$75=1,1,'Assumptions'!$D$10)*(1+'Assumptions'!$N$75)^(7-1)</x:f>
        <x:v>149</x:v>
      </x:c>
      <x:c r="J821" s="10" t="n">
        <x:f>H821*I821</x:f>
        <x:v>81986.28370240622</x:v>
      </x:c>
      <x:c r="K821" s="10" t="n">
        <x:f>J821*'Assumptions'!$T$75</x:f>
        <x:v>81986.28370240622</x:v>
      </x:c>
      <x:c r="L821" s="10" t="n">
        <x:f>K821*'Assumptions'!$U$75</x:f>
        <x:v>2459.5885110721865</x:v>
      </x:c>
      <x:c r="M821" s="10" t="n">
        <x:f>K821*'Assumptions'!$V$75</x:f>
        <x:v>0</x:v>
      </x:c>
      <x:c r="N821" s="10" t="n">
        <x:f>K821-L821-M821</x:f>
        <x:v>79526.69519133403</x:v>
      </x:c>
      <x:c r="O821" s="10" t="n">
        <x:f>H821*'Assumptions'!$P$75*'Assumptions'!$Q$75*'Assumptions'!$D$11*(1+'Assumptions'!$D$13)^(7-1)</x:f>
        <x:v>3449.352545492386</x:v>
      </x:c>
      <x:c r="P821" s="10" t="n">
        <x:f>H821*'Assumptions'!$R$75*'Assumptions'!$D$11*(1+'Assumptions'!$D$13)^(7-1)</x:f>
        <x:v>0</x:v>
      </x:c>
      <x:c r="Q821" s="10" t="n">
        <x:f>J821*'Assumptions'!$S$75</x:f>
        <x:v>0</x:v>
      </x:c>
      <x:c r="R821" s="10" t="n">
        <x:f>H821*'Assumptions'!$Y$75*'Assumptions'!$Z$75*'Assumptions'!$D$11*(1+'Assumptions'!$D$13)^(7-1)</x:f>
        <x:v>1971.0585974242206</x:v>
      </x:c>
      <x:c r="S821" s="10" t="n">
        <x:f>IF(I821=0,0,J821*'Assumptions'!$W$75+H821*'Assumptions'!$X$75)</x:f>
        <x:v>2542.6752818041555</x:v>
      </x:c>
      <x:c r="T821" s="10" t="n">
        <x:f>N821*'Assumptions'!$AA$75</x:f>
        <x:v>3976.334759566702</x:v>
      </x:c>
      <x:c r="U821" s="10" t="n">
        <x:f>'Assumptions'!$AE$75*'Assumptions'!$D$11*(1+'Assumptions'!$D$13)^(7-1)</x:f>
        <x:v>0</x:v>
      </x:c>
      <x:c r="V821" s="10" t="n">
        <x:f>0</x:f>
        <x:v>0</x:v>
      </x:c>
      <x:c r="W821" s="10" t="n">
        <x:f>H821*('Assumptions'!$P$75+'Assumptions'!$Y$75)</x:f>
        <x:v>137.56087869531245</x:v>
      </x:c>
      <x:c r="X821" s="10" t="n">
        <x:f>N821/12*'Assumptions'!$AF$75</x:f>
        <x:v>0</x:v>
      </x:c>
      <x:c r="Y821" s="10" t="n">
        <x:f>P821/12</x:f>
        <x:v>0</x:v>
      </x:c>
      <x:c r="Z821" s="10" t="n">
        <x:f>0</x:f>
        <x:v>0</x:v>
      </x:c>
      <x:c r="AA821" s="10" t="n">
        <x:f>Z821*'Assumptions'!$AC$75*'Assumptions'!$D$11*(1+'Assumptions'!$D$13)^(7-1)</x:f>
        <x:v>0</x:v>
      </x:c>
      <x:c r="AB821" s="10" t="n">
        <x:f>F821/1</x:f>
        <x:v>417.4921643906249</x:v>
      </x:c>
      <x:c r="AC821" s="10" t="n">
        <x:f>AB821/'Assumptions'!$AM$75</x:f>
        <x:v>8349.843287812497</x:v>
      </x:c>
      <x:c r="AD821" s="10" t="n">
        <x:f>IF(AB821=0,0,T821/AB821)</x:f>
        <x:v>9.524333864733949</x:v>
      </x:c>
      <x:c r="AE821" s="10" t="n">
        <x:f>AA821*'Assumptions'!$D$21</x:f>
        <x:v>0</x:v>
      </x:c>
    </x:row>
    <x:row r="822" ht="16" customHeight="1">
      <x:c r="A822" s="1"/>
      <x:c r="B822" s="1"/>
      <x:c r="C822" s="1" t="str">
        <x:v>DOT-047</x:v>
      </x:c>
      <x:c r="D822" s="10" t="str">
        <x:v>LavaLearning adult</x:v>
      </x:c>
      <x:c r="E822" s="10" t="n">
        <x:v>7</x:v>
      </x:c>
      <x:c r="F822" s="21" t="n">
        <x:f>F694*(1+'Assumptions'!$M$76)</x:f>
        <x:v>278.32810959374996</x:v>
      </x:c>
      <x:c r="G822" s="21" t="n">
        <x:f>H694*'Assumptions'!$K$76</x:f>
        <x:v>88.49683124999999</x:v>
      </x:c>
      <x:c r="H822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822+G822,NA())</x:f>
        <x:v>366.8249408437499</x:v>
      </x:c>
      <x:c r="I822" s="22" t="n">
        <x:f>'Assumptions'!$H$76*IF('Assumptions'!$O$76=1,1,'Assumptions'!$D$10)*(1+'Assumptions'!$N$76)^(7-1)</x:f>
        <x:v>79</x:v>
      </x:c>
      <x:c r="J822" s="10" t="n">
        <x:f>H822*I822</x:f>
        <x:v>28979.170326656244</x:v>
      </x:c>
      <x:c r="K822" s="10" t="n">
        <x:f>J822*'Assumptions'!$T$76</x:f>
        <x:v>28979.170326656244</x:v>
      </x:c>
      <x:c r="L822" s="10" t="n">
        <x:f>K822*'Assumptions'!$U$76</x:f>
        <x:v>869.3751097996873</x:v>
      </x:c>
      <x:c r="M822" s="10" t="n">
        <x:f>K822*'Assumptions'!$V$76</x:f>
        <x:v>0</x:v>
      </x:c>
      <x:c r="N822" s="10" t="n">
        <x:f>K822-L822-M822</x:f>
        <x:v>28109.795216856557</x:v>
      </x:c>
      <x:c r="O822" s="10" t="n">
        <x:f>H822*'Assumptions'!$P$76*'Assumptions'!$Q$76*'Assumptions'!$D$11*(1+'Assumptions'!$D$13)^(7-1)</x:f>
        <x:v>2299.5428559526194</x:v>
      </x:c>
      <x:c r="P822" s="10" t="n">
        <x:f>H822*'Assumptions'!$R$76*'Assumptions'!$D$11*(1+'Assumptions'!$D$13)^(7-1)</x:f>
        <x:v>0</x:v>
      </x:c>
      <x:c r="Q822" s="10" t="n">
        <x:f>J822*'Assumptions'!$S$76</x:f>
        <x:v>0</x:v>
      </x:c>
      <x:c r="R822" s="10" t="n">
        <x:f>H822*'Assumptions'!$Y$76*'Assumptions'!$Z$76*'Assumptions'!$D$11*(1+'Assumptions'!$D$13)^(7-1)</x:f>
        <x:v>1314.0244891157827</x:v>
      </x:c>
      <x:c r="S822" s="10" t="n">
        <x:f>IF(I822=0,0,J822*'Assumptions'!$W$76+H822*'Assumptions'!$X$76)</x:f>
        <x:v>950.4434217261561</x:v>
      </x:c>
      <x:c r="T822" s="10" t="n">
        <x:f>N822*'Assumptions'!$AA$76</x:f>
        <x:v>1405.489760842828</x:v>
      </x:c>
      <x:c r="U822" s="10" t="n">
        <x:f>'Assumptions'!$AE$76*'Assumptions'!$D$11*(1+'Assumptions'!$D$13)^(7-1)</x:f>
        <x:v>0</x:v>
      </x:c>
      <x:c r="V822" s="10" t="n">
        <x:f>0</x:f>
        <x:v>0</x:v>
      </x:c>
      <x:c r="W822" s="10" t="n">
        <x:f>H822*('Assumptions'!$P$76+'Assumptions'!$Y$76)</x:f>
        <x:v>91.70623521093748</x:v>
      </x:c>
      <x:c r="X822" s="10" t="n">
        <x:f>N822/12*'Assumptions'!$AF$76</x:f>
        <x:v>0</x:v>
      </x:c>
      <x:c r="Y822" s="10" t="n">
        <x:f>P822/12</x:f>
        <x:v>0</x:v>
      </x:c>
      <x:c r="Z822" s="10" t="n">
        <x:f>0</x:f>
        <x:v>0</x:v>
      </x:c>
      <x:c r="AA822" s="10" t="n">
        <x:f>Z822*'Assumptions'!$AC$76*'Assumptions'!$D$11*(1+'Assumptions'!$D$13)^(7-1)</x:f>
        <x:v>0</x:v>
      </x:c>
      <x:c r="AB822" s="10" t="n">
        <x:f>F822/1</x:f>
        <x:v>278.32810959374996</x:v>
      </x:c>
      <x:c r="AC822" s="10" t="n">
        <x:f>AB822/'Assumptions'!$AM$76</x:f>
        <x:v>5566.5621918749985</x:v>
      </x:c>
      <x:c r="AD822" s="10" t="n">
        <x:f>IF(AB822=0,0,T822/AB822)</x:f>
        <x:v>5.049758584910064</x:v>
      </x:c>
      <x:c r="AE822" s="10" t="n">
        <x:f>AA822*'Assumptions'!$D$21</x:f>
        <x:v>0</x:v>
      </x:c>
    </x:row>
    <x:row r="823" ht="16" customHeight="1">
      <x:c r="A823" s="1"/>
      <x:c r="B823" s="1"/>
      <x:c r="C823" s="1" t="str">
        <x:v>DOT-048</x:v>
      </x:c>
      <x:c r="D823" s="10" t="str">
        <x:v>Turbo Tax - Made Easy!</x:v>
      </x:c>
      <x:c r="E823" s="10" t="n">
        <x:v>7</x:v>
      </x:c>
      <x:c r="F823" s="21" t="n">
        <x:f>F695*(1+'Assumptions'!$M$77)</x:f>
        <x:v>834.9843287812498</x:v>
      </x:c>
      <x:c r="G823" s="21" t="n">
        <x:f>H695*'Assumptions'!$K$77</x:f>
        <x:v>265.5027007812499</x:v>
      </x:c>
      <x:c r="H823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823+G823,NA())</x:f>
        <x:v>1100.4870295624996</x:v>
      </x:c>
      <x:c r="I823" s="22" t="n">
        <x:f>'Assumptions'!$H$77*IF('Assumptions'!$O$77=1,1,'Assumptions'!$D$10)*(1+'Assumptions'!$N$77)^(7-1)</x:f>
        <x:v>21.397085966016</x:v>
      </x:c>
      <x:c r="J823" s="10" t="n">
        <x:f>H823*I823</x:f>
        <x:v>23547.215576034396</x:v>
      </x:c>
      <x:c r="K823" s="10" t="n">
        <x:f>J823*'Assumptions'!$T$77</x:f>
        <x:v>23547.215576034396</x:v>
      </x:c>
      <x:c r="L823" s="10" t="n">
        <x:f>K823*'Assumptions'!$U$77</x:f>
        <x:v>706.4164672810318</x:v>
      </x:c>
      <x:c r="M823" s="10" t="n">
        <x:f>K823*'Assumptions'!$V$77</x:f>
        <x:v>0</x:v>
      </x:c>
      <x:c r="N823" s="10" t="n">
        <x:f>K823-L823-M823</x:f>
        <x:v>22840.799108753363</x:v>
      </x:c>
      <x:c r="O823" s="10" t="n">
        <x:f>H823*'Assumptions'!$P$77*'Assumptions'!$Q$77*'Assumptions'!$D$11*(1+'Assumptions'!$D$13)^(7-1)</x:f>
        <x:v>6898.705090984772</x:v>
      </x:c>
      <x:c r="P823" s="10" t="n">
        <x:f>H823*'Assumptions'!$R$77*'Assumptions'!$D$11*(1+'Assumptions'!$D$13)^(7-1)</x:f>
        <x:v>0</x:v>
      </x:c>
      <x:c r="Q823" s="10" t="n">
        <x:f>J823*'Assumptions'!$S$77</x:f>
        <x:v>0</x:v>
      </x:c>
      <x:c r="R823" s="10" t="n">
        <x:f>H823*'Assumptions'!$Y$77*'Assumptions'!$Z$77*'Assumptions'!$D$11*(1+'Assumptions'!$D$13)^(7-1)</x:f>
        <x:v>3942.117194848441</x:v>
      </x:c>
      <x:c r="S823" s="10" t="n">
        <x:f>IF(I823=0,0,J823*'Assumptions'!$W$77+H823*'Assumptions'!$X$77)</x:f>
        <x:v>1013.0153605737473</x:v>
      </x:c>
      <x:c r="T823" s="10" t="n">
        <x:f>N823*'Assumptions'!$AA$77</x:f>
        <x:v>1142.0399554376681</x:v>
      </x:c>
      <x:c r="U823" s="10" t="n">
        <x:f>'Assumptions'!$AE$77*'Assumptions'!$D$11*(1+'Assumptions'!$D$13)^(7-1)</x:f>
        <x:v>0</x:v>
      </x:c>
      <x:c r="V823" s="10" t="n">
        <x:f>0</x:f>
        <x:v>0</x:v>
      </x:c>
      <x:c r="W823" s="10" t="n">
        <x:f>H823*('Assumptions'!$P$77+'Assumptions'!$Y$77)</x:f>
        <x:v>275.1217573906249</x:v>
      </x:c>
      <x:c r="X823" s="10" t="n">
        <x:f>N823/12*'Assumptions'!$AF$77</x:f>
        <x:v>0</x:v>
      </x:c>
      <x:c r="Y823" s="10" t="n">
        <x:f>P823/12</x:f>
        <x:v>0</x:v>
      </x:c>
      <x:c r="Z823" s="10" t="n">
        <x:f>0</x:f>
        <x:v>0</x:v>
      </x:c>
      <x:c r="AA823" s="10" t="n">
        <x:f>Z823*'Assumptions'!$AC$77*'Assumptions'!$D$11*(1+'Assumptions'!$D$13)^(7-1)</x:f>
        <x:v>0</x:v>
      </x:c>
      <x:c r="AB823" s="10" t="n">
        <x:f>F823/1</x:f>
        <x:v>834.9843287812498</x:v>
      </x:c>
      <x:c r="AC823" s="10" t="n">
        <x:f>AB823/'Assumptions'!$AM$77</x:f>
        <x:v>16699.686575624994</x:v>
      </x:c>
      <x:c r="AD823" s="10" t="n">
        <x:f>IF(AB823=0,0,T823/AB823)</x:f>
        <x:v>1.36773819109228</x:v>
      </x:c>
      <x:c r="AE823" s="10" t="n">
        <x:f>AA823*'Assumptions'!$D$21</x:f>
        <x:v>0</x:v>
      </x:c>
    </x:row>
    <x:row r="824" ht="16" customHeight="1">
      <x:c r="A824" s="1"/>
      <x:c r="B824" s="1"/>
      <x:c r="C824" s="1" t="str">
        <x:v>DOT-049</x:v>
      </x:c>
      <x:c r="D824" s="10" t="str">
        <x:v>Turbo Tax - Made Easy!</x:v>
      </x:c>
      <x:c r="E824" s="10" t="n">
        <x:v>7</x:v>
      </x:c>
      <x:c r="F824" s="21" t="n">
        <x:f>F696*(1+'Assumptions'!$M$78)</x:f>
        <x:v>278.32810959374996</x:v>
      </x:c>
      <x:c r="G824" s="21" t="n">
        <x:f>H696*'Assumptions'!$K$78</x:f>
        <x:v>88.48462421874999</x:v>
      </x:c>
      <x:c r="H824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824+G824,NA())</x:f>
        <x:v>366.8127338124999</x:v>
      </x:c>
      <x:c r="I824" s="22" t="n">
        <x:f>'Assumptions'!$H$78*IF('Assumptions'!$O$78=1,1,'Assumptions'!$D$10)*(1+'Assumptions'!$N$78)^(7-1)</x:f>
        <x:v>21.397085966016</x:v>
      </x:c>
      <x:c r="J824" s="10" t="n">
        <x:f>H824*I824</x:f>
        <x:v>7848.723598815404</x:v>
      </x:c>
      <x:c r="K824" s="10" t="n">
        <x:f>J824*'Assumptions'!$T$78</x:f>
        <x:v>7848.723598815404</x:v>
      </x:c>
      <x:c r="L824" s="10" t="n">
        <x:f>K824*'Assumptions'!$U$78</x:f>
        <x:v>235.4617079644621</x:v>
      </x:c>
      <x:c r="M824" s="10" t="n">
        <x:f>K824*'Assumptions'!$V$78</x:f>
        <x:v>0</x:v>
      </x:c>
      <x:c r="N824" s="10" t="n">
        <x:f>K824-L824-M824</x:f>
        <x:v>7613.261890850942</x:v>
      </x:c>
      <x:c r="O824" s="10" t="n">
        <x:f>H824*'Assumptions'!$P$78*'Assumptions'!$Q$78*'Assumptions'!$D$11*(1+'Assumptions'!$D$13)^(7-1)</x:f>
        <x:v>2299.4663328257056</x:v>
      </x:c>
      <x:c r="P824" s="10" t="n">
        <x:f>H824*'Assumptions'!$R$78*'Assumptions'!$D$11*(1+'Assumptions'!$D$13)^(7-1)</x:f>
        <x:v>0</x:v>
      </x:c>
      <x:c r="Q824" s="10" t="n">
        <x:f>J824*'Assumptions'!$S$78</x:f>
        <x:v>0</x:v>
      </x:c>
      <x:c r="R824" s="10" t="n">
        <x:f>H824*'Assumptions'!$Y$78*'Assumptions'!$Z$78*'Assumptions'!$D$11*(1+'Assumptions'!$D$13)^(7-1)</x:f>
        <x:v>1313.980761614689</x:v>
      </x:c>
      <x:c r="S824" s="10" t="n">
        <x:f>IF(I824=0,0,J824*'Assumptions'!$W$78+H824*'Assumptions'!$X$78)</x:f>
        <x:v>337.6568045093967</x:v>
      </x:c>
      <x:c r="T824" s="10" t="n">
        <x:f>N824*'Assumptions'!$AA$78</x:f>
        <x:v>380.6630945425471</x:v>
      </x:c>
      <x:c r="U824" s="10" t="n">
        <x:f>'Assumptions'!$AE$78*'Assumptions'!$D$11*(1+'Assumptions'!$D$13)^(7-1)</x:f>
        <x:v>0</x:v>
      </x:c>
      <x:c r="V824" s="10" t="n">
        <x:f>0</x:f>
        <x:v>0</x:v>
      </x:c>
      <x:c r="W824" s="10" t="n">
        <x:f>H824*('Assumptions'!$P$78+'Assumptions'!$Y$78)</x:f>
        <x:v>91.70318345312498</x:v>
      </x:c>
      <x:c r="X824" s="10" t="n">
        <x:f>N824/12*'Assumptions'!$AF$78</x:f>
        <x:v>0</x:v>
      </x:c>
      <x:c r="Y824" s="10" t="n">
        <x:f>P824/12</x:f>
        <x:v>0</x:v>
      </x:c>
      <x:c r="Z824" s="10" t="n">
        <x:f>0</x:f>
        <x:v>0</x:v>
      </x:c>
      <x:c r="AA824" s="10" t="n">
        <x:f>Z824*'Assumptions'!$AC$78*'Assumptions'!$D$11*(1+'Assumptions'!$D$13)^(7-1)</x:f>
        <x:v>0</x:v>
      </x:c>
      <x:c r="AB824" s="10" t="n">
        <x:f>F824/1</x:f>
        <x:v>278.32810959374996</x:v>
      </x:c>
      <x:c r="AC824" s="10" t="n">
        <x:f>AB824/'Assumptions'!$AM$78</x:f>
        <x:v>5566.5621918749985</x:v>
      </x:c>
      <x:c r="AD824" s="10" t="n">
        <x:f>IF(AB824=0,0,T824/AB824)</x:f>
        <x:v>1.3676775051509034</x:v>
      </x:c>
      <x:c r="AE824" s="10" t="n">
        <x:f>AA824*'Assumptions'!$D$21</x:f>
        <x:v>0</x:v>
      </x:c>
    </x:row>
    <x:row r="825" ht="16" customHeight="1">
      <x:c r="A825" s="1"/>
      <x:c r="B825" s="1"/>
      <x:c r="C825" s="1" t="str">
        <x:v>DOT-050</x:v>
      </x:c>
      <x:c r="D825" s="10" t="str">
        <x:v>LavaLearning adult</x:v>
      </x:c>
      <x:c r="E825" s="10" t="n">
        <x:v>7</x:v>
      </x:c>
      <x:c r="F825" s="21" t="n">
        <x:f>F697*(1+'Assumptions'!$M$79)</x:f>
        <x:v>834.9843287812498</x:v>
      </x:c>
      <x:c r="G825" s="21" t="n">
        <x:f>H697*'Assumptions'!$K$79</x:f>
        <x:v>265.4904937499999</x:v>
      </x:c>
      <x:c r="H825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825+G825,NA())</x:f>
        <x:v>1100.4748225312496</x:v>
      </x:c>
      <x:c r="I825" s="22" t="n">
        <x:f>'Assumptions'!$H$79*IF('Assumptions'!$O$79=1,1,'Assumptions'!$D$10)*(1+'Assumptions'!$N$79)^(7-1)</x:f>
        <x:v>21.397085966016</x:v>
      </x:c>
      <x:c r="J825" s="10" t="n">
        <x:f>H825*I825</x:f>
        <x:v>23546.95438113735</x:v>
      </x:c>
      <x:c r="K825" s="10" t="n">
        <x:f>J825*'Assumptions'!$T$79</x:f>
        <x:v>23546.95438113735</x:v>
      </x:c>
      <x:c r="L825" s="10" t="n">
        <x:f>K825*'Assumptions'!$U$79</x:f>
        <x:v>706.4086314341205</x:v>
      </x:c>
      <x:c r="M825" s="10" t="n">
        <x:f>K825*'Assumptions'!$V$79</x:f>
        <x:v>0</x:v>
      </x:c>
      <x:c r="N825" s="10" t="n">
        <x:f>K825-L825-M825</x:f>
        <x:v>22840.54574970323</x:v>
      </x:c>
      <x:c r="O825" s="10" t="n">
        <x:f>H825*'Assumptions'!$P$79*'Assumptions'!$Q$79*'Assumptions'!$D$11*(1+'Assumptions'!$D$13)^(7-1)</x:f>
        <x:v>6898.628567857858</x:v>
      </x:c>
      <x:c r="P825" s="10" t="n">
        <x:f>H825*'Assumptions'!$R$79*'Assumptions'!$D$11*(1+'Assumptions'!$D$13)^(7-1)</x:f>
        <x:v>0</x:v>
      </x:c>
      <x:c r="Q825" s="10" t="n">
        <x:f>J825*'Assumptions'!$S$79</x:f>
        <x:v>0</x:v>
      </x:c>
      <x:c r="R825" s="10" t="n">
        <x:f>H825*'Assumptions'!$Y$79*'Assumptions'!$Z$79*'Assumptions'!$D$11*(1+'Assumptions'!$D$13)^(7-1)</x:f>
        <x:v>3942.0734673473476</x:v>
      </x:c>
      <x:c r="S825" s="10" t="n">
        <x:f>IF(I825=0,0,J825*'Assumptions'!$W$79+H825*'Assumptions'!$X$79)</x:f>
        <x:v>1013.0041238123581</x:v>
      </x:c>
      <x:c r="T825" s="10" t="n">
        <x:f>N825*'Assumptions'!$AA$79</x:f>
        <x:v>1142.0272874851614</x:v>
      </x:c>
      <x:c r="U825" s="10" t="n">
        <x:f>'Assumptions'!$AE$79*'Assumptions'!$D$11*(1+'Assumptions'!$D$13)^(7-1)</x:f>
        <x:v>0</x:v>
      </x:c>
      <x:c r="V825" s="10" t="n">
        <x:f>0</x:f>
        <x:v>0</x:v>
      </x:c>
      <x:c r="W825" s="10" t="n">
        <x:f>H825*('Assumptions'!$P$79+'Assumptions'!$Y$79)</x:f>
        <x:v>275.1187056328124</x:v>
      </x:c>
      <x:c r="X825" s="10" t="n">
        <x:f>N825/12*'Assumptions'!$AF$79</x:f>
        <x:v>0</x:v>
      </x:c>
      <x:c r="Y825" s="10" t="n">
        <x:f>P825/12</x:f>
        <x:v>0</x:v>
      </x:c>
      <x:c r="Z825" s="10" t="n">
        <x:f>0</x:f>
        <x:v>0</x:v>
      </x:c>
      <x:c r="AA825" s="10" t="n">
        <x:f>Z825*'Assumptions'!$AC$79*'Assumptions'!$D$11*(1+'Assumptions'!$D$13)^(7-1)</x:f>
        <x:v>0</x:v>
      </x:c>
      <x:c r="AB825" s="10" t="n">
        <x:f>F825/1</x:f>
        <x:v>834.9843287812498</x:v>
      </x:c>
      <x:c r="AC825" s="10" t="n">
        <x:f>AB825/'Assumptions'!$AM$79</x:f>
        <x:v>16699.686575624994</x:v>
      </x:c>
      <x:c r="AD825" s="10" t="n">
        <x:f>IF(AB825=0,0,T825/AB825)</x:f>
        <x:v>1.3677230196069357</x:v>
      </x:c>
      <x:c r="AE825" s="10" t="n">
        <x:f>AA825*'Assumptions'!$D$21</x:f>
        <x:v>0</x:v>
      </x:c>
    </x:row>
    <x:row r="826" ht="16" customHeight="1">
      <x:c r="A826" s="1"/>
      <x:c r="B826" s="1"/>
      <x:c r="C826" s="1" t="str">
        <x:v>DOT-051</x:v>
      </x:c>
      <x:c r="D826" s="10" t="str">
        <x:v>LavaLearning adult</x:v>
      </x:c>
      <x:c r="E826" s="10" t="n">
        <x:v>7</x:v>
      </x:c>
      <x:c r="F826" s="21" t="n">
        <x:f>F698*(1+'Assumptions'!$M$80)</x:f>
        <x:v>166.99686575624995</x:v>
      </x:c>
      <x:c r="G826" s="21" t="n">
        <x:f>H698*'Assumptions'!$K$80</x:f>
        <x:v>53.09077453124998</x:v>
      </x:c>
      <x:c r="H826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826+G826,NA())</x:f>
        <x:v>220.08764028749994</x:v>
      </x:c>
      <x:c r="I826" s="22" t="n">
        <x:f>'Assumptions'!$H$80*IF('Assumptions'!$O$80=1,1,'Assumptions'!$D$10)*(1+'Assumptions'!$N$80)^(7-1)</x:f>
        <x:v>32.658710158656</x:v>
      </x:c>
      <x:c r="J826" s="10" t="n">
        <x:f>H826*I826</x:f>
        <x:v>7187.778453652001</x:v>
      </x:c>
      <x:c r="K826" s="10" t="n">
        <x:f>J826*'Assumptions'!$T$80</x:f>
        <x:v>7187.778453652001</x:v>
      </x:c>
      <x:c r="L826" s="10" t="n">
        <x:f>K826*'Assumptions'!$U$80</x:f>
        <x:v>215.63335360956003</x:v>
      </x:c>
      <x:c r="M826" s="10" t="n">
        <x:f>K826*'Assumptions'!$V$80</x:f>
        <x:v>0</x:v>
      </x:c>
      <x:c r="N826" s="10" t="n">
        <x:f>K826-L826-M826</x:f>
        <x:v>6972.145100042441</x:v>
      </x:c>
      <x:c r="O826" s="10" t="n">
        <x:f>H826*'Assumptions'!$P$80*'Assumptions'!$Q$80*'Assumptions'!$D$11*(1+'Assumptions'!$D$13)^(7-1)</x:f>
        <x:v>1379.6797996954233</x:v>
      </x:c>
      <x:c r="P826" s="10" t="n">
        <x:f>H826*'Assumptions'!$R$80*'Assumptions'!$D$11*(1+'Assumptions'!$D$13)^(7-1)</x:f>
        <x:v>0</x:v>
      </x:c>
      <x:c r="Q826" s="10" t="n">
        <x:f>J826*'Assumptions'!$S$80</x:f>
        <x:v>0</x:v>
      </x:c>
      <x:c r="R826" s="10" t="n">
        <x:f>H826*'Assumptions'!$Y$80*'Assumptions'!$Z$80*'Assumptions'!$D$11*(1+'Assumptions'!$D$13)^(7-1)</x:f>
        <x:v>788.3884569688134</x:v>
      </x:c>
      <x:c r="S826" s="10" t="n">
        <x:f>IF(I826=0,0,J826*'Assumptions'!$W$80+H826*'Assumptions'!$X$80)</x:f>
        <x:v>274.47186724215805</x:v>
      </x:c>
      <x:c r="T826" s="10" t="n">
        <x:f>N826*'Assumptions'!$AA$80</x:f>
        <x:v>348.6072550021221</x:v>
      </x:c>
      <x:c r="U826" s="10" t="n">
        <x:f>'Assumptions'!$AE$80*'Assumptions'!$D$11*(1+'Assumptions'!$D$13)^(7-1)</x:f>
        <x:v>0</x:v>
      </x:c>
      <x:c r="V826" s="10" t="n">
        <x:f>0</x:f>
        <x:v>0</x:v>
      </x:c>
      <x:c r="W826" s="10" t="n">
        <x:f>H826*('Assumptions'!$P$80+'Assumptions'!$Y$80)</x:f>
        <x:v>55.021910071874984</x:v>
      </x:c>
      <x:c r="X826" s="10" t="n">
        <x:f>N826/12*'Assumptions'!$AF$80</x:f>
        <x:v>0</x:v>
      </x:c>
      <x:c r="Y826" s="10" t="n">
        <x:f>P826/12</x:f>
        <x:v>0</x:v>
      </x:c>
      <x:c r="Z826" s="10" t="n">
        <x:f>0</x:f>
        <x:v>0</x:v>
      </x:c>
      <x:c r="AA826" s="10" t="n">
        <x:f>Z826*'Assumptions'!$AC$80*'Assumptions'!$D$11*(1+'Assumptions'!$D$13)^(7-1)</x:f>
        <x:v>0</x:v>
      </x:c>
      <x:c r="AB826" s="10" t="n">
        <x:f>F826/1</x:f>
        <x:v>166.99686575624995</x:v>
      </x:c>
      <x:c r="AC826" s="10" t="n">
        <x:f>AB826/'Assumptions'!$AM$80</x:f>
        <x:v>3339.937315124999</x:v>
      </x:c>
      <x:c r="AD826" s="10" t="n">
        <x:f>IF(AB826=0,0,T826/AB826)</x:f>
        <x:v>2.0875077710198</x:v>
      </x:c>
      <x:c r="AE826" s="10" t="n">
        <x:f>AA826*'Assumptions'!$D$21</x:f>
        <x:v>0</x:v>
      </x:c>
    </x:row>
    <x:row r="827" ht="16" customHeight="1">
      <x:c r="A827" s="1"/>
      <x:c r="B827" s="1"/>
      <x:c r="C827" s="1" t="str">
        <x:v>DOT-052</x:v>
      </x:c>
      <x:c r="D827" s="10" t="str">
        <x:v>LavaLearning Model Life</x:v>
      </x:c>
      <x:c r="E827" s="10" t="n">
        <x:v>7</x:v>
      </x:c>
      <x:c r="F827" s="21" t="n">
        <x:f>F699*(1+'Assumptions'!$M$81)</x:f>
        <x:v>0</x:v>
      </x:c>
      <x:c r="G827" s="21" t="n">
        <x:f>H699*'Assumptions'!$K$81</x:f>
        <x:v>0</x:v>
      </x:c>
      <x:c r="H827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827+G827,NA())</x:f>
        <x:v>0</x:v>
      </x:c>
      <x:c r="I827" s="22" t="n">
        <x:f>'Assumptions'!$H$81*IF('Assumptions'!$O$81=1,1,'Assumptions'!$D$10)*(1+'Assumptions'!$N$81)^(7-1)</x:f>
        <x:v>0</x:v>
      </x:c>
      <x:c r="J827" s="10" t="n">
        <x:f>H827*I827</x:f>
        <x:v>0</x:v>
      </x:c>
      <x:c r="K827" s="10" t="n">
        <x:f>J827*'Assumptions'!$T$81</x:f>
        <x:v>0</x:v>
      </x:c>
      <x:c r="L827" s="10" t="n">
        <x:f>K827*'Assumptions'!$U$81</x:f>
        <x:v>0</x:v>
      </x:c>
      <x:c r="M827" s="10" t="n">
        <x:f>K827*'Assumptions'!$V$81</x:f>
        <x:v>0</x:v>
      </x:c>
      <x:c r="N827" s="10" t="n">
        <x:f>K827-L827-M827</x:f>
        <x:v>0</x:v>
      </x:c>
      <x:c r="O827" s="10" t="n">
        <x:f>H827*'Assumptions'!$P$81*'Assumptions'!$Q$81*'Assumptions'!$D$11*(1+'Assumptions'!$D$13)^(7-1)</x:f>
        <x:v>0</x:v>
      </x:c>
      <x:c r="P827" s="10" t="n">
        <x:f>H827*'Assumptions'!$R$81*'Assumptions'!$D$11*(1+'Assumptions'!$D$13)^(7-1)</x:f>
        <x:v>0</x:v>
      </x:c>
      <x:c r="Q827" s="10" t="n">
        <x:f>J827*'Assumptions'!$S$81</x:f>
        <x:v>0</x:v>
      </x:c>
      <x:c r="R827" s="10" t="n">
        <x:f>H827*'Assumptions'!$Y$81*'Assumptions'!$Z$81*'Assumptions'!$D$11*(1+'Assumptions'!$D$13)^(7-1)</x:f>
        <x:v>0</x:v>
      </x:c>
      <x:c r="S827" s="10" t="n">
        <x:f>IF(I827=0,0,J827*'Assumptions'!$W$81+H827*'Assumptions'!$X$81)</x:f>
        <x:v>0</x:v>
      </x:c>
      <x:c r="T827" s="10" t="n">
        <x:f>N827*'Assumptions'!$AA$81</x:f>
        <x:v>0</x:v>
      </x:c>
      <x:c r="U827" s="10" t="n">
        <x:f>'Assumptions'!$AE$81*'Assumptions'!$D$11*(1+'Assumptions'!$D$13)^(7-1)</x:f>
        <x:v>0</x:v>
      </x:c>
      <x:c r="V827" s="10" t="n">
        <x:f>0</x:f>
        <x:v>0</x:v>
      </x:c>
      <x:c r="W827" s="10" t="n">
        <x:f>H827*('Assumptions'!$P$81+'Assumptions'!$Y$81)</x:f>
        <x:v>0</x:v>
      </x:c>
      <x:c r="X827" s="10" t="n">
        <x:f>N827/12*'Assumptions'!$AF$81</x:f>
        <x:v>0</x:v>
      </x:c>
      <x:c r="Y827" s="10" t="n">
        <x:f>P827/12</x:f>
        <x:v>0</x:v>
      </x:c>
      <x:c r="Z827" s="10" t="n">
        <x:f>0</x:f>
        <x:v>0</x:v>
      </x:c>
      <x:c r="AA827" s="10" t="n">
        <x:f>Z827*'Assumptions'!$AC$81*'Assumptions'!$D$11*(1+'Assumptions'!$D$13)^(7-1)</x:f>
        <x:v>0</x:v>
      </x:c>
      <x:c r="AB827" s="10" t="n">
        <x:f>F827/1</x:f>
        <x:v>0</x:v>
      </x:c>
      <x:c r="AC827" s="10" t="n">
        <x:f>AB827/'Assumptions'!$AM$81</x:f>
        <x:v>0</x:v>
      </x:c>
      <x:c r="AD827" s="10" t="n">
        <x:f>IF(AB827=0,0,T827/AB827)</x:f>
        <x:v>0</x:v>
      </x:c>
      <x:c r="AE827" s="10" t="n">
        <x:f>AA827*'Assumptions'!$D$21</x:f>
        <x:v>0</x:v>
      </x:c>
    </x:row>
    <x:row r="828" ht="16" customHeight="1">
      <x:c r="A828" s="1"/>
      <x:c r="B828" s="1"/>
      <x:c r="C828" s="1" t="str">
        <x:v>DOT-053</x:v>
      </x:c>
      <x:c r="D828" s="10" t="str">
        <x:v>LavaLearning Kids</x:v>
      </x:c>
      <x:c r="E828" s="10" t="n">
        <x:v>7</x:v>
      </x:c>
      <x:c r="F828" s="21" t="n">
        <x:f>F700*(1+'Assumptions'!$M$82)</x:f>
        <x:v>834.9843287812498</x:v>
      </x:c>
      <x:c r="G828" s="21" t="n">
        <x:f>H700*'Assumptions'!$K$82</x:f>
        <x:v>265.4538726562499</x:v>
      </x:c>
      <x:c r="H828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828+G828,NA())</x:f>
        <x:v>1100.4382014374996</x:v>
      </x:c>
      <x:c r="I828" s="22" t="n">
        <x:f>'Assumptions'!$H$82*IF('Assumptions'!$O$82=1,1,'Assumptions'!$D$10)*(1+'Assumptions'!$N$82)^(7-1)</x:f>
        <x:v>21.397085966016</x:v>
      </x:c>
      <x:c r="J828" s="10" t="n">
        <x:f>H828*I828</x:f>
        <x:v>23546.17079644621</x:v>
      </x:c>
      <x:c r="K828" s="10" t="n">
        <x:f>J828*'Assumptions'!$T$82</x:f>
        <x:v>23546.17079644621</x:v>
      </x:c>
      <x:c r="L828" s="10" t="n">
        <x:f>K828*'Assumptions'!$U$82</x:f>
        <x:v>706.3851238933863</x:v>
      </x:c>
      <x:c r="M828" s="10" t="n">
        <x:f>K828*'Assumptions'!$V$82</x:f>
        <x:v>0</x:v>
      </x:c>
      <x:c r="N828" s="10" t="n">
        <x:f>K828-L828-M828</x:f>
        <x:v>22839.785672552825</x:v>
      </x:c>
      <x:c r="O828" s="10" t="n">
        <x:f>H828*'Assumptions'!$P$82*'Assumptions'!$Q$82*'Assumptions'!$D$11*(1+'Assumptions'!$D$13)^(7-1)</x:f>
        <x:v>6898.398998477117</x:v>
      </x:c>
      <x:c r="P828" s="10" t="n">
        <x:f>H828*'Assumptions'!$R$82*'Assumptions'!$D$11*(1+'Assumptions'!$D$13)^(7-1)</x:f>
        <x:v>0</x:v>
      </x:c>
      <x:c r="Q828" s="10" t="n">
        <x:f>J828*'Assumptions'!$S$82</x:f>
        <x:v>0</x:v>
      </x:c>
      <x:c r="R828" s="10" t="n">
        <x:f>H828*'Assumptions'!$Y$82*'Assumptions'!$Z$82*'Assumptions'!$D$11*(1+'Assumptions'!$D$13)^(7-1)</x:f>
        <x:v>3941.9422848440668</x:v>
      </x:c>
      <x:c r="S828" s="10" t="n">
        <x:f>IF(I828=0,0,J828*'Assumptions'!$W$82+H828*'Assumptions'!$X$82)</x:f>
        <x:v>1012.97041352819</x:v>
      </x:c>
      <x:c r="T828" s="10" t="n">
        <x:f>N828*'Assumptions'!$AA$82</x:f>
        <x:v>1141.9892836276413</x:v>
      </x:c>
      <x:c r="U828" s="10" t="n">
        <x:f>'Assumptions'!$AE$82*'Assumptions'!$D$11*(1+'Assumptions'!$D$13)^(7-1)</x:f>
        <x:v>286.57255116696</x:v>
      </x:c>
      <x:c r="V828" s="10" t="n">
        <x:f>0</x:f>
        <x:v>0</x:v>
      </x:c>
      <x:c r="W828" s="10" t="n">
        <x:f>H828*('Assumptions'!$P$82+'Assumptions'!$Y$82)</x:f>
        <x:v>275.1095503593749</x:v>
      </x:c>
      <x:c r="X828" s="10" t="n">
        <x:f>N828/12*'Assumptions'!$AF$82</x:f>
        <x:v>0</x:v>
      </x:c>
      <x:c r="Y828" s="10" t="n">
        <x:f>P828/12</x:f>
        <x:v>0</x:v>
      </x:c>
      <x:c r="Z828" s="10" t="n">
        <x:f>0</x:f>
        <x:v>0</x:v>
      </x:c>
      <x:c r="AA828" s="10" t="n">
        <x:f>Z828*'Assumptions'!$AC$82*'Assumptions'!$D$11*(1+'Assumptions'!$D$13)^(7-1)</x:f>
        <x:v>0</x:v>
      </x:c>
      <x:c r="AB828" s="10" t="n">
        <x:f>F828/1</x:f>
        <x:v>834.9843287812498</x:v>
      </x:c>
      <x:c r="AC828" s="10" t="n">
        <x:f>AB828/'Assumptions'!$AM$82</x:f>
        <x:v>16699.686575624994</x:v>
      </x:c>
      <x:c r="AD828" s="10" t="n">
        <x:f>IF(AB828=0,0,T828/AB828)</x:f>
        <x:v>1.3676775051509031</x:v>
      </x:c>
      <x:c r="AE828" s="10" t="n">
        <x:f>AA828*'Assumptions'!$D$21</x:f>
        <x:v>0</x:v>
      </x:c>
    </x:row>
    <x:row r="829" ht="16" customHeight="1">
      <x:c r="A829" s="1"/>
      <x:c r="B829" s="1"/>
      <x:c r="C829" s="1" t="str">
        <x:v>DOT-054</x:v>
      </x:c>
      <x:c r="D829" s="10" t="str">
        <x:v>VraiSkill adult</x:v>
      </x:c>
      <x:c r="E829" s="10" t="n">
        <x:v>7</x:v>
      </x:c>
      <x:c r="F829" s="21" t="n">
        <x:f>F701*(1+'Assumptions'!$M$83)</x:f>
        <x:v>1669.9686575624996</x:v>
      </x:c>
      <x:c r="G829" s="21" t="n">
        <x:f>H701*'Assumptions'!$K$83</x:f>
        <x:v>530.9809874999999</x:v>
      </x:c>
      <x:c r="H829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829+G829,NA())</x:f>
        <x:v>2200.9496450624993</x:v>
      </x:c>
      <x:c r="I829" s="22" t="n">
        <x:f>'Assumptions'!$H$83*IF('Assumptions'!$O$83=1,1,'Assumptions'!$D$10)*(1+'Assumptions'!$N$83)^(7-1)</x:f>
        <x:v>11.250362568447361</x:v>
      </x:c>
      <x:c r="J829" s="10" t="n">
        <x:f>H829*I829</x:f>
        <x:v>24761.481501848648</x:v>
      </x:c>
      <x:c r="K829" s="10" t="n">
        <x:f>J829*'Assumptions'!$T$83</x:f>
        <x:v>24761.481501848648</x:v>
      </x:c>
      <x:c r="L829" s="10" t="n">
        <x:f>K829*'Assumptions'!$U$83</x:f>
        <x:v>742.8444450554595</x:v>
      </x:c>
      <x:c r="M829" s="10" t="n">
        <x:f>K829*'Assumptions'!$V$83</x:f>
        <x:v>0</x:v>
      </x:c>
      <x:c r="N829" s="10" t="n">
        <x:f>K829-L829-M829</x:f>
        <x:v>24018.637056793188</x:v>
      </x:c>
      <x:c r="O829" s="10" t="n">
        <x:f>H829*'Assumptions'!$P$83*'Assumptions'!$Q$83*'Assumptions'!$D$11*(1+'Assumptions'!$D$13)^(7-1)</x:f>
        <x:v>13797.257135715716</x:v>
      </x:c>
      <x:c r="P829" s="10" t="n">
        <x:f>H829*'Assumptions'!$R$83*'Assumptions'!$D$11*(1+'Assumptions'!$D$13)^(7-1)</x:f>
        <x:v>0</x:v>
      </x:c>
      <x:c r="Q829" s="10" t="n">
        <x:f>J829*'Assumptions'!$S$83</x:f>
        <x:v>0</x:v>
      </x:c>
      <x:c r="R829" s="10" t="n">
        <x:f>H829*'Assumptions'!$Y$83*'Assumptions'!$Z$83*'Assumptions'!$D$11*(1+'Assumptions'!$D$13)^(7-1)</x:f>
        <x:v>7884.146934694695</x:v>
      </x:c>
      <x:c r="S829" s="10" t="n">
        <x:f>IF(I829=0,0,J829*'Assumptions'!$W$83+H829*'Assumptions'!$X$83)</x:f>
        <x:v>1378.3678570723605</x:v>
      </x:c>
      <x:c r="T829" s="10" t="n">
        <x:f>N829*'Assumptions'!$AA$83</x:f>
        <x:v>1200.9318528396595</x:v>
      </x:c>
      <x:c r="U829" s="10" t="n">
        <x:f>'Assumptions'!$AE$83*'Assumptions'!$D$11*(1+'Assumptions'!$D$13)^(7-1)</x:f>
        <x:v>286.57255116696</x:v>
      </x:c>
      <x:c r="V829" s="10" t="n">
        <x:f>0</x:f>
        <x:v>0</x:v>
      </x:c>
      <x:c r="W829" s="10" t="n">
        <x:f>H829*('Assumptions'!$P$83+'Assumptions'!$Y$83)</x:f>
        <x:v>550.2374112656248</x:v>
      </x:c>
      <x:c r="X829" s="10" t="n">
        <x:f>N829/12*'Assumptions'!$AF$83</x:f>
        <x:v>0</x:v>
      </x:c>
      <x:c r="Y829" s="10" t="n">
        <x:f>P829/12</x:f>
        <x:v>0</x:v>
      </x:c>
      <x:c r="Z829" s="10" t="n">
        <x:f>0</x:f>
        <x:v>0</x:v>
      </x:c>
      <x:c r="AA829" s="10" t="n">
        <x:f>Z829*'Assumptions'!$AC$83*'Assumptions'!$D$11*(1+'Assumptions'!$D$13)^(7-1)</x:f>
        <x:v>0</x:v>
      </x:c>
      <x:c r="AB829" s="10" t="n">
        <x:f>F829/1</x:f>
        <x:v>1669.9686575624996</x:v>
      </x:c>
      <x:c r="AC829" s="10" t="n">
        <x:f>AB829/'Assumptions'!$AM$83</x:f>
        <x:v>33399.37315124999</x:v>
      </x:c>
      <x:c r="AD829" s="10" t="n">
        <x:f>IF(AB829=0,0,T829/AB829)</x:f>
        <x:v>0.71913436662491</x:v>
      </x:c>
      <x:c r="AE829" s="10" t="n">
        <x:f>AA829*'Assumptions'!$D$21</x:f>
        <x:v>0</x:v>
      </x:c>
    </x:row>
    <x:row r="830" ht="16" customHeight="1">
      <x:c r="A830" s="1"/>
      <x:c r="B830" s="1"/>
      <x:c r="C830" s="1" t="str">
        <x:v>DOT-055</x:v>
      </x:c>
      <x:c r="D830" s="10" t="str">
        <x:v>VraiSkill adult</x:v>
      </x:c>
      <x:c r="E830" s="10" t="n">
        <x:v>7</x:v>
      </x:c>
      <x:c r="F830" s="21" t="n">
        <x:f>F702*(1+'Assumptions'!$M$84)</x:f>
        <x:v>556.6562191874999</x:v>
      </x:c>
      <x:c r="G830" s="21" t="n">
        <x:f>H702*'Assumptions'!$K$84</x:f>
        <x:v>176.99366249999997</x:v>
      </x:c>
      <x:c r="H830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830+G830,NA())</x:f>
        <x:v>733.6498816874998</x:v>
      </x:c>
      <x:c r="I830" s="22" t="n">
        <x:f>'Assumptions'!$H$84*IF('Assumptions'!$O$84=1,1,'Assumptions'!$D$10)*(1+'Assumptions'!$N$84)^(7-1)</x:f>
        <x:v>27.027898062336</x:v>
      </x:c>
      <x:c r="J830" s="10" t="n">
        <x:f>H830*I830</x:f>
        <x:v>19829.014215694613</x:v>
      </x:c>
      <x:c r="K830" s="10" t="n">
        <x:f>J830*'Assumptions'!$T$84</x:f>
        <x:v>19829.014215694613</x:v>
      </x:c>
      <x:c r="L830" s="10" t="n">
        <x:f>K830*'Assumptions'!$U$84</x:f>
        <x:v>594.8704264708384</x:v>
      </x:c>
      <x:c r="M830" s="10" t="n">
        <x:f>K830*'Assumptions'!$V$84</x:f>
        <x:v>0</x:v>
      </x:c>
      <x:c r="N830" s="10" t="n">
        <x:f>K830-L830-M830</x:f>
        <x:v>19234.143789223774</x:v>
      </x:c>
      <x:c r="O830" s="10" t="n">
        <x:f>H830*'Assumptions'!$P$84*'Assumptions'!$Q$84*'Assumptions'!$D$11*(1+'Assumptions'!$D$13)^(7-1)</x:f>
        <x:v>4599.085711905239</x:v>
      </x:c>
      <x:c r="P830" s="10" t="n">
        <x:f>H830*'Assumptions'!$R$84*'Assumptions'!$D$11*(1+'Assumptions'!$D$13)^(7-1)</x:f>
        <x:v>0</x:v>
      </x:c>
      <x:c r="Q830" s="10" t="n">
        <x:f>J830*'Assumptions'!$S$84</x:f>
        <x:v>0</x:v>
      </x:c>
      <x:c r="R830" s="10" t="n">
        <x:f>H830*'Assumptions'!$Y$84*'Assumptions'!$Z$84*'Assumptions'!$D$11*(1+'Assumptions'!$D$13)^(7-1)</x:f>
        <x:v>2628.0489782315653</x:v>
      </x:c>
      <x:c r="S830" s="10" t="n">
        <x:f>IF(I830=0,0,J830*'Assumptions'!$W$84+H830*'Assumptions'!$X$84)</x:f>
        <x:v>795.1363767613936</x:v>
      </x:c>
      <x:c r="T830" s="10" t="n">
        <x:f>N830*'Assumptions'!$AA$84</x:f>
        <x:v>961.7071894611887</x:v>
      </x:c>
      <x:c r="U830" s="10" t="n">
        <x:f>'Assumptions'!$AE$84*'Assumptions'!$D$11*(1+'Assumptions'!$D$13)^(7-1)</x:f>
        <x:v>0</x:v>
      </x:c>
      <x:c r="V830" s="10" t="n">
        <x:f>0</x:f>
        <x:v>0</x:v>
      </x:c>
      <x:c r="W830" s="10" t="n">
        <x:f>H830*('Assumptions'!$P$84+'Assumptions'!$Y$84)</x:f>
        <x:v>183.41247042187496</x:v>
      </x:c>
      <x:c r="X830" s="10" t="n">
        <x:f>N830/12*'Assumptions'!$AF$84</x:f>
        <x:v>0</x:v>
      </x:c>
      <x:c r="Y830" s="10" t="n">
        <x:f>P830/12</x:f>
        <x:v>0</x:v>
      </x:c>
      <x:c r="Z830" s="10" t="n">
        <x:f>0</x:f>
        <x:v>0</x:v>
      </x:c>
      <x:c r="AA830" s="10" t="n">
        <x:f>Z830*'Assumptions'!$AC$84*'Assumptions'!$D$11*(1+'Assumptions'!$D$13)^(7-1)</x:f>
        <x:v>0</x:v>
      </x:c>
      <x:c r="AB830" s="10" t="n">
        <x:f>F830/1</x:f>
        <x:v>556.6562191874999</x:v>
      </x:c>
      <x:c r="AC830" s="10" t="n">
        <x:f>AB830/'Assumptions'!$AM$84</x:f>
        <x:v>11133.124383749997</x:v>
      </x:c>
      <x:c r="AD830" s="10" t="n">
        <x:f>IF(AB830=0,0,T830/AB830)</x:f>
        <x:v>1.7276501300298137</x:v>
      </x:c>
      <x:c r="AE830" s="10" t="n">
        <x:f>AA830*'Assumptions'!$D$21</x:f>
        <x:v>0</x:v>
      </x:c>
    </x:row>
    <x:row r="831" ht="16" customHeight="1">
      <x:c r="A831" s="1"/>
      <x:c r="B831" s="1"/>
      <x:c r="C831" s="1" t="str">
        <x:v>DOT-056</x:v>
      </x:c>
      <x:c r="D831" s="10" t="str">
        <x:v>VraiSkill teen</x:v>
      </x:c>
      <x:c r="E831" s="10" t="n">
        <x:v>7</x:v>
      </x:c>
      <x:c r="F831" s="21" t="n">
        <x:f>F703*(1+'Assumptions'!$M$85)</x:f>
        <x:v>556.6562191874999</x:v>
      </x:c>
      <x:c r="G831" s="21" t="n">
        <x:f>H703*'Assumptions'!$K$85</x:f>
        <x:v>176.96924843749997</x:v>
      </x:c>
      <x:c r="H831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831+G831,NA())</x:f>
        <x:v>733.6254676249998</x:v>
      </x:c>
      <x:c r="I831" s="22" t="n">
        <x:f>'Assumptions'!$H$85*IF('Assumptions'!$O$85=1,1,'Assumptions'!$D$10)*(1+'Assumptions'!$N$85)^(7-1)</x:f>
        <x:v>27.027898062336</x:v>
      </x:c>
      <x:c r="J831" s="10" t="n">
        <x:f>H831*I831</x:f>
        <x:v>19828.354354902076</x:v>
      </x:c>
      <x:c r="K831" s="10" t="n">
        <x:f>J831*'Assumptions'!$T$85</x:f>
        <x:v>19828.354354902076</x:v>
      </x:c>
      <x:c r="L831" s="10" t="n">
        <x:f>K831*'Assumptions'!$U$85</x:f>
        <x:v>594.8506306470623</x:v>
      </x:c>
      <x:c r="M831" s="10" t="n">
        <x:f>K831*'Assumptions'!$V$85</x:f>
        <x:v>0</x:v>
      </x:c>
      <x:c r="N831" s="10" t="n">
        <x:f>K831-L831-M831</x:f>
        <x:v>19233.503724255013</x:v>
      </x:c>
      <x:c r="O831" s="10" t="n">
        <x:f>H831*'Assumptions'!$P$85*'Assumptions'!$Q$85*'Assumptions'!$D$11*(1+'Assumptions'!$D$13)^(7-1)</x:f>
        <x:v>4598.932665651411</x:v>
      </x:c>
      <x:c r="P831" s="10" t="n">
        <x:f>H831*'Assumptions'!$R$85*'Assumptions'!$D$11*(1+'Assumptions'!$D$13)^(7-1)</x:f>
        <x:v>0</x:v>
      </x:c>
      <x:c r="Q831" s="10" t="n">
        <x:f>J831*'Assumptions'!$S$85</x:f>
        <x:v>0</x:v>
      </x:c>
      <x:c r="R831" s="10" t="n">
        <x:f>H831*'Assumptions'!$Y$85*'Assumptions'!$Z$85*'Assumptions'!$D$11*(1+'Assumptions'!$D$13)^(7-1)</x:f>
        <x:v>2627.961523229378</x:v>
      </x:c>
      <x:c r="S831" s="10" t="n">
        <x:f>IF(I831=0,0,J831*'Assumptions'!$W$85+H831*'Assumptions'!$X$85)</x:f>
        <x:v>795.1099165796602</x:v>
      </x:c>
      <x:c r="T831" s="10" t="n">
        <x:f>N831*'Assumptions'!$AA$85</x:f>
        <x:v>961.6751862127508</x:v>
      </x:c>
      <x:c r="U831" s="10" t="n">
        <x:f>'Assumptions'!$AE$85*'Assumptions'!$D$11*(1+'Assumptions'!$D$13)^(7-1)</x:f>
        <x:v>286.57255116696</x:v>
      </x:c>
      <x:c r="V831" s="10" t="n">
        <x:f>0</x:f>
        <x:v>0</x:v>
      </x:c>
      <x:c r="W831" s="10" t="n">
        <x:f>H831*('Assumptions'!$P$85+'Assumptions'!$Y$85)</x:f>
        <x:v>183.40636690624996</x:v>
      </x:c>
      <x:c r="X831" s="10" t="n">
        <x:f>N831/12*'Assumptions'!$AF$85</x:f>
        <x:v>0</x:v>
      </x:c>
      <x:c r="Y831" s="10" t="n">
        <x:f>P831/12</x:f>
        <x:v>0</x:v>
      </x:c>
      <x:c r="Z831" s="10" t="n">
        <x:f>0</x:f>
        <x:v>0</x:v>
      </x:c>
      <x:c r="AA831" s="10" t="n">
        <x:f>Z831*'Assumptions'!$AC$85*'Assumptions'!$D$11*(1+'Assumptions'!$D$13)^(7-1)</x:f>
        <x:v>0</x:v>
      </x:c>
      <x:c r="AB831" s="10" t="n">
        <x:f>F831/1</x:f>
        <x:v>556.6562191874999</x:v>
      </x:c>
      <x:c r="AC831" s="10" t="n">
        <x:f>AB831/'Assumptions'!$AM$85</x:f>
        <x:v>11133.124383749997</x:v>
      </x:c>
      <x:c r="AD831" s="10" t="n">
        <x:f>IF(AB831=0,0,T831/AB831)</x:f>
        <x:v>1.7275926380853517</x:v>
      </x:c>
      <x:c r="AE831" s="10" t="n">
        <x:f>AA831*'Assumptions'!$D$21</x:f>
        <x:v>0</x:v>
      </x:c>
    </x:row>
    <x:row r="832" ht="16" customHeight="1">
      <x:c r="A832" s="1"/>
      <x:c r="B832" s="1"/>
      <x:c r="C832" s="1" t="str">
        <x:v>DOT-057</x:v>
      </x:c>
      <x:c r="D832" s="10" t="str">
        <x:v>VraiSkill Model Life</x:v>
      </x:c>
      <x:c r="E832" s="10" t="n">
        <x:v>7</x:v>
      </x:c>
      <x:c r="F832" s="21" t="n">
        <x:f>F704*(1+'Assumptions'!$M$86)</x:f>
        <x:v>0</x:v>
      </x:c>
      <x:c r="G832" s="21" t="n">
        <x:f>H704*'Assumptions'!$K$86</x:f>
        <x:v>0</x:v>
      </x:c>
      <x:c r="H832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832+G832,NA())</x:f>
        <x:v>0</x:v>
      </x:c>
      <x:c r="I832" s="22" t="n">
        <x:f>'Assumptions'!$H$86*IF('Assumptions'!$O$86=1,1,'Assumptions'!$D$10)*(1+'Assumptions'!$N$86)^(7-1)</x:f>
        <x:v>0</x:v>
      </x:c>
      <x:c r="J832" s="10" t="n">
        <x:f>H832*I832</x:f>
        <x:v>0</x:v>
      </x:c>
      <x:c r="K832" s="10" t="n">
        <x:f>J832*'Assumptions'!$T$86</x:f>
        <x:v>0</x:v>
      </x:c>
      <x:c r="L832" s="10" t="n">
        <x:f>K832*'Assumptions'!$U$86</x:f>
        <x:v>0</x:v>
      </x:c>
      <x:c r="M832" s="10" t="n">
        <x:f>K832*'Assumptions'!$V$86</x:f>
        <x:v>0</x:v>
      </x:c>
      <x:c r="N832" s="10" t="n">
        <x:f>K832-L832-M832</x:f>
        <x:v>0</x:v>
      </x:c>
      <x:c r="O832" s="10" t="n">
        <x:f>H832*'Assumptions'!$P$86*'Assumptions'!$Q$86*'Assumptions'!$D$11*(1+'Assumptions'!$D$13)^(7-1)</x:f>
        <x:v>0</x:v>
      </x:c>
      <x:c r="P832" s="10" t="n">
        <x:f>H832*'Assumptions'!$R$86*'Assumptions'!$D$11*(1+'Assumptions'!$D$13)^(7-1)</x:f>
        <x:v>0</x:v>
      </x:c>
      <x:c r="Q832" s="10" t="n">
        <x:f>J832*'Assumptions'!$S$86</x:f>
        <x:v>0</x:v>
      </x:c>
      <x:c r="R832" s="10" t="n">
        <x:f>H832*'Assumptions'!$Y$86*'Assumptions'!$Z$86*'Assumptions'!$D$11*(1+'Assumptions'!$D$13)^(7-1)</x:f>
        <x:v>0</x:v>
      </x:c>
      <x:c r="S832" s="10" t="n">
        <x:f>IF(I832=0,0,J832*'Assumptions'!$W$86+H832*'Assumptions'!$X$86)</x:f>
        <x:v>0</x:v>
      </x:c>
      <x:c r="T832" s="10" t="n">
        <x:f>N832*'Assumptions'!$AA$86</x:f>
        <x:v>0</x:v>
      </x:c>
      <x:c r="U832" s="10" t="n">
        <x:f>'Assumptions'!$AE$86*'Assumptions'!$D$11*(1+'Assumptions'!$D$13)^(7-1)</x:f>
        <x:v>0</x:v>
      </x:c>
      <x:c r="V832" s="10" t="n">
        <x:f>0</x:f>
        <x:v>0</x:v>
      </x:c>
      <x:c r="W832" s="10" t="n">
        <x:f>H832*('Assumptions'!$P$86+'Assumptions'!$Y$86)</x:f>
        <x:v>0</x:v>
      </x:c>
      <x:c r="X832" s="10" t="n">
        <x:f>N832/12*'Assumptions'!$AF$86</x:f>
        <x:v>0</x:v>
      </x:c>
      <x:c r="Y832" s="10" t="n">
        <x:f>P832/12</x:f>
        <x:v>0</x:v>
      </x:c>
      <x:c r="Z832" s="10" t="n">
        <x:f>0</x:f>
        <x:v>0</x:v>
      </x:c>
      <x:c r="AA832" s="10" t="n">
        <x:f>Z832*'Assumptions'!$AC$86*'Assumptions'!$D$11*(1+'Assumptions'!$D$13)^(7-1)</x:f>
        <x:v>0</x:v>
      </x:c>
      <x:c r="AB832" s="10" t="n">
        <x:f>F832/1</x:f>
        <x:v>0</x:v>
      </x:c>
      <x:c r="AC832" s="10" t="n">
        <x:f>AB832/'Assumptions'!$AM$86</x:f>
        <x:v>0</x:v>
      </x:c>
      <x:c r="AD832" s="10" t="n">
        <x:f>IF(AB832=0,0,T832/AB832)</x:f>
        <x:v>0</x:v>
      </x:c>
      <x:c r="AE832" s="10" t="n">
        <x:f>AA832*'Assumptions'!$D$21</x:f>
        <x:v>0</x:v>
      </x:c>
    </x:row>
    <x:row r="833" ht="16" customHeight="1">
      <x:c r="A833" s="1"/>
      <x:c r="B833" s="1"/>
      <x:c r="C833" s="1" t="str">
        <x:v>DOT-058</x:v>
      </x:c>
      <x:c r="D833" s="10" t="str">
        <x:v>Model Life</x:v>
      </x:c>
      <x:c r="E833" s="10" t="n">
        <x:v>7</x:v>
      </x:c>
      <x:c r="F833" s="21" t="n">
        <x:f>F705*(1+'Assumptions'!$M$87)</x:f>
        <x:v>316.78304256000007</x:v>
      </x:c>
      <x:c r="G833" s="21" t="n">
        <x:f>H705*'Assumptions'!$K$87</x:f>
        <x:v>554.0174304</x:v>
      </x:c>
      <x:c r="H833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833+G833,NA())</x:f>
        <x:v>870.80047296</x:v>
      </x:c>
      <x:c r="I833" s="22" t="n">
        <x:f>'Assumptions'!$H$87*IF('Assumptions'!$O$87=1,1,'Assumptions'!$D$10)*(1+'Assumptions'!$N$87)^(7-1)</x:f>
        <x:v>16.892436288960003</x:v>
      </x:c>
      <x:c r="J833" s="10" t="n">
        <x:f>H833*I833</x:f>
        <x:v>14709.941509873037</x:v>
      </x:c>
      <x:c r="K833" s="10" t="n">
        <x:f>J833*'Assumptions'!$T$87</x:f>
        <x:v>14709.941509873037</x:v>
      </x:c>
      <x:c r="L833" s="10" t="n">
        <x:f>K833*'Assumptions'!$U$87</x:f>
        <x:v>441.2982452961911</x:v>
      </x:c>
      <x:c r="M833" s="10" t="n">
        <x:f>K833*'Assumptions'!$V$87</x:f>
        <x:v>0</x:v>
      </x:c>
      <x:c r="N833" s="10" t="n">
        <x:f>K833-L833-M833</x:f>
        <x:v>14268.643264576845</x:v>
      </x:c>
      <x:c r="O833" s="10" t="n">
        <x:f>H833*'Assumptions'!$P$87*'Assumptions'!$Q$87*'Assumptions'!$D$11*(1+'Assumptions'!$D$13)^(7-1)</x:f>
        <x:v>3639.2345659474963</x:v>
      </x:c>
      <x:c r="P833" s="10" t="n">
        <x:f>H833*'Assumptions'!$R$87*'Assumptions'!$D$11*(1+'Assumptions'!$D$13)^(7-1)</x:f>
        <x:v>0</x:v>
      </x:c>
      <x:c r="Q833" s="10" t="n">
        <x:f>J833*'Assumptions'!$S$87</x:f>
        <x:v>0</x:v>
      </x:c>
      <x:c r="R833" s="10" t="n">
        <x:f>H833*'Assumptions'!$Y$87*'Assumptions'!$Z$87*'Assumptions'!$D$11*(1+'Assumptions'!$D$13)^(7-1)</x:f>
        <x:v>4679.015870503923</x:v>
      </x:c>
      <x:c r="S833" s="10" t="n">
        <x:f>IF(I833=0,0,J833*'Assumptions'!$W$87+H833*'Assumptions'!$X$87)</x:f>
        <x:v>687.8284456743181</x:v>
      </x:c>
      <x:c r="T833" s="10" t="n">
        <x:f>N833*'Assumptions'!$AA$87</x:f>
        <x:v>713.4321632288423</x:v>
      </x:c>
      <x:c r="U833" s="10" t="n">
        <x:f>'Assumptions'!$AE$87*'Assumptions'!$D$11*(1+'Assumptions'!$D$13)^(7-1)</x:f>
        <x:v>71.64313779174</x:v>
      </x:c>
      <x:c r="V833" s="10" t="n">
        <x:f>0</x:f>
        <x:v>0</x:v>
      </x:c>
      <x:c r="W833" s="10" t="n">
        <x:f>H833*('Assumptions'!$P$87+'Assumptions'!$Y$87)</x:f>
        <x:v>217.70011824</x:v>
      </x:c>
      <x:c r="X833" s="10" t="n">
        <x:f>N833/12*'Assumptions'!$AF$87</x:f>
        <x:v>0</x:v>
      </x:c>
      <x:c r="Y833" s="10" t="n">
        <x:f>P833/12</x:f>
        <x:v>0</x:v>
      </x:c>
      <x:c r="Z833" s="10" t="n">
        <x:f>0</x:f>
        <x:v>0</x:v>
      </x:c>
      <x:c r="AA833" s="10" t="n">
        <x:f>Z833*'Assumptions'!$AC$87*'Assumptions'!$D$11*(1+'Assumptions'!$D$13)^(7-1)</x:f>
        <x:v>0</x:v>
      </x:c>
      <x:c r="AB833" s="10" t="n">
        <x:f>F833/12</x:f>
        <x:v>26.398586880000007</x:v>
      </x:c>
      <x:c r="AC833" s="10" t="n">
        <x:f>AB833/'Assumptions'!$AM$87</x:f>
        <x:v>527.9717376000001</x:v>
      </x:c>
      <x:c r="AD833" s="10" t="n">
        <x:f>IF(AB833=0,0,T833/AB833)</x:f>
        <x:v>27.025392172387456</x:v>
      </x:c>
      <x:c r="AE833" s="10" t="n">
        <x:f>AA833*'Assumptions'!$D$21</x:f>
        <x:v>0</x:v>
      </x:c>
    </x:row>
    <x:row r="834" ht="16" customHeight="1">
      <x:c r="A834" s="1"/>
      <x:c r="B834" s="1"/>
      <x:c r="C834" s="1" t="str">
        <x:v>DOT-059</x:v>
      </x:c>
      <x:c r="D834" s="10" t="str">
        <x:v>Model Life</x:v>
      </x:c>
      <x:c r="E834" s="10" t="n">
        <x:v>7</x:v>
      </x:c>
      <x:c r="F834" s="21" t="n">
        <x:f>F706*(1+'Assumptions'!$M$88)</x:f>
        <x:v>79.19576064000002</x:v>
      </x:c>
      <x:c r="G834" s="21" t="n">
        <x:f>H706*'Assumptions'!$K$88</x:f>
        <x:v>138.5043576</x:v>
      </x:c>
      <x:c r="H834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834+G834,NA())</x:f>
        <x:v>217.70011824</x:v>
      </x:c>
      <x:c r="I834" s="22" t="n">
        <x:f>'Assumptions'!$H$88*IF('Assumptions'!$O$88=1,1,'Assumptions'!$D$10)*(1+'Assumptions'!$N$88)^(7-1)</x:f>
        <x:v>88.966831121856</x:v>
      </x:c>
      <x:c r="J834" s="10" t="n">
        <x:f>H834*I834</x:f>
        <x:v>19368.089654666164</x:v>
      </x:c>
      <x:c r="K834" s="10" t="n">
        <x:f>J834*'Assumptions'!$T$88</x:f>
        <x:v>19368.089654666164</x:v>
      </x:c>
      <x:c r="L834" s="10" t="n">
        <x:f>K834*'Assumptions'!$U$88</x:f>
        <x:v>581.0426896399849</x:v>
      </x:c>
      <x:c r="M834" s="10" t="n">
        <x:f>K834*'Assumptions'!$V$88</x:f>
        <x:v>0</x:v>
      </x:c>
      <x:c r="N834" s="10" t="n">
        <x:f>K834-L834-M834</x:f>
        <x:v>18787.04696502618</x:v>
      </x:c>
      <x:c r="O834" s="10" t="n">
        <x:f>H834*'Assumptions'!$P$88*'Assumptions'!$Q$88*'Assumptions'!$D$11*(1+'Assumptions'!$D$13)^(7-1)</x:f>
        <x:v>909.8086414868741</x:v>
      </x:c>
      <x:c r="P834" s="10" t="n">
        <x:f>H834*'Assumptions'!$R$88*'Assumptions'!$D$11*(1+'Assumptions'!$D$13)^(7-1)</x:f>
        <x:v>0</x:v>
      </x:c>
      <x:c r="Q834" s="10" t="n">
        <x:f>J834*'Assumptions'!$S$88</x:f>
        <x:v>0</x:v>
      </x:c>
      <x:c r="R834" s="10" t="n">
        <x:f>H834*'Assumptions'!$Y$88*'Assumptions'!$Z$88*'Assumptions'!$D$11*(1+'Assumptions'!$D$13)^(7-1)</x:f>
        <x:v>1169.7539676259807</x:v>
      </x:c>
      <x:c r="S834" s="10" t="n">
        <x:f>IF(I834=0,0,J834*'Assumptions'!$W$88+H834*'Assumptions'!$X$88)</x:f>
        <x:v>626.9846354573187</x:v>
      </x:c>
      <x:c r="T834" s="10" t="n">
        <x:f>N834*'Assumptions'!$AA$88</x:f>
        <x:v>939.3523482513091</x:v>
      </x:c>
      <x:c r="U834" s="10" t="n">
        <x:f>'Assumptions'!$AE$88*'Assumptions'!$D$11*(1+'Assumptions'!$D$13)^(7-1)</x:f>
        <x:v>71.64313779174</x:v>
      </x:c>
      <x:c r="V834" s="10" t="n">
        <x:f>0</x:f>
        <x:v>0</x:v>
      </x:c>
      <x:c r="W834" s="10" t="n">
        <x:f>H834*('Assumptions'!$P$88+'Assumptions'!$Y$88)</x:f>
        <x:v>54.42502956</x:v>
      </x:c>
      <x:c r="X834" s="10" t="n">
        <x:f>N834/12*'Assumptions'!$AF$88</x:f>
        <x:v>0</x:v>
      </x:c>
      <x:c r="Y834" s="10" t="n">
        <x:f>P834/12</x:f>
        <x:v>0</x:v>
      </x:c>
      <x:c r="Z834" s="10" t="n">
        <x:f>0</x:f>
        <x:v>0</x:v>
      </x:c>
      <x:c r="AA834" s="10" t="n">
        <x:f>Z834*'Assumptions'!$AC$88*'Assumptions'!$D$11*(1+'Assumptions'!$D$13)^(7-1)</x:f>
        <x:v>0</x:v>
      </x:c>
      <x:c r="AB834" s="10" t="n">
        <x:f>F834/12</x:f>
        <x:v>6.599646720000002</x:v>
      </x:c>
      <x:c r="AC834" s="10" t="n">
        <x:f>AB834/'Assumptions'!$AM$88</x:f>
        <x:v>131.99293440000002</x:v>
      </x:c>
      <x:c r="AD834" s="10" t="n">
        <x:f>IF(AB834=0,0,T834/AB834)</x:f>
        <x:v>142.33373210790725</x:v>
      </x:c>
      <x:c r="AE834" s="10" t="n">
        <x:f>AA834*'Assumptions'!$D$21</x:f>
        <x:v>0</x:v>
      </x:c>
    </x:row>
    <x:row r="835" ht="16" customHeight="1">
      <x:c r="A835" s="1"/>
      <x:c r="B835" s="1"/>
      <x:c r="C835" s="1" t="str">
        <x:v>DOT-060</x:v>
      </x:c>
      <x:c r="D835" s="10" t="str">
        <x:v>Model Life</x:v>
      </x:c>
      <x:c r="E835" s="10" t="n">
        <x:v>7</x:v>
      </x:c>
      <x:c r="F835" s="21" t="n">
        <x:f>F707*(1+'Assumptions'!$M$89)</x:f>
        <x:v>79.19576064000002</x:v>
      </x:c>
      <x:c r="G835" s="21" t="n">
        <x:f>H707*'Assumptions'!$K$89</x:f>
        <x:v>138.5043576</x:v>
      </x:c>
      <x:c r="H835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835+G835,NA())</x:f>
        <x:v>217.70011824</x:v>
      </x:c>
      <x:c r="I835" s="22" t="n">
        <x:f>'Assumptions'!$H$89*IF('Assumptions'!$O$89=1,1,'Assumptions'!$D$10)*(1+'Assumptions'!$N$89)^(7-1)</x:f>
        <x:v>66.443582736576</x:v>
      </x:c>
      <x:c r="J835" s="10" t="n">
        <x:f>H835*I835</x:f>
        <x:v>14464.775818041819</x:v>
      </x:c>
      <x:c r="K835" s="10" t="n">
        <x:f>J835*'Assumptions'!$T$89</x:f>
        <x:v>14464.775818041819</x:v>
      </x:c>
      <x:c r="L835" s="10" t="n">
        <x:f>K835*'Assumptions'!$U$89</x:f>
        <x:v>433.94327454125454</x:v>
      </x:c>
      <x:c r="M835" s="10" t="n">
        <x:f>K835*'Assumptions'!$V$89</x:f>
        <x:v>0</x:v>
      </x:c>
      <x:c r="N835" s="10" t="n">
        <x:f>K835-L835-M835</x:f>
        <x:v>14030.832543500564</x:v>
      </x:c>
      <x:c r="O835" s="10" t="n">
        <x:f>H835*'Assumptions'!$P$89*'Assumptions'!$Q$89*'Assumptions'!$D$11*(1+'Assumptions'!$D$13)^(7-1)</x:f>
        <x:v>909.8086414868741</x:v>
      </x:c>
      <x:c r="P835" s="10" t="n">
        <x:f>H835*'Assumptions'!$R$89*'Assumptions'!$D$11*(1+'Assumptions'!$D$13)^(7-1)</x:f>
        <x:v>0</x:v>
      </x:c>
      <x:c r="Q835" s="10" t="n">
        <x:f>J835*'Assumptions'!$S$89</x:f>
        <x:v>0</x:v>
      </x:c>
      <x:c r="R835" s="10" t="n">
        <x:f>H835*'Assumptions'!$Y$89*'Assumptions'!$Z$89*'Assumptions'!$D$11*(1+'Assumptions'!$D$13)^(7-1)</x:f>
        <x:v>1169.7539676259807</x:v>
      </x:c>
      <x:c r="S835" s="10" t="n">
        <x:f>IF(I835=0,0,J835*'Assumptions'!$W$89+H835*'Assumptions'!$X$89)</x:f>
        <x:v>484.7885341952127</x:v>
      </x:c>
      <x:c r="T835" s="10" t="n">
        <x:f>N835*'Assumptions'!$AA$89</x:f>
        <x:v>701.5416271750282</x:v>
      </x:c>
      <x:c r="U835" s="10" t="n">
        <x:f>'Assumptions'!$AE$89*'Assumptions'!$D$11*(1+'Assumptions'!$D$13)^(7-1)</x:f>
        <x:v>71.64313779174</x:v>
      </x:c>
      <x:c r="V835" s="10" t="n">
        <x:f>0</x:f>
        <x:v>0</x:v>
      </x:c>
      <x:c r="W835" s="10" t="n">
        <x:f>H835*('Assumptions'!$P$89+'Assumptions'!$Y$89)</x:f>
        <x:v>54.42502956</x:v>
      </x:c>
      <x:c r="X835" s="10" t="n">
        <x:f>N835/12*'Assumptions'!$AF$89</x:f>
        <x:v>0</x:v>
      </x:c>
      <x:c r="Y835" s="10" t="n">
        <x:f>P835/12</x:f>
        <x:v>0</x:v>
      </x:c>
      <x:c r="Z835" s="10" t="n">
        <x:f>0</x:f>
        <x:v>0</x:v>
      </x:c>
      <x:c r="AA835" s="10" t="n">
        <x:f>Z835*'Assumptions'!$AC$89*'Assumptions'!$D$11*(1+'Assumptions'!$D$13)^(7-1)</x:f>
        <x:v>0</x:v>
      </x:c>
      <x:c r="AB835" s="10" t="n">
        <x:f>F835/12</x:f>
        <x:v>6.599646720000002</x:v>
      </x:c>
      <x:c r="AC835" s="10" t="n">
        <x:f>AB835/'Assumptions'!$AM$89</x:f>
        <x:v>131.99293440000002</x:v>
      </x:c>
      <x:c r="AD835" s="10" t="n">
        <x:f>IF(AB835=0,0,T835/AB835)</x:f>
        <x:v>106.2998758780573</x:v>
      </x:c>
      <x:c r="AE835" s="10" t="n">
        <x:f>AA835*'Assumptions'!$D$21</x:f>
        <x:v>0</x:v>
      </x:c>
    </x:row>
    <x:row r="836" ht="16" customHeight="1">
      <x:c r="A836" s="1"/>
      <x:c r="B836" s="1"/>
      <x:c r="C836" s="1" t="str">
        <x:v>DOT-061</x:v>
      </x:c>
      <x:c r="D836" s="10" t="str">
        <x:v>Model Life</x:v>
      </x:c>
      <x:c r="E836" s="10" t="n">
        <x:v>7</x:v>
      </x:c>
      <x:c r="F836" s="21" t="n">
        <x:f>F708*(1+'Assumptions'!$M$90)</x:f>
        <x:v>39.59788032000001</x:v>
      </x:c>
      <x:c r="G836" s="21" t="n">
        <x:f>H708*'Assumptions'!$K$90</x:f>
        <x:v>69.2521788</x:v>
      </x:c>
      <x:c r="H836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836+G836,NA())</x:f>
        <x:v>108.85005912</x:v>
      </x:c>
      <x:c r="I836" s="22" t="n">
        <x:f>'Assumptions'!$H$90*IF('Assumptions'!$O$90=1,1,'Assumptions'!$D$10)*(1+'Assumptions'!$N$90)^(7-1)</x:f>
        <x:v>111.490079507136</x:v>
      </x:c>
      <x:c r="J836" s="10" t="n">
        <x:f>H836*I836</x:f>
        <x:v>12135.701745645254</x:v>
      </x:c>
      <x:c r="K836" s="10" t="n">
        <x:f>J836*'Assumptions'!$T$90</x:f>
        <x:v>12135.701745645254</x:v>
      </x:c>
      <x:c r="L836" s="10" t="n">
        <x:f>K836*'Assumptions'!$U$90</x:f>
        <x:v>364.07105236935763</x:v>
      </x:c>
      <x:c r="M836" s="10" t="n">
        <x:f>K836*'Assumptions'!$V$90</x:f>
        <x:v>0</x:v>
      </x:c>
      <x:c r="N836" s="10" t="n">
        <x:f>K836-L836-M836</x:f>
        <x:v>11771.630693275896</x:v>
      </x:c>
      <x:c r="O836" s="10" t="n">
        <x:f>H836*'Assumptions'!$P$90*'Assumptions'!$Q$90*'Assumptions'!$D$11*(1+'Assumptions'!$D$13)^(7-1)</x:f>
        <x:v>454.90432074343704</x:v>
      </x:c>
      <x:c r="P836" s="10" t="n">
        <x:f>H836*'Assumptions'!$R$90*'Assumptions'!$D$11*(1+'Assumptions'!$D$13)^(7-1)</x:f>
        <x:v>0</x:v>
      </x:c>
      <x:c r="Q836" s="10" t="n">
        <x:f>J836*'Assumptions'!$S$90</x:f>
        <x:v>0</x:v>
      </x:c>
      <x:c r="R836" s="10" t="n">
        <x:f>H836*'Assumptions'!$Y$90*'Assumptions'!$Z$90*'Assumptions'!$D$11*(1+'Assumptions'!$D$13)^(7-1)</x:f>
        <x:v>584.8769838129904</x:v>
      </x:c>
      <x:c r="S836" s="10" t="n">
        <x:f>IF(I836=0,0,J836*'Assumptions'!$W$90+H836*'Assumptions'!$X$90)</x:f>
        <x:v>384.5903683597124</x:v>
      </x:c>
      <x:c r="T836" s="10" t="n">
        <x:f>N836*'Assumptions'!$AA$90</x:f>
        <x:v>588.5815346637949</x:v>
      </x:c>
      <x:c r="U836" s="10" t="n">
        <x:f>'Assumptions'!$AE$90*'Assumptions'!$D$11*(1+'Assumptions'!$D$13)^(7-1)</x:f>
        <x:v>71.64313779174</x:v>
      </x:c>
      <x:c r="V836" s="10" t="n">
        <x:f>0</x:f>
        <x:v>0</x:v>
      </x:c>
      <x:c r="W836" s="10" t="n">
        <x:f>H836*('Assumptions'!$P$90+'Assumptions'!$Y$90)</x:f>
        <x:v>27.21251478</x:v>
      </x:c>
      <x:c r="X836" s="10" t="n">
        <x:f>N836/12*'Assumptions'!$AF$90</x:f>
        <x:v>0</x:v>
      </x:c>
      <x:c r="Y836" s="10" t="n">
        <x:f>P836/12</x:f>
        <x:v>0</x:v>
      </x:c>
      <x:c r="Z836" s="10" t="n">
        <x:f>0</x:f>
        <x:v>0</x:v>
      </x:c>
      <x:c r="AA836" s="10" t="n">
        <x:f>Z836*'Assumptions'!$AC$90*'Assumptions'!$D$11*(1+'Assumptions'!$D$13)^(7-1)</x:f>
        <x:v>0</x:v>
      </x:c>
      <x:c r="AB836" s="10" t="n">
        <x:f>F836/12</x:f>
        <x:v>3.299823360000001</x:v>
      </x:c>
      <x:c r="AC836" s="10" t="n">
        <x:f>AB836/'Assumptions'!$AM$90</x:f>
        <x:v>65.99646720000001</x:v>
      </x:c>
      <x:c r="AD836" s="10" t="n">
        <x:f>IF(AB836=0,0,T836/AB836)</x:f>
        <x:v>178.36758833775718</x:v>
      </x:c>
      <x:c r="AE836" s="10" t="n">
        <x:f>AA836*'Assumptions'!$D$21</x:f>
        <x:v>0</x:v>
      </x:c>
    </x:row>
    <x:row r="837" ht="16" customHeight="1">
      <x:c r="A837" s="1"/>
      <x:c r="B837" s="1"/>
      <x:c r="C837" s="1" t="str">
        <x:v>DOT-062</x:v>
      </x:c>
      <x:c r="D837" s="10" t="str">
        <x:v>Model Life</x:v>
      </x:c>
      <x:c r="E837" s="10" t="n">
        <x:v>7</x:v>
      </x:c>
      <x:c r="F837" s="21" t="n">
        <x:f>F709*(1+'Assumptions'!$M$91)</x:f>
        <x:v>39.59788032000001</x:v>
      </x:c>
      <x:c r="G837" s="21" t="n">
        <x:f>H709*'Assumptions'!$K$91</x:f>
        <x:v>69.2521788</x:v>
      </x:c>
      <x:c r="H837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837+G837,NA())</x:f>
        <x:v>108.85005912</x:v>
      </x:c>
      <x:c r="I837" s="22" t="n">
        <x:f>'Assumptions'!$H$91*IF('Assumptions'!$O$91=1,1,'Assumptions'!$D$10)*(1+'Assumptions'!$N$91)^(7-1)</x:f>
        <x:v>55.181958543936005</x:v>
      </x:c>
      <x:c r="J837" s="10" t="n">
        <x:f>H837*I837</x:f>
        <x:v>6006.559449864823</x:v>
      </x:c>
      <x:c r="K837" s="10" t="n">
        <x:f>J837*'Assumptions'!$T$91</x:f>
        <x:v>6006.559449864823</x:v>
      </x:c>
      <x:c r="L837" s="10" t="n">
        <x:f>K837*'Assumptions'!$U$91</x:f>
        <x:v>180.1967834959447</x:v>
      </x:c>
      <x:c r="M837" s="10" t="n">
        <x:f>K837*'Assumptions'!$V$91</x:f>
        <x:v>0</x:v>
      </x:c>
      <x:c r="N837" s="10" t="n">
        <x:f>K837-L837-M837</x:f>
        <x:v>5826.362666368878</x:v>
      </x:c>
      <x:c r="O837" s="10" t="n">
        <x:f>H837*'Assumptions'!$P$91*'Assumptions'!$Q$91*'Assumptions'!$D$11*(1+'Assumptions'!$D$13)^(7-1)</x:f>
        <x:v>454.90432074343704</x:v>
      </x:c>
      <x:c r="P837" s="10" t="n">
        <x:f>H837*'Assumptions'!$R$91*'Assumptions'!$D$11*(1+'Assumptions'!$D$13)^(7-1)</x:f>
        <x:v>0</x:v>
      </x:c>
      <x:c r="Q837" s="10" t="n">
        <x:f>J837*'Assumptions'!$S$91</x:f>
        <x:v>0</x:v>
      </x:c>
      <x:c r="R837" s="10" t="n">
        <x:f>H837*'Assumptions'!$Y$91*'Assumptions'!$Z$91*'Assumptions'!$D$11*(1+'Assumptions'!$D$13)^(7-1)</x:f>
        <x:v>584.8769838129904</x:v>
      </x:c>
      <x:c r="S837" s="10" t="n">
        <x:f>IF(I837=0,0,J837*'Assumptions'!$W$91+H837*'Assumptions'!$X$91)</x:f>
        <x:v>206.84524178207988</x:v>
      </x:c>
      <x:c r="T837" s="10" t="n">
        <x:f>N837*'Assumptions'!$AA$91</x:f>
        <x:v>291.3181333184439</x:v>
      </x:c>
      <x:c r="U837" s="10" t="n">
        <x:f>'Assumptions'!$AE$91*'Assumptions'!$D$11*(1+'Assumptions'!$D$13)^(7-1)</x:f>
        <x:v>71.64313779174</x:v>
      </x:c>
      <x:c r="V837" s="10" t="n">
        <x:f>0</x:f>
        <x:v>0</x:v>
      </x:c>
      <x:c r="W837" s="10" t="n">
        <x:f>H837*('Assumptions'!$P$91+'Assumptions'!$Y$91)</x:f>
        <x:v>27.21251478</x:v>
      </x:c>
      <x:c r="X837" s="10" t="n">
        <x:f>N837/12*'Assumptions'!$AF$91</x:f>
        <x:v>0</x:v>
      </x:c>
      <x:c r="Y837" s="10" t="n">
        <x:f>P837/12</x:f>
        <x:v>0</x:v>
      </x:c>
      <x:c r="Z837" s="10" t="n">
        <x:f>0</x:f>
        <x:v>0</x:v>
      </x:c>
      <x:c r="AA837" s="10" t="n">
        <x:f>Z837*'Assumptions'!$AC$91*'Assumptions'!$D$11*(1+'Assumptions'!$D$13)^(7-1)</x:f>
        <x:v>0</x:v>
      </x:c>
      <x:c r="AB837" s="10" t="n">
        <x:f>F837/12</x:f>
        <x:v>3.299823360000001</x:v>
      </x:c>
      <x:c r="AC837" s="10" t="n">
        <x:f>AB837/'Assumptions'!$AM$91</x:f>
        <x:v>65.99646720000001</x:v>
      </x:c>
      <x:c r="AD837" s="10" t="n">
        <x:f>IF(AB837=0,0,T837/AB837)</x:f>
        <x:v>88.28294776313234</x:v>
      </x:c>
      <x:c r="AE837" s="10" t="n">
        <x:f>AA837*'Assumptions'!$D$21</x:f>
        <x:v>0</x:v>
      </x:c>
    </x:row>
    <x:row r="838" ht="16" customHeight="1">
      <x:c r="A838" s="1"/>
      <x:c r="B838" s="1"/>
      <x:c r="C838" s="1" t="str">
        <x:v>DOT-063</x:v>
      </x:c>
      <x:c r="D838" s="10" t="str">
        <x:v>S’otality cleaning</x:v>
      </x:c>
      <x:c r="E838" s="10" t="n">
        <x:v>7</x:v>
      </x:c>
      <x:c r="F838" s="21" t="n">
        <x:f>F710*(1+'Assumptions'!$M$92)</x:f>
        <x:v>74.55665712000003</x:v>
      </x:c>
      <x:c r="G838" s="21" t="n">
        <x:f>H710*'Assumptions'!$K$92</x:f>
        <x:v>98.36245440000003</x:v>
      </x:c>
      <x:c r="H838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838+G838,NA())</x:f>
        <x:v>172.91911152000006</x:v>
      </x:c>
      <x:c r="I838" s="22" t="n">
        <x:f>'Assumptions'!$H$92*IF('Assumptions'!$O$92=1,1,'Assumptions'!$D$10)*(1+'Assumptions'!$N$92)^(7-1)</x:f>
        <x:v>167.798200470336</x:v>
      </x:c>
      <x:c r="J838" s="10" t="n">
        <x:f>H838*I838</x:f>
        <x:v>29015.51573998536</x:v>
      </x:c>
      <x:c r="K838" s="10" t="n">
        <x:f>J838*'Assumptions'!$T$92</x:f>
        <x:v>29015.51573998536</x:v>
      </x:c>
      <x:c r="L838" s="10" t="n">
        <x:f>K838*'Assumptions'!$U$92</x:f>
        <x:v>870.4654721995607</x:v>
      </x:c>
      <x:c r="M838" s="10" t="n">
        <x:f>K838*'Assumptions'!$V$92</x:f>
        <x:v>0</x:v>
      </x:c>
      <x:c r="N838" s="10" t="n">
        <x:f>K838-L838-M838</x:f>
        <x:v>28145.0502677858</x:v>
      </x:c>
      <x:c r="O838" s="10" t="n">
        <x:f>H838*'Assumptions'!$P$92*'Assumptions'!$Q$92*'Assumptions'!$D$11*(1+'Assumptions'!$D$13)^(7-1)</x:f>
        <x:v>722.6606177847364</x:v>
      </x:c>
      <x:c r="P838" s="10" t="n">
        <x:f>H838*'Assumptions'!$R$92*'Assumptions'!$D$11*(1+'Assumptions'!$D$13)^(7-1)</x:f>
        <x:v>1651.7956977936828</x:v>
      </x:c>
      <x:c r="Q838" s="10" t="n">
        <x:f>J838*'Assumptions'!$S$92</x:f>
        <x:v>18860.085230990484</x:v>
      </x:c>
      <x:c r="R838" s="10" t="n">
        <x:f>H838*'Assumptions'!$Y$92*'Assumptions'!$Z$92*'Assumptions'!$D$11*(1+'Assumptions'!$D$13)^(7-1)</x:f>
        <x:v>1238.8467733452624</x:v>
      </x:c>
      <x:c r="S838" s="10" t="n">
        <x:f>IF(I838=0,0,J838*'Assumptions'!$W$92+H838*'Assumptions'!$X$92)</x:f>
        <x:v>893.3256899155755</x:v>
      </x:c>
      <x:c r="T838" s="10" t="n">
        <x:f>N838*'Assumptions'!$AA$92</x:f>
        <x:v>1125.8020107114319</x:v>
      </x:c>
      <x:c r="U838" s="10" t="n">
        <x:f>'Assumptions'!$AE$92*'Assumptions'!$D$11*(1+'Assumptions'!$D$13)^(7-1)</x:f>
        <x:v>0</x:v>
      </x:c>
      <x:c r="V838" s="10" t="n">
        <x:f>0</x:f>
        <x:v>0</x:v>
      </x:c>
      <x:c r="W838" s="10" t="n">
        <x:f>H838*('Assumptions'!$P$92+'Assumptions'!$Y$92)</x:f>
        <x:v>51.87573345600003</x:v>
      </x:c>
      <x:c r="X838" s="10" t="n">
        <x:f>N838/12*'Assumptions'!$AF$92</x:f>
        <x:v>0</x:v>
      </x:c>
      <x:c r="Y838" s="10" t="n">
        <x:f>P838/12</x:f>
        <x:v>137.6496414828069</x:v>
      </x:c>
      <x:c r="Z838" s="10" t="n">
        <x:f>0</x:f>
        <x:v>0</x:v>
      </x:c>
      <x:c r="AA838" s="10" t="n">
        <x:f>Z838*'Assumptions'!$AC$92*'Assumptions'!$D$11*(1+'Assumptions'!$D$13)^(7-1)</x:f>
        <x:v>0</x:v>
      </x:c>
      <x:c r="AB838" s="10" t="n">
        <x:f>F838/1</x:f>
        <x:v>74.55665712000003</x:v>
      </x:c>
      <x:c r="AC838" s="10" t="n">
        <x:f>AB838/'Assumptions'!$AM$92</x:f>
        <x:v>497.04438080000017</x:v>
      </x:c>
      <x:c r="AD838" s="10" t="n">
        <x:f>IF(AB838=0,0,T838/AB838)</x:f>
        <x:v>15.09995289755866</x:v>
      </x:c>
      <x:c r="AE838" s="10" t="n">
        <x:f>AA838*'Assumptions'!$D$21</x:f>
        <x:v>0</x:v>
      </x:c>
    </x:row>
    <x:row r="839" ht="16" customHeight="1">
      <x:c r="A839" s="1"/>
      <x:c r="B839" s="1"/>
      <x:c r="C839" s="1" t="str">
        <x:v>DOT-064</x:v>
      </x:c>
      <x:c r="D839" s="10" t="str">
        <x:v>S’otality cleaning</x:v>
      </x:c>
      <x:c r="E839" s="10" t="n">
        <x:v>7</x:v>
      </x:c>
      <x:c r="F839" s="21" t="n">
        <x:f>F711*(1+'Assumptions'!$M$93)</x:f>
        <x:v>111.83498568000002</x:v>
      </x:c>
      <x:c r="G839" s="21" t="n">
        <x:f>H711*'Assumptions'!$K$93</x:f>
        <x:v>147.5436816</x:v>
      </x:c>
      <x:c r="H839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839+G839,NA())</x:f>
        <x:v>259.37866728000006</x:v>
      </x:c>
      <x:c r="I839" s="22" t="n">
        <x:f>'Assumptions'!$H$93*IF('Assumptions'!$O$93=1,1,'Assumptions'!$D$10)*(1+'Assumptions'!$N$93)^(7-1)</x:f>
        <x:v>156.536576277696</x:v>
      </x:c>
      <x:c r="J839" s="10" t="n">
        <x:f>H839*I839</x:f>
        <x:v>40602.24853548287</x:v>
      </x:c>
      <x:c r="K839" s="10" t="n">
        <x:f>J839*'Assumptions'!$T$93</x:f>
        <x:v>40602.24853548287</x:v>
      </x:c>
      <x:c r="L839" s="10" t="n">
        <x:f>K839*'Assumptions'!$U$93</x:f>
        <x:v>1218.067456064486</x:v>
      </x:c>
      <x:c r="M839" s="10" t="n">
        <x:f>K839*'Assumptions'!$V$93</x:f>
        <x:v>0</x:v>
      </x:c>
      <x:c r="N839" s="10" t="n">
        <x:f>K839-L839-M839</x:f>
        <x:v>39384.181079418384</x:v>
      </x:c>
      <x:c r="O839" s="10" t="n">
        <x:f>H839*'Assumptions'!$P$93*'Assumptions'!$Q$93*'Assumptions'!$D$11*(1+'Assumptions'!$D$13)^(7-1)</x:f>
        <x:v>1083.9909266771042</x:v>
      </x:c>
      <x:c r="P839" s="10" t="n">
        <x:f>H839*'Assumptions'!$R$93*'Assumptions'!$D$11*(1+'Assumptions'!$D$13)^(7-1)</x:f>
        <x:v>2477.693546690524</x:v>
      </x:c>
      <x:c r="Q839" s="10" t="n">
        <x:f>J839*'Assumptions'!$S$93</x:f>
        <x:v>26391.461548063864</x:v>
      </x:c>
      <x:c r="R839" s="10" t="n">
        <x:f>H839*'Assumptions'!$Y$93*'Assumptions'!$Z$93*'Assumptions'!$D$11*(1+'Assumptions'!$D$13)^(7-1)</x:f>
        <x:v>1858.270160017893</x:v>
      </x:c>
      <x:c r="S839" s="10" t="n">
        <x:f>IF(I839=0,0,J839*'Assumptions'!$W$93+H839*'Assumptions'!$X$93)</x:f>
        <x:v>1255.2788077130033</x:v>
      </x:c>
      <x:c r="T839" s="10" t="n">
        <x:f>N839*'Assumptions'!$AA$93</x:f>
        <x:v>1575.3672431767354</x:v>
      </x:c>
      <x:c r="U839" s="10" t="n">
        <x:f>'Assumptions'!$AE$93*'Assumptions'!$D$11*(1+'Assumptions'!$D$13)^(7-1)</x:f>
        <x:v>0</x:v>
      </x:c>
      <x:c r="V839" s="10" t="n">
        <x:f>0</x:f>
        <x:v>0</x:v>
      </x:c>
      <x:c r="W839" s="10" t="n">
        <x:f>H839*('Assumptions'!$P$93+'Assumptions'!$Y$93)</x:f>
        <x:v>77.81360018400002</x:v>
      </x:c>
      <x:c r="X839" s="10" t="n">
        <x:f>N839/12*'Assumptions'!$AF$93</x:f>
        <x:v>0</x:v>
      </x:c>
      <x:c r="Y839" s="10" t="n">
        <x:f>P839/12</x:f>
        <x:v>206.47446222421033</x:v>
      </x:c>
      <x:c r="Z839" s="10" t="n">
        <x:f>0</x:f>
        <x:v>0</x:v>
      </x:c>
      <x:c r="AA839" s="10" t="n">
        <x:f>Z839*'Assumptions'!$AC$93*'Assumptions'!$D$11*(1+'Assumptions'!$D$13)^(7-1)</x:f>
        <x:v>0</x:v>
      </x:c>
      <x:c r="AB839" s="10" t="n">
        <x:f>F839/1</x:f>
        <x:v>111.83498568000002</x:v>
      </x:c>
      <x:c r="AC839" s="10" t="n">
        <x:f>AB839/'Assumptions'!$AM$93</x:f>
        <x:v>745.5665712000001</x:v>
      </x:c>
      <x:c r="AD839" s="10" t="n">
        <x:f>IF(AB839=0,0,T839/AB839)</x:f>
        <x:v>14.086533240004393</x:v>
      </x:c>
      <x:c r="AE839" s="10" t="n">
        <x:f>AA839*'Assumptions'!$D$21</x:f>
        <x:v>0</x:v>
      </x:c>
    </x:row>
    <x:row r="840" ht="16" customHeight="1">
      <x:c r="A840" s="1"/>
      <x:c r="B840" s="1"/>
      <x:c r="C840" s="1" t="str">
        <x:v>DOT-065</x:v>
      </x:c>
      <x:c r="D840" s="10" t="str">
        <x:v>S’otality cleaning</x:v>
      </x:c>
      <x:c r="E840" s="10" t="n">
        <x:v>7</x:v>
      </x:c>
      <x:c r="F840" s="21" t="n">
        <x:f>F712*(1+'Assumptions'!$M$94)</x:f>
        <x:v>74.55665712000003</x:v>
      </x:c>
      <x:c r="G840" s="21" t="n">
        <x:f>H712*'Assumptions'!$K$94</x:f>
        <x:v>98.36245440000003</x:v>
      </x:c>
      <x:c r="H840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840+G840,NA())</x:f>
        <x:v>172.91911152000006</x:v>
      </x:c>
      <x:c r="I840" s="22" t="n">
        <x:f>'Assumptions'!$H$94*IF('Assumptions'!$O$94=1,1,'Assumptions'!$D$10)*(1+'Assumptions'!$N$94)^(7-1)</x:f>
        <x:v>179.059824662976</x:v>
      </x:c>
      <x:c r="J840" s="10" t="n">
        <x:f>H840*I840</x:f>
        <x:v>30962.865789648808</x:v>
      </x:c>
      <x:c r="K840" s="10" t="n">
        <x:f>J840*'Assumptions'!$T$94</x:f>
        <x:v>30962.865789648808</x:v>
      </x:c>
      <x:c r="L840" s="10" t="n">
        <x:f>K840*'Assumptions'!$U$94</x:f>
        <x:v>928.8859736894642</x:v>
      </x:c>
      <x:c r="M840" s="10" t="n">
        <x:f>K840*'Assumptions'!$V$94</x:f>
        <x:v>0</x:v>
      </x:c>
      <x:c r="N840" s="10" t="n">
        <x:f>K840-L840-M840</x:f>
        <x:v>30033.979815959345</x:v>
      </x:c>
      <x:c r="O840" s="10" t="n">
        <x:f>H840*'Assumptions'!$P$94*'Assumptions'!$Q$94*'Assumptions'!$D$11*(1+'Assumptions'!$D$13)^(7-1)</x:f>
        <x:v>722.6606177847364</x:v>
      </x:c>
      <x:c r="P840" s="10" t="n">
        <x:f>H840*'Assumptions'!$R$94*'Assumptions'!$D$11*(1+'Assumptions'!$D$13)^(7-1)</x:f>
        <x:v>1651.7956977936828</x:v>
      </x:c>
      <x:c r="Q840" s="10" t="n">
        <x:f>J840*'Assumptions'!$S$94</x:f>
        <x:v>20125.862763271725</x:v>
      </x:c>
      <x:c r="R840" s="10" t="n">
        <x:f>H840*'Assumptions'!$Y$94*'Assumptions'!$Z$94*'Assumptions'!$D$11*(1+'Assumptions'!$D$13)^(7-1)</x:f>
        <x:v>1238.8467733452624</x:v>
      </x:c>
      <x:c r="S840" s="10" t="n">
        <x:f>IF(I840=0,0,J840*'Assumptions'!$W$94+H840*'Assumptions'!$X$94)</x:f>
        <x:v>949.7988413558155</x:v>
      </x:c>
      <x:c r="T840" s="10" t="n">
        <x:f>N840*'Assumptions'!$AA$94</x:f>
        <x:v>1201.3591926383738</x:v>
      </x:c>
      <x:c r="U840" s="10" t="n">
        <x:f>'Assumptions'!$AE$94*'Assumptions'!$D$11*(1+'Assumptions'!$D$13)^(7-1)</x:f>
        <x:v>0</x:v>
      </x:c>
      <x:c r="V840" s="10" t="n">
        <x:f>0</x:f>
        <x:v>0</x:v>
      </x:c>
      <x:c r="W840" s="10" t="n">
        <x:f>H840*('Assumptions'!$P$94+'Assumptions'!$Y$94)</x:f>
        <x:v>51.87573345600003</x:v>
      </x:c>
      <x:c r="X840" s="10" t="n">
        <x:f>N840/12*'Assumptions'!$AF$94</x:f>
        <x:v>0</x:v>
      </x:c>
      <x:c r="Y840" s="10" t="n">
        <x:f>P840/12</x:f>
        <x:v>137.6496414828069</x:v>
      </x:c>
      <x:c r="Z840" s="10" t="n">
        <x:f>0</x:f>
        <x:v>0</x:v>
      </x:c>
      <x:c r="AA840" s="10" t="n">
        <x:f>Z840*'Assumptions'!$AC$94*'Assumptions'!$D$11*(1+'Assumptions'!$D$13)^(7-1)</x:f>
        <x:v>0</x:v>
      </x:c>
      <x:c r="AB840" s="10" t="n">
        <x:f>F840/1</x:f>
        <x:v>74.55665712000003</x:v>
      </x:c>
      <x:c r="AC840" s="10" t="n">
        <x:f>AB840/'Assumptions'!$AM$94</x:f>
        <x:v>497.04438080000017</x:v>
      </x:c>
      <x:c r="AD840" s="10" t="n">
        <x:f>IF(AB840=0,0,T840/AB840)</x:f>
        <x:v>16.113372555112935</x:v>
      </x:c>
      <x:c r="AE840" s="10" t="n">
        <x:f>AA840*'Assumptions'!$D$21</x:f>
        <x:v>0</x:v>
      </x:c>
    </x:row>
    <x:row r="841" ht="16" customHeight="1">
      <x:c r="A841" s="1"/>
      <x:c r="B841" s="1"/>
      <x:c r="C841" s="1" t="str">
        <x:v>DOT-066</x:v>
      </x:c>
      <x:c r="D841" s="10" t="str">
        <x:v>S’otality cleaning</x:v>
      </x:c>
      <x:c r="E841" s="10" t="n">
        <x:v>7</x:v>
      </x:c>
      <x:c r="F841" s="21" t="n">
        <x:f>F713*(1+'Assumptions'!$M$95)</x:f>
        <x:v>111.83498568000002</x:v>
      </x:c>
      <x:c r="G841" s="21" t="n">
        <x:f>H713*'Assumptions'!$K$95</x:f>
        <x:v>147.5436816</x:v>
      </x:c>
      <x:c r="H841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841+G841,NA())</x:f>
        <x:v>259.37866728000006</x:v>
      </x:c>
      <x:c r="I841" s="22" t="n">
        <x:f>'Assumptions'!$H$95*IF('Assumptions'!$O$95=1,1,'Assumptions'!$D$10)*(1+'Assumptions'!$N$95)^(7-1)</x:f>
        <x:v>167.798200470336</x:v>
      </x:c>
      <x:c r="J841" s="10" t="n">
        <x:f>H841*I841</x:f>
        <x:v>43523.27360997804</x:v>
      </x:c>
      <x:c r="K841" s="10" t="n">
        <x:f>J841*'Assumptions'!$T$95</x:f>
        <x:v>43523.27360997804</x:v>
      </x:c>
      <x:c r="L841" s="10" t="n">
        <x:f>K841*'Assumptions'!$U$95</x:f>
        <x:v>1305.698208299341</x:v>
      </x:c>
      <x:c r="M841" s="10" t="n">
        <x:f>K841*'Assumptions'!$V$95</x:f>
        <x:v>0</x:v>
      </x:c>
      <x:c r="N841" s="10" t="n">
        <x:f>K841-L841-M841</x:f>
        <x:v>42217.575401678696</x:v>
      </x:c>
      <x:c r="O841" s="10" t="n">
        <x:f>H841*'Assumptions'!$P$95*'Assumptions'!$Q$95*'Assumptions'!$D$11*(1+'Assumptions'!$D$13)^(7-1)</x:f>
        <x:v>1083.9909266771042</x:v>
      </x:c>
      <x:c r="P841" s="10" t="n">
        <x:f>H841*'Assumptions'!$R$95*'Assumptions'!$D$11*(1+'Assumptions'!$D$13)^(7-1)</x:f>
        <x:v>2477.693546690524</x:v>
      </x:c>
      <x:c r="Q841" s="10" t="n">
        <x:f>J841*'Assumptions'!$S$95</x:f>
        <x:v>28290.127846485724</x:v>
      </x:c>
      <x:c r="R841" s="10" t="n">
        <x:f>H841*'Assumptions'!$Y$95*'Assumptions'!$Z$95*'Assumptions'!$D$11*(1+'Assumptions'!$D$13)^(7-1)</x:f>
        <x:v>1858.270160017893</x:v>
      </x:c>
      <x:c r="S841" s="10" t="n">
        <x:f>IF(I841=0,0,J841*'Assumptions'!$W$95+H841*'Assumptions'!$X$95)</x:f>
        <x:v>1339.9885348733633</x:v>
      </x:c>
      <x:c r="T841" s="10" t="n">
        <x:f>N841*'Assumptions'!$AA$95</x:f>
        <x:v>1688.703016067148</x:v>
      </x:c>
      <x:c r="U841" s="10" t="n">
        <x:f>'Assumptions'!$AE$95*'Assumptions'!$D$11*(1+'Assumptions'!$D$13)^(7-1)</x:f>
        <x:v>0</x:v>
      </x:c>
      <x:c r="V841" s="10" t="n">
        <x:f>0</x:f>
        <x:v>0</x:v>
      </x:c>
      <x:c r="W841" s="10" t="n">
        <x:f>H841*('Assumptions'!$P$95+'Assumptions'!$Y$95)</x:f>
        <x:v>77.81360018400002</x:v>
      </x:c>
      <x:c r="X841" s="10" t="n">
        <x:f>N841/12*'Assumptions'!$AF$95</x:f>
        <x:v>0</x:v>
      </x:c>
      <x:c r="Y841" s="10" t="n">
        <x:f>P841/12</x:f>
        <x:v>206.47446222421033</x:v>
      </x:c>
      <x:c r="Z841" s="10" t="n">
        <x:f>0</x:f>
        <x:v>0</x:v>
      </x:c>
      <x:c r="AA841" s="10" t="n">
        <x:f>Z841*'Assumptions'!$AC$95*'Assumptions'!$D$11*(1+'Assumptions'!$D$13)^(7-1)</x:f>
        <x:v>0</x:v>
      </x:c>
      <x:c r="AB841" s="10" t="n">
        <x:f>F841/1</x:f>
        <x:v>111.83498568000002</x:v>
      </x:c>
      <x:c r="AC841" s="10" t="n">
        <x:f>AB841/'Assumptions'!$AM$95</x:f>
        <x:v>745.5665712000001</x:v>
      </x:c>
      <x:c r="AD841" s="10" t="n">
        <x:f>IF(AB841=0,0,T841/AB841)</x:f>
        <x:v>15.099952897558664</x:v>
      </x:c>
      <x:c r="AE841" s="10" t="n">
        <x:f>AA841*'Assumptions'!$D$21</x:f>
        <x:v>0</x:v>
      </x:c>
    </x:row>
    <x:row r="842" ht="16" customHeight="1">
      <x:c r="A842" s="1"/>
      <x:c r="B842" s="1"/>
      <x:c r="C842" s="1" t="str">
        <x:v>DOT-067</x:v>
      </x:c>
      <x:c r="D842" s="10" t="str">
        <x:v>S’otality cleaning</x:v>
      </x:c>
      <x:c r="E842" s="10" t="n">
        <x:v>7</x:v>
      </x:c>
      <x:c r="F842" s="21" t="n">
        <x:f>F714*(1+'Assumptions'!$M$96)</x:f>
        <x:v>49.704438080000024</x:v>
      </x:c>
      <x:c r="G842" s="21" t="n">
        <x:f>H714*'Assumptions'!$K$96</x:f>
        <x:v>65.57496960000002</x:v>
      </x:c>
      <x:c r="H842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842+G842,NA())</x:f>
        <x:v>115.27940768000005</x:v>
      </x:c>
      <x:c r="I842" s="22" t="n">
        <x:f>'Assumptions'!$H$96*IF('Assumptions'!$O$96=1,1,'Assumptions'!$D$10)*(1+'Assumptions'!$N$96)^(7-1)</x:f>
        <x:v>224.106321433536</x:v>
      </x:c>
      <x:c r="J842" s="10" t="n">
        <x:f>H842*I842</x:f>
        <x:v>25834.84399220173</x:v>
      </x:c>
      <x:c r="K842" s="10" t="n">
        <x:f>J842*'Assumptions'!$T$96</x:f>
        <x:v>25834.84399220173</x:v>
      </x:c>
      <x:c r="L842" s="10" t="n">
        <x:f>K842*'Assumptions'!$U$96</x:f>
        <x:v>775.0453197660519</x:v>
      </x:c>
      <x:c r="M842" s="10" t="n">
        <x:f>K842*'Assumptions'!$V$96</x:f>
        <x:v>0</x:v>
      </x:c>
      <x:c r="N842" s="10" t="n">
        <x:f>K842-L842-M842</x:f>
        <x:v>25059.798672435678</x:v>
      </x:c>
      <x:c r="O842" s="10" t="n">
        <x:f>H842*'Assumptions'!$P$96*'Assumptions'!$Q$96*'Assumptions'!$D$11*(1+'Assumptions'!$D$13)^(7-1)</x:f>
        <x:v>481.77374518982424</x:v>
      </x:c>
      <x:c r="P842" s="10" t="n">
        <x:f>H842*'Assumptions'!$R$96*'Assumptions'!$D$11*(1+'Assumptions'!$D$13)^(7-1)</x:f>
        <x:v>1101.1971318624553</x:v>
      </x:c>
      <x:c r="Q842" s="10" t="n">
        <x:f>J842*'Assumptions'!$S$96</x:f>
        <x:v>16792.648594931125</x:v>
      </x:c>
      <x:c r="R842" s="10" t="n">
        <x:f>H842*'Assumptions'!$Y$96*'Assumptions'!$Z$96*'Assumptions'!$D$11*(1+'Assumptions'!$D$13)^(7-1)</x:f>
        <x:v>825.8978488968415</x:v>
      </x:c>
      <x:c r="S842" s="10" t="n">
        <x:f>IF(I842=0,0,J842*'Assumptions'!$W$96+H842*'Assumptions'!$X$96)</x:f>
        <x:v>783.7942980778503</x:v>
      </x:c>
      <x:c r="T842" s="10" t="n">
        <x:f>N842*'Assumptions'!$AA$96</x:f>
        <x:v>1002.3919468974271</x:v>
      </x:c>
      <x:c r="U842" s="10" t="n">
        <x:f>'Assumptions'!$AE$96*'Assumptions'!$D$11*(1+'Assumptions'!$D$13)^(7-1)</x:f>
        <x:v>0</x:v>
      </x:c>
      <x:c r="V842" s="10" t="n">
        <x:f>0</x:f>
        <x:v>0</x:v>
      </x:c>
      <x:c r="W842" s="10" t="n">
        <x:f>H842*('Assumptions'!$P$96+'Assumptions'!$Y$96)</x:f>
        <x:v>34.58382230400002</x:v>
      </x:c>
      <x:c r="X842" s="10" t="n">
        <x:f>N842/12*'Assumptions'!$AF$96</x:f>
        <x:v>0</x:v>
      </x:c>
      <x:c r="Y842" s="10" t="n">
        <x:f>P842/12</x:f>
        <x:v>91.76642765520461</x:v>
      </x:c>
      <x:c r="Z842" s="10" t="n">
        <x:f>0</x:f>
        <x:v>0</x:v>
      </x:c>
      <x:c r="AA842" s="10" t="n">
        <x:f>Z842*'Assumptions'!$AC$96*'Assumptions'!$D$11*(1+'Assumptions'!$D$13)^(7-1)</x:f>
        <x:v>0</x:v>
      </x:c>
      <x:c r="AB842" s="10" t="n">
        <x:f>F842/1</x:f>
        <x:v>49.704438080000024</x:v>
      </x:c>
      <x:c r="AC842" s="10" t="n">
        <x:f>AB842/'Assumptions'!$AM$96</x:f>
        <x:v>331.3629205333335</x:v>
      </x:c>
      <x:c r="AD842" s="10" t="n">
        <x:f>IF(AB842=0,0,T842/AB842)</x:f>
        <x:v>20.16705118533002</x:v>
      </x:c>
      <x:c r="AE842" s="10" t="n">
        <x:f>AA842*'Assumptions'!$D$21</x:f>
        <x:v>0</x:v>
      </x:c>
    </x:row>
    <x:row r="843" ht="16" customHeight="1">
      <x:c r="A843" s="1"/>
      <x:c r="B843" s="1"/>
      <x:c r="C843" s="1" t="str">
        <x:v>DOT-068</x:v>
      </x:c>
      <x:c r="D843" s="10" t="str">
        <x:v>S’otality cleaning</x:v>
      </x:c>
      <x:c r="E843" s="10" t="n">
        <x:v>7</x:v>
      </x:c>
      <x:c r="F843" s="21" t="n">
        <x:f>F715*(1+'Assumptions'!$M$97)</x:f>
        <x:v>74.55665712000003</x:v>
      </x:c>
      <x:c r="G843" s="21" t="n">
        <x:f>H715*'Assumptions'!$K$97</x:f>
        <x:v>98.36245440000003</x:v>
      </x:c>
      <x:c r="H843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843+G843,NA())</x:f>
        <x:v>172.91911152000006</x:v>
      </x:c>
      <x:c r="I843" s="22" t="n">
        <x:f>'Assumptions'!$H$97*IF('Assumptions'!$O$97=1,1,'Assumptions'!$D$10)*(1+'Assumptions'!$N$97)^(7-1)</x:f>
        <x:v>212.844697240896</x:v>
      </x:c>
      <x:c r="J843" s="10" t="n">
        <x:f>H843*I843</x:f>
        <x:v>36804.91593863915</x:v>
      </x:c>
      <x:c r="K843" s="10" t="n">
        <x:f>J843*'Assumptions'!$T$97</x:f>
        <x:v>36804.91593863915</x:v>
      </x:c>
      <x:c r="L843" s="10" t="n">
        <x:f>K843*'Assumptions'!$U$97</x:f>
        <x:v>1104.1474781591744</x:v>
      </x:c>
      <x:c r="M843" s="10" t="n">
        <x:f>K843*'Assumptions'!$V$97</x:f>
        <x:v>0</x:v>
      </x:c>
      <x:c r="N843" s="10" t="n">
        <x:f>K843-L843-M843</x:f>
        <x:v>35700.76846047997</x:v>
      </x:c>
      <x:c r="O843" s="10" t="n">
        <x:f>H843*'Assumptions'!$P$97*'Assumptions'!$Q$97*'Assumptions'!$D$11*(1+'Assumptions'!$D$13)^(7-1)</x:f>
        <x:v>722.6606177847364</x:v>
      </x:c>
      <x:c r="P843" s="10" t="n">
        <x:f>H843*'Assumptions'!$R$97*'Assumptions'!$D$11*(1+'Assumptions'!$D$13)^(7-1)</x:f>
        <x:v>1651.7956977936828</x:v>
      </x:c>
      <x:c r="Q843" s="10" t="n">
        <x:f>J843*'Assumptions'!$S$97</x:f>
        <x:v>23923.195360115446</x:v>
      </x:c>
      <x:c r="R843" s="10" t="n">
        <x:f>H843*'Assumptions'!$Y$97*'Assumptions'!$Z$97*'Assumptions'!$D$11*(1+'Assumptions'!$D$13)^(7-1)</x:f>
        <x:v>1238.8467733452624</x:v>
      </x:c>
      <x:c r="S843" s="10" t="n">
        <x:f>IF(I843=0,0,J843*'Assumptions'!$W$97+H843*'Assumptions'!$X$97)</x:f>
        <x:v>1119.2182956765353</x:v>
      </x:c>
      <x:c r="T843" s="10" t="n">
        <x:f>N843*'Assumptions'!$AA$97</x:f>
        <x:v>1428.030738419199</x:v>
      </x:c>
      <x:c r="U843" s="10" t="n">
        <x:f>'Assumptions'!$AE$97*'Assumptions'!$D$11*(1+'Assumptions'!$D$13)^(7-1)</x:f>
        <x:v>0</x:v>
      </x:c>
      <x:c r="V843" s="10" t="n">
        <x:f>0</x:f>
        <x:v>0</x:v>
      </x:c>
      <x:c r="W843" s="10" t="n">
        <x:f>H843*('Assumptions'!$P$97+'Assumptions'!$Y$97)</x:f>
        <x:v>51.87573345600003</x:v>
      </x:c>
      <x:c r="X843" s="10" t="n">
        <x:f>N843/12*'Assumptions'!$AF$97</x:f>
        <x:v>0</x:v>
      </x:c>
      <x:c r="Y843" s="10" t="n">
        <x:f>P843/12</x:f>
        <x:v>137.6496414828069</x:v>
      </x:c>
      <x:c r="Z843" s="10" t="n">
        <x:f>0</x:f>
        <x:v>0</x:v>
      </x:c>
      <x:c r="AA843" s="10" t="n">
        <x:f>Z843*'Assumptions'!$AC$97*'Assumptions'!$D$11*(1+'Assumptions'!$D$13)^(7-1)</x:f>
        <x:v>0</x:v>
      </x:c>
      <x:c r="AB843" s="10" t="n">
        <x:f>F843/1</x:f>
        <x:v>74.55665712000003</x:v>
      </x:c>
      <x:c r="AC843" s="10" t="n">
        <x:f>AB843/'Assumptions'!$AM$97</x:f>
        <x:v>497.04438080000017</x:v>
      </x:c>
      <x:c r="AD843" s="10" t="n">
        <x:f>IF(AB843=0,0,T843/AB843)</x:f>
        <x:v>19.15363152777575</x:v>
      </x:c>
      <x:c r="AE843" s="10" t="n">
        <x:f>AA843*'Assumptions'!$D$21</x:f>
        <x:v>0</x:v>
      </x:c>
    </x:row>
    <x:row r="844" ht="16" customHeight="1">
      <x:c r="A844" s="1"/>
      <x:c r="B844" s="1"/>
      <x:c r="C844" s="1" t="str">
        <x:v>DOT-069</x:v>
      </x:c>
      <x:c r="D844" s="10" t="str">
        <x:v>S’otality cleaning</x:v>
      </x:c>
      <x:c r="E844" s="10" t="n">
        <x:v>7</x:v>
      </x:c>
      <x:c r="F844" s="21" t="n">
        <x:f>F716*(1+'Assumptions'!$M$98)</x:f>
        <x:v>24.852219040000012</x:v>
      </x:c>
      <x:c r="G844" s="21" t="n">
        <x:f>H716*'Assumptions'!$K$98</x:f>
        <x:v>32.78748480000001</x:v>
      </x:c>
      <x:c r="H844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844+G844,NA())</x:f>
        <x:v>57.639703840000024</x:v>
      </x:c>
      <x:c r="I844" s="22" t="n">
        <x:f>'Assumptions'!$H$98*IF('Assumptions'!$O$98=1,1,'Assumptions'!$D$10)*(1+'Assumptions'!$N$98)^(7-1)</x:f>
        <x:v>336.72256335993603</x:v>
      </x:c>
      <x:c r="J844" s="10" t="n">
        <x:f>H844*I844</x:f>
        <x:v>19408.588828312357</x:v>
      </x:c>
      <x:c r="K844" s="10" t="n">
        <x:f>J844*'Assumptions'!$T$98</x:f>
        <x:v>19408.588828312357</x:v>
      </x:c>
      <x:c r="L844" s="10" t="n">
        <x:f>K844*'Assumptions'!$U$98</x:f>
        <x:v>582.2576648493707</x:v>
      </x:c>
      <x:c r="M844" s="10" t="n">
        <x:f>K844*'Assumptions'!$V$98</x:f>
        <x:v>0</x:v>
      </x:c>
      <x:c r="N844" s="10" t="n">
        <x:f>K844-L844-M844</x:f>
        <x:v>18826.331163462986</x:v>
      </x:c>
      <x:c r="O844" s="10" t="n">
        <x:f>H844*'Assumptions'!$P$98*'Assumptions'!$Q$98*'Assumptions'!$D$11*(1+'Assumptions'!$D$13)^(7-1)</x:f>
        <x:v>240.88687259491212</x:v>
      </x:c>
      <x:c r="P844" s="10" t="n">
        <x:f>H844*'Assumptions'!$R$98*'Assumptions'!$D$11*(1+'Assumptions'!$D$13)^(7-1)</x:f>
        <x:v>550.5985659312277</x:v>
      </x:c>
      <x:c r="Q844" s="10" t="n">
        <x:f>J844*'Assumptions'!$S$98</x:f>
        <x:v>12615.582738403033</x:v>
      </x:c>
      <x:c r="R844" s="10" t="n">
        <x:f>H844*'Assumptions'!$Y$98*'Assumptions'!$Z$98*'Assumptions'!$D$11*(1+'Assumptions'!$D$13)^(7-1)</x:f>
        <x:v>412.94892444842077</x:v>
      </x:c>
      <x:c r="S844" s="10" t="n">
        <x:f>IF(I844=0,0,J844*'Assumptions'!$W$98+H844*'Assumptions'!$X$98)</x:f>
        <x:v>580.1409871730584</x:v>
      </x:c>
      <x:c r="T844" s="10" t="n">
        <x:f>N844*'Assumptions'!$AA$98</x:f>
        <x:v>753.0532465385195</x:v>
      </x:c>
      <x:c r="U844" s="10" t="n">
        <x:f>'Assumptions'!$AE$98*'Assumptions'!$D$11*(1+'Assumptions'!$D$13)^(7-1)</x:f>
        <x:v>0</x:v>
      </x:c>
      <x:c r="V844" s="10" t="n">
        <x:f>0</x:f>
        <x:v>0</x:v>
      </x:c>
      <x:c r="W844" s="10" t="n">
        <x:f>H844*('Assumptions'!$P$98+'Assumptions'!$Y$98)</x:f>
        <x:v>17.29191115200001</x:v>
      </x:c>
      <x:c r="X844" s="10" t="n">
        <x:f>N844/12*'Assumptions'!$AF$98</x:f>
        <x:v>0</x:v>
      </x:c>
      <x:c r="Y844" s="10" t="n">
        <x:f>P844/12</x:f>
        <x:v>45.883213827602304</x:v>
      </x:c>
      <x:c r="Z844" s="10" t="n">
        <x:f>0</x:f>
        <x:v>0</x:v>
      </x:c>
      <x:c r="AA844" s="10" t="n">
        <x:f>Z844*'Assumptions'!$AC$98*'Assumptions'!$D$11*(1+'Assumptions'!$D$13)^(7-1)</x:f>
        <x:v>0</x:v>
      </x:c>
      <x:c r="AB844" s="10" t="n">
        <x:f>F844/1</x:f>
        <x:v>24.852219040000012</x:v>
      </x:c>
      <x:c r="AC844" s="10" t="n">
        <x:f>AB844/'Assumptions'!$AM$98</x:f>
        <x:v>165.68146026666676</x:v>
      </x:c>
      <x:c r="AD844" s="10" t="n">
        <x:f>IF(AB844=0,0,T844/AB844)</x:f>
        <x:v>30.30124776087275</x:v>
      </x:c>
      <x:c r="AE844" s="10" t="n">
        <x:f>AA844*'Assumptions'!$D$21</x:f>
        <x:v>0</x:v>
      </x:c>
    </x:row>
    <x:row r="845" ht="16" customHeight="1">
      <x:c r="A845" s="1"/>
      <x:c r="B845" s="1"/>
      <x:c r="C845" s="1" t="str">
        <x:v>DOT-070</x:v>
      </x:c>
      <x:c r="D845" s="10" t="str">
        <x:v>S’otality laundry</x:v>
      </x:c>
      <x:c r="E845" s="10" t="n">
        <x:v>7</x:v>
      </x:c>
      <x:c r="F845" s="21" t="n">
        <x:f>F717*(1+'Assumptions'!$M$99)</x:f>
        <x:v>223.66997136000003</x:v>
      </x:c>
      <x:c r="G845" s="21" t="n">
        <x:f>H717*'Assumptions'!$K$99</x:f>
        <x:v>295.0873632</x:v>
      </x:c>
      <x:c r="H845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845+G845,NA())</x:f>
        <x:v>518.7573345600001</x:v>
      </x:c>
      <x:c r="I845" s="22" t="n">
        <x:f>'Assumptions'!$H$99*IF('Assumptions'!$O$99=1,1,'Assumptions'!$D$10)*(1+'Assumptions'!$N$99)^(7-1)</x:f>
        <x:v>67.56974515584001</x:v>
      </x:c>
      <x:c r="J845" s="10" t="n">
        <x:f>H845*I845</x:f>
        <x:v>35052.30089394205</x:v>
      </x:c>
      <x:c r="K845" s="10" t="n">
        <x:f>J845*'Assumptions'!$T$99</x:f>
        <x:v>35052.30089394205</x:v>
      </x:c>
      <x:c r="L845" s="10" t="n">
        <x:f>K845*'Assumptions'!$U$99</x:f>
        <x:v>1051.5690268182614</x:v>
      </x:c>
      <x:c r="M845" s="10" t="n">
        <x:f>K845*'Assumptions'!$V$99</x:f>
        <x:v>0</x:v>
      </x:c>
      <x:c r="N845" s="10" t="n">
        <x:f>K845-L845-M845</x:f>
        <x:v>34000.73186712379</x:v>
      </x:c>
      <x:c r="O845" s="10" t="n">
        <x:f>H845*'Assumptions'!$P$99*'Assumptions'!$Q$99*'Assumptions'!$D$11*(1+'Assumptions'!$D$13)^(7-1)</x:f>
        <x:v>2167.9818533542084</x:v>
      </x:c>
      <x:c r="P845" s="10" t="n">
        <x:f>H845*'Assumptions'!$R$99*'Assumptions'!$D$11*(1+'Assumptions'!$D$13)^(7-1)</x:f>
        <x:v>0</x:v>
      </x:c>
      <x:c r="Q845" s="10" t="n">
        <x:f>J845*'Assumptions'!$S$99</x:f>
        <x:v>22783.995581062332</x:v>
      </x:c>
      <x:c r="R845" s="10" t="n">
        <x:f>H845*'Assumptions'!$Y$99*'Assumptions'!$Z$99*'Assumptions'!$D$11*(1+'Assumptions'!$D$13)^(7-1)</x:f>
        <x:v>3716.540320035786</x:v>
      </x:c>
      <x:c r="S845" s="10" t="n">
        <x:f>IF(I845=0,0,J845*'Assumptions'!$W$99+H845*'Assumptions'!$X$99)</x:f>
        <x:v>1172.1439262923195</x:v>
      </x:c>
      <x:c r="T845" s="10" t="n">
        <x:f>N845*'Assumptions'!$AA$99</x:f>
        <x:v>1360.0292746849516</x:v>
      </x:c>
      <x:c r="U845" s="10" t="n">
        <x:f>'Assumptions'!$AE$99*'Assumptions'!$D$11*(1+'Assumptions'!$D$13)^(7-1)</x:f>
        <x:v>0</x:v>
      </x:c>
      <x:c r="V845" s="10" t="n">
        <x:f>0</x:f>
        <x:v>0</x:v>
      </x:c>
      <x:c r="W845" s="10" t="n">
        <x:f>H845*('Assumptions'!$P$99+'Assumptions'!$Y$99)</x:f>
        <x:v>155.62720036800005</x:v>
      </x:c>
      <x:c r="X845" s="10" t="n">
        <x:f>N845/12*'Assumptions'!$AF$99</x:f>
        <x:v>0</x:v>
      </x:c>
      <x:c r="Y845" s="10" t="n">
        <x:f>P845/12</x:f>
        <x:v>0</x:v>
      </x:c>
      <x:c r="Z845" s="10" t="n">
        <x:f>0</x:f>
        <x:v>0</x:v>
      </x:c>
      <x:c r="AA845" s="10" t="n">
        <x:f>Z845*'Assumptions'!$AC$99*'Assumptions'!$D$11*(1+'Assumptions'!$D$13)^(7-1)</x:f>
        <x:v>0</x:v>
      </x:c>
      <x:c r="AB845" s="10" t="n">
        <x:f>F845/1</x:f>
        <x:v>223.66997136000003</x:v>
      </x:c>
      <x:c r="AC845" s="10" t="n">
        <x:f>AB845/'Assumptions'!$AM$99</x:f>
        <x:v>1491.1331424000002</x:v>
      </x:c>
      <x:c r="AD845" s="10" t="n">
        <x:f>IF(AB845=0,0,T845/AB845)</x:f>
        <x:v>6.080517945325638</x:v>
      </x:c>
      <x:c r="AE845" s="10" t="n">
        <x:f>AA845*'Assumptions'!$D$21</x:f>
        <x:v>0</x:v>
      </x:c>
    </x:row>
    <x:row r="846" ht="16" customHeight="1">
      <x:c r="A846" s="1"/>
      <x:c r="B846" s="1"/>
      <x:c r="C846" s="1" t="str">
        <x:v>DOT-071</x:v>
      </x:c>
      <x:c r="D846" s="10" t="str">
        <x:v>S’otality Personal Chef</x:v>
      </x:c>
      <x:c r="E846" s="10" t="n">
        <x:v>7</x:v>
      </x:c>
      <x:c r="F846" s="21" t="n">
        <x:f>F718*(1+'Assumptions'!$M$100)</x:f>
        <x:v>37.27832856000001</x:v>
      </x:c>
      <x:c r="G846" s="21" t="n">
        <x:f>H718*'Assumptions'!$K$100</x:f>
        <x:v>48.48138720000001</x:v>
      </x:c>
      <x:c r="H846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846+G846,NA())</x:f>
        <x:v>85.75971576000002</x:v>
      </x:c>
      <x:c r="I846" s="22" t="n">
        <x:f>'Assumptions'!$H$100*IF('Assumptions'!$O$100=1,1,'Assumptions'!$D$10)*(1+'Assumptions'!$N$100)^(7-1)</x:f>
        <x:v>732.0055725216</x:v>
      </x:c>
      <x:c r="J846" s="10" t="n">
        <x:f>H846*I846</x:f>
        <x:v>62776.5898341885</x:v>
      </x:c>
      <x:c r="K846" s="10" t="n">
        <x:f>J846*'Assumptions'!$T$100</x:f>
        <x:v>62776.5898341885</x:v>
      </x:c>
      <x:c r="L846" s="10" t="n">
        <x:f>K846*'Assumptions'!$U$100</x:f>
        <x:v>1883.2976950256548</x:v>
      </x:c>
      <x:c r="M846" s="10" t="n">
        <x:f>K846*'Assumptions'!$V$100</x:f>
        <x:v>0</x:v>
      </x:c>
      <x:c r="N846" s="10" t="n">
        <x:f>K846-L846-M846</x:f>
        <x:v>60893.29213916284</x:v>
      </x:c>
      <x:c r="O846" s="10" t="n">
        <x:f>H846*'Assumptions'!$P$100*'Assumptions'!$Q$100*'Assumptions'!$D$11*(1+'Assumptions'!$D$13)^(7-1)</x:f>
        <x:v>2048.0317110580463</x:v>
      </x:c>
      <x:c r="P846" s="10" t="n">
        <x:f>H846*'Assumptions'!$R$100*'Assumptions'!$D$11*(1+'Assumptions'!$D$13)^(7-1)</x:f>
        <x:v>10240.15855529023</x:v>
      </x:c>
      <x:c r="Q846" s="10" t="n">
        <x:f>J846*'Assumptions'!$S$100</x:f>
        <x:v>31388.29491709425</x:v>
      </x:c>
      <x:c r="R846" s="10" t="n">
        <x:f>H846*'Assumptions'!$Y$100*'Assumptions'!$Z$100*'Assumptions'!$D$11*(1+'Assumptions'!$D$13)^(7-1)</x:f>
        <x:v>614.4095133174139</x:v>
      </x:c>
      <x:c r="S846" s="10" t="n">
        <x:f>IF(I846=0,0,J846*'Assumptions'!$W$100+H846*'Assumptions'!$X$100)</x:f>
        <x:v>1846.2490199194665</x:v>
      </x:c>
      <x:c r="T846" s="10" t="n">
        <x:f>N846*'Assumptions'!$AA$100</x:f>
        <x:v>2435.7316855665135</x:v>
      </x:c>
      <x:c r="U846" s="10" t="n">
        <x:f>'Assumptions'!$AE$100*'Assumptions'!$D$11*(1+'Assumptions'!$D$13)^(7-1)</x:f>
        <x:v>0</x:v>
      </x:c>
      <x:c r="V846" s="10" t="n">
        <x:f>0</x:f>
        <x:v>0</x:v>
      </x:c>
      <x:c r="W846" s="10" t="n">
        <x:f>H846*('Assumptions'!$P$100+'Assumptions'!$Y$100)</x:f>
        <x:v>60.03180103200001</x:v>
      </x:c>
      <x:c r="X846" s="10" t="n">
        <x:f>N846/12*'Assumptions'!$AF$100</x:f>
        <x:v>0</x:v>
      </x:c>
      <x:c r="Y846" s="10" t="n">
        <x:f>P846/12</x:f>
        <x:v>853.3465462741859</x:v>
      </x:c>
      <x:c r="Z846" s="10" t="n">
        <x:f>0</x:f>
        <x:v>0</x:v>
      </x:c>
      <x:c r="AA846" s="10" t="n">
        <x:f>Z846*'Assumptions'!$AC$100*'Assumptions'!$D$11*(1+'Assumptions'!$D$13)^(7-1)</x:f>
        <x:v>0</x:v>
      </x:c>
      <x:c r="AB846" s="10" t="n">
        <x:f>F846/1</x:f>
        <x:v>37.27832856000001</x:v>
      </x:c>
      <x:c r="AC846" s="10" t="n">
        <x:f>AB846/'Assumptions'!$AM$100</x:f>
        <x:v>248.52219040000008</x:v>
      </x:c>
      <x:c r="AD846" s="10" t="n">
        <x:f>IF(AB846=0,0,T846/AB846)</x:f>
        <x:v>65.33907982612922</x:v>
      </x:c>
      <x:c r="AE846" s="10" t="n">
        <x:f>AA846*'Assumptions'!$D$21</x:f>
        <x:v>0</x:v>
      </x:c>
    </x:row>
    <x:row r="847" ht="16" customHeight="1">
      <x:c r="A847" s="1"/>
      <x:c r="B847" s="1"/>
      <x:c r="C847" s="1" t="str">
        <x:v>DOT-072</x:v>
      </x:c>
      <x:c r="D847" s="10" t="str">
        <x:v>S’otality interiors</x:v>
      </x:c>
      <x:c r="E847" s="10" t="n">
        <x:v>7</x:v>
      </x:c>
      <x:c r="F847" s="21" t="n">
        <x:f>F719*(1+'Assumptions'!$M$101)</x:f>
        <x:v>13.979373210000002</x:v>
      </x:c>
      <x:c r="G847" s="21" t="n">
        <x:f>H719*'Assumptions'!$K$101</x:f>
        <x:v>12.778641000000002</x:v>
      </x:c>
      <x:c r="H847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847+G847,NA())</x:f>
        <x:v>26.758014210000006</x:v>
      </x:c>
      <x:c r="I847" s="22" t="n">
        <x:f>'Assumptions'!$H$101*IF('Assumptions'!$O$101=1,1,'Assumptions'!$D$10)*(1+'Assumptions'!$N$101)^(7-1)</x:f>
        <x:v>1689.243628896</x:v>
      </x:c>
      <x:c r="J847" s="10" t="n">
        <x:f>H847*I847</x:f>
        <x:v>45200.805026151145</x:v>
      </x:c>
      <x:c r="K847" s="10" t="n">
        <x:f>J847*'Assumptions'!$T$101</x:f>
        <x:v>45200.805026151145</x:v>
      </x:c>
      <x:c r="L847" s="10" t="n">
        <x:f>K847*'Assumptions'!$U$101</x:f>
        <x:v>1356.0241507845344</x:v>
      </x:c>
      <x:c r="M847" s="10" t="n">
        <x:f>K847*'Assumptions'!$V$101</x:f>
        <x:v>0</x:v>
      </x:c>
      <x:c r="N847" s="10" t="n">
        <x:f>K847-L847-M847</x:f>
        <x:v>43844.78087536661</x:v>
      </x:c>
      <x:c r="O847" s="10" t="n">
        <x:f>H847*'Assumptions'!$P$101*'Assumptions'!$Q$101*'Assumptions'!$D$11*(1+'Assumptions'!$D$13)^(7-1)</x:f>
        <x:v>17572.757574903368</x:v>
      </x:c>
      <x:c r="P847" s="10" t="n">
        <x:f>H847*'Assumptions'!$R$101*'Assumptions'!$D$11*(1+'Assumptions'!$D$13)^(7-1)</x:f>
        <x:v>1597.5234159003064</x:v>
      </x:c>
      <x:c r="Q847" s="10" t="n">
        <x:f>J847*'Assumptions'!$S$101</x:f>
        <x:v>0</x:v>
      </x:c>
      <x:c r="R847" s="10" t="n">
        <x:f>H847*'Assumptions'!$Y$101*'Assumptions'!$Z$101*'Assumptions'!$D$11*(1+'Assumptions'!$D$13)^(7-1)</x:f>
        <x:v>239.62851238504595</x:v>
      </x:c>
      <x:c r="S847" s="10" t="n">
        <x:f>IF(I847=0,0,J847*'Assumptions'!$W$101+H847*'Assumptions'!$X$101)</x:f>
        <x:v>1318.8507500213834</x:v>
      </x:c>
      <x:c r="T847" s="10" t="n">
        <x:f>N847*'Assumptions'!$AA$101</x:f>
        <x:v>1753.7912350146644</x:v>
      </x:c>
      <x:c r="U847" s="10" t="n">
        <x:f>'Assumptions'!$AE$101*'Assumptions'!$D$11*(1+'Assumptions'!$D$13)^(7-1)</x:f>
        <x:v>0</x:v>
      </x:c>
      <x:c r="V847" s="10" t="n">
        <x:f>0</x:f>
        <x:v>0</x:v>
      </x:c>
      <x:c r="W847" s="10" t="n">
        <x:f>H847*('Assumptions'!$P$101+'Assumptions'!$Y$101)</x:f>
        <x:v>274.26964565250006</x:v>
      </x:c>
      <x:c r="X847" s="10" t="n">
        <x:f>N847/12*'Assumptions'!$AF$101</x:f>
        <x:v>3653.731739613884</x:v>
      </x:c>
      <x:c r="Y847" s="10" t="n">
        <x:f>P847/12</x:f>
        <x:v>133.12695132502554</x:v>
      </x:c>
      <x:c r="Z847" s="10" t="n">
        <x:f>0</x:f>
        <x:v>0</x:v>
      </x:c>
      <x:c r="AA847" s="10" t="n">
        <x:f>Z847*'Assumptions'!$AC$101*'Assumptions'!$D$11*(1+'Assumptions'!$D$13)^(7-1)</x:f>
        <x:v>0</x:v>
      </x:c>
      <x:c r="AB847" s="10" t="n">
        <x:f>F847/1</x:f>
        <x:v>13.979373210000002</x:v>
      </x:c>
      <x:c r="AC847" s="10" t="n">
        <x:f>AB847/'Assumptions'!$AM$101</x:f>
        <x:v>69.89686605</x:v>
      </x:c>
      <x:c r="AD847" s="10" t="n">
        <x:f>IF(AB847=0,0,T847/AB847)</x:f>
        <x:v>125.45564158485358</x:v>
      </x:c>
      <x:c r="AE847" s="10" t="n">
        <x:f>AA847*'Assumptions'!$D$21</x:f>
        <x:v>0</x:v>
      </x:c>
    </x:row>
    <x:row r="848" ht="16" customHeight="1">
      <x:c r="A848" s="1"/>
      <x:c r="B848" s="1"/>
      <x:c r="C848" s="1" t="str">
        <x:v>DOT-073</x:v>
      </x:c>
      <x:c r="D848" s="10" t="str">
        <x:v>S’otality interiors</x:v>
      </x:c>
      <x:c r="E848" s="10" t="n">
        <x:v>7</x:v>
      </x:c>
      <x:c r="F848" s="21" t="n">
        <x:f>F720*(1+'Assumptions'!$M$102)</x:f>
        <x:v>37.27832856000001</x:v>
      </x:c>
      <x:c r="G848" s="21" t="n">
        <x:f>H720*'Assumptions'!$K$102</x:f>
        <x:v>49.181227200000016</x:v>
      </x:c>
      <x:c r="H848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848+G848,NA())</x:f>
        <x:v>86.45955576000003</x:v>
      </x:c>
      <x:c r="I848" s="22" t="n">
        <x:f>'Assumptions'!$H$102*IF('Assumptions'!$O$102=1,1,'Assumptions'!$D$10)*(1+'Assumptions'!$N$102)^(7-1)</x:f>
        <x:v>337.84872577920004</x:v>
      </x:c>
      <x:c r="J848" s="10" t="n">
        <x:f>H848*I848</x:f>
        <x:v>29210.250744951703</x:v>
      </x:c>
      <x:c r="K848" s="10" t="n">
        <x:f>J848*'Assumptions'!$T$102</x:f>
        <x:v>29210.250744951703</x:v>
      </x:c>
      <x:c r="L848" s="10" t="n">
        <x:f>K848*'Assumptions'!$U$102</x:f>
        <x:v>876.3075223485511</x:v>
      </x:c>
      <x:c r="M848" s="10" t="n">
        <x:f>K848*'Assumptions'!$V$102</x:f>
        <x:v>0</x:v>
      </x:c>
      <x:c r="N848" s="10" t="n">
        <x:f>K848-L848-M848</x:f>
        <x:v>28333.943222603153</x:v>
      </x:c>
      <x:c r="O848" s="10" t="n">
        <x:f>H848*'Assumptions'!$P$102*'Assumptions'!$Q$102*'Assumptions'!$D$11*(1+'Assumptions'!$D$13)^(7-1)</x:f>
        <x:v>903.3257722309203</x:v>
      </x:c>
      <x:c r="P848" s="10" t="n">
        <x:f>H848*'Assumptions'!$R$102*'Assumptions'!$D$11*(1+'Assumptions'!$D$13)^(7-1)</x:f>
        <x:v>0</x:v>
      </x:c>
      <x:c r="Q848" s="10" t="n">
        <x:f>J848*'Assumptions'!$S$102</x:f>
        <x:v>17526.15044697102</x:v>
      </x:c>
      <x:c r="R848" s="10" t="n">
        <x:f>H848*'Assumptions'!$Y$102*'Assumptions'!$Z$102*'Assumptions'!$D$11*(1+'Assumptions'!$D$13)^(7-1)</x:f>
        <x:v>619.4233866726312</x:v>
      </x:c>
      <x:c r="S848" s="10" t="n">
        <x:f>IF(I848=0,0,J848*'Assumptions'!$W$102+H848*'Assumptions'!$X$102)</x:f>
        <x:v>873.0351383315995</x:v>
      </x:c>
      <x:c r="T848" s="10" t="n">
        <x:f>N848*'Assumptions'!$AA$102</x:f>
        <x:v>1133.3577289041261</x:v>
      </x:c>
      <x:c r="U848" s="10" t="n">
        <x:f>'Assumptions'!$AE$102*'Assumptions'!$D$11*(1+'Assumptions'!$D$13)^(7-1)</x:f>
        <x:v>0</x:v>
      </x:c>
      <x:c r="V848" s="10" t="n">
        <x:f>0</x:f>
        <x:v>0</x:v>
      </x:c>
      <x:c r="W848" s="10" t="n">
        <x:f>H848*('Assumptions'!$P$102+'Assumptions'!$Y$102)</x:f>
        <x:v>38.90680009200001</x:v>
      </x:c>
      <x:c r="X848" s="10" t="n">
        <x:f>N848/12*'Assumptions'!$AF$102</x:f>
        <x:v>0</x:v>
      </x:c>
      <x:c r="Y848" s="10" t="n">
        <x:f>P848/12</x:f>
        <x:v>0</x:v>
      </x:c>
      <x:c r="Z848" s="10" t="n">
        <x:f>0</x:f>
        <x:v>0</x:v>
      </x:c>
      <x:c r="AA848" s="10" t="n">
        <x:f>Z848*'Assumptions'!$AC$102*'Assumptions'!$D$11*(1+'Assumptions'!$D$13)^(7-1)</x:f>
        <x:v>0</x:v>
      </x:c>
      <x:c r="AB848" s="10" t="n">
        <x:f>F848/1</x:f>
        <x:v>37.27832856000001</x:v>
      </x:c>
      <x:c r="AC848" s="10" t="n">
        <x:f>AB848/'Assumptions'!$AM$102</x:f>
        <x:v>248.52219040000008</x:v>
      </x:c>
      <x:c r="AD848" s="10" t="n">
        <x:f>IF(AB848=0,0,T848/AB848)</x:f>
        <x:v>30.402589726628175</x:v>
      </x:c>
      <x:c r="AE848" s="10" t="n">
        <x:f>AA848*'Assumptions'!$D$21</x:f>
        <x:v>0</x:v>
      </x:c>
    </x:row>
    <x:row r="849" ht="16" customHeight="1">
      <x:c r="A849" s="1"/>
      <x:c r="B849" s="1"/>
      <x:c r="C849" s="1" t="str">
        <x:v>DOT-074</x:v>
      </x:c>
      <x:c r="D849" s="10" t="str">
        <x:v>S’otality interiors</x:v>
      </x:c>
      <x:c r="E849" s="10" t="n">
        <x:v>7</x:v>
      </x:c>
      <x:c r="F849" s="21" t="n">
        <x:f>F721*(1+'Assumptions'!$M$103)</x:f>
        <x:v>15.839152128</x:v>
      </x:c>
      <x:c r="G849" s="21" t="n">
        <x:f>H721*'Assumptions'!$K$103</x:f>
        <x:v>28.406765519999993</x:v>
      </x:c>
      <x:c r="H849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849+G849,NA())</x:f>
        <x:v>44.245917647999995</x:v>
      </x:c>
      <x:c r="I849" s="22" t="n">
        <x:f>'Assumptions'!$H$103*IF('Assumptions'!$O$103=1,1,'Assumptions'!$D$10)*(1+'Assumptions'!$N$103)^(7-1)</x:f>
        <x:v>1689.243628896</x:v>
      </x:c>
      <x:c r="J849" s="10" t="n">
        <x:f>H849*I849</x:f>
        <x:v>74742.13449154109</x:v>
      </x:c>
      <x:c r="K849" s="10" t="n">
        <x:f>J849*'Assumptions'!$T$103</x:f>
        <x:v>7474.213449154109</x:v>
      </x:c>
      <x:c r="L849" s="10" t="n">
        <x:f>K849*'Assumptions'!$U$103</x:f>
        <x:v>224.22640347462325</x:v>
      </x:c>
      <x:c r="M849" s="10" t="n">
        <x:f>K849*'Assumptions'!$V$103</x:f>
        <x:v>0</x:v>
      </x:c>
      <x:c r="N849" s="10" t="n">
        <x:f>K849-L849-M849</x:f>
        <x:v>7249.987045679486</x:v>
      </x:c>
      <x:c r="O849" s="10" t="n">
        <x:f>H849*'Assumptions'!$P$103*'Assumptions'!$Q$103*'Assumptions'!$D$11*(1+'Assumptions'!$D$13)^(7-1)</x:f>
        <x:v>2113.2775831850963</x:v>
      </x:c>
      <x:c r="P849" s="10" t="n">
        <x:f>H849*'Assumptions'!$R$103*'Assumptions'!$D$11*(1+'Assumptions'!$D$13)^(7-1)</x:f>
        <x:v>0</x:v>
      </x:c>
      <x:c r="Q849" s="10" t="n">
        <x:f>J849*'Assumptions'!$S$103</x:f>
        <x:v>0</x:v>
      </x:c>
      <x:c r="R849" s="10" t="n">
        <x:f>H849*'Assumptions'!$Y$103*'Assumptions'!$Z$103*'Assumptions'!$D$11*(1+'Assumptions'!$D$13)^(7-1)</x:f>
        <x:v>237.74372810832335</x:v>
      </x:c>
      <x:c r="S849" s="10" t="n">
        <x:f>IF(I849=0,0,J849*'Assumptions'!$W$103+H849*'Assumptions'!$X$103)</x:f>
        <x:v>2180.7956755490914</x:v>
      </x:c>
      <x:c r="T849" s="10" t="n">
        <x:f>N849*'Assumptions'!$AA$103</x:f>
        <x:v>362.4993522839743</x:v>
      </x:c>
      <x:c r="U849" s="10" t="n">
        <x:f>'Assumptions'!$AE$103*'Assumptions'!$D$11*(1+'Assumptions'!$D$13)^(7-1)</x:f>
        <x:v>0</x:v>
      </x:c>
      <x:c r="V849" s="10" t="n">
        <x:f>0</x:f>
        <x:v>0</x:v>
      </x:c>
      <x:c r="W849" s="10" t="n">
        <x:f>H849*('Assumptions'!$P$103+'Assumptions'!$Y$103)</x:f>
        <x:v>50.882805295199994</x:v>
      </x:c>
      <x:c r="X849" s="10" t="n">
        <x:f>N849/12*'Assumptions'!$AF$103</x:f>
        <x:v>0</x:v>
      </x:c>
      <x:c r="Y849" s="10" t="n">
        <x:f>P849/12</x:f>
        <x:v>0</x:v>
      </x:c>
      <x:c r="Z849" s="10" t="n">
        <x:f>0</x:f>
        <x:v>0</x:v>
      </x:c>
      <x:c r="AA849" s="10" t="n">
        <x:f>Z849*'Assumptions'!$AC$103*'Assumptions'!$D$11*(1+'Assumptions'!$D$13)^(7-1)</x:f>
        <x:v>0</x:v>
      </x:c>
      <x:c r="AB849" s="10" t="n">
        <x:f>F849/1</x:f>
        <x:v>15.839152128</x:v>
      </x:c>
      <x:c r="AC849" s="10" t="n">
        <x:f>AB849/'Assumptions'!$AM$103</x:f>
        <x:v>316.78304256</x:v>
      </x:c>
      <x:c r="AD849" s="10" t="n">
        <x:f>IF(AB849=0,0,T849/AB849)</x:f>
        <x:v>22.88628515936521</x:v>
      </x:c>
      <x:c r="AE849" s="10" t="n">
        <x:f>AA849*'Assumptions'!$D$21</x:f>
        <x:v>0</x:v>
      </x:c>
    </x:row>
    <x:row r="850" ht="16" customHeight="1">
      <x:c r="A850" s="1"/>
      <x:c r="B850" s="1"/>
      <x:c r="C850" s="1" t="str">
        <x:v>DOT-075</x:v>
      </x:c>
      <x:c r="D850" s="10" t="str">
        <x:v>S’otality concierge</x:v>
      </x:c>
      <x:c r="E850" s="10" t="n">
        <x:v>7</x:v>
      </x:c>
      <x:c r="F850" s="21" t="n">
        <x:f>F722*(1+'Assumptions'!$M$104)</x:f>
        <x:v>186.39164280000003</x:v>
      </x:c>
      <x:c r="G850" s="21" t="n">
        <x:f>H722*'Assumptions'!$K$104</x:f>
        <x:v>170.38188000000002</x:v>
      </x:c>
      <x:c r="H850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850+G850,NA())</x:f>
        <x:v>356.7735228</x:v>
      </x:c>
      <x:c r="I850" s="22" t="n">
        <x:f>'Assumptions'!$H$104*IF('Assumptions'!$O$104=1,1,'Assumptions'!$D$10)*(1+'Assumptions'!$N$104)^(7-1)</x:f>
        <x:v>84.46218144480001</x:v>
      </x:c>
      <x:c r="J850" s="10" t="n">
        <x:f>H850*I850</x:f>
        <x:v>30133.870017434096</x:v>
      </x:c>
      <x:c r="K850" s="10" t="n">
        <x:f>J850*'Assumptions'!$T$104</x:f>
        <x:v>30133.870017434096</x:v>
      </x:c>
      <x:c r="L850" s="10" t="n">
        <x:f>K850*'Assumptions'!$U$104</x:f>
        <x:v>904.0161005230228</x:v>
      </x:c>
      <x:c r="M850" s="10" t="n">
        <x:f>K850*'Assumptions'!$V$104</x:f>
        <x:v>0</x:v>
      </x:c>
      <x:c r="N850" s="10" t="n">
        <x:f>K850-L850-M850</x:f>
        <x:v>29229.853916911074</x:v>
      </x:c>
      <x:c r="O850" s="10" t="n">
        <x:f>H850*'Assumptions'!$P$104*'Assumptions'!$Q$104*'Assumptions'!$D$11*(1+'Assumptions'!$D$13)^(7-1)</x:f>
        <x:v>11182.663911302143</x:v>
      </x:c>
      <x:c r="P850" s="10" t="n">
        <x:f>H850*'Assumptions'!$R$104*'Assumptions'!$D$11*(1+'Assumptions'!$D$13)^(7-1)</x:f>
        <x:v>0</x:v>
      </x:c>
      <x:c r="Q850" s="10" t="n">
        <x:f>J850*'Assumptions'!$S$104</x:f>
        <x:v>0</x:v>
      </x:c>
      <x:c r="R850" s="10" t="n">
        <x:f>H850*'Assumptions'!$Y$104*'Assumptions'!$Z$104*'Assumptions'!$D$11*(1+'Assumptions'!$D$13)^(7-1)</x:f>
        <x:v>3195.046831800612</x:v>
      </x:c>
      <x:c r="S850" s="10" t="n">
        <x:f>IF(I850=0,0,J850*'Assumptions'!$W$104+H850*'Assumptions'!$X$104)</x:f>
        <x:v>980.9142873455888</x:v>
      </x:c>
      <x:c r="T850" s="10" t="n">
        <x:f>N850*'Assumptions'!$AA$104</x:f>
        <x:v>1169.194156676443</x:v>
      </x:c>
      <x:c r="U850" s="10" t="n">
        <x:f>'Assumptions'!$AE$104*'Assumptions'!$D$11*(1+'Assumptions'!$D$13)^(7-1)</x:f>
        <x:v>0</x:v>
      </x:c>
      <x:c r="V850" s="10" t="n">
        <x:f>0</x:f>
        <x:v>0</x:v>
      </x:c>
      <x:c r="W850" s="10" t="n">
        <x:f>H850*('Assumptions'!$P$104+'Assumptions'!$Y$104)</x:f>
        <x:v>356.7735228</x:v>
      </x:c>
      <x:c r="X850" s="10" t="n">
        <x:f>N850/12*'Assumptions'!$AF$104</x:f>
        <x:v>2435.8211597425893</x:v>
      </x:c>
      <x:c r="Y850" s="10" t="n">
        <x:f>P850/12</x:f>
        <x:v>0</x:v>
      </x:c>
      <x:c r="Z850" s="10" t="n">
        <x:f>0</x:f>
        <x:v>0</x:v>
      </x:c>
      <x:c r="AA850" s="10" t="n">
        <x:f>Z850*'Assumptions'!$AC$104*'Assumptions'!$D$11*(1+'Assumptions'!$D$13)^(7-1)</x:f>
        <x:v>0</x:v>
      </x:c>
      <x:c r="AB850" s="10" t="n">
        <x:f>F850/1</x:f>
        <x:v>186.39164280000003</x:v>
      </x:c>
      <x:c r="AC850" s="10" t="n">
        <x:f>AB850/'Assumptions'!$AM$104</x:f>
        <x:v>931.9582140000001</x:v>
      </x:c>
      <x:c r="AD850" s="10" t="n">
        <x:f>IF(AB850=0,0,T850/AB850)</x:f>
        <x:v>6.27278207924268</x:v>
      </x:c>
      <x:c r="AE850" s="10" t="n">
        <x:f>AA850*'Assumptions'!$D$21</x:f>
        <x:v>0</x:v>
      </x:c>
    </x:row>
    <x:row r="851" ht="16" customHeight="1">
      <x:c r="A851" s="1"/>
      <x:c r="B851" s="1"/>
      <x:c r="C851" s="1" t="str">
        <x:v>DOT-076</x:v>
      </x:c>
      <x:c r="D851" s="10" t="str">
        <x:v>S’otality administration</x:v>
      </x:c>
      <x:c r="E851" s="10" t="n">
        <x:v>7</x:v>
      </x:c>
      <x:c r="F851" s="21" t="n">
        <x:f>F723*(1+'Assumptions'!$M$105)</x:f>
        <x:v>372.78328560000006</x:v>
      </x:c>
      <x:c r="G851" s="21" t="n">
        <x:f>H723*'Assumptions'!$K$105</x:f>
        <x:v>340.76376000000005</x:v>
      </x:c>
      <x:c r="H851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851+G851,NA())</x:f>
        <x:v>713.5470456</x:v>
      </x:c>
      <x:c r="I851" s="22" t="n">
        <x:f>'Assumptions'!$H$105*IF('Assumptions'!$O$105=1,1,'Assumptions'!$D$10)*(1+'Assumptions'!$N$105)^(7-1)</x:f>
        <x:v>67.56974515584001</x:v>
      </x:c>
      <x:c r="J851" s="10" t="n">
        <x:f>H851*I851</x:f>
        <x:v>48214.192027894554</x:v>
      </x:c>
      <x:c r="K851" s="10" t="n">
        <x:f>J851*'Assumptions'!$T$105</x:f>
        <x:v>48214.192027894554</x:v>
      </x:c>
      <x:c r="L851" s="10" t="n">
        <x:f>K851*'Assumptions'!$U$105</x:f>
        <x:v>1446.4257608368366</x:v>
      </x:c>
      <x:c r="M851" s="10" t="n">
        <x:f>K851*'Assumptions'!$V$105</x:f>
        <x:v>0</x:v>
      </x:c>
      <x:c r="N851" s="10" t="n">
        <x:f>K851-L851-M851</x:f>
        <x:v>46767.76626705772</x:v>
      </x:c>
      <x:c r="O851" s="10" t="n">
        <x:f>H851*'Assumptions'!$P$105*'Assumptions'!$Q$105*'Assumptions'!$D$11*(1+'Assumptions'!$D$13)^(7-1)</x:f>
        <x:v>25560.374654404895</x:v>
      </x:c>
      <x:c r="P851" s="10" t="n">
        <x:f>H851*'Assumptions'!$R$105*'Assumptions'!$D$11*(1+'Assumptions'!$D$13)^(7-1)</x:f>
        <x:v>0</x:v>
      </x:c>
      <x:c r="Q851" s="10" t="n">
        <x:f>J851*'Assumptions'!$S$105</x:f>
        <x:v>0</x:v>
      </x:c>
      <x:c r="R851" s="10" t="n">
        <x:f>H851*'Assumptions'!$Y$105*'Assumptions'!$Z$105*'Assumptions'!$D$11*(1+'Assumptions'!$D$13)^(7-1)</x:f>
        <x:v>6390.093663601224</x:v>
      </x:c>
      <x:c r="S851" s="10" t="n">
        <x:f>IF(I851=0,0,J851*'Assumptions'!$W$105+H851*'Assumptions'!$X$105)</x:f>
        <x:v>1612.275682488942</x:v>
      </x:c>
      <x:c r="T851" s="10" t="n">
        <x:f>N851*'Assumptions'!$AA$105</x:f>
        <x:v>1870.7106506823088</x:v>
      </x:c>
      <x:c r="U851" s="10" t="n">
        <x:f>'Assumptions'!$AE$105*'Assumptions'!$D$11*(1+'Assumptions'!$D$13)^(7-1)</x:f>
        <x:v>0</x:v>
      </x:c>
      <x:c r="V851" s="10" t="n">
        <x:f>0</x:f>
        <x:v>0</x:v>
      </x:c>
      <x:c r="W851" s="10" t="n">
        <x:f>H851*('Assumptions'!$P$105+'Assumptions'!$Y$105)</x:f>
        <x:v>891.9338070000001</x:v>
      </x:c>
      <x:c r="X851" s="10" t="n">
        <x:f>N851/12*'Assumptions'!$AF$105</x:f>
        <x:v>3897.3138555881433</x:v>
      </x:c>
      <x:c r="Y851" s="10" t="n">
        <x:f>P851/12</x:f>
        <x:v>0</x:v>
      </x:c>
      <x:c r="Z851" s="10" t="n">
        <x:f>0</x:f>
        <x:v>0</x:v>
      </x:c>
      <x:c r="AA851" s="10" t="n">
        <x:f>Z851*'Assumptions'!$AC$105*'Assumptions'!$D$11*(1+'Assumptions'!$D$13)^(7-1)</x:f>
        <x:v>0</x:v>
      </x:c>
      <x:c r="AB851" s="10" t="n">
        <x:f>F851/1</x:f>
        <x:v>372.78328560000006</x:v>
      </x:c>
      <x:c r="AC851" s="10" t="n">
        <x:f>AB851/'Assumptions'!$AM$105</x:f>
        <x:v>1863.9164280000002</x:v>
      </x:c>
      <x:c r="AD851" s="10" t="n">
        <x:f>IF(AB851=0,0,T851/AB851)</x:f>
        <x:v>5.018225663394143</x:v>
      </x:c>
      <x:c r="AE851" s="10" t="n">
        <x:f>AA851*'Assumptions'!$D$21</x:f>
        <x:v>0</x:v>
      </x:c>
    </x:row>
    <x:row r="852" ht="16" customHeight="1">
      <x:c r="A852" s="1"/>
      <x:c r="B852" s="1"/>
      <x:c r="C852" s="1" t="str">
        <x:v>DOT-077</x:v>
      </x:c>
      <x:c r="D852" s="10" t="str">
        <x:v>S’otality bike tours</x:v>
      </x:c>
      <x:c r="E852" s="10" t="n">
        <x:v>7</x:v>
      </x:c>
      <x:c r="F852" s="21" t="n">
        <x:f>F724*(1+'Assumptions'!$M$106)</x:f>
        <x:v>149.11331424000005</x:v>
      </x:c>
      <x:c r="G852" s="21" t="n">
        <x:f>H724*'Assumptions'!$K$106</x:f>
        <x:v>193.92554880000003</x:v>
      </x:c>
      <x:c r="H852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852+G852,NA())</x:f>
        <x:v>343.0388630400001</x:v>
      </x:c>
      <x:c r="I852" s="22" t="n">
        <x:f>'Assumptions'!$H$106*IF('Assumptions'!$O$106=1,1,'Assumptions'!$D$10)*(1+'Assumptions'!$N$106)^(7-1)</x:f>
        <x:v>73.20055725216001</x:v>
      </x:c>
      <x:c r="J852" s="10" t="n">
        <x:f>H852*I852</x:f>
        <x:v>25110.635933675403</x:v>
      </x:c>
      <x:c r="K852" s="10" t="n">
        <x:f>J852*'Assumptions'!$T$106</x:f>
        <x:v>25110.635933675403</x:v>
      </x:c>
      <x:c r="L852" s="10" t="n">
        <x:f>K852*'Assumptions'!$U$106</x:f>
        <x:v>753.319078010262</x:v>
      </x:c>
      <x:c r="M852" s="10" t="n">
        <x:f>K852*'Assumptions'!$V$106</x:f>
        <x:v>0</x:v>
      </x:c>
      <x:c r="N852" s="10" t="n">
        <x:f>K852-L852-M852</x:f>
        <x:v>24357.31685566514</x:v>
      </x:c>
      <x:c r="O852" s="10" t="n">
        <x:f>H852*'Assumptions'!$P$106*'Assumptions'!$Q$106*'Assumptions'!$D$11*(1+'Assumptions'!$D$13)^(7-1)</x:f>
        <x:v>2150.4332966109487</x:v>
      </x:c>
      <x:c r="P852" s="10" t="n">
        <x:f>H852*'Assumptions'!$R$106*'Assumptions'!$D$11*(1+'Assumptions'!$D$13)^(7-1)</x:f>
        <x:v>2048.0317110580463</x:v>
      </x:c>
      <x:c r="Q852" s="10" t="n">
        <x:f>J852*'Assumptions'!$S$106</x:f>
        <x:v>11299.786170153931</x:v>
      </x:c>
      <x:c r="R852" s="10" t="n">
        <x:f>H852*'Assumptions'!$Y$106*'Assumptions'!$Z$106*'Assumptions'!$D$11*(1+'Assumptions'!$D$13)^(7-1)</x:f>
        <x:v>2457.6380532696558</x:v>
      </x:c>
      <x:c r="S852" s="10" t="n">
        <x:f>IF(I852=0,0,J852*'Assumptions'!$W$106+H852*'Assumptions'!$X$106)</x:f>
        <x:v>831.1201009885867</x:v>
      </x:c>
      <x:c r="T852" s="10" t="n">
        <x:f>N852*'Assumptions'!$AA$106</x:f>
        <x:v>974.2926742266056</x:v>
      </x:c>
      <x:c r="U852" s="10" t="n">
        <x:f>'Assumptions'!$AE$106*'Assumptions'!$D$11*(1+'Assumptions'!$D$13)^(7-1)</x:f>
        <x:v>0</x:v>
      </x:c>
      <x:c r="V852" s="10" t="n">
        <x:f>0</x:f>
        <x:v>0</x:v>
      </x:c>
      <x:c r="W852" s="10" t="n">
        <x:f>H852*('Assumptions'!$P$106+'Assumptions'!$Y$106)</x:f>
        <x:v>120.06360206400002</x:v>
      </x:c>
      <x:c r="X852" s="10" t="n">
        <x:f>N852/12*'Assumptions'!$AF$106</x:f>
        <x:v>0</x:v>
      </x:c>
      <x:c r="Y852" s="10" t="n">
        <x:f>P852/12</x:f>
        <x:v>170.6693092548372</x:v>
      </x:c>
      <x:c r="Z852" s="10" t="n">
        <x:f>0</x:f>
        <x:v>0</x:v>
      </x:c>
      <x:c r="AA852" s="10" t="n">
        <x:f>Z852*'Assumptions'!$AC$106*'Assumptions'!$D$11*(1+'Assumptions'!$D$13)^(7-1)</x:f>
        <x:v>0</x:v>
      </x:c>
      <x:c r="AB852" s="10" t="n">
        <x:f>F852/1</x:f>
        <x:v>149.11331424000005</x:v>
      </x:c>
      <x:c r="AC852" s="10" t="n">
        <x:f>AB852/'Assumptions'!$AM$106</x:f>
        <x:v>994.0887616000003</x:v>
      </x:c>
      <x:c r="AD852" s="10" t="n">
        <x:f>IF(AB852=0,0,T852/AB852)</x:f>
        <x:v>6.533907982612924</x:v>
      </x:c>
      <x:c r="AE852" s="10" t="n">
        <x:f>AA852*'Assumptions'!$D$21</x:f>
        <x:v>0</x:v>
      </x:c>
    </x:row>
    <x:row r="853" ht="16" customHeight="1">
      <x:c r="A853" s="1"/>
      <x:c r="B853" s="1"/>
      <x:c r="C853" s="1" t="str">
        <x:v>DOT-078</x:v>
      </x:c>
      <x:c r="D853" s="10" t="str">
        <x:v>S’otality editorial</x:v>
      </x:c>
      <x:c r="E853" s="10" t="n">
        <x:v>7</x:v>
      </x:c>
      <x:c r="F853" s="21" t="n">
        <x:f>F725*(1+'Assumptions'!$M$107)</x:f>
        <x:v>12.115456782000006</x:v>
      </x:c>
      <x:c r="G853" s="21" t="n">
        <x:f>H725*'Assumptions'!$K$107</x:f>
        <x:v>6.158692365000002</x:v>
      </x:c>
      <x:c r="H853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853+G853,NA())</x:f>
        <x:v>18.27414914700001</x:v>
      </x:c>
      <x:c r="I853" s="22" t="n">
        <x:f>'Assumptions'!$H$107*IF('Assumptions'!$O$107=1,1,'Assumptions'!$D$10)*(1+'Assumptions'!$N$107)^(7-1)</x:f>
        <x:v>281.54060481600004</x:v>
      </x:c>
      <x:c r="J853" s="10" t="n">
        <x:f>H853*I853</x:f>
        <x:v>5144.915003344174</x:v>
      </x:c>
      <x:c r="K853" s="10" t="n">
        <x:f>J853*'Assumptions'!$T$107</x:f>
        <x:v>5144.915003344174</x:v>
      </x:c>
      <x:c r="L853" s="10" t="n">
        <x:f>K853*'Assumptions'!$U$107</x:f>
        <x:v>154.3474501003252</x:v>
      </x:c>
      <x:c r="M853" s="10" t="n">
        <x:f>K853*'Assumptions'!$V$107</x:f>
        <x:v>0</x:v>
      </x:c>
      <x:c r="N853" s="10" t="n">
        <x:f>K853-L853-M853</x:f>
        <x:v>4990.567553243849</x:v>
      </x:c>
      <x:c r="O853" s="10" t="n">
        <x:f>H853*'Assumptions'!$P$107*'Assumptions'!$Q$107*'Assumptions'!$D$11*(1+'Assumptions'!$D$13)^(7-1)</x:f>
        <x:v>1745.6231804871063</x:v>
      </x:c>
      <x:c r="P853" s="10" t="n">
        <x:f>H853*'Assumptions'!$R$107*'Assumptions'!$D$11*(1+'Assumptions'!$D$13)^(7-1)</x:f>
        <x:v>0</x:v>
      </x:c>
      <x:c r="Q853" s="10" t="n">
        <x:f>J853*'Assumptions'!$S$107</x:f>
        <x:v>0</x:v>
      </x:c>
      <x:c r="R853" s="10" t="n">
        <x:f>H853*'Assumptions'!$Y$107*'Assumptions'!$Z$107*'Assumptions'!$D$11*(1+'Assumptions'!$D$13)^(7-1)</x:f>
        <x:v>327.30434634133246</x:v>
      </x:c>
      <x:c r="S853" s="10" t="n">
        <x:f>IF(I853=0,0,J853*'Assumptions'!$W$107+H853*'Assumptions'!$X$107)</x:f>
        <x:v>154.68477984108105</x:v>
      </x:c>
      <x:c r="T853" s="10" t="n">
        <x:f>N853*'Assumptions'!$AA$107</x:f>
        <x:v>399.24540425950795</x:v>
      </x:c>
      <x:c r="U853" s="10" t="n">
        <x:f>'Assumptions'!$AE$107*'Assumptions'!$D$11*(1+'Assumptions'!$D$13)^(7-1)</x:f>
        <x:v>0</x:v>
      </x:c>
      <x:c r="V853" s="10" t="n">
        <x:f>0</x:f>
        <x:v>0</x:v>
      </x:c>
      <x:c r="W853" s="10" t="n">
        <x:f>H853*('Assumptions'!$P$107+'Assumptions'!$Y$107)</x:f>
        <x:v>45.68537286750002</x:v>
      </x:c>
      <x:c r="X853" s="10" t="n">
        <x:f>N853/12*'Assumptions'!$AF$107</x:f>
        <x:v>415.8806294369874</x:v>
      </x:c>
      <x:c r="Y853" s="10" t="n">
        <x:f>P853/12</x:f>
        <x:v>0</x:v>
      </x:c>
      <x:c r="Z853" s="10" t="n">
        <x:f>0</x:f>
        <x:v>0</x:v>
      </x:c>
      <x:c r="AA853" s="10" t="n">
        <x:f>Z853*'Assumptions'!$AC$107*'Assumptions'!$D$11*(1+'Assumptions'!$D$13)^(7-1)</x:f>
        <x:v>0</x:v>
      </x:c>
      <x:c r="AB853" s="10" t="n">
        <x:f>F853/1</x:f>
        <x:v>12.115456782000006</x:v>
      </x:c>
      <x:c r="AC853" s="10" t="n">
        <x:f>AB853/'Assumptions'!$AM$107</x:f>
        <x:v>121.15456782000005</x:v>
      </x:c>
      <x:c r="AD853" s="10" t="n">
        <x:f>IF(AB853=0,0,T853/AB853)</x:f>
        <x:v>32.95339263251459</x:v>
      </x:c>
      <x:c r="AE853" s="10" t="n">
        <x:f>AA853*'Assumptions'!$D$21</x:f>
        <x:v>0</x:v>
      </x:c>
    </x:row>
    <x:row r="854" ht="16" customHeight="1">
      <x:c r="A854" s="1"/>
      <x:c r="B854" s="1"/>
      <x:c r="C854" s="1" t="str">
        <x:v>DOT-079</x:v>
      </x:c>
      <x:c r="D854" s="10" t="str">
        <x:v>S’otality editorial</x:v>
      </x:c>
      <x:c r="E854" s="10" t="n">
        <x:v>7</x:v>
      </x:c>
      <x:c r="F854" s="21" t="n">
        <x:f>F726*(1+'Assumptions'!$M$108)</x:f>
        <x:v>4.038485594000002</x:v>
      </x:c>
      <x:c r="G854" s="21" t="n">
        <x:f>H726*'Assumptions'!$K$108</x:f>
        <x:v>2.052897455000001</x:v>
      </x:c>
      <x:c r="H854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854+G854,NA())</x:f>
        <x:v>6.091383049000003</x:v>
      </x:c>
      <x:c r="I854" s="22" t="n">
        <x:f>'Assumptions'!$H$108*IF('Assumptions'!$O$108=1,1,'Assumptions'!$D$10)*(1+'Assumptions'!$N$108)^(7-1)</x:f>
        <x:v>1126.1624192640002</x:v>
      </x:c>
      <x:c r="J854" s="10" t="n">
        <x:f>H854*I854</x:f>
        <x:v>6859.886671125565</x:v>
      </x:c>
      <x:c r="K854" s="10" t="n">
        <x:f>J854*'Assumptions'!$T$108</x:f>
        <x:v>6859.886671125565</x:v>
      </x:c>
      <x:c r="L854" s="10" t="n">
        <x:f>K854*'Assumptions'!$U$108</x:f>
        <x:v>205.79660013376693</x:v>
      </x:c>
      <x:c r="M854" s="10" t="n">
        <x:f>K854*'Assumptions'!$V$108</x:f>
        <x:v>0</x:v>
      </x:c>
      <x:c r="N854" s="10" t="n">
        <x:f>K854-L854-M854</x:f>
        <x:v>6654.090070991798</x:v>
      </x:c>
      <x:c r="O854" s="10" t="n">
        <x:f>H854*'Assumptions'!$P$108*'Assumptions'!$Q$108*'Assumptions'!$D$11*(1+'Assumptions'!$D$13)^(7-1)</x:f>
        <x:v>2327.4975739828083</x:v>
      </x:c>
      <x:c r="P854" s="10" t="n">
        <x:f>H854*'Assumptions'!$R$108*'Assumptions'!$D$11*(1+'Assumptions'!$D$13)^(7-1)</x:f>
        <x:v>727.3429918696277</x:v>
      </x:c>
      <x:c r="Q854" s="10" t="n">
        <x:f>J854*'Assumptions'!$S$108</x:f>
        <x:v>0</x:v>
      </x:c>
      <x:c r="R854" s="10" t="n">
        <x:f>H854*'Assumptions'!$Y$108*'Assumptions'!$Z$108*'Assumptions'!$D$11*(1+'Assumptions'!$D$13)^(7-1)</x:f>
        <x:v>109.10144878044414</x:v>
      </x:c>
      <x:c r="S854" s="10" t="n">
        <x:f>IF(I854=0,0,J854*'Assumptions'!$W$108+H854*'Assumptions'!$X$108)</x:f>
        <x:v>200.7641283773414</x:v>
      </x:c>
      <x:c r="T854" s="10" t="n">
        <x:f>N854*'Assumptions'!$AA$108</x:f>
        <x:v>532.3272056793438</x:v>
      </x:c>
      <x:c r="U854" s="10" t="n">
        <x:f>'Assumptions'!$AE$108*'Assumptions'!$D$11*(1+'Assumptions'!$D$13)^(7-1)</x:f>
        <x:v>0</x:v>
      </x:c>
      <x:c r="V854" s="10" t="n">
        <x:f>0</x:f>
        <x:v>0</x:v>
      </x:c>
      <x:c r="W854" s="10" t="n">
        <x:f>H854*('Assumptions'!$P$108+'Assumptions'!$Y$108)</x:f>
        <x:v>51.77675591650002</x:v>
      </x:c>
      <x:c r="X854" s="10" t="n">
        <x:f>N854/12*'Assumptions'!$AF$108</x:f>
        <x:v>554.5075059159832</x:v>
      </x:c>
      <x:c r="Y854" s="10" t="n">
        <x:f>P854/12</x:f>
        <x:v>60.61191598913564</x:v>
      </x:c>
      <x:c r="Z854" s="10" t="n">
        <x:f>0</x:f>
        <x:v>0</x:v>
      </x:c>
      <x:c r="AA854" s="10" t="n">
        <x:f>Z854*'Assumptions'!$AC$108*'Assumptions'!$D$11*(1+'Assumptions'!$D$13)^(7-1)</x:f>
        <x:v>0</x:v>
      </x:c>
      <x:c r="AB854" s="10" t="n">
        <x:f>F854/1</x:f>
        <x:v>4.038485594000002</x:v>
      </x:c>
      <x:c r="AC854" s="10" t="n">
        <x:f>AB854/'Assumptions'!$AM$108</x:f>
        <x:v>40.384855940000016</x:v>
      </x:c>
      <x:c r="AD854" s="10" t="n">
        <x:f>IF(AB854=0,0,T854/AB854)</x:f>
        <x:v>131.81357053005834</x:v>
      </x:c>
      <x:c r="AE854" s="10" t="n">
        <x:f>AA854*'Assumptions'!$D$21</x:f>
        <x:v>0</x:v>
      </x:c>
    </x:row>
    <x:row r="855" ht="16" customHeight="1">
      <x:c r="A855" s="1"/>
      <x:c r="B855" s="1"/>
      <x:c r="C855" s="1" t="str">
        <x:v>DOT-080</x:v>
      </x:c>
      <x:c r="D855" s="10" t="str">
        <x:v>Tomato Odyssey</x:v>
      </x:c>
      <x:c r="E855" s="10" t="n">
        <x:v>7</x:v>
      </x:c>
      <x:c r="F855" s="21" t="n">
        <x:f>F727*(1+'Assumptions'!$M$109)</x:f>
        <x:v>12.115456782000006</x:v>
      </x:c>
      <x:c r="G855" s="21" t="n">
        <x:f>H727*'Assumptions'!$K$109</x:f>
        <x:v>6.158692365000002</x:v>
      </x:c>
      <x:c r="H855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855+G855,NA())</x:f>
        <x:v>18.27414914700001</x:v>
      </x:c>
      <x:c r="I855" s="22" t="n">
        <x:f>'Assumptions'!$H$109*IF('Assumptions'!$O$109=1,1,'Assumptions'!$D$10)*(1+'Assumptions'!$N$109)^(7-1)</x:f>
        <x:v>281.54060481600004</x:v>
      </x:c>
      <x:c r="J855" s="10" t="n">
        <x:f>H855*I855</x:f>
        <x:v>5144.915003344174</x:v>
      </x:c>
      <x:c r="K855" s="10" t="n">
        <x:f>J855*'Assumptions'!$T$109</x:f>
        <x:v>5144.915003344174</x:v>
      </x:c>
      <x:c r="L855" s="10" t="n">
        <x:f>K855*'Assumptions'!$U$109</x:f>
        <x:v>154.3474501003252</x:v>
      </x:c>
      <x:c r="M855" s="10" t="n">
        <x:f>K855*'Assumptions'!$V$109</x:f>
        <x:v>0</x:v>
      </x:c>
      <x:c r="N855" s="10" t="n">
        <x:f>K855-L855-M855</x:f>
        <x:v>4990.567553243849</x:v>
      </x:c>
      <x:c r="O855" s="10" t="n">
        <x:f>H855*'Assumptions'!$P$109*'Assumptions'!$Q$109*'Assumptions'!$D$11*(1+'Assumptions'!$D$13)^(7-1)</x:f>
        <x:v>1745.6231804871063</x:v>
      </x:c>
      <x:c r="P855" s="10" t="n">
        <x:f>H855*'Assumptions'!$R$109*'Assumptions'!$D$11*(1+'Assumptions'!$D$13)^(7-1)</x:f>
        <x:v>0</x:v>
      </x:c>
      <x:c r="Q855" s="10" t="n">
        <x:f>J855*'Assumptions'!$S$109</x:f>
        <x:v>0</x:v>
      </x:c>
      <x:c r="R855" s="10" t="n">
        <x:f>H855*'Assumptions'!$Y$109*'Assumptions'!$Z$109*'Assumptions'!$D$11*(1+'Assumptions'!$D$13)^(7-1)</x:f>
        <x:v>327.30434634133246</x:v>
      </x:c>
      <x:c r="S855" s="10" t="n">
        <x:f>IF(I855=0,0,J855*'Assumptions'!$W$109+H855*'Assumptions'!$X$109)</x:f>
        <x:v>154.68477984108105</x:v>
      </x:c>
      <x:c r="T855" s="10" t="n">
        <x:f>N855*'Assumptions'!$AA$109</x:f>
        <x:v>399.24540425950795</x:v>
      </x:c>
      <x:c r="U855" s="10" t="n">
        <x:f>'Assumptions'!$AE$109*'Assumptions'!$D$11*(1+'Assumptions'!$D$13)^(7-1)</x:f>
        <x:v>0</x:v>
      </x:c>
      <x:c r="V855" s="10" t="n">
        <x:f>0</x:f>
        <x:v>0</x:v>
      </x:c>
      <x:c r="W855" s="10" t="n">
        <x:f>H855*('Assumptions'!$P$109+'Assumptions'!$Y$109)</x:f>
        <x:v>45.68537286750002</x:v>
      </x:c>
      <x:c r="X855" s="10" t="n">
        <x:f>N855/12*'Assumptions'!$AF$109</x:f>
        <x:v>415.8806294369874</x:v>
      </x:c>
      <x:c r="Y855" s="10" t="n">
        <x:f>P855/12</x:f>
        <x:v>0</x:v>
      </x:c>
      <x:c r="Z855" s="10" t="n">
        <x:f>0</x:f>
        <x:v>0</x:v>
      </x:c>
      <x:c r="AA855" s="10" t="n">
        <x:f>Z855*'Assumptions'!$AC$109*'Assumptions'!$D$11*(1+'Assumptions'!$D$13)^(7-1)</x:f>
        <x:v>0</x:v>
      </x:c>
      <x:c r="AB855" s="10" t="n">
        <x:f>F855/1</x:f>
        <x:v>12.115456782000006</x:v>
      </x:c>
      <x:c r="AC855" s="10" t="n">
        <x:f>AB855/'Assumptions'!$AM$109</x:f>
        <x:v>121.15456782000005</x:v>
      </x:c>
      <x:c r="AD855" s="10" t="n">
        <x:f>IF(AB855=0,0,T855/AB855)</x:f>
        <x:v>32.95339263251459</x:v>
      </x:c>
      <x:c r="AE855" s="10" t="n">
        <x:f>AA855*'Assumptions'!$D$21</x:f>
        <x:v>0</x:v>
      </x:c>
    </x:row>
    <x:row r="856" ht="16" customHeight="1">
      <x:c r="A856" s="1"/>
      <x:c r="B856" s="1"/>
      <x:c r="C856" s="1" t="str">
        <x:v>DOT-081</x:v>
      </x:c>
      <x:c r="D856" s="10" t="str">
        <x:v>Tomato Odyssey</x:v>
      </x:c>
      <x:c r="E856" s="10" t="n">
        <x:v>7</x:v>
      </x:c>
      <x:c r="F856" s="21" t="n">
        <x:f>F728*(1+'Assumptions'!$M$110)</x:f>
        <x:v>4.038485594000002</x:v>
      </x:c>
      <x:c r="G856" s="21" t="n">
        <x:f>H728*'Assumptions'!$K$110</x:f>
        <x:v>2.052897455000001</x:v>
      </x:c>
      <x:c r="H856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856+G856,NA())</x:f>
        <x:v>6.091383049000003</x:v>
      </x:c>
      <x:c r="I856" s="22" t="n">
        <x:f>'Assumptions'!$H$110*IF('Assumptions'!$O$110=1,1,'Assumptions'!$D$10)*(1+'Assumptions'!$N$110)^(7-1)</x:f>
        <x:v>1126.1624192640002</x:v>
      </x:c>
      <x:c r="J856" s="10" t="n">
        <x:f>H856*I856</x:f>
        <x:v>6859.886671125565</x:v>
      </x:c>
      <x:c r="K856" s="10" t="n">
        <x:f>J856*'Assumptions'!$T$110</x:f>
        <x:v>6859.886671125565</x:v>
      </x:c>
      <x:c r="L856" s="10" t="n">
        <x:f>K856*'Assumptions'!$U$110</x:f>
        <x:v>205.79660013376693</x:v>
      </x:c>
      <x:c r="M856" s="10" t="n">
        <x:f>K856*'Assumptions'!$V$110</x:f>
        <x:v>0</x:v>
      </x:c>
      <x:c r="N856" s="10" t="n">
        <x:f>K856-L856-M856</x:f>
        <x:v>6654.090070991798</x:v>
      </x:c>
      <x:c r="O856" s="10" t="n">
        <x:f>H856*'Assumptions'!$P$110*'Assumptions'!$Q$110*'Assumptions'!$D$11*(1+'Assumptions'!$D$13)^(7-1)</x:f>
        <x:v>2327.4975739828083</x:v>
      </x:c>
      <x:c r="P856" s="10" t="n">
        <x:f>H856*'Assumptions'!$R$110*'Assumptions'!$D$11*(1+'Assumptions'!$D$13)^(7-1)</x:f>
        <x:v>727.3429918696277</x:v>
      </x:c>
      <x:c r="Q856" s="10" t="n">
        <x:f>J856*'Assumptions'!$S$110</x:f>
        <x:v>0</x:v>
      </x:c>
      <x:c r="R856" s="10" t="n">
        <x:f>H856*'Assumptions'!$Y$110*'Assumptions'!$Z$110*'Assumptions'!$D$11*(1+'Assumptions'!$D$13)^(7-1)</x:f>
        <x:v>109.10144878044414</x:v>
      </x:c>
      <x:c r="S856" s="10" t="n">
        <x:f>IF(I856=0,0,J856*'Assumptions'!$W$110+H856*'Assumptions'!$X$110)</x:f>
        <x:v>200.7641283773414</x:v>
      </x:c>
      <x:c r="T856" s="10" t="n">
        <x:f>N856*'Assumptions'!$AA$110</x:f>
        <x:v>532.3272056793438</x:v>
      </x:c>
      <x:c r="U856" s="10" t="n">
        <x:f>'Assumptions'!$AE$110*'Assumptions'!$D$11*(1+'Assumptions'!$D$13)^(7-1)</x:f>
        <x:v>0</x:v>
      </x:c>
      <x:c r="V856" s="10" t="n">
        <x:f>0</x:f>
        <x:v>0</x:v>
      </x:c>
      <x:c r="W856" s="10" t="n">
        <x:f>H856*('Assumptions'!$P$110+'Assumptions'!$Y$110)</x:f>
        <x:v>51.77675591650002</x:v>
      </x:c>
      <x:c r="X856" s="10" t="n">
        <x:f>N856/12*'Assumptions'!$AF$110</x:f>
        <x:v>554.5075059159832</x:v>
      </x:c>
      <x:c r="Y856" s="10" t="n">
        <x:f>P856/12</x:f>
        <x:v>60.61191598913564</x:v>
      </x:c>
      <x:c r="Z856" s="10" t="n">
        <x:f>0</x:f>
        <x:v>0</x:v>
      </x:c>
      <x:c r="AA856" s="10" t="n">
        <x:f>Z856*'Assumptions'!$AC$110*'Assumptions'!$D$11*(1+'Assumptions'!$D$13)^(7-1)</x:f>
        <x:v>0</x:v>
      </x:c>
      <x:c r="AB856" s="10" t="n">
        <x:f>F856/1</x:f>
        <x:v>4.038485594000002</x:v>
      </x:c>
      <x:c r="AC856" s="10" t="n">
        <x:f>AB856/'Assumptions'!$AM$110</x:f>
        <x:v>40.384855940000016</x:v>
      </x:c>
      <x:c r="AD856" s="10" t="n">
        <x:f>IF(AB856=0,0,T856/AB856)</x:f>
        <x:v>131.81357053005834</x:v>
      </x:c>
      <x:c r="AE856" s="10" t="n">
        <x:f>AA856*'Assumptions'!$D$21</x:f>
        <x:v>0</x:v>
      </x:c>
    </x:row>
    <x:row r="857" ht="16" customHeight="1">
      <x:c r="A857" s="1"/>
      <x:c r="B857" s="1"/>
      <x:c r="C857" s="1" t="str">
        <x:v>DOT-082</x:v>
      </x:c>
      <x:c r="D857" s="10" t="str">
        <x:v>Semajes Studio</x:v>
      </x:c>
      <x:c r="E857" s="10" t="n">
        <x:v>7</x:v>
      </x:c>
      <x:c r="F857" s="21" t="n">
        <x:f>F729*(1+'Assumptions'!$M$111)</x:f>
        <x:v>27.958746420000004</x:v>
      </x:c>
      <x:c r="G857" s="21" t="n">
        <x:f>H729*'Assumptions'!$K$111</x:f>
        <x:v>25.557282000000004</x:v>
      </x:c>
      <x:c r="H857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857+G857,NA())</x:f>
        <x:v>53.51602842000001</x:v>
      </x:c>
      <x:c r="I857" s="22" t="n">
        <x:f>'Assumptions'!$H$111*IF('Assumptions'!$O$111=1,1,'Assumptions'!$D$10)*(1+'Assumptions'!$N$111)^(7-1)</x:f>
        <x:v>619.3893305952</x:v>
      </x:c>
      <x:c r="J857" s="10" t="n">
        <x:f>H857*I857</x:f>
        <x:v>33147.25701917751</x:v>
      </x:c>
      <x:c r="K857" s="10" t="n">
        <x:f>J857*'Assumptions'!$T$111</x:f>
        <x:v>33147.25701917751</x:v>
      </x:c>
      <x:c r="L857" s="10" t="n">
        <x:f>K857*'Assumptions'!$U$111</x:f>
        <x:v>994.4177105753253</x:v>
      </x:c>
      <x:c r="M857" s="10" t="n">
        <x:f>K857*'Assumptions'!$V$111</x:f>
        <x:v>0</x:v>
      </x:c>
      <x:c r="N857" s="10" t="n">
        <x:f>K857-L857-M857</x:f>
        <x:v>32152.839308602182</x:v>
      </x:c>
      <x:c r="O857" s="10" t="n">
        <x:f>H857*'Assumptions'!$P$111*'Assumptions'!$Q$111*'Assumptions'!$D$11*(1+'Assumptions'!$D$13)^(7-1)</x:f>
        <x:v>19170.280990803676</x:v>
      </x:c>
      <x:c r="P857" s="10" t="n">
        <x:f>H857*'Assumptions'!$R$111*'Assumptions'!$D$11*(1+'Assumptions'!$D$13)^(7-1)</x:f>
        <x:v>5112.07493088098</x:v>
      </x:c>
      <x:c r="Q857" s="10" t="n">
        <x:f>J857*'Assumptions'!$S$111</x:f>
        <x:v>0</x:v>
      </x:c>
      <x:c r="R857" s="10" t="n">
        <x:f>H857*'Assumptions'!$Y$111*'Assumptions'!$Z$111*'Assumptions'!$D$11*(1+'Assumptions'!$D$13)^(7-1)</x:f>
        <x:v>479.2570247700919</x:v>
      </x:c>
      <x:c r="S857" s="10" t="n">
        <x:f>IF(I857=0,0,J857*'Assumptions'!$W$111+H857*'Assumptions'!$X$111)</x:f>
        <x:v>977.3252620821478</x:v>
      </x:c>
      <x:c r="T857" s="10" t="n">
        <x:f>N857*'Assumptions'!$AA$111</x:f>
        <x:v>1286.1135723440873</x:v>
      </x:c>
      <x:c r="U857" s="10" t="n">
        <x:f>'Assumptions'!$AE$111*'Assumptions'!$D$11*(1+'Assumptions'!$D$13)^(7-1)</x:f>
        <x:v>0</x:v>
      </x:c>
      <x:c r="V857" s="10" t="n">
        <x:f>0</x:f>
        <x:v>0</x:v>
      </x:c>
      <x:c r="W857" s="10" t="n">
        <x:f>H857*('Assumptions'!$P$111+'Assumptions'!$Y$111)</x:f>
        <x:v>334.4751776250001</x:v>
      </x:c>
      <x:c r="X857" s="10" t="n">
        <x:f>N857/12*'Assumptions'!$AF$111</x:f>
        <x:v>2679.4032757168484</x:v>
      </x:c>
      <x:c r="Y857" s="10" t="n">
        <x:f>P857/12</x:f>
        <x:v>426.0062442400817</x:v>
      </x:c>
      <x:c r="Z857" s="10" t="n">
        <x:f>0</x:f>
        <x:v>0</x:v>
      </x:c>
      <x:c r="AA857" s="10" t="n">
        <x:f>Z857*'Assumptions'!$AC$111*'Assumptions'!$D$11*(1+'Assumptions'!$D$13)^(7-1)</x:f>
        <x:v>0</x:v>
      </x:c>
      <x:c r="AB857" s="10" t="n">
        <x:f>F857/1</x:f>
        <x:v>27.958746420000004</x:v>
      </x:c>
      <x:c r="AC857" s="10" t="n">
        <x:f>AB857/'Assumptions'!$AM$111</x:f>
        <x:v>139.7937321</x:v>
      </x:c>
      <x:c r="AD857" s="10" t="n">
        <x:f>IF(AB857=0,0,T857/AB857)</x:f>
        <x:v>46.000401914446314</x:v>
      </x:c>
      <x:c r="AE857" s="10" t="n">
        <x:f>AA857*'Assumptions'!$D$21</x:f>
        <x:v>0</x:v>
      </x:c>
    </x:row>
    <x:row r="858" ht="16" customHeight="1">
      <x:c r="A858" s="1"/>
      <x:c r="B858" s="1"/>
      <x:c r="C858" s="1" t="str">
        <x:v>DOT-083</x:v>
      </x:c>
      <x:c r="D858" s="10" t="str">
        <x:v>Semajes Studio</x:v>
      </x:c>
      <x:c r="E858" s="10" t="n">
        <x:v>7</x:v>
      </x:c>
      <x:c r="F858" s="21" t="n">
        <x:f>F730*(1+'Assumptions'!$M$112)</x:f>
        <x:v>13.979373210000002</x:v>
      </x:c>
      <x:c r="G858" s="21" t="n">
        <x:f>H730*'Assumptions'!$K$112</x:f>
        <x:v>12.778641000000002</x:v>
      </x:c>
      <x:c r="H858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858+G858,NA())</x:f>
        <x:v>26.758014210000006</x:v>
      </x:c>
      <x:c r="I858" s="22" t="n">
        <x:f>'Assumptions'!$H$112*IF('Assumptions'!$O$112=1,1,'Assumptions'!$D$10)*(1+'Assumptions'!$N$112)^(7-1)</x:f>
        <x:v>1351.3949031168002</x:v>
      </x:c>
      <x:c r="J858" s="10" t="n">
        <x:f>H858*I858</x:f>
        <x:v>36160.64402092092</x:v>
      </x:c>
      <x:c r="K858" s="10" t="n">
        <x:f>J858*'Assumptions'!$T$112</x:f>
        <x:v>36160.64402092092</x:v>
      </x:c>
      <x:c r="L858" s="10" t="n">
        <x:f>K858*'Assumptions'!$U$112</x:f>
        <x:v>1084.8193206276276</x:v>
      </x:c>
      <x:c r="M858" s="10" t="n">
        <x:f>K858*'Assumptions'!$V$112</x:f>
        <x:v>0</x:v>
      </x:c>
      <x:c r="N858" s="10" t="n">
        <x:f>K858-L858-M858</x:f>
        <x:v>35075.82470029329</x:v>
      </x:c>
      <x:c r="O858" s="10" t="n">
        <x:f>H858*'Assumptions'!$P$112*'Assumptions'!$Q$112*'Assumptions'!$D$11*(1+'Assumptions'!$D$13)^(7-1)</x:f>
        <x:v>15975.234159003063</x:v>
      </x:c>
      <x:c r="P858" s="10" t="n">
        <x:f>H858*'Assumptions'!$R$112*'Assumptions'!$D$11*(1+'Assumptions'!$D$13)^(7-1)</x:f>
        <x:v>4792.570247700919</x:v>
      </x:c>
      <x:c r="Q858" s="10" t="n">
        <x:f>J858*'Assumptions'!$S$112</x:f>
        <x:v>0</x:v>
      </x:c>
      <x:c r="R858" s="10" t="n">
        <x:f>H858*'Assumptions'!$Y$112*'Assumptions'!$Z$112*'Assumptions'!$D$11*(1+'Assumptions'!$D$13)^(7-1)</x:f>
        <x:v>239.62851238504595</x:v>
      </x:c>
      <x:c r="S858" s="10" t="n">
        <x:f>IF(I858=0,0,J858*'Assumptions'!$W$112+H858*'Assumptions'!$X$112)</x:f>
        <x:v>1056.6860808697068</x:v>
      </x:c>
      <x:c r="T858" s="10" t="n">
        <x:f>N858*'Assumptions'!$AA$112</x:f>
        <x:v>1403.0329880117317</x:v>
      </x:c>
      <x:c r="U858" s="10" t="n">
        <x:f>'Assumptions'!$AE$112*'Assumptions'!$D$11*(1+'Assumptions'!$D$13)^(7-1)</x:f>
        <x:v>0</x:v>
      </x:c>
      <x:c r="V858" s="10" t="n">
        <x:f>0</x:f>
        <x:v>0</x:v>
      </x:c>
      <x:c r="W858" s="10" t="n">
        <x:f>H858*('Assumptions'!$P$112+'Assumptions'!$Y$112)</x:f>
        <x:v>274.26964565250006</x:v>
      </x:c>
      <x:c r="X858" s="10" t="n">
        <x:f>N858/12*'Assumptions'!$AF$112</x:f>
        <x:v>2922.9853916911075</x:v>
      </x:c>
      <x:c r="Y858" s="10" t="n">
        <x:f>P858/12</x:f>
        <x:v>399.3808539750766</x:v>
      </x:c>
      <x:c r="Z858" s="10" t="n">
        <x:f>0</x:f>
        <x:v>0</x:v>
      </x:c>
      <x:c r="AA858" s="10" t="n">
        <x:f>Z858*'Assumptions'!$AC$112*'Assumptions'!$D$11*(1+'Assumptions'!$D$13)^(7-1)</x:f>
        <x:v>0</x:v>
      </x:c>
      <x:c r="AB858" s="10" t="n">
        <x:f>F858/1</x:f>
        <x:v>13.979373210000002</x:v>
      </x:c>
      <x:c r="AC858" s="10" t="n">
        <x:f>AB858/'Assumptions'!$AM$112</x:f>
        <x:v>69.89686605</x:v>
      </x:c>
      <x:c r="AD858" s="10" t="n">
        <x:f>IF(AB858=0,0,T858/AB858)</x:f>
        <x:v>100.36451326788288</x:v>
      </x:c>
      <x:c r="AE858" s="10" t="n">
        <x:f>AA858*'Assumptions'!$D$21</x:f>
        <x:v>0</x:v>
      </x:c>
    </x:row>
    <x:row r="859" ht="16" customHeight="1">
      <x:c r="A859" s="1"/>
      <x:c r="B859" s="1"/>
      <x:c r="C859" s="1" t="str">
        <x:v>DOT-084</x:v>
      </x:c>
      <x:c r="D859" s="10" t="str">
        <x:v>Semajes Studio</x:v>
      </x:c>
      <x:c r="E859" s="10" t="n">
        <x:v>7</x:v>
      </x:c>
      <x:c r="F859" s="21" t="n">
        <x:f>F731*(1+'Assumptions'!$M$113)</x:f>
        <x:v>93.19582140000001</x:v>
      </x:c>
      <x:c r="G859" s="21" t="n">
        <x:f>H731*'Assumptions'!$K$113</x:f>
        <x:v>85.19094000000001</x:v>
      </x:c>
      <x:c r="H859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859+G859,NA())</x:f>
        <x:v>178.3867614</x:v>
      </x:c>
      <x:c r="I859" s="22" t="n">
        <x:f>'Assumptions'!$H$113*IF('Assumptions'!$O$113=1,1,'Assumptions'!$D$10)*(1+'Assumptions'!$N$113)^(7-1)</x:f>
        <x:v>39.415684674240005</x:v>
      </x:c>
      <x:c r="J859" s="10" t="n">
        <x:f>H859*I859</x:f>
        <x:v>7031.236337401289</x:v>
      </x:c>
      <x:c r="K859" s="10" t="n">
        <x:f>J859*'Assumptions'!$T$113</x:f>
        <x:v>7031.236337401289</x:v>
      </x:c>
      <x:c r="L859" s="10" t="n">
        <x:f>K859*'Assumptions'!$U$113</x:f>
        <x:v>210.93709012203868</x:v>
      </x:c>
      <x:c r="M859" s="10" t="n">
        <x:f>K859*'Assumptions'!$V$113</x:f>
        <x:v>0</x:v>
      </x:c>
      <x:c r="N859" s="10" t="n">
        <x:f>K859-L859-M859</x:f>
        <x:v>6820.29924727925</x:v>
      </x:c>
      <x:c r="O859" s="10" t="n">
        <x:f>H859*'Assumptions'!$P$113*'Assumptions'!$Q$113*'Assumptions'!$D$11*(1+'Assumptions'!$D$13)^(7-1)</x:f>
        <x:v>1065.015610600204</x:v>
      </x:c>
      <x:c r="P859" s="10" t="n">
        <x:f>H859*'Assumptions'!$R$113*'Assumptions'!$D$11*(1+'Assumptions'!$D$13)^(7-1)</x:f>
        <x:v>0</x:v>
      </x:c>
      <x:c r="Q859" s="10" t="n">
        <x:f>J859*'Assumptions'!$S$113</x:f>
        <x:v>0</x:v>
      </x:c>
      <x:c r="R859" s="10" t="n">
        <x:f>H859*'Assumptions'!$Y$113*'Assumptions'!$Z$113*'Assumptions'!$D$11*(1+'Assumptions'!$D$13)^(7-1)</x:f>
        <x:v>1597.523415900306</x:v>
      </x:c>
      <x:c r="S859" s="10" t="n">
        <x:f>IF(I859=0,0,J859*'Assumptions'!$W$113+H859*'Assumptions'!$X$113)</x:f>
        <x:v>257.4218822046374</x:v>
      </x:c>
      <x:c r="T859" s="10" t="n">
        <x:f>N859*'Assumptions'!$AA$113</x:f>
        <x:v>272.81196989117</x:v>
      </x:c>
      <x:c r="U859" s="10" t="n">
        <x:f>'Assumptions'!$AE$113*'Assumptions'!$D$11*(1+'Assumptions'!$D$13)^(7-1)</x:f>
        <x:v>0</x:v>
      </x:c>
      <x:c r="V859" s="10" t="n">
        <x:f>0</x:f>
        <x:v>0</x:v>
      </x:c>
      <x:c r="W859" s="10" t="n">
        <x:f>H859*('Assumptions'!$P$113+'Assumptions'!$Y$113)</x:f>
        <x:v>62.43536649</x:v>
      </x:c>
      <x:c r="X859" s="10" t="n">
        <x:f>N859/12*'Assumptions'!$AF$113</x:f>
        <x:v>568.3582706066042</x:v>
      </x:c>
      <x:c r="Y859" s="10" t="n">
        <x:f>P859/12</x:f>
        <x:v>0</x:v>
      </x:c>
      <x:c r="Z859" s="10" t="n">
        <x:f>0</x:f>
        <x:v>0</x:v>
      </x:c>
      <x:c r="AA859" s="10" t="n">
        <x:f>Z859*'Assumptions'!$AC$113*'Assumptions'!$D$11*(1+'Assumptions'!$D$13)^(7-1)</x:f>
        <x:v>0</x:v>
      </x:c>
      <x:c r="AB859" s="10" t="n">
        <x:f>F859/1</x:f>
        <x:v>93.19582140000001</x:v>
      </x:c>
      <x:c r="AC859" s="10" t="n">
        <x:f>AB859/'Assumptions'!$AM$113</x:f>
        <x:v>465.97910700000006</x:v>
      </x:c>
      <x:c r="AD859" s="10" t="n">
        <x:f>IF(AB859=0,0,T859/AB859)</x:f>
        <x:v>2.9272983036465834</x:v>
      </x:c>
      <x:c r="AE859" s="10" t="n">
        <x:f>AA859*'Assumptions'!$D$21</x:f>
        <x:v>0</x:v>
      </x:c>
    </x:row>
    <x:row r="860" ht="16" customHeight="1">
      <x:c r="A860" s="1"/>
      <x:c r="B860" s="1"/>
      <x:c r="C860" s="1" t="str">
        <x:v>DOT-085</x:v>
      </x:c>
      <x:c r="D860" s="10" t="str">
        <x:v>Semajes Studio</x:v>
      </x:c>
      <x:c r="E860" s="10" t="n">
        <x:v>7</x:v>
      </x:c>
      <x:c r="F860" s="21" t="n">
        <x:f>F732*(1+'Assumptions'!$M$114)</x:f>
        <x:v>27.958746420000004</x:v>
      </x:c>
      <x:c r="G860" s="21" t="n">
        <x:f>H732*'Assumptions'!$K$114</x:f>
        <x:v>25.557282000000004</x:v>
      </x:c>
      <x:c r="H860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860+G860,NA())</x:f>
        <x:v>53.51602842000001</x:v>
      </x:c>
      <x:c r="I860" s="22" t="n">
        <x:f>'Assumptions'!$H$114*IF('Assumptions'!$O$114=1,1,'Assumptions'!$D$10)*(1+'Assumptions'!$N$114)^(7-1)</x:f>
        <x:v>168.92436288960002</x:v>
      </x:c>
      <x:c r="J860" s="10" t="n">
        <x:f>H860*I860</x:f>
        <x:v>9040.16100523023</x:v>
      </x:c>
      <x:c r="K860" s="10" t="n">
        <x:f>J860*'Assumptions'!$T$114</x:f>
        <x:v>9040.16100523023</x:v>
      </x:c>
      <x:c r="L860" s="10" t="n">
        <x:f>K860*'Assumptions'!$U$114</x:f>
        <x:v>271.2048301569069</x:v>
      </x:c>
      <x:c r="M860" s="10" t="n">
        <x:f>K860*'Assumptions'!$V$114</x:f>
        <x:v>0</x:v>
      </x:c>
      <x:c r="N860" s="10" t="n">
        <x:f>K860-L860-M860</x:f>
        <x:v>8768.956175073323</x:v>
      </x:c>
      <x:c r="O860" s="10" t="n">
        <x:f>H860*'Assumptions'!$P$114*'Assumptions'!$Q$114*'Assumptions'!$D$11*(1+'Assumptions'!$D$13)^(7-1)</x:f>
        <x:v>798.7617079501532</x:v>
      </x:c>
      <x:c r="P860" s="10" t="n">
        <x:f>H860*'Assumptions'!$R$114*'Assumptions'!$D$11*(1+'Assumptions'!$D$13)^(7-1)</x:f>
        <x:v>0</x:v>
      </x:c>
      <x:c r="Q860" s="10" t="n">
        <x:f>J860*'Assumptions'!$S$114</x:f>
        <x:v>0</x:v>
      </x:c>
      <x:c r="R860" s="10" t="n">
        <x:f>H860*'Assumptions'!$Y$114*'Assumptions'!$Z$114*'Assumptions'!$D$11*(1+'Assumptions'!$D$13)^(7-1)</x:f>
        <x:v>479.2570247700919</x:v>
      </x:c>
      <x:c r="S860" s="10" t="n">
        <x:f>IF(I860=0,0,J860*'Assumptions'!$W$114+H860*'Assumptions'!$X$114)</x:f>
        <x:v>278.21947767767665</x:v>
      </x:c>
      <x:c r="T860" s="10" t="n">
        <x:f>N860*'Assumptions'!$AA$114</x:f>
        <x:v>350.75824700293293</x:v>
      </x:c>
      <x:c r="U860" s="10" t="n">
        <x:f>'Assumptions'!$AE$114*'Assumptions'!$D$11*(1+'Assumptions'!$D$13)^(7-1)</x:f>
        <x:v>0</x:v>
      </x:c>
      <x:c r="V860" s="10" t="n">
        <x:f>0</x:f>
        <x:v>0</x:v>
      </x:c>
      <x:c r="W860" s="10" t="n">
        <x:f>H860*('Assumptions'!$P$114+'Assumptions'!$Y$114)</x:f>
        <x:v>26.758014210000006</x:v>
      </x:c>
      <x:c r="X860" s="10" t="n">
        <x:f>N860/12*'Assumptions'!$AF$114</x:f>
        <x:v>730.7463479227769</x:v>
      </x:c>
      <x:c r="Y860" s="10" t="n">
        <x:f>P860/12</x:f>
        <x:v>0</x:v>
      </x:c>
      <x:c r="Z860" s="10" t="n">
        <x:f>0</x:f>
        <x:v>0</x:v>
      </x:c>
      <x:c r="AA860" s="10" t="n">
        <x:f>Z860*'Assumptions'!$AC$114*'Assumptions'!$D$11*(1+'Assumptions'!$D$13)^(7-1)</x:f>
        <x:v>0</x:v>
      </x:c>
      <x:c r="AB860" s="10" t="n">
        <x:f>F860/1</x:f>
        <x:v>27.958746420000004</x:v>
      </x:c>
      <x:c r="AC860" s="10" t="n">
        <x:f>AB860/'Assumptions'!$AM$114</x:f>
        <x:v>139.7937321</x:v>
      </x:c>
      <x:c r="AD860" s="10" t="n">
        <x:f>IF(AB860=0,0,T860/AB860)</x:f>
        <x:v>12.54556415848536</x:v>
      </x:c>
      <x:c r="AE860" s="10" t="n">
        <x:f>AA860*'Assumptions'!$D$21</x:f>
        <x:v>0</x:v>
      </x:c>
    </x:row>
    <x:row r="861" ht="16" customHeight="1">
      <x:c r="A861" s="1"/>
      <x:c r="B861" s="1"/>
      <x:c r="C861" s="1" t="str">
        <x:v>DOT-086</x:v>
      </x:c>
      <x:c r="D861" s="10" t="str">
        <x:v>Semajes Studio</x:v>
      </x:c>
      <x:c r="E861" s="10" t="n">
        <x:v>7</x:v>
      </x:c>
      <x:c r="F861" s="21" t="n">
        <x:f>F733*(1+'Assumptions'!$M$115)</x:f>
        <x:v>13.979373210000002</x:v>
      </x:c>
      <x:c r="G861" s="21" t="n">
        <x:f>H733*'Assumptions'!$K$115</x:f>
        <x:v>12.778641000000002</x:v>
      </x:c>
      <x:c r="H861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861+G861,NA())</x:f>
        <x:v>26.758014210000006</x:v>
      </x:c>
      <x:c r="I861" s="22" t="n">
        <x:f>'Assumptions'!$H$115*IF('Assumptions'!$O$115=1,1,'Assumptions'!$D$10)*(1+'Assumptions'!$N$115)^(7-1)</x:f>
        <x:v>563.0812096320001</x:v>
      </x:c>
      <x:c r="J861" s="10" t="n">
        <x:f>H861*I861</x:f>
        <x:v>15066.93500871705</x:v>
      </x:c>
      <x:c r="K861" s="10" t="n">
        <x:f>J861*'Assumptions'!$T$115</x:f>
        <x:v>15066.93500871705</x:v>
      </x:c>
      <x:c r="L861" s="10" t="n">
        <x:f>K861*'Assumptions'!$U$115</x:f>
        <x:v>452.00805026151147</x:v>
      </x:c>
      <x:c r="M861" s="10" t="n">
        <x:f>K861*'Assumptions'!$V$115</x:f>
        <x:v>0</x:v>
      </x:c>
      <x:c r="N861" s="10" t="n">
        <x:f>K861-L861-M861</x:f>
        <x:v>14614.926958455539</x:v>
      </x:c>
      <x:c r="O861" s="10" t="n">
        <x:f>H861*'Assumptions'!$P$115*'Assumptions'!$Q$115*'Assumptions'!$D$11*(1+'Assumptions'!$D$13)^(7-1)</x:f>
        <x:v>1597.5234159003064</x:v>
      </x:c>
      <x:c r="P861" s="10" t="n">
        <x:f>H861*'Assumptions'!$R$115*'Assumptions'!$D$11*(1+'Assumptions'!$D$13)^(7-1)</x:f>
        <x:v>0</x:v>
      </x:c>
      <x:c r="Q861" s="10" t="n">
        <x:f>J861*'Assumptions'!$S$115</x:f>
        <x:v>0</x:v>
      </x:c>
      <x:c r="R861" s="10" t="n">
        <x:f>H861*'Assumptions'!$Y$115*'Assumptions'!$Z$115*'Assumptions'!$D$11*(1+'Assumptions'!$D$13)^(7-1)</x:f>
        <x:v>239.62851238504595</x:v>
      </x:c>
      <x:c r="S861" s="10" t="n">
        <x:f>IF(I861=0,0,J861*'Assumptions'!$W$115+H861*'Assumptions'!$X$115)</x:f>
        <x:v>444.96851951579447</x:v>
      </x:c>
      <x:c r="T861" s="10" t="n">
        <x:f>N861*'Assumptions'!$AA$115</x:f>
        <x:v>584.5970783382215</x:v>
      </x:c>
      <x:c r="U861" s="10" t="n">
        <x:f>'Assumptions'!$AE$115*'Assumptions'!$D$11*(1+'Assumptions'!$D$13)^(7-1)</x:f>
        <x:v>0</x:v>
      </x:c>
      <x:c r="V861" s="10" t="n">
        <x:f>0</x:f>
        <x:v>0</x:v>
      </x:c>
      <x:c r="W861" s="10" t="n">
        <x:f>H861*('Assumptions'!$P$115+'Assumptions'!$Y$115)</x:f>
        <x:v>33.447517762500006</x:v>
      </x:c>
      <x:c r="X861" s="10" t="n">
        <x:f>N861/12*'Assumptions'!$AF$115</x:f>
        <x:v>1217.9105798712949</x:v>
      </x:c>
      <x:c r="Y861" s="10" t="n">
        <x:f>P861/12</x:f>
        <x:v>0</x:v>
      </x:c>
      <x:c r="Z861" s="10" t="n">
        <x:f>0</x:f>
        <x:v>0</x:v>
      </x:c>
      <x:c r="AA861" s="10" t="n">
        <x:f>Z861*'Assumptions'!$AC$115*'Assumptions'!$D$11*(1+'Assumptions'!$D$13)^(7-1)</x:f>
        <x:v>0</x:v>
      </x:c>
      <x:c r="AB861" s="10" t="n">
        <x:f>F861/1</x:f>
        <x:v>13.979373210000002</x:v>
      </x:c>
      <x:c r="AC861" s="10" t="n">
        <x:f>AB861/'Assumptions'!$AM$115</x:f>
        <x:v>69.89686605</x:v>
      </x:c>
      <x:c r="AD861" s="10" t="n">
        <x:f>IF(AB861=0,0,T861/AB861)</x:f>
        <x:v>41.8185471949512</x:v>
      </x:c>
      <x:c r="AE861" s="10" t="n">
        <x:f>AA861*'Assumptions'!$D$21</x:f>
        <x:v>0</x:v>
      </x:c>
    </x:row>
    <x:row r="862" ht="16" customHeight="1">
      <x:c r="A862" s="1"/>
      <x:c r="B862" s="1"/>
      <x:c r="C862" s="1" t="str">
        <x:v>DOT-087</x:v>
      </x:c>
      <x:c r="D862" s="10" t="str">
        <x:v>Semajes Studio</x:v>
      </x:c>
      <x:c r="E862" s="10" t="n">
        <x:v>7</x:v>
      </x:c>
      <x:c r="F862" s="21" t="n">
        <x:f>F734*(1+'Assumptions'!$M$116)</x:f>
        <x:v>140.22512187801607</x:v>
      </x:c>
      <x:c r="G862" s="21" t="n">
        <x:f>H734*'Assumptions'!$K$116</x:f>
        <x:v>57.07216973376002</x:v>
      </x:c>
      <x:c r="H862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862+G862,NA())</x:f>
        <x:v>197.29729161177607</x:v>
      </x:c>
      <x:c r="I862" s="22" t="n">
        <x:f>'Assumptions'!$H$116*IF('Assumptions'!$O$116=1,1,'Assumptions'!$D$10)*(1+'Assumptions'!$N$116)^(7-1)</x:f>
        <x:v>106.98542983008001</x:v>
      </x:c>
      <x:c r="J862" s="10" t="n">
        <x:f>H862*I862</x:f>
        <x:v>21107.9355473965</x:v>
      </x:c>
      <x:c r="K862" s="10" t="n">
        <x:f>J862*'Assumptions'!$T$116</x:f>
        <x:v>21107.9355473965</x:v>
      </x:c>
      <x:c r="L862" s="10" t="n">
        <x:f>K862*'Assumptions'!$U$116</x:f>
        <x:v>633.238066421895</x:v>
      </x:c>
      <x:c r="M862" s="10" t="n">
        <x:f>K862*'Assumptions'!$V$116</x:f>
        <x:v>422.15871094793005</x:v>
      </x:c>
      <x:c r="N862" s="10" t="n">
        <x:f>K862-L862-M862</x:f>
        <x:v>20052.538770026677</x:v>
      </x:c>
      <x:c r="O862" s="10" t="n">
        <x:f>H862*'Assumptions'!$P$116*'Assumptions'!$Q$116*'Assumptions'!$D$11*(1+'Assumptions'!$D$13)^(7-1)</x:f>
        <x:v>1766.874631109948</x:v>
      </x:c>
      <x:c r="P862" s="10" t="n">
        <x:f>H862*'Assumptions'!$R$116*'Assumptions'!$D$11*(1+'Assumptions'!$D$13)^(7-1)</x:f>
        <x:v>8245.414945179757</x:v>
      </x:c>
      <x:c r="Q862" s="10" t="n">
        <x:f>J862*'Assumptions'!$S$116</x:f>
        <x:v>0</x:v>
      </x:c>
      <x:c r="R862" s="10" t="n">
        <x:f>H862*'Assumptions'!$Y$116*'Assumptions'!$Z$116*'Assumptions'!$D$11*(1+'Assumptions'!$D$13)^(7-1)</x:f>
        <x:v>1060.1247786659687</x:v>
      </x:c>
      <x:c r="S862" s="10" t="n">
        <x:f>IF(I862=0,0,J862*'Assumptions'!$W$116+H862*'Assumptions'!$X$116)</x:f>
        <x:v>671.3193183580314</x:v>
      </x:c>
      <x:c r="T862" s="10" t="n">
        <x:f>N862*'Assumptions'!$AA$116</x:f>
        <x:v>1604.2031016021342</x:v>
      </x:c>
      <x:c r="U862" s="10" t="n">
        <x:f>'Assumptions'!$AE$116*'Assumptions'!$D$11*(1+'Assumptions'!$D$13)^(7-1)</x:f>
        <x:v>0</x:v>
      </x:c>
      <x:c r="V862" s="10" t="n">
        <x:f>0</x:f>
        <x:v>0</x:v>
      </x:c>
      <x:c r="W862" s="10" t="n">
        <x:f>H862*('Assumptions'!$P$116+'Assumptions'!$Y$116)</x:f>
        <x:v>59.18918748353282</x:v>
      </x:c>
      <x:c r="X862" s="10" t="n">
        <x:f>N862/12*'Assumptions'!$AF$116</x:f>
        <x:v>0</x:v>
      </x:c>
      <x:c r="Y862" s="10" t="n">
        <x:f>P862/12</x:f>
        <x:v>687.117912098313</x:v>
      </x:c>
      <x:c r="Z862" s="10" t="n">
        <x:f>0</x:f>
        <x:v>0</x:v>
      </x:c>
      <x:c r="AA862" s="10" t="n">
        <x:f>Z862*'Assumptions'!$AC$116*'Assumptions'!$D$11*(1+'Assumptions'!$D$13)^(7-1)</x:f>
        <x:v>0</x:v>
      </x:c>
      <x:c r="AB862" s="10" t="n">
        <x:f>F862/1</x:f>
        <x:v>140.22512187801607</x:v>
      </x:c>
      <x:c r="AC862" s="10" t="n">
        <x:f>AB862/'Assumptions'!$AM$116</x:f>
        <x:v>4674.170729267203</x:v>
      </x:c>
      <x:c r="AD862" s="10" t="n">
        <x:f>IF(AB862=0,0,T862/AB862)</x:f>
        <x:v>11.44019759168157</x:v>
      </x:c>
      <x:c r="AE862" s="10" t="n">
        <x:f>AA862*'Assumptions'!$D$21</x:f>
        <x:v>0</x:v>
      </x:c>
    </x:row>
    <x:row r="863" ht="16" customHeight="1">
      <x:c r="A863" s="1"/>
      <x:c r="B863" s="1"/>
      <x:c r="C863" s="1" t="str">
        <x:v>DOT-088</x:v>
      </x:c>
      <x:c r="D863" s="10" t="str">
        <x:v>Semajes Studio</x:v>
      </x:c>
      <x:c r="E863" s="10" t="n">
        <x:v>7</x:v>
      </x:c>
      <x:c r="F863" s="21" t="n">
        <x:f>F735*(1+'Assumptions'!$M$117)</x:f>
        <x:v>70.11256093900803</x:v>
      </x:c>
      <x:c r="G863" s="21" t="n">
        <x:f>H735*'Assumptions'!$K$117</x:f>
        <x:v>28.53608486688001</x:v>
      </x:c>
      <x:c r="H863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863+G863,NA())</x:f>
        <x:v>98.64864580588804</x:v>
      </x:c>
      <x:c r="I863" s="22" t="n">
        <x:f>'Assumptions'!$H$117*IF('Assumptions'!$O$117=1,1,'Assumptions'!$D$10)*(1+'Assumptions'!$N$117)^(7-1)</x:f>
        <x:v>281.54060481600004</x:v>
      </x:c>
      <x:c r="J863" s="10" t="n">
        <x:f>H863*I863</x:f>
        <x:v>27773.599404469085</x:v>
      </x:c>
      <x:c r="K863" s="10" t="n">
        <x:f>J863*'Assumptions'!$T$117</x:f>
        <x:v>27773.599404469085</x:v>
      </x:c>
      <x:c r="L863" s="10" t="n">
        <x:f>K863*'Assumptions'!$U$117</x:f>
        <x:v>833.2079821340725</x:v>
      </x:c>
      <x:c r="M863" s="10" t="n">
        <x:f>K863*'Assumptions'!$V$117</x:f>
        <x:v>555.4719880893817</x:v>
      </x:c>
      <x:c r="N863" s="10" t="n">
        <x:f>K863-L863-M863</x:f>
        <x:v>26384.91943424563</x:v>
      </x:c>
      <x:c r="O863" s="10" t="n">
        <x:f>H863*'Assumptions'!$P$117*'Assumptions'!$Q$117*'Assumptions'!$D$11*(1+'Assumptions'!$D$13)^(7-1)</x:f>
        <x:v>1472.3955259249567</x:v>
      </x:c>
      <x:c r="P863" s="10" t="n">
        <x:f>H863*'Assumptions'!$R$117*'Assumptions'!$D$11*(1+'Assumptions'!$D$13)^(7-1)</x:f>
        <x:v>12957.080628139618</x:v>
      </x:c>
      <x:c r="Q863" s="10" t="n">
        <x:f>J863*'Assumptions'!$S$117</x:f>
        <x:v>0</x:v>
      </x:c>
      <x:c r="R863" s="10" t="n">
        <x:f>H863*'Assumptions'!$Y$117*'Assumptions'!$Z$117*'Assumptions'!$D$11*(1+'Assumptions'!$D$13)^(7-1)</x:f>
        <x:v>530.0623893329844</x:v>
      </x:c>
      <x:c r="S863" s="10" t="n">
        <x:f>IF(I863=0,0,J863*'Assumptions'!$W$117+H863*'Assumptions'!$X$117)</x:f>
        <x:v>835.0289764713699</x:v>
      </x:c>
      <x:c r="T863" s="10" t="n">
        <x:f>N863*'Assumptions'!$AA$117</x:f>
        <x:v>2110.7935547396505</x:v>
      </x:c>
      <x:c r="U863" s="10" t="n">
        <x:f>'Assumptions'!$AE$117*'Assumptions'!$D$11*(1+'Assumptions'!$D$13)^(7-1)</x:f>
        <x:v>0</x:v>
      </x:c>
      <x:c r="V863" s="10" t="n">
        <x:f>0</x:f>
        <x:v>0</x:v>
      </x:c>
      <x:c r="W863" s="10" t="n">
        <x:f>H863*('Assumptions'!$P$117+'Assumptions'!$Y$117)</x:f>
        <x:v>39.45945832235522</x:v>
      </x:c>
      <x:c r="X863" s="10" t="n">
        <x:f>N863/12*'Assumptions'!$AF$117</x:f>
        <x:v>0</x:v>
      </x:c>
      <x:c r="Y863" s="10" t="n">
        <x:f>P863/12</x:f>
        <x:v>1079.756719011635</x:v>
      </x:c>
      <x:c r="Z863" s="10" t="n">
        <x:f>0</x:f>
        <x:v>0</x:v>
      </x:c>
      <x:c r="AA863" s="10" t="n">
        <x:f>Z863*'Assumptions'!$AC$117*'Assumptions'!$D$11*(1+'Assumptions'!$D$13)^(7-1)</x:f>
        <x:v>0</x:v>
      </x:c>
      <x:c r="AB863" s="10" t="n">
        <x:f>F863/1</x:f>
        <x:v>70.11256093900803</x:v>
      </x:c>
      <x:c r="AC863" s="10" t="n">
        <x:f>AB863/'Assumptions'!$AM$117</x:f>
        <x:v>2337.0853646336013</x:v>
      </x:c>
      <x:c r="AD863" s="10" t="n">
        <x:f>IF(AB863=0,0,T863/AB863)</x:f>
        <x:v>30.10578313600414</x:v>
      </x:c>
      <x:c r="AE863" s="10" t="n">
        <x:f>AA863*'Assumptions'!$D$21</x:f>
        <x:v>0</x:v>
      </x:c>
    </x:row>
    <x:row r="864" ht="16" customHeight="1">
      <x:c r="A864" s="1"/>
      <x:c r="B864" s="1"/>
      <x:c r="C864" s="1" t="str">
        <x:v>DOT-089</x:v>
      </x:c>
      <x:c r="D864" s="10" t="str">
        <x:v>Semajes Studio</x:v>
      </x:c>
      <x:c r="E864" s="10" t="n">
        <x:v>7</x:v>
      </x:c>
      <x:c r="F864" s="21" t="n">
        <x:f>F736*(1+'Assumptions'!$M$118)</x:f>
        <x:v>28.045024375603205</x:v>
      </x:c>
      <x:c r="G864" s="21" t="n">
        <x:f>H736*'Assumptions'!$K$118</x:f>
        <x:v>11.414433946752002</x:v>
      </x:c>
      <x:c r="H864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864+G864,NA())</x:f>
        <x:v>39.459458322355204</x:v>
      </x:c>
      <x:c r="I864" s="22" t="n">
        <x:f>'Assumptions'!$H$118*IF('Assumptions'!$O$118=1,1,'Assumptions'!$D$10)*(1+'Assumptions'!$N$118)^(7-1)</x:f>
        <x:v>197.07842337120002</x:v>
      </x:c>
      <x:c r="J864" s="10" t="n">
        <x:f>H864*I864</x:f>
        <x:v>7776.607833251341</x:v>
      </x:c>
      <x:c r="K864" s="10" t="n">
        <x:f>J864*'Assumptions'!$T$118</x:f>
        <x:v>7776.607833251341</x:v>
      </x:c>
      <x:c r="L864" s="10" t="n">
        <x:f>K864*'Assumptions'!$U$118</x:f>
        <x:v>233.29823499754022</x:v>
      </x:c>
      <x:c r="M864" s="10" t="n">
        <x:f>K864*'Assumptions'!$V$118</x:f>
        <x:v>155.5321566650268</x:v>
      </x:c>
      <x:c r="N864" s="10" t="n">
        <x:f>K864-L864-M864</x:f>
        <x:v>7387.777441588774</x:v>
      </x:c>
      <x:c r="O864" s="10" t="n">
        <x:f>H864*'Assumptions'!$P$118*'Assumptions'!$Q$118*'Assumptions'!$D$11*(1+'Assumptions'!$D$13)^(7-1)</x:f>
        <x:v>1177.916420739965</x:v>
      </x:c>
      <x:c r="P864" s="10" t="n">
        <x:f>H864*'Assumptions'!$R$118*'Assumptions'!$D$11*(1+'Assumptions'!$D$13)^(7-1)</x:f>
        <x:v>4240.499114663874</x:v>
      </x:c>
      <x:c r="Q864" s="10" t="n">
        <x:f>J864*'Assumptions'!$S$118</x:f>
        <x:v>0</x:v>
      </x:c>
      <x:c r="R864" s="10" t="n">
        <x:f>H864*'Assumptions'!$Y$118*'Assumptions'!$Z$118*'Assumptions'!$D$11*(1+'Assumptions'!$D$13)^(7-1)</x:f>
        <x:v>212.02495573319368</x:v>
      </x:c>
      <x:c r="S864" s="10" t="n">
        <x:f>IF(I864=0,0,J864*'Assumptions'!$W$118+H864*'Assumptions'!$X$118)</x:f>
        <x:v>237.35946466099546</x:v>
      </x:c>
      <x:c r="T864" s="10" t="n">
        <x:f>N864*'Assumptions'!$AA$118</x:f>
        <x:v>591.0221953271019</x:v>
      </x:c>
      <x:c r="U864" s="10" t="n">
        <x:f>'Assumptions'!$AE$118*'Assumptions'!$D$11*(1+'Assumptions'!$D$13)^(7-1)</x:f>
        <x:v>0</x:v>
      </x:c>
      <x:c r="V864" s="10" t="n">
        <x:f>0</x:f>
        <x:v>0</x:v>
      </x:c>
      <x:c r="W864" s="10" t="n">
        <x:f>H864*('Assumptions'!$P$118+'Assumptions'!$Y$118)</x:f>
        <x:v>25.648647909530883</x:v>
      </x:c>
      <x:c r="X864" s="10" t="n">
        <x:f>N864/12*'Assumptions'!$AF$118</x:f>
        <x:v>0</x:v>
      </x:c>
      <x:c r="Y864" s="10" t="n">
        <x:f>P864/12</x:f>
        <x:v>353.3749262219895</x:v>
      </x:c>
      <x:c r="Z864" s="10" t="n">
        <x:f>0</x:f>
        <x:v>0</x:v>
      </x:c>
      <x:c r="AA864" s="10" t="n">
        <x:f>Z864*'Assumptions'!$AC$118*'Assumptions'!$D$11*(1+'Assumptions'!$D$13)^(7-1)</x:f>
        <x:v>0</x:v>
      </x:c>
      <x:c r="AB864" s="10" t="n">
        <x:f>F864/1</x:f>
        <x:v>28.045024375603205</x:v>
      </x:c>
      <x:c r="AC864" s="10" t="n">
        <x:f>AB864/'Assumptions'!$AM$118</x:f>
        <x:v>934.8341458534402</x:v>
      </x:c>
      <x:c r="AD864" s="10" t="n">
        <x:f>IF(AB864=0,0,T864/AB864)</x:f>
        <x:v>21.074048195202895</x:v>
      </x:c>
      <x:c r="AE864" s="10" t="n">
        <x:f>AA864*'Assumptions'!$D$21</x:f>
        <x:v>0</x:v>
      </x:c>
    </x:row>
    <x:row r="865" ht="16" customHeight="1">
      <x:c r="A865" s="1"/>
      <x:c r="B865" s="1"/>
      <x:c r="C865" s="1" t="str">
        <x:v>DOT-090</x:v>
      </x:c>
      <x:c r="D865" s="10" t="str">
        <x:v>Semajes Marketplace</x:v>
      </x:c>
      <x:c r="E865" s="10" t="n">
        <x:v>7</x:v>
      </x:c>
      <x:c r="F865" s="21" t="n">
        <x:f>F737*(1+'Assumptions'!$M$119)</x:f>
        <x:v>79.19576064000002</x:v>
      </x:c>
      <x:c r="G865" s="21" t="n">
        <x:f>H737*'Assumptions'!$K$119</x:f>
        <x:v>138.5043576</x:v>
      </x:c>
      <x:c r="H865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865+G865,NA())</x:f>
        <x:v>217.70011824</x:v>
      </x:c>
      <x:c r="I865" s="22" t="n">
        <x:f>'Assumptions'!$H$119*IF('Assumptions'!$O$119=1,1,'Assumptions'!$D$10)*(1+'Assumptions'!$N$119)^(7-1)</x:f>
        <x:v>675.6974515584001</x:v>
      </x:c>
      <x:c r="J865" s="10" t="n">
        <x:f>H865*I865</x:f>
        <x:v>147099.41509873036</x:v>
      </x:c>
      <x:c r="K865" s="10" t="n">
        <x:f>J865*'Assumptions'!$T$119</x:f>
        <x:v>22064.912264809554</x:v>
      </x:c>
      <x:c r="L865" s="10" t="n">
        <x:f>K865*'Assumptions'!$U$119</x:f>
        <x:v>661.9473679442866</x:v>
      </x:c>
      <x:c r="M865" s="10" t="n">
        <x:f>K865*'Assumptions'!$V$119</x:f>
        <x:v>0</x:v>
      </x:c>
      <x:c r="N865" s="10" t="n">
        <x:f>K865-L865-M865</x:f>
        <x:v>21402.96489686527</x:v>
      </x:c>
      <x:c r="O865" s="10" t="n">
        <x:f>H865*'Assumptions'!$P$119*'Assumptions'!$Q$119*'Assumptions'!$D$11*(1+'Assumptions'!$D$13)^(7-1)</x:f>
        <x:v>2274.521603717185</x:v>
      </x:c>
      <x:c r="P865" s="10" t="n">
        <x:f>H865*'Assumptions'!$R$119*'Assumptions'!$D$11*(1+'Assumptions'!$D$13)^(7-1)</x:f>
        <x:v>0</x:v>
      </x:c>
      <x:c r="Q865" s="10" t="n">
        <x:f>J865*'Assumptions'!$S$119</x:f>
        <x:v>0</x:v>
      </x:c>
      <x:c r="R865" s="10" t="n">
        <x:f>H865*'Assumptions'!$Y$119*'Assumptions'!$Z$119*'Assumptions'!$D$11*(1+'Assumptions'!$D$13)^(7-1)</x:f>
        <x:v>1169.7539676259807</x:v>
      </x:c>
      <x:c r="S865" s="10" t="n">
        <x:f>IF(I865=0,0,J865*'Assumptions'!$W$119+H865*'Assumptions'!$X$119)</x:f>
        <x:v>4331.193073335181</x:v>
      </x:c>
      <x:c r="T865" s="10" t="n">
        <x:f>N865*'Assumptions'!$AA$119</x:f>
        <x:v>1070.1482448432635</x:v>
      </x:c>
      <x:c r="U865" s="10" t="n">
        <x:f>'Assumptions'!$AE$119*'Assumptions'!$D$11*(1+'Assumptions'!$D$13)^(7-1)</x:f>
        <x:v>286.57255116696</x:v>
      </x:c>
      <x:c r="V865" s="10" t="n">
        <x:f>0</x:f>
        <x:v>0</x:v>
      </x:c>
      <x:c r="W865" s="10" t="n">
        <x:f>H865*('Assumptions'!$P$119+'Assumptions'!$Y$119)</x:f>
        <x:v>87.080047296</x:v>
      </x:c>
      <x:c r="X865" s="10" t="n">
        <x:f>N865/12*'Assumptions'!$AF$119</x:f>
        <x:v>0</x:v>
      </x:c>
      <x:c r="Y865" s="10" t="n">
        <x:f>P865/12</x:f>
        <x:v>0</x:v>
      </x:c>
      <x:c r="Z865" s="10" t="n">
        <x:f>0</x:f>
        <x:v>0</x:v>
      </x:c>
      <x:c r="AA865" s="10" t="n">
        <x:f>Z865*'Assumptions'!$AC$119*'Assumptions'!$D$11*(1+'Assumptions'!$D$13)^(7-1)</x:f>
        <x:v>0</x:v>
      </x:c>
      <x:c r="AB865" s="10" t="n">
        <x:f>F865/1</x:f>
        <x:v>79.19576064000002</x:v>
      </x:c>
      <x:c r="AC865" s="10" t="n">
        <x:f>AB865/'Assumptions'!$AM$119</x:f>
        <x:v>1583.9152128000003</x:v>
      </x:c>
      <x:c r="AD865" s="10" t="n">
        <x:f>IF(AB865=0,0,T865/AB865)</x:f>
        <x:v>13.512696086193728</x:v>
      </x:c>
      <x:c r="AE865" s="10" t="n">
        <x:f>AA865*'Assumptions'!$D$21</x:f>
        <x:v>0</x:v>
      </x:c>
    </x:row>
    <x:row r="866" ht="16" customHeight="1">
      <x:c r="A866" s="1"/>
      <x:c r="B866" s="1"/>
      <x:c r="C866" s="1" t="str">
        <x:v>DOT-091</x:v>
      </x:c>
      <x:c r="D866" s="10" t="str">
        <x:v>Semajes Marketplace</x:v>
      </x:c>
      <x:c r="E866" s="10" t="n">
        <x:v>7</x:v>
      </x:c>
      <x:c r="F866" s="21" t="n">
        <x:f>F738*(1+'Assumptions'!$M$120)</x:f>
        <x:v>158.39152128000003</x:v>
      </x:c>
      <x:c r="G866" s="21" t="n">
        <x:f>H738*'Assumptions'!$K$120</x:f>
        <x:v>277.0087152</x:v>
      </x:c>
      <x:c r="H866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866+G866,NA())</x:f>
        <x:v>435.40023648</x:v>
      </x:c>
      <x:c r="I866" s="22" t="n">
        <x:f>'Assumptions'!$H$120*IF('Assumptions'!$O$120=1,1,'Assumptions'!$D$10)*(1+'Assumptions'!$N$120)^(7-1)</x:f>
        <x:v>84.46218144480001</x:v>
      </x:c>
      <x:c r="J866" s="10" t="n">
        <x:f>H866*I866</x:f>
        <x:v>36774.85377468259</x:v>
      </x:c>
      <x:c r="K866" s="10" t="n">
        <x:f>J866*'Assumptions'!$T$120</x:f>
        <x:v>7354.9707549365185</x:v>
      </x:c>
      <x:c r="L866" s="10" t="n">
        <x:f>K866*'Assumptions'!$U$120</x:f>
        <x:v>220.64912264809556</x:v>
      </x:c>
      <x:c r="M866" s="10" t="n">
        <x:f>K866*'Assumptions'!$V$120</x:f>
        <x:v>0</x:v>
      </x:c>
      <x:c r="N866" s="10" t="n">
        <x:f>K866-L866-M866</x:f>
        <x:v>7134.321632288423</x:v>
      </x:c>
      <x:c r="O866" s="10" t="n">
        <x:f>H866*'Assumptions'!$P$120*'Assumptions'!$Q$120*'Assumptions'!$D$11*(1+'Assumptions'!$D$13)^(7-1)</x:f>
        <x:v>1819.6172829737482</x:v>
      </x:c>
      <x:c r="P866" s="10" t="n">
        <x:f>H866*'Assumptions'!$R$120*'Assumptions'!$D$11*(1+'Assumptions'!$D$13)^(7-1)</x:f>
        <x:v>0</x:v>
      </x:c>
      <x:c r="Q866" s="10" t="n">
        <x:f>J866*'Assumptions'!$S$120</x:f>
        <x:v>0</x:v>
      </x:c>
      <x:c r="R866" s="10" t="n">
        <x:f>H866*'Assumptions'!$Y$120*'Assumptions'!$Z$120*'Assumptions'!$D$11*(1+'Assumptions'!$D$13)^(7-1)</x:f>
        <x:v>2339.5079352519615</x:v>
      </x:c>
      <x:c r="S866" s="10" t="n">
        <x:f>IF(I866=0,0,J866*'Assumptions'!$W$120+H866*'Assumptions'!$X$120)</x:f>
        <x:v>1197.0908304097952</x:v>
      </x:c>
      <x:c r="T866" s="10" t="n">
        <x:f>N866*'Assumptions'!$AA$120</x:f>
        <x:v>356.71608161442117</x:v>
      </x:c>
      <x:c r="U866" s="10" t="n">
        <x:f>'Assumptions'!$AE$120*'Assumptions'!$D$11*(1+'Assumptions'!$D$13)^(7-1)</x:f>
        <x:v>0</x:v>
      </x:c>
      <x:c r="V866" s="10" t="n">
        <x:f>0</x:f>
        <x:v>0</x:v>
      </x:c>
      <x:c r="W866" s="10" t="n">
        <x:f>H866*('Assumptions'!$P$120+'Assumptions'!$Y$120)</x:f>
        <x:v>108.85005912</x:v>
      </x:c>
      <x:c r="X866" s="10" t="n">
        <x:f>N866/12*'Assumptions'!$AF$120</x:f>
        <x:v>0</x:v>
      </x:c>
      <x:c r="Y866" s="10" t="n">
        <x:f>P866/12</x:f>
        <x:v>0</x:v>
      </x:c>
      <x:c r="Z866" s="10" t="n">
        <x:f>0</x:f>
        <x:v>0</x:v>
      </x:c>
      <x:c r="AA866" s="10" t="n">
        <x:f>Z866*'Assumptions'!$AC$120*'Assumptions'!$D$11*(1+'Assumptions'!$D$13)^(7-1)</x:f>
        <x:v>0</x:v>
      </x:c>
      <x:c r="AB866" s="10" t="n">
        <x:f>F866/1</x:f>
        <x:v>158.39152128000003</x:v>
      </x:c>
      <x:c r="AC866" s="10" t="n">
        <x:f>AB866/'Assumptions'!$AM$120</x:f>
        <x:v>3167.8304256000006</x:v>
      </x:c>
      <x:c r="AD866" s="10" t="n">
        <x:f>IF(AB866=0,0,T866/AB866)</x:f>
        <x:v>2.252116014365621</x:v>
      </x:c>
      <x:c r="AE866" s="10" t="n">
        <x:f>AA866*'Assumptions'!$D$21</x:f>
        <x:v>0</x:v>
      </x:c>
    </x:row>
    <x:row r="867" ht="16" customHeight="1">
      <x:c r="A867" s="1"/>
      <x:c r="B867" s="1"/>
      <x:c r="C867" s="1" t="str">
        <x:v>DOT-092</x:v>
      </x:c>
      <x:c r="D867" s="10" t="str">
        <x:v>Semajes Marketplace</x:v>
      </x:c>
      <x:c r="E867" s="10" t="n">
        <x:v>7</x:v>
      </x:c>
      <x:c r="F867" s="21" t="n">
        <x:f>F739*(1+'Assumptions'!$M$121)</x:f>
        <x:v>79.19576064000002</x:v>
      </x:c>
      <x:c r="G867" s="21" t="n">
        <x:f>H739*'Assumptions'!$K$121</x:f>
        <x:v>138.5043576</x:v>
      </x:c>
      <x:c r="H867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867+G867,NA())</x:f>
        <x:v>217.70011824</x:v>
      </x:c>
      <x:c r="I867" s="22" t="n">
        <x:f>'Assumptions'!$H$121*IF('Assumptions'!$O$121=1,1,'Assumptions'!$D$10)*(1+'Assumptions'!$N$121)^(7-1)</x:f>
        <x:v>281.54060481600004</x:v>
      </x:c>
      <x:c r="J867" s="10" t="n">
        <x:f>H867*I867</x:f>
        <x:v>61291.42295780432</x:v>
      </x:c>
      <x:c r="K867" s="10" t="n">
        <x:f>J867*'Assumptions'!$T$121</x:f>
        <x:v>12258.284591560865</x:v>
      </x:c>
      <x:c r="L867" s="10" t="n">
        <x:f>K867*'Assumptions'!$U$121</x:f>
        <x:v>367.74853774682595</x:v>
      </x:c>
      <x:c r="M867" s="10" t="n">
        <x:f>K867*'Assumptions'!$V$121</x:f>
        <x:v>0</x:v>
      </x:c>
      <x:c r="N867" s="10" t="n">
        <x:f>K867-L867-M867</x:f>
        <x:v>11890.53605381404</x:v>
      </x:c>
      <x:c r="O867" s="10" t="n">
        <x:f>H867*'Assumptions'!$P$121*'Assumptions'!$Q$121*'Assumptions'!$D$11*(1+'Assumptions'!$D$13)^(7-1)</x:f>
        <x:v>1364.712962230311</x:v>
      </x:c>
      <x:c r="P867" s="10" t="n">
        <x:f>H867*'Assumptions'!$R$121*'Assumptions'!$D$11*(1+'Assumptions'!$D$13)^(7-1)</x:f>
        <x:v>0</x:v>
      </x:c>
      <x:c r="Q867" s="10" t="n">
        <x:f>J867*'Assumptions'!$S$121</x:f>
        <x:v>0</x:v>
      </x:c>
      <x:c r="R867" s="10" t="n">
        <x:f>H867*'Assumptions'!$Y$121*'Assumptions'!$Z$121*'Assumptions'!$D$11*(1+'Assumptions'!$D$13)^(7-1)</x:f>
        <x:v>1169.7539676259807</x:v>
      </x:c>
      <x:c r="S867" s="10" t="n">
        <x:f>IF(I867=0,0,J867*'Assumptions'!$W$121+H867*'Assumptions'!$X$121)</x:f>
        <x:v>1842.7613012483255</x:v>
      </x:c>
      <x:c r="T867" s="10" t="n">
        <x:f>N867*'Assumptions'!$AA$121</x:f>
        <x:v>594.526802690702</x:v>
      </x:c>
      <x:c r="U867" s="10" t="n">
        <x:f>'Assumptions'!$AE$121*'Assumptions'!$D$11*(1+'Assumptions'!$D$13)^(7-1)</x:f>
        <x:v>0</x:v>
      </x:c>
      <x:c r="V867" s="10" t="n">
        <x:f>0</x:f>
        <x:v>0</x:v>
      </x:c>
      <x:c r="W867" s="10" t="n">
        <x:f>H867*('Assumptions'!$P$121+'Assumptions'!$Y$121)</x:f>
        <x:v>65.310035472</x:v>
      </x:c>
      <x:c r="X867" s="10" t="n">
        <x:f>N867/12*'Assumptions'!$AF$121</x:f>
        <x:v>0</x:v>
      </x:c>
      <x:c r="Y867" s="10" t="n">
        <x:f>P867/12</x:f>
        <x:v>0</x:v>
      </x:c>
      <x:c r="Z867" s="10" t="n">
        <x:f>0</x:f>
        <x:v>0</x:v>
      </x:c>
      <x:c r="AA867" s="10" t="n">
        <x:f>Z867*'Assumptions'!$AC$121*'Assumptions'!$D$11*(1+'Assumptions'!$D$13)^(7-1)</x:f>
        <x:v>0</x:v>
      </x:c>
      <x:c r="AB867" s="10" t="n">
        <x:f>F867/1</x:f>
        <x:v>79.19576064000002</x:v>
      </x:c>
      <x:c r="AC867" s="10" t="n">
        <x:f>AB867/'Assumptions'!$AM$121</x:f>
        <x:v>1583.9152128000003</x:v>
      </x:c>
      <x:c r="AD867" s="10" t="n">
        <x:f>IF(AB867=0,0,T867/AB867)</x:f>
        <x:v>7.507053381218738</x:v>
      </x:c>
      <x:c r="AE867" s="10" t="n">
        <x:f>AA867*'Assumptions'!$D$21</x:f>
        <x:v>0</x:v>
      </x:c>
    </x:row>
    <x:row r="868" ht="16" customHeight="1">
      <x:c r="A868" s="1"/>
      <x:c r="B868" s="1"/>
      <x:c r="C868" s="1" t="str">
        <x:v>DOT-093</x:v>
      </x:c>
      <x:c r="D868" s="10" t="str">
        <x:v>Semajes Marketplace</x:v>
      </x:c>
      <x:c r="E868" s="10" t="n">
        <x:v>7</x:v>
      </x:c>
      <x:c r="F868" s="21" t="n">
        <x:f>F740*(1+'Assumptions'!$M$122)</x:f>
        <x:v>15.839152128</x:v>
      </x:c>
      <x:c r="G868" s="21" t="n">
        <x:f>H740*'Assumptions'!$K$122</x:f>
        <x:v>27.70087152</x:v>
      </x:c>
      <x:c r="H868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868+G868,NA())</x:f>
        <x:v>43.540023648</x:v>
      </x:c>
      <x:c r="I868" s="22" t="n">
        <x:f>'Assumptions'!$H$122*IF('Assumptions'!$O$122=1,1,'Assumptions'!$D$10)*(1+'Assumptions'!$N$122)^(7-1)</x:f>
        <x:v>563.0812096320001</x:v>
      </x:c>
      <x:c r="J868" s="10" t="n">
        <x:f>H868*I868</x:f>
        <x:v>24516.56918312173</x:v>
      </x:c>
      <x:c r="K868" s="10" t="n">
        <x:f>J868*'Assumptions'!$T$122</x:f>
        <x:v>3677.4853774682592</x:v>
      </x:c>
      <x:c r="L868" s="10" t="n">
        <x:f>K868*'Assumptions'!$U$122</x:f>
        <x:v>110.32456132404778</x:v>
      </x:c>
      <x:c r="M868" s="10" t="n">
        <x:f>K868*'Assumptions'!$V$122</x:f>
        <x:v>0</x:v>
      </x:c>
      <x:c r="N868" s="10" t="n">
        <x:f>K868-L868-M868</x:f>
        <x:v>3567.1608161442114</x:v>
      </x:c>
      <x:c r="O868" s="10" t="n">
        <x:f>H868*'Assumptions'!$P$122*'Assumptions'!$Q$122*'Assumptions'!$D$11*(1+'Assumptions'!$D$13)^(7-1)</x:f>
        <x:v>454.90432074343704</x:v>
      </x:c>
      <x:c r="P868" s="10" t="n">
        <x:f>H868*'Assumptions'!$R$122*'Assumptions'!$D$11*(1+'Assumptions'!$D$13)^(7-1)</x:f>
        <x:v>0</x:v>
      </x:c>
      <x:c r="Q868" s="10" t="n">
        <x:f>J868*'Assumptions'!$S$122</x:f>
        <x:v>0</x:v>
      </x:c>
      <x:c r="R868" s="10" t="n">
        <x:f>H868*'Assumptions'!$Y$122*'Assumptions'!$Z$122*'Assumptions'!$D$11*(1+'Assumptions'!$D$13)^(7-1)</x:f>
        <x:v>233.9507935251962</x:v>
      </x:c>
      <x:c r="S868" s="10" t="n">
        <x:f>IF(I868=0,0,J868*'Assumptions'!$W$122+H868*'Assumptions'!$X$122)</x:f>
        <x:v>724.0425134049302</x:v>
      </x:c>
      <x:c r="T868" s="10" t="n">
        <x:f>N868*'Assumptions'!$AA$122</x:f>
        <x:v>178.35804080721059</x:v>
      </x:c>
      <x:c r="U868" s="10" t="n">
        <x:f>'Assumptions'!$AE$122*'Assumptions'!$D$11*(1+'Assumptions'!$D$13)^(7-1)</x:f>
        <x:v>0</x:v>
      </x:c>
      <x:c r="V868" s="10" t="n">
        <x:f>0</x:f>
        <x:v>0</x:v>
      </x:c>
      <x:c r="W868" s="10" t="n">
        <x:f>H868*('Assumptions'!$P$122+'Assumptions'!$Y$122)</x:f>
        <x:v>17.4160094592</x:v>
      </x:c>
      <x:c r="X868" s="10" t="n">
        <x:f>N868/12*'Assumptions'!$AF$122</x:f>
        <x:v>0</x:v>
      </x:c>
      <x:c r="Y868" s="10" t="n">
        <x:f>P868/12</x:f>
        <x:v>0</x:v>
      </x:c>
      <x:c r="Z868" s="10" t="n">
        <x:f>0</x:f>
        <x:v>0</x:v>
      </x:c>
      <x:c r="AA868" s="10" t="n">
        <x:f>Z868*'Assumptions'!$AC$122*'Assumptions'!$D$11*(1+'Assumptions'!$D$13)^(7-1)</x:f>
        <x:v>0</x:v>
      </x:c>
      <x:c r="AB868" s="10" t="n">
        <x:f>F868/1</x:f>
        <x:v>15.839152128</x:v>
      </x:c>
      <x:c r="AC868" s="10" t="n">
        <x:f>AB868/'Assumptions'!$AM$122</x:f>
        <x:v>316.78304256</x:v>
      </x:c>
      <x:c r="AD868" s="10" t="n">
        <x:f>IF(AB868=0,0,T868/AB868)</x:f>
        <x:v>11.260580071828109</x:v>
      </x:c>
      <x:c r="AE868" s="10" t="n">
        <x:f>AA868*'Assumptions'!$D$21</x:f>
        <x:v>0</x:v>
      </x:c>
    </x:row>
    <x:row r="869" ht="16" customHeight="1">
      <x:c r="A869" s="1"/>
      <x:c r="B869" s="1"/>
      <x:c r="C869" s="1" t="str">
        <x:v>DOT-094</x:v>
      </x:c>
      <x:c r="D869" s="10" t="str">
        <x:v>Semajes premium and media</x:v>
      </x:c>
      <x:c r="E869" s="10" t="n">
        <x:v>7</x:v>
      </x:c>
      <x:c r="F869" s="21" t="n">
        <x:f>F741*(1+'Assumptions'!$M$123)</x:f>
        <x:v>79.19576064000002</x:v>
      </x:c>
      <x:c r="G869" s="21" t="n">
        <x:f>H741*'Assumptions'!$K$123</x:f>
        <x:v>138.5043576</x:v>
      </x:c>
      <x:c r="H869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869+G869,NA())</x:f>
        <x:v>217.70011824</x:v>
      </x:c>
      <x:c r="I869" s="22" t="n">
        <x:f>'Assumptions'!$H$123*IF('Assumptions'!$O$123=1,1,'Assumptions'!$D$10)*(1+'Assumptions'!$N$123)^(7-1)</x:f>
        <x:v>10.135461773376</x:v>
      </x:c>
      <x:c r="J869" s="10" t="n">
        <x:f>H869*I869</x:f>
        <x:v>2206.4912264809554</x:v>
      </x:c>
      <x:c r="K869" s="10" t="n">
        <x:f>J869*'Assumptions'!$T$123</x:f>
        <x:v>2206.4912264809554</x:v>
      </x:c>
      <x:c r="L869" s="10" t="n">
        <x:f>K869*'Assumptions'!$U$123</x:f>
        <x:v>66.19473679442866</x:v>
      </x:c>
      <x:c r="M869" s="10" t="n">
        <x:f>K869*'Assumptions'!$V$123</x:f>
        <x:v>0</x:v>
      </x:c>
      <x:c r="N869" s="10" t="n">
        <x:f>K869-L869-M869</x:f>
        <x:v>2140.296489686527</x:v>
      </x:c>
      <x:c r="O869" s="10" t="n">
        <x:f>H869*'Assumptions'!$P$123*'Assumptions'!$Q$123*'Assumptions'!$D$11*(1+'Assumptions'!$D$13)^(7-1)</x:f>
        <x:v>454.90432074343704</x:v>
      </x:c>
      <x:c r="P869" s="10" t="n">
        <x:f>H869*'Assumptions'!$R$123*'Assumptions'!$D$11*(1+'Assumptions'!$D$13)^(7-1)</x:f>
        <x:v>0</x:v>
      </x:c>
      <x:c r="Q869" s="10" t="n">
        <x:f>J869*'Assumptions'!$S$123</x:f>
        <x:v>0</x:v>
      </x:c>
      <x:c r="R869" s="10" t="n">
        <x:f>H869*'Assumptions'!$Y$123*'Assumptions'!$Z$123*'Assumptions'!$D$11*(1+'Assumptions'!$D$13)^(7-1)</x:f>
        <x:v>1169.7539676259807</x:v>
      </x:c>
      <x:c r="S869" s="10" t="n">
        <x:f>IF(I869=0,0,J869*'Assumptions'!$W$123+H869*'Assumptions'!$X$123)</x:f>
        <x:v>129.2982810399477</x:v>
      </x:c>
      <x:c r="T869" s="10" t="n">
        <x:f>N869*'Assumptions'!$AA$123</x:f>
        <x:v>107.01482448432635</x:v>
      </x:c>
      <x:c r="U869" s="10" t="n">
        <x:f>'Assumptions'!$AE$123*'Assumptions'!$D$11*(1+'Assumptions'!$D$13)^(7-1)</x:f>
        <x:v>0</x:v>
      </x:c>
      <x:c r="V869" s="10" t="n">
        <x:f>0</x:f>
        <x:v>0</x:v>
      </x:c>
      <x:c r="W869" s="10" t="n">
        <x:f>H869*('Assumptions'!$P$123+'Assumptions'!$Y$123)</x:f>
        <x:v>43.540023648</x:v>
      </x:c>
      <x:c r="X869" s="10" t="n">
        <x:f>N869/12*'Assumptions'!$AF$123</x:f>
        <x:v>0</x:v>
      </x:c>
      <x:c r="Y869" s="10" t="n">
        <x:f>P869/12</x:f>
        <x:v>0</x:v>
      </x:c>
      <x:c r="Z869" s="10" t="n">
        <x:f>0</x:f>
        <x:v>0</x:v>
      </x:c>
      <x:c r="AA869" s="10" t="n">
        <x:f>Z869*'Assumptions'!$AC$123*'Assumptions'!$D$11*(1+'Assumptions'!$D$13)^(7-1)</x:f>
        <x:v>0</x:v>
      </x:c>
      <x:c r="AB869" s="10" t="n">
        <x:f>F869/12</x:f>
        <x:v>6.599646720000002</x:v>
      </x:c>
      <x:c r="AC869" s="10" t="n">
        <x:f>AB869/'Assumptions'!$AM$123</x:f>
        <x:v>131.99293440000002</x:v>
      </x:c>
      <x:c r="AD869" s="10" t="n">
        <x:f>IF(AB869=0,0,T869/AB869)</x:f>
        <x:v>16.215235303432472</x:v>
      </x:c>
      <x:c r="AE869" s="10" t="n">
        <x:f>AA869*'Assumptions'!$D$21</x:f>
        <x:v>0</x:v>
      </x:c>
    </x:row>
    <x:row r="870" ht="16" customHeight="1">
      <x:c r="A870" s="1"/>
      <x:c r="B870" s="1"/>
      <x:c r="C870" s="1" t="str">
        <x:v>DOT-095</x:v>
      </x:c>
      <x:c r="D870" s="10" t="str">
        <x:v>Semajes premium and media</x:v>
      </x:c>
      <x:c r="E870" s="10" t="n">
        <x:v>7</x:v>
      </x:c>
      <x:c r="F870" s="21" t="n">
        <x:f>F742*(1+'Assumptions'!$M$124)</x:f>
        <x:v>79.19576064000002</x:v>
      </x:c>
      <x:c r="G870" s="21" t="n">
        <x:f>H742*'Assumptions'!$K$124</x:f>
        <x:v>138.5043576</x:v>
      </x:c>
      <x:c r="H870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870+G870,NA())</x:f>
        <x:v>217.70011824</x:v>
      </x:c>
      <x:c r="I870" s="22" t="n">
        <x:f>'Assumptions'!$H$124*IF('Assumptions'!$O$124=1,1,'Assumptions'!$D$10)*(1+'Assumptions'!$N$124)^(7-1)</x:f>
        <x:v>21.397085966016</x:v>
      </x:c>
      <x:c r="J870" s="10" t="n">
        <x:f>H870*I870</x:f>
        <x:v>4658.148144793127</x:v>
      </x:c>
      <x:c r="K870" s="10" t="n">
        <x:f>J870*'Assumptions'!$T$124</x:f>
        <x:v>4658.148144793127</x:v>
      </x:c>
      <x:c r="L870" s="10" t="n">
        <x:f>K870*'Assumptions'!$U$124</x:f>
        <x:v>139.74444434379382</x:v>
      </x:c>
      <x:c r="M870" s="10" t="n">
        <x:f>K870*'Assumptions'!$V$124</x:f>
        <x:v>0</x:v>
      </x:c>
      <x:c r="N870" s="10" t="n">
        <x:f>K870-L870-M870</x:f>
        <x:v>4518.403700449334</x:v>
      </x:c>
      <x:c r="O870" s="10" t="n">
        <x:f>H870*'Assumptions'!$P$124*'Assumptions'!$Q$124*'Assumptions'!$D$11*(1+'Assumptions'!$D$13)^(7-1)</x:f>
        <x:v>909.8086414868741</x:v>
      </x:c>
      <x:c r="P870" s="10" t="n">
        <x:f>H870*'Assumptions'!$R$124*'Assumptions'!$D$11*(1+'Assumptions'!$D$13)^(7-1)</x:f>
        <x:v>0</x:v>
      </x:c>
      <x:c r="Q870" s="10" t="n">
        <x:f>J870*'Assumptions'!$S$124</x:f>
        <x:v>0</x:v>
      </x:c>
      <x:c r="R870" s="10" t="n">
        <x:f>H870*'Assumptions'!$Y$124*'Assumptions'!$Z$124*'Assumptions'!$D$11*(1+'Assumptions'!$D$13)^(7-1)</x:f>
        <x:v>1169.7539676259807</x:v>
      </x:c>
      <x:c r="S870" s="10" t="n">
        <x:f>IF(I870=0,0,J870*'Assumptions'!$W$124+H870*'Assumptions'!$X$124)</x:f>
        <x:v>200.39633167100072</x:v>
      </x:c>
      <x:c r="T870" s="10" t="n">
        <x:f>N870*'Assumptions'!$AA$124</x:f>
        <x:v>225.9201850224667</x:v>
      </x:c>
      <x:c r="U870" s="10" t="n">
        <x:f>'Assumptions'!$AE$124*'Assumptions'!$D$11*(1+'Assumptions'!$D$13)^(7-1)</x:f>
        <x:v>0</x:v>
      </x:c>
      <x:c r="V870" s="10" t="n">
        <x:f>0</x:f>
        <x:v>0</x:v>
      </x:c>
      <x:c r="W870" s="10" t="n">
        <x:f>H870*('Assumptions'!$P$124+'Assumptions'!$Y$124)</x:f>
        <x:v>54.42502956</x:v>
      </x:c>
      <x:c r="X870" s="10" t="n">
        <x:f>N870/12*'Assumptions'!$AF$124</x:f>
        <x:v>0</x:v>
      </x:c>
      <x:c r="Y870" s="10" t="n">
        <x:f>P870/12</x:f>
        <x:v>0</x:v>
      </x:c>
      <x:c r="Z870" s="10" t="n">
        <x:f>0</x:f>
        <x:v>0</x:v>
      </x:c>
      <x:c r="AA870" s="10" t="n">
        <x:f>Z870*'Assumptions'!$AC$124*'Assumptions'!$D$11*(1+'Assumptions'!$D$13)^(7-1)</x:f>
        <x:v>0</x:v>
      </x:c>
      <x:c r="AB870" s="10" t="n">
        <x:f>F870/12</x:f>
        <x:v>6.599646720000002</x:v>
      </x:c>
      <x:c r="AC870" s="10" t="n">
        <x:f>AB870/'Assumptions'!$AM$124</x:f>
        <x:v>131.99293440000002</x:v>
      </x:c>
      <x:c r="AD870" s="10" t="n">
        <x:f>IF(AB870=0,0,T870/AB870)</x:f>
        <x:v>34.23216341835744</x:v>
      </x:c>
      <x:c r="AE870" s="10" t="n">
        <x:f>AA870*'Assumptions'!$D$21</x:f>
        <x:v>0</x:v>
      </x:c>
    </x:row>
    <x:row r="871" ht="16" customHeight="1">
      <x:c r="A871" s="1"/>
      <x:c r="B871" s="1"/>
      <x:c r="C871" s="1" t="str">
        <x:v>DOT-096</x:v>
      </x:c>
      <x:c r="D871" s="10" t="str">
        <x:v>Semajes premium and media</x:v>
      </x:c>
      <x:c r="E871" s="10" t="n">
        <x:v>7</x:v>
      </x:c>
      <x:c r="F871" s="21" t="n">
        <x:f>F743*(1+'Assumptions'!$M$125)</x:f>
        <x:v>39.59788032000001</x:v>
      </x:c>
      <x:c r="G871" s="21" t="n">
        <x:f>H743*'Assumptions'!$K$125</x:f>
        <x:v>69.2521788</x:v>
      </x:c>
      <x:c r="H871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871+G871,NA())</x:f>
        <x:v>108.85005912</x:v>
      </x:c>
      <x:c r="I871" s="22" t="n">
        <x:f>'Assumptions'!$H$125*IF('Assumptions'!$O$125=1,1,'Assumptions'!$D$10)*(1+'Assumptions'!$N$125)^(7-1)</x:f>
        <x:v>43.920334351296006</x:v>
      </x:c>
      <x:c r="J871" s="10" t="n">
        <x:f>H871*I871</x:f>
        <x:v>4780.730990708737</x:v>
      </x:c>
      <x:c r="K871" s="10" t="n">
        <x:f>J871*'Assumptions'!$T$125</x:f>
        <x:v>4780.730990708737</x:v>
      </x:c>
      <x:c r="L871" s="10" t="n">
        <x:f>K871*'Assumptions'!$U$125</x:f>
        <x:v>143.4219297212621</x:v>
      </x:c>
      <x:c r="M871" s="10" t="n">
        <x:f>K871*'Assumptions'!$V$125</x:f>
        <x:v>0</x:v>
      </x:c>
      <x:c r="N871" s="10" t="n">
        <x:f>K871-L871-M871</x:f>
        <x:v>4637.309060987475</x:v>
      </x:c>
      <x:c r="O871" s="10" t="n">
        <x:f>H871*'Assumptions'!$P$125*'Assumptions'!$Q$125*'Assumptions'!$D$11*(1+'Assumptions'!$D$13)^(7-1)</x:f>
        <x:v>909.8086414868741</x:v>
      </x:c>
      <x:c r="P871" s="10" t="n">
        <x:f>H871*'Assumptions'!$R$125*'Assumptions'!$D$11*(1+'Assumptions'!$D$13)^(7-1)</x:f>
        <x:v>0</x:v>
      </x:c>
      <x:c r="Q871" s="10" t="n">
        <x:f>J871*'Assumptions'!$S$125</x:f>
        <x:v>0</x:v>
      </x:c>
      <x:c r="R871" s="10" t="n">
        <x:f>H871*'Assumptions'!$Y$125*'Assumptions'!$Z$125*'Assumptions'!$D$11*(1+'Assumptions'!$D$13)^(7-1)</x:f>
        <x:v>584.8769838129904</x:v>
      </x:c>
      <x:c r="S871" s="10" t="n">
        <x:f>IF(I871=0,0,J871*'Assumptions'!$W$125+H871*'Assumptions'!$X$125)</x:f>
        <x:v>171.29621646655337</x:v>
      </x:c>
      <x:c r="T871" s="10" t="n">
        <x:f>N871*'Assumptions'!$AA$125</x:f>
        <x:v>231.86545304937377</x:v>
      </x:c>
      <x:c r="U871" s="10" t="n">
        <x:f>'Assumptions'!$AE$125*'Assumptions'!$D$11*(1+'Assumptions'!$D$13)^(7-1)</x:f>
        <x:v>0</x:v>
      </x:c>
      <x:c r="V871" s="10" t="n">
        <x:f>0</x:f>
        <x:v>0</x:v>
      </x:c>
      <x:c r="W871" s="10" t="n">
        <x:f>H871*('Assumptions'!$P$125+'Assumptions'!$Y$125)</x:f>
        <x:v>38.097520691999996</x:v>
      </x:c>
      <x:c r="X871" s="10" t="n">
        <x:f>N871/12*'Assumptions'!$AF$125</x:f>
        <x:v>0</x:v>
      </x:c>
      <x:c r="Y871" s="10" t="n">
        <x:f>P871/12</x:f>
        <x:v>0</x:v>
      </x:c>
      <x:c r="Z871" s="10" t="n">
        <x:f>0</x:f>
        <x:v>0</x:v>
      </x:c>
      <x:c r="AA871" s="10" t="n">
        <x:f>Z871*'Assumptions'!$AC$125*'Assumptions'!$D$11*(1+'Assumptions'!$D$13)^(7-1)</x:f>
        <x:v>0</x:v>
      </x:c>
      <x:c r="AB871" s="10" t="n">
        <x:f>F871/12</x:f>
        <x:v>3.299823360000001</x:v>
      </x:c>
      <x:c r="AC871" s="10" t="n">
        <x:f>AB871/'Assumptions'!$AM$125</x:f>
        <x:v>65.99646720000001</x:v>
      </x:c>
      <x:c r="AD871" s="10" t="n">
        <x:f>IF(AB871=0,0,T871/AB871)</x:f>
        <x:v>70.26601964820739</x:v>
      </x:c>
      <x:c r="AE871" s="10" t="n">
        <x:f>AA871*'Assumptions'!$D$21</x:f>
        <x:v>0</x:v>
      </x:c>
    </x:row>
    <x:row r="872" ht="16" customHeight="1">
      <x:c r="A872" s="1"/>
      <x:c r="B872" s="1"/>
      <x:c r="C872" s="1" t="str">
        <x:v>DOT-097</x:v>
      </x:c>
      <x:c r="D872" s="10" t="str">
        <x:v>Semajes premium and media</x:v>
      </x:c>
      <x:c r="E872" s="10" t="n">
        <x:v>7</x:v>
      </x:c>
      <x:c r="F872" s="21" t="n">
        <x:f>F744*(1+'Assumptions'!$M$126)</x:f>
        <x:v>23.758728191999996</x:v>
      </x:c>
      <x:c r="G872" s="21" t="n">
        <x:f>H744*'Assumptions'!$K$126</x:f>
        <x:v>41.55130727999999</x:v>
      </x:c>
      <x:c r="H872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872+G872,NA())</x:f>
        <x:v>65.31003547199998</x:v>
      </x:c>
      <x:c r="I872" s="22" t="n">
        <x:f>'Assumptions'!$H$126*IF('Assumptions'!$O$126=1,1,'Assumptions'!$D$10)*(1+'Assumptions'!$N$126)^(7-1)</x:f>
        <x:v>111.490079507136</x:v>
      </x:c>
      <x:c r="J872" s="10" t="n">
        <x:f>H872*I872</x:f>
        <x:v>7281.421047387151</x:v>
      </x:c>
      <x:c r="K872" s="10" t="n">
        <x:f>J872*'Assumptions'!$T$126</x:f>
        <x:v>7281.421047387151</x:v>
      </x:c>
      <x:c r="L872" s="10" t="n">
        <x:f>K872*'Assumptions'!$U$126</x:f>
        <x:v>218.44263142161452</x:v>
      </x:c>
      <x:c r="M872" s="10" t="n">
        <x:f>K872*'Assumptions'!$V$126</x:f>
        <x:v>0</x:v>
      </x:c>
      <x:c r="N872" s="10" t="n">
        <x:f>K872-L872-M872</x:f>
        <x:v>7062.978415965536</x:v>
      </x:c>
      <x:c r="O872" s="10" t="n">
        <x:f>H872*'Assumptions'!$P$126*'Assumptions'!$Q$126*'Assumptions'!$D$11*(1+'Assumptions'!$D$13)^(7-1)</x:f>
        <x:v>2729.4259244606214</x:v>
      </x:c>
      <x:c r="P872" s="10" t="n">
        <x:f>H872*'Assumptions'!$R$126*'Assumptions'!$D$11*(1+'Assumptions'!$D$13)^(7-1)</x:f>
        <x:v>0</x:v>
      </x:c>
      <x:c r="Q872" s="10" t="n">
        <x:f>J872*'Assumptions'!$S$126</x:f>
        <x:v>0</x:v>
      </x:c>
      <x:c r="R872" s="10" t="n">
        <x:f>H872*'Assumptions'!$Y$126*'Assumptions'!$Z$126*'Assumptions'!$D$11*(1+'Assumptions'!$D$13)^(7-1)</x:f>
        <x:v>350.9261902877941</x:v>
      </x:c>
      <x:c r="S872" s="10" t="n">
        <x:f>IF(I872=0,0,J872*'Assumptions'!$W$126+H872*'Assumptions'!$X$126)</x:f>
        <x:v>230.75422101582737</x:v>
      </x:c>
      <x:c r="T872" s="10" t="n">
        <x:f>N872*'Assumptions'!$AA$126</x:f>
        <x:v>353.14892079827683</x:v>
      </x:c>
      <x:c r="U872" s="10" t="n">
        <x:f>'Assumptions'!$AE$126*'Assumptions'!$D$11*(1+'Assumptions'!$D$13)^(7-1)</x:f>
        <x:v>0</x:v>
      </x:c>
      <x:c r="V872" s="10" t="n">
        <x:f>0</x:f>
        <x:v>0</x:v>
      </x:c>
      <x:c r="W872" s="10" t="n">
        <x:f>H872*('Assumptions'!$P$126+'Assumptions'!$Y$126)</x:f>
        <x:v>75.10654079279998</x:v>
      </x:c>
      <x:c r="X872" s="10" t="n">
        <x:f>N872/12*'Assumptions'!$AF$126</x:f>
        <x:v>0</x:v>
      </x:c>
      <x:c r="Y872" s="10" t="n">
        <x:f>P872/12</x:f>
        <x:v>0</x:v>
      </x:c>
      <x:c r="Z872" s="10" t="n">
        <x:f>0</x:f>
        <x:v>0</x:v>
      </x:c>
      <x:c r="AA872" s="10" t="n">
        <x:f>Z872*'Assumptions'!$AC$126*'Assumptions'!$D$11*(1+'Assumptions'!$D$13)^(7-1)</x:f>
        <x:v>0</x:v>
      </x:c>
      <x:c r="AB872" s="10" t="n">
        <x:f>F872/1</x:f>
        <x:v>23.758728191999996</x:v>
      </x:c>
      <x:c r="AC872" s="10" t="n">
        <x:f>AB872/'Assumptions'!$AM$126</x:f>
        <x:v>475.1745638399999</x:v>
      </x:c>
      <x:c r="AD872" s="10" t="n">
        <x:f>IF(AB872=0,0,T872/AB872)</x:f>
        <x:v>14.863965694813102</x:v>
      </x:c>
      <x:c r="AE872" s="10" t="n">
        <x:f>AA872*'Assumptions'!$D$21</x:f>
        <x:v>0</x:v>
      </x:c>
    </x:row>
    <x:row r="873" ht="16" customHeight="1">
      <x:c r="A873" s="1"/>
      <x:c r="B873" s="1"/>
      <x:c r="C873" s="1" t="str">
        <x:v>DOT-098</x:v>
      </x:c>
      <x:c r="D873" s="10" t="str">
        <x:v>Semajes premium and media</x:v>
      </x:c>
      <x:c r="E873" s="10" t="n">
        <x:v>7</x:v>
      </x:c>
      <x:c r="F873" s="21" t="n">
        <x:f>F745*(1+'Assumptions'!$M$127)</x:f>
        <x:v>11.879364095999998</x:v>
      </x:c>
      <x:c r="G873" s="21" t="n">
        <x:f>H745*'Assumptions'!$K$127</x:f>
        <x:v>20.775653639999994</x:v>
      </x:c>
      <x:c r="H873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873+G873,NA())</x:f>
        <x:v>32.65501773599999</x:v>
      </x:c>
      <x:c r="I873" s="22" t="n">
        <x:f>'Assumptions'!$H$127*IF('Assumptions'!$O$127=1,1,'Assumptions'!$D$10)*(1+'Assumptions'!$N$127)^(7-1)</x:f>
        <x:v>280.41444239673604</x:v>
      </x:c>
      <x:c r="J873" s="10" t="n">
        <x:f>H873*I873</x:f>
        <x:v>9156.938589895963</x:v>
      </x:c>
      <x:c r="K873" s="10" t="n">
        <x:f>J873*'Assumptions'!$T$127</x:f>
        <x:v>9156.938589895963</x:v>
      </x:c>
      <x:c r="L873" s="10" t="n">
        <x:f>K873*'Assumptions'!$U$127</x:f>
        <x:v>274.70815769687886</x:v>
      </x:c>
      <x:c r="M873" s="10" t="n">
        <x:f>K873*'Assumptions'!$V$127</x:f>
        <x:v>0</x:v>
      </x:c>
      <x:c r="N873" s="10" t="n">
        <x:f>K873-L873-M873</x:f>
        <x:v>8882.230432199083</x:v>
      </x:c>
      <x:c r="O873" s="10" t="n">
        <x:f>H873*'Assumptions'!$P$127*'Assumptions'!$Q$127*'Assumptions'!$D$11*(1+'Assumptions'!$D$13)^(7-1)</x:f>
        <x:v>4094.138886690932</x:v>
      </x:c>
      <x:c r="P873" s="10" t="n">
        <x:f>H873*'Assumptions'!$R$127*'Assumptions'!$D$11*(1+'Assumptions'!$D$13)^(7-1)</x:f>
        <x:v>0</x:v>
      </x:c>
      <x:c r="Q873" s="10" t="n">
        <x:f>J873*'Assumptions'!$S$127</x:f>
        <x:v>0</x:v>
      </x:c>
      <x:c r="R873" s="10" t="n">
        <x:f>H873*'Assumptions'!$Y$127*'Assumptions'!$Z$127*'Assumptions'!$D$11*(1+'Assumptions'!$D$13)^(7-1)</x:f>
        <x:v>175.46309514389705</x:v>
      </x:c>
      <x:c r="S873" s="10" t="n">
        <x:f>IF(I873=0,0,J873*'Assumptions'!$W$127+H873*'Assumptions'!$X$127)</x:f>
        <x:v>275.34772442778296</x:v>
      </x:c>
      <x:c r="T873" s="10" t="n">
        <x:f>N873*'Assumptions'!$AA$127</x:f>
        <x:v>444.1115216099542</x:v>
      </x:c>
      <x:c r="U873" s="10" t="n">
        <x:f>'Assumptions'!$AE$127*'Assumptions'!$D$11*(1+'Assumptions'!$D$13)^(7-1)</x:f>
        <x:v>0</x:v>
      </x:c>
      <x:c r="V873" s="10" t="n">
        <x:f>0</x:f>
        <x:v>0</x:v>
      </x:c>
      <x:c r="W873" s="10" t="n">
        <x:f>H873*('Assumptions'!$P$127+'Assumptions'!$Y$127)</x:f>
        <x:v>102.86330586839996</x:v>
      </x:c>
      <x:c r="X873" s="10" t="n">
        <x:f>N873/12*'Assumptions'!$AF$127</x:f>
        <x:v>0</x:v>
      </x:c>
      <x:c r="Y873" s="10" t="n">
        <x:f>P873/12</x:f>
        <x:v>0</x:v>
      </x:c>
      <x:c r="Z873" s="10" t="n">
        <x:f>0</x:f>
        <x:v>0</x:v>
      </x:c>
      <x:c r="AA873" s="10" t="n">
        <x:f>Z873*'Assumptions'!$AC$127*'Assumptions'!$D$11*(1+'Assumptions'!$D$13)^(7-1)</x:f>
        <x:v>0</x:v>
      </x:c>
      <x:c r="AB873" s="10" t="n">
        <x:f>F873/1</x:f>
        <x:v>11.879364095999998</x:v>
      </x:c>
      <x:c r="AC873" s="10" t="n">
        <x:f>AB873/'Assumptions'!$AM$127</x:f>
        <x:v>237.58728191999995</x:v>
      </x:c>
      <x:c r="AD873" s="10" t="n">
        <x:f>IF(AB873=0,0,T873/AB873)</x:f>
        <x:v>37.385125838469314</x:v>
      </x:c>
      <x:c r="AE873" s="10" t="n">
        <x:f>AA873*'Assumptions'!$D$21</x:f>
        <x:v>0</x:v>
      </x:c>
    </x:row>
    <x:row r="874" ht="16" customHeight="1">
      <x:c r="A874" s="1"/>
      <x:c r="B874" s="1"/>
      <x:c r="C874" s="1" t="str">
        <x:v>DOT-099</x:v>
      </x:c>
      <x:c r="D874" s="10" t="str">
        <x:v>Semajes premium and media</x:v>
      </x:c>
      <x:c r="E874" s="10" t="n">
        <x:v>7</x:v>
      </x:c>
      <x:c r="F874" s="21" t="n">
        <x:f>F746*(1+'Assumptions'!$M$128)</x:f>
        <x:v>39.59788032000001</x:v>
      </x:c>
      <x:c r="G874" s="21" t="n">
        <x:f>H746*'Assumptions'!$K$128</x:f>
        <x:v>69.2521788</x:v>
      </x:c>
      <x:c r="H874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874+G874,NA())</x:f>
        <x:v>108.85005912</x:v>
      </x:c>
      <x:c r="I874" s="22" t="n">
        <x:f>'Assumptions'!$H$128*IF('Assumptions'!$O$128=1,1,'Assumptions'!$D$10)*(1+'Assumptions'!$N$128)^(7-1)</x:f>
        <x:v>32.658710158656</x:v>
      </x:c>
      <x:c r="J874" s="10" t="n">
        <x:f>H874*I874</x:f>
        <x:v>3554.90253155265</x:v>
      </x:c>
      <x:c r="K874" s="10" t="n">
        <x:f>J874*'Assumptions'!$T$128</x:f>
        <x:v>3554.90253155265</x:v>
      </x:c>
      <x:c r="L874" s="10" t="n">
        <x:f>K874*'Assumptions'!$U$128</x:f>
        <x:v>106.6470759465795</x:v>
      </x:c>
      <x:c r="M874" s="10" t="n">
        <x:f>K874*'Assumptions'!$V$128</x:f>
        <x:v>0</x:v>
      </x:c>
      <x:c r="N874" s="10" t="n">
        <x:f>K874-L874-M874</x:f>
        <x:v>3448.2554556060704</x:v>
      </x:c>
      <x:c r="O874" s="10" t="n">
        <x:f>H874*'Assumptions'!$P$128*'Assumptions'!$Q$128*'Assumptions'!$D$11*(1+'Assumptions'!$D$13)^(7-1)</x:f>
        <x:v>682.3564811151555</x:v>
      </x:c>
      <x:c r="P874" s="10" t="n">
        <x:f>H874*'Assumptions'!$R$128*'Assumptions'!$D$11*(1+'Assumptions'!$D$13)^(7-1)</x:f>
        <x:v>0</x:v>
      </x:c>
      <x:c r="Q874" s="10" t="n">
        <x:f>J874*'Assumptions'!$S$128</x:f>
        <x:v>0</x:v>
      </x:c>
      <x:c r="R874" s="10" t="n">
        <x:f>H874*'Assumptions'!$Y$128*'Assumptions'!$Z$128*'Assumptions'!$D$11*(1+'Assumptions'!$D$13)^(7-1)</x:f>
        <x:v>584.8769838129904</x:v>
      </x:c>
      <x:c r="S874" s="10" t="n">
        <x:f>IF(I874=0,0,J874*'Assumptions'!$W$128+H874*'Assumptions'!$X$128)</x:f>
        <x:v>135.74719115102687</x:v>
      </x:c>
      <x:c r="T874" s="10" t="n">
        <x:f>N874*'Assumptions'!$AA$128</x:f>
        <x:v>172.41277278030353</x:v>
      </x:c>
      <x:c r="U874" s="10" t="n">
        <x:f>'Assumptions'!$AE$128*'Assumptions'!$D$11*(1+'Assumptions'!$D$13)^(7-1)</x:f>
        <x:v>0</x:v>
      </x:c>
      <x:c r="V874" s="10" t="n">
        <x:f>0</x:f>
        <x:v>0</x:v>
      </x:c>
      <x:c r="W874" s="10" t="n">
        <x:f>H874*('Assumptions'!$P$128+'Assumptions'!$Y$128)</x:f>
        <x:v>32.655017736</x:v>
      </x:c>
      <x:c r="X874" s="10" t="n">
        <x:f>N874/12*'Assumptions'!$AF$128</x:f>
        <x:v>0</x:v>
      </x:c>
      <x:c r="Y874" s="10" t="n">
        <x:f>P874/12</x:f>
        <x:v>0</x:v>
      </x:c>
      <x:c r="Z874" s="10" t="n">
        <x:f>0</x:f>
        <x:v>0</x:v>
      </x:c>
      <x:c r="AA874" s="10" t="n">
        <x:f>Z874*'Assumptions'!$AC$128*'Assumptions'!$D$11*(1+'Assumptions'!$D$13)^(7-1)</x:f>
        <x:v>0</x:v>
      </x:c>
      <x:c r="AB874" s="10" t="n">
        <x:f>F874/1</x:f>
        <x:v>39.59788032000001</x:v>
      </x:c>
      <x:c r="AC874" s="10" t="n">
        <x:f>AB874/'Assumptions'!$AM$128</x:f>
        <x:v>791.9576064000001</x:v>
      </x:c>
      <x:c r="AD874" s="10" t="n">
        <x:f>IF(AB874=0,0,T874/AB874)</x:f>
        <x:v>4.354090961106867</x:v>
      </x:c>
      <x:c r="AE874" s="10" t="n">
        <x:f>AA874*'Assumptions'!$D$21</x:f>
        <x:v>0</x:v>
      </x:c>
    </x:row>
    <x:row r="875" ht="16" customHeight="1">
      <x:c r="A875" s="1"/>
      <x:c r="B875" s="1"/>
      <x:c r="C875" s="1" t="str">
        <x:v>DOT-100</x:v>
      </x:c>
      <x:c r="D875" s="10" t="str">
        <x:v>Semajes courses</x:v>
      </x:c>
      <x:c r="E875" s="10" t="n">
        <x:v>7</x:v>
      </x:c>
      <x:c r="F875" s="21" t="n">
        <x:f>F747*(1+'Assumptions'!$M$129)</x:f>
        <x:v>333.9937315124999</x:v>
      </x:c>
      <x:c r="G875" s="21" t="n">
        <x:f>H747*'Assumptions'!$K$129</x:f>
        <x:v>106.19619749999995</x:v>
      </x:c>
      <x:c r="H875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875+G875,NA())</x:f>
        <x:v>440.1899290124999</x:v>
      </x:c>
      <x:c r="I875" s="22" t="n">
        <x:f>'Assumptions'!$H$129*IF('Assumptions'!$O$129=1,1,'Assumptions'!$D$10)*(1+'Assumptions'!$N$129)^(7-1)</x:f>
        <x:v>43.920334351296006</x:v>
      </x:c>
      <x:c r="J875" s="10" t="n">
        <x:f>H875*I875</x:f>
        <x:v>19333.288860302247</x:v>
      </x:c>
      <x:c r="K875" s="10" t="n">
        <x:f>J875*'Assumptions'!$T$129</x:f>
        <x:v>19333.288860302247</x:v>
      </x:c>
      <x:c r="L875" s="10" t="n">
        <x:f>K875*'Assumptions'!$U$129</x:f>
        <x:v>579.9986658090673</x:v>
      </x:c>
      <x:c r="M875" s="10" t="n">
        <x:f>K875*'Assumptions'!$V$129</x:f>
        <x:v>0</x:v>
      </x:c>
      <x:c r="N875" s="10" t="n">
        <x:f>K875-L875-M875</x:f>
        <x:v>18753.29019449318</x:v>
      </x:c>
      <x:c r="O875" s="10" t="n">
        <x:f>H875*'Assumptions'!$P$129*'Assumptions'!$Q$129*'Assumptions'!$D$11*(1+'Assumptions'!$D$13)^(7-1)</x:f>
        <x:v>2759.4514271431435</x:v>
      </x:c>
      <x:c r="P875" s="10" t="n">
        <x:f>H875*'Assumptions'!$R$129*'Assumptions'!$D$11*(1+'Assumptions'!$D$13)^(7-1)</x:f>
        <x:v>0</x:v>
      </x:c>
      <x:c r="Q875" s="10" t="n">
        <x:f>J875*'Assumptions'!$S$129</x:f>
        <x:v>0</x:v>
      </x:c>
      <x:c r="R875" s="10" t="n">
        <x:f>H875*'Assumptions'!$Y$129*'Assumptions'!$Z$129*'Assumptions'!$D$11*(1+'Assumptions'!$D$13)^(7-1)</x:f>
        <x:v>1576.8293869389393</x:v>
      </x:c>
      <x:c r="S875" s="10" t="n">
        <x:f>IF(I875=0,0,J875*'Assumptions'!$W$129+H875*'Assumptions'!$X$129)</x:f>
        <x:v>692.7223556525153</x:v>
      </x:c>
      <x:c r="T875" s="10" t="n">
        <x:f>N875*'Assumptions'!$AA$129</x:f>
        <x:v>937.6645097246591</x:v>
      </x:c>
      <x:c r="U875" s="10" t="n">
        <x:f>'Assumptions'!$AE$129*'Assumptions'!$D$11*(1+'Assumptions'!$D$13)^(7-1)</x:f>
        <x:v>0</x:v>
      </x:c>
      <x:c r="V875" s="10" t="n">
        <x:f>0</x:f>
        <x:v>0</x:v>
      </x:c>
      <x:c r="W875" s="10" t="n">
        <x:f>H875*('Assumptions'!$P$129+'Assumptions'!$Y$129)</x:f>
        <x:v>110.04748225312497</x:v>
      </x:c>
      <x:c r="X875" s="10" t="n">
        <x:f>N875/12*'Assumptions'!$AF$129</x:f>
        <x:v>0</x:v>
      </x:c>
      <x:c r="Y875" s="10" t="n">
        <x:f>P875/12</x:f>
        <x:v>0</x:v>
      </x:c>
      <x:c r="Z875" s="10" t="n">
        <x:f>0</x:f>
        <x:v>0</x:v>
      </x:c>
      <x:c r="AA875" s="10" t="n">
        <x:f>Z875*'Assumptions'!$AC$129*'Assumptions'!$D$11*(1+'Assumptions'!$D$13)^(7-1)</x:f>
        <x:v>0</x:v>
      </x:c>
      <x:c r="AB875" s="10" t="n">
        <x:f>F875/1</x:f>
        <x:v>333.9937315124999</x:v>
      </x:c>
      <x:c r="AC875" s="10" t="n">
        <x:f>AB875/'Assumptions'!$AM$129</x:f>
        <x:v>6679.874630249998</x:v>
      </x:c>
      <x:c r="AD875" s="10" t="n">
        <x:f>IF(AB875=0,0,T875/AB875)</x:f>
        <x:v>2.807431461298448</x:v>
      </x:c>
      <x:c r="AE875" s="10" t="n">
        <x:f>AA875*'Assumptions'!$D$21</x:f>
        <x:v>0</x:v>
      </x:c>
    </x:row>
    <x:row r="876" ht="16" customHeight="1">
      <x:c r="A876" s="1"/>
      <x:c r="B876" s="1"/>
      <x:c r="C876" s="1" t="str">
        <x:v>DOT-101</x:v>
      </x:c>
      <x:c r="D876" s="10" t="str">
        <x:v>Sleepy Face</x:v>
      </x:c>
      <x:c r="E876" s="10" t="n">
        <x:v>7</x:v>
      </x:c>
      <x:c r="F876" s="21" t="n">
        <x:f>F748*(1+'Assumptions'!$M$130)</x:f>
        <x:v>280.45024375603214</x:v>
      </x:c>
      <x:c r="G876" s="21" t="n">
        <x:f>H748*'Assumptions'!$K$130</x:f>
        <x:v>114.10059946752004</x:v>
      </x:c>
      <x:c r="H876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876+G876,NA())</x:f>
        <x:v>394.5508432235522</x:v>
      </x:c>
      <x:c r="I876" s="22" t="n">
        <x:f>'Assumptions'!$H$130*IF('Assumptions'!$O$130=1,1,'Assumptions'!$D$10)*(1+'Assumptions'!$N$130)^(7-1)</x:f>
        <x:v>106.98542983008001</x:v>
      </x:c>
      <x:c r="J876" s="10" t="n">
        <x:f>H876*I876</x:f>
        <x:v>42211.19155209224</x:v>
      </x:c>
      <x:c r="K876" s="10" t="n">
        <x:f>J876*'Assumptions'!$T$130</x:f>
        <x:v>42211.19155209224</x:v>
      </x:c>
      <x:c r="L876" s="10" t="n">
        <x:f>K876*'Assumptions'!$U$130</x:f>
        <x:v>3376.8953241673794</x:v>
      </x:c>
      <x:c r="M876" s="10" t="n">
        <x:f>K876*'Assumptions'!$V$130</x:f>
        <x:v>844.2238310418448</x:v>
      </x:c>
      <x:c r="N876" s="10" t="n">
        <x:f>K876-L876-M876</x:f>
        <x:v>37990.07239688301</x:v>
      </x:c>
      <x:c r="O876" s="10" t="n">
        <x:f>H876*'Assumptions'!$P$130*'Assumptions'!$Q$130*'Assumptions'!$D$11*(1+'Assumptions'!$D$13)^(7-1)</x:f>
        <x:v>2473.3502873548136</x:v>
      </x:c>
      <x:c r="P876" s="10" t="n">
        <x:f>H876*'Assumptions'!$R$130*'Assumptions'!$D$11*(1+'Assumptions'!$D$13)^(7-1)</x:f>
        <x:v>14133.43021345608</x:v>
      </x:c>
      <x:c r="Q876" s="10" t="n">
        <x:f>J876*'Assumptions'!$S$130</x:f>
        <x:v>0</x:v>
      </x:c>
      <x:c r="R876" s="10" t="n">
        <x:f>H876*'Assumptions'!$Y$130*'Assumptions'!$Z$130*'Assumptions'!$D$11*(1+'Assumptions'!$D$13)^(7-1)</x:f>
        <x:v>2120.014532018412</x:v>
      </x:c>
      <x:c r="S876" s="10" t="n">
        <x:f>IF(I876=0,0,J876*'Assumptions'!$W$130+H876*'Assumptions'!$X$130)</x:f>
        <x:v>1342.4898079777408</x:v>
      </x:c>
      <x:c r="T876" s="10" t="n">
        <x:f>N876*'Assumptions'!$AA$130</x:f>
        <x:v>3039.2057917506413</x:v>
      </x:c>
      <x:c r="U876" s="10" t="n">
        <x:f>'Assumptions'!$AE$130*'Assumptions'!$D$11*(1+'Assumptions'!$D$13)^(7-1)</x:f>
        <x:v>0</x:v>
      </x:c>
      <x:c r="V876" s="10" t="n">
        <x:f>0</x:f>
        <x:v>0</x:v>
      </x:c>
      <x:c r="W876" s="10" t="n">
        <x:f>H876*('Assumptions'!$P$130+'Assumptions'!$Y$130)</x:f>
        <x:v>118.36525296706566</x:v>
      </x:c>
      <x:c r="X876" s="10" t="n">
        <x:f>N876/12*'Assumptions'!$AF$130</x:f>
        <x:v>0</x:v>
      </x:c>
      <x:c r="Y876" s="10" t="n">
        <x:f>P876/12</x:f>
        <x:v>1177.78585112134</x:v>
      </x:c>
      <x:c r="Z876" s="10" t="n">
        <x:f>0</x:f>
        <x:v>0</x:v>
      </x:c>
      <x:c r="AA876" s="10" t="n">
        <x:f>Z876*'Assumptions'!$AC$130*'Assumptions'!$D$11*(1+'Assumptions'!$D$13)^(7-1)</x:f>
        <x:v>0</x:v>
      </x:c>
      <x:c r="AB876" s="10" t="n">
        <x:f>F876/1</x:f>
        <x:v>280.45024375603214</x:v>
      </x:c>
      <x:c r="AC876" s="10" t="n">
        <x:f>AB876/'Assumptions'!$AM$130</x:f>
        <x:v>9348.341458534405</x:v>
      </x:c>
      <x:c r="AD876" s="10" t="n">
        <x:f>IF(AB876=0,0,T876/AB876)</x:f>
        <x:v>10.836880549815074</x:v>
      </x:c>
      <x:c r="AE876" s="10" t="n">
        <x:f>AA876*'Assumptions'!$D$21</x:f>
        <x:v>0</x:v>
      </x:c>
    </x:row>
    <x:row r="877" ht="16" customHeight="1">
      <x:c r="A877" s="1"/>
      <x:c r="B877" s="1"/>
      <x:c r="C877" s="1" t="str">
        <x:v>DOT-102</x:v>
      </x:c>
      <x:c r="D877" s="10" t="str">
        <x:v>Sleepy Face</x:v>
      </x:c>
      <x:c r="E877" s="10" t="n">
        <x:v>7</x:v>
      </x:c>
      <x:c r="F877" s="21" t="n">
        <x:f>F749*(1+'Assumptions'!$M$131)</x:f>
        <x:v>420.6753656340481</x:v>
      </x:c>
      <x:c r="G877" s="21" t="n">
        <x:f>H749*'Assumptions'!$K$131</x:f>
        <x:v>171.15089920128005</x:v>
      </x:c>
      <x:c r="H877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877+G877,NA())</x:f>
        <x:v>591.8262648353282</x:v>
      </x:c>
      <x:c r="I877" s="22" t="n">
        <x:f>'Assumptions'!$H$131*IF('Assumptions'!$O$131=1,1,'Assumptions'!$D$10)*(1+'Assumptions'!$N$131)^(7-1)</x:f>
        <x:v>185.81679917856002</x:v>
      </x:c>
      <x:c r="J877" s="10" t="n">
        <x:f>H877*I877</x:f>
        <x:v>109971.26220150346</x:v>
      </x:c>
      <x:c r="K877" s="10" t="n">
        <x:f>J877*'Assumptions'!$T$131</x:f>
        <x:v>109971.26220150346</x:v>
      </x:c>
      <x:c r="L877" s="10" t="n">
        <x:f>K877*'Assumptions'!$U$131</x:f>
        <x:v>8797.700976120277</x:v>
      </x:c>
      <x:c r="M877" s="10" t="n">
        <x:f>K877*'Assumptions'!$V$131</x:f>
        <x:v>2199.4252440300693</x:v>
      </x:c>
      <x:c r="N877" s="10" t="n">
        <x:f>K877-L877-M877</x:f>
        <x:v>98974.13598135312</x:v>
      </x:c>
      <x:c r="O877" s="10" t="n">
        <x:f>H877*'Assumptions'!$P$131*'Assumptions'!$Q$131*'Assumptions'!$D$11*(1+'Assumptions'!$D$13)^(7-1)</x:f>
        <x:v>3710.0254310322207</x:v>
      </x:c>
      <x:c r="P877" s="10" t="n">
        <x:f>H877*'Assumptions'!$R$131*'Assumptions'!$D$11*(1+'Assumptions'!$D$13)^(7-1)</x:f>
        <x:v>42400.29064036823</x:v>
      </x:c>
      <x:c r="Q877" s="10" t="n">
        <x:f>J877*'Assumptions'!$S$131</x:f>
        <x:v>0</x:v>
      </x:c>
      <x:c r="R877" s="10" t="n">
        <x:f>H877*'Assumptions'!$Y$131*'Assumptions'!$Z$131*'Assumptions'!$D$11*(1+'Assumptions'!$D$13)^(7-1)</x:f>
        <x:v>3180.0217980276175</x:v>
      </x:c>
      <x:c r="S877" s="10" t="n">
        <x:f>IF(I877=0,0,J877*'Assumptions'!$W$131+H877*'Assumptions'!$X$131)</x:f>
        <x:v>3366.714483294199</x:v>
      </x:c>
      <x:c r="T877" s="10" t="n">
        <x:f>N877*'Assumptions'!$AA$131</x:f>
        <x:v>7917.930878508249</x:v>
      </x:c>
      <x:c r="U877" s="10" t="n">
        <x:f>'Assumptions'!$AE$131*'Assumptions'!$D$11*(1+'Assumptions'!$D$13)^(7-1)</x:f>
        <x:v>0</x:v>
      </x:c>
      <x:c r="V877" s="10" t="n">
        <x:f>0</x:f>
        <x:v>0</x:v>
      </x:c>
      <x:c r="W877" s="10" t="n">
        <x:f>H877*('Assumptions'!$P$131+'Assumptions'!$Y$131)</x:f>
        <x:v>177.54787945059846</x:v>
      </x:c>
      <x:c r="X877" s="10" t="n">
        <x:f>N877/12*'Assumptions'!$AF$131</x:f>
        <x:v>0</x:v>
      </x:c>
      <x:c r="Y877" s="10" t="n">
        <x:f>P877/12</x:f>
        <x:v>3533.357553364019</x:v>
      </x:c>
      <x:c r="Z877" s="10" t="n">
        <x:f>0</x:f>
        <x:v>0</x:v>
      </x:c>
      <x:c r="AA877" s="10" t="n">
        <x:f>Z877*'Assumptions'!$AC$131*'Assumptions'!$D$11*(1+'Assumptions'!$D$13)^(7-1)</x:f>
        <x:v>0</x:v>
      </x:c>
      <x:c r="AB877" s="10" t="n">
        <x:f>F877/1</x:f>
        <x:v>420.6753656340481</x:v>
      </x:c>
      <x:c r="AC877" s="10" t="n">
        <x:f>AB877/'Assumptions'!$AM$131</x:f>
        <x:v>14022.512187801603</x:v>
      </x:c>
      <x:c r="AD877" s="10" t="n">
        <x:f>IF(AB877=0,0,T877/AB877)</x:f>
        <x:v>18.821950428626188</x:v>
      </x:c>
      <x:c r="AE877" s="10" t="n">
        <x:f>AA877*'Assumptions'!$D$21</x:f>
        <x:v>0</x:v>
      </x:c>
    </x:row>
    <x:row r="878" ht="16" customHeight="1">
      <x:c r="A878" s="1"/>
      <x:c r="B878" s="1"/>
      <x:c r="C878" s="1" t="str">
        <x:v>DOT-103</x:v>
      </x:c>
      <x:c r="D878" s="10" t="str">
        <x:v>Sleepy Face</x:v>
      </x:c>
      <x:c r="E878" s="10" t="n">
        <x:v>7</x:v>
      </x:c>
      <x:c r="F878" s="21" t="n">
        <x:f>F750*(1+'Assumptions'!$M$132)</x:f>
        <x:v>93.48341458534402</x:v>
      </x:c>
      <x:c r="G878" s="21" t="n">
        <x:f>H750*'Assumptions'!$K$132</x:f>
        <x:v>38.033533155840004</x:v>
      </x:c>
      <x:c r="H878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878+G878,NA())</x:f>
        <x:v>131.51694774118403</x:v>
      </x:c>
      <x:c r="I878" s="22" t="n">
        <x:f>'Assumptions'!$H$132*IF('Assumptions'!$O$132=1,1,'Assumptions'!$D$10)*(1+'Assumptions'!$N$132)^(7-1)</x:f>
        <x:v>253.3865443344</x:v>
      </x:c>
      <x:c r="J878" s="10" t="n">
        <x:f>H878*I878</x:f>
        <x:v>33324.624909546495</x:v>
      </x:c>
      <x:c r="K878" s="10" t="n">
        <x:f>J878*'Assumptions'!$T$132</x:f>
        <x:v>33324.624909546495</x:v>
      </x:c>
      <x:c r="L878" s="10" t="n">
        <x:f>K878*'Assumptions'!$U$132</x:f>
        <x:v>2665.96999276372</x:v>
      </x:c>
      <x:c r="M878" s="10" t="n">
        <x:f>K878*'Assumptions'!$V$132</x:f>
        <x:v>666.49249819093</x:v>
      </x:c>
      <x:c r="N878" s="10" t="n">
        <x:f>K878-L878-M878</x:f>
        <x:v>29992.162418591844</x:v>
      </x:c>
      <x:c r="O878" s="10" t="n">
        <x:f>H878*'Assumptions'!$P$132*'Assumptions'!$Q$132*'Assumptions'!$D$11*(1+'Assumptions'!$D$13)^(7-1)</x:f>
        <x:v>824.4500957849376</x:v>
      </x:c>
      <x:c r="P878" s="10" t="n">
        <x:f>H878*'Assumptions'!$R$132*'Assumptions'!$D$11*(1+'Assumptions'!$D$13)^(7-1)</x:f>
        <x:v>14133.430213456077</x:v>
      </x:c>
      <x:c r="Q878" s="10" t="n">
        <x:f>J878*'Assumptions'!$S$132</x:f>
        <x:v>0</x:v>
      </x:c>
      <x:c r="R878" s="10" t="n">
        <x:f>H878*'Assumptions'!$Y$132*'Assumptions'!$Z$132*'Assumptions'!$D$11*(1+'Assumptions'!$D$13)^(7-1)</x:f>
        <x:v>706.6715106728037</x:v>
      </x:c>
      <x:c r="S878" s="10" t="n">
        <x:f>IF(I878=0,0,J878*'Assumptions'!$W$132+H878*'Assumptions'!$X$132)</x:f>
        <x:v>1005.8692066992037</x:v>
      </x:c>
      <x:c r="T878" s="10" t="n">
        <x:f>N878*'Assumptions'!$AA$132</x:f>
        <x:v>2399.3729934873477</x:v>
      </x:c>
      <x:c r="U878" s="10" t="n">
        <x:f>'Assumptions'!$AE$132*'Assumptions'!$D$11*(1+'Assumptions'!$D$13)^(7-1)</x:f>
        <x:v>0</x:v>
      </x:c>
      <x:c r="V878" s="10" t="n">
        <x:f>0</x:f>
        <x:v>0</x:v>
      </x:c>
      <x:c r="W878" s="10" t="n">
        <x:f>H878*('Assumptions'!$P$132+'Assumptions'!$Y$132)</x:f>
        <x:v>39.455084322355205</x:v>
      </x:c>
      <x:c r="X878" s="10" t="n">
        <x:f>N878/12*'Assumptions'!$AF$132</x:f>
        <x:v>0</x:v>
      </x:c>
      <x:c r="Y878" s="10" t="n">
        <x:f>P878/12</x:f>
        <x:v>1177.7858511213396</x:v>
      </x:c>
      <x:c r="Z878" s="10" t="n">
        <x:f>0</x:f>
        <x:v>0</x:v>
      </x:c>
      <x:c r="AA878" s="10" t="n">
        <x:f>Z878*'Assumptions'!$AC$132*'Assumptions'!$D$11*(1+'Assumptions'!$D$13)^(7-1)</x:f>
        <x:v>0</x:v>
      </x:c>
      <x:c r="AB878" s="10" t="n">
        <x:f>F878/1</x:f>
        <x:v>93.48341458534402</x:v>
      </x:c>
      <x:c r="AC878" s="10" t="n">
        <x:f>AB878/'Assumptions'!$AM$132</x:f>
        <x:v>3116.1138195114677</x:v>
      </x:c>
      <x:c r="AD878" s="10" t="n">
        <x:f>IF(AB878=0,0,T878/AB878)</x:f>
        <x:v>25.666296039035704</x:v>
      </x:c>
      <x:c r="AE878" s="10" t="n">
        <x:f>AA878*'Assumptions'!$D$21</x:f>
        <x:v>0</x:v>
      </x:c>
    </x:row>
    <x:row r="879" ht="16" customHeight="1">
      <x:c r="A879" s="1"/>
      <x:c r="B879" s="1"/>
      <x:c r="C879" s="1" t="str">
        <x:v>DOT-104</x:v>
      </x:c>
      <x:c r="D879" s="10" t="str">
        <x:v>Sleepy Face</x:v>
      </x:c>
      <x:c r="E879" s="10" t="n">
        <x:v>7</x:v>
      </x:c>
      <x:c r="F879" s="21" t="n">
        <x:f>F751*(1+'Assumptions'!$M$133)</x:f>
        <x:v>280.45024375603214</x:v>
      </x:c>
      <x:c r="G879" s="21" t="n">
        <x:f>H751*'Assumptions'!$K$133</x:f>
        <x:v>114.10059946752004</x:v>
      </x:c>
      <x:c r="H879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879+G879,NA())</x:f>
        <x:v>394.5508432235522</x:v>
      </x:c>
      <x:c r="I879" s="22" t="n">
        <x:f>'Assumptions'!$H$133*IF('Assumptions'!$O$133=1,1,'Assumptions'!$D$10)*(1+'Assumptions'!$N$133)^(7-1)</x:f>
        <x:v>106.98542983008001</x:v>
      </x:c>
      <x:c r="J879" s="10" t="n">
        <x:f>H879*I879</x:f>
        <x:v>42211.19155209224</x:v>
      </x:c>
      <x:c r="K879" s="10" t="n">
        <x:f>J879*'Assumptions'!$T$133</x:f>
        <x:v>42211.19155209224</x:v>
      </x:c>
      <x:c r="L879" s="10" t="n">
        <x:f>K879*'Assumptions'!$U$133</x:f>
        <x:v>3376.8953241673794</x:v>
      </x:c>
      <x:c r="M879" s="10" t="n">
        <x:f>K879*'Assumptions'!$V$133</x:f>
        <x:v>844.2238310418448</x:v>
      </x:c>
      <x:c r="N879" s="10" t="n">
        <x:f>K879-L879-M879</x:f>
        <x:v>37990.07239688301</x:v>
      </x:c>
      <x:c r="O879" s="10" t="n">
        <x:f>H879*'Assumptions'!$P$133*'Assumptions'!$Q$133*'Assumptions'!$D$11*(1+'Assumptions'!$D$13)^(7-1)</x:f>
        <x:v>2473.3502873548136</x:v>
      </x:c>
      <x:c r="P879" s="10" t="n">
        <x:f>H879*'Assumptions'!$R$133*'Assumptions'!$D$11*(1+'Assumptions'!$D$13)^(7-1)</x:f>
        <x:v>16489.00191569876</x:v>
      </x:c>
      <x:c r="Q879" s="10" t="n">
        <x:f>J879*'Assumptions'!$S$133</x:f>
        <x:v>0</x:v>
      </x:c>
      <x:c r="R879" s="10" t="n">
        <x:f>H879*'Assumptions'!$Y$133*'Assumptions'!$Z$133*'Assumptions'!$D$11*(1+'Assumptions'!$D$13)^(7-1)</x:f>
        <x:v>2120.014532018412</x:v>
      </x:c>
      <x:c r="S879" s="10" t="n">
        <x:f>IF(I879=0,0,J879*'Assumptions'!$W$133+H879*'Assumptions'!$X$133)</x:f>
        <x:v>1342.4898079777408</x:v>
      </x:c>
      <x:c r="T879" s="10" t="n">
        <x:f>N879*'Assumptions'!$AA$133</x:f>
        <x:v>3039.2057917506413</x:v>
      </x:c>
      <x:c r="U879" s="10" t="n">
        <x:f>'Assumptions'!$AE$133*'Assumptions'!$D$11*(1+'Assumptions'!$D$13)^(7-1)</x:f>
        <x:v>0</x:v>
      </x:c>
      <x:c r="V879" s="10" t="n">
        <x:f>0</x:f>
        <x:v>0</x:v>
      </x:c>
      <x:c r="W879" s="10" t="n">
        <x:f>H879*('Assumptions'!$P$133+'Assumptions'!$Y$133)</x:f>
        <x:v>118.36525296706566</x:v>
      </x:c>
      <x:c r="X879" s="10" t="n">
        <x:f>N879/12*'Assumptions'!$AF$133</x:f>
        <x:v>0</x:v>
      </x:c>
      <x:c r="Y879" s="10" t="n">
        <x:f>P879/12</x:f>
        <x:v>1374.0834929748964</x:v>
      </x:c>
      <x:c r="Z879" s="10" t="n">
        <x:f>0</x:f>
        <x:v>0</x:v>
      </x:c>
      <x:c r="AA879" s="10" t="n">
        <x:f>Z879*'Assumptions'!$AC$133*'Assumptions'!$D$11*(1+'Assumptions'!$D$13)^(7-1)</x:f>
        <x:v>0</x:v>
      </x:c>
      <x:c r="AB879" s="10" t="n">
        <x:f>F879/1</x:f>
        <x:v>280.45024375603214</x:v>
      </x:c>
      <x:c r="AC879" s="10" t="n">
        <x:f>AB879/'Assumptions'!$AM$133</x:f>
        <x:v>9348.341458534405</x:v>
      </x:c>
      <x:c r="AD879" s="10" t="n">
        <x:f>IF(AB879=0,0,T879/AB879)</x:f>
        <x:v>10.836880549815074</x:v>
      </x:c>
      <x:c r="AE879" s="10" t="n">
        <x:f>AA879*'Assumptions'!$D$21</x:f>
        <x:v>0</x:v>
      </x:c>
    </x:row>
    <x:row r="880" ht="16" customHeight="1">
      <x:c r="A880" s="1"/>
      <x:c r="B880" s="1"/>
      <x:c r="C880" s="1" t="str">
        <x:v>DOT-105</x:v>
      </x:c>
      <x:c r="D880" s="10" t="str">
        <x:v>Sleepy Face</x:v>
      </x:c>
      <x:c r="E880" s="10" t="n">
        <x:v>7</x:v>
      </x:c>
      <x:c r="F880" s="21" t="n">
        <x:f>F752*(1+'Assumptions'!$M$134)</x:f>
        <x:v>140.22512187801607</x:v>
      </x:c>
      <x:c r="G880" s="21" t="n">
        <x:f>H752*'Assumptions'!$K$134</x:f>
        <x:v>57.05029973376002</x:v>
      </x:c>
      <x:c r="H880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880+G880,NA())</x:f>
        <x:v>197.2754216117761</x:v>
      </x:c>
      <x:c r="I880" s="22" t="n">
        <x:f>'Assumptions'!$H$134*IF('Assumptions'!$O$134=1,1,'Assumptions'!$D$10)*(1+'Assumptions'!$N$134)^(7-1)</x:f>
        <x:v>197.07842337120002</x:v>
      </x:c>
      <x:c r="J880" s="10" t="n">
        <x:f>H880*I880</x:f>
        <x:v>38878.729061137594</x:v>
      </x:c>
      <x:c r="K880" s="10" t="n">
        <x:f>J880*'Assumptions'!$T$134</x:f>
        <x:v>38878.729061137594</x:v>
      </x:c>
      <x:c r="L880" s="10" t="n">
        <x:f>K880*'Assumptions'!$U$134</x:f>
        <x:v>3110.2983248910077</x:v>
      </x:c>
      <x:c r="M880" s="10" t="n">
        <x:f>K880*'Assumptions'!$V$134</x:f>
        <x:v>777.5745812227519</x:v>
      </x:c>
      <x:c r="N880" s="10" t="n">
        <x:f>K880-L880-M880</x:f>
        <x:v>34990.85615502383</x:v>
      </x:c>
      <x:c r="O880" s="10" t="n">
        <x:f>H880*'Assumptions'!$P$134*'Assumptions'!$Q$134*'Assumptions'!$D$11*(1+'Assumptions'!$D$13)^(7-1)</x:f>
        <x:v>1236.6751436774068</x:v>
      </x:c>
      <x:c r="P880" s="10" t="n">
        <x:f>H880*'Assumptions'!$R$134*'Assumptions'!$D$11*(1+'Assumptions'!$D$13)^(7-1)</x:f>
        <x:v>15311.216064577418</x:v>
      </x:c>
      <x:c r="Q880" s="10" t="n">
        <x:f>J880*'Assumptions'!$S$134</x:f>
        <x:v>0</x:v>
      </x:c>
      <x:c r="R880" s="10" t="n">
        <x:f>H880*'Assumptions'!$Y$134*'Assumptions'!$Z$134*'Assumptions'!$D$11*(1+'Assumptions'!$D$13)^(7-1)</x:f>
        <x:v>1060.007266009206</x:v>
      </x:c>
      <x:c r="S880" s="10" t="n">
        <x:f>IF(I880=0,0,J880*'Assumptions'!$W$134+H880*'Assumptions'!$X$134)</x:f>
        <x:v>1186.6657692565232</x:v>
      </x:c>
      <x:c r="T880" s="10" t="n">
        <x:f>N880*'Assumptions'!$AA$134</x:f>
        <x:v>2799.2684924019063</x:v>
      </x:c>
      <x:c r="U880" s="10" t="n">
        <x:f>'Assumptions'!$AE$134*'Assumptions'!$D$11*(1+'Assumptions'!$D$13)^(7-1)</x:f>
        <x:v>0</x:v>
      </x:c>
      <x:c r="V880" s="10" t="n">
        <x:f>0</x:f>
        <x:v>0</x:v>
      </x:c>
      <x:c r="W880" s="10" t="n">
        <x:f>H880*('Assumptions'!$P$134+'Assumptions'!$Y$134)</x:f>
        <x:v>59.18262648353283</x:v>
      </x:c>
      <x:c r="X880" s="10" t="n">
        <x:f>N880/12*'Assumptions'!$AF$134</x:f>
        <x:v>0</x:v>
      </x:c>
      <x:c r="Y880" s="10" t="n">
        <x:f>P880/12</x:f>
        <x:v>1275.9346720481183</x:v>
      </x:c>
      <x:c r="Z880" s="10" t="n">
        <x:f>0</x:f>
        <x:v>0</x:v>
      </x:c>
      <x:c r="AA880" s="10" t="n">
        <x:f>Z880*'Assumptions'!$AC$134*'Assumptions'!$D$11*(1+'Assumptions'!$D$13)^(7-1)</x:f>
        <x:v>0</x:v>
      </x:c>
      <x:c r="AB880" s="10" t="n">
        <x:f>F880/1</x:f>
        <x:v>140.22512187801607</x:v>
      </x:c>
      <x:c r="AC880" s="10" t="n">
        <x:f>AB880/'Assumptions'!$AM$134</x:f>
        <x:v>4674.170729267203</x:v>
      </x:c>
      <x:c r="AD880" s="10" t="n">
        <x:f>IF(AB880=0,0,T880/AB880)</x:f>
        <x:v>19.96267469702777</x:v>
      </x:c>
      <x:c r="AE880" s="10" t="n">
        <x:f>AA880*'Assumptions'!$D$21</x:f>
        <x:v>0</x:v>
      </x:c>
    </x:row>
    <x:row r="881" ht="16" customHeight="1">
      <x:c r="A881" s="1"/>
      <x:c r="B881" s="1"/>
      <x:c r="C881" s="1" t="str">
        <x:v>DOT-106</x:v>
      </x:c>
      <x:c r="D881" s="10" t="str">
        <x:v>QzoticMusic</x:v>
      </x:c>
      <x:c r="E881" s="10" t="n">
        <x:v>7</x:v>
      </x:c>
      <x:c r="F881" s="21" t="n">
        <x:f>F753*(1+'Assumptions'!$M$135)</x:f>
        <x:v>834.9843287812498</x:v>
      </x:c>
      <x:c r="G881" s="21" t="n">
        <x:f>H753*'Assumptions'!$K$135</x:f>
        <x:v>265.4538726562499</x:v>
      </x:c>
      <x:c r="H881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881+G881,NA())</x:f>
        <x:v>1100.4382014374996</x:v>
      </x:c>
      <x:c r="I881" s="22" t="n">
        <x:f>'Assumptions'!$H$135*IF('Assumptions'!$O$135=1,1,'Assumptions'!$D$10)*(1+'Assumptions'!$N$135)^(7-1)</x:f>
        <x:v>5.630812096320001</x:v>
      </x:c>
      <x:c r="J881" s="10" t="n">
        <x:f>H881*I881</x:f>
        <x:v>6196.360735906898</x:v>
      </x:c>
      <x:c r="K881" s="10" t="n">
        <x:f>J881*'Assumptions'!$T$135</x:f>
        <x:v>6196.360735906898</x:v>
      </x:c>
      <x:c r="L881" s="10" t="n">
        <x:f>K881*'Assumptions'!$U$135</x:f>
        <x:v>185.89082207720693</x:v>
      </x:c>
      <x:c r="M881" s="10" t="n">
        <x:f>K881*'Assumptions'!$V$135</x:f>
        <x:v>0</x:v>
      </x:c>
      <x:c r="N881" s="10" t="n">
        <x:f>K881-L881-M881</x:f>
        <x:v>6010.469913829691</x:v>
      </x:c>
      <x:c r="O881" s="10" t="n">
        <x:f>H881*'Assumptions'!$P$135*'Assumptions'!$Q$135*'Assumptions'!$D$11*(1+'Assumptions'!$D$13)^(7-1)</x:f>
        <x:v>919.7865331302824</x:v>
      </x:c>
      <x:c r="P881" s="10" t="n">
        <x:f>H881*'Assumptions'!$R$135*'Assumptions'!$D$11*(1+'Assumptions'!$D$13)^(7-1)</x:f>
        <x:v>0</x:v>
      </x:c>
      <x:c r="Q881" s="10" t="n">
        <x:f>J881*'Assumptions'!$S$135</x:f>
        <x:v>0</x:v>
      </x:c>
      <x:c r="R881" s="10" t="n">
        <x:f>H881*'Assumptions'!$Y$135*'Assumptions'!$Z$135*'Assumptions'!$D$11*(1+'Assumptions'!$D$13)^(7-1)</x:f>
        <x:v>3941.9422848440668</x:v>
      </x:c>
      <x:c r="S881" s="10" t="n">
        <x:f>IF(I881=0,0,J881*'Assumptions'!$W$135+H881*'Assumptions'!$X$135)</x:f>
        <x:v>509.8259217725499</x:v>
      </x:c>
      <x:c r="T881" s="10" t="n">
        <x:f>N881*'Assumptions'!$AA$135</x:f>
        <x:v>300.5234956914846</x:v>
      </x:c>
      <x:c r="U881" s="10" t="n">
        <x:f>'Assumptions'!$AE$135*'Assumptions'!$D$11*(1+'Assumptions'!$D$13)^(7-1)</x:f>
        <x:v>0</x:v>
      </x:c>
      <x:c r="V881" s="10" t="n">
        <x:f>0</x:f>
        <x:v>0</x:v>
      </x:c>
      <x:c r="W881" s="10" t="n">
        <x:f>H881*('Assumptions'!$P$135+'Assumptions'!$Y$135)</x:f>
        <x:v>132.05258417249996</x:v>
      </x:c>
      <x:c r="X881" s="10" t="n">
        <x:f>N881/12*'Assumptions'!$AF$135</x:f>
        <x:v>0</x:v>
      </x:c>
      <x:c r="Y881" s="10" t="n">
        <x:f>P881/12</x:f>
        <x:v>0</x:v>
      </x:c>
      <x:c r="Z881" s="10" t="n">
        <x:f>0</x:f>
        <x:v>0</x:v>
      </x:c>
      <x:c r="AA881" s="10" t="n">
        <x:f>Z881*'Assumptions'!$AC$135*'Assumptions'!$D$11*(1+'Assumptions'!$D$13)^(7-1)</x:f>
        <x:v>0</x:v>
      </x:c>
      <x:c r="AB881" s="10" t="n">
        <x:f>F881/12</x:f>
        <x:v>69.58202739843749</x:v>
      </x:c>
      <x:c r="AC881" s="10" t="n">
        <x:f>AB881/'Assumptions'!$AM$135</x:f>
        <x:v>1391.6405479687496</x:v>
      </x:c>
      <x:c r="AD881" s="10" t="n">
        <x:f>IF(AB881=0,0,T881/AB881)</x:f>
        <x:v>4.318981595213379</x:v>
      </x:c>
      <x:c r="AE881" s="10" t="n">
        <x:f>AA881*'Assumptions'!$D$21</x:f>
        <x:v>0</x:v>
      </x:c>
    </x:row>
    <x:row r="882" ht="16" customHeight="1">
      <x:c r="A882" s="1"/>
      <x:c r="B882" s="1"/>
      <x:c r="C882" s="1" t="str">
        <x:v>DOT-107</x:v>
      </x:c>
      <x:c r="D882" s="10" t="str">
        <x:v>QzoticMusic</x:v>
      </x:c>
      <x:c r="E882" s="10" t="n">
        <x:v>7</x:v>
      </x:c>
      <x:c r="F882" s="21" t="n">
        <x:f>F754*(1+'Assumptions'!$M$136)</x:f>
        <x:v>242.3091356400001</x:v>
      </x:c>
      <x:c r="G882" s="21" t="n">
        <x:f>H754*'Assumptions'!$K$136</x:f>
        <x:v>123.17384730000005</x:v>
      </x:c>
      <x:c r="H882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882+G882,NA())</x:f>
        <x:v>365.48298294000017</x:v>
      </x:c>
      <x:c r="I882" s="22" t="n">
        <x:f>'Assumptions'!$H$136*IF('Assumptions'!$O$136=1,1,'Assumptions'!$D$10)*(1+'Assumptions'!$N$136)^(7-1)</x:f>
        <x:v>28.154060481600002</x:v>
      </x:c>
      <x:c r="J882" s="10" t="n">
        <x:f>H882*I882</x:f>
        <x:v>10289.830006688346</x:v>
      </x:c>
      <x:c r="K882" s="10" t="n">
        <x:f>J882*'Assumptions'!$T$136</x:f>
        <x:v>10289.830006688346</x:v>
      </x:c>
      <x:c r="L882" s="10" t="n">
        <x:f>K882*'Assumptions'!$U$136</x:f>
        <x:v>308.69490020065035</x:v>
      </x:c>
      <x:c r="M882" s="10" t="n">
        <x:f>K882*'Assumptions'!$V$136</x:f>
        <x:v>0</x:v>
      </x:c>
      <x:c r="N882" s="10" t="n">
        <x:f>K882-L882-M882</x:f>
        <x:v>9981.135106487696</x:v>
      </x:c>
      <x:c r="O882" s="10" t="n">
        <x:f>H882*'Assumptions'!$P$136*'Assumptions'!$Q$136*'Assumptions'!$D$11*(1+'Assumptions'!$D$13)^(7-1)</x:f>
        <x:v>2291.130424389327</x:v>
      </x:c>
      <x:c r="P882" s="10" t="n">
        <x:f>H882*'Assumptions'!$R$136*'Assumptions'!$D$11*(1+'Assumptions'!$D$13)^(7-1)</x:f>
        <x:v>4364.057951217766</x:v>
      </x:c>
      <x:c r="Q882" s="10" t="n">
        <x:f>J882*'Assumptions'!$S$136</x:f>
        <x:v>0</x:v>
      </x:c>
      <x:c r="R882" s="10" t="n">
        <x:f>H882*'Assumptions'!$Y$136*'Assumptions'!$Z$136*'Assumptions'!$D$11*(1+'Assumptions'!$D$13)^(7-1)</x:f>
        <x:v>6546.086926826648</x:v>
      </x:c>
      <x:c r="S882" s="10" t="n">
        <x:f>IF(I882=0,0,J882*'Assumptions'!$W$136+H882*'Assumptions'!$X$136)</x:f>
        <x:v>408.04996507596206</x:v>
      </x:c>
      <x:c r="T882" s="10" t="n">
        <x:f>N882*'Assumptions'!$AA$136</x:f>
        <x:v>798.4908085190157</x:v>
      </x:c>
      <x:c r="U882" s="10" t="n">
        <x:f>'Assumptions'!$AE$136*'Assumptions'!$D$11*(1+'Assumptions'!$D$13)^(7-1)</x:f>
        <x:v>0</x:v>
      </x:c>
      <x:c r="V882" s="10" t="n">
        <x:f>0</x:f>
        <x:v>0</x:v>
      </x:c>
      <x:c r="W882" s="10" t="n">
        <x:f>H882*('Assumptions'!$P$136+'Assumptions'!$Y$136)</x:f>
        <x:v>237.56393891100012</x:v>
      </x:c>
      <x:c r="X882" s="10" t="n">
        <x:f>N882/12*'Assumptions'!$AF$136</x:f>
        <x:v>831.7612588739747</x:v>
      </x:c>
      <x:c r="Y882" s="10" t="n">
        <x:f>P882/12</x:f>
        <x:v>363.6714959348138</x:v>
      </x:c>
      <x:c r="Z882" s="10" t="n">
        <x:f>0</x:f>
        <x:v>0</x:v>
      </x:c>
      <x:c r="AA882" s="10" t="n">
        <x:f>Z882*'Assumptions'!$AC$136*'Assumptions'!$D$11*(1+'Assumptions'!$D$13)^(7-1)</x:f>
        <x:v>0</x:v>
      </x:c>
      <x:c r="AB882" s="10" t="n">
        <x:f>F882/1</x:f>
        <x:v>242.3091356400001</x:v>
      </x:c>
      <x:c r="AC882" s="10" t="n">
        <x:f>AB882/'Assumptions'!$AM$136</x:f>
        <x:v>2423.091356400001</x:v>
      </x:c>
      <x:c r="AD882" s="10" t="n">
        <x:f>IF(AB882=0,0,T882/AB882)</x:f>
        <x:v>3.2953392632514587</x:v>
      </x:c>
      <x:c r="AE882" s="10" t="n">
        <x:f>AA882*'Assumptions'!$D$21</x:f>
        <x:v>0</x:v>
      </x:c>
    </x:row>
    <x:row r="883" ht="16" customHeight="1">
      <x:c r="A883" s="1"/>
      <x:c r="B883" s="1"/>
      <x:c r="C883" s="1" t="str">
        <x:v>DOT-108</x:v>
      </x:c>
      <x:c r="D883" s="10" t="str">
        <x:v>QzoticMusic</x:v>
      </x:c>
      <x:c r="E883" s="10" t="n">
        <x:v>7</x:v>
      </x:c>
      <x:c r="F883" s="21" t="n">
        <x:f>F755*(1+'Assumptions'!$M$137)</x:f>
        <x:v>12.115456782000006</x:v>
      </x:c>
      <x:c r="G883" s="21" t="n">
        <x:f>H755*'Assumptions'!$K$137</x:f>
        <x:v>6.158692365000002</x:v>
      </x:c>
      <x:c r="H883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883+G883,NA())</x:f>
        <x:v>18.27414914700001</x:v>
      </x:c>
      <x:c r="I883" s="22" t="n">
        <x:f>'Assumptions'!$H$137*IF('Assumptions'!$O$137=1,1,'Assumptions'!$D$10)*(1+'Assumptions'!$N$137)^(7-1)</x:f>
        <x:v>281.54060481600004</x:v>
      </x:c>
      <x:c r="J883" s="10" t="n">
        <x:f>H883*I883</x:f>
        <x:v>5144.915003344174</x:v>
      </x:c>
      <x:c r="K883" s="10" t="n">
        <x:f>J883*'Assumptions'!$T$137</x:f>
        <x:v>5144.915003344174</x:v>
      </x:c>
      <x:c r="L883" s="10" t="n">
        <x:f>K883*'Assumptions'!$U$137</x:f>
        <x:v>154.3474501003252</x:v>
      </x:c>
      <x:c r="M883" s="10" t="n">
        <x:f>K883*'Assumptions'!$V$137</x:f>
        <x:v>0</x:v>
      </x:c>
      <x:c r="N883" s="10" t="n">
        <x:f>K883-L883-M883</x:f>
        <x:v>4990.567553243849</x:v>
      </x:c>
      <x:c r="O883" s="10" t="n">
        <x:f>H883*'Assumptions'!$P$137*'Assumptions'!$Q$137*'Assumptions'!$D$11*(1+'Assumptions'!$D$13)^(7-1)</x:f>
        <x:v>1745.6231804871063</x:v>
      </x:c>
      <x:c r="P883" s="10" t="n">
        <x:f>H883*'Assumptions'!$R$137*'Assumptions'!$D$11*(1+'Assumptions'!$D$13)^(7-1)</x:f>
        <x:v>0</x:v>
      </x:c>
      <x:c r="Q883" s="10" t="n">
        <x:f>J883*'Assumptions'!$S$137</x:f>
        <x:v>0</x:v>
      </x:c>
      <x:c r="R883" s="10" t="n">
        <x:f>H883*'Assumptions'!$Y$137*'Assumptions'!$Z$137*'Assumptions'!$D$11*(1+'Assumptions'!$D$13)^(7-1)</x:f>
        <x:v>327.30434634133246</x:v>
      </x:c>
      <x:c r="S883" s="10" t="n">
        <x:f>IF(I883=0,0,J883*'Assumptions'!$W$137+H883*'Assumptions'!$X$137)</x:f>
        <x:v>154.68477984108105</x:v>
      </x:c>
      <x:c r="T883" s="10" t="n">
        <x:f>N883*'Assumptions'!$AA$137</x:f>
        <x:v>399.24540425950795</x:v>
      </x:c>
      <x:c r="U883" s="10" t="n">
        <x:f>'Assumptions'!$AE$137*'Assumptions'!$D$11*(1+'Assumptions'!$D$13)^(7-1)</x:f>
        <x:v>0</x:v>
      </x:c>
      <x:c r="V883" s="10" t="n">
        <x:f>0</x:f>
        <x:v>0</x:v>
      </x:c>
      <x:c r="W883" s="10" t="n">
        <x:f>H883*('Assumptions'!$P$137+'Assumptions'!$Y$137)</x:f>
        <x:v>45.68537286750002</x:v>
      </x:c>
      <x:c r="X883" s="10" t="n">
        <x:f>N883/12*'Assumptions'!$AF$137</x:f>
        <x:v>415.8806294369874</x:v>
      </x:c>
      <x:c r="Y883" s="10" t="n">
        <x:f>P883/12</x:f>
        <x:v>0</x:v>
      </x:c>
      <x:c r="Z883" s="10" t="n">
        <x:f>0</x:f>
        <x:v>0</x:v>
      </x:c>
      <x:c r="AA883" s="10" t="n">
        <x:f>Z883*'Assumptions'!$AC$137*'Assumptions'!$D$11*(1+'Assumptions'!$D$13)^(7-1)</x:f>
        <x:v>0</x:v>
      </x:c>
      <x:c r="AB883" s="10" t="n">
        <x:f>F883/1</x:f>
        <x:v>12.115456782000006</x:v>
      </x:c>
      <x:c r="AC883" s="10" t="n">
        <x:f>AB883/'Assumptions'!$AM$137</x:f>
        <x:v>121.15456782000005</x:v>
      </x:c>
      <x:c r="AD883" s="10" t="n">
        <x:f>IF(AB883=0,0,T883/AB883)</x:f>
        <x:v>32.95339263251459</x:v>
      </x:c>
      <x:c r="AE883" s="10" t="n">
        <x:f>AA883*'Assumptions'!$D$21</x:f>
        <x:v>0</x:v>
      </x:c>
    </x:row>
    <x:row r="884" ht="16" customHeight="1">
      <x:c r="A884" s="1"/>
      <x:c r="B884" s="1"/>
      <x:c r="C884" s="1" t="str">
        <x:v>DOT-109</x:v>
      </x:c>
      <x:c r="D884" s="10" t="str">
        <x:v>LesPetitFilms</x:v>
      </x:c>
      <x:c r="E884" s="10" t="n">
        <x:v>7</x:v>
      </x:c>
      <x:c r="F884" s="21" t="n">
        <x:f>F756*(1+'Assumptions'!$M$138)</x:f>
        <x:v>8.076971188000003</x:v>
      </x:c>
      <x:c r="G884" s="21" t="n">
        <x:f>H756*'Assumptions'!$K$138</x:f>
        <x:v>4.105794910000002</x:v>
      </x:c>
      <x:c r="H884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884+G884,NA())</x:f>
        <x:v>12.182766098000005</x:v>
      </x:c>
      <x:c r="I884" s="22" t="n">
        <x:f>'Assumptions'!$H$138*IF('Assumptions'!$O$138=1,1,'Assumptions'!$D$10)*(1+'Assumptions'!$N$138)^(7-1)</x:f>
        <x:v>3941.568467424</x:v>
      </x:c>
      <x:c r="J884" s="10" t="n">
        <x:f>H884*I884</x:f>
        <x:v>48019.206697878944</x:v>
      </x:c>
      <x:c r="K884" s="10" t="n">
        <x:f>J884*'Assumptions'!$T$138</x:f>
        <x:v>48019.206697878944</x:v>
      </x:c>
      <x:c r="L884" s="10" t="n">
        <x:f>K884*'Assumptions'!$U$138</x:f>
        <x:v>1440.5762009363682</x:v>
      </x:c>
      <x:c r="M884" s="10" t="n">
        <x:f>K884*'Assumptions'!$V$138</x:f>
        <x:v>0</x:v>
      </x:c>
      <x:c r="N884" s="10" t="n">
        <x:f>K884-L884-M884</x:f>
        <x:v>46578.63049694258</x:v>
      </x:c>
      <x:c r="O884" s="10" t="n">
        <x:f>H884*'Assumptions'!$P$138*'Assumptions'!$Q$138*'Assumptions'!$D$11*(1+'Assumptions'!$D$13)^(7-1)</x:f>
        <x:v>16365.217317066621</x:v>
      </x:c>
      <x:c r="P884" s="10" t="n">
        <x:f>H884*'Assumptions'!$R$138*'Assumptions'!$D$11*(1+'Assumptions'!$D$13)^(7-1)</x:f>
        <x:v>5091.400943087394</x:v>
      </x:c>
      <x:c r="Q884" s="10" t="n">
        <x:f>J884*'Assumptions'!$S$138</x:f>
        <x:v>0</x:v>
      </x:c>
      <x:c r="R884" s="10" t="n">
        <x:f>H884*'Assumptions'!$Y$138*'Assumptions'!$Z$138*'Assumptions'!$D$11*(1+'Assumptions'!$D$13)^(7-1)</x:f>
        <x:v>218.2028975608883</x:v>
      </x:c>
      <x:c r="S884" s="10" t="n">
        <x:f>IF(I884=0,0,J884*'Assumptions'!$W$138+H884*'Assumptions'!$X$138)</x:f>
        <x:v>1396.2118240678897</x:v>
      </x:c>
      <x:c r="T884" s="10" t="n">
        <x:f>N884*'Assumptions'!$AA$138</x:f>
        <x:v>3726.290439755406</x:v>
      </x:c>
      <x:c r="U884" s="10" t="n">
        <x:f>'Assumptions'!$AE$138*'Assumptions'!$D$11*(1+'Assumptions'!$D$13)^(7-1)</x:f>
        <x:v>0</x:v>
      </x:c>
      <x:c r="V884" s="10" t="n">
        <x:f>0</x:f>
        <x:v>0</x:v>
      </x:c>
      <x:c r="W884" s="10" t="n">
        <x:f>H884*('Assumptions'!$P$138+'Assumptions'!$Y$138)</x:f>
        <x:v>310.66053549900016</x:v>
      </x:c>
      <x:c r="X884" s="10" t="n">
        <x:f>N884/12*'Assumptions'!$AF$138</x:f>
        <x:v>3881.5525414118815</x:v>
      </x:c>
      <x:c r="Y884" s="10" t="n">
        <x:f>P884/12</x:f>
        <x:v>424.2834119239495</x:v>
      </x:c>
      <x:c r="Z884" s="10" t="n">
        <x:f>0</x:f>
        <x:v>0</x:v>
      </x:c>
      <x:c r="AA884" s="10" t="n">
        <x:f>Z884*'Assumptions'!$AC$138*'Assumptions'!$D$11*(1+'Assumptions'!$D$13)^(7-1)</x:f>
        <x:v>0</x:v>
      </x:c>
      <x:c r="AB884" s="10" t="n">
        <x:f>F884/1</x:f>
        <x:v>8.076971188000003</x:v>
      </x:c>
      <x:c r="AC884" s="10" t="n">
        <x:f>AB884/'Assumptions'!$AM$138</x:f>
        <x:v>80.76971188000003</x:v>
      </x:c>
      <x:c r="AD884" s="10" t="n">
        <x:f>IF(AB884=0,0,T884/AB884)</x:f>
        <x:v>461.34749685520416</x:v>
      </x:c>
      <x:c r="AE884" s="10" t="n">
        <x:f>AA884*'Assumptions'!$D$21</x:f>
        <x:v>0</x:v>
      </x:c>
    </x:row>
    <x:row r="885" ht="16" customHeight="1">
      <x:c r="A885" s="1"/>
      <x:c r="B885" s="1"/>
      <x:c r="C885" s="1" t="str">
        <x:v>DOT-110</x:v>
      </x:c>
      <x:c r="D885" s="10" t="str">
        <x:v>LesPetitFilms</x:v>
      </x:c>
      <x:c r="E885" s="10" t="n">
        <x:v>7</x:v>
      </x:c>
      <x:c r="F885" s="21" t="n">
        <x:f>F757*(1+'Assumptions'!$M$139)</x:f>
        <x:v>8.076971188000003</x:v>
      </x:c>
      <x:c r="G885" s="21" t="n">
        <x:f>H757*'Assumptions'!$K$139</x:f>
        <x:v>4.105794910000002</x:v>
      </x:c>
      <x:c r="H885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885+G885,NA())</x:f>
        <x:v>12.182766098000005</x:v>
      </x:c>
      <x:c r="I885" s="22" t="n">
        <x:f>'Assumptions'!$H$139*IF('Assumptions'!$O$139=1,1,'Assumptions'!$D$10)*(1+'Assumptions'!$N$139)^(7-1)</x:f>
        <x:v>1689.243628896</x:v>
      </x:c>
      <x:c r="J885" s="10" t="n">
        <x:f>H885*I885</x:f>
        <x:v>20579.66001337669</x:v>
      </x:c>
      <x:c r="K885" s="10" t="n">
        <x:f>J885*'Assumptions'!$T$139</x:f>
        <x:v>20579.66001337669</x:v>
      </x:c>
      <x:c r="L885" s="10" t="n">
        <x:f>K885*'Assumptions'!$U$139</x:f>
        <x:v>617.3898004013007</x:v>
      </x:c>
      <x:c r="M885" s="10" t="n">
        <x:f>K885*'Assumptions'!$V$139</x:f>
        <x:v>0</x:v>
      </x:c>
      <x:c r="N885" s="10" t="n">
        <x:f>K885-L885-M885</x:f>
        <x:v>19962.270212975392</x:v>
      </x:c>
      <x:c r="O885" s="10" t="n">
        <x:f>H885*'Assumptions'!$P$139*'Assumptions'!$Q$139*'Assumptions'!$D$11*(1+'Assumptions'!$D$13)^(7-1)</x:f>
        <x:v>6546.086926826648</x:v>
      </x:c>
      <x:c r="P885" s="10" t="n">
        <x:f>H885*'Assumptions'!$R$139*'Assumptions'!$D$11*(1+'Assumptions'!$D$13)^(7-1)</x:f>
        <x:v>2909.3719674785107</x:v>
      </x:c>
      <x:c r="Q885" s="10" t="n">
        <x:f>J885*'Assumptions'!$S$139</x:f>
        <x:v>0</x:v>
      </x:c>
      <x:c r="R885" s="10" t="n">
        <x:f>H885*'Assumptions'!$Y$139*'Assumptions'!$Z$139*'Assumptions'!$D$11*(1+'Assumptions'!$D$13)^(7-1)</x:f>
        <x:v>218.2028975608883</x:v>
      </x:c>
      <x:c r="S885" s="10" t="n">
        <x:f>IF(I885=0,0,J885*'Assumptions'!$W$139+H885*'Assumptions'!$X$139)</x:f>
        <x:v>600.4649702173241</x:v>
      </x:c>
      <x:c r="T885" s="10" t="n">
        <x:f>N885*'Assumptions'!$AA$139</x:f>
        <x:v>1596.9816170380313</x:v>
      </x:c>
      <x:c r="U885" s="10" t="n">
        <x:f>'Assumptions'!$AE$139*'Assumptions'!$D$11*(1+'Assumptions'!$D$13)^(7-1)</x:f>
        <x:v>0</x:v>
      </x:c>
      <x:c r="V885" s="10" t="n">
        <x:f>0</x:f>
        <x:v>0</x:v>
      </x:c>
      <x:c r="W885" s="10" t="n">
        <x:f>H885*('Assumptions'!$P$139+'Assumptions'!$Y$139)</x:f>
        <x:v>127.91904402900006</x:v>
      </x:c>
      <x:c r="X885" s="10" t="n">
        <x:f>N885/12*'Assumptions'!$AF$139</x:f>
        <x:v>1663.5225177479495</x:v>
      </x:c>
      <x:c r="Y885" s="10" t="n">
        <x:f>P885/12</x:f>
        <x:v>242.44766395654256</x:v>
      </x:c>
      <x:c r="Z885" s="10" t="n">
        <x:f>0</x:f>
        <x:v>0</x:v>
      </x:c>
      <x:c r="AA885" s="10" t="n">
        <x:f>Z885*'Assumptions'!$AC$139*'Assumptions'!$D$11*(1+'Assumptions'!$D$13)^(7-1)</x:f>
        <x:v>0</x:v>
      </x:c>
      <x:c r="AB885" s="10" t="n">
        <x:f>F885/1</x:f>
        <x:v>8.076971188000003</x:v>
      </x:c>
      <x:c r="AC885" s="10" t="n">
        <x:f>AB885/'Assumptions'!$AM$139</x:f>
        <x:v>80.76971188000003</x:v>
      </x:c>
      <x:c r="AD885" s="10" t="n">
        <x:f>IF(AB885=0,0,T885/AB885)</x:f>
        <x:v>197.7203557950875</x:v>
      </x:c>
      <x:c r="AE885" s="10" t="n">
        <x:f>AA885*'Assumptions'!$D$21</x:f>
        <x:v>0</x:v>
      </x:c>
    </x:row>
    <x:row r="886" ht="16" customHeight="1">
      <x:c r="A886" s="1"/>
      <x:c r="B886" s="1"/>
      <x:c r="C886" s="1" t="str">
        <x:v>DOT-111</x:v>
      </x:c>
      <x:c r="D886" s="10" t="str">
        <x:v>LesPetitFilms</x:v>
      </x:c>
      <x:c r="E886" s="10" t="n">
        <x:v>7</x:v>
      </x:c>
      <x:c r="F886" s="21" t="n">
        <x:f>F758*(1+'Assumptions'!$M$140)</x:f>
        <x:v>12.115456782000006</x:v>
      </x:c>
      <x:c r="G886" s="21" t="n">
        <x:f>H758*'Assumptions'!$K$140</x:f>
        <x:v>6.158692365000002</x:v>
      </x:c>
      <x:c r="H886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886+G886,NA())</x:f>
        <x:v>18.27414914700001</x:v>
      </x:c>
      <x:c r="I886" s="22" t="n">
        <x:f>'Assumptions'!$H$140*IF('Assumptions'!$O$140=1,1,'Assumptions'!$D$10)*(1+'Assumptions'!$N$140)^(7-1)</x:f>
        <x:v>563.0812096320001</x:v>
      </x:c>
      <x:c r="J886" s="10" t="n">
        <x:f>H886*I886</x:f>
        <x:v>10289.830006688348</x:v>
      </x:c>
      <x:c r="K886" s="10" t="n">
        <x:f>J886*'Assumptions'!$T$140</x:f>
        <x:v>10289.830006688348</x:v>
      </x:c>
      <x:c r="L886" s="10" t="n">
        <x:f>K886*'Assumptions'!$U$140</x:f>
        <x:v>308.6949002006504</x:v>
      </x:c>
      <x:c r="M886" s="10" t="n">
        <x:f>K886*'Assumptions'!$V$140</x:f>
        <x:v>0</x:v>
      </x:c>
      <x:c r="N886" s="10" t="n">
        <x:f>K886-L886-M886</x:f>
        <x:v>9981.135106487698</x:v>
      </x:c>
      <x:c r="O886" s="10" t="n">
        <x:f>H886*'Assumptions'!$P$140*'Assumptions'!$Q$140*'Assumptions'!$D$11*(1+'Assumptions'!$D$13)^(7-1)</x:f>
        <x:v>2618.4347707306597</x:v>
      </x:c>
      <x:c r="P886" s="10" t="n">
        <x:f>H886*'Assumptions'!$R$140*'Assumptions'!$D$11*(1+'Assumptions'!$D$13)^(7-1)</x:f>
        <x:v>1091.0144878044416</x:v>
      </x:c>
      <x:c r="Q886" s="10" t="n">
        <x:f>J886*'Assumptions'!$S$140</x:f>
        <x:v>0</x:v>
      </x:c>
      <x:c r="R886" s="10" t="n">
        <x:f>H886*'Assumptions'!$Y$140*'Assumptions'!$Z$140*'Assumptions'!$D$11*(1+'Assumptions'!$D$13)^(7-1)</x:f>
        <x:v>327.30434634133246</x:v>
      </x:c>
      <x:c r="S886" s="10" t="n">
        <x:f>IF(I886=0,0,J886*'Assumptions'!$W$140+H886*'Assumptions'!$X$140)</x:f>
        <x:v>303.8873149380621</x:v>
      </x:c>
      <x:c r="T886" s="10" t="n">
        <x:f>N886*'Assumptions'!$AA$140</x:f>
        <x:v>798.4908085190159</x:v>
      </x:c>
      <x:c r="U886" s="10" t="n">
        <x:f>'Assumptions'!$AE$140*'Assumptions'!$D$11*(1+'Assumptions'!$D$13)^(7-1)</x:f>
        <x:v>0</x:v>
      </x:c>
      <x:c r="V886" s="10" t="n">
        <x:f>0</x:f>
        <x:v>0</x:v>
      </x:c>
      <x:c r="W886" s="10" t="n">
        <x:f>H886*('Assumptions'!$P$140+'Assumptions'!$Y$140)</x:f>
        <x:v>63.95952201450004</x:v>
      </x:c>
      <x:c r="X886" s="10" t="n">
        <x:f>N886/12*'Assumptions'!$AF$140</x:f>
        <x:v>831.7612588739748</x:v>
      </x:c>
      <x:c r="Y886" s="10" t="n">
        <x:f>P886/12</x:f>
        <x:v>90.91787398370347</x:v>
      </x:c>
      <x:c r="Z886" s="10" t="n">
        <x:f>0</x:f>
        <x:v>0</x:v>
      </x:c>
      <x:c r="AA886" s="10" t="n">
        <x:f>Z886*'Assumptions'!$AC$140*'Assumptions'!$D$11*(1+'Assumptions'!$D$13)^(7-1)</x:f>
        <x:v>0</x:v>
      </x:c>
      <x:c r="AB886" s="10" t="n">
        <x:f>F886/1</x:f>
        <x:v>12.115456782000006</x:v>
      </x:c>
      <x:c r="AC886" s="10" t="n">
        <x:f>AB886/'Assumptions'!$AM$140</x:f>
        <x:v>121.15456782000005</x:v>
      </x:c>
      <x:c r="AD886" s="10" t="n">
        <x:f>IF(AB886=0,0,T886/AB886)</x:f>
        <x:v>65.90678526502919</x:v>
      </x:c>
      <x:c r="AE886" s="10" t="n">
        <x:f>AA886*'Assumptions'!$D$21</x:f>
        <x:v>0</x:v>
      </x:c>
    </x:row>
    <x:row r="887" ht="16" customHeight="1">
      <x:c r="A887" s="1"/>
      <x:c r="B887" s="1"/>
      <x:c r="C887" s="1" t="str">
        <x:v>DOT-112</x:v>
      </x:c>
      <x:c r="D887" s="10" t="str">
        <x:v>Learn Anglais</x:v>
      </x:c>
      <x:c r="E887" s="10" t="n">
        <x:v>7</x:v>
      </x:c>
      <x:c r="F887" s="21" t="n">
        <x:f>F759*(1+'Assumptions'!$M$141)</x:f>
        <x:v>395.9788032</x:v>
      </x:c>
      <x:c r="G887" s="21" t="n">
        <x:f>H759*'Assumptions'!$K$141</x:f>
        <x:v>710.1691379999999</x:v>
      </x:c>
      <x:c r="H887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887+G887,NA())</x:f>
        <x:v>1106.1479411999999</x:v>
      </x:c>
      <x:c r="I887" s="22" t="n">
        <x:f>'Assumptions'!$H$141*IF('Assumptions'!$O$141=1,1,'Assumptions'!$D$10)*(1+'Assumptions'!$N$141)^(7-1)</x:f>
        <x:v>50.677308866880004</x:v>
      </x:c>
      <x:c r="J887" s="10" t="n">
        <x:f>H887*I887</x:f>
        <x:v>56056.60086865581</x:v>
      </x:c>
      <x:c r="K887" s="10" t="n">
        <x:f>J887*'Assumptions'!$T$141</x:f>
        <x:v>18685.53362288527</x:v>
      </x:c>
      <x:c r="L887" s="10" t="n">
        <x:f>K887*'Assumptions'!$U$141</x:f>
        <x:v>560.566008686558</x:v>
      </x:c>
      <x:c r="M887" s="10" t="n">
        <x:f>K887*'Assumptions'!$V$141</x:f>
        <x:v>0</x:v>
      </x:c>
      <x:c r="N887" s="10" t="n">
        <x:f>K887-L887-M887</x:f>
        <x:v>18124.96761419871</x:v>
      </x:c>
      <x:c r="O887" s="10" t="n">
        <x:f>H887*'Assumptions'!$P$141*'Assumptions'!$Q$141*'Assumptions'!$D$11*(1+'Assumptions'!$D$13)^(7-1)</x:f>
        <x:v>4622.794713217399</x:v>
      </x:c>
      <x:c r="P887" s="10" t="n">
        <x:f>H887*'Assumptions'!$R$141*'Assumptions'!$D$11*(1+'Assumptions'!$D$13)^(7-1)</x:f>
        <x:v>0</x:v>
      </x:c>
      <x:c r="Q887" s="10" t="n">
        <x:f>J887*'Assumptions'!$S$141</x:f>
        <x:v>0</x:v>
      </x:c>
      <x:c r="R887" s="10" t="n">
        <x:f>H887*'Assumptions'!$Y$141*'Assumptions'!$Z$141*'Assumptions'!$D$11*(1+'Assumptions'!$D$13)^(7-1)</x:f>
        <x:v>5943.5932027080835</x:v>
      </x:c>
      <x:c r="S887" s="10" t="n">
        <x:f>IF(I887=0,0,J887*'Assumptions'!$W$141+H887*'Assumptions'!$X$141)</x:f>
        <x:v>1957.4858075510188</x:v>
      </x:c>
      <x:c r="T887" s="10" t="n">
        <x:f>N887*'Assumptions'!$AA$141</x:f>
        <x:v>906.2483807099356</x:v>
      </x:c>
      <x:c r="U887" s="10" t="n">
        <x:f>'Assumptions'!$AE$141*'Assumptions'!$D$11*(1+'Assumptions'!$D$13)^(7-1)</x:f>
        <x:v>0</x:v>
      </x:c>
      <x:c r="V887" s="10" t="n">
        <x:f>0</x:f>
        <x:v>0</x:v>
      </x:c>
      <x:c r="W887" s="10" t="n">
        <x:f>H887*('Assumptions'!$P$141+'Assumptions'!$Y$141)</x:f>
        <x:v>276.53698529999997</x:v>
      </x:c>
      <x:c r="X887" s="10" t="n">
        <x:f>N887/12*'Assumptions'!$AF$141</x:f>
        <x:v>0</x:v>
      </x:c>
      <x:c r="Y887" s="10" t="n">
        <x:f>P887/12</x:f>
        <x:v>0</x:v>
      </x:c>
      <x:c r="Z887" s="10" t="n">
        <x:f>0</x:f>
        <x:v>0</x:v>
      </x:c>
      <x:c r="AA887" s="10" t="n">
        <x:f>Z887*'Assumptions'!$AC$141*'Assumptions'!$D$11*(1+'Assumptions'!$D$13)^(7-1)</x:f>
        <x:v>0</x:v>
      </x:c>
      <x:c r="AB887" s="10" t="n">
        <x:f>F887/1</x:f>
        <x:v>395.9788032</x:v>
      </x:c>
      <x:c r="AC887" s="10" t="n">
        <x:f>AB887/'Assumptions'!$AM$141</x:f>
        <x:v>7919.576064</x:v>
      </x:c>
      <x:c r="AD887" s="10" t="n">
        <x:f>IF(AB887=0,0,T887/AB887)</x:f>
        <x:v>2.2886285159365207</x:v>
      </x:c>
      <x:c r="AE887" s="10" t="n">
        <x:f>AA887*'Assumptions'!$D$21</x:f>
        <x:v>0</x:v>
      </x:c>
    </x:row>
    <x:row r="888" ht="16" customHeight="1">
      <x:c r="A888" s="1"/>
      <x:c r="B888" s="1"/>
      <x:c r="C888" s="1" t="str">
        <x:v>DOT-113</x:v>
      </x:c>
      <x:c r="D888" s="10" t="str">
        <x:v>Learn Anglais</x:v>
      </x:c>
      <x:c r="E888" s="10" t="n">
        <x:v>7</x:v>
      </x:c>
      <x:c r="F888" s="21" t="n">
        <x:f>F760*(1+'Assumptions'!$M$142)</x:f>
        <x:v>237.58728191999998</x:v>
      </x:c>
      <x:c r="G888" s="21" t="n">
        <x:f>H760*'Assumptions'!$K$142</x:f>
        <x:v>426.1014827999999</x:v>
      </x:c>
      <x:c r="H888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888+G888,NA())</x:f>
        <x:v>663.6887647199999</x:v>
      </x:c>
      <x:c r="I888" s="22" t="n">
        <x:f>'Assumptions'!$H$142*IF('Assumptions'!$O$142=1,1,'Assumptions'!$D$10)*(1+'Assumptions'!$N$142)^(7-1)</x:f>
        <x:v>95.72380563744001</x:v>
      </x:c>
      <x:c r="J888" s="10" t="n">
        <x:f>H888*I888</x:f>
        <x:v>63530.81431780992</x:v>
      </x:c>
      <x:c r="K888" s="10" t="n">
        <x:f>J888*'Assumptions'!$T$142</x:f>
        <x:v>19059.244295342975</x:v>
      </x:c>
      <x:c r="L888" s="10" t="n">
        <x:f>K888*'Assumptions'!$U$142</x:f>
        <x:v>571.7773288602892</x:v>
      </x:c>
      <x:c r="M888" s="10" t="n">
        <x:f>K888*'Assumptions'!$V$142</x:f>
        <x:v>0</x:v>
      </x:c>
      <x:c r="N888" s="10" t="n">
        <x:f>K888-L888-M888</x:f>
        <x:v>18487.466966482687</x:v>
      </x:c>
      <x:c r="O888" s="10" t="n">
        <x:f>H888*'Assumptions'!$P$142*'Assumptions'!$Q$142*'Assumptions'!$D$11*(1+'Assumptions'!$D$13)^(7-1)</x:f>
        <x:v>2773.6768279304392</x:v>
      </x:c>
      <x:c r="P888" s="10" t="n">
        <x:f>H888*'Assumptions'!$R$142*'Assumptions'!$D$11*(1+'Assumptions'!$D$13)^(7-1)</x:f>
        <x:v>0</x:v>
      </x:c>
      <x:c r="Q888" s="10" t="n">
        <x:f>J888*'Assumptions'!$S$142</x:f>
        <x:v>0</x:v>
      </x:c>
      <x:c r="R888" s="10" t="n">
        <x:f>H888*'Assumptions'!$Y$142*'Assumptions'!$Z$142*'Assumptions'!$D$11*(1+'Assumptions'!$D$13)^(7-1)</x:f>
        <x:v>3566.1559216248497</x:v>
      </x:c>
      <x:c r="S888" s="10" t="n">
        <x:f>IF(I888=0,0,J888*'Assumptions'!$W$142+H888*'Assumptions'!$X$142)</x:f>
        <x:v>2041.5002446324877</x:v>
      </x:c>
      <x:c r="T888" s="10" t="n">
        <x:f>N888*'Assumptions'!$AA$142</x:f>
        <x:v>924.3733483241344</x:v>
      </x:c>
      <x:c r="U888" s="10" t="n">
        <x:f>'Assumptions'!$AE$142*'Assumptions'!$D$11*(1+'Assumptions'!$D$13)^(7-1)</x:f>
        <x:v>0</x:v>
      </x:c>
      <x:c r="V888" s="10" t="n">
        <x:f>0</x:f>
        <x:v>0</x:v>
      </x:c>
      <x:c r="W888" s="10" t="n">
        <x:f>H888*('Assumptions'!$P$142+'Assumptions'!$Y$142)</x:f>
        <x:v>165.92219117999997</x:v>
      </x:c>
      <x:c r="X888" s="10" t="n">
        <x:f>N888/12*'Assumptions'!$AF$142</x:f>
        <x:v>0</x:v>
      </x:c>
      <x:c r="Y888" s="10" t="n">
        <x:f>P888/12</x:f>
        <x:v>0</x:v>
      </x:c>
      <x:c r="Z888" s="10" t="n">
        <x:f>0</x:f>
        <x:v>0</x:v>
      </x:c>
      <x:c r="AA888" s="10" t="n">
        <x:f>Z888*'Assumptions'!$AC$142*'Assumptions'!$D$11*(1+'Assumptions'!$D$13)^(7-1)</x:f>
        <x:v>0</x:v>
      </x:c>
      <x:c r="AB888" s="10" t="n">
        <x:f>F888/1</x:f>
        <x:v>237.58728191999998</x:v>
      </x:c>
      <x:c r="AC888" s="10" t="n">
        <x:f>AB888/'Assumptions'!$AM$142</x:f>
        <x:v>4751.7456384</x:v>
      </x:c>
      <x:c r="AD888" s="10" t="n">
        <x:f>IF(AB888=0,0,T888/AB888)</x:f>
        <x:v>3.890668477092086</x:v>
      </x:c>
      <x:c r="AE888" s="10" t="n">
        <x:f>AA888*'Assumptions'!$D$21</x:f>
        <x:v>0</x:v>
      </x:c>
    </x:row>
    <x:row r="889" ht="16" customHeight="1">
      <x:c r="A889" s="1"/>
      <x:c r="B889" s="1"/>
      <x:c r="C889" s="1" t="str">
        <x:v>DOT-114</x:v>
      </x:c>
      <x:c r="D889" s="10" t="str">
        <x:v>Learn Anglais</x:v>
      </x:c>
      <x:c r="E889" s="10" t="n">
        <x:v>7</x:v>
      </x:c>
      <x:c r="F889" s="21" t="n">
        <x:f>F761*(1+'Assumptions'!$M$143)</x:f>
        <x:v>333.9937315124999</x:v>
      </x:c>
      <x:c r="G889" s="21" t="n">
        <x:f>H761*'Assumptions'!$K$143</x:f>
        <x:v>106.19619749999995</x:v>
      </x:c>
      <x:c r="H889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889+G889,NA())</x:f>
        <x:v>440.1899290124999</x:v>
      </x:c>
      <x:c r="I889" s="22" t="n">
        <x:f>'Assumptions'!$H$143*IF('Assumptions'!$O$143=1,1,'Assumptions'!$D$10)*(1+'Assumptions'!$N$143)^(7-1)</x:f>
        <x:v>32.658710158656</x:v>
      </x:c>
      <x:c r="J889" s="10" t="n">
        <x:f>H889*I889</x:f>
        <x:v>14376.035306378593</x:v>
      </x:c>
      <x:c r="K889" s="10" t="n">
        <x:f>J889*'Assumptions'!$T$143</x:f>
        <x:v>14376.035306378593</x:v>
      </x:c>
      <x:c r="L889" s="10" t="n">
        <x:f>K889*'Assumptions'!$U$143</x:f>
        <x:v>431.28105919135777</x:v>
      </x:c>
      <x:c r="M889" s="10" t="n">
        <x:f>K889*'Assumptions'!$V$143</x:f>
        <x:v>0</x:v>
      </x:c>
      <x:c r="N889" s="10" t="n">
        <x:f>K889-L889-M889</x:f>
        <x:v>13944.754247187235</x:v>
      </x:c>
      <x:c r="O889" s="10" t="n">
        <x:f>H889*'Assumptions'!$P$143*'Assumptions'!$Q$143*'Assumptions'!$D$11*(1+'Assumptions'!$D$13)^(7-1)</x:f>
        <x:v>2759.4514271431435</x:v>
      </x:c>
      <x:c r="P889" s="10" t="n">
        <x:f>H889*'Assumptions'!$R$143*'Assumptions'!$D$11*(1+'Assumptions'!$D$13)^(7-1)</x:f>
        <x:v>0</x:v>
      </x:c>
      <x:c r="Q889" s="10" t="n">
        <x:f>J889*'Assumptions'!$S$143</x:f>
        <x:v>0</x:v>
      </x:c>
      <x:c r="R889" s="10" t="n">
        <x:f>H889*'Assumptions'!$Y$143*'Assumptions'!$Z$143*'Assumptions'!$D$11*(1+'Assumptions'!$D$13)^(7-1)</x:f>
        <x:v>1576.8293869389393</x:v>
      </x:c>
      <x:c r="S889" s="10" t="n">
        <x:f>IF(I889=0,0,J889*'Assumptions'!$W$143+H889*'Assumptions'!$X$143)</x:f>
        <x:v>548.9620025887292</x:v>
      </x:c>
      <x:c r="T889" s="10" t="n">
        <x:f>N889*'Assumptions'!$AA$143</x:f>
        <x:v>697.2377123593618</x:v>
      </x:c>
      <x:c r="U889" s="10" t="n">
        <x:f>'Assumptions'!$AE$143*'Assumptions'!$D$11*(1+'Assumptions'!$D$13)^(7-1)</x:f>
        <x:v>0</x:v>
      </x:c>
      <x:c r="V889" s="10" t="n">
        <x:f>0</x:f>
        <x:v>0</x:v>
      </x:c>
      <x:c r="W889" s="10" t="n">
        <x:f>H889*('Assumptions'!$P$143+'Assumptions'!$Y$143)</x:f>
        <x:v>110.04748225312497</x:v>
      </x:c>
      <x:c r="X889" s="10" t="n">
        <x:f>N889/12*'Assumptions'!$AF$143</x:f>
        <x:v>0</x:v>
      </x:c>
      <x:c r="Y889" s="10" t="n">
        <x:f>P889/12</x:f>
        <x:v>0</x:v>
      </x:c>
      <x:c r="Z889" s="10" t="n">
        <x:f>0</x:f>
        <x:v>0</x:v>
      </x:c>
      <x:c r="AA889" s="10" t="n">
        <x:f>Z889*'Assumptions'!$AC$143*'Assumptions'!$D$11*(1+'Assumptions'!$D$13)^(7-1)</x:f>
        <x:v>0</x:v>
      </x:c>
      <x:c r="AB889" s="10" t="n">
        <x:f>F889/1</x:f>
        <x:v>333.9937315124999</x:v>
      </x:c>
      <x:c r="AC889" s="10" t="n">
        <x:f>AB889/'Assumptions'!$AM$143</x:f>
        <x:v>6679.874630249998</x:v>
      </x:c>
      <x:c r="AD889" s="10" t="n">
        <x:f>IF(AB889=0,0,T889/AB889)</x:f>
        <x:v>2.087577240452692</x:v>
      </x:c>
      <x:c r="AE889" s="10" t="n">
        <x:f>AA889*'Assumptions'!$D$21</x:f>
        <x:v>0</x:v>
      </x:c>
    </x:row>
    <x:row r="890" ht="16" customHeight="1">
      <x:c r="A890" s="1"/>
      <x:c r="B890" s="1"/>
      <x:c r="C890" s="1" t="str">
        <x:v>DOT-115</x:v>
      </x:c>
      <x:c r="D890" s="10" t="str">
        <x:v>Learn Anglais</x:v>
      </x:c>
      <x:c r="E890" s="10" t="n">
        <x:v>7</x:v>
      </x:c>
      <x:c r="F890" s="21" t="n">
        <x:f>F762*(1+'Assumptions'!$M$144)</x:f>
        <x:v>158.39152128000003</x:v>
      </x:c>
      <x:c r="G890" s="21" t="n">
        <x:f>H762*'Assumptions'!$K$144</x:f>
        <x:v>277.0087152</x:v>
      </x:c>
      <x:c r="H890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890+G890,NA())</x:f>
        <x:v>435.40023648</x:v>
      </x:c>
      <x:c r="I890" s="22" t="n">
        <x:f>'Assumptions'!$H$144*IF('Assumptions'!$O$144=1,1,'Assumptions'!$D$10)*(1+'Assumptions'!$N$144)^(7-1)</x:f>
        <x:v>50.677308866880004</x:v>
      </x:c>
      <x:c r="J890" s="10" t="n">
        <x:f>H890*I890</x:f>
        <x:v>22064.912264809554</x:v>
      </x:c>
      <x:c r="K890" s="10" t="n">
        <x:f>J890*'Assumptions'!$T$144</x:f>
        <x:v>7354.970754936518</x:v>
      </x:c>
      <x:c r="L890" s="10" t="n">
        <x:f>K890*'Assumptions'!$U$144</x:f>
        <x:v>220.64912264809553</x:v>
      </x:c>
      <x:c r="M890" s="10" t="n">
        <x:f>K890*'Assumptions'!$V$144</x:f>
        <x:v>0</x:v>
      </x:c>
      <x:c r="N890" s="10" t="n">
        <x:f>K890-L890-M890</x:f>
        <x:v>7134.321632288422</x:v>
      </x:c>
      <x:c r="O890" s="10" t="n">
        <x:f>H890*'Assumptions'!$P$144*'Assumptions'!$Q$144*'Assumptions'!$D$11*(1+'Assumptions'!$D$13)^(7-1)</x:f>
        <x:v>2729.425924460622</x:v>
      </x:c>
      <x:c r="P890" s="10" t="n">
        <x:f>H890*'Assumptions'!$R$144*'Assumptions'!$D$11*(1+'Assumptions'!$D$13)^(7-1)</x:f>
        <x:v>0</x:v>
      </x:c>
      <x:c r="Q890" s="10" t="n">
        <x:f>J890*'Assumptions'!$S$144</x:f>
        <x:v>0</x:v>
      </x:c>
      <x:c r="R890" s="10" t="n">
        <x:f>H890*'Assumptions'!$Y$144*'Assumptions'!$Z$144*'Assumptions'!$D$11*(1+'Assumptions'!$D$13)^(7-1)</x:f>
        <x:v>2339.5079352519615</x:v>
      </x:c>
      <x:c r="S890" s="10" t="n">
        <x:f>IF(I890=0,0,J890*'Assumptions'!$W$144+H890*'Assumptions'!$X$144)</x:f>
        <x:v>770.502526623477</x:v>
      </x:c>
      <x:c r="T890" s="10" t="n">
        <x:f>N890*'Assumptions'!$AA$144</x:f>
        <x:v>356.7160816144211</x:v>
      </x:c>
      <x:c r="U890" s="10" t="n">
        <x:f>'Assumptions'!$AE$144*'Assumptions'!$D$11*(1+'Assumptions'!$D$13)^(7-1)</x:f>
        <x:v>0</x:v>
      </x:c>
      <x:c r="V890" s="10" t="n">
        <x:f>0</x:f>
        <x:v>0</x:v>
      </x:c>
      <x:c r="W890" s="10" t="n">
        <x:f>H890*('Assumptions'!$P$144+'Assumptions'!$Y$144)</x:f>
        <x:v>130.620070944</x:v>
      </x:c>
      <x:c r="X890" s="10" t="n">
        <x:f>N890/12*'Assumptions'!$AF$144</x:f>
        <x:v>0</x:v>
      </x:c>
      <x:c r="Y890" s="10" t="n">
        <x:f>P890/12</x:f>
        <x:v>0</x:v>
      </x:c>
      <x:c r="Z890" s="10" t="n">
        <x:f>0</x:f>
        <x:v>0</x:v>
      </x:c>
      <x:c r="AA890" s="10" t="n">
        <x:f>Z890*'Assumptions'!$AC$144*'Assumptions'!$D$11*(1+'Assumptions'!$D$13)^(7-1)</x:f>
        <x:v>0</x:v>
      </x:c>
      <x:c r="AB890" s="10" t="n">
        <x:f>F890/1</x:f>
        <x:v>158.39152128000003</x:v>
      </x:c>
      <x:c r="AC890" s="10" t="n">
        <x:f>AB890/'Assumptions'!$AM$144</x:f>
        <x:v>3167.8304256000006</x:v>
      </x:c>
      <x:c r="AD890" s="10" t="n">
        <x:f>IF(AB890=0,0,T890/AB890)</x:f>
        <x:v>2.252116014365621</x:v>
      </x:c>
      <x:c r="AE890" s="10" t="n">
        <x:f>AA890*'Assumptions'!$D$21</x:f>
        <x:v>0</x:v>
      </x:c>
    </x:row>
    <x:row r="891" ht="16" customHeight="1">
      <x:c r="A891" s="1"/>
      <x:c r="B891" s="1"/>
      <x:c r="C891" s="1" t="str">
        <x:v>DOT-116</x:v>
      </x:c>
      <x:c r="D891" s="10" t="str">
        <x:v>Fiefé</x:v>
      </x:c>
      <x:c r="E891" s="10" t="n">
        <x:v>7</x:v>
      </x:c>
      <x:c r="F891" s="21" t="n">
        <x:f>F763*(1+'Assumptions'!$M$145)</x:f>
        <x:v>56.09004875120641</x:v>
      </x:c>
      <x:c r="G891" s="21" t="n">
        <x:f>H763*'Assumptions'!$K$145</x:f>
        <x:v>22.820119893504003</x:v>
      </x:c>
      <x:c r="H891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891+G891,NA())</x:f>
        <x:v>78.91016864471041</x:v>
      </x:c>
      <x:c r="I891" s="22" t="n">
        <x:f>'Assumptions'!$H$145*IF('Assumptions'!$O$145=1,1,'Assumptions'!$D$10)*(1+'Assumptions'!$N$145)^(7-1)</x:f>
        <x:v>506.7730886688</x:v>
      </x:c>
      <x:c r="J891" s="10" t="n">
        <x:f>H891*I891</x:f>
        <x:v>39989.54989145579</x:v>
      </x:c>
      <x:c r="K891" s="10" t="n">
        <x:f>J891*'Assumptions'!$T$145</x:f>
        <x:v>39989.54989145579</x:v>
      </x:c>
      <x:c r="L891" s="10" t="n">
        <x:f>K891*'Assumptions'!$U$145</x:f>
        <x:v>1199.6864967436736</x:v>
      </x:c>
      <x:c r="M891" s="10" t="n">
        <x:f>K891*'Assumptions'!$V$145</x:f>
        <x:v>799.7909978291158</x:v>
      </x:c>
      <x:c r="N891" s="10" t="n">
        <x:f>K891-L891-M891</x:f>
        <x:v>37990.072396883006</x:v>
      </x:c>
      <x:c r="O891" s="10" t="n">
        <x:f>H891*'Assumptions'!$P$145*'Assumptions'!$Q$145*'Assumptions'!$D$11*(1+'Assumptions'!$D$13)^(7-1)</x:f>
        <x:v>2355.5717022426793</x:v>
      </x:c>
      <x:c r="P891" s="10" t="n">
        <x:f>H891*'Assumptions'!$R$145*'Assumptions'!$D$11*(1+'Assumptions'!$D$13)^(7-1)</x:f>
        <x:v>23555.717022426794</x:v>
      </x:c>
      <x:c r="Q891" s="10" t="n">
        <x:f>J891*'Assumptions'!$S$145</x:f>
        <x:v>0</x:v>
      </x:c>
      <x:c r="R891" s="10" t="n">
        <x:f>H891*'Assumptions'!$Y$145*'Assumptions'!$Z$145*'Assumptions'!$D$11*(1+'Assumptions'!$D$13)^(7-1)</x:f>
        <x:v>424.00290640368223</x:v>
      </x:c>
      <x:c r="S891" s="10" t="n">
        <x:f>IF(I891=0,0,J891*'Assumptions'!$W$145+H891*'Assumptions'!$X$145)</x:f>
        <x:v>1183.369997445631</x:v>
      </x:c>
      <x:c r="T891" s="10" t="n">
        <x:f>N891*'Assumptions'!$AA$145</x:f>
        <x:v>3039.2057917506404</x:v>
      </x:c>
      <x:c r="U891" s="10" t="n">
        <x:f>'Assumptions'!$AE$145*'Assumptions'!$D$11*(1+'Assumptions'!$D$13)^(7-1)</x:f>
        <x:v>0</x:v>
      </x:c>
      <x:c r="V891" s="10" t="n">
        <x:f>0</x:f>
        <x:v>0</x:v>
      </x:c>
      <x:c r="W891" s="10" t="n">
        <x:f>H891*('Assumptions'!$P$145+'Assumptions'!$Y$145)</x:f>
        <x:v>51.29160961906177</x:v>
      </x:c>
      <x:c r="X891" s="10" t="n">
        <x:f>N891/12*'Assumptions'!$AF$145</x:f>
        <x:v>0</x:v>
      </x:c>
      <x:c r="Y891" s="10" t="n">
        <x:f>P891/12</x:f>
        <x:v>1962.9764185355662</x:v>
      </x:c>
      <x:c r="Z891" s="10" t="n">
        <x:f>0</x:f>
        <x:v>0</x:v>
      </x:c>
      <x:c r="AA891" s="10" t="n">
        <x:f>Z891*'Assumptions'!$AC$145*'Assumptions'!$D$11*(1+'Assumptions'!$D$13)^(7-1)</x:f>
        <x:v>0</x:v>
      </x:c>
      <x:c r="AB891" s="10" t="n">
        <x:f>F891/1</x:f>
        <x:v>56.09004875120641</x:v>
      </x:c>
      <x:c r="AC891" s="10" t="n">
        <x:f>AB891/'Assumptions'!$AM$145</x:f>
        <x:v>1869.6682917068804</x:v>
      </x:c>
      <x:c r="AD891" s="10" t="n">
        <x:f>IF(AB891=0,0,T891/AB891)</x:f>
        <x:v>54.184402749075375</x:v>
      </x:c>
      <x:c r="AE891" s="10" t="n">
        <x:f>AA891*'Assumptions'!$D$21</x:f>
        <x:v>0</x:v>
      </x:c>
    </x:row>
    <x:row r="892" ht="16" customHeight="1">
      <x:c r="A892" s="1"/>
      <x:c r="B892" s="1"/>
      <x:c r="C892" s="1" t="str">
        <x:v>DOT-117</x:v>
      </x:c>
      <x:c r="D892" s="10" t="str">
        <x:v>Fiefé</x:v>
      </x:c>
      <x:c r="E892" s="10" t="n">
        <x:v>7</x:v>
      </x:c>
      <x:c r="F892" s="21" t="n">
        <x:f>F764*(1+'Assumptions'!$M$146)</x:f>
        <x:v>70.11256093900803</x:v>
      </x:c>
      <x:c r="G892" s="21" t="n">
        <x:f>H764*'Assumptions'!$K$146</x:f>
        <x:v>28.52514986688001</x:v>
      </x:c>
      <x:c r="H892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892+G892,NA())</x:f>
        <x:v>98.63771080588805</x:v>
      </x:c>
      <x:c r="I892" s="22" t="n">
        <x:f>'Assumptions'!$H$146*IF('Assumptions'!$O$146=1,1,'Assumptions'!$D$10)*(1+'Assumptions'!$N$146)^(7-1)</x:f>
        <x:v>197.07842337120002</x:v>
      </x:c>
      <x:c r="J892" s="10" t="n">
        <x:f>H892*I892</x:f>
        <x:v>19439.364530568797</x:v>
      </x:c>
      <x:c r="K892" s="10" t="n">
        <x:f>J892*'Assumptions'!$T$146</x:f>
        <x:v>19439.364530568797</x:v>
      </x:c>
      <x:c r="L892" s="10" t="n">
        <x:f>K892*'Assumptions'!$U$146</x:f>
        <x:v>583.1809359170638</x:v>
      </x:c>
      <x:c r="M892" s="10" t="n">
        <x:f>K892*'Assumptions'!$V$146</x:f>
        <x:v>388.78729061137597</x:v>
      </x:c>
      <x:c r="N892" s="10" t="n">
        <x:f>K892-L892-M892</x:f>
        <x:v>18467.396304040354</x:v>
      </x:c>
      <x:c r="O892" s="10" t="n">
        <x:f>H892*'Assumptions'!$P$146*'Assumptions'!$Q$146*'Assumptions'!$D$11*(1+'Assumptions'!$D$13)^(7-1)</x:f>
        <x:v>1325.0090825115074</x:v>
      </x:c>
      <x:c r="P892" s="10" t="n">
        <x:f>H892*'Assumptions'!$R$146*'Assumptions'!$D$11*(1+'Assumptions'!$D$13)^(7-1)</x:f>
        <x:v>9422.286808970719</x:v>
      </x:c>
      <x:c r="Q892" s="10" t="n">
        <x:f>J892*'Assumptions'!$S$146</x:f>
        <x:v>0</x:v>
      </x:c>
      <x:c r="R892" s="10" t="n">
        <x:f>H892*'Assumptions'!$Y$146*'Assumptions'!$Z$146*'Assumptions'!$D$11*(1+'Assumptions'!$D$13)^(7-1)</x:f>
        <x:v>530.003633004603</x:v>
      </x:c>
      <x:c r="S892" s="10" t="n">
        <x:f>IF(I892=0,0,J892*'Assumptions'!$W$146+H892*'Assumptions'!$X$146)</x:f>
        <x:v>593.3328846282616</x:v>
      </x:c>
      <x:c r="T892" s="10" t="n">
        <x:f>N892*'Assumptions'!$AA$146</x:f>
        <x:v>1477.3917043232284</x:v>
      </x:c>
      <x:c r="U892" s="10" t="n">
        <x:f>'Assumptions'!$AE$146*'Assumptions'!$D$11*(1+'Assumptions'!$D$13)^(7-1)</x:f>
        <x:v>0</x:v>
      </x:c>
      <x:c r="V892" s="10" t="n">
        <x:f>0</x:f>
        <x:v>0</x:v>
      </x:c>
      <x:c r="W892" s="10" t="n">
        <x:f>H892*('Assumptions'!$P$146+'Assumptions'!$Y$146)</x:f>
        <x:v>39.45508432235522</x:v>
      </x:c>
      <x:c r="X892" s="10" t="n">
        <x:f>N892/12*'Assumptions'!$AF$146</x:f>
        <x:v>0</x:v>
      </x:c>
      <x:c r="Y892" s="10" t="n">
        <x:f>P892/12</x:f>
        <x:v>785.1905674142266</x:v>
      </x:c>
      <x:c r="Z892" s="10" t="n">
        <x:f>0</x:f>
        <x:v>0</x:v>
      </x:c>
      <x:c r="AA892" s="10" t="n">
        <x:f>Z892*'Assumptions'!$AC$146*'Assumptions'!$D$11*(1+'Assumptions'!$D$13)^(7-1)</x:f>
        <x:v>0</x:v>
      </x:c>
      <x:c r="AB892" s="10" t="n">
        <x:f>F892/1</x:f>
        <x:v>70.11256093900803</x:v>
      </x:c>
      <x:c r="AC892" s="10" t="n">
        <x:f>AB892/'Assumptions'!$AM$146</x:f>
        <x:v>2337.0853646336013</x:v>
      </x:c>
      <x:c r="AD892" s="10" t="n">
        <x:f>IF(AB892=0,0,T892/AB892)</x:f>
        <x:v>21.071712180195977</x:v>
      </x:c>
      <x:c r="AE892" s="10" t="n">
        <x:f>AA892*'Assumptions'!$D$21</x:f>
        <x:v>0</x:v>
      </x:c>
    </x:row>
    <x:row r="893" ht="16" customHeight="1">
      <x:c r="A893" s="1"/>
      <x:c r="B893" s="1"/>
      <x:c r="C893" s="1" t="str">
        <x:v>DOT-118</x:v>
      </x:c>
      <x:c r="D893" s="10" t="str">
        <x:v>Fiefé Design</x:v>
      </x:c>
      <x:c r="E893" s="10" t="n">
        <x:v>7</x:v>
      </x:c>
      <x:c r="F893" s="21" t="n">
        <x:f>F765*(1+'Assumptions'!$M$147)</x:f>
        <x:v>9.348341458534403</x:v>
      </x:c>
      <x:c r="G893" s="21" t="n">
        <x:f>H765*'Assumptions'!$K$147</x:f>
        <x:v>3.803353315584001</x:v>
      </x:c>
      <x:c r="H893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893+G893,NA())</x:f>
        <x:v>13.151694774118404</x:v>
      </x:c>
      <x:c r="I893" s="22" t="n">
        <x:f>'Assumptions'!$H$147*IF('Assumptions'!$O$147=1,1,'Assumptions'!$D$10)*(1+'Assumptions'!$N$147)^(7-1)</x:f>
        <x:v>2815.40604816</x:v>
      </x:c>
      <x:c r="J893" s="10" t="n">
        <x:f>H893*I893</x:f>
        <x:v>37027.361010607216</x:v>
      </x:c>
      <x:c r="K893" s="10" t="n">
        <x:f>J893*'Assumptions'!$T$147</x:f>
        <x:v>37027.361010607216</x:v>
      </x:c>
      <x:c r="L893" s="10" t="n">
        <x:f>K893*'Assumptions'!$U$147</x:f>
        <x:v>1110.8208303182164</x:v>
      </x:c>
      <x:c r="M893" s="10" t="n">
        <x:f>K893*'Assumptions'!$V$147</x:f>
        <x:v>740.5472202121443</x:v>
      </x:c>
      <x:c r="N893" s="10" t="n">
        <x:f>K893-L893-M893</x:f>
        <x:v>35175.99296007685</x:v>
      </x:c>
      <x:c r="O893" s="10" t="n">
        <x:f>H893*'Assumptions'!$P$147*'Assumptions'!$Q$147*'Assumptions'!$D$11*(1+'Assumptions'!$D$13)^(7-1)</x:f>
        <x:v>7537.829447176575</x:v>
      </x:c>
      <x:c r="P893" s="10" t="n">
        <x:f>H893*'Assumptions'!$R$147*'Assumptions'!$D$11*(1+'Assumptions'!$D$13)^(7-1)</x:f>
        <x:v>14133.430213456078</x:v>
      </x:c>
      <x:c r="Q893" s="10" t="n">
        <x:f>J893*'Assumptions'!$S$147</x:f>
        <x:v>0</x:v>
      </x:c>
      <x:c r="R893" s="10" t="n">
        <x:f>H893*'Assumptions'!$Y$147*'Assumptions'!$Z$147*'Assumptions'!$D$11*(1+'Assumptions'!$D$13)^(7-1)</x:f>
        <x:v>70.66715106728039</x:v>
      </x:c>
      <x:c r="S893" s="10" t="n">
        <x:f>IF(I893=0,0,J893*'Assumptions'!$W$147+H893*'Assumptions'!$X$147)</x:f>
        <x:v>1077.7389777398448</x:v>
      </x:c>
      <x:c r="T893" s="10" t="n">
        <x:f>N893*'Assumptions'!$AA$147</x:f>
        <x:v>2814.0794368061484</x:v>
      </x:c>
      <x:c r="U893" s="10" t="n">
        <x:f>'Assumptions'!$AE$147*'Assumptions'!$D$11*(1+'Assumptions'!$D$13)^(7-1)</x:f>
        <x:v>0</x:v>
      </x:c>
      <x:c r="V893" s="10" t="n">
        <x:f>0</x:f>
        <x:v>0</x:v>
      </x:c>
      <x:c r="W893" s="10" t="n">
        <x:f>H893*('Assumptions'!$P$147+'Assumptions'!$Y$147)</x:f>
        <x:v>107.186312409065</x:v>
      </x:c>
      <x:c r="X893" s="10" t="n">
        <x:f>N893/12*'Assumptions'!$AF$147</x:f>
        <x:v>0</x:v>
      </x:c>
      <x:c r="Y893" s="10" t="n">
        <x:f>P893/12</x:f>
        <x:v>1177.7858511213399</x:v>
      </x:c>
      <x:c r="Z893" s="10" t="n">
        <x:f>0</x:f>
        <x:v>0</x:v>
      </x:c>
      <x:c r="AA893" s="10" t="n">
        <x:f>Z893*'Assumptions'!$AC$147*'Assumptions'!$D$11*(1+'Assumptions'!$D$13)^(7-1)</x:f>
        <x:v>0</x:v>
      </x:c>
      <x:c r="AB893" s="10" t="n">
        <x:f>F893/1</x:f>
        <x:v>9.348341458534403</x:v>
      </x:c>
      <x:c r="AC893" s="10" t="n">
        <x:f>AB893/'Assumptions'!$AM$147</x:f>
        <x:v>311.61138195114677</x:v>
      </x:c>
      <x:c r="AD893" s="10" t="n">
        <x:f>IF(AB893=0,0,T893/AB893)</x:f>
        <x:v>301.02445971708534</x:v>
      </x:c>
      <x:c r="AE893" s="10" t="n">
        <x:f>AA893*'Assumptions'!$D$21</x:f>
        <x:v>0</x:v>
      </x:c>
    </x:row>
    <x:row r="894" ht="16" customHeight="1">
      <x:c r="A894" s="1"/>
      <x:c r="B894" s="1"/>
      <x:c r="C894" s="1" t="str">
        <x:v>DOT-119</x:v>
      </x:c>
      <x:c r="D894" s="10" t="str">
        <x:v>OsezArt</x:v>
      </x:c>
      <x:c r="E894" s="10" t="n">
        <x:v>7</x:v>
      </x:c>
      <x:c r="F894" s="21" t="n">
        <x:f>F766*(1+'Assumptions'!$M$148)</x:f>
        <x:v>7.919576064</x:v>
      </x:c>
      <x:c r="G894" s="21" t="n">
        <x:f>H766*'Assumptions'!$K$148</x:f>
        <x:v>13.85043576</x:v>
      </x:c>
      <x:c r="H894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894+G894,NA())</x:f>
        <x:v>21.770011824</x:v>
      </x:c>
      <x:c r="I894" s="22" t="n">
        <x:f>'Assumptions'!$H$148*IF('Assumptions'!$O$148=1,1,'Assumptions'!$D$10)*(1+'Assumptions'!$N$148)^(7-1)</x:f>
        <x:v>5630.81209632</x:v>
      </x:c>
      <x:c r="J894" s="10" t="n">
        <x:f>H894*I894</x:f>
        <x:v>122582.84591560863</x:v>
      </x:c>
      <x:c r="K894" s="10" t="n">
        <x:f>J894*'Assumptions'!$T$148</x:f>
        <x:v>24516.569183121726</x:v>
      </x:c>
      <x:c r="L894" s="10" t="n">
        <x:f>K894*'Assumptions'!$U$148</x:f>
        <x:v>735.4970754936518</x:v>
      </x:c>
      <x:c r="M894" s="10" t="n">
        <x:f>K894*'Assumptions'!$V$148</x:f>
        <x:v>0</x:v>
      </x:c>
      <x:c r="N894" s="10" t="n">
        <x:f>K894-L894-M894</x:f>
        <x:v>23781.072107628075</x:v>
      </x:c>
      <x:c r="O894" s="10" t="n">
        <x:f>H894*'Assumptions'!$P$148*'Assumptions'!$Q$148*'Assumptions'!$D$11*(1+'Assumptions'!$D$13)^(7-1)</x:f>
        <x:v>6238.6878273385655</x:v>
      </x:c>
      <x:c r="P894" s="10" t="n">
        <x:f>H894*'Assumptions'!$R$148*'Assumptions'!$D$11*(1+'Assumptions'!$D$13)^(7-1)</x:f>
        <x:v>0</x:v>
      </x:c>
      <x:c r="Q894" s="10" t="n">
        <x:f>J894*'Assumptions'!$S$148</x:f>
        <x:v>0</x:v>
      </x:c>
      <x:c r="R894" s="10" t="n">
        <x:f>H894*'Assumptions'!$Y$148*'Assumptions'!$Z$148*'Assumptions'!$D$11*(1+'Assumptions'!$D$13)^(7-1)</x:f>
        <x:v>116.9753967625981</x:v>
      </x:c>
      <x:c r="S894" s="10" t="n">
        <x:f>IF(I894=0,0,J894*'Assumptions'!$W$148+H894*'Assumptions'!$X$148)</x:f>
        <x:v>3561.4335350998504</x:v>
      </x:c>
      <x:c r="T894" s="10" t="n">
        <x:f>N894*'Assumptions'!$AA$148</x:f>
        <x:v>1189.0536053814037</x:v>
      </x:c>
      <x:c r="U894" s="10" t="n">
        <x:f>'Assumptions'!$AE$148*'Assumptions'!$D$11*(1+'Assumptions'!$D$13)^(7-1)</x:f>
        <x:v>0</x:v>
      </x:c>
      <x:c r="V894" s="10" t="n">
        <x:f>0</x:f>
        <x:v>0</x:v>
      </x:c>
      <x:c r="W894" s="10" t="n">
        <x:f>H894*('Assumptions'!$P$148+'Assumptions'!$Y$148)</x:f>
        <x:v>90.34554906960001</x:v>
      </x:c>
      <x:c r="X894" s="10" t="n">
        <x:f>N894/12*'Assumptions'!$AF$148</x:f>
        <x:v>0</x:v>
      </x:c>
      <x:c r="Y894" s="10" t="n">
        <x:f>P894/12</x:f>
        <x:v>0</x:v>
      </x:c>
      <x:c r="Z894" s="10" t="n">
        <x:f>0</x:f>
        <x:v>0</x:v>
      </x:c>
      <x:c r="AA894" s="10" t="n">
        <x:f>Z894*'Assumptions'!$AC$148*'Assumptions'!$D$11*(1+'Assumptions'!$D$13)^(7-1)</x:f>
        <x:v>0</x:v>
      </x:c>
      <x:c r="AB894" s="10" t="n">
        <x:f>F894/1</x:f>
        <x:v>7.919576064</x:v>
      </x:c>
      <x:c r="AC894" s="10" t="n">
        <x:f>AB894/'Assumptions'!$AM$148</x:f>
        <x:v>158.39152128</x:v>
      </x:c>
      <x:c r="AD894" s="10" t="n">
        <x:f>IF(AB894=0,0,T894/AB894)</x:f>
        <x:v>150.14106762437476</x:v>
      </x:c>
      <x:c r="AE894" s="10" t="n">
        <x:f>AA894*'Assumptions'!$D$21</x:f>
        <x:v>0</x:v>
      </x:c>
    </x:row>
    <x:row r="895" ht="16" customHeight="1">
      <x:c r="A895" s="1"/>
      <x:c r="B895" s="1"/>
      <x:c r="C895" s="1" t="str">
        <x:v>DOT-120</x:v>
      </x:c>
      <x:c r="D895" s="10" t="str">
        <x:v>OsezArt</x:v>
      </x:c>
      <x:c r="E895" s="10" t="n">
        <x:v>7</x:v>
      </x:c>
      <x:c r="F895" s="21" t="n">
        <x:f>F767*(1+'Assumptions'!$M$149)</x:f>
        <x:v>4.659791070000002</x:v>
      </x:c>
      <x:c r="G895" s="21" t="n">
        <x:f>H767*'Assumptions'!$K$149</x:f>
        <x:v>4.259547000000001</x:v>
      </x:c>
      <x:c r="H895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895+G895,NA())</x:f>
        <x:v>8.919338070000002</x:v>
      </x:c>
      <x:c r="I895" s="22" t="n">
        <x:f>'Assumptions'!$H$149*IF('Assumptions'!$O$149=1,1,'Assumptions'!$D$10)*(1+'Assumptions'!$N$149)^(7-1)</x:f>
        <x:v>5630.81209632</x:v>
      </x:c>
      <x:c r="J895" s="10" t="n">
        <x:f>H895*I895</x:f>
        <x:v>50223.1166957235</x:v>
      </x:c>
      <x:c r="K895" s="10" t="n">
        <x:f>J895*'Assumptions'!$T$149</x:f>
        <x:v>50223.1166957235</x:v>
      </x:c>
      <x:c r="L895" s="10" t="n">
        <x:f>K895*'Assumptions'!$U$149</x:f>
        <x:v>1506.6935008717048</x:v>
      </x:c>
      <x:c r="M895" s="10" t="n">
        <x:f>K895*'Assumptions'!$V$149</x:f>
        <x:v>0</x:v>
      </x:c>
      <x:c r="N895" s="10" t="n">
        <x:f>K895-L895-M895</x:f>
        <x:v>48716.42319485179</x:v>
      </x:c>
      <x:c r="O895" s="10" t="n">
        <x:f>H895*'Assumptions'!$P$149*'Assumptions'!$Q$149*'Assumptions'!$D$11*(1+'Assumptions'!$D$13)^(7-1)</x:f>
        <x:v>20767.80440670398</x:v>
      </x:c>
      <x:c r="P895" s="10" t="n">
        <x:f>H895*'Assumptions'!$R$149*'Assumptions'!$D$11*(1+'Assumptions'!$D$13)^(7-1)</x:f>
        <x:v>2662.5390265005103</x:v>
      </x:c>
      <x:c r="Q895" s="10" t="n">
        <x:f>J895*'Assumptions'!$S$149</x:f>
        <x:v>0</x:v>
      </x:c>
      <x:c r="R895" s="10" t="n">
        <x:f>H895*'Assumptions'!$Y$149*'Assumptions'!$Z$149*'Assumptions'!$D$11*(1+'Assumptions'!$D$13)^(7-1)</x:f>
        <x:v>79.87617079501531</x:v>
      </x:c>
      <x:c r="S895" s="10" t="n">
        <x:f>IF(I895=0,0,J895*'Assumptions'!$W$149+H895*'Assumptions'!$X$149)</x:f>
        <x:v>1459.1461855969815</x:v>
      </x:c>
      <x:c r="T895" s="10" t="n">
        <x:f>N895*'Assumptions'!$AA$149</x:f>
        <x:v>1948.6569277940716</x:v>
      </x:c>
      <x:c r="U895" s="10" t="n">
        <x:f>'Assumptions'!$AE$149*'Assumptions'!$D$11*(1+'Assumptions'!$D$13)^(7-1)</x:f>
        <x:v>0</x:v>
      </x:c>
      <x:c r="V895" s="10" t="n">
        <x:f>0</x:f>
        <x:v>0</x:v>
      </x:c>
      <x:c r="W895" s="10" t="n">
        <x:f>H895*('Assumptions'!$P$149+'Assumptions'!$Y$149)</x:f>
        <x:v>269.80997661750007</x:v>
      </x:c>
      <x:c r="X895" s="10" t="n">
        <x:f>N895/12*'Assumptions'!$AF$149</x:f>
        <x:v>4059.701932904316</x:v>
      </x:c>
      <x:c r="Y895" s="10" t="n">
        <x:f>P895/12</x:f>
        <x:v>221.87825220837587</x:v>
      </x:c>
      <x:c r="Z895" s="10" t="n">
        <x:f>0</x:f>
        <x:v>0</x:v>
      </x:c>
      <x:c r="AA895" s="10" t="n">
        <x:f>Z895*'Assumptions'!$AC$149*'Assumptions'!$D$11*(1+'Assumptions'!$D$13)^(7-1)</x:f>
        <x:v>0</x:v>
      </x:c>
      <x:c r="AB895" s="10" t="n">
        <x:f>F895/1</x:f>
        <x:v>4.659791070000002</x:v>
      </x:c>
      <x:c r="AC895" s="10" t="n">
        <x:f>AB895/'Assumptions'!$AM$149</x:f>
        <x:v>23.298955350000007</x:v>
      </x:c>
      <x:c r="AD895" s="10" t="n">
        <x:f>IF(AB895=0,0,T895/AB895)</x:f>
        <x:v>418.1854719495119</x:v>
      </x:c>
      <x:c r="AE895" s="10" t="n">
        <x:f>AA895*'Assumptions'!$D$21</x:f>
        <x:v>0</x:v>
      </x:c>
    </x:row>
    <x:row r="896" ht="16" customHeight="1">
      <x:c r="A896" s="1"/>
      <x:c r="B896" s="1"/>
      <x:c r="C896" s="1" t="str">
        <x:v>DOT-121</x:v>
      </x:c>
      <x:c r="D896" s="10" t="str">
        <x:v>OsezArt</x:v>
      </x:c>
      <x:c r="E896" s="10" t="n">
        <x:v>7</x:v>
      </x:c>
      <x:c r="F896" s="21" t="n">
        <x:f>F768*(1+'Assumptions'!$M$150)</x:f>
        <x:v>4.659791070000002</x:v>
      </x:c>
      <x:c r="G896" s="21" t="n">
        <x:f>H768*'Assumptions'!$K$150</x:f>
        <x:v>4.236109500000001</x:v>
      </x:c>
      <x:c r="H896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896+G896,NA())</x:f>
        <x:v>8.895900570000002</x:v>
      </x:c>
      <x:c r="I896" s="22" t="n">
        <x:f>'Assumptions'!$H$150*IF('Assumptions'!$O$150=1,1,'Assumptions'!$D$10)*(1+'Assumptions'!$N$150)^(7-1)</x:f>
        <x:v>3378.487257792</x:v>
      </x:c>
      <x:c r="J896" s="10" t="n">
        <x:f>H896*I896</x:f>
        <x:v>30054.686722329596</x:v>
      </x:c>
      <x:c r="K896" s="10" t="n">
        <x:f>J896*'Assumptions'!$T$150</x:f>
        <x:v>30054.686722329596</x:v>
      </x:c>
      <x:c r="L896" s="10" t="n">
        <x:f>K896*'Assumptions'!$U$150</x:f>
        <x:v>901.6406016698878</x:v>
      </x:c>
      <x:c r="M896" s="10" t="n">
        <x:f>K896*'Assumptions'!$V$150</x:f>
        <x:v>0</x:v>
      </x:c>
      <x:c r="N896" s="10" t="n">
        <x:f>K896-L896-M896</x:f>
        <x:v>29153.046120659707</x:v>
      </x:c>
      <x:c r="O896" s="10" t="n">
        <x:f>H896*'Assumptions'!$P$150*'Assumptions'!$Q$150*'Assumptions'!$D$11*(1+'Assumptions'!$D$13)^(7-1)</x:f>
        <x:v>12427.939491203508</x:v>
      </x:c>
      <x:c r="P896" s="10" t="n">
        <x:f>H896*'Assumptions'!$R$150*'Assumptions'!$D$11*(1+'Assumptions'!$D$13)^(7-1)</x:f>
        <x:v>2124.434101060429</x:v>
      </x:c>
      <x:c r="Q896" s="10" t="n">
        <x:f>J896*'Assumptions'!$S$150</x:f>
        <x:v>0</x:v>
      </x:c>
      <x:c r="R896" s="10" t="n">
        <x:f>H896*'Assumptions'!$Y$150*'Assumptions'!$Z$150*'Assumptions'!$D$11*(1+'Assumptions'!$D$13)^(7-1)</x:f>
        <x:v>79.66627878976607</x:v>
      </x:c>
      <x:c r="S896" s="10" t="n">
        <x:f>IF(I896=0,0,J896*'Assumptions'!$W$150+H896*'Assumptions'!$X$150)</x:f>
        <x:v>874.2546851185583</x:v>
      </x:c>
      <x:c r="T896" s="10" t="n">
        <x:f>N896*'Assumptions'!$AA$150</x:f>
        <x:v>1166.1218448263883</x:v>
      </x:c>
      <x:c r="U896" s="10" t="n">
        <x:f>'Assumptions'!$AE$150*'Assumptions'!$D$11*(1+'Assumptions'!$D$13)^(7-1)</x:f>
        <x:v>0</x:v>
      </x:c>
      <x:c r="V896" s="10" t="n">
        <x:f>0</x:f>
        <x:v>0</x:v>
      </x:c>
      <x:c r="W896" s="10" t="n">
        <x:f>H896*('Assumptions'!$P$150+'Assumptions'!$Y$150)</x:f>
        <x:v>162.35018540250005</x:v>
      </x:c>
      <x:c r="X896" s="10" t="n">
        <x:f>N896/12*'Assumptions'!$AF$150</x:f>
        <x:v>2429.4205100549757</x:v>
      </x:c>
      <x:c r="Y896" s="10" t="n">
        <x:f>P896/12</x:f>
        <x:v>177.03617508836908</x:v>
      </x:c>
      <x:c r="Z896" s="10" t="n">
        <x:f>0</x:f>
        <x:v>0</x:v>
      </x:c>
      <x:c r="AA896" s="10" t="n">
        <x:f>Z896*'Assumptions'!$AC$150*'Assumptions'!$D$11*(1+'Assumptions'!$D$13)^(7-1)</x:f>
        <x:v>0</x:v>
      </x:c>
      <x:c r="AB896" s="10" t="n">
        <x:f>F896/1</x:f>
        <x:v>4.659791070000002</x:v>
      </x:c>
      <x:c r="AC896" s="10" t="n">
        <x:f>AB896/'Assumptions'!$AM$150</x:f>
        <x:v>23.298955350000007</x:v>
      </x:c>
      <x:c r="AD896" s="10" t="n">
        <x:f>IF(AB896=0,0,T896/AB896)</x:f>
        <x:v>250.25195922064975</x:v>
      </x:c>
      <x:c r="AE896" s="10" t="n">
        <x:f>AA896*'Assumptions'!$D$21</x:f>
        <x:v>0</x:v>
      </x:c>
    </x:row>
    <x:row r="897" ht="16" customHeight="1">
      <x:c r="A897" s="1"/>
      <x:c r="B897" s="1"/>
      <x:c r="C897" s="1" t="str">
        <x:v>DOT-122</x:v>
      </x:c>
      <x:c r="D897" s="10" t="str">
        <x:v>OsezArt</x:v>
      </x:c>
      <x:c r="E897" s="10" t="n">
        <x:v>7</x:v>
      </x:c>
      <x:c r="F897" s="21" t="n">
        <x:f>F769*(1+'Assumptions'!$M$151)</x:f>
        <x:v>1.5532636900000008</x:v>
      </x:c>
      <x:c r="G897" s="21" t="n">
        <x:f>H769*'Assumptions'!$K$151</x:f>
        <x:v>1.4120365000000006</x:v>
      </x:c>
      <x:c r="H897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897+G897,NA())</x:f>
        <x:v>2.9653001900000016</x:v>
      </x:c>
      <x:c r="I897" s="22" t="n">
        <x:f>'Assumptions'!$H$151*IF('Assumptions'!$O$151=1,1,'Assumptions'!$D$10)*(1+'Assumptions'!$N$151)^(7-1)</x:f>
        <x:v>11261.62419264</x:v>
      </x:c>
      <x:c r="J897" s="10" t="n">
        <x:f>H897*I897</x:f>
        <x:v>33394.09635814401</x:v>
      </x:c>
      <x:c r="K897" s="10" t="n">
        <x:f>J897*'Assumptions'!$T$151</x:f>
        <x:v>33394.09635814401</x:v>
      </x:c>
      <x:c r="L897" s="10" t="n">
        <x:f>K897*'Assumptions'!$U$151</x:f>
        <x:v>1001.8228907443203</x:v>
      </x:c>
      <x:c r="M897" s="10" t="n">
        <x:f>K897*'Assumptions'!$V$151</x:f>
        <x:v>0</x:v>
      </x:c>
      <x:c r="N897" s="10" t="n">
        <x:f>K897-L897-M897</x:f>
        <x:v>32392.27346739969</x:v>
      </x:c>
      <x:c r="O897" s="10" t="n">
        <x:f>H897*'Assumptions'!$P$151*'Assumptions'!$Q$151*'Assumptions'!$D$11*(1+'Assumptions'!$D$13)^(7-1)</x:f>
        <x:v>13808.821656892793</x:v>
      </x:c>
      <x:c r="P897" s="10" t="n">
        <x:f>H897*'Assumptions'!$R$151*'Assumptions'!$D$11*(1+'Assumptions'!$D$13)^(7-1)</x:f>
        <x:v>1770.3617508836912</x:v>
      </x:c>
      <x:c r="Q897" s="10" t="n">
        <x:f>J897*'Assumptions'!$S$151</x:f>
        <x:v>0</x:v>
      </x:c>
      <x:c r="R897" s="10" t="n">
        <x:f>H897*'Assumptions'!$Y$151*'Assumptions'!$Z$151*'Assumptions'!$D$11*(1+'Assumptions'!$D$13)^(7-1)</x:f>
        <x:v>26.555426263255367</x:v>
      </x:c>
      <x:c r="S897" s="10" t="n">
        <x:f>IF(I897=0,0,J897*'Assumptions'!$W$151+H897*'Assumptions'!$X$151)</x:f>
        <x:v>969.3183844431762</x:v>
      </x:c>
      <x:c r="T897" s="10" t="n">
        <x:f>N897*'Assumptions'!$AA$151</x:f>
        <x:v>1295.6909386959876</x:v>
      </x:c>
      <x:c r="U897" s="10" t="n">
        <x:f>'Assumptions'!$AE$151*'Assumptions'!$D$11*(1+'Assumptions'!$D$13)^(7-1)</x:f>
        <x:v>0</x:v>
      </x:c>
      <x:c r="V897" s="10" t="n">
        <x:f>0</x:f>
        <x:v>0</x:v>
      </x:c>
      <x:c r="W897" s="10" t="n">
        <x:f>H897*('Assumptions'!$P$151+'Assumptions'!$Y$151)</x:f>
        <x:v>178.6593364475001</x:v>
      </x:c>
      <x:c r="X897" s="10" t="n">
        <x:f>N897/12*'Assumptions'!$AF$151</x:f>
        <x:v>2699.3561222833073</x:v>
      </x:c>
      <x:c r="Y897" s="10" t="n">
        <x:f>P897/12</x:f>
        <x:v>147.53014590697427</x:v>
      </x:c>
      <x:c r="Z897" s="10" t="n">
        <x:f>0</x:f>
        <x:v>0</x:v>
      </x:c>
      <x:c r="AA897" s="10" t="n">
        <x:f>Z897*'Assumptions'!$AC$151*'Assumptions'!$D$11*(1+'Assumptions'!$D$13)^(7-1)</x:f>
        <x:v>0</x:v>
      </x:c>
      <x:c r="AB897" s="10" t="n">
        <x:f>F897/1</x:f>
        <x:v>1.5532636900000008</x:v>
      </x:c>
      <x:c r="AC897" s="10" t="n">
        <x:f>AB897/'Assumptions'!$AM$151</x:f>
        <x:v>7.7663184500000035</x:v>
      </x:c>
      <x:c r="AD897" s="10" t="n">
        <x:f>IF(AB897=0,0,T897/AB897)</x:f>
        <x:v>834.1731974021661</x:v>
      </x:c>
      <x:c r="AE897" s="10" t="n">
        <x:f>AA897*'Assumptions'!$D$21</x:f>
        <x:v>0</x:v>
      </x:c>
    </x:row>
    <x:row r="898" ht="16" customHeight="1">
      <x:c r="A898" s="1"/>
      <x:c r="B898" s="1"/>
      <x:c r="C898" s="1" t="str">
        <x:v>DOT-123</x:v>
      </x:c>
      <x:c r="D898" s="10" t="str">
        <x:v>FinBot research</x:v>
      </x:c>
      <x:c r="E898" s="10" t="n">
        <x:v>7</x:v>
      </x:c>
      <x:c r="F898" s="21" t="n">
        <x:f>F770*(1+'Assumptions'!$M$152)</x:f>
        <x:v>166.99686575624995</x:v>
      </x:c>
      <x:c r="G898" s="21" t="n">
        <x:f>H770*'Assumptions'!$K$152</x:f>
        <x:v>53.09077453124998</x:v>
      </x:c>
      <x:c r="H898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898+G898,NA())</x:f>
        <x:v>220.08764028749994</x:v>
      </x:c>
      <x:c r="I898" s="22" t="n">
        <x:f>'Assumptions'!$H$152*IF('Assumptions'!$O$152=1,1,'Assumptions'!$D$10)*(1+'Assumptions'!$N$152)^(7-1)</x:f>
        <x:v>32.658710158656</x:v>
      </x:c>
      <x:c r="J898" s="10" t="n">
        <x:f>H898*I898</x:f>
        <x:v>7187.778453652001</x:v>
      </x:c>
      <x:c r="K898" s="10" t="n">
        <x:f>J898*'Assumptions'!$T$152</x:f>
        <x:v>7187.778453652001</x:v>
      </x:c>
      <x:c r="L898" s="10" t="n">
        <x:f>K898*'Assumptions'!$U$152</x:f>
        <x:v>215.63335360956003</x:v>
      </x:c>
      <x:c r="M898" s="10" t="n">
        <x:f>K898*'Assumptions'!$V$152</x:f>
        <x:v>0</x:v>
      </x:c>
      <x:c r="N898" s="10" t="n">
        <x:f>K898-L898-M898</x:f>
        <x:v>6972.145100042441</x:v>
      </x:c>
      <x:c r="O898" s="10" t="n">
        <x:f>H898*'Assumptions'!$P$152*'Assumptions'!$Q$152*'Assumptions'!$D$11*(1+'Assumptions'!$D$13)^(7-1)</x:f>
        <x:v>2365.16537090644</x:v>
      </x:c>
      <x:c r="P898" s="10" t="n">
        <x:f>H898*'Assumptions'!$R$152*'Assumptions'!$D$11*(1+'Assumptions'!$D$13)^(7-1)</x:f>
        <x:v>0</x:v>
      </x:c>
      <x:c r="Q898" s="10" t="n">
        <x:f>J898*'Assumptions'!$S$152</x:f>
        <x:v>0</x:v>
      </x:c>
      <x:c r="R898" s="10" t="n">
        <x:f>H898*'Assumptions'!$Y$152*'Assumptions'!$Z$152*'Assumptions'!$D$11*(1+'Assumptions'!$D$13)^(7-1)</x:f>
        <x:v>788.3884569688134</x:v>
      </x:c>
      <x:c r="S898" s="10" t="n">
        <x:f>IF(I898=0,0,J898*'Assumptions'!$W$152+H898*'Assumptions'!$X$152)</x:f>
        <x:v>274.47186724215805</x:v>
      </x:c>
      <x:c r="T898" s="10" t="n">
        <x:f>N898*'Assumptions'!$AA$152</x:f>
        <x:v>348.6072550021221</x:v>
      </x:c>
      <x:c r="U898" s="10" t="n">
        <x:f>'Assumptions'!$AE$152*'Assumptions'!$D$11*(1+'Assumptions'!$D$13)^(7-1)</x:f>
        <x:v>286.57255116696</x:v>
      </x:c>
      <x:c r="V898" s="10" t="n">
        <x:f>0</x:f>
        <x:v>0</x:v>
      </x:c>
      <x:c r="W898" s="10" t="n">
        <x:f>H898*('Assumptions'!$P$152+'Assumptions'!$Y$152)</x:f>
        <x:v>66.02629208625</x:v>
      </x:c>
      <x:c r="X898" s="10" t="n">
        <x:f>N898/12*'Assumptions'!$AF$152</x:f>
        <x:v>0</x:v>
      </x:c>
      <x:c r="Y898" s="10" t="n">
        <x:f>P898/12</x:f>
        <x:v>0</x:v>
      </x:c>
      <x:c r="Z898" s="10" t="n">
        <x:f>0</x:f>
        <x:v>0</x:v>
      </x:c>
      <x:c r="AA898" s="10" t="n">
        <x:f>Z898*'Assumptions'!$AC$152*'Assumptions'!$D$11*(1+'Assumptions'!$D$13)^(7-1)</x:f>
        <x:v>0</x:v>
      </x:c>
      <x:c r="AB898" s="10" t="n">
        <x:f>F898/12</x:f>
        <x:v>13.916405479687496</x:v>
      </x:c>
      <x:c r="AC898" s="10" t="n">
        <x:f>AB898/'Assumptions'!$AM$152</x:f>
        <x:v>278.3281095937499</x:v>
      </x:c>
      <x:c r="AD898" s="10" t="n">
        <x:f>IF(AB898=0,0,T898/AB898)</x:f>
        <x:v>25.0500932522376</x:v>
      </x:c>
      <x:c r="AE898" s="10" t="n">
        <x:f>AA898*'Assumptions'!$D$21</x:f>
        <x:v>0</x:v>
      </x:c>
    </x:row>
    <x:row r="899" ht="16" customHeight="1">
      <x:c r="A899" s="1"/>
      <x:c r="B899" s="1"/>
      <x:c r="C899" s="1" t="str">
        <x:v>DOT-124</x:v>
      </x:c>
      <x:c r="D899" s="10" t="str">
        <x:v>Functional Analysis</x:v>
      </x:c>
      <x:c r="E899" s="10" t="n">
        <x:v>7</x:v>
      </x:c>
      <x:c r="F899" s="21" t="n">
        <x:f>F771*(1+'Assumptions'!$M$153)</x:f>
        <x:v>333.9937315124999</x:v>
      </x:c>
      <x:c r="G899" s="21" t="n">
        <x:f>H771*'Assumptions'!$K$153</x:f>
        <x:v>106.18154906249995</x:v>
      </x:c>
      <x:c r="H899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899+G899,NA())</x:f>
        <x:v>440.1752805749999</x:v>
      </x:c>
      <x:c r="I899" s="22" t="n">
        <x:f>'Assumptions'!$H$153*IF('Assumptions'!$O$153=1,1,'Assumptions'!$D$10)*(1+'Assumptions'!$N$153)^(7-1)</x:f>
        <x:v>21.397085966016</x:v>
      </x:c>
      <x:c r="J899" s="10" t="n">
        <x:f>H899*I899</x:f>
        <x:v>9418.468318578485</x:v>
      </x:c>
      <x:c r="K899" s="10" t="n">
        <x:f>J899*'Assumptions'!$T$153</x:f>
        <x:v>9418.468318578485</x:v>
      </x:c>
      <x:c r="L899" s="10" t="n">
        <x:f>K899*'Assumptions'!$U$153</x:f>
        <x:v>282.5540495573545</x:v>
      </x:c>
      <x:c r="M899" s="10" t="n">
        <x:f>K899*'Assumptions'!$V$153</x:f>
        <x:v>0</x:v>
      </x:c>
      <x:c r="N899" s="10" t="n">
        <x:f>K899-L899-M899</x:f>
        <x:v>9135.91426902113</x:v>
      </x:c>
      <x:c r="O899" s="10" t="n">
        <x:f>H899*'Assumptions'!$P$153*'Assumptions'!$Q$153*'Assumptions'!$D$11*(1+'Assumptions'!$D$13)^(7-1)</x:f>
        <x:v>1839.5730662605647</x:v>
      </x:c>
      <x:c r="P899" s="10" t="n">
        <x:f>H899*'Assumptions'!$R$153*'Assumptions'!$D$11*(1+'Assumptions'!$D$13)^(7-1)</x:f>
        <x:v>0</x:v>
      </x:c>
      <x:c r="Q899" s="10" t="n">
        <x:f>J899*'Assumptions'!$S$153</x:f>
        <x:v>0</x:v>
      </x:c>
      <x:c r="R899" s="10" t="n">
        <x:f>H899*'Assumptions'!$Y$153*'Assumptions'!$Z$153*'Assumptions'!$D$11*(1+'Assumptions'!$D$13)^(7-1)</x:f>
        <x:v>1576.776913937627</x:v>
      </x:c>
      <x:c r="S899" s="10" t="n">
        <x:f>IF(I899=0,0,J899*'Assumptions'!$W$153+H899*'Assumptions'!$X$153)</x:f>
        <x:v>405.18816541127603</x:v>
      </x:c>
      <x:c r="T899" s="10" t="n">
        <x:f>N899*'Assumptions'!$AA$153</x:f>
        <x:v>456.79571345105654</x:v>
      </x:c>
      <x:c r="U899" s="10" t="n">
        <x:f>'Assumptions'!$AE$153*'Assumptions'!$D$11*(1+'Assumptions'!$D$13)^(7-1)</x:f>
        <x:v>0</x:v>
      </x:c>
      <x:c r="V899" s="10" t="n">
        <x:f>0</x:f>
        <x:v>0</x:v>
      </x:c>
      <x:c r="W899" s="10" t="n">
        <x:f>H899*('Assumptions'!$P$153+'Assumptions'!$Y$153)</x:f>
        <x:v>88.03505611499997</x:v>
      </x:c>
      <x:c r="X899" s="10" t="n">
        <x:f>N899/12*'Assumptions'!$AF$153</x:f>
        <x:v>0</x:v>
      </x:c>
      <x:c r="Y899" s="10" t="n">
        <x:f>P899/12</x:f>
        <x:v>0</x:v>
      </x:c>
      <x:c r="Z899" s="10" t="n">
        <x:f>0</x:f>
        <x:v>0</x:v>
      </x:c>
      <x:c r="AA899" s="10" t="n">
        <x:f>Z899*'Assumptions'!$AC$153*'Assumptions'!$D$11*(1+'Assumptions'!$D$13)^(7-1)</x:f>
        <x:v>0</x:v>
      </x:c>
      <x:c r="AB899" s="10" t="n">
        <x:f>F899/1</x:f>
        <x:v>333.9937315124999</x:v>
      </x:c>
      <x:c r="AC899" s="10" t="n">
        <x:f>AB899/'Assumptions'!$AM$153</x:f>
        <x:v>6679.874630249998</x:v>
      </x:c>
      <x:c r="AD899" s="10" t="n">
        <x:f>IF(AB899=0,0,T899/AB899)</x:f>
        <x:v>1.3676775051509036</x:v>
      </x:c>
      <x:c r="AE899" s="10" t="n">
        <x:f>AA899*'Assumptions'!$D$21</x:f>
        <x:v>0</x:v>
      </x:c>
    </x:row>
    <x:row r="900" ht="16" customHeight="1">
      <x:c r="A900" s="1"/>
      <x:c r="B900" s="1"/>
      <x:c r="C900" s="1" t="str">
        <x:v>DOT-125</x:v>
      </x:c>
      <x:c r="D900" s="10" t="str">
        <x:v>Functional Analysis</x:v>
      </x:c>
      <x:c r="E900" s="10" t="n">
        <x:v>7</x:v>
      </x:c>
      <x:c r="F900" s="21" t="n">
        <x:f>F772*(1+'Assumptions'!$M$154)</x:f>
        <x:v>27.958746420000004</x:v>
      </x:c>
      <x:c r="G900" s="21" t="n">
        <x:f>H772*'Assumptions'!$K$154</x:f>
        <x:v>25.416657000000004</x:v>
      </x:c>
      <x:c r="H900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900+G900,NA())</x:f>
        <x:v>53.37540342000001</x:v>
      </x:c>
      <x:c r="I900" s="22" t="n">
        <x:f>'Assumptions'!$H$154*IF('Assumptions'!$O$154=1,1,'Assumptions'!$D$10)*(1+'Assumptions'!$N$154)^(7-1)</x:f>
        <x:v>111.490079507136</x:v>
      </x:c>
      <x:c r="J900" s="10" t="n">
        <x:f>H900*I900</x:f>
        <x:v>5950.82797102126</x:v>
      </x:c>
      <x:c r="K900" s="10" t="n">
        <x:f>J900*'Assumptions'!$T$154</x:f>
        <x:v>5950.82797102126</x:v>
      </x:c>
      <x:c r="L900" s="10" t="n">
        <x:f>K900*'Assumptions'!$U$154</x:f>
        <x:v>178.5248391306378</x:v>
      </x:c>
      <x:c r="M900" s="10" t="n">
        <x:f>K900*'Assumptions'!$V$154</x:f>
        <x:v>0</x:v>
      </x:c>
      <x:c r="N900" s="10" t="n">
        <x:f>K900-L900-M900</x:f>
        <x:v>5772.303131890622</x:v>
      </x:c>
      <x:c r="O900" s="10" t="n">
        <x:f>H900*'Assumptions'!$P$154*'Assumptions'!$Q$154*'Assumptions'!$D$11*(1+'Assumptions'!$D$13)^(7-1)</x:f>
        <x:v>2549.320921272514</x:v>
      </x:c>
      <x:c r="P900" s="10" t="n">
        <x:f>H900*'Assumptions'!$R$154*'Assumptions'!$D$11*(1+'Assumptions'!$D$13)^(7-1)</x:f>
        <x:v>0</x:v>
      </x:c>
      <x:c r="Q900" s="10" t="n">
        <x:f>J900*'Assumptions'!$S$154</x:f>
        <x:v>0</x:v>
      </x:c>
      <x:c r="R900" s="10" t="n">
        <x:f>H900*'Assumptions'!$Y$154*'Assumptions'!$Z$154*'Assumptions'!$D$11*(1+'Assumptions'!$D$13)^(7-1)</x:f>
        <x:v>477.99767273859646</x:v>
      </x:c>
      <x:c r="S900" s="10" t="n">
        <x:f>IF(I900=0,0,J900*'Assumptions'!$W$154+H900*'Assumptions'!$X$154)</x:f>
        <x:v>188.58663218561657</x:v>
      </x:c>
      <x:c r="T900" s="10" t="n">
        <x:f>N900*'Assumptions'!$AA$154</x:f>
        <x:v>230.8921252756249</x:v>
      </x:c>
      <x:c r="U900" s="10" t="n">
        <x:f>'Assumptions'!$AE$154*'Assumptions'!$D$11*(1+'Assumptions'!$D$13)^(7-1)</x:f>
        <x:v>0</x:v>
      </x:c>
      <x:c r="V900" s="10" t="n">
        <x:f>0</x:f>
        <x:v>0</x:v>
      </x:c>
      <x:c r="W900" s="10" t="n">
        <x:f>H900*('Assumptions'!$P$154+'Assumptions'!$Y$154)</x:f>
        <x:v>66.71925427500001</x:v>
      </x:c>
      <x:c r="X900" s="10" t="n">
        <x:f>N900/12*'Assumptions'!$AF$154</x:f>
        <x:v>481.0252609908852</x:v>
      </x:c>
      <x:c r="Y900" s="10" t="n">
        <x:f>P900/12</x:f>
        <x:v>0</x:v>
      </x:c>
      <x:c r="Z900" s="10" t="n">
        <x:f>0</x:f>
        <x:v>0</x:v>
      </x:c>
      <x:c r="AA900" s="10" t="n">
        <x:f>Z900*'Assumptions'!$AC$154*'Assumptions'!$D$11*(1+'Assumptions'!$D$13)^(7-1)</x:f>
        <x:v>0</x:v>
      </x:c>
      <x:c r="AB900" s="10" t="n">
        <x:f>F900/1</x:f>
        <x:v>27.958746420000004</x:v>
      </x:c>
      <x:c r="AC900" s="10" t="n">
        <x:f>AB900/'Assumptions'!$AM$154</x:f>
        <x:v>139.7937321</x:v>
      </x:c>
      <x:c r="AD900" s="10" t="n">
        <x:f>IF(AB900=0,0,T900/AB900)</x:f>
        <x:v>8.258314654281444</x:v>
      </x:c>
      <x:c r="AE900" s="10" t="n">
        <x:f>AA900*'Assumptions'!$D$21</x:f>
        <x:v>0</x:v>
      </x:c>
    </x:row>
    <x:row r="901" ht="16" customHeight="1">
      <x:c r="A901" s="1"/>
      <x:c r="B901" s="1"/>
      <x:c r="C901" s="1" t="str">
        <x:v>DOT-126</x:v>
      </x:c>
      <x:c r="D901" s="10" t="str">
        <x:v>Independent candy game</x:v>
      </x:c>
      <x:c r="E901" s="10" t="n">
        <x:v>7</x:v>
      </x:c>
      <x:c r="F901" s="21" t="n">
        <x:f>F773*(1+'Assumptions'!$M$155)</x:f>
        <x:v>834.9843287812498</x:v>
      </x:c>
      <x:c r="G901" s="21" t="n">
        <x:f>H773*'Assumptions'!$K$155</x:f>
        <x:v>265.4538726562499</x:v>
      </x:c>
      <x:c r="H901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901+G901,NA())</x:f>
        <x:v>1100.4382014374996</x:v>
      </x:c>
      <x:c r="I901" s="22" t="n">
        <x:f>'Assumptions'!$H$155*IF('Assumptions'!$O$155=1,1,'Assumptions'!$D$10)*(1+'Assumptions'!$N$155)^(7-1)</x:f>
        <x:v>5.619550472127361</x:v>
      </x:c>
      <x:c r="J901" s="10" t="n">
        <x:f>H901*I901</x:f>
        <x:v>6183.968014435085</x:v>
      </x:c>
      <x:c r="K901" s="10" t="n">
        <x:f>J901*'Assumptions'!$T$155</x:f>
        <x:v>6183.968014435085</x:v>
      </x:c>
      <x:c r="L901" s="10" t="n">
        <x:f>K901*'Assumptions'!$U$155</x:f>
        <x:v>185.51904043305254</x:v>
      </x:c>
      <x:c r="M901" s="10" t="n">
        <x:f>K901*'Assumptions'!$V$155</x:f>
        <x:v>0</x:v>
      </x:c>
      <x:c r="N901" s="10" t="n">
        <x:f>K901-L901-M901</x:f>
        <x:v>5998.448974002033</x:v>
      </x:c>
      <x:c r="O901" s="10" t="n">
        <x:f>H901*'Assumptions'!$P$155*'Assumptions'!$Q$155*'Assumptions'!$D$11*(1+'Assumptions'!$D$13)^(7-1)</x:f>
        <x:v>919.7865331302824</x:v>
      </x:c>
      <x:c r="P901" s="10" t="n">
        <x:f>H901*'Assumptions'!$R$155*'Assumptions'!$D$11*(1+'Assumptions'!$D$13)^(7-1)</x:f>
        <x:v>0</x:v>
      </x:c>
      <x:c r="Q901" s="10" t="n">
        <x:f>J901*'Assumptions'!$S$155</x:f>
        <x:v>0</x:v>
      </x:c>
      <x:c r="R901" s="10" t="n">
        <x:f>H901*'Assumptions'!$Y$155*'Assumptions'!$Z$155*'Assumptions'!$D$11*(1+'Assumptions'!$D$13)^(7-1)</x:f>
        <x:v>3941.9422848440668</x:v>
      </x:c>
      <x:c r="S901" s="10" t="n">
        <x:f>IF(I901=0,0,J901*'Assumptions'!$W$155+H901*'Assumptions'!$X$155)</x:f>
        <x:v>509.46653284986735</x:v>
      </x:c>
      <x:c r="T901" s="10" t="n">
        <x:f>N901*'Assumptions'!$AA$155</x:f>
        <x:v>299.92244870010165</x:v>
      </x:c>
      <x:c r="U901" s="10" t="n">
        <x:f>'Assumptions'!$AE$155*'Assumptions'!$D$11*(1+'Assumptions'!$D$13)^(7-1)</x:f>
        <x:v>0</x:v>
      </x:c>
      <x:c r="V901" s="10" t="n">
        <x:f>0</x:f>
        <x:v>0</x:v>
      </x:c>
      <x:c r="W901" s="10" t="n">
        <x:f>H901*('Assumptions'!$P$155+'Assumptions'!$Y$155)</x:f>
        <x:v>132.05258417249996</x:v>
      </x:c>
      <x:c r="X901" s="10" t="n">
        <x:f>N901/12*'Assumptions'!$AF$155</x:f>
        <x:v>0</x:v>
      </x:c>
      <x:c r="Y901" s="10" t="n">
        <x:f>P901/12</x:f>
        <x:v>0</x:v>
      </x:c>
      <x:c r="Z901" s="10" t="n">
        <x:f>0</x:f>
        <x:v>0</x:v>
      </x:c>
      <x:c r="AA901" s="10" t="n">
        <x:f>Z901*'Assumptions'!$AC$155*'Assumptions'!$D$11*(1+'Assumptions'!$D$13)^(7-1)</x:f>
        <x:v>0</x:v>
      </x:c>
      <x:c r="AB901" s="10" t="n">
        <x:f>F901/1</x:f>
        <x:v>834.9843287812498</x:v>
      </x:c>
      <x:c r="AC901" s="10" t="n">
        <x:f>AB901/'Assumptions'!$AM$155</x:f>
        <x:v>16699.686575624994</x:v>
      </x:c>
      <x:c r="AD901" s="10" t="n">
        <x:f>IF(AB901=0,0,T901/AB901)</x:f>
        <x:v>0.3591953026685794</x:v>
      </x:c>
      <x:c r="AE901" s="10" t="n">
        <x:f>AA901*'Assumptions'!$D$21</x:f>
        <x:v>0</x:v>
      </x:c>
    </x:row>
    <x:row r="902" ht="16" customHeight="1">
      <x:c r="A902" s="1"/>
      <x:c r="B902" s="1"/>
      <x:c r="C902" s="1" t="str">
        <x:v>DOT-127</x:v>
      </x:c>
      <x:c r="D902" s="10" t="str">
        <x:v>Learn Anglais</x:v>
      </x:c>
      <x:c r="E902" s="10" t="n">
        <x:v>7</x:v>
      </x:c>
      <x:c r="F902" s="21" t="n">
        <x:f>F774*(1+'Assumptions'!$M$156)</x:f>
        <x:v>197.9894016</x:v>
      </x:c>
      <x:c r="G902" s="21" t="n">
        <x:f>H774*'Assumptions'!$K$156</x:f>
        <x:v>355.08456899999993</x:v>
      </x:c>
      <x:c r="H902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902+G902,NA())</x:f>
        <x:v>553.0739705999999</x:v>
      </x:c>
      <x:c r="I902" s="22" t="n">
        <x:f>'Assumptions'!$H$156*IF('Assumptions'!$O$156=1,1,'Assumptions'!$D$10)*(1+'Assumptions'!$N$156)^(7-1)</x:f>
        <x:v>27.027898062336</x:v>
      </x:c>
      <x:c r="J902" s="10" t="n">
        <x:f>H902*I902</x:f>
        <x:v>14948.426898308217</x:v>
      </x:c>
      <x:c r="K902" s="10" t="n">
        <x:f>J902*'Assumptions'!$T$156</x:f>
        <x:v>4982.808966102739</x:v>
      </x:c>
      <x:c r="L902" s="10" t="n">
        <x:f>K902*'Assumptions'!$U$156</x:f>
        <x:v>149.48426898308216</x:v>
      </x:c>
      <x:c r="M902" s="10" t="n">
        <x:f>K902*'Assumptions'!$V$156</x:f>
        <x:v>0</x:v>
      </x:c>
      <x:c r="N902" s="10" t="n">
        <x:f>K902-L902-M902</x:f>
        <x:v>4833.324697119657</x:v>
      </x:c>
      <x:c r="O902" s="10" t="n">
        <x:f>H902*'Assumptions'!$P$156*'Assumptions'!$Q$156*'Assumptions'!$D$11*(1+'Assumptions'!$D$13)^(7-1)</x:f>
        <x:v>2311.3973566086993</x:v>
      </x:c>
      <x:c r="P902" s="10" t="n">
        <x:f>H902*'Assumptions'!$R$156*'Assumptions'!$D$11*(1+'Assumptions'!$D$13)^(7-1)</x:f>
        <x:v>0</x:v>
      </x:c>
      <x:c r="Q902" s="10" t="n">
        <x:f>J902*'Assumptions'!$S$156</x:f>
        <x:v>0</x:v>
      </x:c>
      <x:c r="R902" s="10" t="n">
        <x:f>H902*'Assumptions'!$Y$156*'Assumptions'!$Z$156*'Assumptions'!$D$11*(1+'Assumptions'!$D$13)^(7-1)</x:f>
        <x:v>2971.7966013540417</x:v>
      </x:c>
      <x:c r="S902" s="10" t="n">
        <x:f>IF(I902=0,0,J902*'Assumptions'!$W$156+H902*'Assumptions'!$X$156)</x:f>
        <x:v>599.4265712309383</x:v>
      </x:c>
      <x:c r="T902" s="10" t="n">
        <x:f>N902*'Assumptions'!$AA$156</x:f>
        <x:v>241.66623485598285</x:v>
      </x:c>
      <x:c r="U902" s="10" t="n">
        <x:f>'Assumptions'!$AE$156*'Assumptions'!$D$11*(1+'Assumptions'!$D$13)^(7-1)</x:f>
        <x:v>0</x:v>
      </x:c>
      <x:c r="V902" s="10" t="n">
        <x:f>0</x:f>
        <x:v>0</x:v>
      </x:c>
      <x:c r="W902" s="10" t="n">
        <x:f>H902*('Assumptions'!$P$156+'Assumptions'!$Y$156)</x:f>
        <x:v>138.26849264999998</x:v>
      </x:c>
      <x:c r="X902" s="10" t="n">
        <x:f>N902/12*'Assumptions'!$AF$156</x:f>
        <x:v>0</x:v>
      </x:c>
      <x:c r="Y902" s="10" t="n">
        <x:f>P902/12</x:f>
        <x:v>0</x:v>
      </x:c>
      <x:c r="Z902" s="10" t="n">
        <x:f>0</x:f>
        <x:v>0</x:v>
      </x:c>
      <x:c r="AA902" s="10" t="n">
        <x:f>Z902*'Assumptions'!$AC$156*'Assumptions'!$D$11*(1+'Assumptions'!$D$13)^(7-1)</x:f>
        <x:v>0</x:v>
      </x:c>
      <x:c r="AB902" s="10" t="n">
        <x:f>F902/1</x:f>
        <x:v>197.9894016</x:v>
      </x:c>
      <x:c r="AC902" s="10" t="n">
        <x:f>AB902/'Assumptions'!$AM$156</x:f>
        <x:v>3959.788032</x:v>
      </x:c>
      <x:c r="AD902" s="10" t="n">
        <x:f>IF(AB902=0,0,T902/AB902)</x:f>
        <x:v>1.2206018751661445</x:v>
      </x:c>
      <x:c r="AE902" s="10" t="n">
        <x:f>AA902*'Assumptions'!$D$21</x:f>
        <x:v>0</x:v>
      </x:c>
    </x:row>
    <x:row r="903" ht="16" customHeight="1">
      <x:c r="A903" s="1"/>
      <x:c r="B903" s="1"/>
      <x:c r="C903" s="1" t="str">
        <x:v>DOT-128</x:v>
      </x:c>
      <x:c r="D903" s="10" t="str">
        <x:v>Learn Anglais</x:v>
      </x:c>
      <x:c r="E903" s="10" t="n">
        <x:v>7</x:v>
      </x:c>
      <x:c r="F903" s="21" t="n">
        <x:f>F775*(1+'Assumptions'!$M$157)</x:f>
        <x:v>79.19576064000002</x:v>
      </x:c>
      <x:c r="G903" s="21" t="n">
        <x:f>H775*'Assumptions'!$K$157</x:f>
        <x:v>142.03382759999997</x:v>
      </x:c>
      <x:c r="H903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903+G903,NA())</x:f>
        <x:v>221.22958824</x:v>
      </x:c>
      <x:c r="I903" s="22" t="n">
        <x:f>'Assumptions'!$H$157*IF('Assumptions'!$O$157=1,1,'Assumptions'!$D$10)*(1+'Assumptions'!$N$157)^(7-1)</x:f>
        <x:v>185.81679917856002</x:v>
      </x:c>
      <x:c r="J903" s="10" t="n">
        <x:f>H903*I903</x:f>
        <x:v>41108.173970347605</x:v>
      </x:c>
      <x:c r="K903" s="10" t="n">
        <x:f>J903*'Assumptions'!$T$157</x:f>
        <x:v>12332.452191104281</x:v>
      </x:c>
      <x:c r="L903" s="10" t="n">
        <x:f>K903*'Assumptions'!$U$157</x:f>
        <x:v>369.9735657331284</x:v>
      </x:c>
      <x:c r="M903" s="10" t="n">
        <x:f>K903*'Assumptions'!$V$157</x:f>
        <x:v>0</x:v>
      </x:c>
      <x:c r="N903" s="10" t="n">
        <x:f>K903-L903-M903</x:f>
        <x:v>11962.478625371154</x:v>
      </x:c>
      <x:c r="O903" s="10" t="n">
        <x:f>H903*'Assumptions'!$P$157*'Assumptions'!$Q$157*'Assumptions'!$D$11*(1+'Assumptions'!$D$13)^(7-1)</x:f>
        <x:v>924.5589426434799</x:v>
      </x:c>
      <x:c r="P903" s="10" t="n">
        <x:f>H903*'Assumptions'!$R$157*'Assumptions'!$D$11*(1+'Assumptions'!$D$13)^(7-1)</x:f>
        <x:v>0</x:v>
      </x:c>
      <x:c r="Q903" s="10" t="n">
        <x:f>J903*'Assumptions'!$S$157</x:f>
        <x:v>0</x:v>
      </x:c>
      <x:c r="R903" s="10" t="n">
        <x:f>H903*'Assumptions'!$Y$157*'Assumptions'!$Z$157*'Assumptions'!$D$11*(1+'Assumptions'!$D$13)^(7-1)</x:f>
        <x:v>1188.7186405416169</x:v>
      </x:c>
      <x:c r="S903" s="10" t="n">
        <x:f>IF(I903=0,0,J903*'Assumptions'!$W$157+H903*'Assumptions'!$X$157)</x:f>
        <x:v>1258.5059216120806</x:v>
      </x:c>
      <x:c r="T903" s="10" t="n">
        <x:f>N903*'Assumptions'!$AA$157</x:f>
        <x:v>598.1239312685577</x:v>
      </x:c>
      <x:c r="U903" s="10" t="n">
        <x:f>'Assumptions'!$AE$157*'Assumptions'!$D$11*(1+'Assumptions'!$D$13)^(7-1)</x:f>
        <x:v>0</x:v>
      </x:c>
      <x:c r="V903" s="10" t="n">
        <x:f>0</x:f>
        <x:v>0</x:v>
      </x:c>
      <x:c r="W903" s="10" t="n">
        <x:f>H903*('Assumptions'!$P$157+'Assumptions'!$Y$157)</x:f>
        <x:v>55.30739706</x:v>
      </x:c>
      <x:c r="X903" s="10" t="n">
        <x:f>N903/12*'Assumptions'!$AF$157</x:f>
        <x:v>0</x:v>
      </x:c>
      <x:c r="Y903" s="10" t="n">
        <x:f>P903/12</x:f>
        <x:v>0</x:v>
      </x:c>
      <x:c r="Z903" s="10" t="n">
        <x:f>0</x:f>
        <x:v>0</x:v>
      </x:c>
      <x:c r="AA903" s="10" t="n">
        <x:f>Z903*'Assumptions'!$AC$157*'Assumptions'!$D$11*(1+'Assumptions'!$D$13)^(7-1)</x:f>
        <x:v>0</x:v>
      </x:c>
      <x:c r="AB903" s="10" t="n">
        <x:f>F903/1</x:f>
        <x:v>79.19576064000002</x:v>
      </x:c>
      <x:c r="AC903" s="10" t="n">
        <x:f>AB903/'Assumptions'!$AM$157</x:f>
        <x:v>1583.9152128000003</x:v>
      </x:c>
      <x:c r="AD903" s="10" t="n">
        <x:f>IF(AB903=0,0,T903/AB903)</x:f>
        <x:v>7.552474102590519</x:v>
      </x:c>
      <x:c r="AE903" s="10" t="n">
        <x:f>AA903*'Assumptions'!$D$21</x:f>
        <x:v>0</x:v>
      </x:c>
    </x:row>
    <x:row r="904" ht="16" customHeight="1">
      <x:c r="A904" s="1"/>
      <x:c r="B904" s="1"/>
      <x:c r="C904" s="1" t="str">
        <x:v>DOT-001</x:v>
      </x:c>
      <x:c r="D904" s="10" t="str">
        <x:v>ETV courses</x:v>
      </x:c>
      <x:c r="E904" s="10" t="n">
        <x:v>8</x:v>
      </x:c>
      <x:c r="F904" s="21" t="n">
        <x:f>F776*(1+'Assumptions'!$M$30)</x:f>
        <x:v>344.0135434578749</x:v>
      </x:c>
      <x:c r="G904" s="21" t="n">
        <x:f>H776*'Assumptions'!$K$30</x:f>
        <x:v>110.05114436249997</x:v>
      </x:c>
      <x:c r="H904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904+G904,NA())</x:f>
        <x:v>454.06468782037484</x:v>
      </x:c>
      <x:c r="I904" s="22" t="n">
        <x:f>'Assumptions'!$H$30*IF('Assumptions'!$O$30=1,1,'Assumptions'!$D$10)*(1+'Assumptions'!$N$30)^(8-1)</x:f>
        <x:v>29</x:v>
      </x:c>
      <x:c r="J904" s="10" t="n">
        <x:f>H904*I904</x:f>
        <x:v>13167.875946790871</x:v>
      </x:c>
      <x:c r="K904" s="10" t="n">
        <x:f>J904*'Assumptions'!$T$30</x:f>
        <x:v>13167.875946790871</x:v>
      </x:c>
      <x:c r="L904" s="10" t="n">
        <x:f>K904*'Assumptions'!$U$30</x:f>
        <x:v>395.0362784037261</x:v>
      </x:c>
      <x:c r="M904" s="10" t="n">
        <x:f>K904*'Assumptions'!$V$30</x:f>
        <x:v>0</x:v>
      </x:c>
      <x:c r="N904" s="10" t="n">
        <x:f>K904-L904-M904</x:f>
        <x:v>12772.839668387145</x:v>
      </x:c>
      <x:c r="O904" s="10" t="n">
        <x:f>H904*'Assumptions'!$P$30*'Assumptions'!$Q$30*'Assumptions'!$D$11*(1+'Assumptions'!$D$13)^(8-1)</x:f>
        <x:v>2931.8220370035515</x:v>
      </x:c>
      <x:c r="P904" s="10" t="n">
        <x:f>H904*'Assumptions'!$R$30*'Assumptions'!$D$11*(1+'Assumptions'!$D$13)^(8-1)</x:f>
        <x:v>0</x:v>
      </x:c>
      <x:c r="Q904" s="10" t="n">
        <x:f>J904*'Assumptions'!$S$30</x:f>
        <x:v>0</x:v>
      </x:c>
      <x:c r="R904" s="10" t="n">
        <x:f>H904*'Assumptions'!$Y$30*'Assumptions'!$Z$30*'Assumptions'!$D$11*(1+'Assumptions'!$D$13)^(8-1)</x:f>
        <x:v>1675.3268782877444</x:v>
      </x:c>
      <x:c r="S904" s="10" t="n">
        <x:f>IF(I904=0,0,J904*'Assumptions'!$W$30+H904*'Assumptions'!$X$30)</x:f>
        <x:v>518.0878088030477</x:v>
      </x:c>
      <x:c r="T904" s="10" t="n">
        <x:f>N904*'Assumptions'!$AA$30</x:f>
        <x:v>638.6419834193573</x:v>
      </x:c>
      <x:c r="U904" s="10" t="n">
        <x:f>'Assumptions'!$AE$30*'Assumptions'!$D$11*(1+'Assumptions'!$D$13)^(8-1)</x:f>
        <x:v>0</x:v>
      </x:c>
      <x:c r="V904" s="10" t="n">
        <x:f>0</x:f>
        <x:v>0</x:v>
      </x:c>
      <x:c r="W904" s="10" t="n">
        <x:f>H904*('Assumptions'!$P$30+'Assumptions'!$Y$30)</x:f>
        <x:v>113.51617195509371</x:v>
      </x:c>
      <x:c r="X904" s="10" t="n">
        <x:f>N904/12*'Assumptions'!$AF$30</x:f>
        <x:v>0</x:v>
      </x:c>
      <x:c r="Y904" s="10" t="n">
        <x:f>P904/12</x:f>
        <x:v>0</x:v>
      </x:c>
      <x:c r="Z904" s="10" t="n">
        <x:f>0</x:f>
        <x:v>0</x:v>
      </x:c>
      <x:c r="AA904" s="10" t="n">
        <x:f>Z904*'Assumptions'!$AC$30*'Assumptions'!$D$11*(1+'Assumptions'!$D$13)^(8-1)</x:f>
        <x:v>0</x:v>
      </x:c>
      <x:c r="AB904" s="10" t="n">
        <x:f>F904/1</x:f>
        <x:v>344.0135434578749</x:v>
      </x:c>
      <x:c r="AC904" s="10" t="n">
        <x:f>AB904/'Assumptions'!$AM$30</x:f>
        <x:v>6880.270869157498</x:v>
      </x:c>
      <x:c r="AD904" s="10" t="n">
        <x:f>IF(AB904=0,0,T904/AB904)</x:f>
        <x:v>1.8564443044887278</x:v>
      </x:c>
      <x:c r="AE904" s="10" t="n">
        <x:f>AA904*'Assumptions'!$D$21</x:f>
        <x:v>0</x:v>
      </x:c>
    </x:row>
    <x:row r="905" ht="16" customHeight="1">
      <x:c r="A905" s="1"/>
      <x:c r="B905" s="1"/>
      <x:c r="C905" s="1" t="str">
        <x:v>DOT-002</x:v>
      </x:c>
      <x:c r="D905" s="10" t="str">
        <x:v>ETV courses</x:v>
      </x:c>
      <x:c r="E905" s="10" t="n">
        <x:v>8</x:v>
      </x:c>
      <x:c r="F905" s="21" t="n">
        <x:f>F777*(1+'Assumptions'!$M$31)</x:f>
        <x:v>544.6881104749687</x:v>
      </x:c>
      <x:c r="G905" s="21" t="n">
        <x:f>H777*'Assumptions'!$K$31</x:f>
        <x:v>174.24764524062496</x:v>
      </x:c>
      <x:c r="H905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905+G905,NA())</x:f>
        <x:v>718.9357557155936</x:v>
      </x:c>
      <x:c r="I905" s="22" t="n">
        <x:f>'Assumptions'!$H$31*IF('Assumptions'!$O$31=1,1,'Assumptions'!$D$10)*(1+'Assumptions'!$N$31)^(8-1)</x:f>
        <x:v>44.79874103832192</x:v>
      </x:c>
      <x:c r="J905" s="10" t="n">
        <x:f>H905*I905</x:f>
        <x:v>32207.416743493148</x:v>
      </x:c>
      <x:c r="K905" s="10" t="n">
        <x:f>J905*'Assumptions'!$T$31</x:f>
        <x:v>32207.416743493148</x:v>
      </x:c>
      <x:c r="L905" s="10" t="n">
        <x:f>K905*'Assumptions'!$U$31</x:f>
        <x:v>966.2225023047944</x:v>
      </x:c>
      <x:c r="M905" s="10" t="n">
        <x:f>K905*'Assumptions'!$V$31</x:f>
        <x:v>0</x:v>
      </x:c>
      <x:c r="N905" s="10" t="n">
        <x:f>K905-L905-M905</x:f>
        <x:v>31241.194241188354</x:v>
      </x:c>
      <x:c r="O905" s="10" t="n">
        <x:f>H905*'Assumptions'!$P$31*'Assumptions'!$Q$31*'Assumptions'!$D$11*(1+'Assumptions'!$D$13)^(8-1)</x:f>
        <x:v>4642.051558588958</x:v>
      </x:c>
      <x:c r="P905" s="10" t="n">
        <x:f>H905*'Assumptions'!$R$31*'Assumptions'!$D$11*(1+'Assumptions'!$D$13)^(8-1)</x:f>
        <x:v>0</x:v>
      </x:c>
      <x:c r="Q905" s="10" t="n">
        <x:f>J905*'Assumptions'!$S$31</x:f>
        <x:v>0</x:v>
      </x:c>
      <x:c r="R905" s="10" t="n">
        <x:f>H905*'Assumptions'!$Y$31*'Assumptions'!$Z$31*'Assumptions'!$D$11*(1+'Assumptions'!$D$13)^(8-1)</x:f>
        <x:v>2652.6008906222623</x:v>
      </x:c>
      <x:c r="S905" s="10" t="n">
        <x:f>IF(I905=0,0,J905*'Assumptions'!$W$31+H905*'Assumptions'!$X$31)</x:f>
        <x:v>1149.6958122759795</x:v>
      </x:c>
      <x:c r="T905" s="10" t="n">
        <x:f>N905*'Assumptions'!$AA$31</x:f>
        <x:v>1562.0597120594177</x:v>
      </x:c>
      <x:c r="U905" s="10" t="n">
        <x:f>'Assumptions'!$AE$31*'Assumptions'!$D$11*(1+'Assumptions'!$D$13)^(8-1)</x:f>
        <x:v>0</x:v>
      </x:c>
      <x:c r="V905" s="10" t="n">
        <x:f>0</x:f>
        <x:v>0</x:v>
      </x:c>
      <x:c r="W905" s="10" t="n">
        <x:f>H905*('Assumptions'!$P$31+'Assumptions'!$Y$31)</x:f>
        <x:v>179.7339389288984</x:v>
      </x:c>
      <x:c r="X905" s="10" t="n">
        <x:f>N905/12*'Assumptions'!$AF$31</x:f>
        <x:v>0</x:v>
      </x:c>
      <x:c r="Y905" s="10" t="n">
        <x:f>P905/12</x:f>
        <x:v>0</x:v>
      </x:c>
      <x:c r="Z905" s="10" t="n">
        <x:f>0</x:f>
        <x:v>0</x:v>
      </x:c>
      <x:c r="AA905" s="10" t="n">
        <x:f>Z905*'Assumptions'!$AC$31*'Assumptions'!$D$11*(1+'Assumptions'!$D$13)^(8-1)</x:f>
        <x:v>0</x:v>
      </x:c>
      <x:c r="AB905" s="10" t="n">
        <x:f>F905/1</x:f>
        <x:v>544.6881104749687</x:v>
      </x:c>
      <x:c r="AC905" s="10" t="n">
        <x:f>AB905/'Assumptions'!$AM$31</x:f>
        <x:v>10893.762209499373</x:v>
      </x:c>
      <x:c r="AD905" s="10" t="n">
        <x:f>IF(AB905=0,0,T905/AB905)</x:f>
        <x:v>2.867805780995109</x:v>
      </x:c>
      <x:c r="AE905" s="10" t="n">
        <x:f>AA905*'Assumptions'!$D$21</x:f>
        <x:v>0</x:v>
      </x:c>
    </x:row>
    <x:row r="906" ht="16" customHeight="1">
      <x:c r="A906" s="1"/>
      <x:c r="B906" s="1"/>
      <x:c r="C906" s="1" t="str">
        <x:v>DOT-003</x:v>
      </x:c>
      <x:c r="D906" s="10" t="str">
        <x:v>ETV services</x:v>
      </x:c>
      <x:c r="E906" s="10" t="n">
        <x:v>8</x:v>
      </x:c>
      <x:c r="F906" s="21" t="n">
        <x:f>F778*(1+'Assumptions'!$M$32)</x:f>
        <x:v>9.599169604200004</x:v>
      </x:c>
      <x:c r="G906" s="21" t="n">
        <x:f>H778*'Assumptions'!$K$32</x:f>
        <x:v>8.942775570000002</x:v>
      </x:c>
      <x:c r="H906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906+G906,NA())</x:f>
        <x:v>18.541945174200006</x:v>
      </x:c>
      <x:c r="I906" s="22" t="n">
        <x:f>'Assumptions'!$H$32*IF('Assumptions'!$O$32=1,1,'Assumptions'!$D$10)*(1+'Assumptions'!$N$32)^(8-1)</x:f>
        <x:v>2010.1999183862401</x:v>
      </x:c>
      <x:c r="J906" s="10" t="n">
        <x:f>H906*I906</x:f>
        <x:v>37273.01667589899</x:v>
      </x:c>
      <x:c r="K906" s="10" t="n">
        <x:f>J906*'Assumptions'!$T$32</x:f>
        <x:v>37273.01667589899</x:v>
      </x:c>
      <x:c r="L906" s="10" t="n">
        <x:f>K906*'Assumptions'!$U$32</x:f>
        <x:v>1118.1905002769695</x:v>
      </x:c>
      <x:c r="M906" s="10" t="n">
        <x:f>K906*'Assumptions'!$V$32</x:f>
        <x:v>0</x:v>
      </x:c>
      <x:c r="N906" s="10" t="n">
        <x:f>K906-L906-M906</x:f>
        <x:v>36154.826175622016</x:v>
      </x:c>
      <x:c r="O906" s="10" t="n">
        <x:f>H906*'Assumptions'!$P$32*'Assumptions'!$Q$32*'Assumptions'!$D$11*(1+'Assumptions'!$D$13)^(8-1)</x:f>
        <x:v>20523.82840550044</x:v>
      </x:c>
      <x:c r="P906" s="10" t="n">
        <x:f>H906*'Assumptions'!$R$32*'Assumptions'!$D$11*(1+'Assumptions'!$D$13)^(8-1)</x:f>
        <x:v>570.1063445972344</x:v>
      </x:c>
      <x:c r="Q906" s="10" t="n">
        <x:f>J906*'Assumptions'!$S$32</x:f>
        <x:v>0</x:v>
      </x:c>
      <x:c r="R906" s="10" t="n">
        <x:f>H906*'Assumptions'!$Y$32*'Assumptions'!$Z$32*'Assumptions'!$D$11*(1+'Assumptions'!$D$13)^(8-1)</x:f>
        <x:v>171.03190337917033</x:v>
      </x:c>
      <x:c r="S906" s="10" t="n">
        <x:f>IF(I906=0,0,J906*'Assumptions'!$W$32+H906*'Assumptions'!$X$32)</x:f>
        <x:v>1086.4800671533308</x:v>
      </x:c>
      <x:c r="T906" s="10" t="n">
        <x:f>N906*'Assumptions'!$AA$32</x:f>
        <x:v>1446.1930470248806</x:v>
      </x:c>
      <x:c r="U906" s="10" t="n">
        <x:f>'Assumptions'!$AE$32*'Assumptions'!$D$11*(1+'Assumptions'!$D$13)^(8-1)</x:f>
        <x:v>0</x:v>
      </x:c>
      <x:c r="V906" s="10" t="n">
        <x:f>0</x:f>
        <x:v>0</x:v>
      </x:c>
      <x:c r="W906" s="10" t="n">
        <x:f>H906*('Assumptions'!$P$32+'Assumptions'!$Y$32)</x:f>
        <x:v>375.47438977755013</x:v>
      </x:c>
      <x:c r="X906" s="10" t="n">
        <x:f>N906/12*'Assumptions'!$AF$32</x:f>
        <x:v>3012.902181301835</x:v>
      </x:c>
      <x:c r="Y906" s="10" t="n">
        <x:f>P906/12</x:f>
        <x:v>47.50886204976953</x:v>
      </x:c>
      <x:c r="Z906" s="10" t="n">
        <x:f>0</x:f>
        <x:v>0</x:v>
      </x:c>
      <x:c r="AA906" s="10" t="n">
        <x:f>Z906*'Assumptions'!$AC$32*'Assumptions'!$D$11*(1+'Assumptions'!$D$13)^(8-1)</x:f>
        <x:v>0</x:v>
      </x:c>
      <x:c r="AB906" s="10" t="n">
        <x:f>F906/1</x:f>
        <x:v>9.599169604200004</x:v>
      </x:c>
      <x:c r="AC906" s="10" t="n">
        <x:f>AB906/'Assumptions'!$AM$32</x:f>
        <x:v>47.995848021000015</x:v>
      </x:c>
      <x:c r="AD906" s="10" t="n">
        <x:f>IF(AB906=0,0,T906/AB906)</x:f>
        <x:v>150.65814092836902</x:v>
      </x:c>
      <x:c r="AE906" s="10" t="n">
        <x:f>AA906*'Assumptions'!$D$21</x:f>
        <x:v>0</x:v>
      </x:c>
    </x:row>
    <x:row r="907" ht="16" customHeight="1">
      <x:c r="A907" s="1"/>
      <x:c r="B907" s="1"/>
      <x:c r="C907" s="1" t="str">
        <x:v>DOT-004</x:v>
      </x:c>
      <x:c r="D907" s="10" t="str">
        <x:v>ETV services</x:v>
      </x:c>
      <x:c r="E907" s="10" t="n">
        <x:v>8</x:v>
      </x:c>
      <x:c r="F907" s="21" t="n">
        <x:f>F779*(1+'Assumptions'!$M$33)</x:f>
        <x:v>6.399446402800003</x:v>
      </x:c>
      <x:c r="G907" s="21" t="n">
        <x:f>H779*'Assumptions'!$K$33</x:f>
        <x:v>5.961850380000003</x:v>
      </x:c>
      <x:c r="H907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907+G907,NA())</x:f>
        <x:v>12.361296782800007</x:v>
      </x:c>
      <x:c r="I907" s="22" t="n">
        <x:f>'Assumptions'!$H$33*IF('Assumptions'!$O$33=1,1,'Assumptions'!$D$10)*(1+'Assumptions'!$N$33)^(8-1)</x:f>
        <x:v>2871.7141691232</x:v>
      </x:c>
      <x:c r="J907" s="10" t="n">
        <x:f>H907*I907</x:f>
        <x:v>35498.111119903806</x:v>
      </x:c>
      <x:c r="K907" s="10" t="n">
        <x:f>J907*'Assumptions'!$T$33</x:f>
        <x:v>35498.111119903806</x:v>
      </x:c>
      <x:c r="L907" s="10" t="n">
        <x:f>K907*'Assumptions'!$U$33</x:f>
        <x:v>1064.9433335971141</x:v>
      </x:c>
      <x:c r="M907" s="10" t="n">
        <x:f>K907*'Assumptions'!$V$33</x:f>
        <x:v>0</x:v>
      </x:c>
      <x:c r="N907" s="10" t="n">
        <x:f>K907-L907-M907</x:f>
        <x:v>34433.167786306694</x:v>
      </x:c>
      <x:c r="O907" s="10" t="n">
        <x:f>H907*'Assumptions'!$P$33*'Assumptions'!$Q$33*'Assumptions'!$D$11*(1+'Assumptions'!$D$13)^(8-1)</x:f>
        <x:v>20523.82840550045</x:v>
      </x:c>
      <x:c r="P907" s="10" t="n">
        <x:f>H907*'Assumptions'!$R$33*'Assumptions'!$D$11*(1+'Assumptions'!$D$13)^(8-1)</x:f>
        <x:v>380.07089639815644</x:v>
      </x:c>
      <x:c r="Q907" s="10" t="n">
        <x:f>J907*'Assumptions'!$S$33</x:f>
        <x:v>0</x:v>
      </x:c>
      <x:c r="R907" s="10" t="n">
        <x:f>H907*'Assumptions'!$Y$33*'Assumptions'!$Z$33*'Assumptions'!$D$11*(1+'Assumptions'!$D$13)^(8-1)</x:f>
        <x:v>114.02126891944694</x:v>
      </x:c>
      <x:c r="S907" s="10" t="n">
        <x:f>IF(I907=0,0,J907*'Assumptions'!$W$33+H907*'Assumptions'!$X$33)</x:f>
        <x:v>1033.1536115120502</x:v>
      </x:c>
      <x:c r="T907" s="10" t="n">
        <x:f>N907*'Assumptions'!$AA$33</x:f>
        <x:v>1377.3267114522678</x:v>
      </x:c>
      <x:c r="U907" s="10" t="n">
        <x:f>'Assumptions'!$AE$33*'Assumptions'!$D$11*(1+'Assumptions'!$D$13)^(8-1)</x:f>
        <x:v>0</x:v>
      </x:c>
      <x:c r="V907" s="10" t="n">
        <x:f>0</x:f>
        <x:v>0</x:v>
      </x:c>
      <x:c r="W907" s="10" t="n">
        <x:f>H907*('Assumptions'!$P$33+'Assumptions'!$Y$33)</x:f>
        <x:v>373.9292276797002</x:v>
      </x:c>
      <x:c r="X907" s="10" t="n">
        <x:f>N907/12*'Assumptions'!$AF$33</x:f>
        <x:v>2869.4306488588913</x:v>
      </x:c>
      <x:c r="Y907" s="10" t="n">
        <x:f>P907/12</x:f>
        <x:v>31.67257469984637</x:v>
      </x:c>
      <x:c r="Z907" s="10" t="n">
        <x:f>0</x:f>
        <x:v>0</x:v>
      </x:c>
      <x:c r="AA907" s="10" t="n">
        <x:f>Z907*'Assumptions'!$AC$33*'Assumptions'!$D$11*(1+'Assumptions'!$D$13)^(8-1)</x:f>
        <x:v>0</x:v>
      </x:c>
      <x:c r="AB907" s="10" t="n">
        <x:f>F907/1</x:f>
        <x:v>6.399446402800003</x:v>
      </x:c>
      <x:c r="AC907" s="10" t="n">
        <x:f>AB907/'Assumptions'!$AM$33</x:f>
        <x:v>31.997232014000016</x:v>
      </x:c>
      <x:c r="AD907" s="10" t="n">
        <x:f>IF(AB907=0,0,T907/AB907)</x:f>
        <x:v>215.22591561195583</x:v>
      </x:c>
      <x:c r="AE907" s="10" t="n">
        <x:f>AA907*'Assumptions'!$D$21</x:f>
        <x:v>0</x:v>
      </x:c>
    </x:row>
    <x:row r="908" ht="16" customHeight="1">
      <x:c r="A908" s="1"/>
      <x:c r="B908" s="1"/>
      <x:c r="C908" s="1" t="str">
        <x:v>DOT-005</x:v>
      </x:c>
      <x:c r="D908" s="10" t="str">
        <x:v>ETV services</x:v>
      </x:c>
      <x:c r="E908" s="10" t="n">
        <x:v>8</x:v>
      </x:c>
      <x:c r="F908" s="21" t="n">
        <x:f>F780*(1+'Assumptions'!$M$34)</x:f>
        <x:v>6.399446402800003</x:v>
      </x:c>
      <x:c r="G908" s="21" t="n">
        <x:f>H780*'Assumptions'!$K$34</x:f>
        <x:v>5.961850380000003</x:v>
      </x:c>
      <x:c r="H908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908+G908,NA())</x:f>
        <x:v>12.361296782800007</x:v>
      </x:c>
      <x:c r="I908" s="22" t="n">
        <x:f>'Assumptions'!$H$34*IF('Assumptions'!$O$34=1,1,'Assumptions'!$D$10)*(1+'Assumptions'!$N$34)^(8-1)</x:f>
        <x:v>1723.02850147392</x:v>
      </x:c>
      <x:c r="J908" s="10" t="n">
        <x:f>H908*I908</x:f>
        <x:v>21298.866671942284</x:v>
      </x:c>
      <x:c r="K908" s="10" t="n">
        <x:f>J908*'Assumptions'!$T$34</x:f>
        <x:v>21298.866671942284</x:v>
      </x:c>
      <x:c r="L908" s="10" t="n">
        <x:f>K908*'Assumptions'!$U$34</x:f>
        <x:v>638.9660001582685</x:v>
      </x:c>
      <x:c r="M908" s="10" t="n">
        <x:f>K908*'Assumptions'!$V$34</x:f>
        <x:v>0</x:v>
      </x:c>
      <x:c r="N908" s="10" t="n">
        <x:f>K908-L908-M908</x:f>
        <x:v>20659.900671784017</x:v>
      </x:c>
      <x:c r="O908" s="10" t="n">
        <x:f>H908*'Assumptions'!$P$34*'Assumptions'!$Q$34*'Assumptions'!$D$11*(1+'Assumptions'!$D$13)^(8-1)</x:f>
        <x:v>12314.29704330027</x:v>
      </x:c>
      <x:c r="P908" s="10" t="n">
        <x:f>H908*'Assumptions'!$R$34*'Assumptions'!$D$11*(1+'Assumptions'!$D$13)^(8-1)</x:f>
        <x:v>380.07089639815644</x:v>
      </x:c>
      <x:c r="Q908" s="10" t="n">
        <x:f>J908*'Assumptions'!$S$34</x:f>
        <x:v>0</x:v>
      </x:c>
      <x:c r="R908" s="10" t="n">
        <x:f>H908*'Assumptions'!$Y$34*'Assumptions'!$Z$34*'Assumptions'!$D$11*(1+'Assumptions'!$D$13)^(8-1)</x:f>
        <x:v>114.02126891944694</x:v>
      </x:c>
      <x:c r="S908" s="10" t="n">
        <x:f>IF(I908=0,0,J908*'Assumptions'!$W$34+H908*'Assumptions'!$X$34)</x:f>
        <x:v>621.3755225211663</x:v>
      </x:c>
      <x:c r="T908" s="10" t="n">
        <x:f>N908*'Assumptions'!$AA$34</x:f>
        <x:v>826.3960268713607</x:v>
      </x:c>
      <x:c r="U908" s="10" t="n">
        <x:f>'Assumptions'!$AE$34*'Assumptions'!$D$11*(1+'Assumptions'!$D$13)^(8-1)</x:f>
        <x:v>0</x:v>
      </x:c>
      <x:c r="V908" s="10" t="n">
        <x:f>0</x:f>
        <x:v>0</x:v>
      </x:c>
      <x:c r="W908" s="10" t="n">
        <x:f>H908*('Assumptions'!$P$34+'Assumptions'!$Y$34)</x:f>
        <x:v>225.59366628610013</x:v>
      </x:c>
      <x:c r="X908" s="10" t="n">
        <x:f>N908/12*'Assumptions'!$AF$34</x:f>
        <x:v>1721.6583893153347</x:v>
      </x:c>
      <x:c r="Y908" s="10" t="n">
        <x:f>P908/12</x:f>
        <x:v>31.67257469984637</x:v>
      </x:c>
      <x:c r="Z908" s="10" t="n">
        <x:f>0</x:f>
        <x:v>0</x:v>
      </x:c>
      <x:c r="AA908" s="10" t="n">
        <x:f>Z908*'Assumptions'!$AC$34*'Assumptions'!$D$11*(1+'Assumptions'!$D$13)^(8-1)</x:f>
        <x:v>0</x:v>
      </x:c>
      <x:c r="AB908" s="10" t="n">
        <x:f>F908/1</x:f>
        <x:v>6.399446402800003</x:v>
      </x:c>
      <x:c r="AC908" s="10" t="n">
        <x:f>AB908/'Assumptions'!$AM$34</x:f>
        <x:v>31.997232014000016</x:v>
      </x:c>
      <x:c r="AD908" s="10" t="n">
        <x:f>IF(AB908=0,0,T908/AB908)</x:f>
        <x:v>129.1355493671735</x:v>
      </x:c>
      <x:c r="AE908" s="10" t="n">
        <x:f>AA908*'Assumptions'!$D$21</x:f>
        <x:v>0</x:v>
      </x:c>
    </x:row>
    <x:row r="909" ht="16" customHeight="1">
      <x:c r="A909" s="1"/>
      <x:c r="B909" s="1"/>
      <x:c r="C909" s="1" t="str">
        <x:v>DOT-006</x:v>
      </x:c>
      <x:c r="D909" s="10" t="str">
        <x:v>ETV services</x:v>
      </x:c>
      <x:c r="E909" s="10" t="n">
        <x:v>8</x:v>
      </x:c>
      <x:c r="F909" s="21" t="n">
        <x:f>F781*(1+'Assumptions'!$M$35)</x:f>
        <x:v>9.599169604200004</x:v>
      </x:c>
      <x:c r="G909" s="21" t="n">
        <x:f>H781*'Assumptions'!$K$35</x:f>
        <x:v>8.942775570000002</x:v>
      </x:c>
      <x:c r="H909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909+G909,NA())</x:f>
        <x:v>18.541945174200006</x:v>
      </x:c>
      <x:c r="I909" s="22" t="n">
        <x:f>'Assumptions'!$H$35*IF('Assumptions'!$O$35=1,1,'Assumptions'!$D$10)*(1+'Assumptions'!$N$35)^(8-1)</x:f>
        <x:v>861.51425073696</x:v>
      </x:c>
      <x:c r="J909" s="10" t="n">
        <x:f>H909*I909</x:f>
        <x:v>15974.150003956709</x:v>
      </x:c>
      <x:c r="K909" s="10" t="n">
        <x:f>J909*'Assumptions'!$T$35</x:f>
        <x:v>15974.150003956709</x:v>
      </x:c>
      <x:c r="L909" s="10" t="n">
        <x:f>K909*'Assumptions'!$U$35</x:f>
        <x:v>479.22450011870126</x:v>
      </x:c>
      <x:c r="M909" s="10" t="n">
        <x:f>K909*'Assumptions'!$V$35</x:f>
        <x:v>0</x:v>
      </x:c>
      <x:c r="N909" s="10" t="n">
        <x:f>K909-L909-M909</x:f>
        <x:v>15494.925503838007</x:v>
      </x:c>
      <x:c r="O909" s="10" t="n">
        <x:f>H909*'Assumptions'!$P$35*'Assumptions'!$Q$35*'Assumptions'!$D$11*(1+'Assumptions'!$D$13)^(8-1)</x:f>
        <x:v>8209.531362200178</x:v>
      </x:c>
      <x:c r="P909" s="10" t="n">
        <x:f>H909*'Assumptions'!$R$35*'Assumptions'!$D$11*(1+'Assumptions'!$D$13)^(8-1)</x:f>
        <x:v>570.1063445972344</x:v>
      </x:c>
      <x:c r="Q909" s="10" t="n">
        <x:f>J909*'Assumptions'!$S$35</x:f>
        <x:v>0</x:v>
      </x:c>
      <x:c r="R909" s="10" t="n">
        <x:f>H909*'Assumptions'!$Y$35*'Assumptions'!$Z$35*'Assumptions'!$D$11*(1+'Assumptions'!$D$13)^(8-1)</x:f>
        <x:v>171.03190337917033</x:v>
      </x:c>
      <x:c r="S909" s="10" t="n">
        <x:f>IF(I909=0,0,J909*'Assumptions'!$W$35+H909*'Assumptions'!$X$35)</x:f>
        <x:v>468.8129336670046</x:v>
      </x:c>
      <x:c r="T909" s="10" t="n">
        <x:f>N909*'Assumptions'!$AA$35</x:f>
        <x:v>619.7970201535203</x:v>
      </x:c>
      <x:c r="U909" s="10" t="n">
        <x:f>'Assumptions'!$AE$35*'Assumptions'!$D$11*(1+'Assumptions'!$D$13)^(8-1)</x:f>
        <x:v>0</x:v>
      </x:c>
      <x:c r="V909" s="10" t="n">
        <x:f>0</x:f>
        <x:v>0</x:v>
      </x:c>
      <x:c r="W909" s="10" t="n">
        <x:f>H909*('Assumptions'!$P$35+'Assumptions'!$Y$35)</x:f>
        <x:v>152.97104768715005</x:v>
      </x:c>
      <x:c r="X909" s="10" t="n">
        <x:f>N909/12*'Assumptions'!$AF$35</x:f>
        <x:v>1291.2437919865006</x:v>
      </x:c>
      <x:c r="Y909" s="10" t="n">
        <x:f>P909/12</x:f>
        <x:v>47.50886204976953</x:v>
      </x:c>
      <x:c r="Z909" s="10" t="n">
        <x:f>0</x:f>
        <x:v>0</x:v>
      </x:c>
      <x:c r="AA909" s="10" t="n">
        <x:f>Z909*'Assumptions'!$AC$35*'Assumptions'!$D$11*(1+'Assumptions'!$D$13)^(8-1)</x:f>
        <x:v>0</x:v>
      </x:c>
      <x:c r="AB909" s="10" t="n">
        <x:f>F909/1</x:f>
        <x:v>9.599169604200004</x:v>
      </x:c>
      <x:c r="AC909" s="10" t="n">
        <x:f>AB909/'Assumptions'!$AM$35</x:f>
        <x:v>47.995848021000015</x:v>
      </x:c>
      <x:c r="AD909" s="10" t="n">
        <x:f>IF(AB909=0,0,T909/AB909)</x:f>
        <x:v>64.56777468358673</x:v>
      </x:c>
      <x:c r="AE909" s="10" t="n">
        <x:f>AA909*'Assumptions'!$D$21</x:f>
        <x:v>0</x:v>
      </x:c>
    </x:row>
    <x:row r="910" ht="16" customHeight="1">
      <x:c r="A910" s="1"/>
      <x:c r="B910" s="1"/>
      <x:c r="C910" s="1" t="str">
        <x:v>DOT-007</x:v>
      </x:c>
      <x:c r="D910" s="10" t="str">
        <x:v>BPA professional services</x:v>
      </x:c>
      <x:c r="E910" s="10" t="n">
        <x:v>8</x:v>
      </x:c>
      <x:c r="F910" s="21" t="n">
        <x:f>F782*(1+'Assumptions'!$M$36)</x:f>
        <x:v>38.396678416800015</x:v>
      </x:c>
      <x:c r="G910" s="21" t="n">
        <x:f>H782*'Assumptions'!$K$36</x:f>
        <x:v>35.67735228000001</x:v>
      </x:c>
      <x:c r="H910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910+G910,NA())</x:f>
        <x:v>74.07403069680002</x:v>
      </x:c>
      <x:c r="I910" s="22" t="n">
        <x:f>'Assumptions'!$H$36*IF('Assumptions'!$O$36=1,1,'Assumptions'!$D$10)*(1+'Assumptions'!$N$36)^(8-1)</x:f>
        <x:v>250</x:v>
      </x:c>
      <x:c r="J910" s="10" t="n">
        <x:f>H910*I910</x:f>
        <x:v>18518.507674200006</x:v>
      </x:c>
      <x:c r="K910" s="10" t="n">
        <x:f>J910*'Assumptions'!$T$36</x:f>
        <x:v>18518.507674200006</x:v>
      </x:c>
      <x:c r="L910" s="10" t="n">
        <x:f>K910*'Assumptions'!$U$36</x:f>
        <x:v>555.5552302260002</x:v>
      </x:c>
      <x:c r="M910" s="10" t="n">
        <x:f>K910*'Assumptions'!$V$36</x:f>
        <x:v>0</x:v>
      </x:c>
      <x:c r="N910" s="10" t="n">
        <x:f>K910-L910-M910</x:f>
        <x:v>17962.952443974005</x:v>
      </x:c>
      <x:c r="O910" s="10" t="n">
        <x:f>H910*'Assumptions'!$P$36*'Assumptions'!$Q$36*'Assumptions'!$D$11*(1+'Assumptions'!$D$13)^(8-1)</x:f>
        <x:v>4553.263688744483</x:v>
      </x:c>
      <x:c r="P910" s="10" t="n">
        <x:f>H910*'Assumptions'!$R$36*'Assumptions'!$D$11*(1+'Assumptions'!$D$13)^(8-1)</x:f>
        <x:v>911.0171446067394</x:v>
      </x:c>
      <x:c r="Q910" s="10" t="n">
        <x:f>J910*'Assumptions'!$S$36</x:f>
        <x:v>0</x:v>
      </x:c>
      <x:c r="R910" s="10" t="n">
        <x:f>H910*'Assumptions'!$Y$36*'Assumptions'!$Z$36*'Assumptions'!$D$11*(1+'Assumptions'!$D$13)^(8-1)</x:f>
        <x:v>683.2628584550545</x:v>
      </x:c>
      <x:c r="S910" s="10" t="n">
        <x:f>IF(I910=0,0,J910*'Assumptions'!$W$36+H910*'Assumptions'!$X$36)</x:f>
        <x:v>559.2589317608401</x:v>
      </x:c>
      <x:c r="T910" s="10" t="n">
        <x:f>N910*'Assumptions'!$AA$36</x:f>
        <x:v>718.5180977589603</x:v>
      </x:c>
      <x:c r="U910" s="10" t="n">
        <x:f>'Assumptions'!$AE$36*'Assumptions'!$D$11*(1+'Assumptions'!$D$13)^(8-1)</x:f>
        <x:v>0</x:v>
      </x:c>
      <x:c r="V910" s="10" t="n">
        <x:f>0</x:f>
        <x:v>0</x:v>
      </x:c>
      <x:c r="W910" s="10" t="n">
        <x:f>H910*('Assumptions'!$P$36+'Assumptions'!$Y$36)</x:f>
        <x:v>80.22217524463443</x:v>
      </x:c>
      <x:c r="X910" s="10" t="n">
        <x:f>N910/12*'Assumptions'!$AF$36</x:f>
        <x:v>1496.9127036645004</x:v>
      </x:c>
      <x:c r="Y910" s="10" t="n">
        <x:f>P910/12</x:f>
        <x:v>75.91809538389495</x:v>
      </x:c>
      <x:c r="Z910" s="10" t="n">
        <x:f>0</x:f>
        <x:v>0</x:v>
      </x:c>
      <x:c r="AA910" s="10" t="n">
        <x:f>Z910*'Assumptions'!$AC$36*'Assumptions'!$D$11*(1+'Assumptions'!$D$13)^(8-1)</x:f>
        <x:v>0</x:v>
      </x:c>
      <x:c r="AB910" s="10" t="n">
        <x:f>F910/1</x:f>
        <x:v>38.396678416800015</x:v>
      </x:c>
      <x:c r="AC910" s="10" t="n">
        <x:f>AB910/'Assumptions'!$AM$36</x:f>
        <x:v>191.98339208400006</x:v>
      </x:c>
      <x:c r="AD910" s="10" t="n">
        <x:f>IF(AB910=0,0,T910/AB910)</x:f>
        <x:v>18.713027464494978</x:v>
      </x:c>
      <x:c r="AE910" s="10" t="n">
        <x:f>AA910*'Assumptions'!$D$21</x:f>
        <x:v>0</x:v>
      </x:c>
    </x:row>
    <x:row r="911" ht="16" customHeight="1">
      <x:c r="A911" s="1"/>
      <x:c r="B911" s="1"/>
      <x:c r="C911" s="1" t="str">
        <x:v>DOT-008</x:v>
      </x:c>
      <x:c r="D911" s="10" t="str">
        <x:v>BPA professional services</x:v>
      </x:c>
      <x:c r="E911" s="10" t="n">
        <x:v>8</x:v>
      </x:c>
      <x:c r="F911" s="21" t="n">
        <x:f>F783*(1+'Assumptions'!$M$37)</x:f>
        <x:v>14.398754406300002</x:v>
      </x:c>
      <x:c r="G911" s="21" t="n">
        <x:f>H783*'Assumptions'!$K$37</x:f>
        <x:v>13.379007105000003</x:v>
      </x:c>
      <x:c r="H911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911+G911,NA())</x:f>
        <x:v>27.777761511300007</x:v>
      </x:c>
      <x:c r="I911" s="22" t="n">
        <x:f>'Assumptions'!$H$37*IF('Assumptions'!$O$37=1,1,'Assumptions'!$D$10)*(1+'Assumptions'!$N$37)^(8-1)</x:f>
        <x:v>600</x:v>
      </x:c>
      <x:c r="J911" s="10" t="n">
        <x:f>H911*I911</x:f>
        <x:v>16666.656906780005</x:v>
      </x:c>
      <x:c r="K911" s="10" t="n">
        <x:f>J911*'Assumptions'!$T$37</x:f>
        <x:v>16666.656906780005</x:v>
      </x:c>
      <x:c r="L911" s="10" t="n">
        <x:f>K911*'Assumptions'!$U$37</x:f>
        <x:v>499.99970720340013</x:v>
      </x:c>
      <x:c r="M911" s="10" t="n">
        <x:f>K911*'Assumptions'!$V$37</x:f>
        <x:v>0</x:v>
      </x:c>
      <x:c r="N911" s="10" t="n">
        <x:f>K911-L911-M911</x:f>
        <x:v>16166.657199576604</x:v>
      </x:c>
      <x:c r="O911" s="10" t="n">
        <x:f>H911*'Assumptions'!$P$37*'Assumptions'!$Q$37*'Assumptions'!$D$11*(1+'Assumptions'!$D$13)^(8-1)</x:f>
        <x:v>8199.154301460654</x:v>
      </x:c>
      <x:c r="P911" s="10" t="n">
        <x:f>H911*'Assumptions'!$R$37*'Assumptions'!$D$11*(1+'Assumptions'!$D$13)^(8-1)</x:f>
        <x:v>341.63142922752724</x:v>
      </x:c>
      <x:c r="Q911" s="10" t="n">
        <x:f>J911*'Assumptions'!$S$37</x:f>
        <x:v>0</x:v>
      </x:c>
      <x:c r="R911" s="10" t="n">
        <x:f>H911*'Assumptions'!$Y$37*'Assumptions'!$Z$37*'Assumptions'!$D$11*(1+'Assumptions'!$D$13)^(8-1)</x:f>
        <x:v>256.22357192064544</x:v>
      </x:c>
      <x:c r="S911" s="10" t="n">
        <x:f>IF(I911=0,0,J911*'Assumptions'!$W$37+H911*'Assumptions'!$X$37)</x:f>
        <x:v>491.66637875001015</x:v>
      </x:c>
      <x:c r="T911" s="10" t="n">
        <x:f>N911*'Assumptions'!$AA$37</x:f>
        <x:v>646.6662879830642</x:v>
      </x:c>
      <x:c r="U911" s="10" t="n">
        <x:f>'Assumptions'!$AE$37*'Assumptions'!$D$11*(1+'Assumptions'!$D$13)^(8-1)</x:f>
        <x:v>0</x:v>
      </x:c>
      <x:c r="V911" s="10" t="n">
        <x:f>0</x:f>
        <x:v>0</x:v>
      </x:c>
      <x:c r="W911" s="10" t="n">
        <x:f>H911*('Assumptions'!$P$37+'Assumptions'!$Y$37)</x:f>
        <x:v>118.05548642302503</x:v>
      </x:c>
      <x:c r="X911" s="10" t="n">
        <x:f>N911/12*'Assumptions'!$AF$37</x:f>
        <x:v>1347.2214332980504</x:v>
      </x:c>
      <x:c r="Y911" s="10" t="n">
        <x:f>P911/12</x:f>
        <x:v>28.469285768960603</x:v>
      </x:c>
      <x:c r="Z911" s="10" t="n">
        <x:f>0</x:f>
        <x:v>0</x:v>
      </x:c>
      <x:c r="AA911" s="10" t="n">
        <x:f>Z911*'Assumptions'!$AC$37*'Assumptions'!$D$11*(1+'Assumptions'!$D$13)^(8-1)</x:f>
        <x:v>0</x:v>
      </x:c>
      <x:c r="AB911" s="10" t="n">
        <x:f>F911/1</x:f>
        <x:v>14.398754406300002</x:v>
      </x:c>
      <x:c r="AC911" s="10" t="n">
        <x:f>AB911/'Assumptions'!$AM$37</x:f>
        <x:v>71.9937720315</x:v>
      </x:c>
      <x:c r="AD911" s="10" t="n">
        <x:f>IF(AB911=0,0,T911/AB911)</x:f>
        <x:v>44.91126591478796</x:v>
      </x:c>
      <x:c r="AE911" s="10" t="n">
        <x:f>AA911*'Assumptions'!$D$21</x:f>
        <x:v>0</x:v>
      </x:c>
    </x:row>
    <x:row r="912" ht="16" customHeight="1">
      <x:c r="A912" s="1"/>
      <x:c r="B912" s="1"/>
      <x:c r="C912" s="1" t="str">
        <x:v>DOT-009</x:v>
      </x:c>
      <x:c r="D912" s="10" t="str">
        <x:v>BPA professional services</x:v>
      </x:c>
      <x:c r="E912" s="10" t="n">
        <x:v>8</x:v>
      </x:c>
      <x:c r="F912" s="21" t="n">
        <x:f>F784*(1+'Assumptions'!$M$38)</x:f>
        <x:v>9.599169604200004</x:v>
      </x:c>
      <x:c r="G912" s="21" t="n">
        <x:f>H784*'Assumptions'!$K$38</x:f>
        <x:v>8.919338070000002</x:v>
      </x:c>
      <x:c r="H912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912+G912,NA())</x:f>
        <x:v>18.518507674200006</x:v>
      </x:c>
      <x:c r="I912" s="22" t="n">
        <x:f>'Assumptions'!$H$38*IF('Assumptions'!$O$38=1,1,'Assumptions'!$D$10)*(1+'Assumptions'!$N$38)^(8-1)</x:f>
        <x:v>900</x:v>
      </x:c>
      <x:c r="J912" s="10" t="n">
        <x:f>H912*I912</x:f>
        <x:v>16666.656906780005</x:v>
      </x:c>
      <x:c r="K912" s="10" t="n">
        <x:f>J912*'Assumptions'!$T$38</x:f>
        <x:v>16666.656906780005</x:v>
      </x:c>
      <x:c r="L912" s="10" t="n">
        <x:f>K912*'Assumptions'!$U$38</x:f>
        <x:v>499.99970720340013</x:v>
      </x:c>
      <x:c r="M912" s="10" t="n">
        <x:f>K912*'Assumptions'!$V$38</x:f>
        <x:v>0</x:v>
      </x:c>
      <x:c r="N912" s="10" t="n">
        <x:f>K912-L912-M912</x:f>
        <x:v>16166.657199576604</x:v>
      </x:c>
      <x:c r="O912" s="10" t="n">
        <x:f>H912*'Assumptions'!$P$38*'Assumptions'!$Q$38*'Assumptions'!$D$11*(1+'Assumptions'!$D$13)^(8-1)</x:f>
        <x:v>8199.154301460654</x:v>
      </x:c>
      <x:c r="P912" s="10" t="n">
        <x:f>H912*'Assumptions'!$R$38*'Assumptions'!$D$11*(1+'Assumptions'!$D$13)^(8-1)</x:f>
        <x:v>227.75428615168485</x:v>
      </x:c>
      <x:c r="Q912" s="10" t="n">
        <x:f>J912*'Assumptions'!$S$38</x:f>
        <x:v>0</x:v>
      </x:c>
      <x:c r="R912" s="10" t="n">
        <x:f>H912*'Assumptions'!$Y$38*'Assumptions'!$Z$38*'Assumptions'!$D$11*(1+'Assumptions'!$D$13)^(8-1)</x:f>
        <x:v>170.81571461376362</x:v>
      </x:c>
      <x:c r="S912" s="10" t="n">
        <x:f>IF(I912=0,0,J912*'Assumptions'!$W$38+H912*'Assumptions'!$X$38)</x:f>
        <x:v>488.8886025988802</x:v>
      </x:c>
      <x:c r="T912" s="10" t="n">
        <x:f>N912*'Assumptions'!$AA$38</x:f>
        <x:v>646.6662879830642</x:v>
      </x:c>
      <x:c r="U912" s="10" t="n">
        <x:f>'Assumptions'!$AE$38*'Assumptions'!$D$11*(1+'Assumptions'!$D$13)^(8-1)</x:f>
        <x:v>0</x:v>
      </x:c>
      <x:c r="V912" s="10" t="n">
        <x:f>0</x:f>
        <x:v>0</x:v>
      </x:c>
      <x:c r="W912" s="10" t="n">
        <x:f>H912*('Assumptions'!$P$38+'Assumptions'!$Y$38)</x:f>
        <x:v>115.74067296375003</x:v>
      </x:c>
      <x:c r="X912" s="10" t="n">
        <x:f>N912/12*'Assumptions'!$AF$38</x:f>
        <x:v>1347.2214332980504</x:v>
      </x:c>
      <x:c r="Y912" s="10" t="n">
        <x:f>P912/12</x:f>
        <x:v>18.979523845973738</x:v>
      </x:c>
      <x:c r="Z912" s="10" t="n">
        <x:f>0</x:f>
        <x:v>0</x:v>
      </x:c>
      <x:c r="AA912" s="10" t="n">
        <x:f>Z912*'Assumptions'!$AC$38*'Assumptions'!$D$11*(1+'Assumptions'!$D$13)^(8-1)</x:f>
        <x:v>0</x:v>
      </x:c>
      <x:c r="AB912" s="10" t="n">
        <x:f>F912/1</x:f>
        <x:v>9.599169604200004</x:v>
      </x:c>
      <x:c r="AC912" s="10" t="n">
        <x:f>AB912/'Assumptions'!$AM$38</x:f>
        <x:v>47.995848021000015</x:v>
      </x:c>
      <x:c r="AD912" s="10" t="n">
        <x:f>IF(AB912=0,0,T912/AB912)</x:f>
        <x:v>67.36689887218192</x:v>
      </x:c>
      <x:c r="AE912" s="10" t="n">
        <x:f>AA912*'Assumptions'!$D$21</x:f>
        <x:v>0</x:v>
      </x:c>
    </x:row>
    <x:row r="913" ht="16" customHeight="1">
      <x:c r="A913" s="1"/>
      <x:c r="B913" s="1"/>
      <x:c r="C913" s="1" t="str">
        <x:v>DOT-010</x:v>
      </x:c>
      <x:c r="D913" s="10" t="str">
        <x:v>BPA professional services</x:v>
      </x:c>
      <x:c r="E913" s="10" t="n">
        <x:v>8</x:v>
      </x:c>
      <x:c r="F913" s="21" t="n">
        <x:f>F785*(1+'Assumptions'!$M$39)</x:f>
        <x:v>9.599169604200004</x:v>
      </x:c>
      <x:c r="G913" s="21" t="n">
        <x:f>H785*'Assumptions'!$K$39</x:f>
        <x:v>8.919338070000002</x:v>
      </x:c>
      <x:c r="H913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913+G913,NA())</x:f>
        <x:v>18.518507674200006</x:v>
      </x:c>
      <x:c r="I913" s="22" t="n">
        <x:f>'Assumptions'!$H$39*IF('Assumptions'!$O$39=1,1,'Assumptions'!$D$10)*(1+'Assumptions'!$N$39)^(8-1)</x:f>
        <x:v>1800</x:v>
      </x:c>
      <x:c r="J913" s="10" t="n">
        <x:f>H913*I913</x:f>
        <x:v>33333.31381356001</x:v>
      </x:c>
      <x:c r="K913" s="10" t="n">
        <x:f>J913*'Assumptions'!$T$39</x:f>
        <x:v>33333.31381356001</x:v>
      </x:c>
      <x:c r="L913" s="10" t="n">
        <x:f>K913*'Assumptions'!$U$39</x:f>
        <x:v>999.9994144068003</x:v>
      </x:c>
      <x:c r="M913" s="10" t="n">
        <x:f>K913*'Assumptions'!$V$39</x:f>
        <x:v>0</x:v>
      </x:c>
      <x:c r="N913" s="10" t="n">
        <x:f>K913-L913-M913</x:f>
        <x:v>32333.31439915321</x:v>
      </x:c>
      <x:c r="O913" s="10" t="n">
        <x:f>H913*'Assumptions'!$P$39*'Assumptions'!$Q$39*'Assumptions'!$D$11*(1+'Assumptions'!$D$13)^(8-1)</x:f>
        <x:v>16398.30860292131</x:v>
      </x:c>
      <x:c r="P913" s="10" t="n">
        <x:f>H913*'Assumptions'!$R$39*'Assumptions'!$D$11*(1+'Assumptions'!$D$13)^(8-1)</x:f>
        <x:v>227.75428615168485</x:v>
      </x:c>
      <x:c r="Q913" s="10" t="n">
        <x:f>J913*'Assumptions'!$S$39</x:f>
        <x:v>0</x:v>
      </x:c>
      <x:c r="R913" s="10" t="n">
        <x:f>H913*'Assumptions'!$Y$39*'Assumptions'!$Z$39*'Assumptions'!$D$11*(1+'Assumptions'!$D$13)^(8-1)</x:f>
        <x:v>170.81571461376362</x:v>
      </x:c>
      <x:c r="S913" s="10" t="n">
        <x:f>IF(I913=0,0,J913*'Assumptions'!$W$39+H913*'Assumptions'!$X$39)</x:f>
        <x:v>972.2216528955004</x:v>
      </x:c>
      <x:c r="T913" s="10" t="n">
        <x:f>N913*'Assumptions'!$AA$39</x:f>
        <x:v>1293.3325759661284</x:v>
      </x:c>
      <x:c r="U913" s="10" t="n">
        <x:f>'Assumptions'!$AE$39*'Assumptions'!$D$11*(1+'Assumptions'!$D$13)^(8-1)</x:f>
        <x:v>0</x:v>
      </x:c>
      <x:c r="V913" s="10" t="n">
        <x:f>0</x:f>
        <x:v>0</x:v>
      </x:c>
      <x:c r="W913" s="10" t="n">
        <x:f>H913*('Assumptions'!$P$39+'Assumptions'!$Y$39)</x:f>
        <x:v>226.85171900895006</x:v>
      </x:c>
      <x:c r="X913" s="10" t="n">
        <x:f>N913/12*'Assumptions'!$AF$39</x:f>
        <x:v>2694.442866596101</x:v>
      </x:c>
      <x:c r="Y913" s="10" t="n">
        <x:f>P913/12</x:f>
        <x:v>18.979523845973738</x:v>
      </x:c>
      <x:c r="Z913" s="10" t="n">
        <x:f>0</x:f>
        <x:v>0</x:v>
      </x:c>
      <x:c r="AA913" s="10" t="n">
        <x:f>Z913*'Assumptions'!$AC$39*'Assumptions'!$D$11*(1+'Assumptions'!$D$13)^(8-1)</x:f>
        <x:v>0</x:v>
      </x:c>
      <x:c r="AB913" s="10" t="n">
        <x:f>F913/1</x:f>
        <x:v>9.599169604200004</x:v>
      </x:c>
      <x:c r="AC913" s="10" t="n">
        <x:f>AB913/'Assumptions'!$AM$39</x:f>
        <x:v>47.995848021000015</x:v>
      </x:c>
      <x:c r="AD913" s="10" t="n">
        <x:f>IF(AB913=0,0,T913/AB913)</x:f>
        <x:v>134.73379774436384</x:v>
      </x:c>
      <x:c r="AE913" s="10" t="n">
        <x:f>AA913*'Assumptions'!$D$21</x:f>
        <x:v>0</x:v>
      </x:c>
    </x:row>
    <x:row r="914" ht="16" customHeight="1">
      <x:c r="A914" s="1"/>
      <x:c r="B914" s="1"/>
      <x:c r="C914" s="1" t="str">
        <x:v>DOT-011</x:v>
      </x:c>
      <x:c r="D914" s="10" t="str">
        <x:v>BPA professional services</x:v>
      </x:c>
      <x:c r="E914" s="10" t="n">
        <x:v>8</x:v>
      </x:c>
      <x:c r="F914" s="21" t="n">
        <x:f>F786*(1+'Assumptions'!$M$40)</x:f>
        <x:v>28.797508812600004</x:v>
      </x:c>
      <x:c r="G914" s="21" t="n">
        <x:f>H786*'Assumptions'!$K$40</x:f>
        <x:v>26.758014210000006</x:v>
      </x:c>
      <x:c r="H914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914+G914,NA())</x:f>
        <x:v>55.55552302260001</x:v>
      </x:c>
      <x:c r="I914" s="22" t="n">
        <x:f>'Assumptions'!$H$40*IF('Assumptions'!$O$40=1,1,'Assumptions'!$D$10)*(1+'Assumptions'!$N$40)^(8-1)</x:f>
        <x:v>600</x:v>
      </x:c>
      <x:c r="J914" s="10" t="n">
        <x:f>H914*I914</x:f>
        <x:v>33333.31381356001</x:v>
      </x:c>
      <x:c r="K914" s="10" t="n">
        <x:f>J914*'Assumptions'!$T$40</x:f>
        <x:v>33333.31381356001</x:v>
      </x:c>
      <x:c r="L914" s="10" t="n">
        <x:f>K914*'Assumptions'!$U$40</x:f>
        <x:v>999.9994144068003</x:v>
      </x:c>
      <x:c r="M914" s="10" t="n">
        <x:f>K914*'Assumptions'!$V$40</x:f>
        <x:v>0</x:v>
      </x:c>
      <x:c r="N914" s="10" t="n">
        <x:f>K914-L914-M914</x:f>
        <x:v>32333.31439915321</x:v>
      </x:c>
      <x:c r="O914" s="10" t="n">
        <x:f>H914*'Assumptions'!$P$40*'Assumptions'!$Q$40*'Assumptions'!$D$11*(1+'Assumptions'!$D$13)^(8-1)</x:f>
        <x:v>16398.30860292131</x:v>
      </x:c>
      <x:c r="P914" s="10" t="n">
        <x:f>H914*'Assumptions'!$R$40*'Assumptions'!$D$11*(1+'Assumptions'!$D$13)^(8-1)</x:f>
        <x:v>683.2628584550545</x:v>
      </x:c>
      <x:c r="Q914" s="10" t="n">
        <x:f>J914*'Assumptions'!$S$40</x:f>
        <x:v>0</x:v>
      </x:c>
      <x:c r="R914" s="10" t="n">
        <x:f>H914*'Assumptions'!$Y$40*'Assumptions'!$Z$40*'Assumptions'!$D$11*(1+'Assumptions'!$D$13)^(8-1)</x:f>
        <x:v>512.4471438412909</x:v>
      </x:c>
      <x:c r="S914" s="10" t="n">
        <x:f>IF(I914=0,0,J914*'Assumptions'!$W$40+H914*'Assumptions'!$X$40)</x:f>
        <x:v>983.3327575000203</x:v>
      </x:c>
      <x:c r="T914" s="10" t="n">
        <x:f>N914*'Assumptions'!$AA$40</x:f>
        <x:v>1293.3325759661284</x:v>
      </x:c>
      <x:c r="U914" s="10" t="n">
        <x:f>'Assumptions'!$AE$40*'Assumptions'!$D$11*(1+'Assumptions'!$D$13)^(8-1)</x:f>
        <x:v>0</x:v>
      </x:c>
      <x:c r="V914" s="10" t="n">
        <x:f>0</x:f>
        <x:v>0</x:v>
      </x:c>
      <x:c r="W914" s="10" t="n">
        <x:f>H914*('Assumptions'!$P$40+'Assumptions'!$Y$40)</x:f>
        <x:v>236.11097284605006</x:v>
      </x:c>
      <x:c r="X914" s="10" t="n">
        <x:f>N914/12*'Assumptions'!$AF$40</x:f>
        <x:v>2694.442866596101</x:v>
      </x:c>
      <x:c r="Y914" s="10" t="n">
        <x:f>P914/12</x:f>
        <x:v>56.938571537921206</x:v>
      </x:c>
      <x:c r="Z914" s="10" t="n">
        <x:f>0</x:f>
        <x:v>0</x:v>
      </x:c>
      <x:c r="AA914" s="10" t="n">
        <x:f>Z914*'Assumptions'!$AC$40*'Assumptions'!$D$11*(1+'Assumptions'!$D$13)^(8-1)</x:f>
        <x:v>0</x:v>
      </x:c>
      <x:c r="AB914" s="10" t="n">
        <x:f>F914/12</x:f>
        <x:v>2.3997924010500005</x:v>
      </x:c>
      <x:c r="AC914" s="10" t="n">
        <x:f>AB914/'Assumptions'!$AM$40</x:f>
        <x:v>11.998962005250002</x:v>
      </x:c>
      <x:c r="AD914" s="10" t="n">
        <x:f>IF(AB914=0,0,T914/AB914)</x:f>
        <x:v>538.9351909774555</x:v>
      </x:c>
      <x:c r="AE914" s="10" t="n">
        <x:f>AA914*'Assumptions'!$D$21</x:f>
        <x:v>0</x:v>
      </x:c>
    </x:row>
    <x:row r="915" ht="16" customHeight="1">
      <x:c r="A915" s="1"/>
      <x:c r="B915" s="1"/>
      <x:c r="C915" s="1" t="str">
        <x:v>DOT-012</x:v>
      </x:c>
      <x:c r="D915" s="10" t="str">
        <x:v>BPA professional services</x:v>
      </x:c>
      <x:c r="E915" s="10" t="n">
        <x:v>8</x:v>
      </x:c>
      <x:c r="F915" s="21" t="n">
        <x:f>F787*(1+'Assumptions'!$M$41)</x:f>
        <x:v>19.198339208400007</x:v>
      </x:c>
      <x:c r="G915" s="21" t="n">
        <x:f>H787*'Assumptions'!$K$41</x:f>
        <x:v>17.838676140000004</x:v>
      </x:c>
      <x:c r="H915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915+G915,NA())</x:f>
        <x:v>37.03701534840001</x:v>
      </x:c>
      <x:c r="I915" s="22" t="n">
        <x:f>'Assumptions'!$H$41*IF('Assumptions'!$O$41=1,1,'Assumptions'!$D$10)*(1+'Assumptions'!$N$41)^(8-1)</x:f>
        <x:v>1080</x:v>
      </x:c>
      <x:c r="J915" s="10" t="n">
        <x:f>H915*I915</x:f>
        <x:v>39999.97657627201</x:v>
      </x:c>
      <x:c r="K915" s="10" t="n">
        <x:f>J915*'Assumptions'!$T$41</x:f>
        <x:v>39999.97657627201</x:v>
      </x:c>
      <x:c r="L915" s="10" t="n">
        <x:f>K915*'Assumptions'!$U$41</x:f>
        <x:v>1199.9992972881603</x:v>
      </x:c>
      <x:c r="M915" s="10" t="n">
        <x:f>K915*'Assumptions'!$V$41</x:f>
        <x:v>0</x:v>
      </x:c>
      <x:c r="N915" s="10" t="n">
        <x:f>K915-L915-M915</x:f>
        <x:v>38799.97727898385</x:v>
      </x:c>
      <x:c r="O915" s="10" t="n">
        <x:f>H915*'Assumptions'!$P$41*'Assumptions'!$Q$41*'Assumptions'!$D$11*(1+'Assumptions'!$D$13)^(8-1)</x:f>
        <x:v>21864.411470561743</x:v>
      </x:c>
      <x:c r="P915" s="10" t="n">
        <x:f>H915*'Assumptions'!$R$41*'Assumptions'!$D$11*(1+'Assumptions'!$D$13)^(8-1)</x:f>
        <x:v>455.5085723033697</x:v>
      </x:c>
      <x:c r="Q915" s="10" t="n">
        <x:f>J915*'Assumptions'!$S$41</x:f>
        <x:v>0</x:v>
      </x:c>
      <x:c r="R915" s="10" t="n">
        <x:f>H915*'Assumptions'!$Y$41*'Assumptions'!$Z$41*'Assumptions'!$D$11*(1+'Assumptions'!$D$13)^(8-1)</x:f>
        <x:v>341.63142922752724</x:v>
      </x:c>
      <x:c r="S915" s="10" t="n">
        <x:f>IF(I915=0,0,J915*'Assumptions'!$W$41+H915*'Assumptions'!$X$41)</x:f>
        <x:v>1171.1104253164085</x:v>
      </x:c>
      <x:c r="T915" s="10" t="n">
        <x:f>N915*'Assumptions'!$AA$41</x:f>
        <x:v>1551.999091159354</x:v>
      </x:c>
      <x:c r="U915" s="10" t="n">
        <x:f>'Assumptions'!$AE$41*'Assumptions'!$D$11*(1+'Assumptions'!$D$13)^(8-1)</x:f>
        <x:v>0</x:v>
      </x:c>
      <x:c r="V915" s="10" t="n">
        <x:f>0</x:f>
        <x:v>0</x:v>
      </x:c>
      <x:c r="W915" s="10" t="n">
        <x:f>H915*('Assumptions'!$P$41+'Assumptions'!$Y$41)</x:f>
        <x:v>305.5553766243001</x:v>
      </x:c>
      <x:c r="X915" s="10" t="n">
        <x:f>N915/12*'Assumptions'!$AF$41</x:f>
        <x:v>3233.331439915321</x:v>
      </x:c>
      <x:c r="Y915" s="10" t="n">
        <x:f>P915/12</x:f>
        <x:v>37.959047691947475</x:v>
      </x:c>
      <x:c r="Z915" s="10" t="n">
        <x:f>0</x:f>
        <x:v>0</x:v>
      </x:c>
      <x:c r="AA915" s="10" t="n">
        <x:f>Z915*'Assumptions'!$AC$41*'Assumptions'!$D$11*(1+'Assumptions'!$D$13)^(8-1)</x:f>
        <x:v>0</x:v>
      </x:c>
      <x:c r="AB915" s="10" t="n">
        <x:f>F915/12</x:f>
        <x:v>1.5998616007000006</x:v>
      </x:c>
      <x:c r="AC915" s="10" t="n">
        <x:f>AB915/'Assumptions'!$AM$41</x:f>
        <x:v>7.999308003500003</x:v>
      </x:c>
      <x:c r="AD915" s="10" t="n">
        <x:f>IF(AB915=0,0,T915/AB915)</x:f>
        <x:v>970.0833437594197</x:v>
      </x:c>
      <x:c r="AE915" s="10" t="n">
        <x:f>AA915*'Assumptions'!$D$21</x:f>
        <x:v>0</x:v>
      </x:c>
    </x:row>
    <x:row r="916" ht="16" customHeight="1">
      <x:c r="A916" s="1"/>
      <x:c r="B916" s="1"/>
      <x:c r="C916" s="1" t="str">
        <x:v>DOT-013</x:v>
      </x:c>
      <x:c r="D916" s="10" t="str">
        <x:v>BPA professional services</x:v>
      </x:c>
      <x:c r="E916" s="10" t="n">
        <x:v>8</x:v>
      </x:c>
      <x:c r="F916" s="21" t="n">
        <x:f>F788*(1+'Assumptions'!$M$42)</x:f>
        <x:v>14.398754406300002</x:v>
      </x:c>
      <x:c r="G916" s="21" t="n">
        <x:f>H788*'Assumptions'!$K$42</x:f>
        <x:v>13.379007105000003</x:v>
      </x:c>
      <x:c r="H916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916+G916,NA())</x:f>
        <x:v>27.777761511300007</x:v>
      </x:c>
      <x:c r="I916" s="22" t="n">
        <x:f>'Assumptions'!$H$42*IF('Assumptions'!$O$42=1,1,'Assumptions'!$D$10)*(1+'Assumptions'!$N$42)^(8-1)</x:f>
        <x:v>2160</x:v>
      </x:c>
      <x:c r="J916" s="10" t="n">
        <x:f>H916*I916</x:f>
        <x:v>59999.964864408015</x:v>
      </x:c>
      <x:c r="K916" s="10" t="n">
        <x:f>J916*'Assumptions'!$T$42</x:f>
        <x:v>59999.964864408015</x:v>
      </x:c>
      <x:c r="L916" s="10" t="n">
        <x:f>K916*'Assumptions'!$U$42</x:f>
        <x:v>1799.9989459322403</x:v>
      </x:c>
      <x:c r="M916" s="10" t="n">
        <x:f>K916*'Assumptions'!$V$42</x:f>
        <x:v>0</x:v>
      </x:c>
      <x:c r="N916" s="10" t="n">
        <x:f>K916-L916-M916</x:f>
        <x:v>58199.96591847578</x:v>
      </x:c>
      <x:c r="O916" s="10" t="n">
        <x:f>H916*'Assumptions'!$P$42*'Assumptions'!$Q$42*'Assumptions'!$D$11*(1+'Assumptions'!$D$13)^(8-1)</x:f>
        <x:v>32796.61720584262</x:v>
      </x:c>
      <x:c r="P916" s="10" t="n">
        <x:f>H916*'Assumptions'!$R$42*'Assumptions'!$D$11*(1+'Assumptions'!$D$13)^(8-1)</x:f>
        <x:v>341.63142922752724</x:v>
      </x:c>
      <x:c r="Q916" s="10" t="n">
        <x:f>J916*'Assumptions'!$S$42</x:f>
        <x:v>0</x:v>
      </x:c>
      <x:c r="R916" s="10" t="n">
        <x:f>H916*'Assumptions'!$Y$42*'Assumptions'!$Z$42*'Assumptions'!$D$11*(1+'Assumptions'!$D$13)^(8-1)</x:f>
        <x:v>256.22357192064544</x:v>
      </x:c>
      <x:c r="S916" s="10" t="n">
        <x:f>IF(I916=0,0,J916*'Assumptions'!$W$42+H916*'Assumptions'!$X$42)</x:f>
        <x:v>1748.3323095212227</x:v>
      </x:c>
      <x:c r="T916" s="10" t="n">
        <x:f>N916*'Assumptions'!$AA$42</x:f>
        <x:v>2327.998636739031</x:v>
      </x:c>
      <x:c r="U916" s="10" t="n">
        <x:f>'Assumptions'!$AE$42*'Assumptions'!$D$11*(1+'Assumptions'!$D$13)^(8-1)</x:f>
        <x:v>0</x:v>
      </x:c>
      <x:c r="V916" s="10" t="n">
        <x:f>0</x:f>
        <x:v>0</x:v>
      </x:c>
      <x:c r="W916" s="10" t="n">
        <x:f>H916*('Assumptions'!$P$42+'Assumptions'!$Y$42)</x:f>
        <x:v>451.3886245586251</x:v>
      </x:c>
      <x:c r="X916" s="10" t="n">
        <x:f>N916/12*'Assumptions'!$AF$42</x:f>
        <x:v>4849.997159872982</x:v>
      </x:c>
      <x:c r="Y916" s="10" t="n">
        <x:f>P916/12</x:f>
        <x:v>28.469285768960603</x:v>
      </x:c>
      <x:c r="Z916" s="10" t="n">
        <x:f>0</x:f>
        <x:v>0</x:v>
      </x:c>
      <x:c r="AA916" s="10" t="n">
        <x:f>Z916*'Assumptions'!$AC$42*'Assumptions'!$D$11*(1+'Assumptions'!$D$13)^(8-1)</x:f>
        <x:v>0</x:v>
      </x:c>
      <x:c r="AB916" s="10" t="n">
        <x:f>F916/12</x:f>
        <x:v>1.1998962005250002</x:v>
      </x:c>
      <x:c r="AC916" s="10" t="n">
        <x:f>AB916/'Assumptions'!$AM$42</x:f>
        <x:v>5.999481002625001</x:v>
      </x:c>
      <x:c r="AD916" s="10" t="n">
        <x:f>IF(AB916=0,0,T916/AB916)</x:f>
        <x:v>1940.1666875188396</x:v>
      </x:c>
      <x:c r="AE916" s="10" t="n">
        <x:f>AA916*'Assumptions'!$D$21</x:f>
        <x:v>0</x:v>
      </x:c>
    </x:row>
    <x:row r="917" ht="16" customHeight="1">
      <x:c r="A917" s="1"/>
      <x:c r="B917" s="1"/>
      <x:c r="C917" s="1" t="str">
        <x:v>DOT-014</x:v>
      </x:c>
      <x:c r="D917" s="10" t="str">
        <x:v>BPA professional services</x:v>
      </x:c>
      <x:c r="E917" s="10" t="n">
        <x:v>8</x:v>
      </x:c>
      <x:c r="F917" s="21" t="n">
        <x:f>F789*(1+'Assumptions'!$M$43)</x:f>
        <x:v>9.599169604200004</x:v>
      </x:c>
      <x:c r="G917" s="21" t="n">
        <x:f>H789*'Assumptions'!$K$43</x:f>
        <x:v>8.919338070000002</x:v>
      </x:c>
      <x:c r="H917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917+G917,NA())</x:f>
        <x:v>18.518507674200006</x:v>
      </x:c>
      <x:c r="I917" s="22" t="n">
        <x:f>'Assumptions'!$H$43*IF('Assumptions'!$O$43=1,1,'Assumptions'!$D$10)*(1+'Assumptions'!$N$43)^(8-1)</x:f>
        <x:v>3000</x:v>
      </x:c>
      <x:c r="J917" s="10" t="n">
        <x:f>H917*I917</x:f>
        <x:v>55555.52302260002</x:v>
      </x:c>
      <x:c r="K917" s="10" t="n">
        <x:f>J917*'Assumptions'!$T$43</x:f>
        <x:v>55555.52302260002</x:v>
      </x:c>
      <x:c r="L917" s="10" t="n">
        <x:f>K917*'Assumptions'!$U$43</x:f>
        <x:v>1666.6656906780006</x:v>
      </x:c>
      <x:c r="M917" s="10" t="n">
        <x:f>K917*'Assumptions'!$V$43</x:f>
        <x:v>0</x:v>
      </x:c>
      <x:c r="N917" s="10" t="n">
        <x:f>K917-L917-M917</x:f>
        <x:v>53888.85733192202</x:v>
      </x:c>
      <x:c r="O917" s="10" t="n">
        <x:f>H917*'Assumptions'!$P$43*'Assumptions'!$Q$43*'Assumptions'!$D$11*(1+'Assumptions'!$D$13)^(8-1)</x:f>
        <x:v>27330.51433820218</x:v>
      </x:c>
      <x:c r="P917" s="10" t="n">
        <x:f>H917*'Assumptions'!$R$43*'Assumptions'!$D$11*(1+'Assumptions'!$D$13)^(8-1)</x:f>
        <x:v>227.75428615168485</x:v>
      </x:c>
      <x:c r="Q917" s="10" t="n">
        <x:f>J917*'Assumptions'!$S$43</x:f>
        <x:v>0</x:v>
      </x:c>
      <x:c r="R917" s="10" t="n">
        <x:f>H917*'Assumptions'!$Y$43*'Assumptions'!$Z$43*'Assumptions'!$D$11*(1+'Assumptions'!$D$13)^(8-1)</x:f>
        <x:v>170.81571461376362</x:v>
      </x:c>
      <x:c r="S917" s="10" t="n">
        <x:f>IF(I917=0,0,J917*'Assumptions'!$W$43+H917*'Assumptions'!$X$43)</x:f>
        <x:v>1616.6657199576605</x:v>
      </x:c>
      <x:c r="T917" s="10" t="n">
        <x:f>N917*'Assumptions'!$AA$43</x:f>
        <x:v>2155.554293276881</x:v>
      </x:c>
      <x:c r="U917" s="10" t="n">
        <x:f>'Assumptions'!$AE$43*'Assumptions'!$D$11*(1+'Assumptions'!$D$13)^(8-1)</x:f>
        <x:v>0</x:v>
      </x:c>
      <x:c r="V917" s="10" t="n">
        <x:f>0</x:f>
        <x:v>0</x:v>
      </x:c>
      <x:c r="W917" s="10" t="n">
        <x:f>H917*('Assumptions'!$P$43+'Assumptions'!$Y$43)</x:f>
        <x:v>374.99978040255013</x:v>
      </x:c>
      <x:c r="X917" s="10" t="n">
        <x:f>N917/12*'Assumptions'!$AF$43</x:f>
        <x:v>4490.738110993502</x:v>
      </x:c>
      <x:c r="Y917" s="10" t="n">
        <x:f>P917/12</x:f>
        <x:v>18.979523845973738</x:v>
      </x:c>
      <x:c r="Z917" s="10" t="n">
        <x:f>0</x:f>
        <x:v>0</x:v>
      </x:c>
      <x:c r="AA917" s="10" t="n">
        <x:f>Z917*'Assumptions'!$AC$43*'Assumptions'!$D$11*(1+'Assumptions'!$D$13)^(8-1)</x:f>
        <x:v>0</x:v>
      </x:c>
      <x:c r="AB917" s="10" t="n">
        <x:f>F917/12</x:f>
        <x:v>0.7999308003500003</x:v>
      </x:c>
      <x:c r="AC917" s="10" t="n">
        <x:f>AB917/'Assumptions'!$AM$43</x:f>
        <x:v>3.9996540017500015</x:v>
      </x:c>
      <x:c r="AD917" s="10" t="n">
        <x:f>IF(AB917=0,0,T917/AB917)</x:f>
        <x:v>2694.675954887277</x:v>
      </x:c>
      <x:c r="AE917" s="10" t="n">
        <x:f>AA917*'Assumptions'!$D$21</x:f>
        <x:v>0</x:v>
      </x:c>
    </x:row>
    <x:row r="918" ht="16" customHeight="1">
      <x:c r="A918" s="1"/>
      <x:c r="B918" s="1"/>
      <x:c r="C918" s="1" t="str">
        <x:v>DOT-015</x:v>
      </x:c>
      <x:c r="D918" s="10" t="str">
        <x:v>BPA professional services</x:v>
      </x:c>
      <x:c r="E918" s="10" t="n">
        <x:v>8</x:v>
      </x:c>
      <x:c r="F918" s="21" t="n">
        <x:f>F790*(1+'Assumptions'!$M$44)</x:f>
        <x:v>7.999308003500002</x:v>
      </x:c>
      <x:c r="G918" s="21" t="n">
        <x:f>H790*'Assumptions'!$K$44</x:f>
        <x:v>7.432781725000002</x:v>
      </x:c>
      <x:c r="H918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918+G918,NA())</x:f>
        <x:v>15.432089728500003</x:v>
      </x:c>
      <x:c r="I918" s="22" t="n">
        <x:f>'Assumptions'!$H$44*IF('Assumptions'!$O$44=1,1,'Assumptions'!$D$10)*(1+'Assumptions'!$N$44)^(8-1)</x:f>
        <x:v>1200</x:v>
      </x:c>
      <x:c r="J918" s="10" t="n">
        <x:f>H918*I918</x:f>
        <x:v>18518.507674200002</x:v>
      </x:c>
      <x:c r="K918" s="10" t="n">
        <x:f>J918*'Assumptions'!$T$44</x:f>
        <x:v>18518.507674200002</x:v>
      </x:c>
      <x:c r="L918" s="10" t="n">
        <x:f>K918*'Assumptions'!$U$44</x:f>
        <x:v>555.555230226</x:v>
      </x:c>
      <x:c r="M918" s="10" t="n">
        <x:f>K918*'Assumptions'!$V$44</x:f>
        <x:v>0</x:v>
      </x:c>
      <x:c r="N918" s="10" t="n">
        <x:f>K918-L918-M918</x:f>
        <x:v>17962.952443974</x:v>
      </x:c>
      <x:c r="O918" s="10" t="n">
        <x:f>H918*'Assumptions'!$P$44*'Assumptions'!$Q$44*'Assumptions'!$D$11*(1+'Assumptions'!$D$13)^(8-1)</x:f>
        <x:v>11387.71430758424</x:v>
      </x:c>
      <x:c r="P918" s="10" t="n">
        <x:f>H918*'Assumptions'!$R$44*'Assumptions'!$D$11*(1+'Assumptions'!$D$13)^(8-1)</x:f>
        <x:v>189.79523845973733</x:v>
      </x:c>
      <x:c r="Q918" s="10" t="n">
        <x:f>J918*'Assumptions'!$S$44</x:f>
        <x:v>0</x:v>
      </x:c>
      <x:c r="R918" s="10" t="n">
        <x:f>H918*'Assumptions'!$Y$44*'Assumptions'!$Z$44*'Assumptions'!$D$11*(1+'Assumptions'!$D$13)^(8-1)</x:f>
        <x:v>142.34642884480303</x:v>
      </x:c>
      <x:c r="S918" s="10" t="n">
        <x:f>IF(I918=0,0,J918*'Assumptions'!$W$44+H918*'Assumptions'!$X$44)</x:f>
        <x:v>541.66634947035</x:v>
      </x:c>
      <x:c r="T918" s="10" t="n">
        <x:f>N918*'Assumptions'!$AA$44</x:f>
        <x:v>718.51809775896</x:v>
      </x:c>
      <x:c r="U918" s="10" t="n">
        <x:f>'Assumptions'!$AE$44*'Assumptions'!$D$11*(1+'Assumptions'!$D$13)^(8-1)</x:f>
        <x:v>0</x:v>
      </x:c>
      <x:c r="V918" s="10" t="n">
        <x:f>0</x:f>
        <x:v>0</x:v>
      </x:c>
      <x:c r="W918" s="10" t="n">
        <x:f>H918*('Assumptions'!$P$44+'Assumptions'!$Y$44)</x:f>
        <x:v>158.17891971712504</x:v>
      </x:c>
      <x:c r="X918" s="10" t="n">
        <x:f>N918/12*'Assumptions'!$AF$44</x:f>
        <x:v>1496.9127036645002</x:v>
      </x:c>
      <x:c r="Y918" s="10" t="n">
        <x:f>P918/12</x:f>
        <x:v>15.816269871644778</x:v>
      </x:c>
      <x:c r="Z918" s="10" t="n">
        <x:f>0</x:f>
        <x:v>0</x:v>
      </x:c>
      <x:c r="AA918" s="10" t="n">
        <x:f>Z918*'Assumptions'!$AC$44*'Assumptions'!$D$11*(1+'Assumptions'!$D$13)^(8-1)</x:f>
        <x:v>0</x:v>
      </x:c>
      <x:c r="AB918" s="10" t="n">
        <x:f>F918/1</x:f>
        <x:v>7.999308003500002</x:v>
      </x:c>
      <x:c r="AC918" s="10" t="n">
        <x:f>AB918/'Assumptions'!$AM$44</x:f>
        <x:v>39.99654001750001</x:v>
      </x:c>
      <x:c r="AD918" s="10" t="n">
        <x:f>IF(AB918=0,0,T918/AB918)</x:f>
        <x:v>89.82253182957588</x:v>
      </x:c>
      <x:c r="AE918" s="10" t="n">
        <x:f>AA918*'Assumptions'!$D$21</x:f>
        <x:v>0</x:v>
      </x:c>
    </x:row>
    <x:row r="919" ht="16" customHeight="1">
      <x:c r="A919" s="1"/>
      <x:c r="B919" s="1"/>
      <x:c r="C919" s="1" t="str">
        <x:v>DOT-016</x:v>
      </x:c>
      <x:c r="D919" s="10" t="str">
        <x:v>BPA professional services</x:v>
      </x:c>
      <x:c r="E919" s="10" t="n">
        <x:v>8</x:v>
      </x:c>
      <x:c r="F919" s="21" t="n">
        <x:f>F791*(1+'Assumptions'!$M$45)</x:f>
        <x:v>4.799584802100002</x:v>
      </x:c>
      <x:c r="G919" s="21" t="n">
        <x:f>H791*'Assumptions'!$K$45</x:f>
        <x:v>4.459669035000001</x:v>
      </x:c>
      <x:c r="H919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919+G919,NA())</x:f>
        <x:v>9.259253837100003</x:v>
      </x:c>
      <x:c r="I919" s="22" t="n">
        <x:f>'Assumptions'!$H$45*IF('Assumptions'!$O$45=1,1,'Assumptions'!$D$10)*(1+'Assumptions'!$N$45)^(8-1)</x:f>
        <x:v>1800</x:v>
      </x:c>
      <x:c r="J919" s="10" t="n">
        <x:f>H919*I919</x:f>
        <x:v>16666.656906780005</x:v>
      </x:c>
      <x:c r="K919" s="10" t="n">
        <x:f>J919*'Assumptions'!$T$45</x:f>
        <x:v>16666.656906780005</x:v>
      </x:c>
      <x:c r="L919" s="10" t="n">
        <x:f>K919*'Assumptions'!$U$45</x:f>
        <x:v>499.99970720340013</x:v>
      </x:c>
      <x:c r="M919" s="10" t="n">
        <x:f>K919*'Assumptions'!$V$45</x:f>
        <x:v>0</x:v>
      </x:c>
      <x:c r="N919" s="10" t="n">
        <x:f>K919-L919-M919</x:f>
        <x:v>16166.657199576604</x:v>
      </x:c>
      <x:c r="O919" s="10" t="n">
        <x:f>H919*'Assumptions'!$P$45*'Assumptions'!$Q$45*'Assumptions'!$D$11*(1+'Assumptions'!$D$13)^(8-1)</x:f>
        <x:v>3416.3142922752727</x:v>
      </x:c>
      <x:c r="P919" s="10" t="n">
        <x:f>H919*'Assumptions'!$R$45*'Assumptions'!$D$11*(1+'Assumptions'!$D$13)^(8-1)</x:f>
        <x:v>113.87714307584243</x:v>
      </x:c>
      <x:c r="Q919" s="10" t="n">
        <x:f>J919*'Assumptions'!$S$45</x:f>
        <x:v>0</x:v>
      </x:c>
      <x:c r="R919" s="10" t="n">
        <x:f>H919*'Assumptions'!$Y$45*'Assumptions'!$Z$45*'Assumptions'!$D$11*(1+'Assumptions'!$D$13)^(8-1)</x:f>
        <x:v>85.40785730688181</x:v>
      </x:c>
      <x:c r="S919" s="10" t="n">
        <x:f>IF(I919=0,0,J919*'Assumptions'!$W$45+H919*'Assumptions'!$X$45)</x:f>
        <x:v>486.1108264477502</x:v>
      </x:c>
      <x:c r="T919" s="10" t="n">
        <x:f>N919*'Assumptions'!$AA$45</x:f>
        <x:v>646.6662879830642</x:v>
      </x:c>
      <x:c r="U919" s="10" t="n">
        <x:f>'Assumptions'!$AE$45*'Assumptions'!$D$11*(1+'Assumptions'!$D$13)^(8-1)</x:f>
        <x:v>0</x:v>
      </x:c>
      <x:c r="V919" s="10" t="n">
        <x:f>0</x:f>
        <x:v>0</x:v>
      </x:c>
      <x:c r="W919" s="10" t="n">
        <x:f>H919*('Assumptions'!$P$45+'Assumptions'!$Y$45)</x:f>
        <x:v>48.61108264477502</x:v>
      </x:c>
      <x:c r="X919" s="10" t="n">
        <x:f>N919/12*'Assumptions'!$AF$45</x:f>
        <x:v>1347.2214332980504</x:v>
      </x:c>
      <x:c r="Y919" s="10" t="n">
        <x:f>P919/12</x:f>
        <x:v>9.489761922986869</x:v>
      </x:c>
      <x:c r="Z919" s="10" t="n">
        <x:f>0</x:f>
        <x:v>0</x:v>
      </x:c>
      <x:c r="AA919" s="10" t="n">
        <x:f>Z919*'Assumptions'!$AC$45*'Assumptions'!$D$11*(1+'Assumptions'!$D$13)^(8-1)</x:f>
        <x:v>0</x:v>
      </x:c>
      <x:c r="AB919" s="10" t="n">
        <x:f>F919/1</x:f>
        <x:v>4.799584802100002</x:v>
      </x:c>
      <x:c r="AC919" s="10" t="n">
        <x:f>AB919/'Assumptions'!$AM$45</x:f>
        <x:v>23.997924010500007</x:v>
      </x:c>
      <x:c r="AD919" s="10" t="n">
        <x:f>IF(AB919=0,0,T919/AB919)</x:f>
        <x:v>134.73379774436384</x:v>
      </x:c>
      <x:c r="AE919" s="10" t="n">
        <x:f>AA919*'Assumptions'!$D$21</x:f>
        <x:v>0</x:v>
      </x:c>
    </x:row>
    <x:row r="920" ht="16" customHeight="1">
      <x:c r="A920" s="1"/>
      <x:c r="B920" s="1"/>
      <x:c r="C920" s="1" t="str">
        <x:v>DOT-017</x:v>
      </x:c>
      <x:c r="D920" s="10" t="str">
        <x:v>BPA professional services</x:v>
      </x:c>
      <x:c r="E920" s="10" t="n">
        <x:v>8</x:v>
      </x:c>
      <x:c r="F920" s="21" t="n">
        <x:f>F792*(1+'Assumptions'!$M$46)</x:f>
        <x:v>4.799584802100002</x:v>
      </x:c>
      <x:c r="G920" s="21" t="n">
        <x:f>H792*'Assumptions'!$K$46</x:f>
        <x:v>4.459669035000001</x:v>
      </x:c>
      <x:c r="H920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920+G920,NA())</x:f>
        <x:v>9.259253837100003</x:v>
      </x:c>
      <x:c r="I920" s="22" t="n">
        <x:f>'Assumptions'!$H$46*IF('Assumptions'!$O$46=1,1,'Assumptions'!$D$10)*(1+'Assumptions'!$N$46)^(8-1)</x:f>
        <x:v>1500</x:v>
      </x:c>
      <x:c r="J920" s="10" t="n">
        <x:f>H920*I920</x:f>
        <x:v>13888.880755650005</x:v>
      </x:c>
      <x:c r="K920" s="10" t="n">
        <x:f>J920*'Assumptions'!$T$46</x:f>
        <x:v>13888.880755650005</x:v>
      </x:c>
      <x:c r="L920" s="10" t="n">
        <x:f>K920*'Assumptions'!$U$46</x:f>
        <x:v>416.66642266950015</x:v>
      </x:c>
      <x:c r="M920" s="10" t="n">
        <x:f>K920*'Assumptions'!$V$46</x:f>
        <x:v>0</x:v>
      </x:c>
      <x:c r="N920" s="10" t="n">
        <x:f>K920-L920-M920</x:f>
        <x:v>13472.214332980506</x:v>
      </x:c>
      <x:c r="O920" s="10" t="n">
        <x:f>H920*'Assumptions'!$P$46*'Assumptions'!$Q$46*'Assumptions'!$D$11*(1+'Assumptions'!$D$13)^(8-1)</x:f>
        <x:v>4099.577150730327</x:v>
      </x:c>
      <x:c r="P920" s="10" t="n">
        <x:f>H920*'Assumptions'!$R$46*'Assumptions'!$D$11*(1+'Assumptions'!$D$13)^(8-1)</x:f>
        <x:v>113.87714307584243</x:v>
      </x:c>
      <x:c r="Q920" s="10" t="n">
        <x:f>J920*'Assumptions'!$S$46</x:f>
        <x:v>0</x:v>
      </x:c>
      <x:c r="R920" s="10" t="n">
        <x:f>H920*'Assumptions'!$Y$46*'Assumptions'!$Z$46*'Assumptions'!$D$11*(1+'Assumptions'!$D$13)^(8-1)</x:f>
        <x:v>85.40785730688181</x:v>
      </x:c>
      <x:c r="S920" s="10" t="n">
        <x:f>IF(I920=0,0,J920*'Assumptions'!$W$46+H920*'Assumptions'!$X$46)</x:f>
        <x:v>405.55531806498016</x:v>
      </x:c>
      <x:c r="T920" s="10" t="n">
        <x:f>N920*'Assumptions'!$AA$46</x:f>
        <x:v>538.8885733192202</x:v>
      </x:c>
      <x:c r="U920" s="10" t="n">
        <x:f>'Assumptions'!$AE$46*'Assumptions'!$D$11*(1+'Assumptions'!$D$13)^(8-1)</x:f>
        <x:v>0</x:v>
      </x:c>
      <x:c r="V920" s="10" t="n">
        <x:f>0</x:f>
        <x:v>0</x:v>
      </x:c>
      <x:c r="W920" s="10" t="n">
        <x:f>H920*('Assumptions'!$P$46+'Assumptions'!$Y$46)</x:f>
        <x:v>57.870336481875015</x:v>
      </x:c>
      <x:c r="X920" s="10" t="n">
        <x:f>N920/12*'Assumptions'!$AF$46</x:f>
        <x:v>1122.6845277483756</x:v>
      </x:c>
      <x:c r="Y920" s="10" t="n">
        <x:f>P920/12</x:f>
        <x:v>9.489761922986869</x:v>
      </x:c>
      <x:c r="Z920" s="10" t="n">
        <x:f>0</x:f>
        <x:v>0</x:v>
      </x:c>
      <x:c r="AA920" s="10" t="n">
        <x:f>Z920*'Assumptions'!$AC$46*'Assumptions'!$D$11*(1+'Assumptions'!$D$13)^(8-1)</x:f>
        <x:v>0</x:v>
      </x:c>
      <x:c r="AB920" s="10" t="n">
        <x:f>F920/1</x:f>
        <x:v>4.799584802100002</x:v>
      </x:c>
      <x:c r="AC920" s="10" t="n">
        <x:f>AB920/'Assumptions'!$AM$46</x:f>
        <x:v>23.997924010500007</x:v>
      </x:c>
      <x:c r="AD920" s="10" t="n">
        <x:f>IF(AB920=0,0,T920/AB920)</x:f>
        <x:v>112.27816478696988</x:v>
      </x:c>
      <x:c r="AE920" s="10" t="n">
        <x:f>AA920*'Assumptions'!$D$21</x:f>
        <x:v>0</x:v>
      </x:c>
    </x:row>
    <x:row r="921" ht="16" customHeight="1">
      <x:c r="A921" s="1"/>
      <x:c r="B921" s="1"/>
      <x:c r="C921" s="1" t="str">
        <x:v>DOT-018</x:v>
      </x:c>
      <x:c r="D921" s="10" t="str">
        <x:v>BPA professional services</x:v>
      </x:c>
      <x:c r="E921" s="10" t="n">
        <x:v>8</x:v>
      </x:c>
      <x:c r="F921" s="21" t="n">
        <x:f>F793*(1+'Assumptions'!$M$47)</x:f>
        <x:v>6.399446402800003</x:v>
      </x:c>
      <x:c r="G921" s="21" t="n">
        <x:f>H793*'Assumptions'!$K$47</x:f>
        <x:v>5.946225380000003</x:v>
      </x:c>
      <x:c r="H921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921+G921,NA())</x:f>
        <x:v>12.345671782800007</x:v>
      </x:c>
      <x:c r="I921" s="22" t="n">
        <x:f>'Assumptions'!$H$47*IF('Assumptions'!$O$47=1,1,'Assumptions'!$D$10)*(1+'Assumptions'!$N$47)^(8-1)</x:f>
        <x:v>1200</x:v>
      </x:c>
      <x:c r="J921" s="10" t="n">
        <x:f>H921*I921</x:f>
        <x:v>14814.80613936001</x:v>
      </x:c>
      <x:c r="K921" s="10" t="n">
        <x:f>J921*'Assumptions'!$T$47</x:f>
        <x:v>14814.80613936001</x:v>
      </x:c>
      <x:c r="L921" s="10" t="n">
        <x:f>K921*'Assumptions'!$U$47</x:f>
        <x:v>444.4441841808003</x:v>
      </x:c>
      <x:c r="M921" s="10" t="n">
        <x:f>K921*'Assumptions'!$V$47</x:f>
        <x:v>0</x:v>
      </x:c>
      <x:c r="N921" s="10" t="n">
        <x:f>K921-L921-M921</x:f>
        <x:v>14370.361955179209</x:v>
      </x:c>
      <x:c r="O921" s="10" t="n">
        <x:f>H921*'Assumptions'!$P$47*'Assumptions'!$Q$47*'Assumptions'!$D$11*(1+'Assumptions'!$D$13)^(8-1)</x:f>
        <x:v>3644.0685784269585</x:v>
      </x:c>
      <x:c r="P921" s="10" t="n">
        <x:f>H921*'Assumptions'!$R$47*'Assumptions'!$D$11*(1+'Assumptions'!$D$13)^(8-1)</x:f>
        <x:v>151.83619076778996</x:v>
      </x:c>
      <x:c r="Q921" s="10" t="n">
        <x:f>J921*'Assumptions'!$S$47</x:f>
        <x:v>0</x:v>
      </x:c>
      <x:c r="R921" s="10" t="n">
        <x:f>H921*'Assumptions'!$Y$47*'Assumptions'!$Z$47*'Assumptions'!$D$11*(1+'Assumptions'!$D$13)^(8-1)</x:f>
        <x:v>113.87714307584245</x:v>
      </x:c>
      <x:c r="S921" s="10" t="n">
        <x:f>IF(I921=0,0,J921*'Assumptions'!$W$47+H921*'Assumptions'!$X$47)</x:f>
        <x:v>433.3330795762803</x:v>
      </x:c>
      <x:c r="T921" s="10" t="n">
        <x:f>N921*'Assumptions'!$AA$47</x:f>
        <x:v>574.8144782071683</x:v>
      </x:c>
      <x:c r="U921" s="10" t="n">
        <x:f>'Assumptions'!$AE$47*'Assumptions'!$D$11*(1+'Assumptions'!$D$13)^(8-1)</x:f>
        <x:v>0</x:v>
      </x:c>
      <x:c r="V921" s="10" t="n">
        <x:f>0</x:f>
        <x:v>0</x:v>
      </x:c>
      <x:c r="W921" s="10" t="n">
        <x:f>H921*('Assumptions'!$P$47+'Assumptions'!$Y$47)</x:f>
        <x:v>52.46910507690003</x:v>
      </x:c>
      <x:c r="X921" s="10" t="n">
        <x:f>N921/12*'Assumptions'!$AF$47</x:f>
        <x:v>1197.5301629316007</x:v>
      </x:c>
      <x:c r="Y921" s="10" t="n">
        <x:f>P921/12</x:f>
        <x:v>12.65301589731583</x:v>
      </x:c>
      <x:c r="Z921" s="10" t="n">
        <x:f>0</x:f>
        <x:v>0</x:v>
      </x:c>
      <x:c r="AA921" s="10" t="n">
        <x:f>Z921*'Assumptions'!$AC$47*'Assumptions'!$D$11*(1+'Assumptions'!$D$13)^(8-1)</x:f>
        <x:v>0</x:v>
      </x:c>
      <x:c r="AB921" s="10" t="n">
        <x:f>F921/1</x:f>
        <x:v>6.399446402800003</x:v>
      </x:c>
      <x:c r="AC921" s="10" t="n">
        <x:f>AB921/'Assumptions'!$AM$47</x:f>
        <x:v>31.997232014000016</x:v>
      </x:c>
      <x:c r="AD921" s="10" t="n">
        <x:f>IF(AB921=0,0,T921/AB921)</x:f>
        <x:v>89.82253182957591</x:v>
      </x:c>
      <x:c r="AE921" s="10" t="n">
        <x:f>AA921*'Assumptions'!$D$21</x:f>
        <x:v>0</x:v>
      </x:c>
    </x:row>
    <x:row r="922" ht="16" customHeight="1">
      <x:c r="A922" s="1"/>
      <x:c r="B922" s="1"/>
      <x:c r="C922" s="1" t="str">
        <x:v>DOT-019</x:v>
      </x:c>
      <x:c r="D922" s="10" t="str">
        <x:v>BPA professional services</x:v>
      </x:c>
      <x:c r="E922" s="10" t="n">
        <x:v>8</x:v>
      </x:c>
      <x:c r="F922" s="21" t="n">
        <x:f>F794*(1+'Assumptions'!$M$48)</x:f>
        <x:v>3.1997232014000017</x:v>
      </x:c>
      <x:c r="G922" s="21" t="n">
        <x:f>H794*'Assumptions'!$K$48</x:f>
        <x:v>2.9731126900000016</x:v>
      </x:c>
      <x:c r="H922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922+G922,NA())</x:f>
        <x:v>6.172835891400004</x:v>
      </x:c>
      <x:c r="I922" s="22" t="n">
        <x:f>'Assumptions'!$H$48*IF('Assumptions'!$O$48=1,1,'Assumptions'!$D$10)*(1+'Assumptions'!$N$48)^(8-1)</x:f>
        <x:v>3000</x:v>
      </x:c>
      <x:c r="J922" s="10" t="n">
        <x:f>H922*I922</x:f>
        <x:v>18518.50767420001</x:v>
      </x:c>
      <x:c r="K922" s="10" t="n">
        <x:f>J922*'Assumptions'!$T$48</x:f>
        <x:v>18518.50767420001</x:v>
      </x:c>
      <x:c r="L922" s="10" t="n">
        <x:f>K922*'Assumptions'!$U$48</x:f>
        <x:v>555.5552302260003</x:v>
      </x:c>
      <x:c r="M922" s="10" t="n">
        <x:f>K922*'Assumptions'!$V$48</x:f>
        <x:v>0</x:v>
      </x:c>
      <x:c r="N922" s="10" t="n">
        <x:f>K922-L922-M922</x:f>
        <x:v>17962.95244397401</x:v>
      </x:c>
      <x:c r="O922" s="10" t="n">
        <x:f>H922*'Assumptions'!$P$48*'Assumptions'!$Q$48*'Assumptions'!$D$11*(1+'Assumptions'!$D$13)^(8-1)</x:f>
        <x:v>5466.102867640438</x:v>
      </x:c>
      <x:c r="P922" s="10" t="n">
        <x:f>H922*'Assumptions'!$R$48*'Assumptions'!$D$11*(1+'Assumptions'!$D$13)^(8-1)</x:f>
        <x:v>75.91809538389498</x:v>
      </x:c>
      <x:c r="Q922" s="10" t="n">
        <x:f>J922*'Assumptions'!$S$48</x:f>
        <x:v>0</x:v>
      </x:c>
      <x:c r="R922" s="10" t="n">
        <x:f>H922*'Assumptions'!$Y$48*'Assumptions'!$Z$48*'Assumptions'!$D$11*(1+'Assumptions'!$D$13)^(8-1)</x:f>
        <x:v>56.93857153792123</x:v>
      </x:c>
      <x:c r="S922" s="10" t="n">
        <x:f>IF(I922=0,0,J922*'Assumptions'!$W$48+H922*'Assumptions'!$X$48)</x:f>
        <x:v>538.8885733192203</x:v>
      </x:c>
      <x:c r="T922" s="10" t="n">
        <x:f>N922*'Assumptions'!$AA$48</x:f>
        <x:v>718.5180977589604</x:v>
      </x:c>
      <x:c r="U922" s="10" t="n">
        <x:f>'Assumptions'!$AE$48*'Assumptions'!$D$11*(1+'Assumptions'!$D$13)^(8-1)</x:f>
        <x:v>0</x:v>
      </x:c>
      <x:c r="V922" s="10" t="n">
        <x:f>0</x:f>
        <x:v>0</x:v>
      </x:c>
      <x:c r="W922" s="10" t="n">
        <x:f>H922*('Assumptions'!$P$48+'Assumptions'!$Y$48)</x:f>
        <x:v>75.61723966965005</x:v>
      </x:c>
      <x:c r="X922" s="10" t="n">
        <x:f>N922/12*'Assumptions'!$AF$48</x:f>
        <x:v>1496.9127036645007</x:v>
      </x:c>
      <x:c r="Y922" s="10" t="n">
        <x:f>P922/12</x:f>
        <x:v>6.326507948657915</x:v>
      </x:c>
      <x:c r="Z922" s="10" t="n">
        <x:f>0</x:f>
        <x:v>0</x:v>
      </x:c>
      <x:c r="AA922" s="10" t="n">
        <x:f>Z922*'Assumptions'!$AC$48*'Assumptions'!$D$11*(1+'Assumptions'!$D$13)^(8-1)</x:f>
        <x:v>0</x:v>
      </x:c>
      <x:c r="AB922" s="10" t="n">
        <x:f>F922/1</x:f>
        <x:v>3.1997232014000017</x:v>
      </x:c>
      <x:c r="AC922" s="10" t="n">
        <x:f>AB922/'Assumptions'!$AM$48</x:f>
        <x:v>15.998616007000008</x:v>
      </x:c>
      <x:c r="AD922" s="10" t="n">
        <x:f>IF(AB922=0,0,T922/AB922)</x:f>
        <x:v>224.55632957393976</x:v>
      </x:c>
      <x:c r="AE922" s="10" t="n">
        <x:f>AA922*'Assumptions'!$D$21</x:f>
        <x:v>0</x:v>
      </x:c>
    </x:row>
    <x:row r="923" ht="16" customHeight="1">
      <x:c r="A923" s="1"/>
      <x:c r="B923" s="1"/>
      <x:c r="C923" s="1" t="str">
        <x:v>DOT-020</x:v>
      </x:c>
      <x:c r="D923" s="10" t="str">
        <x:v>BPA professional services</x:v>
      </x:c>
      <x:c r="E923" s="10" t="n">
        <x:v>8</x:v>
      </x:c>
      <x:c r="F923" s="21" t="n">
        <x:f>F795*(1+'Assumptions'!$M$49)</x:f>
        <x:v>4.799584802100002</x:v>
      </x:c>
      <x:c r="G923" s="21" t="n">
        <x:f>H795*'Assumptions'!$K$49</x:f>
        <x:v>4.459669035000001</x:v>
      </x:c>
      <x:c r="H923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923+G923,NA())</x:f>
        <x:v>9.259253837100003</x:v>
      </x:c>
      <x:c r="I923" s="22" t="n">
        <x:f>'Assumptions'!$H$49*IF('Assumptions'!$O$49=1,1,'Assumptions'!$D$10)*(1+'Assumptions'!$N$49)^(8-1)</x:f>
        <x:v>1800</x:v>
      </x:c>
      <x:c r="J923" s="10" t="n">
        <x:f>H923*I923</x:f>
        <x:v>16666.656906780005</x:v>
      </x:c>
      <x:c r="K923" s="10" t="n">
        <x:f>J923*'Assumptions'!$T$49</x:f>
        <x:v>16666.656906780005</x:v>
      </x:c>
      <x:c r="L923" s="10" t="n">
        <x:f>K923*'Assumptions'!$U$49</x:f>
        <x:v>499.99970720340013</x:v>
      </x:c>
      <x:c r="M923" s="10" t="n">
        <x:f>K923*'Assumptions'!$V$49</x:f>
        <x:v>0</x:v>
      </x:c>
      <x:c r="N923" s="10" t="n">
        <x:f>K923-L923-M923</x:f>
        <x:v>16166.657199576604</x:v>
      </x:c>
      <x:c r="O923" s="10" t="n">
        <x:f>H923*'Assumptions'!$P$49*'Assumptions'!$Q$49*'Assumptions'!$D$11*(1+'Assumptions'!$D$13)^(8-1)</x:f>
        <x:v>4099.577150730327</x:v>
      </x:c>
      <x:c r="P923" s="10" t="n">
        <x:f>H923*'Assumptions'!$R$49*'Assumptions'!$D$11*(1+'Assumptions'!$D$13)^(8-1)</x:f>
        <x:v>113.87714307584243</x:v>
      </x:c>
      <x:c r="Q923" s="10" t="n">
        <x:f>J923*'Assumptions'!$S$49</x:f>
        <x:v>0</x:v>
      </x:c>
      <x:c r="R923" s="10" t="n">
        <x:f>H923*'Assumptions'!$Y$49*'Assumptions'!$Z$49*'Assumptions'!$D$11*(1+'Assumptions'!$D$13)^(8-1)</x:f>
        <x:v>85.40785730688181</x:v>
      </x:c>
      <x:c r="S923" s="10" t="n">
        <x:f>IF(I923=0,0,J923*'Assumptions'!$W$49+H923*'Assumptions'!$X$49)</x:f>
        <x:v>486.1108264477502</x:v>
      </x:c>
      <x:c r="T923" s="10" t="n">
        <x:f>N923*'Assumptions'!$AA$49</x:f>
        <x:v>646.6662879830642</x:v>
      </x:c>
      <x:c r="U923" s="10" t="n">
        <x:f>'Assumptions'!$AE$49*'Assumptions'!$D$11*(1+'Assumptions'!$D$13)^(8-1)</x:f>
        <x:v>0</x:v>
      </x:c>
      <x:c r="V923" s="10" t="n">
        <x:f>0</x:f>
        <x:v>0</x:v>
      </x:c>
      <x:c r="W923" s="10" t="n">
        <x:f>H923*('Assumptions'!$P$49+'Assumptions'!$Y$49)</x:f>
        <x:v>57.870336481875015</x:v>
      </x:c>
      <x:c r="X923" s="10" t="n">
        <x:f>N923/12*'Assumptions'!$AF$49</x:f>
        <x:v>1347.2214332980504</x:v>
      </x:c>
      <x:c r="Y923" s="10" t="n">
        <x:f>P923/12</x:f>
        <x:v>9.489761922986869</x:v>
      </x:c>
      <x:c r="Z923" s="10" t="n">
        <x:f>0</x:f>
        <x:v>0</x:v>
      </x:c>
      <x:c r="AA923" s="10" t="n">
        <x:f>Z923*'Assumptions'!$AC$49*'Assumptions'!$D$11*(1+'Assumptions'!$D$13)^(8-1)</x:f>
        <x:v>0</x:v>
      </x:c>
      <x:c r="AB923" s="10" t="n">
        <x:f>F923/1</x:f>
        <x:v>4.799584802100002</x:v>
      </x:c>
      <x:c r="AC923" s="10" t="n">
        <x:f>AB923/'Assumptions'!$AM$49</x:f>
        <x:v>23.997924010500007</x:v>
      </x:c>
      <x:c r="AD923" s="10" t="n">
        <x:f>IF(AB923=0,0,T923/AB923)</x:f>
        <x:v>134.73379774436384</x:v>
      </x:c>
      <x:c r="AE923" s="10" t="n">
        <x:f>AA923*'Assumptions'!$D$21</x:f>
        <x:v>0</x:v>
      </x:c>
    </x:row>
    <x:row r="924" ht="16" customHeight="1">
      <x:c r="A924" s="1"/>
      <x:c r="B924" s="1"/>
      <x:c r="C924" s="1" t="str">
        <x:v>DOT-021</x:v>
      </x:c>
      <x:c r="D924" s="10" t="str">
        <x:v>BPA professional services</x:v>
      </x:c>
      <x:c r="E924" s="10" t="n">
        <x:v>8</x:v>
      </x:c>
      <x:c r="F924" s="21" t="n">
        <x:f>F796*(1+'Assumptions'!$M$50)</x:f>
        <x:v>3.1997232014000017</x:v>
      </x:c>
      <x:c r="G924" s="21" t="n">
        <x:f>H796*'Assumptions'!$K$50</x:f>
        <x:v>2.9731126900000016</x:v>
      </x:c>
      <x:c r="H924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924+G924,NA())</x:f>
        <x:v>6.172835891400004</x:v>
      </x:c>
      <x:c r="I924" s="22" t="n">
        <x:f>'Assumptions'!$H$50*IF('Assumptions'!$O$50=1,1,'Assumptions'!$D$10)*(1+'Assumptions'!$N$50)^(8-1)</x:f>
        <x:v>4200</x:v>
      </x:c>
      <x:c r="J924" s="10" t="n">
        <x:f>H924*I924</x:f>
        <x:v>25925.910743880017</x:v>
      </x:c>
      <x:c r="K924" s="10" t="n">
        <x:f>J924*'Assumptions'!$T$50</x:f>
        <x:v>25925.910743880017</x:v>
      </x:c>
      <x:c r="L924" s="10" t="n">
        <x:f>K924*'Assumptions'!$U$50</x:f>
        <x:v>777.7773223164005</x:v>
      </x:c>
      <x:c r="M924" s="10" t="n">
        <x:f>K924*'Assumptions'!$V$50</x:f>
        <x:v>0</x:v>
      </x:c>
      <x:c r="N924" s="10" t="n">
        <x:f>K924-L924-M924</x:f>
        <x:v>25148.133421563616</x:v>
      </x:c>
      <x:c r="O924" s="10" t="n">
        <x:f>H924*'Assumptions'!$P$50*'Assumptions'!$Q$50*'Assumptions'!$D$11*(1+'Assumptions'!$D$13)^(8-1)</x:f>
        <x:v>5466.102867640438</x:v>
      </x:c>
      <x:c r="P924" s="10" t="n">
        <x:f>H924*'Assumptions'!$R$50*'Assumptions'!$D$11*(1+'Assumptions'!$D$13)^(8-1)</x:f>
        <x:v>75.91809538389498</x:v>
      </x:c>
      <x:c r="Q924" s="10" t="n">
        <x:f>J924*'Assumptions'!$S$50</x:f>
        <x:v>0</x:v>
      </x:c>
      <x:c r="R924" s="10" t="n">
        <x:f>H924*'Assumptions'!$Y$50*'Assumptions'!$Z$50*'Assumptions'!$D$11*(1+'Assumptions'!$D$13)^(8-1)</x:f>
        <x:v>56.93857153792123</x:v>
      </x:c>
      <x:c r="S924" s="10" t="n">
        <x:f>IF(I924=0,0,J924*'Assumptions'!$W$50+H924*'Assumptions'!$X$50)</x:f>
        <x:v>753.7032623399406</x:v>
      </x:c>
      <x:c r="T924" s="10" t="n">
        <x:f>N924*'Assumptions'!$AA$50</x:f>
        <x:v>1005.9253368625447</x:v>
      </x:c>
      <x:c r="U924" s="10" t="n">
        <x:f>'Assumptions'!$AE$50*'Assumptions'!$D$11*(1+'Assumptions'!$D$13)^(8-1)</x:f>
        <x:v>0</x:v>
      </x:c>
      <x:c r="V924" s="10" t="n">
        <x:f>0</x:f>
        <x:v>0</x:v>
      </x:c>
      <x:c r="W924" s="10" t="n">
        <x:f>H924*('Assumptions'!$P$50+'Assumptions'!$Y$50)</x:f>
        <x:v>75.61723966965005</x:v>
      </x:c>
      <x:c r="X924" s="10" t="n">
        <x:f>N924/12*'Assumptions'!$AF$50</x:f>
        <x:v>2095.6777851303013</x:v>
      </x:c>
      <x:c r="Y924" s="10" t="n">
        <x:f>P924/12</x:f>
        <x:v>6.326507948657915</x:v>
      </x:c>
      <x:c r="Z924" s="10" t="n">
        <x:f>0</x:f>
        <x:v>0</x:v>
      </x:c>
      <x:c r="AA924" s="10" t="n">
        <x:f>Z924*'Assumptions'!$AC$50*'Assumptions'!$D$11*(1+'Assumptions'!$D$13)^(8-1)</x:f>
        <x:v>0</x:v>
      </x:c>
      <x:c r="AB924" s="10" t="n">
        <x:f>F924/1</x:f>
        <x:v>3.1997232014000017</x:v>
      </x:c>
      <x:c r="AC924" s="10" t="n">
        <x:f>AB924/'Assumptions'!$AM$50</x:f>
        <x:v>15.998616007000008</x:v>
      </x:c>
      <x:c r="AD924" s="10" t="n">
        <x:f>IF(AB924=0,0,T924/AB924)</x:f>
        <x:v>314.3788614035157</x:v>
      </x:c>
      <x:c r="AE924" s="10" t="n">
        <x:f>AA924*'Assumptions'!$D$21</x:f>
        <x:v>0</x:v>
      </x:c>
    </x:row>
    <x:row r="925" ht="16" customHeight="1">
      <x:c r="A925" s="1"/>
      <x:c r="B925" s="1"/>
      <x:c r="C925" s="1" t="str">
        <x:v>DOT-022</x:v>
      </x:c>
      <x:c r="D925" s="10" t="str">
        <x:v>BPA professional services</x:v>
      </x:c>
      <x:c r="E925" s="10" t="n">
        <x:v>8</x:v>
      </x:c>
      <x:c r="F925" s="21" t="n">
        <x:f>F797*(1+'Assumptions'!$M$51)</x:f>
        <x:v>12.798892805600007</x:v>
      </x:c>
      <x:c r="G925" s="21" t="n">
        <x:f>H797*'Assumptions'!$K$51</x:f>
        <x:v>11.892450760000006</x:v>
      </x:c>
      <x:c r="H925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925+G925,NA())</x:f>
        <x:v>24.691343565600015</x:v>
      </x:c>
      <x:c r="I925" s="22" t="n">
        <x:f>'Assumptions'!$H$51*IF('Assumptions'!$O$51=1,1,'Assumptions'!$D$10)*(1+'Assumptions'!$N$51)^(8-1)</x:f>
        <x:v>900</x:v>
      </x:c>
      <x:c r="J925" s="10" t="n">
        <x:f>H925*I925</x:f>
        <x:v>22222.209209040015</x:v>
      </x:c>
      <x:c r="K925" s="10" t="n">
        <x:f>J925*'Assumptions'!$T$51</x:f>
        <x:v>22222.209209040015</x:v>
      </x:c>
      <x:c r="L925" s="10" t="n">
        <x:f>K925*'Assumptions'!$U$51</x:f>
        <x:v>666.6662762712004</x:v>
      </x:c>
      <x:c r="M925" s="10" t="n">
        <x:f>K925*'Assumptions'!$V$51</x:f>
        <x:v>0</x:v>
      </x:c>
      <x:c r="N925" s="10" t="n">
        <x:f>K925-L925-M925</x:f>
        <x:v>21555.542932768814</x:v>
      </x:c>
      <x:c r="O925" s="10" t="n">
        <x:f>H925*'Assumptions'!$P$51*'Assumptions'!$Q$51*'Assumptions'!$D$11*(1+'Assumptions'!$D$13)^(8-1)</x:f>
        <x:v>5466.102867640438</x:v>
      </x:c>
      <x:c r="P925" s="10" t="n">
        <x:f>H925*'Assumptions'!$R$51*'Assumptions'!$D$11*(1+'Assumptions'!$D$13)^(8-1)</x:f>
        <x:v>303.6723815355799</x:v>
      </x:c>
      <x:c r="Q925" s="10" t="n">
        <x:f>J925*'Assumptions'!$S$51</x:f>
        <x:v>0</x:v>
      </x:c>
      <x:c r="R925" s="10" t="n">
        <x:f>H925*'Assumptions'!$Y$51*'Assumptions'!$Z$51*'Assumptions'!$D$11*(1+'Assumptions'!$D$13)^(8-1)</x:f>
        <x:v>227.7542861516849</x:v>
      </x:c>
      <x:c r="S925" s="10" t="n">
        <x:f>IF(I925=0,0,J925*'Assumptions'!$W$51+H925*'Assumptions'!$X$51)</x:f>
        <x:v>651.8514701318404</x:v>
      </x:c>
      <x:c r="T925" s="10" t="n">
        <x:f>N925*'Assumptions'!$AA$51</x:f>
        <x:v>862.2217173107526</x:v>
      </x:c>
      <x:c r="U925" s="10" t="n">
        <x:f>'Assumptions'!$AE$51*'Assumptions'!$D$11*(1+'Assumptions'!$D$13)^(8-1)</x:f>
        <x:v>0</x:v>
      </x:c>
      <x:c r="V925" s="10" t="n">
        <x:f>0</x:f>
        <x:v>0</x:v>
      </x:c>
      <x:c r="W925" s="10" t="n">
        <x:f>H925*('Assumptions'!$P$51+'Assumptions'!$Y$51)</x:f>
        <x:v>80.24686658820005</x:v>
      </x:c>
      <x:c r="X925" s="10" t="n">
        <x:f>N925/12*'Assumptions'!$AF$51</x:f>
        <x:v>1796.2952443974011</x:v>
      </x:c>
      <x:c r="Y925" s="10" t="n">
        <x:f>P925/12</x:f>
        <x:v>25.30603179463166</x:v>
      </x:c>
      <x:c r="Z925" s="10" t="n">
        <x:f>0</x:f>
        <x:v>0</x:v>
      </x:c>
      <x:c r="AA925" s="10" t="n">
        <x:f>Z925*'Assumptions'!$AC$51*'Assumptions'!$D$11*(1+'Assumptions'!$D$13)^(8-1)</x:f>
        <x:v>0</x:v>
      </x:c>
      <x:c r="AB925" s="10" t="n">
        <x:f>F925/1</x:f>
        <x:v>12.798892805600007</x:v>
      </x:c>
      <x:c r="AC925" s="10" t="n">
        <x:f>AB925/'Assumptions'!$AM$51</x:f>
        <x:v>63.99446402800003</x:v>
      </x:c>
      <x:c r="AD925" s="10" t="n">
        <x:f>IF(AB925=0,0,T925/AB925)</x:f>
        <x:v>67.36689887218193</x:v>
      </x:c>
      <x:c r="AE925" s="10" t="n">
        <x:f>AA925*'Assumptions'!$D$21</x:f>
        <x:v>0</x:v>
      </x:c>
    </x:row>
    <x:row r="926" ht="16" customHeight="1">
      <x:c r="A926" s="1"/>
      <x:c r="B926" s="1"/>
      <x:c r="C926" s="1" t="str">
        <x:v>DOT-023</x:v>
      </x:c>
      <x:c r="D926" s="10" t="str">
        <x:v>BPA professional services</x:v>
      </x:c>
      <x:c r="E926" s="10" t="n">
        <x:v>8</x:v>
      </x:c>
      <x:c r="F926" s="21" t="n">
        <x:f>F798*(1+'Assumptions'!$M$52)</x:f>
        <x:v>7.999308003500002</x:v>
      </x:c>
      <x:c r="G926" s="21" t="n">
        <x:f>H798*'Assumptions'!$K$52</x:f>
        <x:v>7.432781725000002</x:v>
      </x:c>
      <x:c r="H926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926+G926,NA())</x:f>
        <x:v>15.432089728500003</x:v>
      </x:c>
      <x:c r="I926" s="22" t="n">
        <x:f>'Assumptions'!$H$52*IF('Assumptions'!$O$52=1,1,'Assumptions'!$D$10)*(1+'Assumptions'!$N$52)^(8-1)</x:f>
        <x:v>1800</x:v>
      </x:c>
      <x:c r="J926" s="10" t="n">
        <x:f>H926*I926</x:f>
        <x:v>27777.761511300007</x:v>
      </x:c>
      <x:c r="K926" s="10" t="n">
        <x:f>J926*'Assumptions'!$T$52</x:f>
        <x:v>27777.761511300007</x:v>
      </x:c>
      <x:c r="L926" s="10" t="n">
        <x:f>K926*'Assumptions'!$U$52</x:f>
        <x:v>833.3328453390002</x:v>
      </x:c>
      <x:c r="M926" s="10" t="n">
        <x:f>K926*'Assumptions'!$V$52</x:f>
        <x:v>0</x:v>
      </x:c>
      <x:c r="N926" s="10" t="n">
        <x:f>K926-L926-M926</x:f>
        <x:v>26944.428665961008</x:v>
      </x:c>
      <x:c r="O926" s="10" t="n">
        <x:f>H926*'Assumptions'!$P$52*'Assumptions'!$Q$52*'Assumptions'!$D$11*(1+'Assumptions'!$D$13)^(8-1)</x:f>
        <x:v>6832.6285845505445</x:v>
      </x:c>
      <x:c r="P926" s="10" t="n">
        <x:f>H926*'Assumptions'!$R$52*'Assumptions'!$D$11*(1+'Assumptions'!$D$13)^(8-1)</x:f>
        <x:v>189.79523845973733</x:v>
      </x:c>
      <x:c r="Q926" s="10" t="n">
        <x:f>J926*'Assumptions'!$S$52</x:f>
        <x:v>0</x:v>
      </x:c>
      <x:c r="R926" s="10" t="n">
        <x:f>H926*'Assumptions'!$Y$52*'Assumptions'!$Z$52*'Assumptions'!$D$11*(1+'Assumptions'!$D$13)^(8-1)</x:f>
        <x:v>142.34642884480303</x:v>
      </x:c>
      <x:c r="S926" s="10" t="n">
        <x:f>IF(I926=0,0,J926*'Assumptions'!$W$52+H926*'Assumptions'!$X$52)</x:f>
        <x:v>810.1847107462503</x:v>
      </x:c>
      <x:c r="T926" s="10" t="n">
        <x:f>N926*'Assumptions'!$AA$52</x:f>
        <x:v>1077.7771466384404</x:v>
      </x:c>
      <x:c r="U926" s="10" t="n">
        <x:f>'Assumptions'!$AE$52*'Assumptions'!$D$11*(1+'Assumptions'!$D$13)^(8-1)</x:f>
        <x:v>0</x:v>
      </x:c>
      <x:c r="V926" s="10" t="n">
        <x:f>0</x:f>
        <x:v>0</x:v>
      </x:c>
      <x:c r="W926" s="10" t="n">
        <x:f>H926*('Assumptions'!$P$52+'Assumptions'!$Y$52)</x:f>
        <x:v>96.45056080312501</x:v>
      </x:c>
      <x:c r="X926" s="10" t="n">
        <x:f>N926/12*'Assumptions'!$AF$52</x:f>
        <x:v>2245.3690554967507</x:v>
      </x:c>
      <x:c r="Y926" s="10" t="n">
        <x:f>P926/12</x:f>
        <x:v>15.816269871644778</x:v>
      </x:c>
      <x:c r="Z926" s="10" t="n">
        <x:f>0</x:f>
        <x:v>0</x:v>
      </x:c>
      <x:c r="AA926" s="10" t="n">
        <x:f>Z926*'Assumptions'!$AC$52*'Assumptions'!$D$11*(1+'Assumptions'!$D$13)^(8-1)</x:f>
        <x:v>0</x:v>
      </x:c>
      <x:c r="AB926" s="10" t="n">
        <x:f>F926/1</x:f>
        <x:v>7.999308003500002</x:v>
      </x:c>
      <x:c r="AC926" s="10" t="n">
        <x:f>AB926/'Assumptions'!$AM$52</x:f>
        <x:v>39.99654001750001</x:v>
      </x:c>
      <x:c r="AD926" s="10" t="n">
        <x:f>IF(AB926=0,0,T926/AB926)</x:f>
        <x:v>134.73379774436387</x:v>
      </x:c>
      <x:c r="AE926" s="10" t="n">
        <x:f>AA926*'Assumptions'!$D$21</x:f>
        <x:v>0</x:v>
      </x:c>
    </x:row>
    <x:row r="927" ht="16" customHeight="1">
      <x:c r="A927" s="1"/>
      <x:c r="B927" s="1"/>
      <x:c r="C927" s="1" t="str">
        <x:v>DOT-024</x:v>
      </x:c>
      <x:c r="D927" s="10" t="str">
        <x:v>BPA professional services</x:v>
      </x:c>
      <x:c r="E927" s="10" t="n">
        <x:v>8</x:v>
      </x:c>
      <x:c r="F927" s="21" t="n">
        <x:f>F799*(1+'Assumptions'!$M$53)</x:f>
        <x:v>39.996540017500024</x:v>
      </x:c>
      <x:c r="G927" s="21" t="n">
        <x:f>H799*'Assumptions'!$K$53</x:f>
        <x:v>37.06625237500002</x:v>
      </x:c>
      <x:c r="H927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927+G927,NA())</x:f>
        <x:v>77.06279239250004</x:v>
      </x:c>
      <x:c r="I927" s="22" t="n">
        <x:f>'Assumptions'!$H$53*IF('Assumptions'!$O$53=1,1,'Assumptions'!$D$10)*(1+'Assumptions'!$N$53)^(8-1)</x:f>
        <x:v>540</x:v>
      </x:c>
      <x:c r="J927" s="10" t="n">
        <x:f>H927*I927</x:f>
        <x:v>41613.907891950024</x:v>
      </x:c>
      <x:c r="K927" s="10" t="n">
        <x:f>J927*'Assumptions'!$T$53</x:f>
        <x:v>41613.907891950024</x:v>
      </x:c>
      <x:c r="L927" s="10" t="n">
        <x:f>K927*'Assumptions'!$U$53</x:f>
        <x:v>1248.4172367585006</x:v>
      </x:c>
      <x:c r="M927" s="10" t="n">
        <x:f>K927*'Assumptions'!$V$53</x:f>
        <x:v>0</x:v>
      </x:c>
      <x:c r="N927" s="10" t="n">
        <x:f>K927-L927-M927</x:f>
        <x:v>40365.49065519153</x:v>
      </x:c>
      <x:c r="O927" s="10" t="n">
        <x:f>H927*'Assumptions'!$P$53*'Assumptions'!$Q$53*'Assumptions'!$D$11*(1+'Assumptions'!$D$13)^(8-1)</x:f>
        <x:v>11373.301723223796</x:v>
      </x:c>
      <x:c r="P927" s="10" t="n">
        <x:f>H927*'Assumptions'!$R$53*'Assumptions'!$D$11*(1+'Assumptions'!$D$13)^(8-1)</x:f>
        <x:v>947.7751436019831</x:v>
      </x:c>
      <x:c r="Q927" s="10" t="n">
        <x:f>J927*'Assumptions'!$S$53</x:f>
        <x:v>0</x:v>
      </x:c>
      <x:c r="R927" s="10" t="n">
        <x:f>H927*'Assumptions'!$Y$53*'Assumptions'!$Z$53*'Assumptions'!$D$11*(1+'Assumptions'!$D$13)^(8-1)</x:f>
        <x:v>710.8313577014873</x:v>
      </x:c>
      <x:c r="S927" s="10" t="n">
        <x:f>IF(I927=0,0,J927*'Assumptions'!$W$53+H927*'Assumptions'!$X$53)</x:f>
        <x:v>1229.9221665843008</x:v>
      </x:c>
      <x:c r="T927" s="10" t="n">
        <x:f>N927*'Assumptions'!$AA$53</x:f>
        <x:v>1614.619626207661</x:v>
      </x:c>
      <x:c r="U927" s="10" t="n">
        <x:f>'Assumptions'!$AE$53*'Assumptions'!$D$11*(1+'Assumptions'!$D$13)^(8-1)</x:f>
        <x:v>0</x:v>
      </x:c>
      <x:c r="V927" s="10" t="n">
        <x:f>0</x:f>
        <x:v>0</x:v>
      </x:c>
      <x:c r="W927" s="10" t="n">
        <x:f>H927*('Assumptions'!$P$53+'Assumptions'!$Y$53)</x:f>
        <x:v>173.3912828831251</x:v>
      </x:c>
      <x:c r="X927" s="10" t="n">
        <x:f>N927/12*'Assumptions'!$AF$53</x:f>
        <x:v>3363.7908879326274</x:v>
      </x:c>
      <x:c r="Y927" s="10" t="n">
        <x:f>P927/12</x:f>
        <x:v>78.98126196683192</x:v>
      </x:c>
      <x:c r="Z927" s="10" t="n">
        <x:f>0</x:f>
        <x:v>0</x:v>
      </x:c>
      <x:c r="AA927" s="10" t="n">
        <x:f>Z927*'Assumptions'!$AC$53*'Assumptions'!$D$11*(1+'Assumptions'!$D$13)^(8-1)</x:f>
        <x:v>0</x:v>
      </x:c>
      <x:c r="AB927" s="10" t="n">
        <x:f>F927/1</x:f>
        <x:v>39.996540017500024</x:v>
      </x:c>
      <x:c r="AC927" s="10" t="n">
        <x:f>AB927/'Assumptions'!$AM$53</x:f>
        <x:v>199.98270008750012</x:v>
      </x:c>
      <x:c r="AD927" s="10" t="n">
        <x:f>IF(AB927=0,0,T927/AB927)</x:f>
        <x:v>40.36898255452104</x:v>
      </x:c>
      <x:c r="AE927" s="10" t="n">
        <x:f>AA927*'Assumptions'!$D$21</x:f>
        <x:v>0</x:v>
      </x:c>
    </x:row>
    <x:row r="928" ht="16" customHeight="1">
      <x:c r="A928" s="1"/>
      <x:c r="B928" s="1"/>
      <x:c r="C928" s="1" t="str">
        <x:v>DOT-025</x:v>
      </x:c>
      <x:c r="D928" s="10" t="str">
        <x:v>BPA professional services</x:v>
      </x:c>
      <x:c r="E928" s="10" t="n">
        <x:v>8</x:v>
      </x:c>
      <x:c r="F928" s="21" t="n">
        <x:f>F800*(1+'Assumptions'!$M$54)</x:f>
        <x:v>15.998616007000004</x:v>
      </x:c>
      <x:c r="G928" s="21" t="n">
        <x:f>H800*'Assumptions'!$K$54</x:f>
        <x:v>14.826500950000003</x:v>
      </x:c>
      <x:c r="H928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928+G928,NA())</x:f>
        <x:v>30.825116957000006</x:v>
      </x:c>
      <x:c r="I928" s="22" t="n">
        <x:f>'Assumptions'!$H$54*IF('Assumptions'!$O$54=1,1,'Assumptions'!$D$10)*(1+'Assumptions'!$N$54)^(8-1)</x:f>
        <x:v>1020</x:v>
      </x:c>
      <x:c r="J928" s="10" t="n">
        <x:f>H928*I928</x:f>
        <x:v>31441.619296140005</x:v>
      </x:c>
      <x:c r="K928" s="10" t="n">
        <x:f>J928*'Assumptions'!$T$54</x:f>
        <x:v>31441.619296140005</x:v>
      </x:c>
      <x:c r="L928" s="10" t="n">
        <x:f>K928*'Assumptions'!$U$54</x:f>
        <x:v>943.2485788842001</x:v>
      </x:c>
      <x:c r="M928" s="10" t="n">
        <x:f>K928*'Assumptions'!$V$54</x:f>
        <x:v>0</x:v>
      </x:c>
      <x:c r="N928" s="10" t="n">
        <x:f>K928-L928-M928</x:f>
        <x:v>30498.370717255806</x:v>
      </x:c>
      <x:c r="O928" s="10" t="n">
        <x:f>H928*'Assumptions'!$P$54*'Assumptions'!$Q$54*'Assumptions'!$D$11*(1+'Assumptions'!$D$13)^(8-1)</x:f>
        <x:v>11373.301723223793</x:v>
      </x:c>
      <x:c r="P928" s="10" t="n">
        <x:f>H928*'Assumptions'!$R$54*'Assumptions'!$D$11*(1+'Assumptions'!$D$13)^(8-1)</x:f>
        <x:v>379.11005744079307</x:v>
      </x:c>
      <x:c r="Q928" s="10" t="n">
        <x:f>J928*'Assumptions'!$S$54</x:f>
        <x:v>0</x:v>
      </x:c>
      <x:c r="R928" s="10" t="n">
        <x:f>H928*'Assumptions'!$Y$54*'Assumptions'!$Z$54*'Assumptions'!$D$11*(1+'Assumptions'!$D$13)^(8-1)</x:f>
        <x:v>284.33254308059486</x:v>
      </x:c>
      <x:c r="S928" s="10" t="n">
        <x:f>IF(I928=0,0,J928*'Assumptions'!$W$54+H928*'Assumptions'!$X$54)</x:f>
        <x:v>921.0544946751602</x:v>
      </x:c>
      <x:c r="T928" s="10" t="n">
        <x:f>N928*'Assumptions'!$AA$54</x:f>
        <x:v>1219.9348286902323</x:v>
      </x:c>
      <x:c r="U928" s="10" t="n">
        <x:f>'Assumptions'!$AE$54*'Assumptions'!$D$11*(1+'Assumptions'!$D$13)^(8-1)</x:f>
        <x:v>0</x:v>
      </x:c>
      <x:c r="V928" s="10" t="n">
        <x:f>0</x:f>
        <x:v>0</x:v>
      </x:c>
      <x:c r="W928" s="10" t="n">
        <x:f>H928*('Assumptions'!$P$54+'Assumptions'!$Y$54)</x:f>
        <x:v>161.83186402425002</x:v>
      </x:c>
      <x:c r="X928" s="10" t="n">
        <x:f>N928/12*'Assumptions'!$AF$54</x:f>
        <x:v>2541.5308931046507</x:v>
      </x:c>
      <x:c r="Y928" s="10" t="n">
        <x:f>P928/12</x:f>
        <x:v>31.592504786732757</x:v>
      </x:c>
      <x:c r="Z928" s="10" t="n">
        <x:f>0</x:f>
        <x:v>0</x:v>
      </x:c>
      <x:c r="AA928" s="10" t="n">
        <x:f>Z928*'Assumptions'!$AC$54*'Assumptions'!$D$11*(1+'Assumptions'!$D$13)^(8-1)</x:f>
        <x:v>0</x:v>
      </x:c>
      <x:c r="AB928" s="10" t="n">
        <x:f>F928/1</x:f>
        <x:v>15.998616007000004</x:v>
      </x:c>
      <x:c r="AC928" s="10" t="n">
        <x:f>AB928/'Assumptions'!$AM$54</x:f>
        <x:v>79.99308003500002</x:v>
      </x:c>
      <x:c r="AD928" s="10" t="n">
        <x:f>IF(AB928=0,0,T928/AB928)</x:f>
        <x:v>76.25252260298417</x:v>
      </x:c>
      <x:c r="AE928" s="10" t="n">
        <x:f>AA928*'Assumptions'!$D$21</x:f>
        <x:v>0</x:v>
      </x:c>
    </x:row>
    <x:row r="929" ht="16" customHeight="1">
      <x:c r="A929" s="1"/>
      <x:c r="B929" s="1"/>
      <x:c r="C929" s="1" t="str">
        <x:v>DOT-026</x:v>
      </x:c>
      <x:c r="D929" s="10" t="str">
        <x:v>BPA professional services</x:v>
      </x:c>
      <x:c r="E929" s="10" t="n">
        <x:v>8</x:v>
      </x:c>
      <x:c r="F929" s="21" t="n">
        <x:f>F801*(1+'Assumptions'!$M$55)</x:f>
        <x:v>6.399446402800003</x:v>
      </x:c>
      <x:c r="G929" s="21" t="n">
        <x:f>H801*'Assumptions'!$K$55</x:f>
        <x:v>5.930600380000003</x:v>
      </x:c>
      <x:c r="H929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929+G929,NA())</x:f>
        <x:v>12.330046782800007</x:v>
      </x:c>
      <x:c r="I929" s="22" t="n">
        <x:f>'Assumptions'!$H$55*IF('Assumptions'!$O$55=1,1,'Assumptions'!$D$10)*(1+'Assumptions'!$N$55)^(8-1)</x:f>
        <x:v>1800</x:v>
      </x:c>
      <x:c r="J929" s="10" t="n">
        <x:f>H929*I929</x:f>
        <x:v>22194.084209040015</x:v>
      </x:c>
      <x:c r="K929" s="10" t="n">
        <x:f>J929*'Assumptions'!$T$55</x:f>
        <x:v>22194.084209040015</x:v>
      </x:c>
      <x:c r="L929" s="10" t="n">
        <x:f>K929*'Assumptions'!$U$55</x:f>
        <x:v>665.8225262712004</x:v>
      </x:c>
      <x:c r="M929" s="10" t="n">
        <x:f>K929*'Assumptions'!$V$55</x:f>
        <x:v>0</x:v>
      </x:c>
      <x:c r="N929" s="10" t="n">
        <x:f>K929-L929-M929</x:f>
        <x:v>21528.261682768814</x:v>
      </x:c>
      <x:c r="O929" s="10" t="n">
        <x:f>H929*'Assumptions'!$P$55*'Assumptions'!$Q$55*'Assumptions'!$D$11*(1+'Assumptions'!$D$13)^(8-1)</x:f>
        <x:v>9098.64137857904</x:v>
      </x:c>
      <x:c r="P929" s="10" t="n">
        <x:f>H929*'Assumptions'!$R$55*'Assumptions'!$D$11*(1+'Assumptions'!$D$13)^(8-1)</x:f>
        <x:v>151.6440229763173</x:v>
      </x:c>
      <x:c r="Q929" s="10" t="n">
        <x:f>J929*'Assumptions'!$S$55</x:f>
        <x:v>0</x:v>
      </x:c>
      <x:c r="R929" s="10" t="n">
        <x:f>H929*'Assumptions'!$Y$55*'Assumptions'!$Z$55*'Assumptions'!$D$11*(1+'Assumptions'!$D$13)^(8-1)</x:f>
        <x:v>113.73301723223798</x:v>
      </x:c>
      <x:c r="S929" s="10" t="n">
        <x:f>IF(I929=0,0,J929*'Assumptions'!$W$55+H929*'Assumptions'!$X$55)</x:f>
        <x:v>647.3274560970005</x:v>
      </x:c>
      <x:c r="T929" s="10" t="n">
        <x:f>N929*'Assumptions'!$AA$55</x:f>
        <x:v>861.1304673107526</x:v>
      </x:c>
      <x:c r="U929" s="10" t="n">
        <x:f>'Assumptions'!$AE$55*'Assumptions'!$D$11*(1+'Assumptions'!$D$13)^(8-1)</x:f>
        <x:v>0</x:v>
      </x:c>
      <x:c r="V929" s="10" t="n">
        <x:f>0</x:f>
        <x:v>0</x:v>
      </x:c>
      <x:c r="W929" s="10" t="n">
        <x:f>H929*('Assumptions'!$P$55+'Assumptions'!$Y$55)</x:f>
        <x:v>126.38297952370007</x:v>
      </x:c>
      <x:c r="X929" s="10" t="n">
        <x:f>N929/12*'Assumptions'!$AF$55</x:f>
        <x:v>1794.0218068974011</x:v>
      </x:c>
      <x:c r="Y929" s="10" t="n">
        <x:f>P929/12</x:f>
        <x:v>12.637001914693109</x:v>
      </x:c>
      <x:c r="Z929" s="10" t="n">
        <x:f>0</x:f>
        <x:v>0</x:v>
      </x:c>
      <x:c r="AA929" s="10" t="n">
        <x:f>Z929*'Assumptions'!$AC$55*'Assumptions'!$D$11*(1+'Assumptions'!$D$13)^(8-1)</x:f>
        <x:v>0</x:v>
      </x:c>
      <x:c r="AB929" s="10" t="n">
        <x:f>F929/1</x:f>
        <x:v>6.399446402800003</x:v>
      </x:c>
      <x:c r="AC929" s="10" t="n">
        <x:f>AB929/'Assumptions'!$AM$55</x:f>
        <x:v>31.997232014000016</x:v>
      </x:c>
      <x:c r="AD929" s="10" t="n">
        <x:f>IF(AB929=0,0,T929/AB929)</x:f>
        <x:v>134.5632751817368</x:v>
      </x:c>
      <x:c r="AE929" s="10" t="n">
        <x:f>AA929*'Assumptions'!$D$21</x:f>
        <x:v>0</x:v>
      </x:c>
    </x:row>
    <x:row r="930" ht="16" customHeight="1">
      <x:c r="A930" s="1"/>
      <x:c r="B930" s="1"/>
      <x:c r="C930" s="1" t="str">
        <x:v>DOT-027</x:v>
      </x:c>
      <x:c r="D930" s="10" t="str">
        <x:v>BPA professional services</x:v>
      </x:c>
      <x:c r="E930" s="10" t="n">
        <x:v>8</x:v>
      </x:c>
      <x:c r="F930" s="21" t="n">
        <x:f>F802*(1+'Assumptions'!$M$56)</x:f>
        <x:v>6.399446402800003</x:v>
      </x:c>
      <x:c r="G930" s="21" t="n">
        <x:f>H802*'Assumptions'!$K$56</x:f>
        <x:v>5.930600380000003</x:v>
      </x:c>
      <x:c r="H930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930+G930,NA())</x:f>
        <x:v>12.330046782800007</x:v>
      </x:c>
      <x:c r="I930" s="22" t="n">
        <x:f>'Assumptions'!$H$56*IF('Assumptions'!$O$56=1,1,'Assumptions'!$D$10)*(1+'Assumptions'!$N$56)^(8-1)</x:f>
        <x:v>1800</x:v>
      </x:c>
      <x:c r="J930" s="10" t="n">
        <x:f>H930*I930</x:f>
        <x:v>22194.084209040015</x:v>
      </x:c>
      <x:c r="K930" s="10" t="n">
        <x:f>J930*'Assumptions'!$T$56</x:f>
        <x:v>22194.084209040015</x:v>
      </x:c>
      <x:c r="L930" s="10" t="n">
        <x:f>K930*'Assumptions'!$U$56</x:f>
        <x:v>665.8225262712004</x:v>
      </x:c>
      <x:c r="M930" s="10" t="n">
        <x:f>K930*'Assumptions'!$V$56</x:f>
        <x:v>0</x:v>
      </x:c>
      <x:c r="N930" s="10" t="n">
        <x:f>K930-L930-M930</x:f>
        <x:v>21528.261682768814</x:v>
      </x:c>
      <x:c r="O930" s="10" t="n">
        <x:f>H930*'Assumptions'!$P$56*'Assumptions'!$Q$56*'Assumptions'!$D$11*(1+'Assumptions'!$D$13)^(8-1)</x:f>
        <x:v>9098.64137857904</x:v>
      </x:c>
      <x:c r="P930" s="10" t="n">
        <x:f>H930*'Assumptions'!$R$56*'Assumptions'!$D$11*(1+'Assumptions'!$D$13)^(8-1)</x:f>
        <x:v>151.6440229763173</x:v>
      </x:c>
      <x:c r="Q930" s="10" t="n">
        <x:f>J930*'Assumptions'!$S$56</x:f>
        <x:v>0</x:v>
      </x:c>
      <x:c r="R930" s="10" t="n">
        <x:f>H930*'Assumptions'!$Y$56*'Assumptions'!$Z$56*'Assumptions'!$D$11*(1+'Assumptions'!$D$13)^(8-1)</x:f>
        <x:v>113.73301723223798</x:v>
      </x:c>
      <x:c r="S930" s="10" t="n">
        <x:f>IF(I930=0,0,J930*'Assumptions'!$W$56+H930*'Assumptions'!$X$56)</x:f>
        <x:v>647.3274560970005</x:v>
      </x:c>
      <x:c r="T930" s="10" t="n">
        <x:f>N930*'Assumptions'!$AA$56</x:f>
        <x:v>861.1304673107526</x:v>
      </x:c>
      <x:c r="U930" s="10" t="n">
        <x:f>'Assumptions'!$AE$56*'Assumptions'!$D$11*(1+'Assumptions'!$D$13)^(8-1)</x:f>
        <x:v>0</x:v>
      </x:c>
      <x:c r="V930" s="10" t="n">
        <x:f>0</x:f>
        <x:v>0</x:v>
      </x:c>
      <x:c r="W930" s="10" t="n">
        <x:f>H930*('Assumptions'!$P$56+'Assumptions'!$Y$56)</x:f>
        <x:v>126.38297952370007</x:v>
      </x:c>
      <x:c r="X930" s="10" t="n">
        <x:f>N930/12*'Assumptions'!$AF$56</x:f>
        <x:v>1794.0218068974011</x:v>
      </x:c>
      <x:c r="Y930" s="10" t="n">
        <x:f>P930/12</x:f>
        <x:v>12.637001914693109</x:v>
      </x:c>
      <x:c r="Z930" s="10" t="n">
        <x:f>0</x:f>
        <x:v>0</x:v>
      </x:c>
      <x:c r="AA930" s="10" t="n">
        <x:f>Z930*'Assumptions'!$AC$56*'Assumptions'!$D$11*(1+'Assumptions'!$D$13)^(8-1)</x:f>
        <x:v>0</x:v>
      </x:c>
      <x:c r="AB930" s="10" t="n">
        <x:f>F930/1</x:f>
        <x:v>6.399446402800003</x:v>
      </x:c>
      <x:c r="AC930" s="10" t="n">
        <x:f>AB930/'Assumptions'!$AM$56</x:f>
        <x:v>31.997232014000016</x:v>
      </x:c>
      <x:c r="AD930" s="10" t="n">
        <x:f>IF(AB930=0,0,T930/AB930)</x:f>
        <x:v>134.5632751817368</x:v>
      </x:c>
      <x:c r="AE930" s="10" t="n">
        <x:f>AA930*'Assumptions'!$D$21</x:f>
        <x:v>0</x:v>
      </x:c>
    </x:row>
    <x:row r="931" ht="16" customHeight="1">
      <x:c r="A931" s="1"/>
      <x:c r="B931" s="1"/>
      <x:c r="C931" s="1" t="str">
        <x:v>DOT-028</x:v>
      </x:c>
      <x:c r="D931" s="10" t="str">
        <x:v>BPA professional services</x:v>
      </x:c>
      <x:c r="E931" s="10" t="n">
        <x:v>8</x:v>
      </x:c>
      <x:c r="F931" s="21" t="n">
        <x:f>F803*(1+'Assumptions'!$M$57)</x:f>
        <x:v>3.1997232014000017</x:v>
      </x:c>
      <x:c r="G931" s="21" t="n">
        <x:f>H803*'Assumptions'!$K$57</x:f>
        <x:v>2.9653001900000016</x:v>
      </x:c>
      <x:c r="H931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931+G931,NA())</x:f>
        <x:v>6.165023391400004</x:v>
      </x:c>
      <x:c r="I931" s="22" t="n">
        <x:f>'Assumptions'!$H$57*IF('Assumptions'!$O$57=1,1,'Assumptions'!$D$10)*(1+'Assumptions'!$N$57)^(8-1)</x:f>
        <x:v>1800</x:v>
      </x:c>
      <x:c r="J931" s="10" t="n">
        <x:f>H931*I931</x:f>
        <x:v>11097.042104520007</x:v>
      </x:c>
      <x:c r="K931" s="10" t="n">
        <x:f>J931*'Assumptions'!$T$57</x:f>
        <x:v>11097.042104520007</x:v>
      </x:c>
      <x:c r="L931" s="10" t="n">
        <x:f>K931*'Assumptions'!$U$57</x:f>
        <x:v>332.9112631356002</x:v>
      </x:c>
      <x:c r="M931" s="10" t="n">
        <x:f>K931*'Assumptions'!$V$57</x:f>
        <x:v>0</x:v>
      </x:c>
      <x:c r="N931" s="10" t="n">
        <x:f>K931-L931-M931</x:f>
        <x:v>10764.130841384407</x:v>
      </x:c>
      <x:c r="O931" s="10" t="n">
        <x:f>H931*'Assumptions'!$P$57*'Assumptions'!$Q$57*'Assumptions'!$D$11*(1+'Assumptions'!$D$13)^(8-1)</x:f>
        <x:v>5459.184827147422</x:v>
      </x:c>
      <x:c r="P931" s="10" t="n">
        <x:f>H931*'Assumptions'!$R$57*'Assumptions'!$D$11*(1+'Assumptions'!$D$13)^(8-1)</x:f>
        <x:v>75.82201148815865</x:v>
      </x:c>
      <x:c r="Q931" s="10" t="n">
        <x:f>J931*'Assumptions'!$S$57</x:f>
        <x:v>0</x:v>
      </x:c>
      <x:c r="R931" s="10" t="n">
        <x:f>H931*'Assumptions'!$Y$57*'Assumptions'!$Z$57*'Assumptions'!$D$11*(1+'Assumptions'!$D$13)^(8-1)</x:f>
        <x:v>56.86650861611899</x:v>
      </x:c>
      <x:c r="S931" s="10" t="n">
        <x:f>IF(I931=0,0,J931*'Assumptions'!$W$57+H931*'Assumptions'!$X$57)</x:f>
        <x:v>323.6637280485003</x:v>
      </x:c>
      <x:c r="T931" s="10" t="n">
        <x:f>N931*'Assumptions'!$AA$57</x:f>
        <x:v>430.5652336553763</x:v>
      </x:c>
      <x:c r="U931" s="10" t="n">
        <x:f>'Assumptions'!$AE$57*'Assumptions'!$D$11*(1+'Assumptions'!$D$13)^(8-1)</x:f>
        <x:v>0</x:v>
      </x:c>
      <x:c r="V931" s="10" t="n">
        <x:f>0</x:f>
        <x:v>0</x:v>
      </x:c>
      <x:c r="W931" s="10" t="n">
        <x:f>H931*('Assumptions'!$P$57+'Assumptions'!$Y$57)</x:f>
        <x:v>75.52153654465005</x:v>
      </x:c>
      <x:c r="X931" s="10" t="n">
        <x:f>N931/12*'Assumptions'!$AF$57</x:f>
        <x:v>897.0109034487006</x:v>
      </x:c>
      <x:c r="Y931" s="10" t="n">
        <x:f>P931/12</x:f>
        <x:v>6.318500957346554</x:v>
      </x:c>
      <x:c r="Z931" s="10" t="n">
        <x:f>0</x:f>
        <x:v>0</x:v>
      </x:c>
      <x:c r="AA931" s="10" t="n">
        <x:f>Z931*'Assumptions'!$AC$57*'Assumptions'!$D$11*(1+'Assumptions'!$D$13)^(8-1)</x:f>
        <x:v>0</x:v>
      </x:c>
      <x:c r="AB931" s="10" t="n">
        <x:f>F931/1</x:f>
        <x:v>3.1997232014000017</x:v>
      </x:c>
      <x:c r="AC931" s="10" t="n">
        <x:f>AB931/'Assumptions'!$AM$57</x:f>
        <x:v>15.998616007000008</x:v>
      </x:c>
      <x:c r="AD931" s="10" t="n">
        <x:f>IF(AB931=0,0,T931/AB931)</x:f>
        <x:v>134.5632751817368</x:v>
      </x:c>
      <x:c r="AE931" s="10" t="n">
        <x:f>AA931*'Assumptions'!$D$21</x:f>
        <x:v>0</x:v>
      </x:c>
    </x:row>
    <x:row r="932" ht="16" customHeight="1">
      <x:c r="A932" s="1"/>
      <x:c r="B932" s="1"/>
      <x:c r="C932" s="1" t="str">
        <x:v>DOT-029</x:v>
      </x:c>
      <x:c r="D932" s="10" t="str">
        <x:v>BPA professional services</x:v>
      </x:c>
      <x:c r="E932" s="10" t="n">
        <x:v>8</x:v>
      </x:c>
      <x:c r="F932" s="21" t="n">
        <x:f>F804*(1+'Assumptions'!$M$58)</x:f>
        <x:v>31.99723201400001</x:v>
      </x:c>
      <x:c r="G932" s="21" t="n">
        <x:f>H804*'Assumptions'!$K$58</x:f>
        <x:v>29.653001900000007</x:v>
      </x:c>
      <x:c r="H932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932+G932,NA())</x:f>
        <x:v>61.65023391400001</x:v>
      </x:c>
      <x:c r="I932" s="22" t="n">
        <x:f>'Assumptions'!$H$58*IF('Assumptions'!$O$58=1,1,'Assumptions'!$D$10)*(1+'Assumptions'!$N$58)^(8-1)</x:f>
        <x:v>180</x:v>
      </x:c>
      <x:c r="J932" s="10" t="n">
        <x:f>H932*I932</x:f>
        <x:v>11097.042104520002</x:v>
      </x:c>
      <x:c r="K932" s="10" t="n">
        <x:f>J932*'Assumptions'!$T$58</x:f>
        <x:v>11097.042104520002</x:v>
      </x:c>
      <x:c r="L932" s="10" t="n">
        <x:f>K932*'Assumptions'!$U$58</x:f>
        <x:v>332.91126313560005</x:v>
      </x:c>
      <x:c r="M932" s="10" t="n">
        <x:f>K932*'Assumptions'!$V$58</x:f>
        <x:v>0</x:v>
      </x:c>
      <x:c r="N932" s="10" t="n">
        <x:f>K932-L932-M932</x:f>
        <x:v>10764.130841384402</x:v>
      </x:c>
      <x:c r="O932" s="10" t="n">
        <x:f>H932*'Assumptions'!$P$58*'Assumptions'!$Q$58*'Assumptions'!$D$11*(1+'Assumptions'!$D$13)^(8-1)</x:f>
        <x:v>4549.320689289518</x:v>
      </x:c>
      <x:c r="P932" s="10" t="n">
        <x:f>H932*'Assumptions'!$R$58*'Assumptions'!$D$11*(1+'Assumptions'!$D$13)^(8-1)</x:f>
        <x:v>758.2201148815861</x:v>
      </x:c>
      <x:c r="Q932" s="10" t="n">
        <x:f>J932*'Assumptions'!$S$58</x:f>
        <x:v>0</x:v>
      </x:c>
      <x:c r="R932" s="10" t="n">
        <x:f>H932*'Assumptions'!$Y$58*'Assumptions'!$Z$58*'Assumptions'!$D$11*(1+'Assumptions'!$D$13)^(8-1)</x:f>
        <x:v>568.6650861611897</x:v>
      </x:c>
      <x:c r="S932" s="10" t="n">
        <x:f>IF(I932=0,0,J932*'Assumptions'!$W$58+H932*'Assumptions'!$X$58)</x:f>
        <x:v>340.3092912052801</x:v>
      </x:c>
      <x:c r="T932" s="10" t="n">
        <x:f>N932*'Assumptions'!$AA$58</x:f>
        <x:v>430.56523365537606</x:v>
      </x:c>
      <x:c r="U932" s="10" t="n">
        <x:f>'Assumptions'!$AE$58*'Assumptions'!$D$11*(1+'Assumptions'!$D$13)^(8-1)</x:f>
        <x:v>0</x:v>
      </x:c>
      <x:c r="V932" s="10" t="n">
        <x:f>0</x:f>
        <x:v>0</x:v>
      </x:c>
      <x:c r="W932" s="10" t="n">
        <x:f>H932*('Assumptions'!$P$58+'Assumptions'!$Y$58)</x:f>
        <x:v>77.06279239250001</x:v>
      </x:c>
      <x:c r="X932" s="10" t="n">
        <x:f>N932/12*'Assumptions'!$AF$58</x:f>
        <x:v>897.0109034487001</x:v>
      </x:c>
      <x:c r="Y932" s="10" t="n">
        <x:f>P932/12</x:f>
        <x:v>63.185009573465514</x:v>
      </x:c>
      <x:c r="Z932" s="10" t="n">
        <x:f>0</x:f>
        <x:v>0</x:v>
      </x:c>
      <x:c r="AA932" s="10" t="n">
        <x:f>Z932*'Assumptions'!$AC$58*'Assumptions'!$D$11*(1+'Assumptions'!$D$13)^(8-1)</x:f>
        <x:v>0</x:v>
      </x:c>
      <x:c r="AB932" s="10" t="n">
        <x:f>F932/1</x:f>
        <x:v>31.99723201400001</x:v>
      </x:c>
      <x:c r="AC932" s="10" t="n">
        <x:f>AB932/'Assumptions'!$AM$58</x:f>
        <x:v>159.98616007000004</x:v>
      </x:c>
      <x:c r="AD932" s="10" t="n">
        <x:f>IF(AB932=0,0,T932/AB932)</x:f>
        <x:v>13.456327518173676</x:v>
      </x:c>
      <x:c r="AE932" s="10" t="n">
        <x:f>AA932*'Assumptions'!$D$21</x:f>
        <x:v>0</x:v>
      </x:c>
    </x:row>
    <x:row r="933" ht="16" customHeight="1">
      <x:c r="A933" s="1"/>
      <x:c r="B933" s="1"/>
      <x:c r="C933" s="1" t="str">
        <x:v>DOT-030</x:v>
      </x:c>
      <x:c r="D933" s="10" t="str">
        <x:v>BPA professional services</x:v>
      </x:c>
      <x:c r="E933" s="10" t="n">
        <x:v>8</x:v>
      </x:c>
      <x:c r="F933" s="21" t="n">
        <x:f>F805*(1+'Assumptions'!$M$59)</x:f>
        <x:v>6.399446402800003</x:v>
      </x:c>
      <x:c r="G933" s="21" t="n">
        <x:f>H805*'Assumptions'!$K$59</x:f>
        <x:v>5.930600380000003</x:v>
      </x:c>
      <x:c r="H933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933+G933,NA())</x:f>
        <x:v>12.330046782800007</x:v>
      </x:c>
      <x:c r="I933" s="22" t="n">
        <x:f>'Assumptions'!$H$59*IF('Assumptions'!$O$59=1,1,'Assumptions'!$D$10)*(1+'Assumptions'!$N$59)^(8-1)</x:f>
        <x:v>574.34283382464</x:v>
      </x:c>
      <x:c r="J933" s="10" t="n">
        <x:f>H933*I933</x:f>
        <x:v>7081.674010423742</x:v>
      </x:c>
      <x:c r="K933" s="10" t="n">
        <x:f>J933*'Assumptions'!$T$59</x:f>
        <x:v>7081.674010423742</x:v>
      </x:c>
      <x:c r="L933" s="10" t="n">
        <x:f>K933*'Assumptions'!$U$59</x:f>
        <x:v>212.45022031271228</x:v>
      </x:c>
      <x:c r="M933" s="10" t="n">
        <x:f>K933*'Assumptions'!$V$59</x:f>
        <x:v>0</x:v>
      </x:c>
      <x:c r="N933" s="10" t="n">
        <x:f>K933-L933-M933</x:f>
        <x:v>6869.22379011103</x:v>
      </x:c>
      <x:c r="O933" s="10" t="n">
        <x:f>H933*'Assumptions'!$P$59*'Assumptions'!$Q$59*'Assumptions'!$D$11*(1+'Assumptions'!$D$13)^(8-1)</x:f>
        <x:v>2729.592413573711</x:v>
      </x:c>
      <x:c r="P933" s="10" t="n">
        <x:f>H933*'Assumptions'!$R$59*'Assumptions'!$D$11*(1+'Assumptions'!$D$13)^(8-1)</x:f>
        <x:v>151.6440229763173</x:v>
      </x:c>
      <x:c r="Q933" s="10" t="n">
        <x:f>J933*'Assumptions'!$S$59</x:f>
        <x:v>0</x:v>
      </x:c>
      <x:c r="R933" s="10" t="n">
        <x:f>H933*'Assumptions'!$Y$59*'Assumptions'!$Z$59*'Assumptions'!$D$11*(1+'Assumptions'!$D$13)^(8-1)</x:f>
        <x:v>113.73301723223798</x:v>
      </x:c>
      <x:c r="S933" s="10" t="n">
        <x:f>IF(I933=0,0,J933*'Assumptions'!$W$59+H933*'Assumptions'!$X$59)</x:f>
        <x:v>209.06756033712853</x:v>
      </x:c>
      <x:c r="T933" s="10" t="n">
        <x:f>N933*'Assumptions'!$AA$59</x:f>
        <x:v>274.7689516044412</x:v>
      </x:c>
      <x:c r="U933" s="10" t="n">
        <x:f>'Assumptions'!$AE$59*'Assumptions'!$D$11*(1+'Assumptions'!$D$13)^(8-1)</x:f>
        <x:v>0</x:v>
      </x:c>
      <x:c r="V933" s="10" t="n">
        <x:f>0</x:f>
        <x:v>0</x:v>
      </x:c>
      <x:c r="W933" s="10" t="n">
        <x:f>H933*('Assumptions'!$P$59+'Assumptions'!$Y$59)</x:f>
        <x:v>40.072652044100025</x:v>
      </x:c>
      <x:c r="X933" s="10" t="n">
        <x:f>N933/12*'Assumptions'!$AF$59</x:f>
        <x:v>572.4353158425859</x:v>
      </x:c>
      <x:c r="Y933" s="10" t="n">
        <x:f>P933/12</x:f>
        <x:v>12.637001914693109</x:v>
      </x:c>
      <x:c r="Z933" s="10" t="n">
        <x:f>0</x:f>
        <x:v>0</x:v>
      </x:c>
      <x:c r="AA933" s="10" t="n">
        <x:f>Z933*'Assumptions'!$AC$59*'Assumptions'!$D$11*(1+'Assumptions'!$D$13)^(8-1)</x:f>
        <x:v>0</x:v>
      </x:c>
      <x:c r="AB933" s="10" t="n">
        <x:f>F933/1</x:f>
        <x:v>6.399446402800003</x:v>
      </x:c>
      <x:c r="AC933" s="10" t="n">
        <x:f>AB933/'Assumptions'!$AM$59</x:f>
        <x:v>31.997232014000016</x:v>
      </x:c>
      <x:c r="AD933" s="10" t="n">
        <x:f>IF(AB933=0,0,T933/AB933)</x:f>
        <x:v>42.936362664779764</x:v>
      </x:c>
      <x:c r="AE933" s="10" t="n">
        <x:f>AA933*'Assumptions'!$D$21</x:f>
        <x:v>0</x:v>
      </x:c>
    </x:row>
    <x:row r="934" ht="16" customHeight="1">
      <x:c r="A934" s="1"/>
      <x:c r="B934" s="1"/>
      <x:c r="C934" s="1" t="str">
        <x:v>DOT-031</x:v>
      </x:c>
      <x:c r="D934" s="10" t="str">
        <x:v>BPA professional services</x:v>
      </x:c>
      <x:c r="E934" s="10" t="n">
        <x:v>8</x:v>
      </x:c>
      <x:c r="F934" s="21" t="n">
        <x:f>F806*(1+'Assumptions'!$M$60)</x:f>
        <x:v>3.1997232014000017</x:v>
      </x:c>
      <x:c r="G934" s="21" t="n">
        <x:f>H806*'Assumptions'!$K$60</x:f>
        <x:v>2.9731126900000016</x:v>
      </x:c>
      <x:c r="H934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934+G934,NA())</x:f>
        <x:v>6.172835891400004</x:v>
      </x:c>
      <x:c r="I934" s="22" t="n">
        <x:f>'Assumptions'!$H$60*IF('Assumptions'!$O$60=1,1,'Assumptions'!$D$10)*(1+'Assumptions'!$N$60)^(8-1)</x:f>
        <x:v>5743.4283382464</x:v>
      </x:c>
      <x:c r="J934" s="10" t="n">
        <x:f>H934*I934</x:f>
        <x:v>35453.240586011256</x:v>
      </x:c>
      <x:c r="K934" s="10" t="n">
        <x:f>J934*'Assumptions'!$T$60</x:f>
        <x:v>35453.240586011256</x:v>
      </x:c>
      <x:c r="L934" s="10" t="n">
        <x:f>K934*'Assumptions'!$U$60</x:f>
        <x:v>1063.5972175803377</x:v>
      </x:c>
      <x:c r="M934" s="10" t="n">
        <x:f>K934*'Assumptions'!$V$60</x:f>
        <x:v>0</x:v>
      </x:c>
      <x:c r="N934" s="10" t="n">
        <x:f>K934-L934-M934</x:f>
        <x:v>34389.643368430916</x:v>
      </x:c>
      <x:c r="O934" s="10" t="n">
        <x:f>H934*'Assumptions'!$P$60*'Assumptions'!$Q$60*'Assumptions'!$D$11*(1+'Assumptions'!$D$13)^(8-1)</x:f>
        <x:v>18220.34289213479</x:v>
      </x:c>
      <x:c r="P934" s="10" t="n">
        <x:f>H934*'Assumptions'!$R$60*'Assumptions'!$D$11*(1+'Assumptions'!$D$13)^(8-1)</x:f>
        <x:v>75.91809538389498</x:v>
      </x:c>
      <x:c r="Q934" s="10" t="n">
        <x:f>J934*'Assumptions'!$S$60</x:f>
        <x:v>0</x:v>
      </x:c>
      <x:c r="R934" s="10" t="n">
        <x:f>H934*'Assumptions'!$Y$60*'Assumptions'!$Z$60*'Assumptions'!$D$11*(1+'Assumptions'!$D$13)^(8-1)</x:f>
        <x:v>56.93857153792123</x:v>
      </x:c>
      <x:c r="S934" s="10" t="n">
        <x:f>IF(I934=0,0,J934*'Assumptions'!$W$60+H934*'Assumptions'!$X$60)</x:f>
        <x:v>1029.9958277617466</x:v>
      </x:c>
      <x:c r="T934" s="10" t="n">
        <x:f>N934*'Assumptions'!$AA$60</x:f>
        <x:v>1375.5857347372366</x:v>
      </x:c>
      <x:c r="U934" s="10" t="n">
        <x:f>'Assumptions'!$AE$60*'Assumptions'!$D$11*(1+'Assumptions'!$D$13)^(8-1)</x:f>
        <x:v>0</x:v>
      </x:c>
      <x:c r="V934" s="10" t="n">
        <x:f>0</x:f>
        <x:v>0</x:v>
      </x:c>
      <x:c r="W934" s="10" t="n">
        <x:f>H934*('Assumptions'!$P$60+'Assumptions'!$Y$60)</x:f>
        <x:v>248.45664462885014</x:v>
      </x:c>
      <x:c r="X934" s="10" t="n">
        <x:f>N934/12*'Assumptions'!$AF$60</x:f>
        <x:v>2865.8036140359095</x:v>
      </x:c>
      <x:c r="Y934" s="10" t="n">
        <x:f>P934/12</x:f>
        <x:v>6.326507948657915</x:v>
      </x:c>
      <x:c r="Z934" s="10" t="n">
        <x:f>0</x:f>
        <x:v>0</x:v>
      </x:c>
      <x:c r="AA934" s="10" t="n">
        <x:f>Z934*'Assumptions'!$AC$60*'Assumptions'!$D$11*(1+'Assumptions'!$D$13)^(8-1)</x:f>
        <x:v>0</x:v>
      </x:c>
      <x:c r="AB934" s="10" t="n">
        <x:f>F934/1</x:f>
        <x:v>3.1997232014000017</x:v>
      </x:c>
      <x:c r="AC934" s="10" t="n">
        <x:f>AB934/'Assumptions'!$AM$60</x:f>
        <x:v>15.998616007000008</x:v>
      </x:c>
      <x:c r="AD934" s="10" t="n">
        <x:f>IF(AB934=0,0,T934/AB934)</x:f>
        <x:v>429.90772893585455</x:v>
      </x:c>
      <x:c r="AE934" s="10" t="n">
        <x:f>AA934*'Assumptions'!$D$21</x:f>
        <x:v>0</x:v>
      </x:c>
    </x:row>
    <x:row r="935" ht="16" customHeight="1">
      <x:c r="A935" s="1"/>
      <x:c r="B935" s="1"/>
      <x:c r="C935" s="1" t="str">
        <x:v>DOT-032</x:v>
      </x:c>
      <x:c r="D935" s="10" t="str">
        <x:v>BPA professional services</x:v>
      </x:c>
      <x:c r="E935" s="10" t="n">
        <x:v>8</x:v>
      </x:c>
      <x:c r="F935" s="21" t="n">
        <x:f>F807*(1+'Assumptions'!$M$61)</x:f>
        <x:v>1.5998616007000008</x:v>
      </x:c>
      <x:c r="G935" s="21" t="n">
        <x:f>H807*'Assumptions'!$K$61</x:f>
        <x:v>1.4865563450000008</x:v>
      </x:c>
      <x:c r="H935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935+G935,NA())</x:f>
        <x:v>3.086417945700002</x:v>
      </x:c>
      <x:c r="I935" s="22" t="n">
        <x:f>'Assumptions'!$H$61*IF('Assumptions'!$O$61=1,1,'Assumptions'!$D$10)*(1+'Assumptions'!$N$61)^(8-1)</x:f>
        <x:v>8615.142507369601</x:v>
      </x:c>
      <x:c r="J935" s="10" t="n">
        <x:f>H935*I935</x:f>
        <x:v>26589.930439508447</x:v>
      </x:c>
      <x:c r="K935" s="10" t="n">
        <x:f>J935*'Assumptions'!$T$61</x:f>
        <x:v>26589.930439508447</x:v>
      </x:c>
      <x:c r="L935" s="10" t="n">
        <x:f>K935*'Assumptions'!$U$61</x:f>
        <x:v>797.6979131852534</x:v>
      </x:c>
      <x:c r="M935" s="10" t="n">
        <x:f>K935*'Assumptions'!$V$61</x:f>
        <x:v>0</x:v>
      </x:c>
      <x:c r="N935" s="10" t="n">
        <x:f>K935-L935-M935</x:f>
        <x:v>25792.232526323194</x:v>
      </x:c>
      <x:c r="O935" s="10" t="n">
        <x:f>H935*'Assumptions'!$P$61*'Assumptions'!$Q$61*'Assumptions'!$D$11*(1+'Assumptions'!$D$13)^(8-1)</x:f>
        <x:v>13665.257169101094</x:v>
      </x:c>
      <x:c r="P935" s="10" t="n">
        <x:f>H935*'Assumptions'!$R$61*'Assumptions'!$D$11*(1+'Assumptions'!$D$13)^(8-1)</x:f>
        <x:v>37.95904769194749</x:v>
      </x:c>
      <x:c r="Q935" s="10" t="n">
        <x:f>J935*'Assumptions'!$S$61</x:f>
        <x:v>0</x:v>
      </x:c>
      <x:c r="R935" s="10" t="n">
        <x:f>H935*'Assumptions'!$Y$61*'Assumptions'!$Z$61*'Assumptions'!$D$11*(1+'Assumptions'!$D$13)^(8-1)</x:f>
        <x:v>28.469285768960614</x:v>
      </x:c>
      <x:c r="S935" s="10" t="n">
        <x:f>IF(I935=0,0,J935*'Assumptions'!$W$61+H935*'Assumptions'!$X$61)</x:f>
        <x:v>772.0339081294551</x:v>
      </x:c>
      <x:c r="T935" s="10" t="n">
        <x:f>N935*'Assumptions'!$AA$61</x:f>
        <x:v>1031.6893010529277</x:v>
      </x:c>
      <x:c r="U935" s="10" t="n">
        <x:f>'Assumptions'!$AE$61*'Assumptions'!$D$11*(1+'Assumptions'!$D$13)^(8-1)</x:f>
        <x:v>0</x:v>
      </x:c>
      <x:c r="V935" s="10" t="n">
        <x:f>0</x:f>
        <x:v>0</x:v>
      </x:c>
      <x:c r="W935" s="10" t="n">
        <x:f>H935*('Assumptions'!$P$61+'Assumptions'!$Y$61)</x:f>
        <x:v>185.9566812284251</x:v>
      </x:c>
      <x:c r="X935" s="10" t="n">
        <x:f>N935/12*'Assumptions'!$AF$61</x:f>
        <x:v>2149.3527105269327</x:v>
      </x:c>
      <x:c r="Y935" s="10" t="n">
        <x:f>P935/12</x:f>
        <x:v>3.1632539743289576</x:v>
      </x:c>
      <x:c r="Z935" s="10" t="n">
        <x:f>0</x:f>
        <x:v>0</x:v>
      </x:c>
      <x:c r="AA935" s="10" t="n">
        <x:f>Z935*'Assumptions'!$AC$61*'Assumptions'!$D$11*(1+'Assumptions'!$D$13)^(8-1)</x:f>
        <x:v>0</x:v>
      </x:c>
      <x:c r="AB935" s="10" t="n">
        <x:f>F935/1</x:f>
        <x:v>1.5998616007000008</x:v>
      </x:c>
      <x:c r="AC935" s="10" t="n">
        <x:f>AB935/'Assumptions'!$AM$61</x:f>
        <x:v>7.999308003500004</x:v>
      </x:c>
      <x:c r="AD935" s="10" t="n">
        <x:f>IF(AB935=0,0,T935/AB935)</x:f>
        <x:v>644.861593403782</x:v>
      </x:c>
      <x:c r="AE935" s="10" t="n">
        <x:f>AA935*'Assumptions'!$D$21</x:f>
        <x:v>0</x:v>
      </x:c>
    </x:row>
    <x:row r="936" ht="16" customHeight="1">
      <x:c r="A936" s="1"/>
      <x:c r="B936" s="1"/>
      <x:c r="C936" s="1" t="str">
        <x:v>DOT-033</x:v>
      </x:c>
      <x:c r="D936" s="10" t="str">
        <x:v>CornerFlow</x:v>
      </x:c>
      <x:c r="E936" s="10" t="n">
        <x:v>8</x:v>
      </x:c>
      <x:c r="F936" s="21" t="n">
        <x:f>F808*(1+'Assumptions'!$M$62)</x:f>
        <x:v>81.57163345920002</x:v>
      </x:c>
      <x:c r="G936" s="21" t="n">
        <x:f>H808*'Assumptions'!$K$62</x:f>
        <x:v>152.39008276799998</x:v>
      </x:c>
      <x:c r="H936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936+G936,NA())</x:f>
        <x:v>233.9617162272</x:v>
      </x:c>
      <x:c r="I936" s="22" t="n">
        <x:f>'Assumptions'!$H$62*IF('Assumptions'!$O$62=1,1,'Assumptions'!$D$10)*(1+'Assumptions'!$N$62)^(8-1)</x:f>
        <x:v>56.28559771481472</x:v>
      </x:c>
      <x:c r="J936" s="10" t="n">
        <x:f>H936*I936</x:f>
        <x:v>13168.675040231818</x:v>
      </x:c>
      <x:c r="K936" s="10" t="n">
        <x:f>J936*'Assumptions'!$T$62</x:f>
        <x:v>13168.675040231818</x:v>
      </x:c>
      <x:c r="L936" s="10" t="n">
        <x:f>K936*'Assumptions'!$U$62</x:f>
        <x:v>395.0602512069545</x:v>
      </x:c>
      <x:c r="M936" s="10" t="n">
        <x:f>K936*'Assumptions'!$V$62</x:f>
        <x:v>0</x:v>
      </x:c>
      <x:c r="N936" s="10" t="n">
        <x:f>K936-L936-M936</x:f>
        <x:v>12773.614789024863</x:v>
      </x:c>
      <x:c r="O936" s="10" t="n">
        <x:f>H936*'Assumptions'!$P$62*'Assumptions'!$Q$62*'Assumptions'!$D$11*(1+'Assumptions'!$D$13)^(8-1)</x:f>
        <x:v>1510.6528515633609</x:v>
      </x:c>
      <x:c r="P936" s="10" t="n">
        <x:f>H936*'Assumptions'!$R$62*'Assumptions'!$D$11*(1+'Assumptions'!$D$13)^(8-1)</x:f>
        <x:v>0</x:v>
      </x:c>
      <x:c r="Q936" s="10" t="n">
        <x:f>J936*'Assumptions'!$S$62</x:f>
        <x:v>0</x:v>
      </x:c>
      <x:c r="R936" s="10" t="n">
        <x:f>H936*'Assumptions'!$Y$62*'Assumptions'!$Z$62*'Assumptions'!$D$11*(1+'Assumptions'!$D$13)^(8-1)</x:f>
        <x:v>1294.8453013400238</x:v>
      </x:c>
      <x:c r="S936" s="10" t="n">
        <x:f>IF(I936=0,0,J936*'Assumptions'!$W$62+H936*'Assumptions'!$X$62)</x:f>
        <x:v>452.0800910348827</x:v>
      </x:c>
      <x:c r="T936" s="10" t="n">
        <x:f>N936*'Assumptions'!$AA$62</x:f>
        <x:v>638.6807394512432</x:v>
      </x:c>
      <x:c r="U936" s="10" t="n">
        <x:f>'Assumptions'!$AE$62*'Assumptions'!$D$11*(1+'Assumptions'!$D$13)^(8-1)</x:f>
        <x:v>147.58486385098442</x:v>
      </x:c>
      <x:c r="V936" s="10" t="n">
        <x:f>0</x:f>
        <x:v>0</x:v>
      </x:c>
      <x:c r="W936" s="10" t="n">
        <x:f>H936*('Assumptions'!$P$62+'Assumptions'!$Y$62)</x:f>
        <x:v>70.18851486816</x:v>
      </x:c>
      <x:c r="X936" s="10" t="n">
        <x:f>N936/12*'Assumptions'!$AF$62</x:f>
        <x:v>0</x:v>
      </x:c>
      <x:c r="Y936" s="10" t="n">
        <x:f>P936/12</x:f>
        <x:v>0</x:v>
      </x:c>
      <x:c r="Z936" s="10" t="n">
        <x:f>0</x:f>
        <x:v>0</x:v>
      </x:c>
      <x:c r="AA936" s="10" t="n">
        <x:f>Z936*'Assumptions'!$AC$62*'Assumptions'!$D$11*(1+'Assumptions'!$D$13)^(8-1)</x:f>
        <x:v>0</x:v>
      </x:c>
      <x:c r="AB936" s="10" t="n">
        <x:f>F936/12</x:f>
        <x:v>6.797636121600001</x:v>
      </x:c>
      <x:c r="AC936" s="10" t="n">
        <x:f>AB936/'Assumptions'!$AM$62</x:f>
        <x:v>135.952722432</x:v>
      </x:c>
      <x:c r="AD936" s="10" t="n">
        <x:f>IF(AB936=0,0,T936/AB936)</x:f>
        <x:v>93.95630010582458</x:v>
      </x:c>
      <x:c r="AE936" s="10" t="n">
        <x:f>AA936*'Assumptions'!$D$21</x:f>
        <x:v>0</x:v>
      </x:c>
    </x:row>
    <x:row r="937" ht="16" customHeight="1">
      <x:c r="A937" s="1"/>
      <x:c r="B937" s="1"/>
      <x:c r="C937" s="1" t="str">
        <x:v>DOT-034</x:v>
      </x:c>
      <x:c r="D937" s="10" t="str">
        <x:v>CornerFlow</x:v>
      </x:c>
      <x:c r="E937" s="10" t="n">
        <x:v>8</x:v>
      </x:c>
      <x:c r="F937" s="21" t="n">
        <x:f>F809*(1+'Assumptions'!$M$63)</x:f>
        <x:v>15.998616007000004</x:v>
      </x:c>
      <x:c r="G937" s="21" t="n">
        <x:f>H809*'Assumptions'!$K$63</x:f>
        <x:v>14.826500950000003</x:v>
      </x:c>
      <x:c r="H937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937+G937,NA())</x:f>
        <x:v>30.825116957000006</x:v>
      </x:c>
      <x:c r="I937" s="22" t="n">
        <x:f>'Assumptions'!$H$63*IF('Assumptions'!$O$63=1,1,'Assumptions'!$D$10)*(1+'Assumptions'!$N$63)^(8-1)</x:f>
        <x:v>228.58844786220672</x:v>
      </x:c>
      <x:c r="J937" s="10" t="n">
        <x:f>H937*I937</x:f>
        <x:v>7046.26564037162</x:v>
      </x:c>
      <x:c r="K937" s="10" t="n">
        <x:f>J937*'Assumptions'!$T$63</x:f>
        <x:v>7046.26564037162</x:v>
      </x:c>
      <x:c r="L937" s="10" t="n">
        <x:f>K937*'Assumptions'!$U$63</x:f>
        <x:v>211.3879692111486</x:v>
      </x:c>
      <x:c r="M937" s="10" t="n">
        <x:f>K937*'Assumptions'!$V$63</x:f>
        <x:v>0</x:v>
      </x:c>
      <x:c r="N937" s="10" t="n">
        <x:f>K937-L937-M937</x:f>
        <x:v>6834.877671160471</x:v>
      </x:c>
      <x:c r="O937" s="10" t="n">
        <x:f>H937*'Assumptions'!$P$63*'Assumptions'!$Q$63*'Assumptions'!$D$11*(1+'Assumptions'!$D$13)^(8-1)</x:f>
        <x:v>3032.8804595263446</x:v>
      </x:c>
      <x:c r="P937" s="10" t="n">
        <x:f>H937*'Assumptions'!$R$63*'Assumptions'!$D$11*(1+'Assumptions'!$D$13)^(8-1)</x:f>
        <x:v>0</x:v>
      </x:c>
      <x:c r="Q937" s="10" t="n">
        <x:f>J937*'Assumptions'!$S$63</x:f>
        <x:v>0</x:v>
      </x:c>
      <x:c r="R937" s="10" t="n">
        <x:f>H937*'Assumptions'!$Y$63*'Assumptions'!$Z$63*'Assumptions'!$D$11*(1+'Assumptions'!$D$13)^(8-1)</x:f>
        <x:v>284.33254308059486</x:v>
      </x:c>
      <x:c r="S937" s="10" t="n">
        <x:f>IF(I937=0,0,J937*'Assumptions'!$W$63+H937*'Assumptions'!$X$63)</x:f>
        <x:v>213.589238657877</x:v>
      </x:c>
      <x:c r="T937" s="10" t="n">
        <x:f>N937*'Assumptions'!$AA$63</x:f>
        <x:v>273.39510684641886</x:v>
      </x:c>
      <x:c r="U937" s="10" t="n">
        <x:f>'Assumptions'!$AE$63*'Assumptions'!$D$11*(1+'Assumptions'!$D$13)^(8-1)</x:f>
        <x:v>0</x:v>
      </x:c>
      <x:c r="V937" s="10" t="n">
        <x:f>0</x:f>
        <x:v>0</x:v>
      </x:c>
      <x:c r="W937" s="10" t="n">
        <x:f>H937*('Assumptions'!$P$63+'Assumptions'!$Y$63)</x:f>
        <x:v>69.35651315325</x:v>
      </x:c>
      <x:c r="X937" s="10" t="n">
        <x:f>N937/12*'Assumptions'!$AF$63</x:f>
        <x:v>569.5731392633726</x:v>
      </x:c>
      <x:c r="Y937" s="10" t="n">
        <x:f>P937/12</x:f>
        <x:v>0</x:v>
      </x:c>
      <x:c r="Z937" s="10" t="n">
        <x:f>0</x:f>
        <x:v>0</x:v>
      </x:c>
      <x:c r="AA937" s="10" t="n">
        <x:f>Z937*'Assumptions'!$AC$63*'Assumptions'!$D$11*(1+'Assumptions'!$D$13)^(8-1)</x:f>
        <x:v>0</x:v>
      </x:c>
      <x:c r="AB937" s="10" t="n">
        <x:f>F937/1</x:f>
        <x:v>15.998616007000004</x:v>
      </x:c>
      <x:c r="AC937" s="10" t="n">
        <x:f>AB937/'Assumptions'!$AM$63</x:f>
        <x:v>79.99308003500002</x:v>
      </x:c>
      <x:c r="AD937" s="10" t="n">
        <x:f>IF(AB937=0,0,T937/AB937)</x:f>
        <x:v>17.08867234058234</x:v>
      </x:c>
      <x:c r="AE937" s="10" t="n">
        <x:f>AA937*'Assumptions'!$D$21</x:f>
        <x:v>0</x:v>
      </x:c>
    </x:row>
    <x:row r="938" ht="16" customHeight="1">
      <x:c r="A938" s="1"/>
      <x:c r="B938" s="1"/>
      <x:c r="C938" s="1" t="str">
        <x:v>DOT-035</x:v>
      </x:c>
      <x:c r="D938" s="10" t="str">
        <x:v>Spindle</x:v>
      </x:c>
      <x:c r="E938" s="10" t="n">
        <x:v>8</x:v>
      </x:c>
      <x:c r="F938" s="21" t="n">
        <x:f>F810*(1+'Assumptions'!$M$64)</x:f>
        <x:v>81.57163345920002</x:v>
      </x:c>
      <x:c r="G938" s="21" t="n">
        <x:f>H810*'Assumptions'!$K$64</x:f>
        <x:v>152.39008276799998</x:v>
      </x:c>
      <x:c r="H938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938+G938,NA())</x:f>
        <x:v>233.9617162272</x:v>
      </x:c>
      <x:c r="I938" s="22" t="n">
        <x:f>'Assumptions'!$H$64*IF('Assumptions'!$O$64=1,1,'Assumptions'!$D$10)*(1+'Assumptions'!$N$64)^(8-1)</x:f>
        <x:v>56.28559771481472</x:v>
      </x:c>
      <x:c r="J938" s="10" t="n">
        <x:f>H938*I938</x:f>
        <x:v>13168.675040231818</x:v>
      </x:c>
      <x:c r="K938" s="10" t="n">
        <x:f>J938*'Assumptions'!$T$64</x:f>
        <x:v>13168.675040231818</x:v>
      </x:c>
      <x:c r="L938" s="10" t="n">
        <x:f>K938*'Assumptions'!$U$64</x:f>
        <x:v>395.0602512069545</x:v>
      </x:c>
      <x:c r="M938" s="10" t="n">
        <x:f>K938*'Assumptions'!$V$64</x:f>
        <x:v>0</x:v>
      </x:c>
      <x:c r="N938" s="10" t="n">
        <x:f>K938-L938-M938</x:f>
        <x:v>12773.614789024863</x:v>
      </x:c>
      <x:c r="O938" s="10" t="n">
        <x:f>H938*'Assumptions'!$P$64*'Assumptions'!$Q$64*'Assumptions'!$D$11*(1+'Assumptions'!$D$13)^(8-1)</x:f>
        <x:v>1510.6528515633609</x:v>
      </x:c>
      <x:c r="P938" s="10" t="n">
        <x:f>H938*'Assumptions'!$R$64*'Assumptions'!$D$11*(1+'Assumptions'!$D$13)^(8-1)</x:f>
        <x:v>0</x:v>
      </x:c>
      <x:c r="Q938" s="10" t="n">
        <x:f>J938*'Assumptions'!$S$64</x:f>
        <x:v>0</x:v>
      </x:c>
      <x:c r="R938" s="10" t="n">
        <x:f>H938*'Assumptions'!$Y$64*'Assumptions'!$Z$64*'Assumptions'!$D$11*(1+'Assumptions'!$D$13)^(8-1)</x:f>
        <x:v>1294.8453013400238</x:v>
      </x:c>
      <x:c r="S938" s="10" t="n">
        <x:f>IF(I938=0,0,J938*'Assumptions'!$W$64+H938*'Assumptions'!$X$64)</x:f>
        <x:v>452.0800910348827</x:v>
      </x:c>
      <x:c r="T938" s="10" t="n">
        <x:f>N938*'Assumptions'!$AA$64</x:f>
        <x:v>638.6807394512432</x:v>
      </x:c>
      <x:c r="U938" s="10" t="n">
        <x:f>'Assumptions'!$AE$64*'Assumptions'!$D$11*(1+'Assumptions'!$D$13)^(8-1)</x:f>
        <x:v>147.58486385098442</x:v>
      </x:c>
      <x:c r="V938" s="10" t="n">
        <x:f>0</x:f>
        <x:v>0</x:v>
      </x:c>
      <x:c r="W938" s="10" t="n">
        <x:f>H938*('Assumptions'!$P$64+'Assumptions'!$Y$64)</x:f>
        <x:v>70.18851486816</x:v>
      </x:c>
      <x:c r="X938" s="10" t="n">
        <x:f>N938/12*'Assumptions'!$AF$64</x:f>
        <x:v>0</x:v>
      </x:c>
      <x:c r="Y938" s="10" t="n">
        <x:f>P938/12</x:f>
        <x:v>0</x:v>
      </x:c>
      <x:c r="Z938" s="10" t="n">
        <x:f>0</x:f>
        <x:v>0</x:v>
      </x:c>
      <x:c r="AA938" s="10" t="n">
        <x:f>Z938*'Assumptions'!$AC$64*'Assumptions'!$D$11*(1+'Assumptions'!$D$13)^(8-1)</x:f>
        <x:v>0</x:v>
      </x:c>
      <x:c r="AB938" s="10" t="n">
        <x:f>F938/12</x:f>
        <x:v>6.797636121600001</x:v>
      </x:c>
      <x:c r="AC938" s="10" t="n">
        <x:f>AB938/'Assumptions'!$AM$64</x:f>
        <x:v>135.952722432</x:v>
      </x:c>
      <x:c r="AD938" s="10" t="n">
        <x:f>IF(AB938=0,0,T938/AB938)</x:f>
        <x:v>93.95630010582458</x:v>
      </x:c>
      <x:c r="AE938" s="10" t="n">
        <x:f>AA938*'Assumptions'!$D$21</x:f>
        <x:v>0</x:v>
      </x:c>
    </x:row>
    <x:row r="939" ht="16" customHeight="1">
      <x:c r="A939" s="1"/>
      <x:c r="B939" s="1"/>
      <x:c r="C939" s="1" t="str">
        <x:v>DOT-036</x:v>
      </x:c>
      <x:c r="D939" s="10" t="str">
        <x:v>Spindle</x:v>
      </x:c>
      <x:c r="E939" s="10" t="n">
        <x:v>8</x:v>
      </x:c>
      <x:c r="F939" s="21" t="n">
        <x:f>F811*(1+'Assumptions'!$M$65)</x:f>
        <x:v>15.998616007000004</x:v>
      </x:c>
      <x:c r="G939" s="21" t="n">
        <x:f>H811*'Assumptions'!$K$65</x:f>
        <x:v>14.826500950000003</x:v>
      </x:c>
      <x:c r="H939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939+G939,NA())</x:f>
        <x:v>30.825116957000006</x:v>
      </x:c>
      <x:c r="I939" s="22" t="n">
        <x:f>'Assumptions'!$H$65*IF('Assumptions'!$O$65=1,1,'Assumptions'!$D$10)*(1+'Assumptions'!$N$65)^(8-1)</x:f>
        <x:v>228.58844786220672</x:v>
      </x:c>
      <x:c r="J939" s="10" t="n">
        <x:f>H939*I939</x:f>
        <x:v>7046.26564037162</x:v>
      </x:c>
      <x:c r="K939" s="10" t="n">
        <x:f>J939*'Assumptions'!$T$65</x:f>
        <x:v>7046.26564037162</x:v>
      </x:c>
      <x:c r="L939" s="10" t="n">
        <x:f>K939*'Assumptions'!$U$65</x:f>
        <x:v>211.3879692111486</x:v>
      </x:c>
      <x:c r="M939" s="10" t="n">
        <x:f>K939*'Assumptions'!$V$65</x:f>
        <x:v>0</x:v>
      </x:c>
      <x:c r="N939" s="10" t="n">
        <x:f>K939-L939-M939</x:f>
        <x:v>6834.877671160471</x:v>
      </x:c>
      <x:c r="O939" s="10" t="n">
        <x:f>H939*'Assumptions'!$P$65*'Assumptions'!$Q$65*'Assumptions'!$D$11*(1+'Assumptions'!$D$13)^(8-1)</x:f>
        <x:v>3032.8804595263446</x:v>
      </x:c>
      <x:c r="P939" s="10" t="n">
        <x:f>H939*'Assumptions'!$R$65*'Assumptions'!$D$11*(1+'Assumptions'!$D$13)^(8-1)</x:f>
        <x:v>0</x:v>
      </x:c>
      <x:c r="Q939" s="10" t="n">
        <x:f>J939*'Assumptions'!$S$65</x:f>
        <x:v>0</x:v>
      </x:c>
      <x:c r="R939" s="10" t="n">
        <x:f>H939*'Assumptions'!$Y$65*'Assumptions'!$Z$65*'Assumptions'!$D$11*(1+'Assumptions'!$D$13)^(8-1)</x:f>
        <x:v>284.33254308059486</x:v>
      </x:c>
      <x:c r="S939" s="10" t="n">
        <x:f>IF(I939=0,0,J939*'Assumptions'!$W$65+H939*'Assumptions'!$X$65)</x:f>
        <x:v>213.589238657877</x:v>
      </x:c>
      <x:c r="T939" s="10" t="n">
        <x:f>N939*'Assumptions'!$AA$65</x:f>
        <x:v>273.39510684641886</x:v>
      </x:c>
      <x:c r="U939" s="10" t="n">
        <x:f>'Assumptions'!$AE$65*'Assumptions'!$D$11*(1+'Assumptions'!$D$13)^(8-1)</x:f>
        <x:v>0</x:v>
      </x:c>
      <x:c r="V939" s="10" t="n">
        <x:f>0</x:f>
        <x:v>0</x:v>
      </x:c>
      <x:c r="W939" s="10" t="n">
        <x:f>H939*('Assumptions'!$P$65+'Assumptions'!$Y$65)</x:f>
        <x:v>69.35651315325</x:v>
      </x:c>
      <x:c r="X939" s="10" t="n">
        <x:f>N939/12*'Assumptions'!$AF$65</x:f>
        <x:v>569.5731392633726</x:v>
      </x:c>
      <x:c r="Y939" s="10" t="n">
        <x:f>P939/12</x:f>
        <x:v>0</x:v>
      </x:c>
      <x:c r="Z939" s="10" t="n">
        <x:f>0</x:f>
        <x:v>0</x:v>
      </x:c>
      <x:c r="AA939" s="10" t="n">
        <x:f>Z939*'Assumptions'!$AC$65*'Assumptions'!$D$11*(1+'Assumptions'!$D$13)^(8-1)</x:f>
        <x:v>0</x:v>
      </x:c>
      <x:c r="AB939" s="10" t="n">
        <x:f>F939/1</x:f>
        <x:v>15.998616007000004</x:v>
      </x:c>
      <x:c r="AC939" s="10" t="n">
        <x:f>AB939/'Assumptions'!$AM$65</x:f>
        <x:v>79.99308003500002</x:v>
      </x:c>
      <x:c r="AD939" s="10" t="n">
        <x:f>IF(AB939=0,0,T939/AB939)</x:f>
        <x:v>17.08867234058234</x:v>
      </x:c>
      <x:c r="AE939" s="10" t="n">
        <x:f>AA939*'Assumptions'!$D$21</x:f>
        <x:v>0</x:v>
      </x:c>
    </x:row>
    <x:row r="940" ht="16" customHeight="1">
      <x:c r="A940" s="1"/>
      <x:c r="B940" s="1"/>
      <x:c r="C940" s="1" t="str">
        <x:v>DOT-037</x:v>
      </x:c>
      <x:c r="D940" s="10" t="str">
        <x:v>Maison Contour</x:v>
      </x:c>
      <x:c r="E940" s="10" t="n">
        <x:v>8</x:v>
      </x:c>
      <x:c r="F940" s="21" t="n">
        <x:f>F812*(1+'Assumptions'!$M$66)</x:f>
        <x:v>81.57163345920002</x:v>
      </x:c>
      <x:c r="G940" s="21" t="n">
        <x:f>H812*'Assumptions'!$K$66</x:f>
        <x:v>152.39008276799998</x:v>
      </x:c>
      <x:c r="H940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940+G940,NA())</x:f>
        <x:v>233.9617162272</x:v>
      </x:c>
      <x:c r="I940" s="22" t="n">
        <x:f>'Assumptions'!$H$66*IF('Assumptions'!$O$66=1,1,'Assumptions'!$D$10)*(1+'Assumptions'!$N$66)^(8-1)</x:f>
        <x:v>90.74616774429312</x:v>
      </x:c>
      <x:c r="J940" s="10" t="n">
        <x:f>H940*I940</x:f>
        <x:v>21231.129146496194</x:v>
      </x:c>
      <x:c r="K940" s="10" t="n">
        <x:f>J940*'Assumptions'!$T$66</x:f>
        <x:v>21231.129146496194</x:v>
      </x:c>
      <x:c r="L940" s="10" t="n">
        <x:f>K940*'Assumptions'!$U$66</x:f>
        <x:v>636.9338743948858</x:v>
      </x:c>
      <x:c r="M940" s="10" t="n">
        <x:f>K940*'Assumptions'!$V$66</x:f>
        <x:v>0</x:v>
      </x:c>
      <x:c r="N940" s="10" t="n">
        <x:f>K940-L940-M940</x:f>
        <x:v>20594.195272101308</x:v>
      </x:c>
      <x:c r="O940" s="10" t="n">
        <x:f>H940*'Assumptions'!$P$66*'Assumptions'!$Q$66*'Assumptions'!$D$11*(1+'Assumptions'!$D$13)^(8-1)</x:f>
        <x:v>1510.6528515633609</x:v>
      </x:c>
      <x:c r="P940" s="10" t="n">
        <x:f>H940*'Assumptions'!$R$66*'Assumptions'!$D$11*(1+'Assumptions'!$D$13)^(8-1)</x:f>
        <x:v>0</x:v>
      </x:c>
      <x:c r="Q940" s="10" t="n">
        <x:f>J940*'Assumptions'!$S$66</x:f>
        <x:v>0</x:v>
      </x:c>
      <x:c r="R940" s="10" t="n">
        <x:f>H940*'Assumptions'!$Y$66*'Assumptions'!$Z$66*'Assumptions'!$D$11*(1+'Assumptions'!$D$13)^(8-1)</x:f>
        <x:v>1294.8453013400238</x:v>
      </x:c>
      <x:c r="S940" s="10" t="n">
        <x:f>IF(I940=0,0,J940*'Assumptions'!$W$66+H940*'Assumptions'!$X$66)</x:f>
        <x:v>685.8912601165497</x:v>
      </x:c>
      <x:c r="T940" s="10" t="n">
        <x:f>N940*'Assumptions'!$AA$66</x:f>
        <x:v>1029.7097636050655</x:v>
      </x:c>
      <x:c r="U940" s="10" t="n">
        <x:f>'Assumptions'!$AE$66*'Assumptions'!$D$11*(1+'Assumptions'!$D$13)^(8-1)</x:f>
        <x:v>147.58486385098442</x:v>
      </x:c>
      <x:c r="V940" s="10" t="n">
        <x:f>0</x:f>
        <x:v>0</x:v>
      </x:c>
      <x:c r="W940" s="10" t="n">
        <x:f>H940*('Assumptions'!$P$66+'Assumptions'!$Y$66)</x:f>
        <x:v>70.18851486816</x:v>
      </x:c>
      <x:c r="X940" s="10" t="n">
        <x:f>N940/12*'Assumptions'!$AF$66</x:f>
        <x:v>0</x:v>
      </x:c>
      <x:c r="Y940" s="10" t="n">
        <x:f>P940/12</x:f>
        <x:v>0</x:v>
      </x:c>
      <x:c r="Z940" s="10" t="n">
        <x:f>0</x:f>
        <x:v>0</x:v>
      </x:c>
      <x:c r="AA940" s="10" t="n">
        <x:f>Z940*'Assumptions'!$AC$66*'Assumptions'!$D$11*(1+'Assumptions'!$D$13)^(8-1)</x:f>
        <x:v>0</x:v>
      </x:c>
      <x:c r="AB940" s="10" t="n">
        <x:f>F940/12</x:f>
        <x:v>6.797636121600001</x:v>
      </x:c>
      <x:c r="AC940" s="10" t="n">
        <x:f>AB940/'Assumptions'!$AM$66</x:f>
        <x:v>135.952722432</x:v>
      </x:c>
      <x:c r="AD940" s="10" t="n">
        <x:f>IF(AB940=0,0,T940/AB940)</x:f>
        <x:v>151.48056547673758</x:v>
      </x:c>
      <x:c r="AE940" s="10" t="n">
        <x:f>AA940*'Assumptions'!$D$21</x:f>
        <x:v>0</x:v>
      </x:c>
    </x:row>
    <x:row r="941" ht="16" customHeight="1">
      <x:c r="A941" s="1"/>
      <x:c r="B941" s="1"/>
      <x:c r="C941" s="1" t="str">
        <x:v>DOT-038</x:v>
      </x:c>
      <x:c r="D941" s="10" t="str">
        <x:v>Maison Contour</x:v>
      </x:c>
      <x:c r="E941" s="10" t="n">
        <x:v>8</x:v>
      </x:c>
      <x:c r="F941" s="21" t="n">
        <x:f>F813*(1+'Assumptions'!$M$67)</x:f>
        <x:v>15.998616007000004</x:v>
      </x:c>
      <x:c r="G941" s="21" t="n">
        <x:f>H813*'Assumptions'!$K$67</x:f>
        <x:v>14.826500950000003</x:v>
      </x:c>
      <x:c r="H941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941+G941,NA())</x:f>
        <x:v>30.825116957000006</x:v>
      </x:c>
      <x:c r="I941" s="22" t="n">
        <x:f>'Assumptions'!$H$67*IF('Assumptions'!$O$67=1,1,'Assumptions'!$D$10)*(1+'Assumptions'!$N$67)^(8-1)</x:f>
        <x:v>228.58844786220672</x:v>
      </x:c>
      <x:c r="J941" s="10" t="n">
        <x:f>H941*I941</x:f>
        <x:v>7046.26564037162</x:v>
      </x:c>
      <x:c r="K941" s="10" t="n">
        <x:f>J941*'Assumptions'!$T$67</x:f>
        <x:v>7046.26564037162</x:v>
      </x:c>
      <x:c r="L941" s="10" t="n">
        <x:f>K941*'Assumptions'!$U$67</x:f>
        <x:v>211.3879692111486</x:v>
      </x:c>
      <x:c r="M941" s="10" t="n">
        <x:f>K941*'Assumptions'!$V$67</x:f>
        <x:v>0</x:v>
      </x:c>
      <x:c r="N941" s="10" t="n">
        <x:f>K941-L941-M941</x:f>
        <x:v>6834.877671160471</x:v>
      </x:c>
      <x:c r="O941" s="10" t="n">
        <x:f>H941*'Assumptions'!$P$67*'Assumptions'!$Q$67*'Assumptions'!$D$11*(1+'Assumptions'!$D$13)^(8-1)</x:f>
        <x:v>3032.8804595263446</x:v>
      </x:c>
      <x:c r="P941" s="10" t="n">
        <x:f>H941*'Assumptions'!$R$67*'Assumptions'!$D$11*(1+'Assumptions'!$D$13)^(8-1)</x:f>
        <x:v>0</x:v>
      </x:c>
      <x:c r="Q941" s="10" t="n">
        <x:f>J941*'Assumptions'!$S$67</x:f>
        <x:v>0</x:v>
      </x:c>
      <x:c r="R941" s="10" t="n">
        <x:f>H941*'Assumptions'!$Y$67*'Assumptions'!$Z$67*'Assumptions'!$D$11*(1+'Assumptions'!$D$13)^(8-1)</x:f>
        <x:v>284.33254308059486</x:v>
      </x:c>
      <x:c r="S941" s="10" t="n">
        <x:f>IF(I941=0,0,J941*'Assumptions'!$W$67+H941*'Assumptions'!$X$67)</x:f>
        <x:v>213.589238657877</x:v>
      </x:c>
      <x:c r="T941" s="10" t="n">
        <x:f>N941*'Assumptions'!$AA$67</x:f>
        <x:v>273.39510684641886</x:v>
      </x:c>
      <x:c r="U941" s="10" t="n">
        <x:f>'Assumptions'!$AE$67*'Assumptions'!$D$11*(1+'Assumptions'!$D$13)^(8-1)</x:f>
        <x:v>0</x:v>
      </x:c>
      <x:c r="V941" s="10" t="n">
        <x:f>0</x:f>
        <x:v>0</x:v>
      </x:c>
      <x:c r="W941" s="10" t="n">
        <x:f>H941*('Assumptions'!$P$67+'Assumptions'!$Y$67)</x:f>
        <x:v>69.35651315325</x:v>
      </x:c>
      <x:c r="X941" s="10" t="n">
        <x:f>N941/12*'Assumptions'!$AF$67</x:f>
        <x:v>569.5731392633726</x:v>
      </x:c>
      <x:c r="Y941" s="10" t="n">
        <x:f>P941/12</x:f>
        <x:v>0</x:v>
      </x:c>
      <x:c r="Z941" s="10" t="n">
        <x:f>0</x:f>
        <x:v>0</x:v>
      </x:c>
      <x:c r="AA941" s="10" t="n">
        <x:f>Z941*'Assumptions'!$AC$67*'Assumptions'!$D$11*(1+'Assumptions'!$D$13)^(8-1)</x:f>
        <x:v>0</x:v>
      </x:c>
      <x:c r="AB941" s="10" t="n">
        <x:f>F941/1</x:f>
        <x:v>15.998616007000004</x:v>
      </x:c>
      <x:c r="AC941" s="10" t="n">
        <x:f>AB941/'Assumptions'!$AM$67</x:f>
        <x:v>79.99308003500002</x:v>
      </x:c>
      <x:c r="AD941" s="10" t="n">
        <x:f>IF(AB941=0,0,T941/AB941)</x:f>
        <x:v>17.08867234058234</x:v>
      </x:c>
      <x:c r="AE941" s="10" t="n">
        <x:f>AA941*'Assumptions'!$D$21</x:f>
        <x:v>0</x:v>
      </x:c>
    </x:row>
    <x:row r="942" ht="16" customHeight="1">
      <x:c r="A942" s="1"/>
      <x:c r="B942" s="1"/>
      <x:c r="C942" s="1" t="str">
        <x:v>DOT-039</x:v>
      </x:c>
      <x:c r="D942" s="10" t="str">
        <x:v>DishLoom US</x:v>
      </x:c>
      <x:c r="E942" s="10" t="n">
        <x:v>8</x:v>
      </x:c>
      <x:c r="F942" s="21" t="n">
        <x:f>F814*(1+'Assumptions'!$M$68)</x:f>
        <x:v>81.57163345920002</x:v>
      </x:c>
      <x:c r="G942" s="21" t="n">
        <x:f>H814*'Assumptions'!$K$68</x:f>
        <x:v>152.39008276799998</x:v>
      </x:c>
      <x:c r="H942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942+G942,NA())</x:f>
        <x:v>233.9617162272</x:v>
      </x:c>
      <x:c r="I942" s="22" t="n">
        <x:f>'Assumptions'!$H$68*IF('Assumptions'!$O$68=1,1,'Assumptions'!$D$10)*(1+'Assumptions'!$N$68)^(8-1)</x:f>
        <x:v>44.79874103832192</x:v>
      </x:c>
      <x:c r="J942" s="10" t="n">
        <x:f>H942*I942</x:f>
        <x:v>10481.190338143691</x:v>
      </x:c>
      <x:c r="K942" s="10" t="n">
        <x:f>J942*'Assumptions'!$T$68</x:f>
        <x:v>10481.190338143691</x:v>
      </x:c>
      <x:c r="L942" s="10" t="n">
        <x:f>K942*'Assumptions'!$U$68</x:f>
        <x:v>314.43571014431075</x:v>
      </x:c>
      <x:c r="M942" s="10" t="n">
        <x:f>K942*'Assumptions'!$V$68</x:f>
        <x:v>0</x:v>
      </x:c>
      <x:c r="N942" s="10" t="n">
        <x:f>K942-L942-M942</x:f>
        <x:v>10166.75462799938</x:v>
      </x:c>
      <x:c r="O942" s="10" t="n">
        <x:f>H942*'Assumptions'!$P$68*'Assumptions'!$Q$68*'Assumptions'!$D$11*(1+'Assumptions'!$D$13)^(8-1)</x:f>
        <x:v>1510.6528515633609</x:v>
      </x:c>
      <x:c r="P942" s="10" t="n">
        <x:f>H942*'Assumptions'!$R$68*'Assumptions'!$D$11*(1+'Assumptions'!$D$13)^(8-1)</x:f>
        <x:v>0</x:v>
      </x:c>
      <x:c r="Q942" s="10" t="n">
        <x:f>J942*'Assumptions'!$S$68</x:f>
        <x:v>0</x:v>
      </x:c>
      <x:c r="R942" s="10" t="n">
        <x:f>H942*'Assumptions'!$Y$68*'Assumptions'!$Z$68*'Assumptions'!$D$11*(1+'Assumptions'!$D$13)^(8-1)</x:f>
        <x:v>1294.8453013400238</x:v>
      </x:c>
      <x:c r="S942" s="10" t="n">
        <x:f>IF(I942=0,0,J942*'Assumptions'!$W$68+H942*'Assumptions'!$X$68)</x:f>
        <x:v>374.14303467432705</x:v>
      </x:c>
      <x:c r="T942" s="10" t="n">
        <x:f>N942*'Assumptions'!$AA$68</x:f>
        <x:v>508.337731399969</x:v>
      </x:c>
      <x:c r="U942" s="10" t="n">
        <x:f>'Assumptions'!$AE$68*'Assumptions'!$D$11*(1+'Assumptions'!$D$13)^(8-1)</x:f>
        <x:v>147.58486385098442</x:v>
      </x:c>
      <x:c r="V942" s="10" t="n">
        <x:f>0</x:f>
        <x:v>0</x:v>
      </x:c>
      <x:c r="W942" s="10" t="n">
        <x:f>H942*('Assumptions'!$P$68+'Assumptions'!$Y$68)</x:f>
        <x:v>70.18851486816</x:v>
      </x:c>
      <x:c r="X942" s="10" t="n">
        <x:f>N942/12*'Assumptions'!$AF$68</x:f>
        <x:v>0</x:v>
      </x:c>
      <x:c r="Y942" s="10" t="n">
        <x:f>P942/12</x:f>
        <x:v>0</x:v>
      </x:c>
      <x:c r="Z942" s="10" t="n">
        <x:f>0</x:f>
        <x:v>0</x:v>
      </x:c>
      <x:c r="AA942" s="10" t="n">
        <x:f>Z942*'Assumptions'!$AC$68*'Assumptions'!$D$11*(1+'Assumptions'!$D$13)^(8-1)</x:f>
        <x:v>0</x:v>
      </x:c>
      <x:c r="AB942" s="10" t="n">
        <x:f>F942/12</x:f>
        <x:v>6.797636121600001</x:v>
      </x:c>
      <x:c r="AC942" s="10" t="n">
        <x:f>AB942/'Assumptions'!$AM$68</x:f>
        <x:v>135.952722432</x:v>
      </x:c>
      <x:c r="AD942" s="10" t="n">
        <x:f>IF(AB942=0,0,T942/AB942)</x:f>
        <x:v>74.7815449821869</x:v>
      </x:c>
      <x:c r="AE942" s="10" t="n">
        <x:f>AA942*'Assumptions'!$D$21</x:f>
        <x:v>0</x:v>
      </x:c>
    </x:row>
    <x:row r="943" ht="16" customHeight="1">
      <x:c r="A943" s="1"/>
      <x:c r="B943" s="1"/>
      <x:c r="C943" s="1" t="str">
        <x:v>DOT-040</x:v>
      </x:c>
      <x:c r="D943" s="10" t="str">
        <x:v>DishLoom US</x:v>
      </x:c>
      <x:c r="E943" s="10" t="n">
        <x:v>8</x:v>
      </x:c>
      <x:c r="F943" s="21" t="n">
        <x:f>F815*(1+'Assumptions'!$M$69)</x:f>
        <x:v>163.14326691840003</x:v>
      </x:c>
      <x:c r="G943" s="21" t="n">
        <x:f>H815*'Assumptions'!$K$69</x:f>
        <x:v>304.78016553599997</x:v>
      </x:c>
      <x:c r="H943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943+G943,NA())</x:f>
        <x:v>467.9234324544</x:v>
      </x:c>
      <x:c r="I943" s="22" t="n">
        <x:f>'Assumptions'!$H$69*IF('Assumptions'!$O$69=1,1,'Assumptions'!$D$10)*(1+'Assumptions'!$N$69)^(8-1)</x:f>
        <x:v>10.33817100884352</x:v>
      </x:c>
      <x:c r="J943" s="10" t="n">
        <x:f>H943*I943</x:f>
        <x:v>4837.472463758627</x:v>
      </x:c>
      <x:c r="K943" s="10" t="n">
        <x:f>J943*'Assumptions'!$T$69</x:f>
        <x:v>4837.472463758627</x:v>
      </x:c>
      <x:c r="L943" s="10" t="n">
        <x:f>K943*'Assumptions'!$U$69</x:f>
        <x:v>145.1241739127588</x:v>
      </x:c>
      <x:c r="M943" s="10" t="n">
        <x:f>K943*'Assumptions'!$V$69</x:f>
        <x:v>0</x:v>
      </x:c>
      <x:c r="N943" s="10" t="n">
        <x:f>K943-L943-M943</x:f>
        <x:v>4692.348289845868</x:v>
      </x:c>
      <x:c r="O943" s="10" t="n">
        <x:f>H943*'Assumptions'!$P$69*'Assumptions'!$Q$69*'Assumptions'!$D$11*(1+'Assumptions'!$D$13)^(8-1)</x:f>
        <x:v>1007.1019010422407</x:v>
      </x:c>
      <x:c r="P943" s="10" t="n">
        <x:f>H943*'Assumptions'!$R$69*'Assumptions'!$D$11*(1+'Assumptions'!$D$13)^(8-1)</x:f>
        <x:v>0</x:v>
      </x:c>
      <x:c r="Q943" s="10" t="n">
        <x:f>J943*'Assumptions'!$S$69</x:f>
        <x:v>0</x:v>
      </x:c>
      <x:c r="R943" s="10" t="n">
        <x:f>H943*'Assumptions'!$Y$69*'Assumptions'!$Z$69*'Assumptions'!$D$11*(1+'Assumptions'!$D$13)^(8-1)</x:f>
        <x:v>2589.6906026800475</x:v>
      </x:c>
      <x:c r="S943" s="10" t="n">
        <x:f>IF(I943=0,0,J943*'Assumptions'!$W$69+H943*'Assumptions'!$X$69)</x:f>
        <x:v>280.6637311853202</x:v>
      </x:c>
      <x:c r="T943" s="10" t="n">
        <x:f>N943*'Assumptions'!$AA$69</x:f>
        <x:v>234.6174144922934</x:v>
      </x:c>
      <x:c r="U943" s="10" t="n">
        <x:f>'Assumptions'!$AE$69*'Assumptions'!$D$11*(1+'Assumptions'!$D$13)^(8-1)</x:f>
        <x:v>0</x:v>
      </x:c>
      <x:c r="V943" s="10" t="n">
        <x:f>0</x:f>
        <x:v>0</x:v>
      </x:c>
      <x:c r="W943" s="10" t="n">
        <x:f>H943*('Assumptions'!$P$69+'Assumptions'!$Y$69)</x:f>
        <x:v>93.58468649088</x:v>
      </x:c>
      <x:c r="X943" s="10" t="n">
        <x:f>N943/12*'Assumptions'!$AF$69</x:f>
        <x:v>0</x:v>
      </x:c>
      <x:c r="Y943" s="10" t="n">
        <x:f>P943/12</x:f>
        <x:v>0</x:v>
      </x:c>
      <x:c r="Z943" s="10" t="n">
        <x:f>0</x:f>
        <x:v>0</x:v>
      </x:c>
      <x:c r="AA943" s="10" t="n">
        <x:f>Z943*'Assumptions'!$AC$69*'Assumptions'!$D$11*(1+'Assumptions'!$D$13)^(8-1)</x:f>
        <x:v>0</x:v>
      </x:c>
      <x:c r="AB943" s="10" t="n">
        <x:f>F943/1</x:f>
        <x:v>163.14326691840003</x:v>
      </x:c>
      <x:c r="AC943" s="10" t="n">
        <x:f>AB943/'Assumptions'!$AM$69</x:f>
        <x:v>3262.8653383680003</x:v>
      </x:c>
      <x:c r="AD943" s="10" t="n">
        <x:f>IF(AB943=0,0,T943/AB943)</x:f>
        <x:v>1.438106634272825</x:v>
      </x:c>
      <x:c r="AE943" s="10" t="n">
        <x:f>AA943*'Assumptions'!$D$21</x:f>
        <x:v>0</x:v>
      </x:c>
    </x:row>
    <x:row r="944" ht="16" customHeight="1">
      <x:c r="A944" s="1"/>
      <x:c r="B944" s="1"/>
      <x:c r="C944" s="1" t="str">
        <x:v>DOT-041</x:v>
      </x:c>
      <x:c r="D944" s="10" t="str">
        <x:v>DishLoom US</x:v>
      </x:c>
      <x:c r="E944" s="10" t="n">
        <x:v>8</x:v>
      </x:c>
      <x:c r="F944" s="21" t="n">
        <x:f>F816*(1+'Assumptions'!$M$70)</x:f>
        <x:v>203.92908364800002</x:v>
      </x:c>
      <x:c r="G944" s="21" t="n">
        <x:f>H816*'Assumptions'!$K$70</x:f>
        <x:v>380.97520691999995</x:v>
      </x:c>
      <x:c r="H944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944+G944,NA())</x:f>
        <x:v>584.904290568</x:v>
      </x:c>
      <x:c r="I944" s="22" t="n">
        <x:f>'Assumptions'!$H$70*IF('Assumptions'!$O$70=1,1,'Assumptions'!$D$10)*(1+'Assumptions'!$N$70)^(8-1)</x:f>
        <x:v>114.868566764928</x:v>
      </x:c>
      <x:c r="J944" s="10" t="n">
        <x:f>H944*I944</x:f>
        <x:v>67187.11755220316</x:v>
      </x:c>
      <x:c r="K944" s="10" t="n">
        <x:f>J944*'Assumptions'!$T$70</x:f>
        <x:v>10078.067632830473</x:v>
      </x:c>
      <x:c r="L944" s="10" t="n">
        <x:f>K944*'Assumptions'!$U$70</x:f>
        <x:v>302.3420289849142</x:v>
      </x:c>
      <x:c r="M944" s="10" t="n">
        <x:f>K944*'Assumptions'!$V$70</x:f>
        <x:v>0</x:v>
      </x:c>
      <x:c r="N944" s="10" t="n">
        <x:f>K944-L944-M944</x:f>
        <x:v>9775.725603845558</x:v>
      </x:c>
      <x:c r="O944" s="10" t="n">
        <x:f>H944*'Assumptions'!$P$70*'Assumptions'!$Q$70*'Assumptions'!$D$11*(1+'Assumptions'!$D$13)^(8-1)</x:f>
        <x:v>2517.7547526056014</x:v>
      </x:c>
      <x:c r="P944" s="10" t="n">
        <x:f>H944*'Assumptions'!$R$70*'Assumptions'!$D$11*(1+'Assumptions'!$D$13)^(8-1)</x:f>
        <x:v>0</x:v>
      </x:c>
      <x:c r="Q944" s="10" t="n">
        <x:f>J944*'Assumptions'!$S$70</x:f>
        <x:v>0</x:v>
      </x:c>
      <x:c r="R944" s="10" t="n">
        <x:f>H944*'Assumptions'!$Y$70*'Assumptions'!$Z$70*'Assumptions'!$D$11*(1+'Assumptions'!$D$13)^(8-1)</x:f>
        <x:v>3237.113253350059</x:v>
      </x:c>
      <x:c r="S944" s="10" t="n">
        <x:f>IF(I944=0,0,J944*'Assumptions'!$W$70+H944*'Assumptions'!$X$70)</x:f>
        <x:v>2123.8976961842914</x:v>
      </x:c>
      <x:c r="T944" s="10" t="n">
        <x:f>N944*'Assumptions'!$AA$70</x:f>
        <x:v>488.7862801922779</x:v>
      </x:c>
      <x:c r="U944" s="10" t="n">
        <x:f>'Assumptions'!$AE$70*'Assumptions'!$D$11*(1+'Assumptions'!$D$13)^(8-1)</x:f>
        <x:v>0</x:v>
      </x:c>
      <x:c r="V944" s="10" t="n">
        <x:f>0</x:f>
        <x:v>0</x:v>
      </x:c>
      <x:c r="W944" s="10" t="n">
        <x:f>H944*('Assumptions'!$P$70+'Assumptions'!$Y$70)</x:f>
        <x:v>146.226072642</x:v>
      </x:c>
      <x:c r="X944" s="10" t="n">
        <x:f>N944/12*'Assumptions'!$AF$70</x:f>
        <x:v>0</x:v>
      </x:c>
      <x:c r="Y944" s="10" t="n">
        <x:f>P944/12</x:f>
        <x:v>0</x:v>
      </x:c>
      <x:c r="Z944" s="10" t="n">
        <x:f>0</x:f>
        <x:v>0</x:v>
      </x:c>
      <x:c r="AA944" s="10" t="n">
        <x:f>Z944*'Assumptions'!$AC$70*'Assumptions'!$D$11*(1+'Assumptions'!$D$13)^(8-1)</x:f>
        <x:v>0</x:v>
      </x:c>
      <x:c r="AB944" s="10" t="n">
        <x:f>F944/1</x:f>
        <x:v>203.92908364800002</x:v>
      </x:c>
      <x:c r="AC944" s="10" t="n">
        <x:f>AB944/'Assumptions'!$AM$70</x:f>
        <x:v>4078.58167296</x:v>
      </x:c>
      <x:c r="AD944" s="10" t="n">
        <x:f>IF(AB944=0,0,T944/AB944)</x:f>
        <x:v>2.3968443904547088</x:v>
      </x:c>
      <x:c r="AE944" s="10" t="n">
        <x:f>AA944*'Assumptions'!$D$21</x:f>
        <x:v>0</x:v>
      </x:c>
    </x:row>
    <x:row r="945" ht="16" customHeight="1">
      <x:c r="A945" s="1"/>
      <x:c r="B945" s="1"/>
      <x:c r="C945" s="1" t="str">
        <x:v>DOT-042</x:v>
      </x:c>
      <x:c r="D945" s="10" t="str">
        <x:v>Is Makes Travel Easy</x:v>
      </x:c>
      <x:c r="E945" s="10" t="n">
        <x:v>8</x:v>
      </x:c>
      <x:c r="F945" s="21" t="n">
        <x:f>F817*(1+'Assumptions'!$M$71)</x:f>
        <x:v>244.71490037759997</x:v>
      </x:c>
      <x:c r="G945" s="21" t="n">
        <x:f>H817*'Assumptions'!$K$71</x:f>
        <x:v>464.5821353039999</x:v>
      </x:c>
      <x:c r="H945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945+G945,NA())</x:f>
        <x:v>709.2970356815999</x:v>
      </x:c>
      <x:c r="I945" s="22" t="n">
        <x:f>'Assumptions'!$H$71*IF('Assumptions'!$O$71=1,1,'Assumptions'!$D$10)*(1+'Assumptions'!$N$71)^(8-1)</x:f>
        <x:v>33.31188436182912</x:v>
      </x:c>
      <x:c r="J945" s="10" t="n">
        <x:f>H945*I945</x:f>
        <x:v>23628.020830813643</x:v>
      </x:c>
      <x:c r="K945" s="10" t="n">
        <x:f>J945*'Assumptions'!$T$71</x:f>
        <x:v>23628.020830813643</x:v>
      </x:c>
      <x:c r="L945" s="10" t="n">
        <x:f>K945*'Assumptions'!$U$71</x:f>
        <x:v>708.8406249244092</x:v>
      </x:c>
      <x:c r="M945" s="10" t="n">
        <x:f>K945*'Assumptions'!$V$71</x:f>
        <x:v>0</x:v>
      </x:c>
      <x:c r="N945" s="10" t="n">
        <x:f>K945-L945-M945</x:f>
        <x:v>22919.18020588923</x:v>
      </x:c>
      <x:c r="O945" s="10" t="n">
        <x:f>H945*'Assumptions'!$P$71*'Assumptions'!$Q$71*'Assumptions'!$D$11*(1+'Assumptions'!$D$13)^(8-1)</x:f>
        <x:v>3053.2106045284595</x:v>
      </x:c>
      <x:c r="P945" s="10" t="n">
        <x:f>H945*'Assumptions'!$R$71*'Assumptions'!$D$11*(1+'Assumptions'!$D$13)^(8-1)</x:f>
        <x:v>0</x:v>
      </x:c>
      <x:c r="Q945" s="10" t="n">
        <x:f>J945*'Assumptions'!$S$71</x:f>
        <x:v>0</x:v>
      </x:c>
      <x:c r="R945" s="10" t="n">
        <x:f>H945*'Assumptions'!$Y$71*'Assumptions'!$Z$71*'Assumptions'!$D$11*(1+'Assumptions'!$D$13)^(8-1)</x:f>
        <x:v>3925.5564915365917</x:v>
      </x:c>
      <x:c r="S945" s="10" t="n">
        <x:f>IF(I945=0,0,J945*'Assumptions'!$W$71+H945*'Assumptions'!$X$71)</x:f>
        <x:v>898.0017147980757</x:v>
      </x:c>
      <x:c r="T945" s="10" t="n">
        <x:f>N945*'Assumptions'!$AA$71</x:f>
        <x:v>1145.9590102944617</x:v>
      </x:c>
      <x:c r="U945" s="10" t="n">
        <x:f>'Assumptions'!$AE$71*'Assumptions'!$D$11*(1+'Assumptions'!$D$13)^(8-1)</x:f>
        <x:v>295.16972770196884</x:v>
      </x:c>
      <x:c r="V945" s="10" t="n">
        <x:f>0</x:f>
        <x:v>0</x:v>
      </x:c>
      <x:c r="W945" s="10" t="n">
        <x:f>H945*('Assumptions'!$P$71+'Assumptions'!$Y$71)</x:f>
        <x:v>177.32425892039998</x:v>
      </x:c>
      <x:c r="X945" s="10" t="n">
        <x:f>N945/12*'Assumptions'!$AF$71</x:f>
        <x:v>0</x:v>
      </x:c>
      <x:c r="Y945" s="10" t="n">
        <x:f>P945/12</x:f>
        <x:v>0</x:v>
      </x:c>
      <x:c r="Z945" s="10" t="n">
        <x:f>0</x:f>
        <x:v>0</x:v>
      </x:c>
      <x:c r="AA945" s="10" t="n">
        <x:f>Z945*'Assumptions'!$AC$71*'Assumptions'!$D$11*(1+'Assumptions'!$D$13)^(8-1)</x:f>
        <x:v>0</x:v>
      </x:c>
      <x:c r="AB945" s="10" t="n">
        <x:f>F945/1</x:f>
        <x:v>244.71490037759997</x:v>
      </x:c>
      <x:c r="AC945" s="10" t="n">
        <x:f>AB945/'Assumptions'!$AM$71</x:f>
        <x:v>4894.298007551999</x:v>
      </x:c>
      <x:c r="AD945" s="10" t="n">
        <x:f>IF(AB945=0,0,T945/AB945)</x:f>
        <x:v>4.682832996790241</x:v>
      </x:c>
      <x:c r="AE945" s="10" t="n">
        <x:f>AA945*'Assumptions'!$D$21</x:f>
        <x:v>0</x:v>
      </x:c>
    </x:row>
    <x:row r="946" ht="16" customHeight="1">
      <x:c r="A946" s="1"/>
      <x:c r="B946" s="1"/>
      <x:c r="C946" s="1" t="str">
        <x:v>DOT-043</x:v>
      </x:c>
      <x:c r="D946" s="10" t="str">
        <x:v>Is Makes Travel Easy</x:v>
      </x:c>
      <x:c r="E946" s="10" t="n">
        <x:v>8</x:v>
      </x:c>
      <x:c r="F946" s="21" t="n">
        <x:f>F818*(1+'Assumptions'!$M$72)</x:f>
        <x:v>122.35745018879999</x:v>
      </x:c>
      <x:c r="G946" s="21" t="n">
        <x:f>H818*'Assumptions'!$K$72</x:f>
        <x:v>232.29106765199995</x:v>
      </x:c>
      <x:c r="H946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946+G946,NA())</x:f>
        <x:v>354.64851784079997</x:v>
      </x:c>
      <x:c r="I946" s="22" t="n">
        <x:f>'Assumptions'!$H$72*IF('Assumptions'!$O$72=1,1,'Assumptions'!$D$10)*(1+'Assumptions'!$N$72)^(8-1)</x:f>
        <x:v>21.82502768533632</x:v>
      </x:c>
      <x:c r="J946" s="10" t="n">
        <x:f>H946*I946</x:f>
        <x:v>7740.213720438951</x:v>
      </x:c>
      <x:c r="K946" s="10" t="n">
        <x:f>J946*'Assumptions'!$T$72</x:f>
        <x:v>7740.213720438951</x:v>
      </x:c>
      <x:c r="L946" s="10" t="n">
        <x:f>K946*'Assumptions'!$U$72</x:f>
        <x:v>232.2064116131685</x:v>
      </x:c>
      <x:c r="M946" s="10" t="n">
        <x:f>K946*'Assumptions'!$V$72</x:f>
        <x:v>0</x:v>
      </x:c>
      <x:c r="N946" s="10" t="n">
        <x:f>K946-L946-M946</x:f>
        <x:v>7508.007308825782</x:v>
      </x:c>
      <x:c r="O946" s="10" t="n">
        <x:f>H946*'Assumptions'!$P$72*'Assumptions'!$Q$72*'Assumptions'!$D$11*(1+'Assumptions'!$D$13)^(8-1)</x:f>
        <x:v>1526.6053022642297</x:v>
      </x:c>
      <x:c r="P946" s="10" t="n">
        <x:f>H946*'Assumptions'!$R$72*'Assumptions'!$D$11*(1+'Assumptions'!$D$13)^(8-1)</x:f>
        <x:v>0</x:v>
      </x:c>
      <x:c r="Q946" s="10" t="n">
        <x:f>J946*'Assumptions'!$S$72</x:f>
        <x:v>0</x:v>
      </x:c>
      <x:c r="R946" s="10" t="n">
        <x:f>H946*'Assumptions'!$Y$72*'Assumptions'!$Z$72*'Assumptions'!$D$11*(1+'Assumptions'!$D$13)^(8-1)</x:f>
        <x:v>1962.7782457682958</x:v>
      </x:c>
      <x:c r="S946" s="10" t="n">
        <x:f>IF(I946=0,0,J946*'Assumptions'!$W$72+H946*'Assumptions'!$X$72)</x:f>
        <x:v>330.8607532449696</x:v>
      </x:c>
      <x:c r="T946" s="10" t="n">
        <x:f>N946*'Assumptions'!$AA$72</x:f>
        <x:v>375.4003654412891</x:v>
      </x:c>
      <x:c r="U946" s="10" t="n">
        <x:f>'Assumptions'!$AE$72*'Assumptions'!$D$11*(1+'Assumptions'!$D$13)^(8-1)</x:f>
        <x:v>0</x:v>
      </x:c>
      <x:c r="V946" s="10" t="n">
        <x:f>0</x:f>
        <x:v>0</x:v>
      </x:c>
      <x:c r="W946" s="10" t="n">
        <x:f>H946*('Assumptions'!$P$72+'Assumptions'!$Y$72)</x:f>
        <x:v>88.66212946019999</x:v>
      </x:c>
      <x:c r="X946" s="10" t="n">
        <x:f>N946/12*'Assumptions'!$AF$72</x:f>
        <x:v>0</x:v>
      </x:c>
      <x:c r="Y946" s="10" t="n">
        <x:f>P946/12</x:f>
        <x:v>0</x:v>
      </x:c>
      <x:c r="Z946" s="10" t="n">
        <x:f>0</x:f>
        <x:v>0</x:v>
      </x:c>
      <x:c r="AA946" s="10" t="n">
        <x:f>Z946*'Assumptions'!$AC$72*'Assumptions'!$D$11*(1+'Assumptions'!$D$13)^(8-1)</x:f>
        <x:v>0</x:v>
      </x:c>
      <x:c r="AB946" s="10" t="n">
        <x:f>F946/12</x:f>
        <x:v>10.196454182399998</x:v>
      </x:c>
      <x:c r="AC946" s="10" t="n">
        <x:f>AB946/'Assumptions'!$AM$72</x:f>
        <x:v>203.92908364799996</x:v>
      </x:c>
      <x:c r="AD946" s="10" t="n">
        <x:f>IF(AB946=0,0,T946/AB946)</x:f>
        <x:v>36.81675597476465</x:v>
      </x:c>
      <x:c r="AE946" s="10" t="n">
        <x:f>AA946*'Assumptions'!$D$21</x:f>
        <x:v>0</x:v>
      </x:c>
    </x:row>
    <x:row r="947" ht="16" customHeight="1">
      <x:c r="A947" s="1"/>
      <x:c r="B947" s="1"/>
      <x:c r="C947" s="1" t="str">
        <x:v>DOT-044</x:v>
      </x:c>
      <x:c r="D947" s="10" t="str">
        <x:v>Is Makes Travel Easy</x:v>
      </x:c>
      <x:c r="E947" s="10" t="n">
        <x:v>8</x:v>
      </x:c>
      <x:c r="F947" s="21" t="n">
        <x:f>F819*(1+'Assumptions'!$M$73)</x:f>
        <x:v>49.91568194184003</x:v>
      </x:c>
      <x:c r="G947" s="21" t="n">
        <x:f>H819*'Assumptions'!$K$73</x:f>
        <x:v>25.59152952142501</x:v>
      </x:c>
      <x:c r="H947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947+G947,NA())</x:f>
        <x:v>75.50721146326504</x:v>
      </x:c>
      <x:c r="I947" s="22" t="n">
        <x:f>'Assumptions'!$H$73*IF('Assumptions'!$O$73=1,1,'Assumptions'!$D$10)*(1+'Assumptions'!$N$73)^(8-1)</x:f>
        <x:v>56.28559771481472</x:v>
      </x:c>
      <x:c r="J947" s="10" t="n">
        <x:f>H947*I947</x:f>
        <x:v>4249.968528988782</x:v>
      </x:c>
      <x:c r="K947" s="10" t="n">
        <x:f>J947*'Assumptions'!$T$73</x:f>
        <x:v>4249.968528988782</x:v>
      </x:c>
      <x:c r="L947" s="10" t="n">
        <x:f>K947*'Assumptions'!$U$73</x:f>
        <x:v>127.49905586966345</x:v>
      </x:c>
      <x:c r="M947" s="10" t="n">
        <x:f>K947*'Assumptions'!$V$73</x:f>
        <x:v>0</x:v>
      </x:c>
      <x:c r="N947" s="10" t="n">
        <x:f>K947-L947-M947</x:f>
        <x:v>4122.469473119118</x:v>
      </x:c>
      <x:c r="O947" s="10" t="n">
        <x:f>H947*'Assumptions'!$P$73*'Assumptions'!$Q$73*'Assumptions'!$D$11*(1+'Assumptions'!$D$13)^(8-1)</x:f>
        <x:v>812.5630277605649</x:v>
      </x:c>
      <x:c r="P947" s="10" t="n">
        <x:f>H947*'Assumptions'!$R$73*'Assumptions'!$D$11*(1+'Assumptions'!$D$13)^(8-1)</x:f>
        <x:v>0</x:v>
      </x:c>
      <x:c r="Q947" s="10" t="n">
        <x:f>J947*'Assumptions'!$S$73</x:f>
        <x:v>0</x:v>
      </x:c>
      <x:c r="R947" s="10" t="n">
        <x:f>H947*'Assumptions'!$Y$73*'Assumptions'!$Z$73*'Assumptions'!$D$11*(1+'Assumptions'!$D$13)^(8-1)</x:f>
        <x:v>1392.9651904466825</x:v>
      </x:c>
      <x:c r="S947" s="10" t="n">
        <x:f>IF(I947=0,0,J947*'Assumptions'!$W$73+H947*'Assumptions'!$X$73)</x:f>
        <x:v>145.9012507796542</x:v>
      </x:c>
      <x:c r="T947" s="10" t="n">
        <x:f>N947*'Assumptions'!$AA$73</x:f>
        <x:v>329.7975578495295</x:v>
      </x:c>
      <x:c r="U947" s="10" t="n">
        <x:f>'Assumptions'!$AE$73*'Assumptions'!$D$11*(1+'Assumptions'!$D$13)^(8-1)</x:f>
        <x:v>0</x:v>
      </x:c>
      <x:c r="V947" s="10" t="n">
        <x:f>0</x:f>
        <x:v>0</x:v>
      </x:c>
      <x:c r="W947" s="10" t="n">
        <x:f>H947*('Assumptions'!$P$73+'Assumptions'!$Y$73)</x:f>
        <x:v>56.63040859744878</x:v>
      </x:c>
      <x:c r="X947" s="10" t="n">
        <x:f>N947/12*'Assumptions'!$AF$73</x:f>
        <x:v>343.53912275992656</x:v>
      </x:c>
      <x:c r="Y947" s="10" t="n">
        <x:f>P947/12</x:f>
        <x:v>0</x:v>
      </x:c>
      <x:c r="Z947" s="10" t="n">
        <x:f>0</x:f>
        <x:v>0</x:v>
      </x:c>
      <x:c r="AA947" s="10" t="n">
        <x:f>Z947*'Assumptions'!$AC$73*'Assumptions'!$D$11*(1+'Assumptions'!$D$13)^(8-1)</x:f>
        <x:v>0</x:v>
      </x:c>
      <x:c r="AB947" s="10" t="n">
        <x:f>F947/1</x:f>
        <x:v>49.91568194184003</x:v>
      </x:c>
      <x:c r="AC947" s="10" t="n">
        <x:f>AB947/'Assumptions'!$AM$73</x:f>
        <x:v>499.15681941840023</x:v>
      </x:c>
      <x:c r="AD947" s="10" t="n">
        <x:f>IF(AB947=0,0,T947/AB947)</x:f>
        <x:v>6.607093102199783</x:v>
      </x:c>
      <x:c r="AE947" s="10" t="n">
        <x:f>AA947*'Assumptions'!$D$21</x:f>
        <x:v>0</x:v>
      </x:c>
    </x:row>
    <x:row r="948" ht="16" customHeight="1">
      <x:c r="A948" s="1"/>
      <x:c r="B948" s="1"/>
      <x:c r="C948" s="1" t="str">
        <x:v>DOT-045</x:v>
      </x:c>
      <x:c r="D948" s="10" t="str">
        <x:v>Is Makes Travel Easy</x:v>
      </x:c>
      <x:c r="E948" s="10" t="n">
        <x:v>8</x:v>
      </x:c>
      <x:c r="F948" s="21" t="n">
        <x:f>F820*(1+'Assumptions'!$M$74)</x:f>
        <x:v>163.14326691840003</x:v>
      </x:c>
      <x:c r="G948" s="21" t="n">
        <x:f>H820*'Assumptions'!$K$74</x:f>
        <x:v>309.721423536</x:v>
      </x:c>
      <x:c r="H948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948+G948,NA())</x:f>
        <x:v>472.86469045440003</x:v>
      </x:c>
      <x:c r="I948" s="22" t="n">
        <x:f>'Assumptions'!$H$74*IF('Assumptions'!$O$74=1,1,'Assumptions'!$D$10)*(1+'Assumptions'!$N$74)^(8-1)</x:f>
        <x:v>172.302850147392</x:v>
      </x:c>
      <x:c r="J948" s="10" t="n">
        <x:f>H948*I948</x:f>
        <x:v>81475.93389935739</x:v>
      </x:c>
      <x:c r="K948" s="10" t="n">
        <x:f>J948*'Assumptions'!$T$74</x:f>
        <x:v>8147.59338993574</x:v>
      </x:c>
      <x:c r="L948" s="10" t="n">
        <x:f>K948*'Assumptions'!$U$74</x:f>
        <x:v>244.4278016980722</x:v>
      </x:c>
      <x:c r="M948" s="10" t="n">
        <x:f>K948*'Assumptions'!$V$74</x:f>
        <x:v>0</x:v>
      </x:c>
      <x:c r="N948" s="10" t="n">
        <x:f>K948-L948-M948</x:f>
        <x:v>7903.165588237667</x:v>
      </x:c>
      <x:c r="O948" s="10" t="n">
        <x:f>H948*'Assumptions'!$P$74*'Assumptions'!$Q$74*'Assumptions'!$D$11*(1+'Assumptions'!$D$13)^(8-1)</x:f>
        <x:v>2035.473736352307</x:v>
      </x:c>
      <x:c r="P948" s="10" t="n">
        <x:f>H948*'Assumptions'!$R$74*'Assumptions'!$D$11*(1+'Assumptions'!$D$13)^(8-1)</x:f>
        <x:v>0</x:v>
      </x:c>
      <x:c r="Q948" s="10" t="n">
        <x:f>J948*'Assumptions'!$S$74</x:f>
        <x:v>0</x:v>
      </x:c>
      <x:c r="R948" s="10" t="n">
        <x:f>H948*'Assumptions'!$Y$74*'Assumptions'!$Z$74*'Assumptions'!$D$11*(1+'Assumptions'!$D$13)^(8-1)</x:f>
        <x:v>2617.0376610243948</x:v>
      </x:c>
      <x:c r="S948" s="10" t="n">
        <x:f>IF(I948=0,0,J948*'Assumptions'!$W$74+H948*'Assumptions'!$X$74)</x:f>
        <x:v>2504.6614902176843</x:v>
      </x:c>
      <x:c r="T948" s="10" t="n">
        <x:f>N948*'Assumptions'!$AA$74</x:f>
        <x:v>395.15827941188337</x:v>
      </x:c>
      <x:c r="U948" s="10" t="n">
        <x:f>'Assumptions'!$AE$74*'Assumptions'!$D$11*(1+'Assumptions'!$D$13)^(8-1)</x:f>
        <x:v>0</x:v>
      </x:c>
      <x:c r="V948" s="10" t="n">
        <x:f>0</x:f>
        <x:v>0</x:v>
      </x:c>
      <x:c r="W948" s="10" t="n">
        <x:f>H948*('Assumptions'!$P$74+'Assumptions'!$Y$74)</x:f>
        <x:v>118.21617261360001</x:v>
      </x:c>
      <x:c r="X948" s="10" t="n">
        <x:f>N948/12*'Assumptions'!$AF$74</x:f>
        <x:v>0</x:v>
      </x:c>
      <x:c r="Y948" s="10" t="n">
        <x:f>P948/12</x:f>
        <x:v>0</x:v>
      </x:c>
      <x:c r="Z948" s="10" t="n">
        <x:f>0</x:f>
        <x:v>0</x:v>
      </x:c>
      <x:c r="AA948" s="10" t="n">
        <x:f>Z948*'Assumptions'!$AC$74*'Assumptions'!$D$11*(1+'Assumptions'!$D$13)^(8-1)</x:f>
        <x:v>0</x:v>
      </x:c>
      <x:c r="AB948" s="10" t="n">
        <x:f>F948/1</x:f>
        <x:v>163.14326691840003</x:v>
      </x:c>
      <x:c r="AC948" s="10" t="n">
        <x:f>AB948/'Assumptions'!$AM$74</x:f>
        <x:v>3262.8653383680003</x:v>
      </x:c>
      <x:c r="AD948" s="10" t="n">
        <x:f>IF(AB948=0,0,T948/AB948)</x:f>
        <x:v>2.422154998339779</x:v>
      </x:c>
      <x:c r="AE948" s="10" t="n">
        <x:f>AA948*'Assumptions'!$D$21</x:f>
        <x:v>0</x:v>
      </x:c>
    </x:row>
    <x:row r="949" ht="16" customHeight="1">
      <x:c r="A949" s="1"/>
      <x:c r="B949" s="1"/>
      <x:c r="C949" s="1" t="str">
        <x:v>DOT-046</x:v>
      </x:c>
      <x:c r="D949" s="10" t="str">
        <x:v>Turbo Tax - Made Easy!</x:v>
      </x:c>
      <x:c r="E949" s="10" t="n">
        <x:v>8</x:v>
      </x:c>
      <x:c r="F949" s="21" t="n">
        <x:f>F821*(1+'Assumptions'!$M$75)</x:f>
        <x:v>430.0169293223437</x:v>
      </x:c>
      <x:c r="G949" s="21" t="n">
        <x:f>H821*'Assumptions'!$K$75</x:f>
        <x:v>137.56087869531245</x:v>
      </x:c>
      <x:c r="H949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949+G949,NA())</x:f>
        <x:v>567.5778080176561</x:v>
      </x:c>
      <x:c r="I949" s="22" t="n">
        <x:f>'Assumptions'!$H$75*IF('Assumptions'!$O$75=1,1,'Assumptions'!$D$10)*(1+'Assumptions'!$N$75)^(8-1)</x:f>
        <x:v>149</x:v>
      </x:c>
      <x:c r="J949" s="10" t="n">
        <x:f>H949*I949</x:f>
        <x:v>84569.09339463076</x:v>
      </x:c>
      <x:c r="K949" s="10" t="n">
        <x:f>J949*'Assumptions'!$T$75</x:f>
        <x:v>84569.09339463076</x:v>
      </x:c>
      <x:c r="L949" s="10" t="n">
        <x:f>K949*'Assumptions'!$U$75</x:f>
        <x:v>2537.0728018389227</x:v>
      </x:c>
      <x:c r="M949" s="10" t="n">
        <x:f>K949*'Assumptions'!$V$75</x:f>
        <x:v>0</x:v>
      </x:c>
      <x:c r="N949" s="10" t="n">
        <x:f>K949-L949-M949</x:f>
        <x:v>82032.02059279184</x:v>
      </x:c>
      <x:c r="O949" s="10" t="n">
        <x:f>H949*'Assumptions'!$P$75*'Assumptions'!$Q$75*'Assumptions'!$D$11*(1+'Assumptions'!$D$13)^(8-1)</x:f>
        <x:v>3664.7578415492603</x:v>
      </x:c>
      <x:c r="P949" s="10" t="n">
        <x:f>H949*'Assumptions'!$R$75*'Assumptions'!$D$11*(1+'Assumptions'!$D$13)^(8-1)</x:f>
        <x:v>0</x:v>
      </x:c>
      <x:c r="Q949" s="10" t="n">
        <x:f>J949*'Assumptions'!$S$75</x:f>
        <x:v>0</x:v>
      </x:c>
      <x:c r="R949" s="10" t="n">
        <x:f>H949*'Assumptions'!$Y$75*'Assumptions'!$Z$75*'Assumptions'!$D$11*(1+'Assumptions'!$D$13)^(8-1)</x:f>
        <x:v>2094.147338028149</x:v>
      </x:c>
      <x:c r="S949" s="10" t="n">
        <x:f>IF(I949=0,0,J949*'Assumptions'!$W$75+H949*'Assumptions'!$X$75)</x:f>
        <x:v>2622.777050849589</x:v>
      </x:c>
      <x:c r="T949" s="10" t="n">
        <x:f>N949*'Assumptions'!$AA$75</x:f>
        <x:v>4101.6010296395925</x:v>
      </x:c>
      <x:c r="U949" s="10" t="n">
        <x:f>'Assumptions'!$AE$75*'Assumptions'!$D$11*(1+'Assumptions'!$D$13)^(8-1)</x:f>
        <x:v>0</x:v>
      </x:c>
      <x:c r="V949" s="10" t="n">
        <x:f>0</x:f>
        <x:v>0</x:v>
      </x:c>
      <x:c r="W949" s="10" t="n">
        <x:f>H949*('Assumptions'!$P$75+'Assumptions'!$Y$75)</x:f>
        <x:v>141.89445200441403</x:v>
      </x:c>
      <x:c r="X949" s="10" t="n">
        <x:f>N949/12*'Assumptions'!$AF$75</x:f>
        <x:v>0</x:v>
      </x:c>
      <x:c r="Y949" s="10" t="n">
        <x:f>P949/12</x:f>
        <x:v>0</x:v>
      </x:c>
      <x:c r="Z949" s="10" t="n">
        <x:f>0</x:f>
        <x:v>0</x:v>
      </x:c>
      <x:c r="AA949" s="10" t="n">
        <x:f>Z949*'Assumptions'!$AC$75*'Assumptions'!$D$11*(1+'Assumptions'!$D$13)^(8-1)</x:f>
        <x:v>0</x:v>
      </x:c>
      <x:c r="AB949" s="10" t="n">
        <x:f>F949/1</x:f>
        <x:v>430.0169293223437</x:v>
      </x:c>
      <x:c r="AC949" s="10" t="n">
        <x:f>AB949/'Assumptions'!$AM$75</x:f>
        <x:v>8600.338586446873</x:v>
      </x:c>
      <x:c r="AD949" s="10" t="n">
        <x:f>IF(AB949=0,0,T949/AB949)</x:f>
        <x:v>9.538231520566493</x:v>
      </x:c>
      <x:c r="AE949" s="10" t="n">
        <x:f>AA949*'Assumptions'!$D$21</x:f>
        <x:v>0</x:v>
      </x:c>
    </x:row>
    <x:row r="950" ht="16" customHeight="1">
      <x:c r="A950" s="1"/>
      <x:c r="B950" s="1"/>
      <x:c r="C950" s="1" t="str">
        <x:v>DOT-047</x:v>
      </x:c>
      <x:c r="D950" s="10" t="str">
        <x:v>LavaLearning adult</x:v>
      </x:c>
      <x:c r="E950" s="10" t="n">
        <x:v>8</x:v>
      </x:c>
      <x:c r="F950" s="21" t="n">
        <x:f>F822*(1+'Assumptions'!$M$76)</x:f>
        <x:v>286.6779528815625</x:v>
      </x:c>
      <x:c r="G950" s="21" t="n">
        <x:f>H822*'Assumptions'!$K$76</x:f>
        <x:v>91.70623521093748</x:v>
      </x:c>
      <x:c r="H950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950+G950,NA())</x:f>
        <x:v>378.3841880924999</x:v>
      </x:c>
      <x:c r="I950" s="22" t="n">
        <x:f>'Assumptions'!$H$76*IF('Assumptions'!$O$76=1,1,'Assumptions'!$D$10)*(1+'Assumptions'!$N$76)^(8-1)</x:f>
        <x:v>79</x:v>
      </x:c>
      <x:c r="J950" s="10" t="n">
        <x:f>H950*I950</x:f>
        <x:v>29892.350859307495</x:v>
      </x:c>
      <x:c r="K950" s="10" t="n">
        <x:f>J950*'Assumptions'!$T$76</x:f>
        <x:v>29892.350859307495</x:v>
      </x:c>
      <x:c r="L950" s="10" t="n">
        <x:f>K950*'Assumptions'!$U$76</x:f>
        <x:v>896.7705257792248</x:v>
      </x:c>
      <x:c r="M950" s="10" t="n">
        <x:f>K950*'Assumptions'!$V$76</x:f>
        <x:v>0</x:v>
      </x:c>
      <x:c r="N950" s="10" t="n">
        <x:f>K950-L950-M950</x:f>
        <x:v>28995.58033352827</x:v>
      </x:c>
      <x:c r="O950" s="10" t="n">
        <x:f>H950*'Assumptions'!$P$76*'Assumptions'!$Q$76*'Assumptions'!$D$11*(1+'Assumptions'!$D$13)^(8-1)</x:f>
        <x:v>2443.165326131114</x:v>
      </x:c>
      <x:c r="P950" s="10" t="n">
        <x:f>H950*'Assumptions'!$R$76*'Assumptions'!$D$11*(1+'Assumptions'!$D$13)^(8-1)</x:f>
        <x:v>0</x:v>
      </x:c>
      <x:c r="Q950" s="10" t="n">
        <x:f>J950*'Assumptions'!$S$76</x:f>
        <x:v>0</x:v>
      </x:c>
      <x:c r="R950" s="10" t="n">
        <x:f>H950*'Assumptions'!$Y$76*'Assumptions'!$Z$76*'Assumptions'!$D$11*(1+'Assumptions'!$D$13)^(8-1)</x:f>
        <x:v>1396.0944720749221</x:v>
      </x:c>
      <x:c r="S950" s="10" t="n">
        <x:f>IF(I950=0,0,J950*'Assumptions'!$W$76+H950*'Assumptions'!$X$76)</x:f>
        <x:v>980.3934313476673</x:v>
      </x:c>
      <x:c r="T950" s="10" t="n">
        <x:f>N950*'Assumptions'!$AA$76</x:f>
        <x:v>1449.7790166764134</x:v>
      </x:c>
      <x:c r="U950" s="10" t="n">
        <x:f>'Assumptions'!$AE$76*'Assumptions'!$D$11*(1+'Assumptions'!$D$13)^(8-1)</x:f>
        <x:v>0</x:v>
      </x:c>
      <x:c r="V950" s="10" t="n">
        <x:f>0</x:f>
        <x:v>0</x:v>
      </x:c>
      <x:c r="W950" s="10" t="n">
        <x:f>H950*('Assumptions'!$P$76+'Assumptions'!$Y$76)</x:f>
        <x:v>94.59604702312498</x:v>
      </x:c>
      <x:c r="X950" s="10" t="n">
        <x:f>N950/12*'Assumptions'!$AF$76</x:f>
        <x:v>0</x:v>
      </x:c>
      <x:c r="Y950" s="10" t="n">
        <x:f>P950/12</x:f>
        <x:v>0</x:v>
      </x:c>
      <x:c r="Z950" s="10" t="n">
        <x:f>0</x:f>
        <x:v>0</x:v>
      </x:c>
      <x:c r="AA950" s="10" t="n">
        <x:f>Z950*'Assumptions'!$AC$76*'Assumptions'!$D$11*(1+'Assumptions'!$D$13)^(8-1)</x:f>
        <x:v>0</x:v>
      </x:c>
      <x:c r="AB950" s="10" t="n">
        <x:f>F950/1</x:f>
        <x:v>286.6779528815625</x:v>
      </x:c>
      <x:c r="AC950" s="10" t="n">
        <x:f>AB950/'Assumptions'!$AM$76</x:f>
        <x:v>5733.559057631249</x:v>
      </x:c>
      <x:c r="AD950" s="10" t="n">
        <x:f>IF(AB950=0,0,T950/AB950)</x:f>
        <x:v>5.05716955944419</x:v>
      </x:c>
      <x:c r="AE950" s="10" t="n">
        <x:f>AA950*'Assumptions'!$D$21</x:f>
        <x:v>0</x:v>
      </x:c>
    </x:row>
    <x:row r="951" ht="16" customHeight="1">
      <x:c r="A951" s="1"/>
      <x:c r="B951" s="1"/>
      <x:c r="C951" s="1" t="str">
        <x:v>DOT-048</x:v>
      </x:c>
      <x:c r="D951" s="10" t="str">
        <x:v>Turbo Tax - Made Easy!</x:v>
      </x:c>
      <x:c r="E951" s="10" t="n">
        <x:v>8</x:v>
      </x:c>
      <x:c r="F951" s="21" t="n">
        <x:f>F823*(1+'Assumptions'!$M$77)</x:f>
        <x:v>860.0338586446874</x:v>
      </x:c>
      <x:c r="G951" s="21" t="n">
        <x:f>H823*'Assumptions'!$K$77</x:f>
        <x:v>275.1217573906249</x:v>
      </x:c>
      <x:c r="H951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951+G951,NA())</x:f>
        <x:v>1135.1556160353123</x:v>
      </x:c>
      <x:c r="I951" s="22" t="n">
        <x:f>'Assumptions'!$H$77*IF('Assumptions'!$O$77=1,1,'Assumptions'!$D$10)*(1+'Assumptions'!$N$77)^(8-1)</x:f>
        <x:v>21.82502768533632</x:v>
      </x:c>
      <x:c r="J951" s="10" t="n">
        <x:f>H951*I951</x:f>
        <x:v>24774.802747135695</x:v>
      </x:c>
      <x:c r="K951" s="10" t="n">
        <x:f>J951*'Assumptions'!$T$77</x:f>
        <x:v>24774.802747135695</x:v>
      </x:c>
      <x:c r="L951" s="10" t="n">
        <x:f>K951*'Assumptions'!$U$77</x:f>
        <x:v>743.2440824140708</x:v>
      </x:c>
      <x:c r="M951" s="10" t="n">
        <x:f>K951*'Assumptions'!$V$77</x:f>
        <x:v>0</x:v>
      </x:c>
      <x:c r="N951" s="10" t="n">
        <x:f>K951-L951-M951</x:f>
        <x:v>24031.558664721622</x:v>
      </x:c>
      <x:c r="O951" s="10" t="n">
        <x:f>H951*'Assumptions'!$P$77*'Assumptions'!$Q$77*'Assumptions'!$D$11*(1+'Assumptions'!$D$13)^(8-1)</x:f>
        <x:v>7329.515683098521</x:v>
      </x:c>
      <x:c r="P951" s="10" t="n">
        <x:f>H951*'Assumptions'!$R$77*'Assumptions'!$D$11*(1+'Assumptions'!$D$13)^(8-1)</x:f>
        <x:v>0</x:v>
      </x:c>
      <x:c r="Q951" s="10" t="n">
        <x:f>J951*'Assumptions'!$S$77</x:f>
        <x:v>0</x:v>
      </x:c>
      <x:c r="R951" s="10" t="n">
        <x:f>H951*'Assumptions'!$Y$77*'Assumptions'!$Z$77*'Assumptions'!$D$11*(1+'Assumptions'!$D$13)^(8-1)</x:f>
        <x:v>4188.294676056298</x:v>
      </x:c>
      <x:c r="S951" s="10" t="n">
        <x:f>IF(I951=0,0,J951*'Assumptions'!$W$77+H951*'Assumptions'!$X$77)</x:f>
        <x:v>1059.015964477529</x:v>
      </x:c>
      <x:c r="T951" s="10" t="n">
        <x:f>N951*'Assumptions'!$AA$77</x:f>
        <x:v>1201.5779332360812</x:v>
      </x:c>
      <x:c r="U951" s="10" t="n">
        <x:f>'Assumptions'!$AE$77*'Assumptions'!$D$11*(1+'Assumptions'!$D$13)^(8-1)</x:f>
        <x:v>0</x:v>
      </x:c>
      <x:c r="V951" s="10" t="n">
        <x:f>0</x:f>
        <x:v>0</x:v>
      </x:c>
      <x:c r="W951" s="10" t="n">
        <x:f>H951*('Assumptions'!$P$77+'Assumptions'!$Y$77)</x:f>
        <x:v>283.78890400882807</x:v>
      </x:c>
      <x:c r="X951" s="10" t="n">
        <x:f>N951/12*'Assumptions'!$AF$77</x:f>
        <x:v>0</x:v>
      </x:c>
      <x:c r="Y951" s="10" t="n">
        <x:f>P951/12</x:f>
        <x:v>0</x:v>
      </x:c>
      <x:c r="Z951" s="10" t="n">
        <x:f>0</x:f>
        <x:v>0</x:v>
      </x:c>
      <x:c r="AA951" s="10" t="n">
        <x:f>Z951*'Assumptions'!$AC$77*'Assumptions'!$D$11*(1+'Assumptions'!$D$13)^(8-1)</x:f>
        <x:v>0</x:v>
      </x:c>
      <x:c r="AB951" s="10" t="n">
        <x:f>F951/1</x:f>
        <x:v>860.0338586446874</x:v>
      </x:c>
      <x:c r="AC951" s="10" t="n">
        <x:f>AB951/'Assumptions'!$AM$77</x:f>
        <x:v>17200.677172893746</x:v>
      </x:c>
      <x:c r="AD951" s="10" t="n">
        <x:f>IF(AB951=0,0,T951/AB951)</x:f>
        <x:v>1.3971286376208807</x:v>
      </x:c>
      <x:c r="AE951" s="10" t="n">
        <x:f>AA951*'Assumptions'!$D$21</x:f>
        <x:v>0</x:v>
      </x:c>
    </x:row>
    <x:row r="952" ht="16" customHeight="1">
      <x:c r="A952" s="1"/>
      <x:c r="B952" s="1"/>
      <x:c r="C952" s="1" t="str">
        <x:v>DOT-049</x:v>
      </x:c>
      <x:c r="D952" s="10" t="str">
        <x:v>Turbo Tax - Made Easy!</x:v>
      </x:c>
      <x:c r="E952" s="10" t="n">
        <x:v>8</x:v>
      </x:c>
      <x:c r="F952" s="21" t="n">
        <x:f>F824*(1+'Assumptions'!$M$78)</x:f>
        <x:v>286.6779528815625</x:v>
      </x:c>
      <x:c r="G952" s="21" t="n">
        <x:f>H824*'Assumptions'!$K$78</x:f>
        <x:v>91.70318345312498</x:v>
      </x:c>
      <x:c r="H952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952+G952,NA())</x:f>
        <x:v>378.3811363346874</x:v>
      </x:c>
      <x:c r="I952" s="22" t="n">
        <x:f>'Assumptions'!$H$78*IF('Assumptions'!$O$78=1,1,'Assumptions'!$D$10)*(1+'Assumptions'!$N$78)^(8-1)</x:f>
        <x:v>21.82502768533632</x:v>
      </x:c>
      <x:c r="J952" s="10" t="n">
        <x:f>H952*I952</x:f>
        <x:v>8258.17877611357</x:v>
      </x:c>
      <x:c r="K952" s="10" t="n">
        <x:f>J952*'Assumptions'!$T$78</x:f>
        <x:v>8258.17877611357</x:v>
      </x:c>
      <x:c r="L952" s="10" t="n">
        <x:f>K952*'Assumptions'!$U$78</x:f>
        <x:v>247.74536328340707</x:v>
      </x:c>
      <x:c r="M952" s="10" t="n">
        <x:f>K952*'Assumptions'!$V$78</x:f>
        <x:v>0</x:v>
      </x:c>
      <x:c r="N952" s="10" t="n">
        <x:f>K952-L952-M952</x:f>
        <x:v>8010.4334128301625</x:v>
      </x:c>
      <x:c r="O952" s="10" t="n">
        <x:f>H952*'Assumptions'!$P$78*'Assumptions'!$Q$78*'Assumptions'!$D$11*(1+'Assumptions'!$D$13)^(8-1)</x:f>
        <x:v>2443.1456214259333</x:v>
      </x:c>
      <x:c r="P952" s="10" t="n">
        <x:f>H952*'Assumptions'!$R$78*'Assumptions'!$D$11*(1+'Assumptions'!$D$13)^(8-1)</x:f>
        <x:v>0</x:v>
      </x:c>
      <x:c r="Q952" s="10" t="n">
        <x:f>J952*'Assumptions'!$S$78</x:f>
        <x:v>0</x:v>
      </x:c>
      <x:c r="R952" s="10" t="n">
        <x:f>H952*'Assumptions'!$Y$78*'Assumptions'!$Z$78*'Assumptions'!$D$11*(1+'Assumptions'!$D$13)^(8-1)</x:f>
        <x:v>1396.0832122433906</x:v>
      </x:c>
      <x:c r="S952" s="10" t="n">
        <x:f>IF(I952=0,0,J952*'Assumptions'!$W$78+H952*'Assumptions'!$X$78)</x:f>
        <x:v>353.0015254076998</x:v>
      </x:c>
      <x:c r="T952" s="10" t="n">
        <x:f>N952*'Assumptions'!$AA$78</x:f>
        <x:v>400.52167064150814</x:v>
      </x:c>
      <x:c r="U952" s="10" t="n">
        <x:f>'Assumptions'!$AE$78*'Assumptions'!$D$11*(1+'Assumptions'!$D$13)^(8-1)</x:f>
        <x:v>0</x:v>
      </x:c>
      <x:c r="V952" s="10" t="n">
        <x:f>0</x:f>
        <x:v>0</x:v>
      </x:c>
      <x:c r="W952" s="10" t="n">
        <x:f>H952*('Assumptions'!$P$78+'Assumptions'!$Y$78)</x:f>
        <x:v>94.59528408367186</x:v>
      </x:c>
      <x:c r="X952" s="10" t="n">
        <x:f>N952/12*'Assumptions'!$AF$78</x:f>
        <x:v>0</x:v>
      </x:c>
      <x:c r="Y952" s="10" t="n">
        <x:f>P952/12</x:f>
        <x:v>0</x:v>
      </x:c>
      <x:c r="Z952" s="10" t="n">
        <x:f>0</x:f>
        <x:v>0</x:v>
      </x:c>
      <x:c r="AA952" s="10" t="n">
        <x:f>Z952*'Assumptions'!$AC$78*'Assumptions'!$D$11*(1+'Assumptions'!$D$13)^(8-1)</x:f>
        <x:v>0</x:v>
      </x:c>
      <x:c r="AB952" s="10" t="n">
        <x:f>F952/1</x:f>
        <x:v>286.6779528815625</x:v>
      </x:c>
      <x:c r="AC952" s="10" t="n">
        <x:f>AB952/'Assumptions'!$AM$78</x:f>
        <x:v>5733.559057631249</x:v>
      </x:c>
      <x:c r="AD952" s="10" t="n">
        <x:f>IF(AB952=0,0,T952/AB952)</x:f>
        <x:v>1.3971136134315107</x:v>
      </x:c>
      <x:c r="AE952" s="10" t="n">
        <x:f>AA952*'Assumptions'!$D$21</x:f>
        <x:v>0</x:v>
      </x:c>
    </x:row>
    <x:row r="953" ht="16" customHeight="1">
      <x:c r="A953" s="1"/>
      <x:c r="B953" s="1"/>
      <x:c r="C953" s="1" t="str">
        <x:v>DOT-050</x:v>
      </x:c>
      <x:c r="D953" s="10" t="str">
        <x:v>LavaLearning adult</x:v>
      </x:c>
      <x:c r="E953" s="10" t="n">
        <x:v>8</x:v>
      </x:c>
      <x:c r="F953" s="21" t="n">
        <x:f>F825*(1+'Assumptions'!$M$79)</x:f>
        <x:v>860.0338586446874</x:v>
      </x:c>
      <x:c r="G953" s="21" t="n">
        <x:f>H825*'Assumptions'!$K$79</x:f>
        <x:v>275.1187056328124</x:v>
      </x:c>
      <x:c r="H953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953+G953,NA())</x:f>
        <x:v>1135.1525642774998</x:v>
      </x:c>
      <x:c r="I953" s="22" t="n">
        <x:f>'Assumptions'!$H$79*IF('Assumptions'!$O$79=1,1,'Assumptions'!$D$10)*(1+'Assumptions'!$N$79)^(8-1)</x:f>
        <x:v>21.82502768533632</x:v>
      </x:c>
      <x:c r="J953" s="10" t="n">
        <x:f>H953*I953</x:f>
        <x:v>24774.73614243695</x:v>
      </x:c>
      <x:c r="K953" s="10" t="n">
        <x:f>J953*'Assumptions'!$T$79</x:f>
        <x:v>24774.73614243695</x:v>
      </x:c>
      <x:c r="L953" s="10" t="n">
        <x:f>K953*'Assumptions'!$U$79</x:f>
        <x:v>743.2420842731084</x:v>
      </x:c>
      <x:c r="M953" s="10" t="n">
        <x:f>K953*'Assumptions'!$V$79</x:f>
        <x:v>0</x:v>
      </x:c>
      <x:c r="N953" s="10" t="n">
        <x:f>K953-L953-M953</x:f>
        <x:v>24031.49405816384</x:v>
      </x:c>
      <x:c r="O953" s="10" t="n">
        <x:f>H953*'Assumptions'!$P$79*'Assumptions'!$Q$79*'Assumptions'!$D$11*(1+'Assumptions'!$D$13)^(8-1)</x:f>
        <x:v>7329.49597839334</x:v>
      </x:c>
      <x:c r="P953" s="10" t="n">
        <x:f>H953*'Assumptions'!$R$79*'Assumptions'!$D$11*(1+'Assumptions'!$D$13)^(8-1)</x:f>
        <x:v>0</x:v>
      </x:c>
      <x:c r="Q953" s="10" t="n">
        <x:f>J953*'Assumptions'!$S$79</x:f>
        <x:v>0</x:v>
      </x:c>
      <x:c r="R953" s="10" t="n">
        <x:f>H953*'Assumptions'!$Y$79*'Assumptions'!$Z$79*'Assumptions'!$D$11*(1+'Assumptions'!$D$13)^(8-1)</x:f>
        <x:v>4188.283416224766</x:v>
      </x:c>
      <x:c r="S953" s="10" t="n">
        <x:f>IF(I953=0,0,J953*'Assumptions'!$W$79+H953*'Assumptions'!$X$79)</x:f>
        <x:v>1059.0131174139215</x:v>
      </x:c>
      <x:c r="T953" s="10" t="n">
        <x:f>N953*'Assumptions'!$AA$79</x:f>
        <x:v>1201.574702908192</x:v>
      </x:c>
      <x:c r="U953" s="10" t="n">
        <x:f>'Assumptions'!$AE$79*'Assumptions'!$D$11*(1+'Assumptions'!$D$13)^(8-1)</x:f>
        <x:v>0</x:v>
      </x:c>
      <x:c r="V953" s="10" t="n">
        <x:f>0</x:f>
        <x:v>0</x:v>
      </x:c>
      <x:c r="W953" s="10" t="n">
        <x:f>H953*('Assumptions'!$P$79+'Assumptions'!$Y$79)</x:f>
        <x:v>283.78814106937494</x:v>
      </x:c>
      <x:c r="X953" s="10" t="n">
        <x:f>N953/12*'Assumptions'!$AF$79</x:f>
        <x:v>0</x:v>
      </x:c>
      <x:c r="Y953" s="10" t="n">
        <x:f>P953/12</x:f>
        <x:v>0</x:v>
      </x:c>
      <x:c r="Z953" s="10" t="n">
        <x:f>0</x:f>
        <x:v>0</x:v>
      </x:c>
      <x:c r="AA953" s="10" t="n">
        <x:f>Z953*'Assumptions'!$AC$79*'Assumptions'!$D$11*(1+'Assumptions'!$D$13)^(8-1)</x:f>
        <x:v>0</x:v>
      </x:c>
      <x:c r="AB953" s="10" t="n">
        <x:f>F953/1</x:f>
        <x:v>860.0338586446874</x:v>
      </x:c>
      <x:c r="AC953" s="10" t="n">
        <x:f>AB953/'Assumptions'!$AM$79</x:f>
        <x:v>17200.677172893746</x:v>
      </x:c>
      <x:c r="AD953" s="10" t="n">
        <x:f>IF(AB953=0,0,T953/AB953)</x:f>
        <x:v>1.3971248815735382</x:v>
      </x:c>
      <x:c r="AE953" s="10" t="n">
        <x:f>AA953*'Assumptions'!$D$21</x:f>
        <x:v>0</x:v>
      </x:c>
    </x:row>
    <x:row r="954" ht="16" customHeight="1">
      <x:c r="A954" s="1"/>
      <x:c r="B954" s="1"/>
      <x:c r="C954" s="1" t="str">
        <x:v>DOT-051</x:v>
      </x:c>
      <x:c r="D954" s="10" t="str">
        <x:v>LavaLearning adult</x:v>
      </x:c>
      <x:c r="E954" s="10" t="n">
        <x:v>8</x:v>
      </x:c>
      <x:c r="F954" s="21" t="n">
        <x:f>F826*(1+'Assumptions'!$M$80)</x:f>
        <x:v>172.00677172893745</x:v>
      </x:c>
      <x:c r="G954" s="21" t="n">
        <x:f>H826*'Assumptions'!$K$80</x:f>
        <x:v>55.021910071874984</x:v>
      </x:c>
      <x:c r="H954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954+G954,NA())</x:f>
        <x:v>227.02868180081242</x:v>
      </x:c>
      <x:c r="I954" s="22" t="n">
        <x:f>'Assumptions'!$H$80*IF('Assumptions'!$O$80=1,1,'Assumptions'!$D$10)*(1+'Assumptions'!$N$80)^(8-1)</x:f>
        <x:v>33.31188436182912</x:v>
      </x:c>
      <x:c r="J954" s="10" t="n">
        <x:f>H954*I954</x:f>
        <x:v>7562.753194967163</x:v>
      </x:c>
      <x:c r="K954" s="10" t="n">
        <x:f>J954*'Assumptions'!$T$80</x:f>
        <x:v>7562.753194967163</x:v>
      </x:c>
      <x:c r="L954" s="10" t="n">
        <x:f>K954*'Assumptions'!$U$80</x:f>
        <x:v>226.88259584901488</x:v>
      </x:c>
      <x:c r="M954" s="10" t="n">
        <x:f>K954*'Assumptions'!$V$80</x:f>
        <x:v>0</x:v>
      </x:c>
      <x:c r="N954" s="10" t="n">
        <x:f>K954-L954-M954</x:f>
        <x:v>7335.870599118148</x:v>
      </x:c>
      <x:c r="O954" s="10" t="n">
        <x:f>H954*'Assumptions'!$P$80*'Assumptions'!$Q$80*'Assumptions'!$D$11*(1+'Assumptions'!$D$13)^(8-1)</x:f>
        <x:v>1465.8873728555595</x:v>
      </x:c>
      <x:c r="P954" s="10" t="n">
        <x:f>H954*'Assumptions'!$R$80*'Assumptions'!$D$11*(1+'Assumptions'!$D$13)^(8-1)</x:f>
        <x:v>0</x:v>
      </x:c>
      <x:c r="Q954" s="10" t="n">
        <x:f>J954*'Assumptions'!$S$80</x:f>
        <x:v>0</x:v>
      </x:c>
      <x:c r="R954" s="10" t="n">
        <x:f>H954*'Assumptions'!$Y$80*'Assumptions'!$Z$80*'Assumptions'!$D$11*(1+'Assumptions'!$D$13)^(8-1)</x:f>
        <x:v>837.6499273460342</x:v>
      </x:c>
      <x:c r="S954" s="10" t="n">
        <x:f>IF(I954=0,0,J954*'Assumptions'!$W$80+H954*'Assumptions'!$X$80)</x:f>
        <x:v>287.42844719429144</x:v>
      </x:c>
      <x:c r="T954" s="10" t="n">
        <x:f>N954*'Assumptions'!$AA$80</x:f>
        <x:v>366.7935299559074</x:v>
      </x:c>
      <x:c r="U954" s="10" t="n">
        <x:f>'Assumptions'!$AE$80*'Assumptions'!$D$11*(1+'Assumptions'!$D$13)^(8-1)</x:f>
        <x:v>0</x:v>
      </x:c>
      <x:c r="V954" s="10" t="n">
        <x:f>0</x:f>
        <x:v>0</x:v>
      </x:c>
      <x:c r="W954" s="10" t="n">
        <x:f>H954*('Assumptions'!$P$80+'Assumptions'!$Y$80)</x:f>
        <x:v>56.757170450203105</x:v>
      </x:c>
      <x:c r="X954" s="10" t="n">
        <x:f>N954/12*'Assumptions'!$AF$80</x:f>
        <x:v>0</x:v>
      </x:c>
      <x:c r="Y954" s="10" t="n">
        <x:f>P954/12</x:f>
        <x:v>0</x:v>
      </x:c>
      <x:c r="Z954" s="10" t="n">
        <x:f>0</x:f>
        <x:v>0</x:v>
      </x:c>
      <x:c r="AA954" s="10" t="n">
        <x:f>Z954*'Assumptions'!$AC$80*'Assumptions'!$D$11*(1+'Assumptions'!$D$13)^(8-1)</x:f>
        <x:v>0</x:v>
      </x:c>
      <x:c r="AB954" s="10" t="n">
        <x:f>F954/1</x:f>
        <x:v>172.00677172893745</x:v>
      </x:c>
      <x:c r="AC954" s="10" t="n">
        <x:f>AB954/'Assumptions'!$AM$80</x:f>
        <x:v>3440.135434578749</x:v>
      </x:c>
      <x:c r="AD954" s="10" t="n">
        <x:f>IF(AB954=0,0,T954/AB954)</x:f>
        <x:v>2.132436567869148</x:v>
      </x:c>
      <x:c r="AE954" s="10" t="n">
        <x:f>AA954*'Assumptions'!$D$21</x:f>
        <x:v>0</x:v>
      </x:c>
    </x:row>
    <x:row r="955" ht="16" customHeight="1">
      <x:c r="A955" s="1"/>
      <x:c r="B955" s="1"/>
      <x:c r="C955" s="1" t="str">
        <x:v>DOT-052</x:v>
      </x:c>
      <x:c r="D955" s="10" t="str">
        <x:v>LavaLearning Model Life</x:v>
      </x:c>
      <x:c r="E955" s="10" t="n">
        <x:v>8</x:v>
      </x:c>
      <x:c r="F955" s="21" t="n">
        <x:f>F827*(1+'Assumptions'!$M$81)</x:f>
        <x:v>0</x:v>
      </x:c>
      <x:c r="G955" s="21" t="n">
        <x:f>H827*'Assumptions'!$K$81</x:f>
        <x:v>0</x:v>
      </x:c>
      <x:c r="H955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955+G955,NA())</x:f>
        <x:v>0</x:v>
      </x:c>
      <x:c r="I955" s="22" t="n">
        <x:f>'Assumptions'!$H$81*IF('Assumptions'!$O$81=1,1,'Assumptions'!$D$10)*(1+'Assumptions'!$N$81)^(8-1)</x:f>
        <x:v>0</x:v>
      </x:c>
      <x:c r="J955" s="10" t="n">
        <x:f>H955*I955</x:f>
        <x:v>0</x:v>
      </x:c>
      <x:c r="K955" s="10" t="n">
        <x:f>J955*'Assumptions'!$T$81</x:f>
        <x:v>0</x:v>
      </x:c>
      <x:c r="L955" s="10" t="n">
        <x:f>K955*'Assumptions'!$U$81</x:f>
        <x:v>0</x:v>
      </x:c>
      <x:c r="M955" s="10" t="n">
        <x:f>K955*'Assumptions'!$V$81</x:f>
        <x:v>0</x:v>
      </x:c>
      <x:c r="N955" s="10" t="n">
        <x:f>K955-L955-M955</x:f>
        <x:v>0</x:v>
      </x:c>
      <x:c r="O955" s="10" t="n">
        <x:f>H955*'Assumptions'!$P$81*'Assumptions'!$Q$81*'Assumptions'!$D$11*(1+'Assumptions'!$D$13)^(8-1)</x:f>
        <x:v>0</x:v>
      </x:c>
      <x:c r="P955" s="10" t="n">
        <x:f>H955*'Assumptions'!$R$81*'Assumptions'!$D$11*(1+'Assumptions'!$D$13)^(8-1)</x:f>
        <x:v>0</x:v>
      </x:c>
      <x:c r="Q955" s="10" t="n">
        <x:f>J955*'Assumptions'!$S$81</x:f>
        <x:v>0</x:v>
      </x:c>
      <x:c r="R955" s="10" t="n">
        <x:f>H955*'Assumptions'!$Y$81*'Assumptions'!$Z$81*'Assumptions'!$D$11*(1+'Assumptions'!$D$13)^(8-1)</x:f>
        <x:v>0</x:v>
      </x:c>
      <x:c r="S955" s="10" t="n">
        <x:f>IF(I955=0,0,J955*'Assumptions'!$W$81+H955*'Assumptions'!$X$81)</x:f>
        <x:v>0</x:v>
      </x:c>
      <x:c r="T955" s="10" t="n">
        <x:f>N955*'Assumptions'!$AA$81</x:f>
        <x:v>0</x:v>
      </x:c>
      <x:c r="U955" s="10" t="n">
        <x:f>'Assumptions'!$AE$81*'Assumptions'!$D$11*(1+'Assumptions'!$D$13)^(8-1)</x:f>
        <x:v>0</x:v>
      </x:c>
      <x:c r="V955" s="10" t="n">
        <x:f>0</x:f>
        <x:v>0</x:v>
      </x:c>
      <x:c r="W955" s="10" t="n">
        <x:f>H955*('Assumptions'!$P$81+'Assumptions'!$Y$81)</x:f>
        <x:v>0</x:v>
      </x:c>
      <x:c r="X955" s="10" t="n">
        <x:f>N955/12*'Assumptions'!$AF$81</x:f>
        <x:v>0</x:v>
      </x:c>
      <x:c r="Y955" s="10" t="n">
        <x:f>P955/12</x:f>
        <x:v>0</x:v>
      </x:c>
      <x:c r="Z955" s="10" t="n">
        <x:f>0</x:f>
        <x:v>0</x:v>
      </x:c>
      <x:c r="AA955" s="10" t="n">
        <x:f>Z955*'Assumptions'!$AC$81*'Assumptions'!$D$11*(1+'Assumptions'!$D$13)^(8-1)</x:f>
        <x:v>0</x:v>
      </x:c>
      <x:c r="AB955" s="10" t="n">
        <x:f>F955/1</x:f>
        <x:v>0</x:v>
      </x:c>
      <x:c r="AC955" s="10" t="n">
        <x:f>AB955/'Assumptions'!$AM$81</x:f>
        <x:v>0</x:v>
      </x:c>
      <x:c r="AD955" s="10" t="n">
        <x:f>IF(AB955=0,0,T955/AB955)</x:f>
        <x:v>0</x:v>
      </x:c>
      <x:c r="AE955" s="10" t="n">
        <x:f>AA955*'Assumptions'!$D$21</x:f>
        <x:v>0</x:v>
      </x:c>
    </x:row>
    <x:row r="956" ht="16" customHeight="1">
      <x:c r="A956" s="1"/>
      <x:c r="B956" s="1"/>
      <x:c r="C956" s="1" t="str">
        <x:v>DOT-053</x:v>
      </x:c>
      <x:c r="D956" s="10" t="str">
        <x:v>LavaLearning Kids</x:v>
      </x:c>
      <x:c r="E956" s="10" t="n">
        <x:v>8</x:v>
      </x:c>
      <x:c r="F956" s="21" t="n">
        <x:f>F828*(1+'Assumptions'!$M$82)</x:f>
        <x:v>860.0338586446874</x:v>
      </x:c>
      <x:c r="G956" s="21" t="n">
        <x:f>H828*'Assumptions'!$K$82</x:f>
        <x:v>275.1095503593749</x:v>
      </x:c>
      <x:c r="H956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956+G956,NA())</x:f>
        <x:v>1135.1434090040623</x:v>
      </x:c>
      <x:c r="I956" s="22" t="n">
        <x:f>'Assumptions'!$H$82*IF('Assumptions'!$O$82=1,1,'Assumptions'!$D$10)*(1+'Assumptions'!$N$82)^(8-1)</x:f>
        <x:v>21.82502768533632</x:v>
      </x:c>
      <x:c r="J956" s="10" t="n">
        <x:f>H956*I956</x:f>
        <x:v>24774.53632834071</x:v>
      </x:c>
      <x:c r="K956" s="10" t="n">
        <x:f>J956*'Assumptions'!$T$82</x:f>
        <x:v>24774.53632834071</x:v>
      </x:c>
      <x:c r="L956" s="10" t="n">
        <x:f>K956*'Assumptions'!$U$82</x:f>
        <x:v>743.2360898502212</x:v>
      </x:c>
      <x:c r="M956" s="10" t="n">
        <x:f>K956*'Assumptions'!$V$82</x:f>
        <x:v>0</x:v>
      </x:c>
      <x:c r="N956" s="10" t="n">
        <x:f>K956-L956-M956</x:f>
        <x:v>24031.300238490487</x:v>
      </x:c>
      <x:c r="O956" s="10" t="n">
        <x:f>H956*'Assumptions'!$P$82*'Assumptions'!$Q$82*'Assumptions'!$D$11*(1+'Assumptions'!$D$13)^(8-1)</x:f>
        <x:v>7329.436864277799</x:v>
      </x:c>
      <x:c r="P956" s="10" t="n">
        <x:f>H956*'Assumptions'!$R$82*'Assumptions'!$D$11*(1+'Assumptions'!$D$13)^(8-1)</x:f>
        <x:v>0</x:v>
      </x:c>
      <x:c r="Q956" s="10" t="n">
        <x:f>J956*'Assumptions'!$S$82</x:f>
        <x:v>0</x:v>
      </x:c>
      <x:c r="R956" s="10" t="n">
        <x:f>H956*'Assumptions'!$Y$82*'Assumptions'!$Z$82*'Assumptions'!$D$11*(1+'Assumptions'!$D$13)^(8-1)</x:f>
        <x:v>4188.249636730172</x:v>
      </x:c>
      <x:c r="S956" s="10" t="n">
        <x:f>IF(I956=0,0,J956*'Assumptions'!$W$82+H956*'Assumptions'!$X$82)</x:f>
        <x:v>1059.0045762230993</x:v>
      </x:c>
      <x:c r="T956" s="10" t="n">
        <x:f>N956*'Assumptions'!$AA$82</x:f>
        <x:v>1201.5650119245245</x:v>
      </x:c>
      <x:c r="U956" s="10" t="n">
        <x:f>'Assumptions'!$AE$82*'Assumptions'!$D$11*(1+'Assumptions'!$D$13)^(8-1)</x:f>
        <x:v>295.16972770196884</x:v>
      </x:c>
      <x:c r="V956" s="10" t="n">
        <x:f>0</x:f>
        <x:v>0</x:v>
      </x:c>
      <x:c r="W956" s="10" t="n">
        <x:f>H956*('Assumptions'!$P$82+'Assumptions'!$Y$82)</x:f>
        <x:v>283.78585225101557</x:v>
      </x:c>
      <x:c r="X956" s="10" t="n">
        <x:f>N956/12*'Assumptions'!$AF$82</x:f>
        <x:v>0</x:v>
      </x:c>
      <x:c r="Y956" s="10" t="n">
        <x:f>P956/12</x:f>
        <x:v>0</x:v>
      </x:c>
      <x:c r="Z956" s="10" t="n">
        <x:f>0</x:f>
        <x:v>0</x:v>
      </x:c>
      <x:c r="AA956" s="10" t="n">
        <x:f>Z956*'Assumptions'!$AC$82*'Assumptions'!$D$11*(1+'Assumptions'!$D$13)^(8-1)</x:f>
        <x:v>0</x:v>
      </x:c>
      <x:c r="AB956" s="10" t="n">
        <x:f>F956/1</x:f>
        <x:v>860.0338586446874</x:v>
      </x:c>
      <x:c r="AC956" s="10" t="n">
        <x:f>AB956/'Assumptions'!$AM$82</x:f>
        <x:v>17200.677172893746</x:v>
      </x:c>
      <x:c r="AD956" s="10" t="n">
        <x:f>IF(AB956=0,0,T956/AB956)</x:f>
        <x:v>1.397113613431511</x:v>
      </x:c>
      <x:c r="AE956" s="10" t="n">
        <x:f>AA956*'Assumptions'!$D$21</x:f>
        <x:v>0</x:v>
      </x:c>
    </x:row>
    <x:row r="957" ht="16" customHeight="1">
      <x:c r="A957" s="1"/>
      <x:c r="B957" s="1"/>
      <x:c r="C957" s="1" t="str">
        <x:v>DOT-054</x:v>
      </x:c>
      <x:c r="D957" s="10" t="str">
        <x:v>VraiSkill adult</x:v>
      </x:c>
      <x:c r="E957" s="10" t="n">
        <x:v>8</x:v>
      </x:c>
      <x:c r="F957" s="21" t="n">
        <x:f>F829*(1+'Assumptions'!$M$83)</x:f>
        <x:v>1720.0677172893747</x:v>
      </x:c>
      <x:c r="G957" s="21" t="n">
        <x:f>H829*'Assumptions'!$K$83</x:f>
        <x:v>550.2374112656248</x:v>
      </x:c>
      <x:c r="H957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957+G957,NA())</x:f>
        <x:v>2270.3051285549996</x:v>
      </x:c>
      <x:c r="I957" s="22" t="n">
        <x:f>'Assumptions'!$H$83*IF('Assumptions'!$O$83=1,1,'Assumptions'!$D$10)*(1+'Assumptions'!$N$83)^(8-1)</x:f>
        <x:v>11.475369819816308</x:v>
      </x:c>
      <x:c r="J957" s="10" t="n">
        <x:f>H957*I957</x:f>
        <x:v>26052.590953994226</x:v>
      </x:c>
      <x:c r="K957" s="10" t="n">
        <x:f>J957*'Assumptions'!$T$83</x:f>
        <x:v>26052.590953994226</x:v>
      </x:c>
      <x:c r="L957" s="10" t="n">
        <x:f>K957*'Assumptions'!$U$83</x:f>
        <x:v>781.5777286198268</x:v>
      </x:c>
      <x:c r="M957" s="10" t="n">
        <x:f>K957*'Assumptions'!$V$83</x:f>
        <x:v>0</x:v>
      </x:c>
      <x:c r="N957" s="10" t="n">
        <x:f>K957-L957-M957</x:f>
        <x:v>25271.013225374398</x:v>
      </x:c>
      <x:c r="O957" s="10" t="n">
        <x:f>H957*'Assumptions'!$P$83*'Assumptions'!$Q$83*'Assumptions'!$D$11*(1+'Assumptions'!$D$13)^(8-1)</x:f>
        <x:v>14658.99195678668</x:v>
      </x:c>
      <x:c r="P957" s="10" t="n">
        <x:f>H957*'Assumptions'!$R$83*'Assumptions'!$D$11*(1+'Assumptions'!$D$13)^(8-1)</x:f>
        <x:v>0</x:v>
      </x:c>
      <x:c r="Q957" s="10" t="n">
        <x:f>J957*'Assumptions'!$S$83</x:f>
        <x:v>0</x:v>
      </x:c>
      <x:c r="R957" s="10" t="n">
        <x:f>H957*'Assumptions'!$Y$83*'Assumptions'!$Z$83*'Assumptions'!$D$11*(1+'Assumptions'!$D$13)^(8-1)</x:f>
        <x:v>8376.566832449533</x:v>
      </x:c>
      <x:c r="S957" s="10" t="n">
        <x:f>IF(I957=0,0,J957*'Assumptions'!$W$83+H957*'Assumptions'!$X$83)</x:f>
        <x:v>1436.6166762323323</x:v>
      </x:c>
      <x:c r="T957" s="10" t="n">
        <x:f>N957*'Assumptions'!$AA$83</x:f>
        <x:v>1263.55066126872</x:v>
      </x:c>
      <x:c r="U957" s="10" t="n">
        <x:f>'Assumptions'!$AE$83*'Assumptions'!$D$11*(1+'Assumptions'!$D$13)^(8-1)</x:f>
        <x:v>295.16972770196884</x:v>
      </x:c>
      <x:c r="V957" s="10" t="n">
        <x:f>0</x:f>
        <x:v>0</x:v>
      </x:c>
      <x:c r="W957" s="10" t="n">
        <x:f>H957*('Assumptions'!$P$83+'Assumptions'!$Y$83)</x:f>
        <x:v>567.5762821387499</x:v>
      </x:c>
      <x:c r="X957" s="10" t="n">
        <x:f>N957/12*'Assumptions'!$AF$83</x:f>
        <x:v>0</x:v>
      </x:c>
      <x:c r="Y957" s="10" t="n">
        <x:f>P957/12</x:f>
        <x:v>0</x:v>
      </x:c>
      <x:c r="Z957" s="10" t="n">
        <x:f>0</x:f>
        <x:v>0</x:v>
      </x:c>
      <x:c r="AA957" s="10" t="n">
        <x:f>Z957*'Assumptions'!$AC$83*'Assumptions'!$D$11*(1+'Assumptions'!$D$13)^(8-1)</x:f>
        <x:v>0</x:v>
      </x:c>
      <x:c r="AB957" s="10" t="n">
        <x:f>F957/1</x:f>
        <x:v>1720.0677172893747</x:v>
      </x:c>
      <x:c r="AC957" s="10" t="n">
        <x:f>AB957/'Assumptions'!$AM$83</x:f>
        <x:v>34401.35434578749</x:v>
      </x:c>
      <x:c r="AD957" s="10" t="n">
        <x:f>IF(AB957=0,0,T957/AB957)</x:f>
        <x:v>0.7345935561536657</x:v>
      </x:c>
      <x:c r="AE957" s="10" t="n">
        <x:f>AA957*'Assumptions'!$D$21</x:f>
        <x:v>0</x:v>
      </x:c>
    </x:row>
    <x:row r="958" ht="16" customHeight="1">
      <x:c r="A958" s="1"/>
      <x:c r="B958" s="1"/>
      <x:c r="C958" s="1" t="str">
        <x:v>DOT-055</x:v>
      </x:c>
      <x:c r="D958" s="10" t="str">
        <x:v>VraiSkill adult</x:v>
      </x:c>
      <x:c r="E958" s="10" t="n">
        <x:v>8</x:v>
      </x:c>
      <x:c r="F958" s="21" t="n">
        <x:f>F830*(1+'Assumptions'!$M$84)</x:f>
        <x:v>573.355905763125</x:v>
      </x:c>
      <x:c r="G958" s="21" t="n">
        <x:f>H830*'Assumptions'!$K$84</x:f>
        <x:v>183.41247042187496</x:v>
      </x:c>
      <x:c r="H958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958+G958,NA())</x:f>
        <x:v>756.7683761849999</x:v>
      </x:c>
      <x:c r="I958" s="22" t="n">
        <x:f>'Assumptions'!$H$84*IF('Assumptions'!$O$84=1,1,'Assumptions'!$D$10)*(1+'Assumptions'!$N$84)^(8-1)</x:f>
        <x:v>27.56845602358272</x:v>
      </x:c>
      <x:c r="J958" s="10" t="n">
        <x:f>H958*I958</x:f>
        <x:v>20862.93569889427</x:v>
      </x:c>
      <x:c r="K958" s="10" t="n">
        <x:f>J958*'Assumptions'!$T$84</x:f>
        <x:v>20862.93569889427</x:v>
      </x:c>
      <x:c r="L958" s="10" t="n">
        <x:f>K958*'Assumptions'!$U$84</x:f>
        <x:v>625.8880709668281</x:v>
      </x:c>
      <x:c r="M958" s="10" t="n">
        <x:f>K958*'Assumptions'!$V$84</x:f>
        <x:v>0</x:v>
      </x:c>
      <x:c r="N958" s="10" t="n">
        <x:f>K958-L958-M958</x:f>
        <x:v>20237.047627927444</x:v>
      </x:c>
      <x:c r="O958" s="10" t="n">
        <x:f>H958*'Assumptions'!$P$84*'Assumptions'!$Q$84*'Assumptions'!$D$11*(1+'Assumptions'!$D$13)^(8-1)</x:f>
        <x:v>4886.330652262228</x:v>
      </x:c>
      <x:c r="P958" s="10" t="n">
        <x:f>H958*'Assumptions'!$R$84*'Assumptions'!$D$11*(1+'Assumptions'!$D$13)^(8-1)</x:f>
        <x:v>0</x:v>
      </x:c>
      <x:c r="Q958" s="10" t="n">
        <x:f>J958*'Assumptions'!$S$84</x:f>
        <x:v>0</x:v>
      </x:c>
      <x:c r="R958" s="10" t="n">
        <x:f>H958*'Assumptions'!$Y$84*'Assumptions'!$Z$84*'Assumptions'!$D$11*(1+'Assumptions'!$D$13)^(8-1)</x:f>
        <x:v>2792.1889441498442</x:v>
      </x:c>
      <x:c r="S958" s="10" t="n">
        <x:f>IF(I958=0,0,J958*'Assumptions'!$W$84+H958*'Assumptions'!$X$84)</x:f>
        <x:v>832.0556481234339</x:v>
      </x:c>
      <x:c r="T958" s="10" t="n">
        <x:f>N958*'Assumptions'!$AA$84</x:f>
        <x:v>1011.8523813963723</x:v>
      </x:c>
      <x:c r="U958" s="10" t="n">
        <x:f>'Assumptions'!$AE$84*'Assumptions'!$D$11*(1+'Assumptions'!$D$13)^(8-1)</x:f>
        <x:v>0</x:v>
      </x:c>
      <x:c r="V958" s="10" t="n">
        <x:f>0</x:f>
        <x:v>0</x:v>
      </x:c>
      <x:c r="W958" s="10" t="n">
        <x:f>H958*('Assumptions'!$P$84+'Assumptions'!$Y$84)</x:f>
        <x:v>189.19209404624996</x:v>
      </x:c>
      <x:c r="X958" s="10" t="n">
        <x:f>N958/12*'Assumptions'!$AF$84</x:f>
        <x:v>0</x:v>
      </x:c>
      <x:c r="Y958" s="10" t="n">
        <x:f>P958/12</x:f>
        <x:v>0</x:v>
      </x:c>
      <x:c r="Z958" s="10" t="n">
        <x:f>0</x:f>
        <x:v>0</x:v>
      </x:c>
      <x:c r="AA958" s="10" t="n">
        <x:f>Z958*'Assumptions'!$AC$84*'Assumptions'!$D$11*(1+'Assumptions'!$D$13)^(8-1)</x:f>
        <x:v>0</x:v>
      </x:c>
      <x:c r="AB958" s="10" t="n">
        <x:f>F958/1</x:f>
        <x:v>573.355905763125</x:v>
      </x:c>
      <x:c r="AC958" s="10" t="n">
        <x:f>AB958/'Assumptions'!$AM$84</x:f>
        <x:v>11467.118115262498</x:v>
      </x:c>
      <x:c r="AD958" s="10" t="n">
        <x:f>IF(AB958=0,0,T958/AB958)</x:f>
        <x:v>1.7647893240928905</x:v>
      </x:c>
      <x:c r="AE958" s="10" t="n">
        <x:f>AA958*'Assumptions'!$D$21</x:f>
        <x:v>0</x:v>
      </x:c>
    </x:row>
    <x:row r="959" ht="16" customHeight="1">
      <x:c r="A959" s="1"/>
      <x:c r="B959" s="1"/>
      <x:c r="C959" s="1" t="str">
        <x:v>DOT-056</x:v>
      </x:c>
      <x:c r="D959" s="10" t="str">
        <x:v>VraiSkill teen</x:v>
      </x:c>
      <x:c r="E959" s="10" t="n">
        <x:v>8</x:v>
      </x:c>
      <x:c r="F959" s="21" t="n">
        <x:f>F831*(1+'Assumptions'!$M$85)</x:f>
        <x:v>573.355905763125</x:v>
      </x:c>
      <x:c r="G959" s="21" t="n">
        <x:f>H831*'Assumptions'!$K$85</x:f>
        <x:v>183.40636690624996</x:v>
      </x:c>
      <x:c r="H959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959+G959,NA())</x:f>
        <x:v>756.7622726693749</x:v>
      </x:c>
      <x:c r="I959" s="22" t="n">
        <x:f>'Assumptions'!$H$85*IF('Assumptions'!$O$85=1,1,'Assumptions'!$D$10)*(1+'Assumptions'!$N$85)^(8-1)</x:f>
        <x:v>27.56845602358272</x:v>
      </x:c>
      <x:c r="J959" s="10" t="n">
        <x:f>H959*I959</x:f>
        <x:v>20862.767434392175</x:v>
      </x:c>
      <x:c r="K959" s="10" t="n">
        <x:f>J959*'Assumptions'!$T$85</x:f>
        <x:v>20862.767434392175</x:v>
      </x:c>
      <x:c r="L959" s="10" t="n">
        <x:f>K959*'Assumptions'!$U$85</x:f>
        <x:v>625.8830230317652</x:v>
      </x:c>
      <x:c r="M959" s="10" t="n">
        <x:f>K959*'Assumptions'!$V$85</x:f>
        <x:v>0</x:v>
      </x:c>
      <x:c r="N959" s="10" t="n">
        <x:f>K959-L959-M959</x:f>
        <x:v>20236.88441136041</x:v>
      </x:c>
      <x:c r="O959" s="10" t="n">
        <x:f>H959*'Assumptions'!$P$85*'Assumptions'!$Q$85*'Assumptions'!$D$11*(1+'Assumptions'!$D$13)^(8-1)</x:f>
        <x:v>4886.291242851867</x:v>
      </x:c>
      <x:c r="P959" s="10" t="n">
        <x:f>H959*'Assumptions'!$R$85*'Assumptions'!$D$11*(1+'Assumptions'!$D$13)^(8-1)</x:f>
        <x:v>0</x:v>
      </x:c>
      <x:c r="Q959" s="10" t="n">
        <x:f>J959*'Assumptions'!$S$85</x:f>
        <x:v>0</x:v>
      </x:c>
      <x:c r="R959" s="10" t="n">
        <x:f>H959*'Assumptions'!$Y$85*'Assumptions'!$Z$85*'Assumptions'!$D$11*(1+'Assumptions'!$D$13)^(8-1)</x:f>
        <x:v>2792.166424486781</x:v>
      </x:c>
      <x:c r="S959" s="10" t="n">
        <x:f>IF(I959=0,0,J959*'Assumptions'!$W$85+H959*'Assumptions'!$X$85)</x:f>
        <x:v>832.0489373981856</x:v>
      </x:c>
      <x:c r="T959" s="10" t="n">
        <x:f>N959*'Assumptions'!$AA$85</x:f>
        <x:v>1011.8442205680205</x:v>
      </x:c>
      <x:c r="U959" s="10" t="n">
        <x:f>'Assumptions'!$AE$85*'Assumptions'!$D$11*(1+'Assumptions'!$D$13)^(8-1)</x:f>
        <x:v>295.16972770196884</x:v>
      </x:c>
      <x:c r="V959" s="10" t="n">
        <x:f>0</x:f>
        <x:v>0</x:v>
      </x:c>
      <x:c r="W959" s="10" t="n">
        <x:f>H959*('Assumptions'!$P$85+'Assumptions'!$Y$85)</x:f>
        <x:v>189.1905681673437</x:v>
      </x:c>
      <x:c r="X959" s="10" t="n">
        <x:f>N959/12*'Assumptions'!$AF$85</x:f>
        <x:v>0</x:v>
      </x:c>
      <x:c r="Y959" s="10" t="n">
        <x:f>P959/12</x:f>
        <x:v>0</x:v>
      </x:c>
      <x:c r="Z959" s="10" t="n">
        <x:f>0</x:f>
        <x:v>0</x:v>
      </x:c>
      <x:c r="AA959" s="10" t="n">
        <x:f>Z959*'Assumptions'!$AC$85*'Assumptions'!$D$11*(1+'Assumptions'!$D$13)^(8-1)</x:f>
        <x:v>0</x:v>
      </x:c>
      <x:c r="AB959" s="10" t="n">
        <x:f>F959/1</x:f>
        <x:v>573.355905763125</x:v>
      </x:c>
      <x:c r="AC959" s="10" t="n">
        <x:f>AB959/'Assumptions'!$AM$85</x:f>
        <x:v>11467.118115262498</x:v>
      </x:c>
      <x:c r="AD959" s="10" t="n">
        <x:f>IF(AB959=0,0,T959/AB959)</x:f>
        <x:v>1.7647750906503294</x:v>
      </x:c>
      <x:c r="AE959" s="10" t="n">
        <x:f>AA959*'Assumptions'!$D$21</x:f>
        <x:v>0</x:v>
      </x:c>
    </x:row>
    <x:row r="960" ht="16" customHeight="1">
      <x:c r="A960" s="1"/>
      <x:c r="B960" s="1"/>
      <x:c r="C960" s="1" t="str">
        <x:v>DOT-057</x:v>
      </x:c>
      <x:c r="D960" s="10" t="str">
        <x:v>VraiSkill Model Life</x:v>
      </x:c>
      <x:c r="E960" s="10" t="n">
        <x:v>8</x:v>
      </x:c>
      <x:c r="F960" s="21" t="n">
        <x:f>F832*(1+'Assumptions'!$M$86)</x:f>
        <x:v>0</x:v>
      </x:c>
      <x:c r="G960" s="21" t="n">
        <x:f>H832*'Assumptions'!$K$86</x:f>
        <x:v>0</x:v>
      </x:c>
      <x:c r="H960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960+G960,NA())</x:f>
        <x:v>0</x:v>
      </x:c>
      <x:c r="I960" s="22" t="n">
        <x:f>'Assumptions'!$H$86*IF('Assumptions'!$O$86=1,1,'Assumptions'!$D$10)*(1+'Assumptions'!$N$86)^(8-1)</x:f>
        <x:v>0</x:v>
      </x:c>
      <x:c r="J960" s="10" t="n">
        <x:f>H960*I960</x:f>
        <x:v>0</x:v>
      </x:c>
      <x:c r="K960" s="10" t="n">
        <x:f>J960*'Assumptions'!$T$86</x:f>
        <x:v>0</x:v>
      </x:c>
      <x:c r="L960" s="10" t="n">
        <x:f>K960*'Assumptions'!$U$86</x:f>
        <x:v>0</x:v>
      </x:c>
      <x:c r="M960" s="10" t="n">
        <x:f>K960*'Assumptions'!$V$86</x:f>
        <x:v>0</x:v>
      </x:c>
      <x:c r="N960" s="10" t="n">
        <x:f>K960-L960-M960</x:f>
        <x:v>0</x:v>
      </x:c>
      <x:c r="O960" s="10" t="n">
        <x:f>H960*'Assumptions'!$P$86*'Assumptions'!$Q$86*'Assumptions'!$D$11*(1+'Assumptions'!$D$13)^(8-1)</x:f>
        <x:v>0</x:v>
      </x:c>
      <x:c r="P960" s="10" t="n">
        <x:f>H960*'Assumptions'!$R$86*'Assumptions'!$D$11*(1+'Assumptions'!$D$13)^(8-1)</x:f>
        <x:v>0</x:v>
      </x:c>
      <x:c r="Q960" s="10" t="n">
        <x:f>J960*'Assumptions'!$S$86</x:f>
        <x:v>0</x:v>
      </x:c>
      <x:c r="R960" s="10" t="n">
        <x:f>H960*'Assumptions'!$Y$86*'Assumptions'!$Z$86*'Assumptions'!$D$11*(1+'Assumptions'!$D$13)^(8-1)</x:f>
        <x:v>0</x:v>
      </x:c>
      <x:c r="S960" s="10" t="n">
        <x:f>IF(I960=0,0,J960*'Assumptions'!$W$86+H960*'Assumptions'!$X$86)</x:f>
        <x:v>0</x:v>
      </x:c>
      <x:c r="T960" s="10" t="n">
        <x:f>N960*'Assumptions'!$AA$86</x:f>
        <x:v>0</x:v>
      </x:c>
      <x:c r="U960" s="10" t="n">
        <x:f>'Assumptions'!$AE$86*'Assumptions'!$D$11*(1+'Assumptions'!$D$13)^(8-1)</x:f>
        <x:v>0</x:v>
      </x:c>
      <x:c r="V960" s="10" t="n">
        <x:f>0</x:f>
        <x:v>0</x:v>
      </x:c>
      <x:c r="W960" s="10" t="n">
        <x:f>H960*('Assumptions'!$P$86+'Assumptions'!$Y$86)</x:f>
        <x:v>0</x:v>
      </x:c>
      <x:c r="X960" s="10" t="n">
        <x:f>N960/12*'Assumptions'!$AF$86</x:f>
        <x:v>0</x:v>
      </x:c>
      <x:c r="Y960" s="10" t="n">
        <x:f>P960/12</x:f>
        <x:v>0</x:v>
      </x:c>
      <x:c r="Z960" s="10" t="n">
        <x:f>0</x:f>
        <x:v>0</x:v>
      </x:c>
      <x:c r="AA960" s="10" t="n">
        <x:f>Z960*'Assumptions'!$AC$86*'Assumptions'!$D$11*(1+'Assumptions'!$D$13)^(8-1)</x:f>
        <x:v>0</x:v>
      </x:c>
      <x:c r="AB960" s="10" t="n">
        <x:f>F960/1</x:f>
        <x:v>0</x:v>
      </x:c>
      <x:c r="AC960" s="10" t="n">
        <x:f>AB960/'Assumptions'!$AM$86</x:f>
        <x:v>0</x:v>
      </x:c>
      <x:c r="AD960" s="10" t="n">
        <x:f>IF(AB960=0,0,T960/AB960)</x:f>
        <x:v>0</x:v>
      </x:c>
      <x:c r="AE960" s="10" t="n">
        <x:f>AA960*'Assumptions'!$D$21</x:f>
        <x:v>0</x:v>
      </x:c>
    </x:row>
    <x:row r="961" ht="16" customHeight="1">
      <x:c r="A961" s="1"/>
      <x:c r="B961" s="1"/>
      <x:c r="C961" s="1" t="str">
        <x:v>DOT-058</x:v>
      </x:c>
      <x:c r="D961" s="10" t="str">
        <x:v>Model Life</x:v>
      </x:c>
      <x:c r="E961" s="10" t="n">
        <x:v>8</x:v>
      </x:c>
      <x:c r="F961" s="21" t="n">
        <x:f>F833*(1+'Assumptions'!$M$87)</x:f>
        <x:v>326.28653383680006</x:v>
      </x:c>
      <x:c r="G961" s="21" t="n">
        <x:f>H833*'Assumptions'!$K$87</x:f>
        <x:v>609.5603310719999</x:v>
      </x:c>
      <x:c r="H961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961+G961,NA())</x:f>
        <x:v>935.8468649088</x:v>
      </x:c>
      <x:c r="I961" s="22" t="n">
        <x:f>'Assumptions'!$H$87*IF('Assumptions'!$O$87=1,1,'Assumptions'!$D$10)*(1+'Assumptions'!$N$87)^(8-1)</x:f>
        <x:v>17.230285014739202</x:v>
      </x:c>
      <x:c r="J961" s="10" t="n">
        <x:f>H961*I961</x:f>
        <x:v>16124.908212528759</x:v>
      </x:c>
      <x:c r="K961" s="10" t="n">
        <x:f>J961*'Assumptions'!$T$87</x:f>
        <x:v>16124.908212528759</x:v>
      </x:c>
      <x:c r="L961" s="10" t="n">
        <x:f>K961*'Assumptions'!$U$87</x:f>
        <x:v>483.74724637586274</x:v>
      </x:c>
      <x:c r="M961" s="10" t="n">
        <x:f>K961*'Assumptions'!$V$87</x:f>
        <x:v>0</x:v>
      </x:c>
      <x:c r="N961" s="10" t="n">
        <x:f>K961-L961-M961</x:f>
        <x:v>15641.160966152896</x:v>
      </x:c>
      <x:c r="O961" s="10" t="n">
        <x:f>H961*'Assumptions'!$P$87*'Assumptions'!$Q$87*'Assumptions'!$D$11*(1+'Assumptions'!$D$13)^(8-1)</x:f>
        <x:v>4028.4076041689627</x:v>
      </x:c>
      <x:c r="P961" s="10" t="n">
        <x:f>H961*'Assumptions'!$R$87*'Assumptions'!$D$11*(1+'Assumptions'!$D$13)^(8-1)</x:f>
        <x:v>0</x:v>
      </x:c>
      <x:c r="Q961" s="10" t="n">
        <x:f>J961*'Assumptions'!$S$87</x:f>
        <x:v>0</x:v>
      </x:c>
      <x:c r="R961" s="10" t="n">
        <x:f>H961*'Assumptions'!$Y$87*'Assumptions'!$Z$87*'Assumptions'!$D$11*(1+'Assumptions'!$D$13)^(8-1)</x:f>
        <x:v>5179.381205360095</x:v>
      </x:c>
      <x:c r="S961" s="10" t="n">
        <x:f>IF(I961=0,0,J961*'Assumptions'!$W$87+H961*'Assumptions'!$X$87)</x:f>
        <x:v>748.376397635974</x:v>
      </x:c>
      <x:c r="T961" s="10" t="n">
        <x:f>N961*'Assumptions'!$AA$87</x:f>
        <x:v>782.0580483076449</x:v>
      </x:c>
      <x:c r="U961" s="10" t="n">
        <x:f>'Assumptions'!$AE$87*'Assumptions'!$D$11*(1+'Assumptions'!$D$13)^(8-1)</x:f>
        <x:v>73.79243192549221</x:v>
      </x:c>
      <x:c r="V961" s="10" t="n">
        <x:f>0</x:f>
        <x:v>0</x:v>
      </x:c>
      <x:c r="W961" s="10" t="n">
        <x:f>H961*('Assumptions'!$P$87+'Assumptions'!$Y$87)</x:f>
        <x:v>233.9617162272</x:v>
      </x:c>
      <x:c r="X961" s="10" t="n">
        <x:f>N961/12*'Assumptions'!$AF$87</x:f>
        <x:v>0</x:v>
      </x:c>
      <x:c r="Y961" s="10" t="n">
        <x:f>P961/12</x:f>
        <x:v>0</x:v>
      </x:c>
      <x:c r="Z961" s="10" t="n">
        <x:f>0</x:f>
        <x:v>0</x:v>
      </x:c>
      <x:c r="AA961" s="10" t="n">
        <x:f>Z961*'Assumptions'!$AC$87*'Assumptions'!$D$11*(1+'Assumptions'!$D$13)^(8-1)</x:f>
        <x:v>0</x:v>
      </x:c>
      <x:c r="AB961" s="10" t="n">
        <x:f>F961/12</x:f>
        <x:v>27.190544486400004</x:v>
      </x:c>
      <x:c r="AC961" s="10" t="n">
        <x:f>AB961/'Assumptions'!$AM$87</x:f>
        <x:v>543.810889728</x:v>
      </x:c>
      <x:c r="AD961" s="10" t="n">
        <x:f>IF(AB961=0,0,T961/AB961)</x:f>
        <x:v>28.76213268545651</x:v>
      </x:c>
      <x:c r="AE961" s="10" t="n">
        <x:f>AA961*'Assumptions'!$D$21</x:f>
        <x:v>0</x:v>
      </x:c>
    </x:row>
    <x:row r="962" ht="16" customHeight="1">
      <x:c r="A962" s="1"/>
      <x:c r="B962" s="1"/>
      <x:c r="C962" s="1" t="str">
        <x:v>DOT-059</x:v>
      </x:c>
      <x:c r="D962" s="10" t="str">
        <x:v>Model Life</x:v>
      </x:c>
      <x:c r="E962" s="10" t="n">
        <x:v>8</x:v>
      </x:c>
      <x:c r="F962" s="21" t="n">
        <x:f>F834*(1+'Assumptions'!$M$88)</x:f>
        <x:v>81.57163345920002</x:v>
      </x:c>
      <x:c r="G962" s="21" t="n">
        <x:f>H834*'Assumptions'!$K$88</x:f>
        <x:v>152.39008276799998</x:v>
      </x:c>
      <x:c r="H962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962+G962,NA())</x:f>
        <x:v>233.9617162272</x:v>
      </x:c>
      <x:c r="I962" s="22" t="n">
        <x:f>'Assumptions'!$H$88*IF('Assumptions'!$O$88=1,1,'Assumptions'!$D$10)*(1+'Assumptions'!$N$88)^(8-1)</x:f>
        <x:v>90.74616774429312</x:v>
      </x:c>
      <x:c r="J962" s="10" t="n">
        <x:f>H962*I962</x:f>
        <x:v>21231.129146496194</x:v>
      </x:c>
      <x:c r="K962" s="10" t="n">
        <x:f>J962*'Assumptions'!$T$88</x:f>
        <x:v>21231.129146496194</x:v>
      </x:c>
      <x:c r="L962" s="10" t="n">
        <x:f>K962*'Assumptions'!$U$88</x:f>
        <x:v>636.9338743948858</x:v>
      </x:c>
      <x:c r="M962" s="10" t="n">
        <x:f>K962*'Assumptions'!$V$88</x:f>
        <x:v>0</x:v>
      </x:c>
      <x:c r="N962" s="10" t="n">
        <x:f>K962-L962-M962</x:f>
        <x:v>20594.195272101308</x:v>
      </x:c>
      <x:c r="O962" s="10" t="n">
        <x:f>H962*'Assumptions'!$P$88*'Assumptions'!$Q$88*'Assumptions'!$D$11*(1+'Assumptions'!$D$13)^(8-1)</x:f>
        <x:v>1007.1019010422407</x:v>
      </x:c>
      <x:c r="P962" s="10" t="n">
        <x:f>H962*'Assumptions'!$R$88*'Assumptions'!$D$11*(1+'Assumptions'!$D$13)^(8-1)</x:f>
        <x:v>0</x:v>
      </x:c>
      <x:c r="Q962" s="10" t="n">
        <x:f>J962*'Assumptions'!$S$88</x:f>
        <x:v>0</x:v>
      </x:c>
      <x:c r="R962" s="10" t="n">
        <x:f>H962*'Assumptions'!$Y$88*'Assumptions'!$Z$88*'Assumptions'!$D$11*(1+'Assumptions'!$D$13)^(8-1)</x:f>
        <x:v>1294.8453013400238</x:v>
      </x:c>
      <x:c r="S962" s="10" t="n">
        <x:f>IF(I962=0,0,J962*'Assumptions'!$W$88+H962*'Assumptions'!$X$88)</x:f>
        <x:v>685.8912601165497</x:v>
      </x:c>
      <x:c r="T962" s="10" t="n">
        <x:f>N962*'Assumptions'!$AA$88</x:f>
        <x:v>1029.7097636050655</x:v>
      </x:c>
      <x:c r="U962" s="10" t="n">
        <x:f>'Assumptions'!$AE$88*'Assumptions'!$D$11*(1+'Assumptions'!$D$13)^(8-1)</x:f>
        <x:v>73.79243192549221</x:v>
      </x:c>
      <x:c r="V962" s="10" t="n">
        <x:f>0</x:f>
        <x:v>0</x:v>
      </x:c>
      <x:c r="W962" s="10" t="n">
        <x:f>H962*('Assumptions'!$P$88+'Assumptions'!$Y$88)</x:f>
        <x:v>58.4904290568</x:v>
      </x:c>
      <x:c r="X962" s="10" t="n">
        <x:f>N962/12*'Assumptions'!$AF$88</x:f>
        <x:v>0</x:v>
      </x:c>
      <x:c r="Y962" s="10" t="n">
        <x:f>P962/12</x:f>
        <x:v>0</x:v>
      </x:c>
      <x:c r="Z962" s="10" t="n">
        <x:f>0</x:f>
        <x:v>0</x:v>
      </x:c>
      <x:c r="AA962" s="10" t="n">
        <x:f>Z962*'Assumptions'!$AC$88*'Assumptions'!$D$11*(1+'Assumptions'!$D$13)^(8-1)</x:f>
        <x:v>0</x:v>
      </x:c>
      <x:c r="AB962" s="10" t="n">
        <x:f>F962/12</x:f>
        <x:v>6.797636121600001</x:v>
      </x:c>
      <x:c r="AC962" s="10" t="n">
        <x:f>AB962/'Assumptions'!$AM$88</x:f>
        <x:v>135.952722432</x:v>
      </x:c>
      <x:c r="AD962" s="10" t="n">
        <x:f>IF(AB962=0,0,T962/AB962)</x:f>
        <x:v>151.48056547673758</x:v>
      </x:c>
      <x:c r="AE962" s="10" t="n">
        <x:f>AA962*'Assumptions'!$D$21</x:f>
        <x:v>0</x:v>
      </x:c>
    </x:row>
    <x:row r="963" ht="16" customHeight="1">
      <x:c r="A963" s="1"/>
      <x:c r="B963" s="1"/>
      <x:c r="C963" s="1" t="str">
        <x:v>DOT-060</x:v>
      </x:c>
      <x:c r="D963" s="10" t="str">
        <x:v>Model Life</x:v>
      </x:c>
      <x:c r="E963" s="10" t="n">
        <x:v>8</x:v>
      </x:c>
      <x:c r="F963" s="21" t="n">
        <x:f>F835*(1+'Assumptions'!$M$89)</x:f>
        <x:v>81.57163345920002</x:v>
      </x:c>
      <x:c r="G963" s="21" t="n">
        <x:f>H835*'Assumptions'!$K$89</x:f>
        <x:v>152.39008276799998</x:v>
      </x:c>
      <x:c r="H963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963+G963,NA())</x:f>
        <x:v>233.9617162272</x:v>
      </x:c>
      <x:c r="I963" s="22" t="n">
        <x:f>'Assumptions'!$H$89*IF('Assumptions'!$O$89=1,1,'Assumptions'!$D$10)*(1+'Assumptions'!$N$89)^(8-1)</x:f>
        <x:v>67.77245439130752</x:v>
      </x:c>
      <x:c r="J963" s="10" t="n">
        <x:f>H963*I963</x:f>
        <x:v>15856.159742319944</x:v>
      </x:c>
      <x:c r="K963" s="10" t="n">
        <x:f>J963*'Assumptions'!$T$89</x:f>
        <x:v>15856.159742319944</x:v>
      </x:c>
      <x:c r="L963" s="10" t="n">
        <x:f>K963*'Assumptions'!$U$89</x:f>
        <x:v>475.6847922695983</x:v>
      </x:c>
      <x:c r="M963" s="10" t="n">
        <x:f>K963*'Assumptions'!$V$89</x:f>
        <x:v>0</x:v>
      </x:c>
      <x:c r="N963" s="10" t="n">
        <x:f>K963-L963-M963</x:f>
        <x:v>15380.474950050346</x:v>
      </x:c>
      <x:c r="O963" s="10" t="n">
        <x:f>H963*'Assumptions'!$P$89*'Assumptions'!$Q$89*'Assumptions'!$D$11*(1+'Assumptions'!$D$13)^(8-1)</x:f>
        <x:v>1007.1019010422407</x:v>
      </x:c>
      <x:c r="P963" s="10" t="n">
        <x:f>H963*'Assumptions'!$R$89*'Assumptions'!$D$11*(1+'Assumptions'!$D$13)^(8-1)</x:f>
        <x:v>0</x:v>
      </x:c>
      <x:c r="Q963" s="10" t="n">
        <x:f>J963*'Assumptions'!$S$89</x:f>
        <x:v>0</x:v>
      </x:c>
      <x:c r="R963" s="10" t="n">
        <x:f>H963*'Assumptions'!$Y$89*'Assumptions'!$Z$89*'Assumptions'!$D$11*(1+'Assumptions'!$D$13)^(8-1)</x:f>
        <x:v>1294.8453013400238</x:v>
      </x:c>
      <x:c r="S963" s="10" t="n">
        <x:f>IF(I963=0,0,J963*'Assumptions'!$W$89+H963*'Assumptions'!$X$89)</x:f>
        <x:v>530.0171473954384</x:v>
      </x:c>
      <x:c r="T963" s="10" t="n">
        <x:f>N963*'Assumptions'!$AA$89</x:f>
        <x:v>769.0237475025174</x:v>
      </x:c>
      <x:c r="U963" s="10" t="n">
        <x:f>'Assumptions'!$AE$89*'Assumptions'!$D$11*(1+'Assumptions'!$D$13)^(8-1)</x:f>
        <x:v>73.79243192549221</x:v>
      </x:c>
      <x:c r="V963" s="10" t="n">
        <x:f>0</x:f>
        <x:v>0</x:v>
      </x:c>
      <x:c r="W963" s="10" t="n">
        <x:f>H963*('Assumptions'!$P$89+'Assumptions'!$Y$89)</x:f>
        <x:v>58.4904290568</x:v>
      </x:c>
      <x:c r="X963" s="10" t="n">
        <x:f>N963/12*'Assumptions'!$AF$89</x:f>
        <x:v>0</x:v>
      </x:c>
      <x:c r="Y963" s="10" t="n">
        <x:f>P963/12</x:f>
        <x:v>0</x:v>
      </x:c>
      <x:c r="Z963" s="10" t="n">
        <x:f>0</x:f>
        <x:v>0</x:v>
      </x:c>
      <x:c r="AA963" s="10" t="n">
        <x:f>Z963*'Assumptions'!$AC$89*'Assumptions'!$D$11*(1+'Assumptions'!$D$13)^(8-1)</x:f>
        <x:v>0</x:v>
      </x:c>
      <x:c r="AB963" s="10" t="n">
        <x:f>F963/12</x:f>
        <x:v>6.797636121600001</x:v>
      </x:c>
      <x:c r="AC963" s="10" t="n">
        <x:f>AB963/'Assumptions'!$AM$89</x:f>
        <x:v>135.952722432</x:v>
      </x:c>
      <x:c r="AD963" s="10" t="n">
        <x:f>IF(AB963=0,0,T963/AB963)</x:f>
        <x:v>113.13105522946226</x:v>
      </x:c>
      <x:c r="AE963" s="10" t="n">
        <x:f>AA963*'Assumptions'!$D$21</x:f>
        <x:v>0</x:v>
      </x:c>
    </x:row>
    <x:row r="964" ht="16" customHeight="1">
      <x:c r="A964" s="1"/>
      <x:c r="B964" s="1"/>
      <x:c r="C964" s="1" t="str">
        <x:v>DOT-061</x:v>
      </x:c>
      <x:c r="D964" s="10" t="str">
        <x:v>Model Life</x:v>
      </x:c>
      <x:c r="E964" s="10" t="n">
        <x:v>8</x:v>
      </x:c>
      <x:c r="F964" s="21" t="n">
        <x:f>F836*(1+'Assumptions'!$M$90)</x:f>
        <x:v>40.78581672960001</x:v>
      </x:c>
      <x:c r="G964" s="21" t="n">
        <x:f>H836*'Assumptions'!$K$90</x:f>
        <x:v>76.19504138399999</x:v>
      </x:c>
      <x:c r="H964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964+G964,NA())</x:f>
        <x:v>116.9808581136</x:v>
      </x:c>
      <x:c r="I964" s="22" t="n">
        <x:f>'Assumptions'!$H$90*IF('Assumptions'!$O$90=1,1,'Assumptions'!$D$10)*(1+'Assumptions'!$N$90)^(8-1)</x:f>
        <x:v>113.71988109727873</x:v>
      </x:c>
      <x:c r="J964" s="10" t="n">
        <x:f>H964*I964</x:f>
        <x:v>13303.049275336225</x:v>
      </x:c>
      <x:c r="K964" s="10" t="n">
        <x:f>J964*'Assumptions'!$T$90</x:f>
        <x:v>13303.049275336225</x:v>
      </x:c>
      <x:c r="L964" s="10" t="n">
        <x:f>K964*'Assumptions'!$U$90</x:f>
        <x:v>399.0914782600867</x:v>
      </x:c>
      <x:c r="M964" s="10" t="n">
        <x:f>K964*'Assumptions'!$V$90</x:f>
        <x:v>0</x:v>
      </x:c>
      <x:c r="N964" s="10" t="n">
        <x:f>K964-L964-M964</x:f>
        <x:v>12903.957797076138</x:v>
      </x:c>
      <x:c r="O964" s="10" t="n">
        <x:f>H964*'Assumptions'!$P$90*'Assumptions'!$Q$90*'Assumptions'!$D$11*(1+'Assumptions'!$D$13)^(8-1)</x:f>
        <x:v>503.55095052112034</x:v>
      </x:c>
      <x:c r="P964" s="10" t="n">
        <x:f>H964*'Assumptions'!$R$90*'Assumptions'!$D$11*(1+'Assumptions'!$D$13)^(8-1)</x:f>
        <x:v>0</x:v>
      </x:c>
      <x:c r="Q964" s="10" t="n">
        <x:f>J964*'Assumptions'!$S$90</x:f>
        <x:v>0</x:v>
      </x:c>
      <x:c r="R964" s="10" t="n">
        <x:f>H964*'Assumptions'!$Y$90*'Assumptions'!$Z$90*'Assumptions'!$D$11*(1+'Assumptions'!$D$13)^(8-1)</x:f>
        <x:v>647.4226506700119</x:v>
      </x:c>
      <x:c r="S964" s="10" t="n">
        <x:f>IF(I964=0,0,J964*'Assumptions'!$W$90+H964*'Assumptions'!$X$90)</x:f>
        <x:v>420.8826864188306</x:v>
      </x:c>
      <x:c r="T964" s="10" t="n">
        <x:f>N964*'Assumptions'!$AA$90</x:f>
        <x:v>645.1978898538069</x:v>
      </x:c>
      <x:c r="U964" s="10" t="n">
        <x:f>'Assumptions'!$AE$90*'Assumptions'!$D$11*(1+'Assumptions'!$D$13)^(8-1)</x:f>
        <x:v>73.79243192549221</x:v>
      </x:c>
      <x:c r="V964" s="10" t="n">
        <x:f>0</x:f>
        <x:v>0</x:v>
      </x:c>
      <x:c r="W964" s="10" t="n">
        <x:f>H964*('Assumptions'!$P$90+'Assumptions'!$Y$90)</x:f>
        <x:v>29.2452145284</x:v>
      </x:c>
      <x:c r="X964" s="10" t="n">
        <x:f>N964/12*'Assumptions'!$AF$90</x:f>
        <x:v>0</x:v>
      </x:c>
      <x:c r="Y964" s="10" t="n">
        <x:f>P964/12</x:f>
        <x:v>0</x:v>
      </x:c>
      <x:c r="Z964" s="10" t="n">
        <x:f>0</x:f>
        <x:v>0</x:v>
      </x:c>
      <x:c r="AA964" s="10" t="n">
        <x:f>Z964*'Assumptions'!$AC$90*'Assumptions'!$D$11*(1+'Assumptions'!$D$13)^(8-1)</x:f>
        <x:v>0</x:v>
      </x:c>
      <x:c r="AB964" s="10" t="n">
        <x:f>F964/12</x:f>
        <x:v>3.3988180608000005</x:v>
      </x:c>
      <x:c r="AC964" s="10" t="n">
        <x:f>AB964/'Assumptions'!$AM$90</x:f>
        <x:v>67.976361216</x:v>
      </x:c>
      <x:c r="AD964" s="10" t="n">
        <x:f>IF(AB964=0,0,T964/AB964)</x:f>
        <x:v>189.83007572401294</x:v>
      </x:c>
      <x:c r="AE964" s="10" t="n">
        <x:f>AA964*'Assumptions'!$D$21</x:f>
        <x:v>0</x:v>
      </x:c>
    </x:row>
    <x:row r="965" ht="16" customHeight="1">
      <x:c r="A965" s="1"/>
      <x:c r="B965" s="1"/>
      <x:c r="C965" s="1" t="str">
        <x:v>DOT-062</x:v>
      </x:c>
      <x:c r="D965" s="10" t="str">
        <x:v>Model Life</x:v>
      </x:c>
      <x:c r="E965" s="10" t="n">
        <x:v>8</x:v>
      </x:c>
      <x:c r="F965" s="21" t="n">
        <x:f>F837*(1+'Assumptions'!$M$91)</x:f>
        <x:v>40.78581672960001</x:v>
      </x:c>
      <x:c r="G965" s="21" t="n">
        <x:f>H837*'Assumptions'!$K$91</x:f>
        <x:v>76.19504138399999</x:v>
      </x:c>
      <x:c r="H965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965+G965,NA())</x:f>
        <x:v>116.9808581136</x:v>
      </x:c>
      <x:c r="I965" s="22" t="n">
        <x:f>'Assumptions'!$H$91*IF('Assumptions'!$O$91=1,1,'Assumptions'!$D$10)*(1+'Assumptions'!$N$91)^(8-1)</x:f>
        <x:v>56.28559771481472</x:v>
      </x:c>
      <x:c r="J965" s="10" t="n">
        <x:f>H965*I965</x:f>
        <x:v>6584.337520115909</x:v>
      </x:c>
      <x:c r="K965" s="10" t="n">
        <x:f>J965*'Assumptions'!$T$91</x:f>
        <x:v>6584.337520115909</x:v>
      </x:c>
      <x:c r="L965" s="10" t="n">
        <x:f>K965*'Assumptions'!$U$91</x:f>
        <x:v>197.53012560347725</x:v>
      </x:c>
      <x:c r="M965" s="10" t="n">
        <x:f>K965*'Assumptions'!$V$91</x:f>
        <x:v>0</x:v>
      </x:c>
      <x:c r="N965" s="10" t="n">
        <x:f>K965-L965-M965</x:f>
        <x:v>6386.8073945124315</x:v>
      </x:c>
      <x:c r="O965" s="10" t="n">
        <x:f>H965*'Assumptions'!$P$91*'Assumptions'!$Q$91*'Assumptions'!$D$11*(1+'Assumptions'!$D$13)^(8-1)</x:f>
        <x:v>503.55095052112034</x:v>
      </x:c>
      <x:c r="P965" s="10" t="n">
        <x:f>H965*'Assumptions'!$R$91*'Assumptions'!$D$11*(1+'Assumptions'!$D$13)^(8-1)</x:f>
        <x:v>0</x:v>
      </x:c>
      <x:c r="Q965" s="10" t="n">
        <x:f>J965*'Assumptions'!$S$91</x:f>
        <x:v>0</x:v>
      </x:c>
      <x:c r="R965" s="10" t="n">
        <x:f>H965*'Assumptions'!$Y$91*'Assumptions'!$Z$91*'Assumptions'!$D$11*(1+'Assumptions'!$D$13)^(8-1)</x:f>
        <x:v>647.4226506700119</x:v>
      </x:c>
      <x:c r="S965" s="10" t="n">
        <x:f>IF(I965=0,0,J965*'Assumptions'!$W$91+H965*'Assumptions'!$X$91)</x:f>
        <x:v>226.04004551744134</x:v>
      </x:c>
      <x:c r="T965" s="10" t="n">
        <x:f>N965*'Assumptions'!$AA$91</x:f>
        <x:v>319.3403697256216</x:v>
      </x:c>
      <x:c r="U965" s="10" t="n">
        <x:f>'Assumptions'!$AE$91*'Assumptions'!$D$11*(1+'Assumptions'!$D$13)^(8-1)</x:f>
        <x:v>73.79243192549221</x:v>
      </x:c>
      <x:c r="V965" s="10" t="n">
        <x:f>0</x:f>
        <x:v>0</x:v>
      </x:c>
      <x:c r="W965" s="10" t="n">
        <x:f>H965*('Assumptions'!$P$91+'Assumptions'!$Y$91)</x:f>
        <x:v>29.2452145284</x:v>
      </x:c>
      <x:c r="X965" s="10" t="n">
        <x:f>N965/12*'Assumptions'!$AF$91</x:f>
        <x:v>0</x:v>
      </x:c>
      <x:c r="Y965" s="10" t="n">
        <x:f>P965/12</x:f>
        <x:v>0</x:v>
      </x:c>
      <x:c r="Z965" s="10" t="n">
        <x:f>0</x:f>
        <x:v>0</x:v>
      </x:c>
      <x:c r="AA965" s="10" t="n">
        <x:f>Z965*'Assumptions'!$AC$91*'Assumptions'!$D$11*(1+'Assumptions'!$D$13)^(8-1)</x:f>
        <x:v>0</x:v>
      </x:c>
      <x:c r="AB965" s="10" t="n">
        <x:f>F965/12</x:f>
        <x:v>3.3988180608000005</x:v>
      </x:c>
      <x:c r="AC965" s="10" t="n">
        <x:f>AB965/'Assumptions'!$AM$91</x:f>
        <x:v>67.976361216</x:v>
      </x:c>
      <x:c r="AD965" s="10" t="n">
        <x:f>IF(AB965=0,0,T965/AB965)</x:f>
        <x:v>93.95630010582458</x:v>
      </x:c>
      <x:c r="AE965" s="10" t="n">
        <x:f>AA965*'Assumptions'!$D$21</x:f>
        <x:v>0</x:v>
      </x:c>
    </x:row>
    <x:row r="966" ht="16" customHeight="1">
      <x:c r="A966" s="1"/>
      <x:c r="B966" s="1"/>
      <x:c r="C966" s="1" t="str">
        <x:v>DOT-063</x:v>
      </x:c>
      <x:c r="D966" s="10" t="str">
        <x:v>S’otality cleaning</x:v>
      </x:c>
      <x:c r="E966" s="10" t="n">
        <x:v>8</x:v>
      </x:c>
      <x:c r="F966" s="21" t="n">
        <x:f>F838*(1+'Assumptions'!$M$92)</x:f>
        <x:v>76.79335683360003</x:v>
      </x:c>
      <x:c r="G966" s="21" t="n">
        <x:f>H838*'Assumptions'!$K$92</x:f>
        <x:v>103.75146691200003</x:v>
      </x:c>
      <x:c r="H966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966+G966,NA())</x:f>
        <x:v>180.54482374560007</x:v>
      </x:c>
      <x:c r="I966" s="22" t="n">
        <x:f>'Assumptions'!$H$92*IF('Assumptions'!$O$92=1,1,'Assumptions'!$D$10)*(1+'Assumptions'!$N$92)^(8-1)</x:f>
        <x:v>171.15416447974272</x:v>
      </x:c>
      <x:c r="J966" s="10" t="n">
        <x:f>H966*I966</x:f>
        <x:v>30900.99845932059</x:v>
      </x:c>
      <x:c r="K966" s="10" t="n">
        <x:f>J966*'Assumptions'!$T$92</x:f>
        <x:v>30900.99845932059</x:v>
      </x:c>
      <x:c r="L966" s="10" t="n">
        <x:f>K966*'Assumptions'!$U$92</x:f>
        <x:v>927.0299537796177</x:v>
      </x:c>
      <x:c r="M966" s="10" t="n">
        <x:f>K966*'Assumptions'!$V$92</x:f>
        <x:v>0</x:v>
      </x:c>
      <x:c r="N966" s="10" t="n">
        <x:f>K966-L966-M966</x:f>
        <x:v>29973.968505540975</x:v>
      </x:c>
      <x:c r="O966" s="10" t="n">
        <x:f>H966*'Assumptions'!$P$92*'Assumptions'!$Q$92*'Assumptions'!$D$11*(1+'Assumptions'!$D$13)^(8-1)</x:f>
        <x:v>777.1657609185856</x:v>
      </x:c>
      <x:c r="P966" s="10" t="n">
        <x:f>H966*'Assumptions'!$R$92*'Assumptions'!$D$11*(1+'Assumptions'!$D$13)^(8-1)</x:f>
        <x:v>1776.3788820996244</x:v>
      </x:c>
      <x:c r="Q966" s="10" t="n">
        <x:f>J966*'Assumptions'!$S$92</x:f>
        <x:v>20085.648998558387</x:v>
      </x:c>
      <x:c r="R966" s="10" t="n">
        <x:f>H966*'Assumptions'!$Y$92*'Assumptions'!$Z$92*'Assumptions'!$D$11*(1+'Assumptions'!$D$13)^(8-1)</x:f>
        <x:v>1332.2841615747184</x:v>
      </x:c>
      <x:c r="S966" s="10" t="n">
        <x:f>IF(I966=0,0,J966*'Assumptions'!$W$92+H966*'Assumptions'!$X$92)</x:f>
        <x:v>950.2924024439773</x:v>
      </x:c>
      <x:c r="T966" s="10" t="n">
        <x:f>N966*'Assumptions'!$AA$92</x:f>
        <x:v>1198.9587402216391</x:v>
      </x:c>
      <x:c r="U966" s="10" t="n">
        <x:f>'Assumptions'!$AE$92*'Assumptions'!$D$11*(1+'Assumptions'!$D$13)^(8-1)</x:f>
        <x:v>0</x:v>
      </x:c>
      <x:c r="V966" s="10" t="n">
        <x:f>0</x:f>
        <x:v>0</x:v>
      </x:c>
      <x:c r="W966" s="10" t="n">
        <x:f>H966*('Assumptions'!$P$92+'Assumptions'!$Y$92)</x:f>
        <x:v>54.16344712368003</x:v>
      </x:c>
      <x:c r="X966" s="10" t="n">
        <x:f>N966/12*'Assumptions'!$AF$92</x:f>
        <x:v>0</x:v>
      </x:c>
      <x:c r="Y966" s="10" t="n">
        <x:f>P966/12</x:f>
        <x:v>148.03157350830205</x:v>
      </x:c>
      <x:c r="Z966" s="10" t="n">
        <x:f>0</x:f>
        <x:v>0</x:v>
      </x:c>
      <x:c r="AA966" s="10" t="n">
        <x:f>Z966*'Assumptions'!$AC$92*'Assumptions'!$D$11*(1+'Assumptions'!$D$13)^(8-1)</x:f>
        <x:v>0</x:v>
      </x:c>
      <x:c r="AB966" s="10" t="n">
        <x:f>F966/1</x:f>
        <x:v>76.79335683360003</x:v>
      </x:c>
      <x:c r="AC966" s="10" t="n">
        <x:f>AB966/'Assumptions'!$AM$92</x:f>
        <x:v>511.9557122240002</x:v>
      </x:c>
      <x:c r="AD966" s="10" t="n">
        <x:f>IF(AB966=0,0,T966/AB966)</x:f>
        <x:v>15.612792429683825</x:v>
      </x:c>
      <x:c r="AE966" s="10" t="n">
        <x:f>AA966*'Assumptions'!$D$21</x:f>
        <x:v>0</x:v>
      </x:c>
    </x:row>
    <x:row r="967" ht="16" customHeight="1">
      <x:c r="A967" s="1"/>
      <x:c r="B967" s="1"/>
      <x:c r="C967" s="1" t="str">
        <x:v>DOT-064</x:v>
      </x:c>
      <x:c r="D967" s="10" t="str">
        <x:v>S’otality cleaning</x:v>
      </x:c>
      <x:c r="E967" s="10" t="n">
        <x:v>8</x:v>
      </x:c>
      <x:c r="F967" s="21" t="n">
        <x:f>F839*(1+'Assumptions'!$M$93)</x:f>
        <x:v>115.19003525040002</x:v>
      </x:c>
      <x:c r="G967" s="21" t="n">
        <x:f>H839*'Assumptions'!$K$93</x:f>
        <x:v>155.62720036800002</x:v>
      </x:c>
      <x:c r="H967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967+G967,NA())</x:f>
        <x:v>270.81723561840005</x:v>
      </x:c>
      <x:c r="I967" s="22" t="n">
        <x:f>'Assumptions'!$H$93*IF('Assumptions'!$O$93=1,1,'Assumptions'!$D$10)*(1+'Assumptions'!$N$93)^(8-1)</x:f>
        <x:v>159.6673078032499</x:v>
      </x:c>
      <x:c r="J967" s="10" t="n">
        <x:f>H967*I967</x:f>
        <x:v>43240.65891790834</x:v>
      </x:c>
      <x:c r="K967" s="10" t="n">
        <x:f>J967*'Assumptions'!$T$93</x:f>
        <x:v>43240.65891790834</x:v>
      </x:c>
      <x:c r="L967" s="10" t="n">
        <x:f>K967*'Assumptions'!$U$93</x:f>
        <x:v>1297.2197675372502</x:v>
      </x:c>
      <x:c r="M967" s="10" t="n">
        <x:f>K967*'Assumptions'!$V$93</x:f>
        <x:v>0</x:v>
      </x:c>
      <x:c r="N967" s="10" t="n">
        <x:f>K967-L967-M967</x:f>
        <x:v>41943.43915037109</x:v>
      </x:c>
      <x:c r="O967" s="10" t="n">
        <x:f>H967*'Assumptions'!$P$93*'Assumptions'!$Q$93*'Assumptions'!$D$11*(1+'Assumptions'!$D$13)^(8-1)</x:f>
        <x:v>1165.7486413778784</x:v>
      </x:c>
      <x:c r="P967" s="10" t="n">
        <x:f>H967*'Assumptions'!$R$93*'Assumptions'!$D$11*(1+'Assumptions'!$D$13)^(8-1)</x:f>
        <x:v>2664.568323149436</x:v>
      </x:c>
      <x:c r="Q967" s="10" t="n">
        <x:f>J967*'Assumptions'!$S$93</x:f>
        <x:v>28106.42829664042</x:v>
      </x:c>
      <x:c r="R967" s="10" t="n">
        <x:f>H967*'Assumptions'!$Y$93*'Assumptions'!$Z$93*'Assumptions'!$D$11*(1+'Assumptions'!$D$13)^(8-1)</x:f>
        <x:v>1998.4262423620771</x:v>
      </x:c>
      <x:c r="S967" s="10" t="n">
        <x:f>IF(I967=0,0,J967*'Assumptions'!$W$93+H967*'Assumptions'!$X$93)</x:f>
        <x:v>1335.2242793048617</x:v>
      </x:c>
      <x:c r="T967" s="10" t="n">
        <x:f>N967*'Assumptions'!$AA$93</x:f>
        <x:v>1677.7375660148434</x:v>
      </x:c>
      <x:c r="U967" s="10" t="n">
        <x:f>'Assumptions'!$AE$93*'Assumptions'!$D$11*(1+'Assumptions'!$D$13)^(8-1)</x:f>
        <x:v>0</x:v>
      </x:c>
      <x:c r="V967" s="10" t="n">
        <x:f>0</x:f>
        <x:v>0</x:v>
      </x:c>
      <x:c r="W967" s="10" t="n">
        <x:f>H967*('Assumptions'!$P$93+'Assumptions'!$Y$93)</x:f>
        <x:v>81.24517068552002</x:v>
      </x:c>
      <x:c r="X967" s="10" t="n">
        <x:f>N967/12*'Assumptions'!$AF$93</x:f>
        <x:v>0</x:v>
      </x:c>
      <x:c r="Y967" s="10" t="n">
        <x:f>P967/12</x:f>
        <x:v>222.047360262453</x:v>
      </x:c>
      <x:c r="Z967" s="10" t="n">
        <x:f>0</x:f>
        <x:v>0</x:v>
      </x:c>
      <x:c r="AA967" s="10" t="n">
        <x:f>Z967*'Assumptions'!$AC$93*'Assumptions'!$D$11*(1+'Assumptions'!$D$13)^(8-1)</x:f>
        <x:v>0</x:v>
      </x:c>
      <x:c r="AB967" s="10" t="n">
        <x:f>F967/1</x:f>
        <x:v>115.19003525040002</x:v>
      </x:c>
      <x:c r="AC967" s="10" t="n">
        <x:f>AB967/'Assumptions'!$AM$93</x:f>
        <x:v>767.9335683360001</x:v>
      </x:c>
      <x:c r="AD967" s="10" t="n">
        <x:f>IF(AB967=0,0,T967/AB967)</x:f>
        <x:v>14.564954011584238</x:v>
      </x:c>
      <x:c r="AE967" s="10" t="n">
        <x:f>AA967*'Assumptions'!$D$21</x:f>
        <x:v>0</x:v>
      </x:c>
    </x:row>
    <x:row r="968" ht="16" customHeight="1">
      <x:c r="A968" s="1"/>
      <x:c r="B968" s="1"/>
      <x:c r="C968" s="1" t="str">
        <x:v>DOT-065</x:v>
      </x:c>
      <x:c r="D968" s="10" t="str">
        <x:v>S’otality cleaning</x:v>
      </x:c>
      <x:c r="E968" s="10" t="n">
        <x:v>8</x:v>
      </x:c>
      <x:c r="F968" s="21" t="n">
        <x:f>F840*(1+'Assumptions'!$M$94)</x:f>
        <x:v>76.79335683360003</x:v>
      </x:c>
      <x:c r="G968" s="21" t="n">
        <x:f>H840*'Assumptions'!$K$94</x:f>
        <x:v>103.75146691200003</x:v>
      </x:c>
      <x:c r="H968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968+G968,NA())</x:f>
        <x:v>180.54482374560007</x:v>
      </x:c>
      <x:c r="I968" s="22" t="n">
        <x:f>'Assumptions'!$H$94*IF('Assumptions'!$O$94=1,1,'Assumptions'!$D$10)*(1+'Assumptions'!$N$94)^(8-1)</x:f>
        <x:v>182.64102115623552</x:v>
      </x:c>
      <x:c r="J968" s="10" t="n">
        <x:f>H968*I968</x:f>
        <x:v>32974.89097336896</x:v>
      </x:c>
      <x:c r="K968" s="10" t="n">
        <x:f>J968*'Assumptions'!$T$94</x:f>
        <x:v>32974.89097336896</x:v>
      </x:c>
      <x:c r="L968" s="10" t="n">
        <x:f>K968*'Assumptions'!$U$94</x:f>
        <x:v>989.2467292010687</x:v>
      </x:c>
      <x:c r="M968" s="10" t="n">
        <x:f>K968*'Assumptions'!$V$94</x:f>
        <x:v>0</x:v>
      </x:c>
      <x:c r="N968" s="10" t="n">
        <x:f>K968-L968-M968</x:f>
        <x:v>31985.64424416789</x:v>
      </x:c>
      <x:c r="O968" s="10" t="n">
        <x:f>H968*'Assumptions'!$P$94*'Assumptions'!$Q$94*'Assumptions'!$D$11*(1+'Assumptions'!$D$13)^(8-1)</x:f>
        <x:v>777.1657609185856</x:v>
      </x:c>
      <x:c r="P968" s="10" t="n">
        <x:f>H968*'Assumptions'!$R$94*'Assumptions'!$D$11*(1+'Assumptions'!$D$13)^(8-1)</x:f>
        <x:v>1776.3788820996244</x:v>
      </x:c>
      <x:c r="Q968" s="10" t="n">
        <x:f>J968*'Assumptions'!$S$94</x:f>
        <x:v>21433.679132689824</x:v>
      </x:c>
      <x:c r="R968" s="10" t="n">
        <x:f>H968*'Assumptions'!$Y$94*'Assumptions'!$Z$94*'Assumptions'!$D$11*(1+'Assumptions'!$D$13)^(8-1)</x:f>
        <x:v>1332.2841615747184</x:v>
      </x:c>
      <x:c r="S968" s="10" t="n">
        <x:f>IF(I968=0,0,J968*'Assumptions'!$W$94+H968*'Assumptions'!$X$94)</x:f>
        <x:v>1010.4352853513799</x:v>
      </x:c>
      <x:c r="T968" s="10" t="n">
        <x:f>N968*'Assumptions'!$AA$94</x:f>
        <x:v>1279.4257697667156</x:v>
      </x:c>
      <x:c r="U968" s="10" t="n">
        <x:f>'Assumptions'!$AE$94*'Assumptions'!$D$11*(1+'Assumptions'!$D$13)^(8-1)</x:f>
        <x:v>0</x:v>
      </x:c>
      <x:c r="V968" s="10" t="n">
        <x:f>0</x:f>
        <x:v>0</x:v>
      </x:c>
      <x:c r="W968" s="10" t="n">
        <x:f>H968*('Assumptions'!$P$94+'Assumptions'!$Y$94)</x:f>
        <x:v>54.16344712368003</x:v>
      </x:c>
      <x:c r="X968" s="10" t="n">
        <x:f>N968/12*'Assumptions'!$AF$94</x:f>
        <x:v>0</x:v>
      </x:c>
      <x:c r="Y968" s="10" t="n">
        <x:f>P968/12</x:f>
        <x:v>148.03157350830205</x:v>
      </x:c>
      <x:c r="Z968" s="10" t="n">
        <x:f>0</x:f>
        <x:v>0</x:v>
      </x:c>
      <x:c r="AA968" s="10" t="n">
        <x:f>Z968*'Assumptions'!$AC$94*'Assumptions'!$D$11*(1+'Assumptions'!$D$13)^(8-1)</x:f>
        <x:v>0</x:v>
      </x:c>
      <x:c r="AB968" s="10" t="n">
        <x:f>F968/1</x:f>
        <x:v>76.79335683360003</x:v>
      </x:c>
      <x:c r="AC968" s="10" t="n">
        <x:f>AB968/'Assumptions'!$AM$94</x:f>
        <x:v>511.9557122240002</x:v>
      </x:c>
      <x:c r="AD968" s="10" t="n">
        <x:f>IF(AB968=0,0,T968/AB968)</x:f>
        <x:v>16.66063084778341</x:v>
      </x:c>
      <x:c r="AE968" s="10" t="n">
        <x:f>AA968*'Assumptions'!$D$21</x:f>
        <x:v>0</x:v>
      </x:c>
    </x:row>
    <x:row r="969" ht="16" customHeight="1">
      <x:c r="A969" s="1"/>
      <x:c r="B969" s="1"/>
      <x:c r="C969" s="1" t="str">
        <x:v>DOT-066</x:v>
      </x:c>
      <x:c r="D969" s="10" t="str">
        <x:v>S’otality cleaning</x:v>
      </x:c>
      <x:c r="E969" s="10" t="n">
        <x:v>8</x:v>
      </x:c>
      <x:c r="F969" s="21" t="n">
        <x:f>F841*(1+'Assumptions'!$M$95)</x:f>
        <x:v>115.19003525040002</x:v>
      </x:c>
      <x:c r="G969" s="21" t="n">
        <x:f>H841*'Assumptions'!$K$95</x:f>
        <x:v>155.62720036800002</x:v>
      </x:c>
      <x:c r="H969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969+G969,NA())</x:f>
        <x:v>270.81723561840005</x:v>
      </x:c>
      <x:c r="I969" s="22" t="n">
        <x:f>'Assumptions'!$H$95*IF('Assumptions'!$O$95=1,1,'Assumptions'!$D$10)*(1+'Assumptions'!$N$95)^(8-1)</x:f>
        <x:v>171.15416447974272</x:v>
      </x:c>
      <x:c r="J969" s="10" t="n">
        <x:f>H969*I969</x:f>
        <x:v>46351.49768898088</x:v>
      </x:c>
      <x:c r="K969" s="10" t="n">
        <x:f>J969*'Assumptions'!$T$95</x:f>
        <x:v>46351.49768898088</x:v>
      </x:c>
      <x:c r="L969" s="10" t="n">
        <x:f>K969*'Assumptions'!$U$95</x:f>
        <x:v>1390.5449306694263</x:v>
      </x:c>
      <x:c r="M969" s="10" t="n">
        <x:f>K969*'Assumptions'!$V$95</x:f>
        <x:v>0</x:v>
      </x:c>
      <x:c r="N969" s="10" t="n">
        <x:f>K969-L969-M969</x:f>
        <x:v>44960.952758311454</x:v>
      </x:c>
      <x:c r="O969" s="10" t="n">
        <x:f>H969*'Assumptions'!$P$95*'Assumptions'!$Q$95*'Assumptions'!$D$11*(1+'Assumptions'!$D$13)^(8-1)</x:f>
        <x:v>1165.7486413778784</x:v>
      </x:c>
      <x:c r="P969" s="10" t="n">
        <x:f>H969*'Assumptions'!$R$95*'Assumptions'!$D$11*(1+'Assumptions'!$D$13)^(8-1)</x:f>
        <x:v>2664.568323149436</x:v>
      </x:c>
      <x:c r="Q969" s="10" t="n">
        <x:f>J969*'Assumptions'!$S$95</x:f>
        <x:v>30128.473497837575</x:v>
      </x:c>
      <x:c r="R969" s="10" t="n">
        <x:f>H969*'Assumptions'!$Y$95*'Assumptions'!$Z$95*'Assumptions'!$D$11*(1+'Assumptions'!$D$13)^(8-1)</x:f>
        <x:v>1998.4262423620771</x:v>
      </x:c>
      <x:c r="S969" s="10" t="n">
        <x:f>IF(I969=0,0,J969*'Assumptions'!$W$95+H969*'Assumptions'!$X$95)</x:f>
        <x:v>1425.4386036659655</x:v>
      </x:c>
      <x:c r="T969" s="10" t="n">
        <x:f>N969*'Assumptions'!$AA$95</x:f>
        <x:v>1798.438110332458</x:v>
      </x:c>
      <x:c r="U969" s="10" t="n">
        <x:f>'Assumptions'!$AE$95*'Assumptions'!$D$11*(1+'Assumptions'!$D$13)^(8-1)</x:f>
        <x:v>0</x:v>
      </x:c>
      <x:c r="V969" s="10" t="n">
        <x:f>0</x:f>
        <x:v>0</x:v>
      </x:c>
      <x:c r="W969" s="10" t="n">
        <x:f>H969*('Assumptions'!$P$95+'Assumptions'!$Y$95)</x:f>
        <x:v>81.24517068552002</x:v>
      </x:c>
      <x:c r="X969" s="10" t="n">
        <x:f>N969/12*'Assumptions'!$AF$95</x:f>
        <x:v>0</x:v>
      </x:c>
      <x:c r="Y969" s="10" t="n">
        <x:f>P969/12</x:f>
        <x:v>222.047360262453</x:v>
      </x:c>
      <x:c r="Z969" s="10" t="n">
        <x:f>0</x:f>
        <x:v>0</x:v>
      </x:c>
      <x:c r="AA969" s="10" t="n">
        <x:f>Z969*'Assumptions'!$AC$95*'Assumptions'!$D$11*(1+'Assumptions'!$D$13)^(8-1)</x:f>
        <x:v>0</x:v>
      </x:c>
      <x:c r="AB969" s="10" t="n">
        <x:f>F969/1</x:f>
        <x:v>115.19003525040002</x:v>
      </x:c>
      <x:c r="AC969" s="10" t="n">
        <x:f>AB969/'Assumptions'!$AM$95</x:f>
        <x:v>767.9335683360001</x:v>
      </x:c>
      <x:c r="AD969" s="10" t="n">
        <x:f>IF(AB969=0,0,T969/AB969)</x:f>
        <x:v>15.612792429683823</x:v>
      </x:c>
      <x:c r="AE969" s="10" t="n">
        <x:f>AA969*'Assumptions'!$D$21</x:f>
        <x:v>0</x:v>
      </x:c>
    </x:row>
    <x:row r="970" ht="16" customHeight="1">
      <x:c r="A970" s="1"/>
      <x:c r="B970" s="1"/>
      <x:c r="C970" s="1" t="str">
        <x:v>DOT-067</x:v>
      </x:c>
      <x:c r="D970" s="10" t="str">
        <x:v>S’otality cleaning</x:v>
      </x:c>
      <x:c r="E970" s="10" t="n">
        <x:v>8</x:v>
      </x:c>
      <x:c r="F970" s="21" t="n">
        <x:f>F842*(1+'Assumptions'!$M$96)</x:f>
        <x:v>51.19557122240003</x:v>
      </x:c>
      <x:c r="G970" s="21" t="n">
        <x:f>H842*'Assumptions'!$K$96</x:f>
        <x:v>69.16764460800003</x:v>
      </x:c>
      <x:c r="H970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970+G970,NA())</x:f>
        <x:v>120.36321583040007</x:v>
      </x:c>
      <x:c r="I970" s="22" t="n">
        <x:f>'Assumptions'!$H$96*IF('Assumptions'!$O$96=1,1,'Assumptions'!$D$10)*(1+'Assumptions'!$N$96)^(8-1)</x:f>
        <x:v>228.58844786220672</x:v>
      </x:c>
      <x:c r="J970" s="10" t="n">
        <x:f>H970*I970</x:f>
        <x:v>27513.64068637494</x:v>
      </x:c>
      <x:c r="K970" s="10" t="n">
        <x:f>J970*'Assumptions'!$T$96</x:f>
        <x:v>27513.64068637494</x:v>
      </x:c>
      <x:c r="L970" s="10" t="n">
        <x:f>K970*'Assumptions'!$U$96</x:f>
        <x:v>825.4092205912482</x:v>
      </x:c>
      <x:c r="M970" s="10" t="n">
        <x:f>K970*'Assumptions'!$V$96</x:f>
        <x:v>0</x:v>
      </x:c>
      <x:c r="N970" s="10" t="n">
        <x:f>K970-L970-M970</x:f>
        <x:v>26688.23146578369</x:v>
      </x:c>
      <x:c r="O970" s="10" t="n">
        <x:f>H970*'Assumptions'!$P$96*'Assumptions'!$Q$96*'Assumptions'!$D$11*(1+'Assumptions'!$D$13)^(8-1)</x:f>
        <x:v>518.1105072790572</x:v>
      </x:c>
      <x:c r="P970" s="10" t="n">
        <x:f>H970*'Assumptions'!$R$96*'Assumptions'!$D$11*(1+'Assumptions'!$D$13)^(8-1)</x:f>
        <x:v>1184.2525880664164</x:v>
      </x:c>
      <x:c r="Q970" s="10" t="n">
        <x:f>J970*'Assumptions'!$S$96</x:f>
        <x:v>17883.86644614371</x:v>
      </x:c>
      <x:c r="R970" s="10" t="n">
        <x:f>H970*'Assumptions'!$Y$96*'Assumptions'!$Z$96*'Assumptions'!$D$11*(1+'Assumptions'!$D$13)^(8-1)</x:f>
        <x:v>888.1894410498123</x:v>
      </x:c>
      <x:c r="S970" s="10" t="n">
        <x:f>IF(I970=0,0,J970*'Assumptions'!$W$96+H970*'Assumptions'!$X$96)</x:f>
        <x:v>834.0045446539933</x:v>
      </x:c>
      <x:c r="T970" s="10" t="n">
        <x:f>N970*'Assumptions'!$AA$96</x:f>
        <x:v>1067.5292586313476</x:v>
      </x:c>
      <x:c r="U970" s="10" t="n">
        <x:f>'Assumptions'!$AE$96*'Assumptions'!$D$11*(1+'Assumptions'!$D$13)^(8-1)</x:f>
        <x:v>0</x:v>
      </x:c>
      <x:c r="V970" s="10" t="n">
        <x:f>0</x:f>
        <x:v>0</x:v>
      </x:c>
      <x:c r="W970" s="10" t="n">
        <x:f>H970*('Assumptions'!$P$96+'Assumptions'!$Y$96)</x:f>
        <x:v>36.10896474912003</x:v>
      </x:c>
      <x:c r="X970" s="10" t="n">
        <x:f>N970/12*'Assumptions'!$AF$96</x:f>
        <x:v>0</x:v>
      </x:c>
      <x:c r="Y970" s="10" t="n">
        <x:f>P970/12</x:f>
        <x:v>98.68771567220136</x:v>
      </x:c>
      <x:c r="Z970" s="10" t="n">
        <x:f>0</x:f>
        <x:v>0</x:v>
      </x:c>
      <x:c r="AA970" s="10" t="n">
        <x:f>Z970*'Assumptions'!$AC$96*'Assumptions'!$D$11*(1+'Assumptions'!$D$13)^(8-1)</x:f>
        <x:v>0</x:v>
      </x:c>
      <x:c r="AB970" s="10" t="n">
        <x:f>F970/1</x:f>
        <x:v>51.19557122240003</x:v>
      </x:c>
      <x:c r="AC970" s="10" t="n">
        <x:f>AB970/'Assumptions'!$AM$96</x:f>
        <x:v>341.3038081493335</x:v>
      </x:c>
      <x:c r="AD970" s="10" t="n">
        <x:f>IF(AB970=0,0,T970/AB970)</x:f>
        <x:v>20.851984520181748</x:v>
      </x:c>
      <x:c r="AE970" s="10" t="n">
        <x:f>AA970*'Assumptions'!$D$21</x:f>
        <x:v>0</x:v>
      </x:c>
    </x:row>
    <x:row r="971" ht="16" customHeight="1">
      <x:c r="A971" s="1"/>
      <x:c r="B971" s="1"/>
      <x:c r="C971" s="1" t="str">
        <x:v>DOT-068</x:v>
      </x:c>
      <x:c r="D971" s="10" t="str">
        <x:v>S’otality cleaning</x:v>
      </x:c>
      <x:c r="E971" s="10" t="n">
        <x:v>8</x:v>
      </x:c>
      <x:c r="F971" s="21" t="n">
        <x:f>F843*(1+'Assumptions'!$M$97)</x:f>
        <x:v>76.79335683360003</x:v>
      </x:c>
      <x:c r="G971" s="21" t="n">
        <x:f>H843*'Assumptions'!$K$97</x:f>
        <x:v>103.75146691200003</x:v>
      </x:c>
      <x:c r="H971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971+G971,NA())</x:f>
        <x:v>180.54482374560007</x:v>
      </x:c>
      <x:c r="I971" s="22" t="n">
        <x:f>'Assumptions'!$H$97*IF('Assumptions'!$O$97=1,1,'Assumptions'!$D$10)*(1+'Assumptions'!$N$97)^(8-1)</x:f>
        <x:v>217.10159118571391</x:v>
      </x:c>
      <x:c r="J971" s="10" t="n">
        <x:f>H971*I971</x:f>
        <x:v>39196.56851551404</x:v>
      </x:c>
      <x:c r="K971" s="10" t="n">
        <x:f>J971*'Assumptions'!$T$97</x:f>
        <x:v>39196.56851551404</x:v>
      </x:c>
      <x:c r="L971" s="10" t="n">
        <x:f>K971*'Assumptions'!$U$97</x:f>
        <x:v>1175.897055465421</x:v>
      </x:c>
      <x:c r="M971" s="10" t="n">
        <x:f>K971*'Assumptions'!$V$97</x:f>
        <x:v>0</x:v>
      </x:c>
      <x:c r="N971" s="10" t="n">
        <x:f>K971-L971-M971</x:f>
        <x:v>38020.671460048616</x:v>
      </x:c>
      <x:c r="O971" s="10" t="n">
        <x:f>H971*'Assumptions'!$P$97*'Assumptions'!$Q$97*'Assumptions'!$D$11*(1+'Assumptions'!$D$13)^(8-1)</x:f>
        <x:v>777.1657609185856</x:v>
      </x:c>
      <x:c r="P971" s="10" t="n">
        <x:f>H971*'Assumptions'!$R$97*'Assumptions'!$D$11*(1+'Assumptions'!$D$13)^(8-1)</x:f>
        <x:v>1776.3788820996244</x:v>
      </x:c>
      <x:c r="Q971" s="10" t="n">
        <x:f>J971*'Assumptions'!$S$97</x:f>
        <x:v>25477.769535084124</x:v>
      </x:c>
      <x:c r="R971" s="10" t="n">
        <x:f>H971*'Assumptions'!$Y$97*'Assumptions'!$Z$97*'Assumptions'!$D$11*(1+'Assumptions'!$D$13)^(8-1)</x:f>
        <x:v>1332.2841615747184</x:v>
      </x:c>
      <x:c r="S971" s="10" t="n">
        <x:f>IF(I971=0,0,J971*'Assumptions'!$W$97+H971*'Assumptions'!$X$97)</x:f>
        <x:v>1190.8639340735872</x:v>
      </x:c>
      <x:c r="T971" s="10" t="n">
        <x:f>N971*'Assumptions'!$AA$97</x:f>
        <x:v>1520.8268584019447</x:v>
      </x:c>
      <x:c r="U971" s="10" t="n">
        <x:f>'Assumptions'!$AE$97*'Assumptions'!$D$11*(1+'Assumptions'!$D$13)^(8-1)</x:f>
        <x:v>0</x:v>
      </x:c>
      <x:c r="V971" s="10" t="n">
        <x:f>0</x:f>
        <x:v>0</x:v>
      </x:c>
      <x:c r="W971" s="10" t="n">
        <x:f>H971*('Assumptions'!$P$97+'Assumptions'!$Y$97)</x:f>
        <x:v>54.16344712368003</x:v>
      </x:c>
      <x:c r="X971" s="10" t="n">
        <x:f>N971/12*'Assumptions'!$AF$97</x:f>
        <x:v>0</x:v>
      </x:c>
      <x:c r="Y971" s="10" t="n">
        <x:f>P971/12</x:f>
        <x:v>148.03157350830205</x:v>
      </x:c>
      <x:c r="Z971" s="10" t="n">
        <x:f>0</x:f>
        <x:v>0</x:v>
      </x:c>
      <x:c r="AA971" s="10" t="n">
        <x:f>Z971*'Assumptions'!$AC$97*'Assumptions'!$D$11*(1+'Assumptions'!$D$13)^(8-1)</x:f>
        <x:v>0</x:v>
      </x:c>
      <x:c r="AB971" s="10" t="n">
        <x:f>F971/1</x:f>
        <x:v>76.79335683360003</x:v>
      </x:c>
      <x:c r="AC971" s="10" t="n">
        <x:f>AB971/'Assumptions'!$AM$97</x:f>
        <x:v>511.9557122240002</x:v>
      </x:c>
      <x:c r="AD971" s="10" t="n">
        <x:f>IF(AB971=0,0,T971/AB971)</x:f>
        <x:v>19.804146102082164</x:v>
      </x:c>
      <x:c r="AE971" s="10" t="n">
        <x:f>AA971*'Assumptions'!$D$21</x:f>
        <x:v>0</x:v>
      </x:c>
    </x:row>
    <x:row r="972" ht="16" customHeight="1">
      <x:c r="A972" s="1"/>
      <x:c r="B972" s="1"/>
      <x:c r="C972" s="1" t="str">
        <x:v>DOT-069</x:v>
      </x:c>
      <x:c r="D972" s="10" t="str">
        <x:v>S’otality cleaning</x:v>
      </x:c>
      <x:c r="E972" s="10" t="n">
        <x:v>8</x:v>
      </x:c>
      <x:c r="F972" s="21" t="n">
        <x:f>F844*(1+'Assumptions'!$M$98)</x:f>
        <x:v>25.597785611200013</x:v>
      </x:c>
      <x:c r="G972" s="21" t="n">
        <x:f>H844*'Assumptions'!$K$98</x:f>
        <x:v>34.583822304000016</x:v>
      </x:c>
      <x:c r="H972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972+G972,NA())</x:f>
        <x:v>60.18160791520003</x:v>
      </x:c>
      <x:c r="I972" s="22" t="n">
        <x:f>'Assumptions'!$H$98*IF('Assumptions'!$O$98=1,1,'Assumptions'!$D$10)*(1+'Assumptions'!$N$98)^(8-1)</x:f>
        <x:v>343.45701462713475</x:v>
      </x:c>
      <x:c r="J972" s="10" t="n">
        <x:f>H972*I972</x:f>
        <x:v>20669.795390015348</x:v>
      </x:c>
      <x:c r="K972" s="10" t="n">
        <x:f>J972*'Assumptions'!$T$98</x:f>
        <x:v>20669.795390015348</x:v>
      </x:c>
      <x:c r="L972" s="10" t="n">
        <x:f>K972*'Assumptions'!$U$98</x:f>
        <x:v>620.0938617004604</x:v>
      </x:c>
      <x:c r="M972" s="10" t="n">
        <x:f>K972*'Assumptions'!$V$98</x:f>
        <x:v>0</x:v>
      </x:c>
      <x:c r="N972" s="10" t="n">
        <x:f>K972-L972-M972</x:f>
        <x:v>20049.701528314887</x:v>
      </x:c>
      <x:c r="O972" s="10" t="n">
        <x:f>H972*'Assumptions'!$P$98*'Assumptions'!$Q$98*'Assumptions'!$D$11*(1+'Assumptions'!$D$13)^(8-1)</x:f>
        <x:v>259.0552536395286</x:v>
      </x:c>
      <x:c r="P972" s="10" t="n">
        <x:f>H972*'Assumptions'!$R$98*'Assumptions'!$D$11*(1+'Assumptions'!$D$13)^(8-1)</x:f>
        <x:v>592.1262940332082</x:v>
      </x:c>
      <x:c r="Q972" s="10" t="n">
        <x:f>J972*'Assumptions'!$S$98</x:f>
        <x:v>13435.367003509977</x:v>
      </x:c>
      <x:c r="R972" s="10" t="n">
        <x:f>H972*'Assumptions'!$Y$98*'Assumptions'!$Z$98*'Assumptions'!$D$11*(1+'Assumptions'!$D$13)^(8-1)</x:f>
        <x:v>444.09472052490617</x:v>
      </x:c>
      <x:c r="S972" s="10" t="n">
        <x:f>IF(I972=0,0,J972*'Assumptions'!$W$98+H972*'Assumptions'!$X$98)</x:f>
        <x:v>617.4785486850052</x:v>
      </x:c>
      <x:c r="T972" s="10" t="n">
        <x:f>N972*'Assumptions'!$AA$98</x:f>
        <x:v>801.9880611325955</x:v>
      </x:c>
      <x:c r="U972" s="10" t="n">
        <x:f>'Assumptions'!$AE$98*'Assumptions'!$D$11*(1+'Assumptions'!$D$13)^(8-1)</x:f>
        <x:v>0</x:v>
      </x:c>
      <x:c r="V972" s="10" t="n">
        <x:f>0</x:f>
        <x:v>0</x:v>
      </x:c>
      <x:c r="W972" s="10" t="n">
        <x:f>H972*('Assumptions'!$P$98+'Assumptions'!$Y$98)</x:f>
        <x:v>18.054482374560013</x:v>
      </x:c>
      <x:c r="X972" s="10" t="n">
        <x:f>N972/12*'Assumptions'!$AF$98</x:f>
        <x:v>0</x:v>
      </x:c>
      <x:c r="Y972" s="10" t="n">
        <x:f>P972/12</x:f>
        <x:v>49.34385783610068</x:v>
      </x:c>
      <x:c r="Z972" s="10" t="n">
        <x:f>0</x:f>
        <x:v>0</x:v>
      </x:c>
      <x:c r="AA972" s="10" t="n">
        <x:f>Z972*'Assumptions'!$AC$98*'Assumptions'!$D$11*(1+'Assumptions'!$D$13)^(8-1)</x:f>
        <x:v>0</x:v>
      </x:c>
      <x:c r="AB972" s="10" t="n">
        <x:f>F972/1</x:f>
        <x:v>25.597785611200013</x:v>
      </x:c>
      <x:c r="AC972" s="10" t="n">
        <x:f>AB972/'Assumptions'!$AM$98</x:f>
        <x:v>170.65190407466676</x:v>
      </x:c>
      <x:c r="AD972" s="10" t="n">
        <x:f>IF(AB972=0,0,T972/AB972)</x:f>
        <x:v>31.33036870117761</x:v>
      </x:c>
      <x:c r="AE972" s="10" t="n">
        <x:f>AA972*'Assumptions'!$D$21</x:f>
        <x:v>0</x:v>
      </x:c>
    </x:row>
    <x:row r="973" ht="16" customHeight="1">
      <x:c r="A973" s="1"/>
      <x:c r="B973" s="1"/>
      <x:c r="C973" s="1" t="str">
        <x:v>DOT-070</x:v>
      </x:c>
      <x:c r="D973" s="10" t="str">
        <x:v>S’otality laundry</x:v>
      </x:c>
      <x:c r="E973" s="10" t="n">
        <x:v>8</x:v>
      </x:c>
      <x:c r="F973" s="21" t="n">
        <x:f>F845*(1+'Assumptions'!$M$99)</x:f>
        <x:v>230.38007050080003</x:v>
      </x:c>
      <x:c r="G973" s="21" t="n">
        <x:f>H845*'Assumptions'!$K$99</x:f>
        <x:v>311.25440073600004</x:v>
      </x:c>
      <x:c r="H973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973+G973,NA())</x:f>
        <x:v>541.6344712368001</x:v>
      </x:c>
      <x:c r="I973" s="22" t="n">
        <x:f>'Assumptions'!$H$99*IF('Assumptions'!$O$99=1,1,'Assumptions'!$D$10)*(1+'Assumptions'!$N$99)^(8-1)</x:f>
        <x:v>68.92114005895681</x:v>
      </x:c>
      <x:c r="J973" s="10" t="n">
        <x:f>H973*I973</x:f>
        <x:v>37330.06525287051</x:v>
      </x:c>
      <x:c r="K973" s="10" t="n">
        <x:f>J973*'Assumptions'!$T$99</x:f>
        <x:v>37330.06525287051</x:v>
      </x:c>
      <x:c r="L973" s="10" t="n">
        <x:f>K973*'Assumptions'!$U$99</x:f>
        <x:v>1119.9019575861153</x:v>
      </x:c>
      <x:c r="M973" s="10" t="n">
        <x:f>K973*'Assumptions'!$V$99</x:f>
        <x:v>0</x:v>
      </x:c>
      <x:c r="N973" s="10" t="n">
        <x:f>K973-L973-M973</x:f>
        <x:v>36210.163295284394</x:v>
      </x:c>
      <x:c r="O973" s="10" t="n">
        <x:f>H973*'Assumptions'!$P$99*'Assumptions'!$Q$99*'Assumptions'!$D$11*(1+'Assumptions'!$D$13)^(8-1)</x:f>
        <x:v>2331.4972827557567</x:v>
      </x:c>
      <x:c r="P973" s="10" t="n">
        <x:f>H973*'Assumptions'!$R$99*'Assumptions'!$D$11*(1+'Assumptions'!$D$13)^(8-1)</x:f>
        <x:v>0</x:v>
      </x:c>
      <x:c r="Q973" s="10" t="n">
        <x:f>J973*'Assumptions'!$S$99</x:f>
        <x:v>24264.54241436583</x:v>
      </x:c>
      <x:c r="R973" s="10" t="n">
        <x:f>H973*'Assumptions'!$Y$99*'Assumptions'!$Z$99*'Assumptions'!$D$11*(1+'Assumptions'!$D$13)^(8-1)</x:f>
        <x:v>3996.8524847241542</x:v>
      </x:c>
      <x:c r="S973" s="10" t="n">
        <x:f>IF(I973=0,0,J973*'Assumptions'!$W$99+H973*'Assumptions'!$X$99)</x:f>
        <x:v>1245.062233704285</x:v>
      </x:c>
      <x:c r="T973" s="10" t="n">
        <x:f>N973*'Assumptions'!$AA$99</x:f>
        <x:v>1448.4065318113758</x:v>
      </x:c>
      <x:c r="U973" s="10" t="n">
        <x:f>'Assumptions'!$AE$99*'Assumptions'!$D$11*(1+'Assumptions'!$D$13)^(8-1)</x:f>
        <x:v>0</x:v>
      </x:c>
      <x:c r="V973" s="10" t="n">
        <x:f>0</x:f>
        <x:v>0</x:v>
      </x:c>
      <x:c r="W973" s="10" t="n">
        <x:f>H973*('Assumptions'!$P$99+'Assumptions'!$Y$99)</x:f>
        <x:v>162.49034137104005</x:v>
      </x:c>
      <x:c r="X973" s="10" t="n">
        <x:f>N973/12*'Assumptions'!$AF$99</x:f>
        <x:v>0</x:v>
      </x:c>
      <x:c r="Y973" s="10" t="n">
        <x:f>P973/12</x:f>
        <x:v>0</x:v>
      </x:c>
      <x:c r="Z973" s="10" t="n">
        <x:f>0</x:f>
        <x:v>0</x:v>
      </x:c>
      <x:c r="AA973" s="10" t="n">
        <x:f>Z973*'Assumptions'!$AC$99*'Assumptions'!$D$11*(1+'Assumptions'!$D$13)^(8-1)</x:f>
        <x:v>0</x:v>
      </x:c>
      <x:c r="AB973" s="10" t="n">
        <x:f>F973/1</x:f>
        <x:v>230.38007050080003</x:v>
      </x:c>
      <x:c r="AC973" s="10" t="n">
        <x:f>AB973/'Assumptions'!$AM$99</x:f>
        <x:v>1535.8671366720002</x:v>
      </x:c>
      <x:c r="AD973" s="10" t="n">
        <x:f>IF(AB973=0,0,T973/AB973)</x:f>
        <x:v>6.287030508597513</x:v>
      </x:c>
      <x:c r="AE973" s="10" t="n">
        <x:f>AA973*'Assumptions'!$D$21</x:f>
        <x:v>0</x:v>
      </x:c>
    </x:row>
    <x:row r="974" ht="16" customHeight="1">
      <x:c r="A974" s="1"/>
      <x:c r="B974" s="1"/>
      <x:c r="C974" s="1" t="str">
        <x:v>DOT-071</x:v>
      </x:c>
      <x:c r="D974" s="10" t="str">
        <x:v>S’otality Personal Chef</x:v>
      </x:c>
      <x:c r="E974" s="10" t="n">
        <x:v>8</x:v>
      </x:c>
      <x:c r="F974" s="21" t="n">
        <x:f>F846*(1+'Assumptions'!$M$100)</x:f>
        <x:v>38.396678416800015</x:v>
      </x:c>
      <x:c r="G974" s="21" t="n">
        <x:f>H846*'Assumptions'!$K$100</x:f>
        <x:v>51.45582945600001</x:v>
      </x:c>
      <x:c r="H974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974+G974,NA())</x:f>
        <x:v>89.85250787280003</x:v>
      </x:c>
      <x:c r="I974" s="22" t="n">
        <x:f>'Assumptions'!$H$100*IF('Assumptions'!$O$100=1,1,'Assumptions'!$D$10)*(1+'Assumptions'!$N$100)^(8-1)</x:f>
        <x:v>746.645683972032</x:v>
      </x:c>
      <x:c r="J974" s="10" t="n">
        <x:f>H974*I974</x:f>
        <x:v>67087.98719728917</x:v>
      </x:c>
      <x:c r="K974" s="10" t="n">
        <x:f>J974*'Assumptions'!$T$100</x:f>
        <x:v>67087.98719728917</x:v>
      </x:c>
      <x:c r="L974" s="10" t="n">
        <x:f>K974*'Assumptions'!$U$100</x:f>
        <x:v>2012.639615918675</x:v>
      </x:c>
      <x:c r="M974" s="10" t="n">
        <x:f>K974*'Assumptions'!$V$100</x:f>
        <x:v>0</x:v>
      </x:c>
      <x:c r="N974" s="10" t="n">
        <x:f>K974-L974-M974</x:f>
        <x:v>65075.34758137049</x:v>
      </x:c>
      <x:c r="O974" s="10" t="n">
        <x:f>H974*'Assumptions'!$P$100*'Assumptions'!$Q$100*'Assumptions'!$D$11*(1+'Assumptions'!$D$13)^(8-1)</x:f>
        <x:v>2210.145023512783</x:v>
      </x:c>
      <x:c r="P974" s="10" t="n">
        <x:f>H974*'Assumptions'!$R$100*'Assumptions'!$D$11*(1+'Assumptions'!$D$13)^(8-1)</x:f>
        <x:v>11050.725117563916</x:v>
      </x:c>
      <x:c r="Q974" s="10" t="n">
        <x:f>J974*'Assumptions'!$S$100</x:f>
        <x:v>33543.993598644585</x:v>
      </x:c>
      <x:c r="R974" s="10" t="n">
        <x:f>H974*'Assumptions'!$Y$100*'Assumptions'!$Z$100*'Assumptions'!$D$11*(1+'Assumptions'!$D$13)^(8-1)</x:f>
        <x:v>663.043507053835</x:v>
      </x:c>
      <x:c r="S974" s="10" t="n">
        <x:f>IF(I974=0,0,J974*'Assumptions'!$W$100+H974*'Assumptions'!$X$100)</x:f>
        <x:v>1972.5073810832262</x:v>
      </x:c>
      <x:c r="T974" s="10" t="n">
        <x:f>N974*'Assumptions'!$AA$100</x:f>
        <x:v>2603.01390325482</x:v>
      </x:c>
      <x:c r="U974" s="10" t="n">
        <x:f>'Assumptions'!$AE$100*'Assumptions'!$D$11*(1+'Assumptions'!$D$13)^(8-1)</x:f>
        <x:v>0</x:v>
      </x:c>
      <x:c r="V974" s="10" t="n">
        <x:f>0</x:f>
        <x:v>0</x:v>
      </x:c>
      <x:c r="W974" s="10" t="n">
        <x:f>H974*('Assumptions'!$P$100+'Assumptions'!$Y$100)</x:f>
        <x:v>62.89675551096002</x:v>
      </x:c>
      <x:c r="X974" s="10" t="n">
        <x:f>N974/12*'Assumptions'!$AF$100</x:f>
        <x:v>0</x:v>
      </x:c>
      <x:c r="Y974" s="10" t="n">
        <x:f>P974/12</x:f>
        <x:v>920.893759796993</x:v>
      </x:c>
      <x:c r="Z974" s="10" t="n">
        <x:f>0</x:f>
        <x:v>0</x:v>
      </x:c>
      <x:c r="AA974" s="10" t="n">
        <x:f>Z974*'Assumptions'!$AC$100*'Assumptions'!$D$11*(1+'Assumptions'!$D$13)^(8-1)</x:f>
        <x:v>0</x:v>
      </x:c>
      <x:c r="AB974" s="10" t="n">
        <x:f>F974/1</x:f>
        <x:v>38.396678416800015</x:v>
      </x:c>
      <x:c r="AC974" s="10" t="n">
        <x:f>AB974/'Assumptions'!$AM$100</x:f>
        <x:v>255.9778561120001</x:v>
      </x:c>
      <x:c r="AD974" s="10" t="n">
        <x:f>IF(AB974=0,0,T974/AB974)</x:f>
        <x:v>67.79268443480522</x:v>
      </x:c>
      <x:c r="AE974" s="10" t="n">
        <x:f>AA974*'Assumptions'!$D$21</x:f>
        <x:v>0</x:v>
      </x:c>
    </x:row>
    <x:row r="975" ht="16" customHeight="1">
      <x:c r="A975" s="1"/>
      <x:c r="B975" s="1"/>
      <x:c r="C975" s="1" t="str">
        <x:v>DOT-072</x:v>
      </x:c>
      <x:c r="D975" s="10" t="str">
        <x:v>S’otality interiors</x:v>
      </x:c>
      <x:c r="E975" s="10" t="n">
        <x:v>8</x:v>
      </x:c>
      <x:c r="F975" s="21" t="n">
        <x:f>F847*(1+'Assumptions'!$M$101)</x:f>
        <x:v>14.398754406300002</x:v>
      </x:c>
      <x:c r="G975" s="21" t="n">
        <x:f>H847*'Assumptions'!$K$101</x:f>
        <x:v>13.379007105000003</x:v>
      </x:c>
      <x:c r="H975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975+G975,NA())</x:f>
        <x:v>27.777761511300007</x:v>
      </x:c>
      <x:c r="I975" s="22" t="n">
        <x:f>'Assumptions'!$H$101*IF('Assumptions'!$O$101=1,1,'Assumptions'!$D$10)*(1+'Assumptions'!$N$101)^(8-1)</x:f>
        <x:v>1723.02850147392</x:v>
      </x:c>
      <x:c r="J975" s="10" t="n">
        <x:f>H975*I975</x:f>
        <x:v>47861.87479111518</x:v>
      </x:c>
      <x:c r="K975" s="10" t="n">
        <x:f>J975*'Assumptions'!$T$101</x:f>
        <x:v>47861.87479111518</x:v>
      </x:c>
      <x:c r="L975" s="10" t="n">
        <x:f>K975*'Assumptions'!$U$101</x:f>
        <x:v>1435.8562437334554</x:v>
      </x:c>
      <x:c r="M975" s="10" t="n">
        <x:f>K975*'Assumptions'!$V$101</x:f>
        <x:v>0</x:v>
      </x:c>
      <x:c r="N975" s="10" t="n">
        <x:f>K975-L975-M975</x:f>
        <x:v>46426.018547381726</x:v>
      </x:c>
      <x:c r="O975" s="10" t="n">
        <x:f>H975*'Assumptions'!$P$101*'Assumptions'!$Q$101*'Assumptions'!$D$11*(1+'Assumptions'!$D$13)^(8-1)</x:f>
        <x:v>18789.728607514</x:v>
      </x:c>
      <x:c r="P975" s="10" t="n">
        <x:f>H975*'Assumptions'!$R$101*'Assumptions'!$D$11*(1+'Assumptions'!$D$13)^(8-1)</x:f>
        <x:v>1708.1571461376361</x:v>
      </x:c>
      <x:c r="Q975" s="10" t="n">
        <x:f>J975*'Assumptions'!$S$101</x:f>
        <x:v>0</x:v>
      </x:c>
      <x:c r="R975" s="10" t="n">
        <x:f>H975*'Assumptions'!$Y$101*'Assumptions'!$Z$101*'Assumptions'!$D$11*(1+'Assumptions'!$D$13)^(8-1)</x:f>
        <x:v>256.22357192064544</x:v>
      </x:c>
      <x:c r="S975" s="10" t="n">
        <x:f>IF(I975=0,0,J975*'Assumptions'!$W$101+H975*'Assumptions'!$X$101)</x:f>
        <x:v>1396.3276973957304</x:v>
      </x:c>
      <x:c r="T975" s="10" t="n">
        <x:f>N975*'Assumptions'!$AA$101</x:f>
        <x:v>1857.040741895269</x:v>
      </x:c>
      <x:c r="U975" s="10" t="n">
        <x:f>'Assumptions'!$AE$101*'Assumptions'!$D$11*(1+'Assumptions'!$D$13)^(8-1)</x:f>
        <x:v>0</x:v>
      </x:c>
      <x:c r="V975" s="10" t="n">
        <x:f>0</x:f>
        <x:v>0</x:v>
      </x:c>
      <x:c r="W975" s="10" t="n">
        <x:f>H975*('Assumptions'!$P$101+'Assumptions'!$Y$101)</x:f>
        <x:v>284.7220554908251</x:v>
      </x:c>
      <x:c r="X975" s="10" t="n">
        <x:f>N975/12*'Assumptions'!$AF$101</x:f>
        <x:v>3868.834878948477</x:v>
      </x:c>
      <x:c r="Y975" s="10" t="n">
        <x:f>P975/12</x:f>
        <x:v>142.346428844803</x:v>
      </x:c>
      <x:c r="Z975" s="10" t="n">
        <x:f>0</x:f>
        <x:v>0</x:v>
      </x:c>
      <x:c r="AA975" s="10" t="n">
        <x:f>Z975*'Assumptions'!$AC$101*'Assumptions'!$D$11*(1+'Assumptions'!$D$13)^(8-1)</x:f>
        <x:v>0</x:v>
      </x:c>
      <x:c r="AB975" s="10" t="n">
        <x:f>F975/1</x:f>
        <x:v>14.398754406300002</x:v>
      </x:c>
      <x:c r="AC975" s="10" t="n">
        <x:f>AB975/'Assumptions'!$AM$101</x:f>
        <x:v>71.9937720315</x:v>
      </x:c>
      <x:c r="AD975" s="10" t="n">
        <x:f>IF(AB975=0,0,T975/AB975)</x:f>
        <x:v>128.9723186807564</x:v>
      </x:c>
      <x:c r="AE975" s="10" t="n">
        <x:f>AA975*'Assumptions'!$D$21</x:f>
        <x:v>0</x:v>
      </x:c>
    </x:row>
    <x:row r="976" ht="16" customHeight="1">
      <x:c r="A976" s="1"/>
      <x:c r="B976" s="1"/>
      <x:c r="C976" s="1" t="str">
        <x:v>DOT-073</x:v>
      </x:c>
      <x:c r="D976" s="10" t="str">
        <x:v>S’otality interiors</x:v>
      </x:c>
      <x:c r="E976" s="10" t="n">
        <x:v>8</x:v>
      </x:c>
      <x:c r="F976" s="21" t="n">
        <x:f>F848*(1+'Assumptions'!$M$102)</x:f>
        <x:v>38.396678416800015</x:v>
      </x:c>
      <x:c r="G976" s="21" t="n">
        <x:f>H848*'Assumptions'!$K$102</x:f>
        <x:v>51.87573345600001</x:v>
      </x:c>
      <x:c r="H976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976+G976,NA())</x:f>
        <x:v>90.27241187280003</x:v>
      </x:c>
      <x:c r="I976" s="22" t="n">
        <x:f>'Assumptions'!$H$102*IF('Assumptions'!$O$102=1,1,'Assumptions'!$D$10)*(1+'Assumptions'!$N$102)^(8-1)</x:f>
        <x:v>344.605700294784</x:v>
      </x:c>
      <x:c r="J976" s="10" t="n">
        <x:f>H976*I976</x:f>
        <x:v>31108.38771072543</x:v>
      </x:c>
      <x:c r="K976" s="10" t="n">
        <x:f>J976*'Assumptions'!$T$102</x:f>
        <x:v>31108.38771072543</x:v>
      </x:c>
      <x:c r="L976" s="10" t="n">
        <x:f>K976*'Assumptions'!$U$102</x:f>
        <x:v>933.2516313217628</x:v>
      </x:c>
      <x:c r="M976" s="10" t="n">
        <x:f>K976*'Assumptions'!$V$102</x:f>
        <x:v>0</x:v>
      </x:c>
      <x:c r="N976" s="10" t="n">
        <x:f>K976-L976-M976</x:f>
        <x:v>30175.136079403666</x:v>
      </x:c>
      <x:c r="O976" s="10" t="n">
        <x:f>H976*'Assumptions'!$P$102*'Assumptions'!$Q$102*'Assumptions'!$D$11*(1+'Assumptions'!$D$13)^(8-1)</x:f>
        <x:v>971.4572011482321</x:v>
      </x:c>
      <x:c r="P976" s="10" t="n">
        <x:f>H976*'Assumptions'!$R$102*'Assumptions'!$D$11*(1+'Assumptions'!$D$13)^(8-1)</x:f>
        <x:v>0</x:v>
      </x:c>
      <x:c r="Q976" s="10" t="n">
        <x:f>J976*'Assumptions'!$S$102</x:f>
        <x:v>18665.03262643526</x:v>
      </x:c>
      <x:c r="R976" s="10" t="n">
        <x:f>H976*'Assumptions'!$Y$102*'Assumptions'!$Z$102*'Assumptions'!$D$11*(1+'Assumptions'!$D$13)^(8-1)</x:f>
        <x:v>666.1420807873592</x:v>
      </x:c>
      <x:c r="S976" s="10" t="n">
        <x:f>IF(I976=0,0,J976*'Assumptions'!$W$102+H976*'Assumptions'!$X$102)</x:f>
        <x:v>929.2249671728775</x:v>
      </x:c>
      <x:c r="T976" s="10" t="n">
        <x:f>N976*'Assumptions'!$AA$102</x:f>
        <x:v>1207.0054431761466</x:v>
      </x:c>
      <x:c r="U976" s="10" t="n">
        <x:f>'Assumptions'!$AE$102*'Assumptions'!$D$11*(1+'Assumptions'!$D$13)^(8-1)</x:f>
        <x:v>0</x:v>
      </x:c>
      <x:c r="V976" s="10" t="n">
        <x:f>0</x:f>
        <x:v>0</x:v>
      </x:c>
      <x:c r="W976" s="10" t="n">
        <x:f>H976*('Assumptions'!$P$102+'Assumptions'!$Y$102)</x:f>
        <x:v>40.62258534276002</x:v>
      </x:c>
      <x:c r="X976" s="10" t="n">
        <x:f>N976/12*'Assumptions'!$AF$102</x:f>
        <x:v>0</x:v>
      </x:c>
      <x:c r="Y976" s="10" t="n">
        <x:f>P976/12</x:f>
        <x:v>0</x:v>
      </x:c>
      <x:c r="Z976" s="10" t="n">
        <x:f>0</x:f>
        <x:v>0</x:v>
      </x:c>
      <x:c r="AA976" s="10" t="n">
        <x:f>Z976*'Assumptions'!$AC$102*'Assumptions'!$D$11*(1+'Assumptions'!$D$13)^(8-1)</x:f>
        <x:v>0</x:v>
      </x:c>
      <x:c r="AB976" s="10" t="n">
        <x:f>F976/1</x:f>
        <x:v>38.396678416800015</x:v>
      </x:c>
      <x:c r="AC976" s="10" t="n">
        <x:f>AB976/'Assumptions'!$AM$102</x:f>
        <x:v>255.9778561120001</x:v>
      </x:c>
      <x:c r="AD976" s="10" t="n">
        <x:f>IF(AB976=0,0,T976/AB976)</x:f>
        <x:v>31.435152542987563</x:v>
      </x:c>
      <x:c r="AE976" s="10" t="n">
        <x:f>AA976*'Assumptions'!$D$21</x:f>
        <x:v>0</x:v>
      </x:c>
    </x:row>
    <x:row r="977" ht="16" customHeight="1">
      <x:c r="A977" s="1"/>
      <x:c r="B977" s="1"/>
      <x:c r="C977" s="1" t="str">
        <x:v>DOT-074</x:v>
      </x:c>
      <x:c r="D977" s="10" t="str">
        <x:v>S’otality interiors</x:v>
      </x:c>
      <x:c r="E977" s="10" t="n">
        <x:v>8</x:v>
      </x:c>
      <x:c r="F977" s="21" t="n">
        <x:f>F849*(1+'Assumptions'!$M$103)</x:f>
        <x:v>16.31432669184</x:v>
      </x:c>
      <x:c r="G977" s="21" t="n">
        <x:f>H849*'Assumptions'!$K$103</x:f>
        <x:v>30.972142353599995</x:v>
      </x:c>
      <x:c r="H977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977+G977,NA())</x:f>
        <x:v>47.28646904544</x:v>
      </x:c>
      <x:c r="I977" s="22" t="n">
        <x:f>'Assumptions'!$H$103*IF('Assumptions'!$O$103=1,1,'Assumptions'!$D$10)*(1+'Assumptions'!$N$103)^(8-1)</x:f>
        <x:v>1723.02850147392</x:v>
      </x:c>
      <x:c r="J977" s="10" t="n">
        <x:f>H977*I977</x:f>
        <x:v>81475.93389935739</x:v>
      </x:c>
      <x:c r="K977" s="10" t="n">
        <x:f>J977*'Assumptions'!$T$103</x:f>
        <x:v>8147.59338993574</x:v>
      </x:c>
      <x:c r="L977" s="10" t="n">
        <x:f>K977*'Assumptions'!$U$103</x:f>
        <x:v>244.4278016980722</x:v>
      </x:c>
      <x:c r="M977" s="10" t="n">
        <x:f>K977*'Assumptions'!$V$103</x:f>
        <x:v>0</x:v>
      </x:c>
      <x:c r="N977" s="10" t="n">
        <x:f>K977-L977-M977</x:f>
        <x:v>7903.165588237667</x:v>
      </x:c>
      <x:c r="O977" s="10" t="n">
        <x:f>H977*'Assumptions'!$P$103*'Assumptions'!$Q$103*'Assumptions'!$D$11*(1+'Assumptions'!$D$13)^(8-1)</x:f>
        <x:v>2326.2556986883505</x:v>
      </x:c>
      <x:c r="P977" s="10" t="n">
        <x:f>H977*'Assumptions'!$R$103*'Assumptions'!$D$11*(1+'Assumptions'!$D$13)^(8-1)</x:f>
        <x:v>0</x:v>
      </x:c>
      <x:c r="Q977" s="10" t="n">
        <x:f>J977*'Assumptions'!$S$103</x:f>
        <x:v>0</x:v>
      </x:c>
      <x:c r="R977" s="10" t="n">
        <x:f>H977*'Assumptions'!$Y$103*'Assumptions'!$Z$103*'Assumptions'!$D$11*(1+'Assumptions'!$D$13)^(8-1)</x:f>
        <x:v>261.70376610243943</x:v>
      </x:c>
      <x:c r="S977" s="10" t="n">
        <x:f>IF(I977=0,0,J977*'Assumptions'!$W$103+H977*'Assumptions'!$X$103)</x:f>
        <x:v>2376.9880237949965</x:v>
      </x:c>
      <x:c r="T977" s="10" t="n">
        <x:f>N977*'Assumptions'!$AA$103</x:f>
        <x:v>395.15827941188337</x:v>
      </x:c>
      <x:c r="U977" s="10" t="n">
        <x:f>'Assumptions'!$AE$103*'Assumptions'!$D$11*(1+'Assumptions'!$D$13)^(8-1)</x:f>
        <x:v>0</x:v>
      </x:c>
      <x:c r="V977" s="10" t="n">
        <x:f>0</x:f>
        <x:v>0</x:v>
      </x:c>
      <x:c r="W977" s="10" t="n">
        <x:f>H977*('Assumptions'!$P$103+'Assumptions'!$Y$103)</x:f>
        <x:v>54.379439402256</x:v>
      </x:c>
      <x:c r="X977" s="10" t="n">
        <x:f>N977/12*'Assumptions'!$AF$103</x:f>
        <x:v>0</x:v>
      </x:c>
      <x:c r="Y977" s="10" t="n">
        <x:f>P977/12</x:f>
        <x:v>0</x:v>
      </x:c>
      <x:c r="Z977" s="10" t="n">
        <x:f>0</x:f>
        <x:v>0</x:v>
      </x:c>
      <x:c r="AA977" s="10" t="n">
        <x:f>Z977*'Assumptions'!$AC$103*'Assumptions'!$D$11*(1+'Assumptions'!$D$13)^(8-1)</x:f>
        <x:v>0</x:v>
      </x:c>
      <x:c r="AB977" s="10" t="n">
        <x:f>F977/1</x:f>
        <x:v>16.31432669184</x:v>
      </x:c>
      <x:c r="AC977" s="10" t="n">
        <x:f>AB977/'Assumptions'!$AM$103</x:f>
        <x:v>326.2865338368</x:v>
      </x:c>
      <x:c r="AD977" s="10" t="n">
        <x:f>IF(AB977=0,0,T977/AB977)</x:f>
        <x:v>24.221549983397793</x:v>
      </x:c>
      <x:c r="AE977" s="10" t="n">
        <x:f>AA977*'Assumptions'!$D$21</x:f>
        <x:v>0</x:v>
      </x:c>
    </x:row>
    <x:row r="978" ht="16" customHeight="1">
      <x:c r="A978" s="1"/>
      <x:c r="B978" s="1"/>
      <x:c r="C978" s="1" t="str">
        <x:v>DOT-075</x:v>
      </x:c>
      <x:c r="D978" s="10" t="str">
        <x:v>S’otality concierge</x:v>
      </x:c>
      <x:c r="E978" s="10" t="n">
        <x:v>8</x:v>
      </x:c>
      <x:c r="F978" s="21" t="n">
        <x:f>F850*(1+'Assumptions'!$M$104)</x:f>
        <x:v>191.98339208400003</x:v>
      </x:c>
      <x:c r="G978" s="21" t="n">
        <x:f>H850*'Assumptions'!$K$104</x:f>
        <x:v>178.3867614</x:v>
      </x:c>
      <x:c r="H978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978+G978,NA())</x:f>
        <x:v>370.37015348400007</x:v>
      </x:c>
      <x:c r="I978" s="22" t="n">
        <x:f>'Assumptions'!$H$104*IF('Assumptions'!$O$104=1,1,'Assumptions'!$D$10)*(1+'Assumptions'!$N$104)^(8-1)</x:f>
        <x:v>86.151425073696</x:v>
      </x:c>
      <x:c r="J978" s="10" t="n">
        <x:f>H978*I978</x:f>
        <x:v>31907.91652741012</x:v>
      </x:c>
      <x:c r="K978" s="10" t="n">
        <x:f>J978*'Assumptions'!$T$104</x:f>
        <x:v>31907.91652741012</x:v>
      </x:c>
      <x:c r="L978" s="10" t="n">
        <x:f>K978*'Assumptions'!$U$104</x:f>
        <x:v>957.2374958223036</x:v>
      </x:c>
      <x:c r="M978" s="10" t="n">
        <x:f>K978*'Assumptions'!$V$104</x:f>
        <x:v>0</x:v>
      </x:c>
      <x:c r="N978" s="10" t="n">
        <x:f>K978-L978-M978</x:f>
        <x:v>30950.679031587817</x:v>
      </x:c>
      <x:c r="O978" s="10" t="n">
        <x:f>H978*'Assumptions'!$P$104*'Assumptions'!$Q$104*'Assumptions'!$D$11*(1+'Assumptions'!$D$13)^(8-1)</x:f>
        <x:v>11957.100022963452</x:v>
      </x:c>
      <x:c r="P978" s="10" t="n">
        <x:f>H978*'Assumptions'!$R$104*'Assumptions'!$D$11*(1+'Assumptions'!$D$13)^(8-1)</x:f>
        <x:v>0</x:v>
      </x:c>
      <x:c r="Q978" s="10" t="n">
        <x:f>J978*'Assumptions'!$S$104</x:f>
        <x:v>0</x:v>
      </x:c>
      <x:c r="R978" s="10" t="n">
        <x:f>H978*'Assumptions'!$Y$104*'Assumptions'!$Z$104*'Assumptions'!$D$11*(1+'Assumptions'!$D$13)^(8-1)</x:f>
        <x:v>3416.3142922752722</x:v>
      </x:c>
      <x:c r="S978" s="10" t="n">
        <x:f>IF(I978=0,0,J978*'Assumptions'!$W$104+H978*'Assumptions'!$X$104)</x:f>
        <x:v>1036.4406253400937</x:v>
      </x:c>
      <x:c r="T978" s="10" t="n">
        <x:f>N978*'Assumptions'!$AA$104</x:f>
        <x:v>1238.0271612635127</x:v>
      </x:c>
      <x:c r="U978" s="10" t="n">
        <x:f>'Assumptions'!$AE$104*'Assumptions'!$D$11*(1+'Assumptions'!$D$13)^(8-1)</x:f>
        <x:v>0</x:v>
      </x:c>
      <x:c r="V978" s="10" t="n">
        <x:f>0</x:f>
        <x:v>0</x:v>
      </x:c>
      <x:c r="W978" s="10" t="n">
        <x:f>H978*('Assumptions'!$P$104+'Assumptions'!$Y$104)</x:f>
        <x:v>370.37015348400007</x:v>
      </x:c>
      <x:c r="X978" s="10" t="n">
        <x:f>N978/12*'Assumptions'!$AF$104</x:f>
        <x:v>2579.2232526323182</x:v>
      </x:c>
      <x:c r="Y978" s="10" t="n">
        <x:f>P978/12</x:f>
        <x:v>0</x:v>
      </x:c>
      <x:c r="Z978" s="10" t="n">
        <x:f>0</x:f>
        <x:v>0</x:v>
      </x:c>
      <x:c r="AA978" s="10" t="n">
        <x:f>Z978*'Assumptions'!$AC$104*'Assumptions'!$D$11*(1+'Assumptions'!$D$13)^(8-1)</x:f>
        <x:v>0</x:v>
      </x:c>
      <x:c r="AB978" s="10" t="n">
        <x:f>F978/1</x:f>
        <x:v>191.98339208400003</x:v>
      </x:c>
      <x:c r="AC978" s="10" t="n">
        <x:f>AB978/'Assumptions'!$AM$104</x:f>
        <x:v>959.9169604200001</x:v>
      </x:c>
      <x:c r="AD978" s="10" t="n">
        <x:f>IF(AB978=0,0,T978/AB978)</x:f>
        <x:v>6.448615934037819</x:v>
      </x:c>
      <x:c r="AE978" s="10" t="n">
        <x:f>AA978*'Assumptions'!$D$21</x:f>
        <x:v>0</x:v>
      </x:c>
    </x:row>
    <x:row r="979" ht="16" customHeight="1">
      <x:c r="A979" s="1"/>
      <x:c r="B979" s="1"/>
      <x:c r="C979" s="1" t="str">
        <x:v>DOT-076</x:v>
      </x:c>
      <x:c r="D979" s="10" t="str">
        <x:v>S’otality administration</x:v>
      </x:c>
      <x:c r="E979" s="10" t="n">
        <x:v>8</x:v>
      </x:c>
      <x:c r="F979" s="21" t="n">
        <x:f>F851*(1+'Assumptions'!$M$105)</x:f>
        <x:v>383.96678416800006</x:v>
      </x:c>
      <x:c r="G979" s="21" t="n">
        <x:f>H851*'Assumptions'!$K$105</x:f>
        <x:v>356.7735228</x:v>
      </x:c>
      <x:c r="H979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979+G979,NA())</x:f>
        <x:v>740.7403069680001</x:v>
      </x:c>
      <x:c r="I979" s="22" t="n">
        <x:f>'Assumptions'!$H$105*IF('Assumptions'!$O$105=1,1,'Assumptions'!$D$10)*(1+'Assumptions'!$N$105)^(8-1)</x:f>
        <x:v>68.92114005895681</x:v>
      </x:c>
      <x:c r="J979" s="10" t="n">
        <x:f>H979*I979</x:f>
        <x:v>51052.6664438562</x:v>
      </x:c>
      <x:c r="K979" s="10" t="n">
        <x:f>J979*'Assumptions'!$T$105</x:f>
        <x:v>51052.6664438562</x:v>
      </x:c>
      <x:c r="L979" s="10" t="n">
        <x:f>K979*'Assumptions'!$U$105</x:f>
        <x:v>1531.579993315686</x:v>
      </x:c>
      <x:c r="M979" s="10" t="n">
        <x:f>K979*'Assumptions'!$V$105</x:f>
        <x:v>0</x:v>
      </x:c>
      <x:c r="N979" s="10" t="n">
        <x:f>K979-L979-M979</x:f>
        <x:v>49521.08645054051</x:v>
      </x:c>
      <x:c r="O979" s="10" t="n">
        <x:f>H979*'Assumptions'!$P$105*'Assumptions'!$Q$105*'Assumptions'!$D$11*(1+'Assumptions'!$D$13)^(8-1)</x:f>
        <x:v>27330.514338202178</x:v>
      </x:c>
      <x:c r="P979" s="10" t="n">
        <x:f>H979*'Assumptions'!$R$105*'Assumptions'!$D$11*(1+'Assumptions'!$D$13)^(8-1)</x:f>
        <x:v>0</x:v>
      </x:c>
      <x:c r="Q979" s="10" t="n">
        <x:f>J979*'Assumptions'!$S$105</x:f>
        <x:v>0</x:v>
      </x:c>
      <x:c r="R979" s="10" t="n">
        <x:f>H979*'Assumptions'!$Y$105*'Assumptions'!$Z$105*'Assumptions'!$D$11*(1+'Assumptions'!$D$13)^(8-1)</x:f>
        <x:v>6832.6285845505445</x:v>
      </x:c>
      <x:c r="S979" s="10" t="n">
        <x:f>IF(I979=0,0,J979*'Assumptions'!$W$105+H979*'Assumptions'!$X$105)</x:f>
        <x:v>1702.74941896223</x:v>
      </x:c>
      <x:c r="T979" s="10" t="n">
        <x:f>N979*'Assumptions'!$AA$105</x:f>
        <x:v>1980.8434580216206</x:v>
      </x:c>
      <x:c r="U979" s="10" t="n">
        <x:f>'Assumptions'!$AE$105*'Assumptions'!$D$11*(1+'Assumptions'!$D$13)^(8-1)</x:f>
        <x:v>0</x:v>
      </x:c>
      <x:c r="V979" s="10" t="n">
        <x:f>0</x:f>
        <x:v>0</x:v>
      </x:c>
      <x:c r="W979" s="10" t="n">
        <x:f>H979*('Assumptions'!$P$105+'Assumptions'!$Y$105)</x:f>
        <x:v>925.9253837100002</x:v>
      </x:c>
      <x:c r="X979" s="10" t="n">
        <x:f>N979/12*'Assumptions'!$AF$105</x:f>
        <x:v>4126.757204211709</x:v>
      </x:c>
      <x:c r="Y979" s="10" t="n">
        <x:f>P979/12</x:f>
        <x:v>0</x:v>
      </x:c>
      <x:c r="Z979" s="10" t="n">
        <x:f>0</x:f>
        <x:v>0</x:v>
      </x:c>
      <x:c r="AA979" s="10" t="n">
        <x:f>Z979*'Assumptions'!$AC$105*'Assumptions'!$D$11*(1+'Assumptions'!$D$13)^(8-1)</x:f>
        <x:v>0</x:v>
      </x:c>
      <x:c r="AB979" s="10" t="n">
        <x:f>F979/1</x:f>
        <x:v>383.96678416800006</x:v>
      </x:c>
      <x:c r="AC979" s="10" t="n">
        <x:f>AB979/'Assumptions'!$AM$105</x:f>
        <x:v>1919.8339208400002</x:v>
      </x:c>
      <x:c r="AD979" s="10" t="n">
        <x:f>IF(AB979=0,0,T979/AB979)</x:f>
        <x:v>5.158892747230256</x:v>
      </x:c>
      <x:c r="AE979" s="10" t="n">
        <x:f>AA979*'Assumptions'!$D$21</x:f>
        <x:v>0</x:v>
      </x:c>
    </x:row>
    <x:row r="980" ht="16" customHeight="1">
      <x:c r="A980" s="1"/>
      <x:c r="B980" s="1"/>
      <x:c r="C980" s="1" t="str">
        <x:v>DOT-077</x:v>
      </x:c>
      <x:c r="D980" s="10" t="str">
        <x:v>S’otality bike tours</x:v>
      </x:c>
      <x:c r="E980" s="10" t="n">
        <x:v>8</x:v>
      </x:c>
      <x:c r="F980" s="21" t="n">
        <x:f>F852*(1+'Assumptions'!$M$106)</x:f>
        <x:v>153.58671366720006</x:v>
      </x:c>
      <x:c r="G980" s="21" t="n">
        <x:f>H852*'Assumptions'!$K$106</x:f>
        <x:v>205.82331782400004</x:v>
      </x:c>
      <x:c r="H980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980+G980,NA())</x:f>
        <x:v>359.41003149120013</x:v>
      </x:c>
      <x:c r="I980" s="22" t="n">
        <x:f>'Assumptions'!$H$106*IF('Assumptions'!$O$106=1,1,'Assumptions'!$D$10)*(1+'Assumptions'!$N$106)^(8-1)</x:f>
        <x:v>74.6645683972032</x:v>
      </x:c>
      <x:c r="J980" s="10" t="n">
        <x:f>H980*I980</x:f>
        <x:v>26835.194878915667</x:v>
      </x:c>
      <x:c r="K980" s="10" t="n">
        <x:f>J980*'Assumptions'!$T$106</x:f>
        <x:v>26835.194878915667</x:v>
      </x:c>
      <x:c r="L980" s="10" t="n">
        <x:f>K980*'Assumptions'!$U$106</x:f>
        <x:v>805.0558463674699</x:v>
      </x:c>
      <x:c r="M980" s="10" t="n">
        <x:f>K980*'Assumptions'!$V$106</x:f>
        <x:v>0</x:v>
      </x:c>
      <x:c r="N980" s="10" t="n">
        <x:f>K980-L980-M980</x:f>
        <x:v>26030.139032548195</x:v>
      </x:c>
      <x:c r="O980" s="10" t="n">
        <x:f>H980*'Assumptions'!$P$106*'Assumptions'!$Q$106*'Assumptions'!$D$11*(1+'Assumptions'!$D$13)^(8-1)</x:f>
        <x:v>2320.652274688422</x:v>
      </x:c>
      <x:c r="P980" s="10" t="n">
        <x:f>H980*'Assumptions'!$R$106*'Assumptions'!$D$11*(1+'Assumptions'!$D$13)^(8-1)</x:f>
        <x:v>2210.145023512783</x:v>
      </x:c>
      <x:c r="Q980" s="10" t="n">
        <x:f>J980*'Assumptions'!$S$106</x:f>
        <x:v>12075.837695512051</x:v>
      </x:c>
      <x:c r="R980" s="10" t="n">
        <x:f>H980*'Assumptions'!$Y$106*'Assumptions'!$Z$106*'Assumptions'!$D$11*(1+'Assumptions'!$D$13)^(8-1)</x:f>
        <x:v>2652.17402821534</x:v>
      </x:c>
      <x:c r="S980" s="10" t="n">
        <x:f>IF(I980=0,0,J980*'Assumptions'!$W$106+H980*'Assumptions'!$X$106)</x:f>
        <x:v>886.0436609359144</x:v>
      </x:c>
      <x:c r="T980" s="10" t="n">
        <x:f>N980*'Assumptions'!$AA$106</x:f>
        <x:v>1041.205561301928</x:v>
      </x:c>
      <x:c r="U980" s="10" t="n">
        <x:f>'Assumptions'!$AE$106*'Assumptions'!$D$11*(1+'Assumptions'!$D$13)^(8-1)</x:f>
        <x:v>0</x:v>
      </x:c>
      <x:c r="V980" s="10" t="n">
        <x:f>0</x:f>
        <x:v>0</x:v>
      </x:c>
      <x:c r="W980" s="10" t="n">
        <x:f>H980*('Assumptions'!$P$106+'Assumptions'!$Y$106)</x:f>
        <x:v>125.79351102192004</x:v>
      </x:c>
      <x:c r="X980" s="10" t="n">
        <x:f>N980/12*'Assumptions'!$AF$106</x:f>
        <x:v>0</x:v>
      </x:c>
      <x:c r="Y980" s="10" t="n">
        <x:f>P980/12</x:f>
        <x:v>184.1787519593986</x:v>
      </x:c>
      <x:c r="Z980" s="10" t="n">
        <x:f>0</x:f>
        <x:v>0</x:v>
      </x:c>
      <x:c r="AA980" s="10" t="n">
        <x:f>Z980*'Assumptions'!$AC$106*'Assumptions'!$D$11*(1+'Assumptions'!$D$13)^(8-1)</x:f>
        <x:v>0</x:v>
      </x:c>
      <x:c r="AB980" s="10" t="n">
        <x:f>F980/1</x:f>
        <x:v>153.58671366720006</x:v>
      </x:c>
      <x:c r="AC980" s="10" t="n">
        <x:f>AB980/'Assumptions'!$AM$106</x:f>
        <x:v>1023.9114244480004</x:v>
      </x:c>
      <x:c r="AD980" s="10" t="n">
        <x:f>IF(AB980=0,0,T980/AB980)</x:f>
        <x:v>6.779268443480522</x:v>
      </x:c>
      <x:c r="AE980" s="10" t="n">
        <x:f>AA980*'Assumptions'!$D$21</x:f>
        <x:v>0</x:v>
      </x:c>
    </x:row>
    <x:row r="981" ht="16" customHeight="1">
      <x:c r="A981" s="1"/>
      <x:c r="B981" s="1"/>
      <x:c r="C981" s="1" t="str">
        <x:v>DOT-078</x:v>
      </x:c>
      <x:c r="D981" s="10" t="str">
        <x:v>S’otality editorial</x:v>
      </x:c>
      <x:c r="E981" s="10" t="n">
        <x:v>8</x:v>
      </x:c>
      <x:c r="F981" s="21" t="n">
        <x:f>F853*(1+'Assumptions'!$M$107)</x:f>
        <x:v>12.478920485460007</x:v>
      </x:c>
      <x:c r="G981" s="21" t="n">
        <x:f>H853*'Assumptions'!$K$107</x:f>
        <x:v>6.395952201450003</x:v>
      </x:c>
      <x:c r="H981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981+G981,NA())</x:f>
        <x:v>18.87487268691001</x:v>
      </x:c>
      <x:c r="I981" s="22" t="n">
        <x:f>'Assumptions'!$H$107*IF('Assumptions'!$O$107=1,1,'Assumptions'!$D$10)*(1+'Assumptions'!$N$107)^(8-1)</x:f>
        <x:v>287.17141691232</x:v>
      </x:c>
      <x:c r="J981" s="10" t="n">
        <x:f>H981*I981</x:f>
        <x:v>5420.3239335395965</x:v>
      </x:c>
      <x:c r="K981" s="10" t="n">
        <x:f>J981*'Assumptions'!$T$107</x:f>
        <x:v>5420.3239335395965</x:v>
      </x:c>
      <x:c r="L981" s="10" t="n">
        <x:f>K981*'Assumptions'!$U$107</x:f>
        <x:v>162.60971800618788</x:v>
      </x:c>
      <x:c r="M981" s="10" t="n">
        <x:f>K981*'Assumptions'!$V$107</x:f>
        <x:v>0</x:v>
      </x:c>
      <x:c r="N981" s="10" t="n">
        <x:f>K981-L981-M981</x:f>
        <x:v>5257.714215533409</x:v>
      </x:c>
      <x:c r="O981" s="10" t="n">
        <x:f>H981*'Assumptions'!$P$107*'Assumptions'!$Q$107*'Assumptions'!$D$11*(1+'Assumptions'!$D$13)^(8-1)</x:f>
        <x:v>1857.0970104681855</x:v>
      </x:c>
      <x:c r="P981" s="10" t="n">
        <x:f>H981*'Assumptions'!$R$107*'Assumptions'!$D$11*(1+'Assumptions'!$D$13)^(8-1)</x:f>
        <x:v>0</x:v>
      </x:c>
      <x:c r="Q981" s="10" t="n">
        <x:f>J981*'Assumptions'!$S$107</x:f>
        <x:v>0</x:v>
      </x:c>
      <x:c r="R981" s="10" t="n">
        <x:f>H981*'Assumptions'!$Y$107*'Assumptions'!$Z$107*'Assumptions'!$D$11*(1+'Assumptions'!$D$13)^(8-1)</x:f>
        <x:v>348.2056894627848</x:v>
      </x:c>
      <x:c r="S981" s="10" t="n">
        <x:f>IF(I981=0,0,J981*'Assumptions'!$W$107+H981*'Assumptions'!$X$107)</x:f>
        <x:v>162.8518558787213</x:v>
      </x:c>
      <x:c r="T981" s="10" t="n">
        <x:f>N981*'Assumptions'!$AA$107</x:f>
        <x:v>420.6171372426727</x:v>
      </x:c>
      <x:c r="U981" s="10" t="n">
        <x:f>'Assumptions'!$AE$107*'Assumptions'!$D$11*(1+'Assumptions'!$D$13)^(8-1)</x:f>
        <x:v>0</x:v>
      </x:c>
      <x:c r="V981" s="10" t="n">
        <x:f>0</x:f>
        <x:v>0</x:v>
      </x:c>
      <x:c r="W981" s="10" t="n">
        <x:f>H981*('Assumptions'!$P$107+'Assumptions'!$Y$107)</x:f>
        <x:v>47.187181717275024</x:v>
      </x:c>
      <x:c r="X981" s="10" t="n">
        <x:f>N981/12*'Assumptions'!$AF$107</x:f>
        <x:v>438.14285129445074</x:v>
      </x:c>
      <x:c r="Y981" s="10" t="n">
        <x:f>P981/12</x:f>
        <x:v>0</x:v>
      </x:c>
      <x:c r="Z981" s="10" t="n">
        <x:f>0</x:f>
        <x:v>0</x:v>
      </x:c>
      <x:c r="AA981" s="10" t="n">
        <x:f>Z981*'Assumptions'!$AC$107*'Assumptions'!$D$11*(1+'Assumptions'!$D$13)^(8-1)</x:f>
        <x:v>0</x:v>
      </x:c>
      <x:c r="AB981" s="10" t="n">
        <x:f>F981/1</x:f>
        <x:v>12.478920485460007</x:v>
      </x:c>
      <x:c r="AC981" s="10" t="n">
        <x:f>AB981/'Assumptions'!$AM$107</x:f>
        <x:v>124.78920485460006</x:v>
      </x:c>
      <x:c r="AD981" s="10" t="n">
        <x:f>IF(AB981=0,0,T981/AB981)</x:f>
        <x:v>33.70621182599575</x:v>
      </x:c>
      <x:c r="AE981" s="10" t="n">
        <x:f>AA981*'Assumptions'!$D$21</x:f>
        <x:v>0</x:v>
      </x:c>
    </x:row>
    <x:row r="982" ht="16" customHeight="1">
      <x:c r="A982" s="1"/>
      <x:c r="B982" s="1"/>
      <x:c r="C982" s="1" t="str">
        <x:v>DOT-079</x:v>
      </x:c>
      <x:c r="D982" s="10" t="str">
        <x:v>S’otality editorial</x:v>
      </x:c>
      <x:c r="E982" s="10" t="n">
        <x:v>8</x:v>
      </x:c>
      <x:c r="F982" s="21" t="n">
        <x:f>F854*(1+'Assumptions'!$M$108)</x:f>
        <x:v>4.159640161820002</x:v>
      </x:c>
      <x:c r="G982" s="21" t="n">
        <x:f>H854*'Assumptions'!$K$108</x:f>
        <x:v>2.1319840671500008</x:v>
      </x:c>
      <x:c r="H982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982+G982,NA())</x:f>
        <x:v>6.291624228970003</x:v>
      </x:c>
      <x:c r="I982" s="22" t="n">
        <x:f>'Assumptions'!$H$108*IF('Assumptions'!$O$108=1,1,'Assumptions'!$D$10)*(1+'Assumptions'!$N$108)^(8-1)</x:f>
        <x:v>1148.68566764928</x:v>
      </x:c>
      <x:c r="J982" s="10" t="n">
        <x:f>H982*I982</x:f>
        <x:v>7227.098578052794</x:v>
      </x:c>
      <x:c r="K982" s="10" t="n">
        <x:f>J982*'Assumptions'!$T$108</x:f>
        <x:v>7227.098578052794</x:v>
      </x:c>
      <x:c r="L982" s="10" t="n">
        <x:f>K982*'Assumptions'!$U$108</x:f>
        <x:v>216.81295734158383</x:v>
      </x:c>
      <x:c r="M982" s="10" t="n">
        <x:f>K982*'Assumptions'!$V$108</x:f>
        <x:v>0</x:v>
      </x:c>
      <x:c r="N982" s="10" t="n">
        <x:f>K982-L982-M982</x:f>
        <x:v>7010.285620711211</x:v>
      </x:c>
      <x:c r="O982" s="10" t="n">
        <x:f>H982*'Assumptions'!$P$108*'Assumptions'!$Q$108*'Assumptions'!$D$11*(1+'Assumptions'!$D$13)^(8-1)</x:f>
        <x:v>2476.1293472909138</x:v>
      </x:c>
      <x:c r="P982" s="10" t="n">
        <x:f>H982*'Assumptions'!$R$108*'Assumptions'!$D$11*(1+'Assumptions'!$D$13)^(8-1)</x:f>
        <x:v>773.7904210284106</x:v>
      </x:c>
      <x:c r="Q982" s="10" t="n">
        <x:f>J982*'Assumptions'!$S$108</x:f>
        <x:v>0</x:v>
      </x:c>
      <x:c r="R982" s="10" t="n">
        <x:f>H982*'Assumptions'!$Y$108*'Assumptions'!$Z$108*'Assumptions'!$D$11*(1+'Assumptions'!$D$13)^(8-1)</x:f>
        <x:v>116.06856315426158</x:v>
      </x:c>
      <x:c r="S982" s="10" t="n">
        <x:f>IF(I982=0,0,J982*'Assumptions'!$W$108+H982*'Assumptions'!$X$108)</x:f>
        <x:v>211.47334603222203</x:v>
      </x:c>
      <x:c r="T982" s="10" t="n">
        <x:f>N982*'Assumptions'!$AA$108</x:f>
        <x:v>560.8228496568969</x:v>
      </x:c>
      <x:c r="U982" s="10" t="n">
        <x:f>'Assumptions'!$AE$108*'Assumptions'!$D$11*(1+'Assumptions'!$D$13)^(8-1)</x:f>
        <x:v>0</x:v>
      </x:c>
      <x:c r="V982" s="10" t="n">
        <x:f>0</x:f>
        <x:v>0</x:v>
      </x:c>
      <x:c r="W982" s="10" t="n">
        <x:f>H982*('Assumptions'!$P$108+'Assumptions'!$Y$108)</x:f>
        <x:v>53.478805946245025</x:v>
      </x:c>
      <x:c r="X982" s="10" t="n">
        <x:f>N982/12*'Assumptions'!$AF$108</x:f>
        <x:v>584.1904683926009</x:v>
      </x:c>
      <x:c r="Y982" s="10" t="n">
        <x:f>P982/12</x:f>
        <x:v>64.48253508570089</x:v>
      </x:c>
      <x:c r="Z982" s="10" t="n">
        <x:f>0</x:f>
        <x:v>0</x:v>
      </x:c>
      <x:c r="AA982" s="10" t="n">
        <x:f>Z982*'Assumptions'!$AC$108*'Assumptions'!$D$11*(1+'Assumptions'!$D$13)^(8-1)</x:f>
        <x:v>0</x:v>
      </x:c>
      <x:c r="AB982" s="10" t="n">
        <x:f>F982/1</x:f>
        <x:v>4.159640161820002</x:v>
      </x:c>
      <x:c r="AC982" s="10" t="n">
        <x:f>AB982/'Assumptions'!$AM$108</x:f>
        <x:v>41.59640161820002</x:v>
      </x:c>
      <x:c r="AD982" s="10" t="n">
        <x:f>IF(AB982=0,0,T982/AB982)</x:f>
        <x:v>134.82484730398298</x:v>
      </x:c>
      <x:c r="AE982" s="10" t="n">
        <x:f>AA982*'Assumptions'!$D$21</x:f>
        <x:v>0</x:v>
      </x:c>
    </x:row>
    <x:row r="983" ht="16" customHeight="1">
      <x:c r="A983" s="1"/>
      <x:c r="B983" s="1"/>
      <x:c r="C983" s="1" t="str">
        <x:v>DOT-080</x:v>
      </x:c>
      <x:c r="D983" s="10" t="str">
        <x:v>Tomato Odyssey</x:v>
      </x:c>
      <x:c r="E983" s="10" t="n">
        <x:v>8</x:v>
      </x:c>
      <x:c r="F983" s="21" t="n">
        <x:f>F855*(1+'Assumptions'!$M$109)</x:f>
        <x:v>12.478920485460007</x:v>
      </x:c>
      <x:c r="G983" s="21" t="n">
        <x:f>H855*'Assumptions'!$K$109</x:f>
        <x:v>6.395952201450003</x:v>
      </x:c>
      <x:c r="H983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983+G983,NA())</x:f>
        <x:v>18.87487268691001</x:v>
      </x:c>
      <x:c r="I983" s="22" t="n">
        <x:f>'Assumptions'!$H$109*IF('Assumptions'!$O$109=1,1,'Assumptions'!$D$10)*(1+'Assumptions'!$N$109)^(8-1)</x:f>
        <x:v>287.17141691232</x:v>
      </x:c>
      <x:c r="J983" s="10" t="n">
        <x:f>H983*I983</x:f>
        <x:v>5420.3239335395965</x:v>
      </x:c>
      <x:c r="K983" s="10" t="n">
        <x:f>J983*'Assumptions'!$T$109</x:f>
        <x:v>5420.3239335395965</x:v>
      </x:c>
      <x:c r="L983" s="10" t="n">
        <x:f>K983*'Assumptions'!$U$109</x:f>
        <x:v>162.60971800618788</x:v>
      </x:c>
      <x:c r="M983" s="10" t="n">
        <x:f>K983*'Assumptions'!$V$109</x:f>
        <x:v>0</x:v>
      </x:c>
      <x:c r="N983" s="10" t="n">
        <x:f>K983-L983-M983</x:f>
        <x:v>5257.714215533409</x:v>
      </x:c>
      <x:c r="O983" s="10" t="n">
        <x:f>H983*'Assumptions'!$P$109*'Assumptions'!$Q$109*'Assumptions'!$D$11*(1+'Assumptions'!$D$13)^(8-1)</x:f>
        <x:v>1857.0970104681855</x:v>
      </x:c>
      <x:c r="P983" s="10" t="n">
        <x:f>H983*'Assumptions'!$R$109*'Assumptions'!$D$11*(1+'Assumptions'!$D$13)^(8-1)</x:f>
        <x:v>0</x:v>
      </x:c>
      <x:c r="Q983" s="10" t="n">
        <x:f>J983*'Assumptions'!$S$109</x:f>
        <x:v>0</x:v>
      </x:c>
      <x:c r="R983" s="10" t="n">
        <x:f>H983*'Assumptions'!$Y$109*'Assumptions'!$Z$109*'Assumptions'!$D$11*(1+'Assumptions'!$D$13)^(8-1)</x:f>
        <x:v>348.2056894627848</x:v>
      </x:c>
      <x:c r="S983" s="10" t="n">
        <x:f>IF(I983=0,0,J983*'Assumptions'!$W$109+H983*'Assumptions'!$X$109)</x:f>
        <x:v>162.8518558787213</x:v>
      </x:c>
      <x:c r="T983" s="10" t="n">
        <x:f>N983*'Assumptions'!$AA$109</x:f>
        <x:v>420.6171372426727</x:v>
      </x:c>
      <x:c r="U983" s="10" t="n">
        <x:f>'Assumptions'!$AE$109*'Assumptions'!$D$11*(1+'Assumptions'!$D$13)^(8-1)</x:f>
        <x:v>0</x:v>
      </x:c>
      <x:c r="V983" s="10" t="n">
        <x:f>0</x:f>
        <x:v>0</x:v>
      </x:c>
      <x:c r="W983" s="10" t="n">
        <x:f>H983*('Assumptions'!$P$109+'Assumptions'!$Y$109)</x:f>
        <x:v>47.187181717275024</x:v>
      </x:c>
      <x:c r="X983" s="10" t="n">
        <x:f>N983/12*'Assumptions'!$AF$109</x:f>
        <x:v>438.14285129445074</x:v>
      </x:c>
      <x:c r="Y983" s="10" t="n">
        <x:f>P983/12</x:f>
        <x:v>0</x:v>
      </x:c>
      <x:c r="Z983" s="10" t="n">
        <x:f>0</x:f>
        <x:v>0</x:v>
      </x:c>
      <x:c r="AA983" s="10" t="n">
        <x:f>Z983*'Assumptions'!$AC$109*'Assumptions'!$D$11*(1+'Assumptions'!$D$13)^(8-1)</x:f>
        <x:v>0</x:v>
      </x:c>
      <x:c r="AB983" s="10" t="n">
        <x:f>F983/1</x:f>
        <x:v>12.478920485460007</x:v>
      </x:c>
      <x:c r="AC983" s="10" t="n">
        <x:f>AB983/'Assumptions'!$AM$109</x:f>
        <x:v>124.78920485460006</x:v>
      </x:c>
      <x:c r="AD983" s="10" t="n">
        <x:f>IF(AB983=0,0,T983/AB983)</x:f>
        <x:v>33.70621182599575</x:v>
      </x:c>
      <x:c r="AE983" s="10" t="n">
        <x:f>AA983*'Assumptions'!$D$21</x:f>
        <x:v>0</x:v>
      </x:c>
    </x:row>
    <x:row r="984" ht="16" customHeight="1">
      <x:c r="A984" s="1"/>
      <x:c r="B984" s="1"/>
      <x:c r="C984" s="1" t="str">
        <x:v>DOT-081</x:v>
      </x:c>
      <x:c r="D984" s="10" t="str">
        <x:v>Tomato Odyssey</x:v>
      </x:c>
      <x:c r="E984" s="10" t="n">
        <x:v>8</x:v>
      </x:c>
      <x:c r="F984" s="21" t="n">
        <x:f>F856*(1+'Assumptions'!$M$110)</x:f>
        <x:v>4.159640161820002</x:v>
      </x:c>
      <x:c r="G984" s="21" t="n">
        <x:f>H856*'Assumptions'!$K$110</x:f>
        <x:v>2.1319840671500008</x:v>
      </x:c>
      <x:c r="H984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984+G984,NA())</x:f>
        <x:v>6.291624228970003</x:v>
      </x:c>
      <x:c r="I984" s="22" t="n">
        <x:f>'Assumptions'!$H$110*IF('Assumptions'!$O$110=1,1,'Assumptions'!$D$10)*(1+'Assumptions'!$N$110)^(8-1)</x:f>
        <x:v>1148.68566764928</x:v>
      </x:c>
      <x:c r="J984" s="10" t="n">
        <x:f>H984*I984</x:f>
        <x:v>7227.098578052794</x:v>
      </x:c>
      <x:c r="K984" s="10" t="n">
        <x:f>J984*'Assumptions'!$T$110</x:f>
        <x:v>7227.098578052794</x:v>
      </x:c>
      <x:c r="L984" s="10" t="n">
        <x:f>K984*'Assumptions'!$U$110</x:f>
        <x:v>216.81295734158383</x:v>
      </x:c>
      <x:c r="M984" s="10" t="n">
        <x:f>K984*'Assumptions'!$V$110</x:f>
        <x:v>0</x:v>
      </x:c>
      <x:c r="N984" s="10" t="n">
        <x:f>K984-L984-M984</x:f>
        <x:v>7010.285620711211</x:v>
      </x:c>
      <x:c r="O984" s="10" t="n">
        <x:f>H984*'Assumptions'!$P$110*'Assumptions'!$Q$110*'Assumptions'!$D$11*(1+'Assumptions'!$D$13)^(8-1)</x:f>
        <x:v>2476.1293472909138</x:v>
      </x:c>
      <x:c r="P984" s="10" t="n">
        <x:f>H984*'Assumptions'!$R$110*'Assumptions'!$D$11*(1+'Assumptions'!$D$13)^(8-1)</x:f>
        <x:v>773.7904210284106</x:v>
      </x:c>
      <x:c r="Q984" s="10" t="n">
        <x:f>J984*'Assumptions'!$S$110</x:f>
        <x:v>0</x:v>
      </x:c>
      <x:c r="R984" s="10" t="n">
        <x:f>H984*'Assumptions'!$Y$110*'Assumptions'!$Z$110*'Assumptions'!$D$11*(1+'Assumptions'!$D$13)^(8-1)</x:f>
        <x:v>116.06856315426158</x:v>
      </x:c>
      <x:c r="S984" s="10" t="n">
        <x:f>IF(I984=0,0,J984*'Assumptions'!$W$110+H984*'Assumptions'!$X$110)</x:f>
        <x:v>211.47334603222203</x:v>
      </x:c>
      <x:c r="T984" s="10" t="n">
        <x:f>N984*'Assumptions'!$AA$110</x:f>
        <x:v>560.8228496568969</x:v>
      </x:c>
      <x:c r="U984" s="10" t="n">
        <x:f>'Assumptions'!$AE$110*'Assumptions'!$D$11*(1+'Assumptions'!$D$13)^(8-1)</x:f>
        <x:v>0</x:v>
      </x:c>
      <x:c r="V984" s="10" t="n">
        <x:f>0</x:f>
        <x:v>0</x:v>
      </x:c>
      <x:c r="W984" s="10" t="n">
        <x:f>H984*('Assumptions'!$P$110+'Assumptions'!$Y$110)</x:f>
        <x:v>53.478805946245025</x:v>
      </x:c>
      <x:c r="X984" s="10" t="n">
        <x:f>N984/12*'Assumptions'!$AF$110</x:f>
        <x:v>584.1904683926009</x:v>
      </x:c>
      <x:c r="Y984" s="10" t="n">
        <x:f>P984/12</x:f>
        <x:v>64.48253508570089</x:v>
      </x:c>
      <x:c r="Z984" s="10" t="n">
        <x:f>0</x:f>
        <x:v>0</x:v>
      </x:c>
      <x:c r="AA984" s="10" t="n">
        <x:f>Z984*'Assumptions'!$AC$110*'Assumptions'!$D$11*(1+'Assumptions'!$D$13)^(8-1)</x:f>
        <x:v>0</x:v>
      </x:c>
      <x:c r="AB984" s="10" t="n">
        <x:f>F984/1</x:f>
        <x:v>4.159640161820002</x:v>
      </x:c>
      <x:c r="AC984" s="10" t="n">
        <x:f>AB984/'Assumptions'!$AM$110</x:f>
        <x:v>41.59640161820002</x:v>
      </x:c>
      <x:c r="AD984" s="10" t="n">
        <x:f>IF(AB984=0,0,T984/AB984)</x:f>
        <x:v>134.82484730398298</x:v>
      </x:c>
      <x:c r="AE984" s="10" t="n">
        <x:f>AA984*'Assumptions'!$D$21</x:f>
        <x:v>0</x:v>
      </x:c>
    </x:row>
    <x:row r="985" ht="16" customHeight="1">
      <x:c r="A985" s="1"/>
      <x:c r="B985" s="1"/>
      <x:c r="C985" s="1" t="str">
        <x:v>DOT-082</x:v>
      </x:c>
      <x:c r="D985" s="10" t="str">
        <x:v>Semajes Studio</x:v>
      </x:c>
      <x:c r="E985" s="10" t="n">
        <x:v>8</x:v>
      </x:c>
      <x:c r="F985" s="21" t="n">
        <x:f>F857*(1+'Assumptions'!$M$111)</x:f>
        <x:v>28.797508812600004</x:v>
      </x:c>
      <x:c r="G985" s="21" t="n">
        <x:f>H857*'Assumptions'!$K$111</x:f>
        <x:v>26.758014210000006</x:v>
      </x:c>
      <x:c r="H985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985+G985,NA())</x:f>
        <x:v>55.55552302260001</x:v>
      </x:c>
      <x:c r="I985" s="22" t="n">
        <x:f>'Assumptions'!$H$111*IF('Assumptions'!$O$111=1,1,'Assumptions'!$D$10)*(1+'Assumptions'!$N$111)^(8-1)</x:f>
        <x:v>631.777117207104</x:v>
      </x:c>
      <x:c r="J985" s="10" t="n">
        <x:f>H985*I985</x:f>
        <x:v>35098.70818015113</x:v>
      </x:c>
      <x:c r="K985" s="10" t="n">
        <x:f>J985*'Assumptions'!$T$111</x:f>
        <x:v>35098.70818015113</x:v>
      </x:c>
      <x:c r="L985" s="10" t="n">
        <x:f>K985*'Assumptions'!$U$111</x:f>
        <x:v>1052.9612454045339</x:v>
      </x:c>
      <x:c r="M985" s="10" t="n">
        <x:f>K985*'Assumptions'!$V$111</x:f>
        <x:v>0</x:v>
      </x:c>
      <x:c r="N985" s="10" t="n">
        <x:f>K985-L985-M985</x:f>
        <x:v>34045.746934746596</x:v>
      </x:c>
      <x:c r="O985" s="10" t="n">
        <x:f>H985*'Assumptions'!$P$111*'Assumptions'!$Q$111*'Assumptions'!$D$11*(1+'Assumptions'!$D$13)^(8-1)</x:f>
        <x:v>20497.88575365163</x:v>
      </x:c>
      <x:c r="P985" s="10" t="n">
        <x:f>H985*'Assumptions'!$R$111*'Assumptions'!$D$11*(1+'Assumptions'!$D$13)^(8-1)</x:f>
        <x:v>5466.102867640436</x:v>
      </x:c>
      <x:c r="Q985" s="10" t="n">
        <x:f>J985*'Assumptions'!$S$111</x:f>
        <x:v>0</x:v>
      </x:c>
      <x:c r="R985" s="10" t="n">
        <x:f>H985*'Assumptions'!$Y$111*'Assumptions'!$Z$111*'Assumptions'!$D$11*(1+'Assumptions'!$D$13)^(8-1)</x:f>
        <x:v>512.4471438412909</x:v>
      </x:c>
      <x:c r="S985" s="10" t="n">
        <x:f>IF(I985=0,0,J985*'Assumptions'!$W$111+H985*'Assumptions'!$X$111)</x:f>
        <x:v>1034.5291941311627</x:v>
      </x:c>
      <x:c r="T985" s="10" t="n">
        <x:f>N985*'Assumptions'!$AA$111</x:f>
        <x:v>1361.829877389864</x:v>
      </x:c>
      <x:c r="U985" s="10" t="n">
        <x:f>'Assumptions'!$AE$111*'Assumptions'!$D$11*(1+'Assumptions'!$D$13)^(8-1)</x:f>
        <x:v>0</x:v>
      </x:c>
      <x:c r="V985" s="10" t="n">
        <x:f>0</x:f>
        <x:v>0</x:v>
      </x:c>
      <x:c r="W985" s="10" t="n">
        <x:f>H985*('Assumptions'!$P$111+'Assumptions'!$Y$111)</x:f>
        <x:v>347.22201889125006</x:v>
      </x:c>
      <x:c r="X985" s="10" t="n">
        <x:f>N985/12*'Assumptions'!$AF$111</x:f>
        <x:v>2837.1455778955496</x:v>
      </x:c>
      <x:c r="Y985" s="10" t="n">
        <x:f>P985/12</x:f>
        <x:v>455.50857230336965</x:v>
      </x:c>
      <x:c r="Z985" s="10" t="n">
        <x:f>0</x:f>
        <x:v>0</x:v>
      </x:c>
      <x:c r="AA985" s="10" t="n">
        <x:f>Z985*'Assumptions'!$AC$111*'Assumptions'!$D$11*(1+'Assumptions'!$D$13)^(8-1)</x:f>
        <x:v>0</x:v>
      </x:c>
      <x:c r="AB985" s="10" t="n">
        <x:f>F985/1</x:f>
        <x:v>28.797508812600004</x:v>
      </x:c>
      <x:c r="AC985" s="10" t="n">
        <x:f>AB985/'Assumptions'!$AM$111</x:f>
        <x:v>143.987544063</x:v>
      </x:c>
      <x:c r="AD985" s="10" t="n">
        <x:f>IF(AB985=0,0,T985/AB985)</x:f>
        <x:v>47.28985018294401</x:v>
      </x:c>
      <x:c r="AE985" s="10" t="n">
        <x:f>AA985*'Assumptions'!$D$21</x:f>
        <x:v>0</x:v>
      </x:c>
    </x:row>
    <x:row r="986" ht="16" customHeight="1">
      <x:c r="A986" s="1"/>
      <x:c r="B986" s="1"/>
      <x:c r="C986" s="1" t="str">
        <x:v>DOT-083</x:v>
      </x:c>
      <x:c r="D986" s="10" t="str">
        <x:v>Semajes Studio</x:v>
      </x:c>
      <x:c r="E986" s="10" t="n">
        <x:v>8</x:v>
      </x:c>
      <x:c r="F986" s="21" t="n">
        <x:f>F858*(1+'Assumptions'!$M$112)</x:f>
        <x:v>14.398754406300002</x:v>
      </x:c>
      <x:c r="G986" s="21" t="n">
        <x:f>H858*'Assumptions'!$K$112</x:f>
        <x:v>13.379007105000003</x:v>
      </x:c>
      <x:c r="H986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986+G986,NA())</x:f>
        <x:v>27.777761511300007</x:v>
      </x:c>
      <x:c r="I986" s="22" t="n">
        <x:f>'Assumptions'!$H$112*IF('Assumptions'!$O$112=1,1,'Assumptions'!$D$10)*(1+'Assumptions'!$N$112)^(8-1)</x:f>
        <x:v>1378.422801179136</x:v>
      </x:c>
      <x:c r="J986" s="10" t="n">
        <x:f>H986*I986</x:f>
        <x:v>38289.49983289215</x:v>
      </x:c>
      <x:c r="K986" s="10" t="n">
        <x:f>J986*'Assumptions'!$T$112</x:f>
        <x:v>38289.49983289215</x:v>
      </x:c>
      <x:c r="L986" s="10" t="n">
        <x:f>K986*'Assumptions'!$U$112</x:f>
        <x:v>1148.6849949867644</x:v>
      </x:c>
      <x:c r="M986" s="10" t="n">
        <x:f>K986*'Assumptions'!$V$112</x:f>
        <x:v>0</x:v>
      </x:c>
      <x:c r="N986" s="10" t="n">
        <x:f>K986-L986-M986</x:f>
        <x:v>37140.81483790539</x:v>
      </x:c>
      <x:c r="O986" s="10" t="n">
        <x:f>H986*'Assumptions'!$P$112*'Assumptions'!$Q$112*'Assumptions'!$D$11*(1+'Assumptions'!$D$13)^(8-1)</x:f>
        <x:v>17081.571461376363</x:v>
      </x:c>
      <x:c r="P986" s="10" t="n">
        <x:f>H986*'Assumptions'!$R$112*'Assumptions'!$D$11*(1+'Assumptions'!$D$13)^(8-1)</x:f>
        <x:v>5124.471438412908</x:v>
      </x:c>
      <x:c r="Q986" s="10" t="n">
        <x:f>J986*'Assumptions'!$S$112</x:f>
        <x:v>0</x:v>
      </x:c>
      <x:c r="R986" s="10" t="n">
        <x:f>H986*'Assumptions'!$Y$112*'Assumptions'!$Z$112*'Assumptions'!$D$11*(1+'Assumptions'!$D$13)^(8-1)</x:f>
        <x:v>256.22357192064544</x:v>
      </x:c>
      <x:c r="S986" s="10" t="n">
        <x:f>IF(I986=0,0,J986*'Assumptions'!$W$112+H986*'Assumptions'!$X$112)</x:f>
        <x:v>1118.7288236072625</x:v>
      </x:c>
      <x:c r="T986" s="10" t="n">
        <x:f>N986*'Assumptions'!$AA$112</x:f>
        <x:v>1485.6325935162156</x:v>
      </x:c>
      <x:c r="U986" s="10" t="n">
        <x:f>'Assumptions'!$AE$112*'Assumptions'!$D$11*(1+'Assumptions'!$D$13)^(8-1)</x:f>
        <x:v>0</x:v>
      </x:c>
      <x:c r="V986" s="10" t="n">
        <x:f>0</x:f>
        <x:v>0</x:v>
      </x:c>
      <x:c r="W986" s="10" t="n">
        <x:f>H986*('Assumptions'!$P$112+'Assumptions'!$Y$112)</x:f>
        <x:v>284.7220554908251</x:v>
      </x:c>
      <x:c r="X986" s="10" t="n">
        <x:f>N986/12*'Assumptions'!$AF$112</x:f>
        <x:v>3095.0679031587824</x:v>
      </x:c>
      <x:c r="Y986" s="10" t="n">
        <x:f>P986/12</x:f>
        <x:v>427.03928653440903</x:v>
      </x:c>
      <x:c r="Z986" s="10" t="n">
        <x:f>0</x:f>
        <x:v>0</x:v>
      </x:c>
      <x:c r="AA986" s="10" t="n">
        <x:f>Z986*'Assumptions'!$AC$112*'Assumptions'!$D$11*(1+'Assumptions'!$D$13)^(8-1)</x:f>
        <x:v>0</x:v>
      </x:c>
      <x:c r="AB986" s="10" t="n">
        <x:f>F986/1</x:f>
        <x:v>14.398754406300002</x:v>
      </x:c>
      <x:c r="AC986" s="10" t="n">
        <x:f>AB986/'Assumptions'!$AM$112</x:f>
        <x:v>71.9937720315</x:v>
      </x:c>
      <x:c r="AD986" s="10" t="n">
        <x:f>IF(AB986=0,0,T986/AB986)</x:f>
        <x:v>103.17785494460513</x:v>
      </x:c>
      <x:c r="AE986" s="10" t="n">
        <x:f>AA986*'Assumptions'!$D$21</x:f>
        <x:v>0</x:v>
      </x:c>
    </x:row>
    <x:row r="987" ht="16" customHeight="1">
      <x:c r="A987" s="1"/>
      <x:c r="B987" s="1"/>
      <x:c r="C987" s="1" t="str">
        <x:v>DOT-084</x:v>
      </x:c>
      <x:c r="D987" s="10" t="str">
        <x:v>Semajes Studio</x:v>
      </x:c>
      <x:c r="E987" s="10" t="n">
        <x:v>8</x:v>
      </x:c>
      <x:c r="F987" s="21" t="n">
        <x:f>F859*(1+'Assumptions'!$M$113)</x:f>
        <x:v>95.99169604200002</x:v>
      </x:c>
      <x:c r="G987" s="21" t="n">
        <x:f>H859*'Assumptions'!$K$113</x:f>
        <x:v>89.1933807</x:v>
      </x:c>
      <x:c r="H987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987+G987,NA())</x:f>
        <x:v>185.18507674200004</x:v>
      </x:c>
      <x:c r="I987" s="22" t="n">
        <x:f>'Assumptions'!$H$113*IF('Assumptions'!$O$113=1,1,'Assumptions'!$D$10)*(1+'Assumptions'!$N$113)^(8-1)</x:f>
        <x:v>40.2039983677248</x:v>
      </x:c>
      <x:c r="J987" s="10" t="n">
        <x:f>H987*I987</x:f>
        <x:v>7445.180523062361</x:v>
      </x:c>
      <x:c r="K987" s="10" t="n">
        <x:f>J987*'Assumptions'!$T$113</x:f>
        <x:v>7445.180523062361</x:v>
      </x:c>
      <x:c r="L987" s="10" t="n">
        <x:f>K987*'Assumptions'!$U$113</x:f>
        <x:v>223.35541569187083</x:v>
      </x:c>
      <x:c r="M987" s="10" t="n">
        <x:f>K987*'Assumptions'!$V$113</x:f>
        <x:v>0</x:v>
      </x:c>
      <x:c r="N987" s="10" t="n">
        <x:f>K987-L987-M987</x:f>
        <x:v>7221.8251073704905</x:v>
      </x:c>
      <x:c r="O987" s="10" t="n">
        <x:f>H987*'Assumptions'!$P$113*'Assumptions'!$Q$113*'Assumptions'!$D$11*(1+'Assumptions'!$D$13)^(8-1)</x:f>
        <x:v>1138.7714307584242</x:v>
      </x:c>
      <x:c r="P987" s="10" t="n">
        <x:f>H987*'Assumptions'!$R$113*'Assumptions'!$D$11*(1+'Assumptions'!$D$13)^(8-1)</x:f>
        <x:v>0</x:v>
      </x:c>
      <x:c r="Q987" s="10" t="n">
        <x:f>J987*'Assumptions'!$S$113</x:f>
        <x:v>0</x:v>
      </x:c>
      <x:c r="R987" s="10" t="n">
        <x:f>H987*'Assumptions'!$Y$113*'Assumptions'!$Z$113*'Assumptions'!$D$11*(1+'Assumptions'!$D$13)^(8-1)</x:f>
        <x:v>1708.1571461376361</x:v>
      </x:c>
      <x:c r="S987" s="10" t="n">
        <x:f>IF(I987=0,0,J987*'Assumptions'!$W$113+H987*'Assumptions'!$X$113)</x:f>
        <x:v>271.4657581914085</x:v>
      </x:c>
      <x:c r="T987" s="10" t="n">
        <x:f>N987*'Assumptions'!$AA$113</x:f>
        <x:v>288.8730042948196</x:v>
      </x:c>
      <x:c r="U987" s="10" t="n">
        <x:f>'Assumptions'!$AE$113*'Assumptions'!$D$11*(1+'Assumptions'!$D$13)^(8-1)</x:f>
        <x:v>0</x:v>
      </x:c>
      <x:c r="V987" s="10" t="n">
        <x:f>0</x:f>
        <x:v>0</x:v>
      </x:c>
      <x:c r="W987" s="10" t="n">
        <x:f>H987*('Assumptions'!$P$113+'Assumptions'!$Y$113)</x:f>
        <x:v>64.8147768597</x:v>
      </x:c>
      <x:c r="X987" s="10" t="n">
        <x:f>N987/12*'Assumptions'!$AF$113</x:f>
        <x:v>601.8187589475409</x:v>
      </x:c>
      <x:c r="Y987" s="10" t="n">
        <x:f>P987/12</x:f>
        <x:v>0</x:v>
      </x:c>
      <x:c r="Z987" s="10" t="n">
        <x:f>0</x:f>
        <x:v>0</x:v>
      </x:c>
      <x:c r="AA987" s="10" t="n">
        <x:f>Z987*'Assumptions'!$AC$113*'Assumptions'!$D$11*(1+'Assumptions'!$D$13)^(8-1)</x:f>
        <x:v>0</x:v>
      </x:c>
      <x:c r="AB987" s="10" t="n">
        <x:f>F987/1</x:f>
        <x:v>95.99169604200002</x:v>
      </x:c>
      <x:c r="AC987" s="10" t="n">
        <x:f>AB987/'Assumptions'!$AM$113</x:f>
        <x:v>479.95848021000006</x:v>
      </x:c>
      <x:c r="AD987" s="10" t="n">
        <x:f>IF(AB987=0,0,T987/AB987)</x:f>
        <x:v>3.009354102550982</x:v>
      </x:c>
      <x:c r="AE987" s="10" t="n">
        <x:f>AA987*'Assumptions'!$D$21</x:f>
        <x:v>0</x:v>
      </x:c>
    </x:row>
    <x:row r="988" ht="16" customHeight="1">
      <x:c r="A988" s="1"/>
      <x:c r="B988" s="1"/>
      <x:c r="C988" s="1" t="str">
        <x:v>DOT-085</x:v>
      </x:c>
      <x:c r="D988" s="10" t="str">
        <x:v>Semajes Studio</x:v>
      </x:c>
      <x:c r="E988" s="10" t="n">
        <x:v>8</x:v>
      </x:c>
      <x:c r="F988" s="21" t="n">
        <x:f>F860*(1+'Assumptions'!$M$114)</x:f>
        <x:v>28.797508812600004</x:v>
      </x:c>
      <x:c r="G988" s="21" t="n">
        <x:f>H860*'Assumptions'!$K$114</x:f>
        <x:v>26.758014210000006</x:v>
      </x:c>
      <x:c r="H988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988+G988,NA())</x:f>
        <x:v>55.55552302260001</x:v>
      </x:c>
      <x:c r="I988" s="22" t="n">
        <x:f>'Assumptions'!$H$114*IF('Assumptions'!$O$114=1,1,'Assumptions'!$D$10)*(1+'Assumptions'!$N$114)^(8-1)</x:f>
        <x:v>172.302850147392</x:v>
      </x:c>
      <x:c r="J988" s="10" t="n">
        <x:f>H988*I988</x:f>
        <x:v>9572.374958223038</x:v>
      </x:c>
      <x:c r="K988" s="10" t="n">
        <x:f>J988*'Assumptions'!$T$114</x:f>
        <x:v>9572.374958223038</x:v>
      </x:c>
      <x:c r="L988" s="10" t="n">
        <x:f>K988*'Assumptions'!$U$114</x:f>
        <x:v>287.1712487466911</x:v>
      </x:c>
      <x:c r="M988" s="10" t="n">
        <x:f>K988*'Assumptions'!$V$114</x:f>
        <x:v>0</x:v>
      </x:c>
      <x:c r="N988" s="10" t="n">
        <x:f>K988-L988-M988</x:f>
        <x:v>9285.203709476347</x:v>
      </x:c>
      <x:c r="O988" s="10" t="n">
        <x:f>H988*'Assumptions'!$P$114*'Assumptions'!$Q$114*'Assumptions'!$D$11*(1+'Assumptions'!$D$13)^(8-1)</x:f>
        <x:v>854.0785730688181</x:v>
      </x:c>
      <x:c r="P988" s="10" t="n">
        <x:f>H988*'Assumptions'!$R$114*'Assumptions'!$D$11*(1+'Assumptions'!$D$13)^(8-1)</x:f>
        <x:v>0</x:v>
      </x:c>
      <x:c r="Q988" s="10" t="n">
        <x:f>J988*'Assumptions'!$S$114</x:f>
        <x:v>0</x:v>
      </x:c>
      <x:c r="R988" s="10" t="n">
        <x:f>H988*'Assumptions'!$Y$114*'Assumptions'!$Z$114*'Assumptions'!$D$11*(1+'Assumptions'!$D$13)^(8-1)</x:f>
        <x:v>512.4471438412909</x:v>
      </x:c>
      <x:c r="S988" s="10" t="n">
        <x:f>IF(I988=0,0,J988*'Assumptions'!$W$114+H988*'Assumptions'!$X$114)</x:f>
        <x:v>294.2655306952481</x:v>
      </x:c>
      <x:c r="T988" s="10" t="n">
        <x:f>N988*'Assumptions'!$AA$114</x:f>
        <x:v>371.4081483790539</x:v>
      </x:c>
      <x:c r="U988" s="10" t="n">
        <x:f>'Assumptions'!$AE$114*'Assumptions'!$D$11*(1+'Assumptions'!$D$13)^(8-1)</x:f>
        <x:v>0</x:v>
      </x:c>
      <x:c r="V988" s="10" t="n">
        <x:f>0</x:f>
        <x:v>0</x:v>
      </x:c>
      <x:c r="W988" s="10" t="n">
        <x:f>H988*('Assumptions'!$P$114+'Assumptions'!$Y$114)</x:f>
        <x:v>27.777761511300007</x:v>
      </x:c>
      <x:c r="X988" s="10" t="n">
        <x:f>N988/12*'Assumptions'!$AF$114</x:f>
        <x:v>773.7669757896956</x:v>
      </x:c>
      <x:c r="Y988" s="10" t="n">
        <x:f>P988/12</x:f>
        <x:v>0</x:v>
      </x:c>
      <x:c r="Z988" s="10" t="n">
        <x:f>0</x:f>
        <x:v>0</x:v>
      </x:c>
      <x:c r="AA988" s="10" t="n">
        <x:f>Z988*'Assumptions'!$AC$114*'Assumptions'!$D$11*(1+'Assumptions'!$D$13)^(8-1)</x:f>
        <x:v>0</x:v>
      </x:c>
      <x:c r="AB988" s="10" t="n">
        <x:f>F988/1</x:f>
        <x:v>28.797508812600004</x:v>
      </x:c>
      <x:c r="AC988" s="10" t="n">
        <x:f>AB988/'Assumptions'!$AM$114</x:f>
        <x:v>143.987544063</x:v>
      </x:c>
      <x:c r="AD988" s="10" t="n">
        <x:f>IF(AB988=0,0,T988/AB988)</x:f>
        <x:v>12.897231868075641</x:v>
      </x:c>
      <x:c r="AE988" s="10" t="n">
        <x:f>AA988*'Assumptions'!$D$21</x:f>
        <x:v>0</x:v>
      </x:c>
    </x:row>
    <x:row r="989" ht="16" customHeight="1">
      <x:c r="A989" s="1"/>
      <x:c r="B989" s="1"/>
      <x:c r="C989" s="1" t="str">
        <x:v>DOT-086</x:v>
      </x:c>
      <x:c r="D989" s="10" t="str">
        <x:v>Semajes Studio</x:v>
      </x:c>
      <x:c r="E989" s="10" t="n">
        <x:v>8</x:v>
      </x:c>
      <x:c r="F989" s="21" t="n">
        <x:f>F861*(1+'Assumptions'!$M$115)</x:f>
        <x:v>14.398754406300002</x:v>
      </x:c>
      <x:c r="G989" s="21" t="n">
        <x:f>H861*'Assumptions'!$K$115</x:f>
        <x:v>13.379007105000003</x:v>
      </x:c>
      <x:c r="H989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989+G989,NA())</x:f>
        <x:v>27.777761511300007</x:v>
      </x:c>
      <x:c r="I989" s="22" t="n">
        <x:f>'Assumptions'!$H$115*IF('Assumptions'!$O$115=1,1,'Assumptions'!$D$10)*(1+'Assumptions'!$N$115)^(8-1)</x:f>
        <x:v>574.34283382464</x:v>
      </x:c>
      <x:c r="J989" s="10" t="n">
        <x:f>H989*I989</x:f>
        <x:v>15953.95826370506</x:v>
      </x:c>
      <x:c r="K989" s="10" t="n">
        <x:f>J989*'Assumptions'!$T$115</x:f>
        <x:v>15953.95826370506</x:v>
      </x:c>
      <x:c r="L989" s="10" t="n">
        <x:f>K989*'Assumptions'!$U$115</x:f>
        <x:v>478.6187479111518</x:v>
      </x:c>
      <x:c r="M989" s="10" t="n">
        <x:f>K989*'Assumptions'!$V$115</x:f>
        <x:v>0</x:v>
      </x:c>
      <x:c r="N989" s="10" t="n">
        <x:f>K989-L989-M989</x:f>
        <x:v>15475.339515793909</x:v>
      </x:c>
      <x:c r="O989" s="10" t="n">
        <x:f>H989*'Assumptions'!$P$115*'Assumptions'!$Q$115*'Assumptions'!$D$11*(1+'Assumptions'!$D$13)^(8-1)</x:f>
        <x:v>1708.1571461376361</x:v>
      </x:c>
      <x:c r="P989" s="10" t="n">
        <x:f>H989*'Assumptions'!$R$115*'Assumptions'!$D$11*(1+'Assumptions'!$D$13)^(8-1)</x:f>
        <x:v>0</x:v>
      </x:c>
      <x:c r="Q989" s="10" t="n">
        <x:f>J989*'Assumptions'!$S$115</x:f>
        <x:v>0</x:v>
      </x:c>
      <x:c r="R989" s="10" t="n">
        <x:f>H989*'Assumptions'!$Y$115*'Assumptions'!$Z$115*'Assumptions'!$D$11*(1+'Assumptions'!$D$13)^(8-1)</x:f>
        <x:v>256.22357192064544</x:v>
      </x:c>
      <x:c r="S989" s="10" t="n">
        <x:f>IF(I989=0,0,J989*'Assumptions'!$W$115+H989*'Assumptions'!$X$115)</x:f>
        <x:v>470.9981181008368</x:v>
      </x:c>
      <x:c r="T989" s="10" t="n">
        <x:f>N989*'Assumptions'!$AA$115</x:f>
        <x:v>619.0135806317563</x:v>
      </x:c>
      <x:c r="U989" s="10" t="n">
        <x:f>'Assumptions'!$AE$115*'Assumptions'!$D$11*(1+'Assumptions'!$D$13)^(8-1)</x:f>
        <x:v>0</x:v>
      </x:c>
      <x:c r="V989" s="10" t="n">
        <x:f>0</x:f>
        <x:v>0</x:v>
      </x:c>
      <x:c r="W989" s="10" t="n">
        <x:f>H989*('Assumptions'!$P$115+'Assumptions'!$Y$115)</x:f>
        <x:v>34.72220188912501</x:v>
      </x:c>
      <x:c r="X989" s="10" t="n">
        <x:f>N989/12*'Assumptions'!$AF$115</x:f>
        <x:v>1289.6116263161591</x:v>
      </x:c>
      <x:c r="Y989" s="10" t="n">
        <x:f>P989/12</x:f>
        <x:v>0</x:v>
      </x:c>
      <x:c r="Z989" s="10" t="n">
        <x:f>0</x:f>
        <x:v>0</x:v>
      </x:c>
      <x:c r="AA989" s="10" t="n">
        <x:f>Z989*'Assumptions'!$AC$115*'Assumptions'!$D$11*(1+'Assumptions'!$D$13)^(8-1)</x:f>
        <x:v>0</x:v>
      </x:c>
      <x:c r="AB989" s="10" t="n">
        <x:f>F989/1</x:f>
        <x:v>14.398754406300002</x:v>
      </x:c>
      <x:c r="AC989" s="10" t="n">
        <x:f>AB989/'Assumptions'!$AM$115</x:f>
        <x:v>71.9937720315</x:v>
      </x:c>
      <x:c r="AD989" s="10" t="n">
        <x:f>IF(AB989=0,0,T989/AB989)</x:f>
        <x:v>42.99077289358546</x:v>
      </x:c>
      <x:c r="AE989" s="10" t="n">
        <x:f>AA989*'Assumptions'!$D$21</x:f>
        <x:v>0</x:v>
      </x:c>
    </x:row>
    <x:row r="990" ht="16" customHeight="1">
      <x:c r="A990" s="1"/>
      <x:c r="B990" s="1"/>
      <x:c r="C990" s="1" t="str">
        <x:v>DOT-087</x:v>
      </x:c>
      <x:c r="D990" s="10" t="str">
        <x:v>Semajes Studio</x:v>
      </x:c>
      <x:c r="E990" s="10" t="n">
        <x:v>8</x:v>
      </x:c>
      <x:c r="F990" s="21" t="n">
        <x:f>F862*(1+'Assumptions'!$M$116)</x:f>
        <x:v>144.43187553435655</x:v>
      </x:c>
      <x:c r="G990" s="21" t="n">
        <x:f>H862*'Assumptions'!$K$116</x:f>
        <x:v>59.18918748353282</x:v>
      </x:c>
      <x:c r="H990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990+G990,NA())</x:f>
        <x:v>203.62106301788936</x:v>
      </x:c>
      <x:c r="I990" s="22" t="n">
        <x:f>'Assumptions'!$H$116*IF('Assumptions'!$O$116=1,1,'Assumptions'!$D$10)*(1+'Assumptions'!$N$116)^(8-1)</x:f>
        <x:v>109.1251384266816</x:v>
      </x:c>
      <x:c r="J990" s="10" t="n">
        <x:f>H990*I990</x:f>
        <x:v>22220.176688415235</x:v>
      </x:c>
      <x:c r="K990" s="10" t="n">
        <x:f>J990*'Assumptions'!$T$116</x:f>
        <x:v>22220.176688415235</x:v>
      </x:c>
      <x:c r="L990" s="10" t="n">
        <x:f>K990*'Assumptions'!$U$116</x:f>
        <x:v>666.605300652457</x:v>
      </x:c>
      <x:c r="M990" s="10" t="n">
        <x:f>K990*'Assumptions'!$V$116</x:f>
        <x:v>444.4035337683047</x:v>
      </x:c>
      <x:c r="N990" s="10" t="n">
        <x:f>K990-L990-M990</x:f>
        <x:v>21109.167853994473</x:v>
      </x:c>
      <x:c r="O990" s="10" t="n">
        <x:f>H990*'Assumptions'!$P$116*'Assumptions'!$Q$116*'Assumptions'!$D$11*(1+'Assumptions'!$D$13)^(8-1)</x:f>
        <x:v>1878.211678917995</x:v>
      </x:c>
      <x:c r="P990" s="10" t="n">
        <x:f>H990*'Assumptions'!$R$116*'Assumptions'!$D$11*(1+'Assumptions'!$D$13)^(8-1)</x:f>
        <x:v>8764.987834950643</x:v>
      </x:c>
      <x:c r="Q990" s="10" t="n">
        <x:f>J990*'Assumptions'!$S$116</x:f>
        <x:v>0</x:v>
      </x:c>
      <x:c r="R990" s="10" t="n">
        <x:f>H990*'Assumptions'!$Y$116*'Assumptions'!$Z$116*'Assumptions'!$D$11*(1+'Assumptions'!$D$13)^(8-1)</x:f>
        <x:v>1126.9270073507969</x:v>
      </x:c>
      <x:c r="S990" s="10" t="n">
        <x:f>IF(I990=0,0,J990*'Assumptions'!$W$116+H990*'Assumptions'!$X$116)</x:f>
        <x:v>705.4714428694087</x:v>
      </x:c>
      <x:c r="T990" s="10" t="n">
        <x:f>N990*'Assumptions'!$AA$116</x:f>
        <x:v>1688.7334283195578</x:v>
      </x:c>
      <x:c r="U990" s="10" t="n">
        <x:f>'Assumptions'!$AE$116*'Assumptions'!$D$11*(1+'Assumptions'!$D$13)^(8-1)</x:f>
        <x:v>0</x:v>
      </x:c>
      <x:c r="V990" s="10" t="n">
        <x:f>0</x:f>
        <x:v>0</x:v>
      </x:c>
      <x:c r="W990" s="10" t="n">
        <x:f>H990*('Assumptions'!$P$116+'Assumptions'!$Y$116)</x:f>
        <x:v>61.0863189053668</x:v>
      </x:c>
      <x:c r="X990" s="10" t="n">
        <x:f>N990/12*'Assumptions'!$AF$116</x:f>
        <x:v>0</x:v>
      </x:c>
      <x:c r="Y990" s="10" t="n">
        <x:f>P990/12</x:f>
        <x:v>730.4156529125536</x:v>
      </x:c>
      <x:c r="Z990" s="10" t="n">
        <x:f>0</x:f>
        <x:v>0</x:v>
      </x:c>
      <x:c r="AA990" s="10" t="n">
        <x:f>Z990*'Assumptions'!$AC$116*'Assumptions'!$D$11*(1+'Assumptions'!$D$13)^(8-1)</x:f>
        <x:v>0</x:v>
      </x:c>
      <x:c r="AB990" s="10" t="n">
        <x:f>F990/1</x:f>
        <x:v>144.43187553435655</x:v>
      </x:c>
      <x:c r="AC990" s="10" t="n">
        <x:f>AB990/'Assumptions'!$AM$116</x:f>
        <x:v>4814.395851145218</x:v>
      </x:c>
      <x:c r="AD990" s="10" t="n">
        <x:f>IF(AB990=0,0,T990/AB990)</x:f>
        <x:v>11.692248834073006</x:v>
      </x:c>
      <x:c r="AE990" s="10" t="n">
        <x:f>AA990*'Assumptions'!$D$21</x:f>
        <x:v>0</x:v>
      </x:c>
    </x:row>
    <x:row r="991" ht="16" customHeight="1">
      <x:c r="A991" s="1"/>
      <x:c r="B991" s="1"/>
      <x:c r="C991" s="1" t="str">
        <x:v>DOT-088</x:v>
      </x:c>
      <x:c r="D991" s="10" t="str">
        <x:v>Semajes Studio</x:v>
      </x:c>
      <x:c r="E991" s="10" t="n">
        <x:v>8</x:v>
      </x:c>
      <x:c r="F991" s="21" t="n">
        <x:f>F863*(1+'Assumptions'!$M$117)</x:f>
        <x:v>72.21593776717827</x:v>
      </x:c>
      <x:c r="G991" s="21" t="n">
        <x:f>H863*'Assumptions'!$K$117</x:f>
        <x:v>29.59459374176641</x:v>
      </x:c>
      <x:c r="H991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991+G991,NA())</x:f>
        <x:v>101.81053150894468</x:v>
      </x:c>
      <x:c r="I991" s="22" t="n">
        <x:f>'Assumptions'!$H$117*IF('Assumptions'!$O$117=1,1,'Assumptions'!$D$10)*(1+'Assumptions'!$N$117)^(8-1)</x:f>
        <x:v>287.17141691232</x:v>
      </x:c>
      <x:c r="J991" s="10" t="n">
        <x:f>H991*I991</x:f>
        <x:v>29237.074590020045</x:v>
      </x:c>
      <x:c r="K991" s="10" t="n">
        <x:f>J991*'Assumptions'!$T$117</x:f>
        <x:v>29237.074590020045</x:v>
      </x:c>
      <x:c r="L991" s="10" t="n">
        <x:f>K991*'Assumptions'!$U$117</x:f>
        <x:v>877.1122377006013</x:v>
      </x:c>
      <x:c r="M991" s="10" t="n">
        <x:f>K991*'Assumptions'!$V$117</x:f>
        <x:v>584.7414918004009</x:v>
      </x:c>
      <x:c r="N991" s="10" t="n">
        <x:f>K991-L991-M991</x:f>
        <x:v>27775.220860519046</x:v>
      </x:c>
      <x:c r="O991" s="10" t="n">
        <x:f>H991*'Assumptions'!$P$117*'Assumptions'!$Q$117*'Assumptions'!$D$11*(1+'Assumptions'!$D$13)^(8-1)</x:f>
        <x:v>1565.1763990983293</x:v>
      </x:c>
      <x:c r="P991" s="10" t="n">
        <x:f>H991*'Assumptions'!$R$117*'Assumptions'!$D$11*(1+'Assumptions'!$D$13)^(8-1)</x:f>
        <x:v>13773.552312065296</x:v>
      </x:c>
      <x:c r="Q991" s="10" t="n">
        <x:f>J991*'Assumptions'!$S$117</x:f>
        <x:v>0</x:v>
      </x:c>
      <x:c r="R991" s="10" t="n">
        <x:f>H991*'Assumptions'!$Y$117*'Assumptions'!$Z$117*'Assumptions'!$D$11*(1+'Assumptions'!$D$13)^(8-1)</x:f>
        <x:v>563.4635036753984</x:v>
      </x:c>
      <x:c r="S991" s="10" t="n">
        <x:f>IF(I991=0,0,J991*'Assumptions'!$W$117+H991*'Assumptions'!$X$117)</x:f>
        <x:v>878.4183225632648</x:v>
      </x:c>
      <x:c r="T991" s="10" t="n">
        <x:f>N991*'Assumptions'!$AA$117</x:f>
        <x:v>2222.0176688415236</x:v>
      </x:c>
      <x:c r="U991" s="10" t="n">
        <x:f>'Assumptions'!$AE$117*'Assumptions'!$D$11*(1+'Assumptions'!$D$13)^(8-1)</x:f>
        <x:v>0</x:v>
      </x:c>
      <x:c r="V991" s="10" t="n">
        <x:f>0</x:f>
        <x:v>0</x:v>
      </x:c>
      <x:c r="W991" s="10" t="n">
        <x:f>H991*('Assumptions'!$P$117+'Assumptions'!$Y$117)</x:f>
        <x:v>40.724212603577875</x:v>
      </x:c>
      <x:c r="X991" s="10" t="n">
        <x:f>N991/12*'Assumptions'!$AF$117</x:f>
        <x:v>0</x:v>
      </x:c>
      <x:c r="Y991" s="10" t="n">
        <x:f>P991/12</x:f>
        <x:v>1147.7960260054413</x:v>
      </x:c>
      <x:c r="Z991" s="10" t="n">
        <x:f>0</x:f>
        <x:v>0</x:v>
      </x:c>
      <x:c r="AA991" s="10" t="n">
        <x:f>Z991*'Assumptions'!$AC$117*'Assumptions'!$D$11*(1+'Assumptions'!$D$13)^(8-1)</x:f>
        <x:v>0</x:v>
      </x:c>
      <x:c r="AB991" s="10" t="n">
        <x:f>F991/1</x:f>
        <x:v>72.21593776717827</x:v>
      </x:c>
      <x:c r="AC991" s="10" t="n">
        <x:f>AB991/'Assumptions'!$AM$117</x:f>
        <x:v>2407.197925572609</x:v>
      </x:c>
      <x:c r="AD991" s="10" t="n">
        <x:f>IF(AB991=0,0,T991/AB991)</x:f>
        <x:v>30.76907587913949</x:v>
      </x:c>
      <x:c r="AE991" s="10" t="n">
        <x:f>AA991*'Assumptions'!$D$21</x:f>
        <x:v>0</x:v>
      </x:c>
    </x:row>
    <x:row r="992" ht="16" customHeight="1">
      <x:c r="A992" s="1"/>
      <x:c r="B992" s="1"/>
      <x:c r="C992" s="1" t="str">
        <x:v>DOT-089</x:v>
      </x:c>
      <x:c r="D992" s="10" t="str">
        <x:v>Semajes Studio</x:v>
      </x:c>
      <x:c r="E992" s="10" t="n">
        <x:v>8</x:v>
      </x:c>
      <x:c r="F992" s="21" t="n">
        <x:f>F864*(1+'Assumptions'!$M$118)</x:f>
        <x:v>28.886375106871302</x:v>
      </x:c>
      <x:c r="G992" s="21" t="n">
        <x:f>H864*'Assumptions'!$K$118</x:f>
        <x:v>11.83783749670656</x:v>
      </x:c>
      <x:c r="H992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992+G992,NA())</x:f>
        <x:v>40.72421260357786</x:v>
      </x:c>
      <x:c r="I992" s="22" t="n">
        <x:f>'Assumptions'!$H$118*IF('Assumptions'!$O$118=1,1,'Assumptions'!$D$10)*(1+'Assumptions'!$N$118)^(8-1)</x:f>
        <x:v>201.019991838624</x:v>
      </x:c>
      <x:c r="J992" s="10" t="n">
        <x:f>H992*I992</x:f>
        <x:v>8186.380885205611</x:v>
      </x:c>
      <x:c r="K992" s="10" t="n">
        <x:f>J992*'Assumptions'!$T$118</x:f>
        <x:v>8186.380885205611</x:v>
      </x:c>
      <x:c r="L992" s="10" t="n">
        <x:f>K992*'Assumptions'!$U$118</x:f>
        <x:v>245.59142655616833</x:v>
      </x:c>
      <x:c r="M992" s="10" t="n">
        <x:f>K992*'Assumptions'!$V$118</x:f>
        <x:v>163.72761770411222</x:v>
      </x:c>
      <x:c r="N992" s="10" t="n">
        <x:f>K992-L992-M992</x:f>
        <x:v>7777.06184094533</x:v>
      </x:c>
      <x:c r="O992" s="10" t="n">
        <x:f>H992*'Assumptions'!$P$118*'Assumptions'!$Q$118*'Assumptions'!$D$11*(1+'Assumptions'!$D$13)^(8-1)</x:f>
        <x:v>1252.1411192786632</x:v>
      </x:c>
      <x:c r="P992" s="10" t="n">
        <x:f>H992*'Assumptions'!$R$118*'Assumptions'!$D$11*(1+'Assumptions'!$D$13)^(8-1)</x:f>
        <x:v>4507.708029403187</x:v>
      </x:c>
      <x:c r="Q992" s="10" t="n">
        <x:f>J992*'Assumptions'!$S$118</x:f>
        <x:v>0</x:v>
      </x:c>
      <x:c r="R992" s="10" t="n">
        <x:f>H992*'Assumptions'!$Y$118*'Assumptions'!$Z$118*'Assumptions'!$D$11*(1+'Assumptions'!$D$13)^(8-1)</x:f>
        <x:v>225.38540147015934</x:v>
      </x:c>
      <x:c r="S992" s="10" t="n">
        <x:f>IF(I992=0,0,J992*'Assumptions'!$W$118+H992*'Assumptions'!$X$118)</x:f>
        <x:v>249.6223094520361</x:v>
      </x:c>
      <x:c r="T992" s="10" t="n">
        <x:f>N992*'Assumptions'!$AA$118</x:f>
        <x:v>622.1649472756264</x:v>
      </x:c>
      <x:c r="U992" s="10" t="n">
        <x:f>'Assumptions'!$AE$118*'Assumptions'!$D$11*(1+'Assumptions'!$D$13)^(8-1)</x:f>
        <x:v>0</x:v>
      </x:c>
      <x:c r="V992" s="10" t="n">
        <x:f>0</x:f>
        <x:v>0</x:v>
      </x:c>
      <x:c r="W992" s="10" t="n">
        <x:f>H992*('Assumptions'!$P$118+'Assumptions'!$Y$118)</x:f>
        <x:v>26.470738192325612</x:v>
      </x:c>
      <x:c r="X992" s="10" t="n">
        <x:f>N992/12*'Assumptions'!$AF$118</x:f>
        <x:v>0</x:v>
      </x:c>
      <x:c r="Y992" s="10" t="n">
        <x:f>P992/12</x:f>
        <x:v>375.64233578359887</x:v>
      </x:c>
      <x:c r="Z992" s="10" t="n">
        <x:f>0</x:f>
        <x:v>0</x:v>
      </x:c>
      <x:c r="AA992" s="10" t="n">
        <x:f>Z992*'Assumptions'!$AC$118*'Assumptions'!$D$11*(1+'Assumptions'!$D$13)^(8-1)</x:f>
        <x:v>0</x:v>
      </x:c>
      <x:c r="AB992" s="10" t="n">
        <x:f>F992/1</x:f>
        <x:v>28.886375106871302</x:v>
      </x:c>
      <x:c r="AC992" s="10" t="n">
        <x:f>AB992/'Assumptions'!$AM$118</x:f>
        <x:v>962.8791702290434</x:v>
      </x:c>
      <x:c r="AD992" s="10" t="n">
        <x:f>IF(AB992=0,0,T992/AB992)</x:f>
        <x:v>21.538353115397644</x:v>
      </x:c>
      <x:c r="AE992" s="10" t="n">
        <x:f>AA992*'Assumptions'!$D$21</x:f>
        <x:v>0</x:v>
      </x:c>
    </x:row>
    <x:row r="993" ht="16" customHeight="1">
      <x:c r="A993" s="1"/>
      <x:c r="B993" s="1"/>
      <x:c r="C993" s="1" t="str">
        <x:v>DOT-090</x:v>
      </x:c>
      <x:c r="D993" s="10" t="str">
        <x:v>Semajes Marketplace</x:v>
      </x:c>
      <x:c r="E993" s="10" t="n">
        <x:v>8</x:v>
      </x:c>
      <x:c r="F993" s="21" t="n">
        <x:f>F865*(1+'Assumptions'!$M$119)</x:f>
        <x:v>81.57163345920002</x:v>
      </x:c>
      <x:c r="G993" s="21" t="n">
        <x:f>H865*'Assumptions'!$K$119</x:f>
        <x:v>152.39008276799998</x:v>
      </x:c>
      <x:c r="H993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993+G993,NA())</x:f>
        <x:v>233.9617162272</x:v>
      </x:c>
      <x:c r="I993" s="22" t="n">
        <x:f>'Assumptions'!$H$119*IF('Assumptions'!$O$119=1,1,'Assumptions'!$D$10)*(1+'Assumptions'!$N$119)^(8-1)</x:f>
        <x:v>689.211400589568</x:v>
      </x:c>
      <x:c r="J993" s="10" t="n">
        <x:f>H993*I993</x:f>
        <x:v>161249.08212528756</x:v>
      </x:c>
      <x:c r="K993" s="10" t="n">
        <x:f>J993*'Assumptions'!$T$119</x:f>
        <x:v>24187.362318793133</x:v>
      </x:c>
      <x:c r="L993" s="10" t="n">
        <x:f>K993*'Assumptions'!$U$119</x:f>
        <x:v>725.620869563794</x:v>
      </x:c>
      <x:c r="M993" s="10" t="n">
        <x:f>K993*'Assumptions'!$V$119</x:f>
        <x:v>0</x:v>
      </x:c>
      <x:c r="N993" s="10" t="n">
        <x:f>K993-L993-M993</x:f>
        <x:v>23461.74144922934</x:v>
      </x:c>
      <x:c r="O993" s="10" t="n">
        <x:f>H993*'Assumptions'!$P$119*'Assumptions'!$Q$119*'Assumptions'!$D$11*(1+'Assumptions'!$D$13)^(8-1)</x:f>
        <x:v>2517.7547526056014</x:v>
      </x:c>
      <x:c r="P993" s="10" t="n">
        <x:f>H993*'Assumptions'!$R$119*'Assumptions'!$D$11*(1+'Assumptions'!$D$13)^(8-1)</x:f>
        <x:v>0</x:v>
      </x:c>
      <x:c r="Q993" s="10" t="n">
        <x:f>J993*'Assumptions'!$S$119</x:f>
        <x:v>0</x:v>
      </x:c>
      <x:c r="R993" s="10" t="n">
        <x:f>H993*'Assumptions'!$Y$119*'Assumptions'!$Z$119*'Assumptions'!$D$11*(1+'Assumptions'!$D$13)^(8-1)</x:f>
        <x:v>1294.8453013400238</x:v>
      </x:c>
      <x:c r="S993" s="10" t="n">
        <x:f>IF(I993=0,0,J993*'Assumptions'!$W$119+H993*'Assumptions'!$X$119)</x:f>
        <x:v>4746.4118965014995</x:v>
      </x:c>
      <x:c r="T993" s="10" t="n">
        <x:f>N993*'Assumptions'!$AA$119</x:f>
        <x:v>1173.087072461467</x:v>
      </x:c>
      <x:c r="U993" s="10" t="n">
        <x:f>'Assumptions'!$AE$119*'Assumptions'!$D$11*(1+'Assumptions'!$D$13)^(8-1)</x:f>
        <x:v>295.16972770196884</x:v>
      </x:c>
      <x:c r="V993" s="10" t="n">
        <x:f>0</x:f>
        <x:v>0</x:v>
      </x:c>
      <x:c r="W993" s="10" t="n">
        <x:f>H993*('Assumptions'!$P$119+'Assumptions'!$Y$119)</x:f>
        <x:v>93.58468649088</x:v>
      </x:c>
      <x:c r="X993" s="10" t="n">
        <x:f>N993/12*'Assumptions'!$AF$119</x:f>
        <x:v>0</x:v>
      </x:c>
      <x:c r="Y993" s="10" t="n">
        <x:f>P993/12</x:f>
        <x:v>0</x:v>
      </x:c>
      <x:c r="Z993" s="10" t="n">
        <x:f>0</x:f>
        <x:v>0</x:v>
      </x:c>
      <x:c r="AA993" s="10" t="n">
        <x:f>Z993*'Assumptions'!$AC$119*'Assumptions'!$D$11*(1+'Assumptions'!$D$13)^(8-1)</x:f>
        <x:v>0</x:v>
      </x:c>
      <x:c r="AB993" s="10" t="n">
        <x:f>F993/1</x:f>
        <x:v>81.57163345920002</x:v>
      </x:c>
      <x:c r="AC993" s="10" t="n">
        <x:f>AB993/'Assumptions'!$AM$119</x:f>
        <x:v>1631.4326691840001</x:v>
      </x:c>
      <x:c r="AD993" s="10" t="n">
        <x:f>IF(AB993=0,0,T993/AB993)</x:f>
        <x:v>14.38106634272825</x:v>
      </x:c>
      <x:c r="AE993" s="10" t="n">
        <x:f>AA993*'Assumptions'!$D$21</x:f>
        <x:v>0</x:v>
      </x:c>
    </x:row>
    <x:row r="994" ht="16" customHeight="1">
      <x:c r="A994" s="1"/>
      <x:c r="B994" s="1"/>
      <x:c r="C994" s="1" t="str">
        <x:v>DOT-091</x:v>
      </x:c>
      <x:c r="D994" s="10" t="str">
        <x:v>Semajes Marketplace</x:v>
      </x:c>
      <x:c r="E994" s="10" t="n">
        <x:v>8</x:v>
      </x:c>
      <x:c r="F994" s="21" t="n">
        <x:f>F866*(1+'Assumptions'!$M$120)</x:f>
        <x:v>163.14326691840003</x:v>
      </x:c>
      <x:c r="G994" s="21" t="n">
        <x:f>H866*'Assumptions'!$K$120</x:f>
        <x:v>304.78016553599997</x:v>
      </x:c>
      <x:c r="H994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994+G994,NA())</x:f>
        <x:v>467.9234324544</x:v>
      </x:c>
      <x:c r="I994" s="22" t="n">
        <x:f>'Assumptions'!$H$120*IF('Assumptions'!$O$120=1,1,'Assumptions'!$D$10)*(1+'Assumptions'!$N$120)^(8-1)</x:f>
        <x:v>86.151425073696</x:v>
      </x:c>
      <x:c r="J994" s="10" t="n">
        <x:f>H994*I994</x:f>
        <x:v>40312.27053132189</x:v>
      </x:c>
      <x:c r="K994" s="10" t="n">
        <x:f>J994*'Assumptions'!$T$120</x:f>
        <x:v>8062.454106264378</x:v>
      </x:c>
      <x:c r="L994" s="10" t="n">
        <x:f>K994*'Assumptions'!$U$120</x:f>
        <x:v>241.87362318793134</x:v>
      </x:c>
      <x:c r="M994" s="10" t="n">
        <x:f>K994*'Assumptions'!$V$120</x:f>
        <x:v>0</x:v>
      </x:c>
      <x:c r="N994" s="10" t="n">
        <x:f>K994-L994-M994</x:f>
        <x:v>7820.580483076447</x:v>
      </x:c>
      <x:c r="O994" s="10" t="n">
        <x:f>H994*'Assumptions'!$P$120*'Assumptions'!$Q$120*'Assumptions'!$D$11*(1+'Assumptions'!$D$13)^(8-1)</x:f>
        <x:v>2014.2038020844814</x:v>
      </x:c>
      <x:c r="P994" s="10" t="n">
        <x:f>H994*'Assumptions'!$R$120*'Assumptions'!$D$11*(1+'Assumptions'!$D$13)^(8-1)</x:f>
        <x:v>0</x:v>
      </x:c>
      <x:c r="Q994" s="10" t="n">
        <x:f>J994*'Assumptions'!$S$120</x:f>
        <x:v>0</x:v>
      </x:c>
      <x:c r="R994" s="10" t="n">
        <x:f>H994*'Assumptions'!$Y$120*'Assumptions'!$Z$120*'Assumptions'!$D$11*(1+'Assumptions'!$D$13)^(8-1)</x:f>
        <x:v>2589.6906026800475</x:v>
      </x:c>
      <x:c r="S994" s="10" t="n">
        <x:f>IF(I994=0,0,J994*'Assumptions'!$W$120+H994*'Assumptions'!$X$120)</x:f>
        <x:v>1309.4328751446549</x:v>
      </x:c>
      <x:c r="T994" s="10" t="n">
        <x:f>N994*'Assumptions'!$AA$120</x:f>
        <x:v>391.0290241538224</x:v>
      </x:c>
      <x:c r="U994" s="10" t="n">
        <x:f>'Assumptions'!$AE$120*'Assumptions'!$D$11*(1+'Assumptions'!$D$13)^(8-1)</x:f>
        <x:v>0</x:v>
      </x:c>
      <x:c r="V994" s="10" t="n">
        <x:f>0</x:f>
        <x:v>0</x:v>
      </x:c>
      <x:c r="W994" s="10" t="n">
        <x:f>H994*('Assumptions'!$P$120+'Assumptions'!$Y$120)</x:f>
        <x:v>116.9808581136</x:v>
      </x:c>
      <x:c r="X994" s="10" t="n">
        <x:f>N994/12*'Assumptions'!$AF$120</x:f>
        <x:v>0</x:v>
      </x:c>
      <x:c r="Y994" s="10" t="n">
        <x:f>P994/12</x:f>
        <x:v>0</x:v>
      </x:c>
      <x:c r="Z994" s="10" t="n">
        <x:f>0</x:f>
        <x:v>0</x:v>
      </x:c>
      <x:c r="AA994" s="10" t="n">
        <x:f>Z994*'Assumptions'!$AC$120*'Assumptions'!$D$11*(1+'Assumptions'!$D$13)^(8-1)</x:f>
        <x:v>0</x:v>
      </x:c>
      <x:c r="AB994" s="10" t="n">
        <x:f>F994/1</x:f>
        <x:v>163.14326691840003</x:v>
      </x:c>
      <x:c r="AC994" s="10" t="n">
        <x:f>AB994/'Assumptions'!$AM$120</x:f>
        <x:v>3262.8653383680003</x:v>
      </x:c>
      <x:c r="AD994" s="10" t="n">
        <x:f>IF(AB994=0,0,T994/AB994)</x:f>
        <x:v>2.3968443904547088</x:v>
      </x:c>
      <x:c r="AE994" s="10" t="n">
        <x:f>AA994*'Assumptions'!$D$21</x:f>
        <x:v>0</x:v>
      </x:c>
    </x:row>
    <x:row r="995" ht="16" customHeight="1">
      <x:c r="A995" s="1"/>
      <x:c r="B995" s="1"/>
      <x:c r="C995" s="1" t="str">
        <x:v>DOT-092</x:v>
      </x:c>
      <x:c r="D995" s="10" t="str">
        <x:v>Semajes Marketplace</x:v>
      </x:c>
      <x:c r="E995" s="10" t="n">
        <x:v>8</x:v>
      </x:c>
      <x:c r="F995" s="21" t="n">
        <x:f>F867*(1+'Assumptions'!$M$121)</x:f>
        <x:v>81.57163345920002</x:v>
      </x:c>
      <x:c r="G995" s="21" t="n">
        <x:f>H867*'Assumptions'!$K$121</x:f>
        <x:v>152.39008276799998</x:v>
      </x:c>
      <x:c r="H995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995+G995,NA())</x:f>
        <x:v>233.9617162272</x:v>
      </x:c>
      <x:c r="I995" s="22" t="n">
        <x:f>'Assumptions'!$H$121*IF('Assumptions'!$O$121=1,1,'Assumptions'!$D$10)*(1+'Assumptions'!$N$121)^(8-1)</x:f>
        <x:v>287.17141691232</x:v>
      </x:c>
      <x:c r="J995" s="10" t="n">
        <x:f>H995*I995</x:f>
        <x:v>67187.11755220316</x:v>
      </x:c>
      <x:c r="K995" s="10" t="n">
        <x:f>J995*'Assumptions'!$T$121</x:f>
        <x:v>13437.423510440633</x:v>
      </x:c>
      <x:c r="L995" s="10" t="n">
        <x:f>K995*'Assumptions'!$U$121</x:f>
        <x:v>403.12270531321894</x:v>
      </x:c>
      <x:c r="M995" s="10" t="n">
        <x:f>K995*'Assumptions'!$V$121</x:f>
        <x:v>0</x:v>
      </x:c>
      <x:c r="N995" s="10" t="n">
        <x:f>K995-L995-M995</x:f>
        <x:v>13034.300805127414</x:v>
      </x:c>
      <x:c r="O995" s="10" t="n">
        <x:f>H995*'Assumptions'!$P$121*'Assumptions'!$Q$121*'Assumptions'!$D$11*(1+'Assumptions'!$D$13)^(8-1)</x:f>
        <x:v>1510.6528515633609</x:v>
      </x:c>
      <x:c r="P995" s="10" t="n">
        <x:f>H995*'Assumptions'!$R$121*'Assumptions'!$D$11*(1+'Assumptions'!$D$13)^(8-1)</x:f>
        <x:v>0</x:v>
      </x:c>
      <x:c r="Q995" s="10" t="n">
        <x:f>J995*'Assumptions'!$S$121</x:f>
        <x:v>0</x:v>
      </x:c>
      <x:c r="R995" s="10" t="n">
        <x:f>H995*'Assumptions'!$Y$121*'Assumptions'!$Z$121*'Assumptions'!$D$11*(1+'Assumptions'!$D$13)^(8-1)</x:f>
        <x:v>1294.8453013400238</x:v>
      </x:c>
      <x:c r="S995" s="10" t="n">
        <x:f>IF(I995=0,0,J995*'Assumptions'!$W$121+H995*'Assumptions'!$X$121)</x:f>
        <x:v>2018.6149238820515</x:v>
      </x:c>
      <x:c r="T995" s="10" t="n">
        <x:f>N995*'Assumptions'!$AA$121</x:f>
        <x:v>651.7150402563707</x:v>
      </x:c>
      <x:c r="U995" s="10" t="n">
        <x:f>'Assumptions'!$AE$121*'Assumptions'!$D$11*(1+'Assumptions'!$D$13)^(8-1)</x:f>
        <x:v>0</x:v>
      </x:c>
      <x:c r="V995" s="10" t="n">
        <x:f>0</x:f>
        <x:v>0</x:v>
      </x:c>
      <x:c r="W995" s="10" t="n">
        <x:f>H995*('Assumptions'!$P$121+'Assumptions'!$Y$121)</x:f>
        <x:v>70.18851486816</x:v>
      </x:c>
      <x:c r="X995" s="10" t="n">
        <x:f>N995/12*'Assumptions'!$AF$121</x:f>
        <x:v>0</x:v>
      </x:c>
      <x:c r="Y995" s="10" t="n">
        <x:f>P995/12</x:f>
        <x:v>0</x:v>
      </x:c>
      <x:c r="Z995" s="10" t="n">
        <x:f>0</x:f>
        <x:v>0</x:v>
      </x:c>
      <x:c r="AA995" s="10" t="n">
        <x:f>Z995*'Assumptions'!$AC$121*'Assumptions'!$D$11*(1+'Assumptions'!$D$13)^(8-1)</x:f>
        <x:v>0</x:v>
      </x:c>
      <x:c r="AB995" s="10" t="n">
        <x:f>F995/1</x:f>
        <x:v>81.57163345920002</x:v>
      </x:c>
      <x:c r="AC995" s="10" t="n">
        <x:f>AB995/'Assumptions'!$AM$121</x:f>
        <x:v>1631.4326691840001</x:v>
      </x:c>
      <x:c r="AD995" s="10" t="n">
        <x:f>IF(AB995=0,0,T995/AB995)</x:f>
        <x:v>7.9894813015156965</x:v>
      </x:c>
      <x:c r="AE995" s="10" t="n">
        <x:f>AA995*'Assumptions'!$D$21</x:f>
        <x:v>0</x:v>
      </x:c>
    </x:row>
    <x:row r="996" ht="16" customHeight="1">
      <x:c r="A996" s="1"/>
      <x:c r="B996" s="1"/>
      <x:c r="C996" s="1" t="str">
        <x:v>DOT-093</x:v>
      </x:c>
      <x:c r="D996" s="10" t="str">
        <x:v>Semajes Marketplace</x:v>
      </x:c>
      <x:c r="E996" s="10" t="n">
        <x:v>8</x:v>
      </x:c>
      <x:c r="F996" s="21" t="n">
        <x:f>F868*(1+'Assumptions'!$M$122)</x:f>
        <x:v>16.31432669184</x:v>
      </x:c>
      <x:c r="G996" s="21" t="n">
        <x:f>H868*'Assumptions'!$K$122</x:f>
        <x:v>30.4780165536</x:v>
      </x:c>
      <x:c r="H996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996+G996,NA())</x:f>
        <x:v>46.79234324544</x:v>
      </x:c>
      <x:c r="I996" s="22" t="n">
        <x:f>'Assumptions'!$H$122*IF('Assumptions'!$O$122=1,1,'Assumptions'!$D$10)*(1+'Assumptions'!$N$122)^(8-1)</x:f>
        <x:v>574.34283382464</x:v>
      </x:c>
      <x:c r="J996" s="10" t="n">
        <x:f>H996*I996</x:f>
        <x:v>26874.847020881265</x:v>
      </x:c>
      <x:c r="K996" s="10" t="n">
        <x:f>J996*'Assumptions'!$T$122</x:f>
        <x:v>4031.2270531321897</x:v>
      </x:c>
      <x:c r="L996" s="10" t="n">
        <x:f>K996*'Assumptions'!$U$122</x:f>
        <x:v>120.93681159396569</x:v>
      </x:c>
      <x:c r="M996" s="10" t="n">
        <x:f>K996*'Assumptions'!$V$122</x:f>
        <x:v>0</x:v>
      </x:c>
      <x:c r="N996" s="10" t="n">
        <x:f>K996-L996-M996</x:f>
        <x:v>3910.290241538224</x:v>
      </x:c>
      <x:c r="O996" s="10" t="n">
        <x:f>H996*'Assumptions'!$P$122*'Assumptions'!$Q$122*'Assumptions'!$D$11*(1+'Assumptions'!$D$13)^(8-1)</x:f>
        <x:v>503.55095052112034</x:v>
      </x:c>
      <x:c r="P996" s="10" t="n">
        <x:f>H996*'Assumptions'!$R$122*'Assumptions'!$D$11*(1+'Assumptions'!$D$13)^(8-1)</x:f>
        <x:v>0</x:v>
      </x:c>
      <x:c r="Q996" s="10" t="n">
        <x:f>J996*'Assumptions'!$S$122</x:f>
        <x:v>0</x:v>
      </x:c>
      <x:c r="R996" s="10" t="n">
        <x:f>H996*'Assumptions'!$Y$122*'Assumptions'!$Z$122*'Assumptions'!$D$11*(1+'Assumptions'!$D$13)^(8-1)</x:f>
        <x:v>258.96906026800474</x:v>
      </x:c>
      <x:c r="S996" s="10" t="n">
        <x:f>IF(I996=0,0,J996*'Assumptions'!$W$122+H996*'Assumptions'!$X$122)</x:f>
        <x:v>793.4082665791888</x:v>
      </x:c>
      <x:c r="T996" s="10" t="n">
        <x:f>N996*'Assumptions'!$AA$122</x:f>
        <x:v>195.51451207691122</x:v>
      </x:c>
      <x:c r="U996" s="10" t="n">
        <x:f>'Assumptions'!$AE$122*'Assumptions'!$D$11*(1+'Assumptions'!$D$13)^(8-1)</x:f>
        <x:v>0</x:v>
      </x:c>
      <x:c r="V996" s="10" t="n">
        <x:f>0</x:f>
        <x:v>0</x:v>
      </x:c>
      <x:c r="W996" s="10" t="n">
        <x:f>H996*('Assumptions'!$P$122+'Assumptions'!$Y$122)</x:f>
        <x:v>18.716937298176003</x:v>
      </x:c>
      <x:c r="X996" s="10" t="n">
        <x:f>N996/12*'Assumptions'!$AF$122</x:f>
        <x:v>0</x:v>
      </x:c>
      <x:c r="Y996" s="10" t="n">
        <x:f>P996/12</x:f>
        <x:v>0</x:v>
      </x:c>
      <x:c r="Z996" s="10" t="n">
        <x:f>0</x:f>
        <x:v>0</x:v>
      </x:c>
      <x:c r="AA996" s="10" t="n">
        <x:f>Z996*'Assumptions'!$AC$122*'Assumptions'!$D$11*(1+'Assumptions'!$D$13)^(8-1)</x:f>
        <x:v>0</x:v>
      </x:c>
      <x:c r="AB996" s="10" t="n">
        <x:f>F996/1</x:f>
        <x:v>16.31432669184</x:v>
      </x:c>
      <x:c r="AC996" s="10" t="n">
        <x:f>AB996/'Assumptions'!$AM$122</x:f>
        <x:v>326.2865338368</x:v>
      </x:c>
      <x:c r="AD996" s="10" t="n">
        <x:f>IF(AB996=0,0,T996/AB996)</x:f>
        <x:v>11.984221952273547</x:v>
      </x:c>
      <x:c r="AE996" s="10" t="n">
        <x:f>AA996*'Assumptions'!$D$21</x:f>
        <x:v>0</x:v>
      </x:c>
    </x:row>
    <x:row r="997" ht="16" customHeight="1">
      <x:c r="A997" s="1"/>
      <x:c r="B997" s="1"/>
      <x:c r="C997" s="1" t="str">
        <x:v>DOT-094</x:v>
      </x:c>
      <x:c r="D997" s="10" t="str">
        <x:v>Semajes premium and media</x:v>
      </x:c>
      <x:c r="E997" s="10" t="n">
        <x:v>8</x:v>
      </x:c>
      <x:c r="F997" s="21" t="n">
        <x:f>F869*(1+'Assumptions'!$M$123)</x:f>
        <x:v>81.57163345920002</x:v>
      </x:c>
      <x:c r="G997" s="21" t="n">
        <x:f>H869*'Assumptions'!$K$123</x:f>
        <x:v>152.39008276799998</x:v>
      </x:c>
      <x:c r="H997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997+G997,NA())</x:f>
        <x:v>233.9617162272</x:v>
      </x:c>
      <x:c r="I997" s="22" t="n">
        <x:f>'Assumptions'!$H$123*IF('Assumptions'!$O$123=1,1,'Assumptions'!$D$10)*(1+'Assumptions'!$N$123)^(8-1)</x:f>
        <x:v>10.33817100884352</x:v>
      </x:c>
      <x:c r="J997" s="10" t="n">
        <x:f>H997*I997</x:f>
        <x:v>2418.7362318793134</x:v>
      </x:c>
      <x:c r="K997" s="10" t="n">
        <x:f>J997*'Assumptions'!$T$123</x:f>
        <x:v>2418.7362318793134</x:v>
      </x:c>
      <x:c r="L997" s="10" t="n">
        <x:f>K997*'Assumptions'!$U$123</x:f>
        <x:v>72.5620869563794</x:v>
      </x:c>
      <x:c r="M997" s="10" t="n">
        <x:f>K997*'Assumptions'!$V$123</x:f>
        <x:v>0</x:v>
      </x:c>
      <x:c r="N997" s="10" t="n">
        <x:f>K997-L997-M997</x:f>
        <x:v>2346.174144922934</x:v>
      </x:c>
      <x:c r="O997" s="10" t="n">
        <x:f>H997*'Assumptions'!$P$123*'Assumptions'!$Q$123*'Assumptions'!$D$11*(1+'Assumptions'!$D$13)^(8-1)</x:f>
        <x:v>503.55095052112034</x:v>
      </x:c>
      <x:c r="P997" s="10" t="n">
        <x:f>H997*'Assumptions'!$R$123*'Assumptions'!$D$11*(1+'Assumptions'!$D$13)^(8-1)</x:f>
        <x:v>0</x:v>
      </x:c>
      <x:c r="Q997" s="10" t="n">
        <x:f>J997*'Assumptions'!$S$123</x:f>
        <x:v>0</x:v>
      </x:c>
      <x:c r="R997" s="10" t="n">
        <x:f>H997*'Assumptions'!$Y$123*'Assumptions'!$Z$123*'Assumptions'!$D$11*(1+'Assumptions'!$D$13)^(8-1)</x:f>
        <x:v>1294.8453013400238</x:v>
      </x:c>
      <x:c r="S997" s="10" t="n">
        <x:f>IF(I997=0,0,J997*'Assumptions'!$W$123+H997*'Assumptions'!$X$123)</x:f>
        <x:v>140.3318655926601</x:v>
      </x:c>
      <x:c r="T997" s="10" t="n">
        <x:f>N997*'Assumptions'!$AA$123</x:f>
        <x:v>117.3087072461467</x:v>
      </x:c>
      <x:c r="U997" s="10" t="n">
        <x:f>'Assumptions'!$AE$123*'Assumptions'!$D$11*(1+'Assumptions'!$D$13)^(8-1)</x:f>
        <x:v>0</x:v>
      </x:c>
      <x:c r="V997" s="10" t="n">
        <x:f>0</x:f>
        <x:v>0</x:v>
      </x:c>
      <x:c r="W997" s="10" t="n">
        <x:f>H997*('Assumptions'!$P$123+'Assumptions'!$Y$123)</x:f>
        <x:v>46.79234324544</x:v>
      </x:c>
      <x:c r="X997" s="10" t="n">
        <x:f>N997/12*'Assumptions'!$AF$123</x:f>
        <x:v>0</x:v>
      </x:c>
      <x:c r="Y997" s="10" t="n">
        <x:f>P997/12</x:f>
        <x:v>0</x:v>
      </x:c>
      <x:c r="Z997" s="10" t="n">
        <x:f>0</x:f>
        <x:v>0</x:v>
      </x:c>
      <x:c r="AA997" s="10" t="n">
        <x:f>Z997*'Assumptions'!$AC$123*'Assumptions'!$D$11*(1+'Assumptions'!$D$13)^(8-1)</x:f>
        <x:v>0</x:v>
      </x:c>
      <x:c r="AB997" s="10" t="n">
        <x:f>F997/12</x:f>
        <x:v>6.797636121600001</x:v>
      </x:c>
      <x:c r="AC997" s="10" t="n">
        <x:f>AB997/'Assumptions'!$AM$123</x:f>
        <x:v>135.952722432</x:v>
      </x:c>
      <x:c r="AD997" s="10" t="n">
        <x:f>IF(AB997=0,0,T997/AB997)</x:f>
        <x:v>17.2572796112739</x:v>
      </x:c>
      <x:c r="AE997" s="10" t="n">
        <x:f>AA997*'Assumptions'!$D$21</x:f>
        <x:v>0</x:v>
      </x:c>
    </x:row>
    <x:row r="998" ht="16" customHeight="1">
      <x:c r="A998" s="1"/>
      <x:c r="B998" s="1"/>
      <x:c r="C998" s="1" t="str">
        <x:v>DOT-095</x:v>
      </x:c>
      <x:c r="D998" s="10" t="str">
        <x:v>Semajes premium and media</x:v>
      </x:c>
      <x:c r="E998" s="10" t="n">
        <x:v>8</x:v>
      </x:c>
      <x:c r="F998" s="21" t="n">
        <x:f>F870*(1+'Assumptions'!$M$124)</x:f>
        <x:v>81.57163345920002</x:v>
      </x:c>
      <x:c r="G998" s="21" t="n">
        <x:f>H870*'Assumptions'!$K$124</x:f>
        <x:v>152.39008276799998</x:v>
      </x:c>
      <x:c r="H998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998+G998,NA())</x:f>
        <x:v>233.9617162272</x:v>
      </x:c>
      <x:c r="I998" s="22" t="n">
        <x:f>'Assumptions'!$H$124*IF('Assumptions'!$O$124=1,1,'Assumptions'!$D$10)*(1+'Assumptions'!$N$124)^(8-1)</x:f>
        <x:v>21.82502768533632</x:v>
      </x:c>
      <x:c r="J998" s="10" t="n">
        <x:f>H998*I998</x:f>
        <x:v>5106.220933967439</x:v>
      </x:c>
      <x:c r="K998" s="10" t="n">
        <x:f>J998*'Assumptions'!$T$124</x:f>
        <x:v>5106.220933967439</x:v>
      </x:c>
      <x:c r="L998" s="10" t="n">
        <x:f>K998*'Assumptions'!$U$124</x:f>
        <x:v>153.18662801902317</x:v>
      </x:c>
      <x:c r="M998" s="10" t="n">
        <x:f>K998*'Assumptions'!$V$124</x:f>
        <x:v>0</x:v>
      </x:c>
      <x:c r="N998" s="10" t="n">
        <x:f>K998-L998-M998</x:f>
        <x:v>4953.034305948416</x:v>
      </x:c>
      <x:c r="O998" s="10" t="n">
        <x:f>H998*'Assumptions'!$P$124*'Assumptions'!$Q$124*'Assumptions'!$D$11*(1+'Assumptions'!$D$13)^(8-1)</x:f>
        <x:v>1007.1019010422407</x:v>
      </x:c>
      <x:c r="P998" s="10" t="n">
        <x:f>H998*'Assumptions'!$R$124*'Assumptions'!$D$11*(1+'Assumptions'!$D$13)^(8-1)</x:f>
        <x:v>0</x:v>
      </x:c>
      <x:c r="Q998" s="10" t="n">
        <x:f>J998*'Assumptions'!$S$124</x:f>
        <x:v>0</x:v>
      </x:c>
      <x:c r="R998" s="10" t="n">
        <x:f>H998*'Assumptions'!$Y$124*'Assumptions'!$Z$124*'Assumptions'!$D$11*(1+'Assumptions'!$D$13)^(8-1)</x:f>
        <x:v>1294.8453013400238</x:v>
      </x:c>
      <x:c r="S998" s="10" t="n">
        <x:f>IF(I998=0,0,J998*'Assumptions'!$W$124+H998*'Assumptions'!$X$124)</x:f>
        <x:v>218.26892195321574</x:v>
      </x:c>
      <x:c r="T998" s="10" t="n">
        <x:f>N998*'Assumptions'!$AA$124</x:f>
        <x:v>247.6517152974208</x:v>
      </x:c>
      <x:c r="U998" s="10" t="n">
        <x:f>'Assumptions'!$AE$124*'Assumptions'!$D$11*(1+'Assumptions'!$D$13)^(8-1)</x:f>
        <x:v>0</x:v>
      </x:c>
      <x:c r="V998" s="10" t="n">
        <x:f>0</x:f>
        <x:v>0</x:v>
      </x:c>
      <x:c r="W998" s="10" t="n">
        <x:f>H998*('Assumptions'!$P$124+'Assumptions'!$Y$124)</x:f>
        <x:v>58.4904290568</x:v>
      </x:c>
      <x:c r="X998" s="10" t="n">
        <x:f>N998/12*'Assumptions'!$AF$124</x:f>
        <x:v>0</x:v>
      </x:c>
      <x:c r="Y998" s="10" t="n">
        <x:f>P998/12</x:f>
        <x:v>0</x:v>
      </x:c>
      <x:c r="Z998" s="10" t="n">
        <x:f>0</x:f>
        <x:v>0</x:v>
      </x:c>
      <x:c r="AA998" s="10" t="n">
        <x:f>Z998*'Assumptions'!$AC$124*'Assumptions'!$D$11*(1+'Assumptions'!$D$13)^(8-1)</x:f>
        <x:v>0</x:v>
      </x:c>
      <x:c r="AB998" s="10" t="n">
        <x:f>F998/12</x:f>
        <x:v>6.797636121600001</x:v>
      </x:c>
      <x:c r="AC998" s="10" t="n">
        <x:f>AB998/'Assumptions'!$AM$124</x:f>
        <x:v>135.952722432</x:v>
      </x:c>
      <x:c r="AD998" s="10" t="n">
        <x:f>IF(AB998=0,0,T998/AB998)</x:f>
        <x:v>36.43203473491157</x:v>
      </x:c>
      <x:c r="AE998" s="10" t="n">
        <x:f>AA998*'Assumptions'!$D$21</x:f>
        <x:v>0</x:v>
      </x:c>
    </x:row>
    <x:row r="999" ht="16" customHeight="1">
      <x:c r="A999" s="1"/>
      <x:c r="B999" s="1"/>
      <x:c r="C999" s="1" t="str">
        <x:v>DOT-096</x:v>
      </x:c>
      <x:c r="D999" s="10" t="str">
        <x:v>Semajes premium and media</x:v>
      </x:c>
      <x:c r="E999" s="10" t="n">
        <x:v>8</x:v>
      </x:c>
      <x:c r="F999" s="21" t="n">
        <x:f>F871*(1+'Assumptions'!$M$125)</x:f>
        <x:v>40.78581672960001</x:v>
      </x:c>
      <x:c r="G999" s="21" t="n">
        <x:f>H871*'Assumptions'!$K$125</x:f>
        <x:v>76.19504138399999</x:v>
      </x:c>
      <x:c r="H999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999+G999,NA())</x:f>
        <x:v>116.9808581136</x:v>
      </x:c>
      <x:c r="I999" s="22" t="n">
        <x:f>'Assumptions'!$H$125*IF('Assumptions'!$O$125=1,1,'Assumptions'!$D$10)*(1+'Assumptions'!$N$125)^(8-1)</x:f>
        <x:v>44.79874103832192</x:v>
      </x:c>
      <x:c r="J999" s="10" t="n">
        <x:f>H999*I999</x:f>
        <x:v>5240.595169071846</x:v>
      </x:c>
      <x:c r="K999" s="10" t="n">
        <x:f>J999*'Assumptions'!$T$125</x:f>
        <x:v>5240.595169071846</x:v>
      </x:c>
      <x:c r="L999" s="10" t="n">
        <x:f>K999*'Assumptions'!$U$125</x:f>
        <x:v>157.21785507215537</x:v>
      </x:c>
      <x:c r="M999" s="10" t="n">
        <x:f>K999*'Assumptions'!$V$125</x:f>
        <x:v>0</x:v>
      </x:c>
      <x:c r="N999" s="10" t="n">
        <x:f>K999-L999-M999</x:f>
        <x:v>5083.37731399969</x:v>
      </x:c>
      <x:c r="O999" s="10" t="n">
        <x:f>H999*'Assumptions'!$P$125*'Assumptions'!$Q$125*'Assumptions'!$D$11*(1+'Assumptions'!$D$13)^(8-1)</x:f>
        <x:v>1007.1019010422407</x:v>
      </x:c>
      <x:c r="P999" s="10" t="n">
        <x:f>H999*'Assumptions'!$R$125*'Assumptions'!$D$11*(1+'Assumptions'!$D$13)^(8-1)</x:f>
        <x:v>0</x:v>
      </x:c>
      <x:c r="Q999" s="10" t="n">
        <x:f>J999*'Assumptions'!$S$125</x:f>
        <x:v>0</x:v>
      </x:c>
      <x:c r="R999" s="10" t="n">
        <x:f>H999*'Assumptions'!$Y$125*'Assumptions'!$Z$125*'Assumptions'!$D$11*(1+'Assumptions'!$D$13)^(8-1)</x:f>
        <x:v>647.4226506700119</x:v>
      </x:c>
      <x:c r="S999" s="10" t="n">
        <x:f>IF(I999=0,0,J999*'Assumptions'!$W$125+H999*'Assumptions'!$X$125)</x:f>
        <x:v>187.07151733716353</x:v>
      </x:c>
      <x:c r="T999" s="10" t="n">
        <x:f>N999*'Assumptions'!$AA$125</x:f>
        <x:v>254.1688656999845</x:v>
      </x:c>
      <x:c r="U999" s="10" t="n">
        <x:f>'Assumptions'!$AE$125*'Assumptions'!$D$11*(1+'Assumptions'!$D$13)^(8-1)</x:f>
        <x:v>0</x:v>
      </x:c>
      <x:c r="V999" s="10" t="n">
        <x:f>0</x:f>
        <x:v>0</x:v>
      </x:c>
      <x:c r="W999" s="10" t="n">
        <x:f>H999*('Assumptions'!$P$125+'Assumptions'!$Y$125)</x:f>
        <x:v>40.94330033975999</x:v>
      </x:c>
      <x:c r="X999" s="10" t="n">
        <x:f>N999/12*'Assumptions'!$AF$125</x:f>
        <x:v>0</x:v>
      </x:c>
      <x:c r="Y999" s="10" t="n">
        <x:f>P999/12</x:f>
        <x:v>0</x:v>
      </x:c>
      <x:c r="Z999" s="10" t="n">
        <x:f>0</x:f>
        <x:v>0</x:v>
      </x:c>
      <x:c r="AA999" s="10" t="n">
        <x:f>Z999*'Assumptions'!$AC$125*'Assumptions'!$D$11*(1+'Assumptions'!$D$13)^(8-1)</x:f>
        <x:v>0</x:v>
      </x:c>
      <x:c r="AB999" s="10" t="n">
        <x:f>F999/12</x:f>
        <x:v>3.3988180608000005</x:v>
      </x:c>
      <x:c r="AC999" s="10" t="n">
        <x:f>AB999/'Assumptions'!$AM$125</x:f>
        <x:v>67.976361216</x:v>
      </x:c>
      <x:c r="AD999" s="10" t="n">
        <x:f>IF(AB999=0,0,T999/AB999)</x:f>
        <x:v>74.7815449821869</x:v>
      </x:c>
      <x:c r="AE999" s="10" t="n">
        <x:f>AA999*'Assumptions'!$D$21</x:f>
        <x:v>0</x:v>
      </x:c>
    </x:row>
    <x:row r="1000" ht="16" customHeight="1">
      <x:c r="A1000" s="1"/>
      <x:c r="B1000" s="1"/>
      <x:c r="C1000" s="1" t="str">
        <x:v>DOT-097</x:v>
      </x:c>
      <x:c r="D1000" s="10" t="str">
        <x:v>Semajes premium and media</x:v>
      </x:c>
      <x:c r="E1000" s="10" t="n">
        <x:v>8</x:v>
      </x:c>
      <x:c r="F1000" s="21" t="n">
        <x:f>F872*(1+'Assumptions'!$M$126)</x:f>
        <x:v>24.471490037759995</x:v>
      </x:c>
      <x:c r="G1000" s="21" t="n">
        <x:f>H872*'Assumptions'!$K$126</x:f>
        <x:v>45.717024830399986</x:v>
      </x:c>
      <x:c r="H1000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1000+G1000,NA())</x:f>
        <x:v>70.18851486815998</x:v>
      </x:c>
      <x:c r="I1000" s="22" t="n">
        <x:f>'Assumptions'!$H$126*IF('Assumptions'!$O$126=1,1,'Assumptions'!$D$10)*(1+'Assumptions'!$N$126)^(8-1)</x:f>
        <x:v>113.71988109727873</x:v>
      </x:c>
      <x:c r="J1000" s="10" t="n">
        <x:f>H1000*I1000</x:f>
        <x:v>7981.829565201734</x:v>
      </x:c>
      <x:c r="K1000" s="10" t="n">
        <x:f>J1000*'Assumptions'!$T$126</x:f>
        <x:v>7981.829565201734</x:v>
      </x:c>
      <x:c r="L1000" s="10" t="n">
        <x:f>K1000*'Assumptions'!$U$126</x:f>
        <x:v>239.454886956052</x:v>
      </x:c>
      <x:c r="M1000" s="10" t="n">
        <x:f>K1000*'Assumptions'!$V$126</x:f>
        <x:v>0</x:v>
      </x:c>
      <x:c r="N1000" s="10" t="n">
        <x:f>K1000-L1000-M1000</x:f>
        <x:v>7742.374678245682</x:v>
      </x:c>
      <x:c r="O1000" s="10" t="n">
        <x:f>H1000*'Assumptions'!$P$126*'Assumptions'!$Q$126*'Assumptions'!$D$11*(1+'Assumptions'!$D$13)^(8-1)</x:f>
        <x:v>3021.3057031267213</x:v>
      </x:c>
      <x:c r="P1000" s="10" t="n">
        <x:f>H1000*'Assumptions'!$R$126*'Assumptions'!$D$11*(1+'Assumptions'!$D$13)^(8-1)</x:f>
        <x:v>0</x:v>
      </x:c>
      <x:c r="Q1000" s="10" t="n">
        <x:f>J1000*'Assumptions'!$S$126</x:f>
        <x:v>0</x:v>
      </x:c>
      <x:c r="R1000" s="10" t="n">
        <x:f>H1000*'Assumptions'!$Y$126*'Assumptions'!$Z$126*'Assumptions'!$D$11*(1+'Assumptions'!$D$13)^(8-1)</x:f>
        <x:v>388.45359040200697</x:v>
      </x:c>
      <x:c r="S1000" s="10" t="n">
        <x:f>IF(I1000=0,0,J1000*'Assumptions'!$W$126+H1000*'Assumptions'!$X$126)</x:f>
        <x:v>252.52961185129828</x:v>
      </x:c>
      <x:c r="T1000" s="10" t="n">
        <x:f>N1000*'Assumptions'!$AA$126</x:f>
        <x:v>387.11873391228414</x:v>
      </x:c>
      <x:c r="U1000" s="10" t="n">
        <x:f>'Assumptions'!$AE$126*'Assumptions'!$D$11*(1+'Assumptions'!$D$13)^(8-1)</x:f>
        <x:v>0</x:v>
      </x:c>
      <x:c r="V1000" s="10" t="n">
        <x:f>0</x:f>
        <x:v>0</x:v>
      </x:c>
      <x:c r="W1000" s="10" t="n">
        <x:f>H1000*('Assumptions'!$P$126+'Assumptions'!$Y$126)</x:f>
        <x:v>80.71679209838398</x:v>
      </x:c>
      <x:c r="X1000" s="10" t="n">
        <x:f>N1000/12*'Assumptions'!$AF$126</x:f>
        <x:v>0</x:v>
      </x:c>
      <x:c r="Y1000" s="10" t="n">
        <x:f>P1000/12</x:f>
        <x:v>0</x:v>
      </x:c>
      <x:c r="Z1000" s="10" t="n">
        <x:f>0</x:f>
        <x:v>0</x:v>
      </x:c>
      <x:c r="AA1000" s="10" t="n">
        <x:f>Z1000*'Assumptions'!$AC$126*'Assumptions'!$D$11*(1+'Assumptions'!$D$13)^(8-1)</x:f>
        <x:v>0</x:v>
      </x:c>
      <x:c r="AB1000" s="10" t="n">
        <x:f>F1000/1</x:f>
        <x:v>24.471490037759995</x:v>
      </x:c>
      <x:c r="AC1000" s="10" t="n">
        <x:f>AB1000/'Assumptions'!$AM$126</x:f>
        <x:v>489.4298007551999</x:v>
      </x:c>
      <x:c r="AD1000" s="10" t="n">
        <x:f>IF(AB1000=0,0,T1000/AB1000)</x:f>
        <x:v>15.819172977001083</x:v>
      </x:c>
      <x:c r="AE1000" s="10" t="n">
        <x:f>AA1000*'Assumptions'!$D$21</x:f>
        <x:v>0</x:v>
      </x:c>
    </x:row>
    <x:row r="1001" ht="16" customHeight="1">
      <x:c r="A1001" s="1"/>
      <x:c r="B1001" s="1"/>
      <x:c r="C1001" s="1" t="str">
        <x:v>DOT-098</x:v>
      </x:c>
      <x:c r="D1001" s="10" t="str">
        <x:v>Semajes premium and media</x:v>
      </x:c>
      <x:c r="E1001" s="10" t="n">
        <x:v>8</x:v>
      </x:c>
      <x:c r="F1001" s="21" t="n">
        <x:f>F873*(1+'Assumptions'!$M$127)</x:f>
        <x:v>12.235745018879998</x:v>
      </x:c>
      <x:c r="G1001" s="21" t="n">
        <x:f>H873*'Assumptions'!$K$127</x:f>
        <x:v>22.858512415199993</x:v>
      </x:c>
      <x:c r="H1001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1001+G1001,NA())</x:f>
        <x:v>35.09425743407999</x:v>
      </x:c>
      <x:c r="I1001" s="22" t="n">
        <x:f>'Assumptions'!$H$127*IF('Assumptions'!$O$127=1,1,'Assumptions'!$D$10)*(1+'Assumptions'!$N$127)^(8-1)</x:f>
        <x:v>286.02273124467075</x:v>
      </x:c>
      <x:c r="J1001" s="10" t="n">
        <x:f>H1001*I1001</x:f>
        <x:v>10037.75536229915</x:v>
      </x:c>
      <x:c r="K1001" s="10" t="n">
        <x:f>J1001*'Assumptions'!$T$127</x:f>
        <x:v>10037.75536229915</x:v>
      </x:c>
      <x:c r="L1001" s="10" t="n">
        <x:f>K1001*'Assumptions'!$U$127</x:f>
        <x:v>301.13266086897454</x:v>
      </x:c>
      <x:c r="M1001" s="10" t="n">
        <x:f>K1001*'Assumptions'!$V$127</x:f>
        <x:v>0</x:v>
      </x:c>
      <x:c r="N1001" s="10" t="n">
        <x:f>K1001-L1001-M1001</x:f>
        <x:v>9736.622701430177</x:v>
      </x:c>
      <x:c r="O1001" s="10" t="n">
        <x:f>H1001*'Assumptions'!$P$127*'Assumptions'!$Q$127*'Assumptions'!$D$11*(1+'Assumptions'!$D$13)^(8-1)</x:f>
        <x:v>4531.958554690082</x:v>
      </x:c>
      <x:c r="P1001" s="10" t="n">
        <x:f>H1001*'Assumptions'!$R$127*'Assumptions'!$D$11*(1+'Assumptions'!$D$13)^(8-1)</x:f>
        <x:v>0</x:v>
      </x:c>
      <x:c r="Q1001" s="10" t="n">
        <x:f>J1001*'Assumptions'!$S$127</x:f>
        <x:v>0</x:v>
      </x:c>
      <x:c r="R1001" s="10" t="n">
        <x:f>H1001*'Assumptions'!$Y$127*'Assumptions'!$Z$127*'Assumptions'!$D$11*(1+'Assumptions'!$D$13)^(8-1)</x:f>
        <x:v>194.22679520100348</x:v>
      </x:c>
      <x:c r="S1001" s="10" t="n">
        <x:f>IF(I1001=0,0,J1001*'Assumptions'!$W$127+H1001*'Assumptions'!$X$127)</x:f>
        <x:v>301.62318273689937</x:v>
      </x:c>
      <x:c r="T1001" s="10" t="n">
        <x:f>N1001*'Assumptions'!$AA$127</x:f>
        <x:v>486.83113507150887</x:v>
      </x:c>
      <x:c r="U1001" s="10" t="n">
        <x:f>'Assumptions'!$AE$127*'Assumptions'!$D$11*(1+'Assumptions'!$D$13)^(8-1)</x:f>
        <x:v>0</x:v>
      </x:c>
      <x:c r="V1001" s="10" t="n">
        <x:f>0</x:f>
        <x:v>0</x:v>
      </x:c>
      <x:c r="W1001" s="10" t="n">
        <x:f>H1001*('Assumptions'!$P$127+'Assumptions'!$Y$127)</x:f>
        <x:v>110.54691091735197</x:v>
      </x:c>
      <x:c r="X1001" s="10" t="n">
        <x:f>N1001/12*'Assumptions'!$AF$127</x:f>
        <x:v>0</x:v>
      </x:c>
      <x:c r="Y1001" s="10" t="n">
        <x:f>P1001/12</x:f>
        <x:v>0</x:v>
      </x:c>
      <x:c r="Z1001" s="10" t="n">
        <x:f>0</x:f>
        <x:v>0</x:v>
      </x:c>
      <x:c r="AA1001" s="10" t="n">
        <x:f>Z1001*'Assumptions'!$AC$127*'Assumptions'!$D$11*(1+'Assumptions'!$D$13)^(8-1)</x:f>
        <x:v>0</x:v>
      </x:c>
      <x:c r="AB1001" s="10" t="n">
        <x:f>F1001/1</x:f>
        <x:v>12.235745018879998</x:v>
      </x:c>
      <x:c r="AC1001" s="10" t="n">
        <x:f>AB1001/'Assumptions'!$AM$127</x:f>
        <x:v>244.71490037759995</x:v>
      </x:c>
      <x:c r="AD1001" s="10" t="n">
        <x:f>IF(AB1001=0,0,T1001/AB1001)</x:f>
        <x:v>39.78761688154818</x:v>
      </x:c>
      <x:c r="AE1001" s="10" t="n">
        <x:f>AA1001*'Assumptions'!$D$21</x:f>
        <x:v>0</x:v>
      </x:c>
    </x:row>
    <x:row r="1002" ht="16" customHeight="1">
      <x:c r="A1002" s="1"/>
      <x:c r="B1002" s="1"/>
      <x:c r="C1002" s="1" t="str">
        <x:v>DOT-099</x:v>
      </x:c>
      <x:c r="D1002" s="10" t="str">
        <x:v>Semajes premium and media</x:v>
      </x:c>
      <x:c r="E1002" s="10" t="n">
        <x:v>8</x:v>
      </x:c>
      <x:c r="F1002" s="21" t="n">
        <x:f>F874*(1+'Assumptions'!$M$128)</x:f>
        <x:v>40.78581672960001</x:v>
      </x:c>
      <x:c r="G1002" s="21" t="n">
        <x:f>H874*'Assumptions'!$K$128</x:f>
        <x:v>76.19504138399999</x:v>
      </x:c>
      <x:c r="H1002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1002+G1002,NA())</x:f>
        <x:v>116.9808581136</x:v>
      </x:c>
      <x:c r="I1002" s="22" t="n">
        <x:f>'Assumptions'!$H$128*IF('Assumptions'!$O$128=1,1,'Assumptions'!$D$10)*(1+'Assumptions'!$N$128)^(8-1)</x:f>
        <x:v>33.31188436182912</x:v>
      </x:c>
      <x:c r="J1002" s="10" t="n">
        <x:f>H1002*I1002</x:f>
        <x:v>3896.852818027783</x:v>
      </x:c>
      <x:c r="K1002" s="10" t="n">
        <x:f>J1002*'Assumptions'!$T$128</x:f>
        <x:v>3896.852818027783</x:v>
      </x:c>
      <x:c r="L1002" s="10" t="n">
        <x:f>K1002*'Assumptions'!$U$128</x:f>
        <x:v>116.90558454083349</x:v>
      </x:c>
      <x:c r="M1002" s="10" t="n">
        <x:f>K1002*'Assumptions'!$V$128</x:f>
        <x:v>0</x:v>
      </x:c>
      <x:c r="N1002" s="10" t="n">
        <x:f>K1002-L1002-M1002</x:f>
        <x:v>3779.9472334869497</x:v>
      </x:c>
      <x:c r="O1002" s="10" t="n">
        <x:f>H1002*'Assumptions'!$P$128*'Assumptions'!$Q$128*'Assumptions'!$D$11*(1+'Assumptions'!$D$13)^(8-1)</x:f>
        <x:v>755.3264257816804</x:v>
      </x:c>
      <x:c r="P1002" s="10" t="n">
        <x:f>H1002*'Assumptions'!$R$128*'Assumptions'!$D$11*(1+'Assumptions'!$D$13)^(8-1)</x:f>
        <x:v>0</x:v>
      </x:c>
      <x:c r="Q1002" s="10" t="n">
        <x:f>J1002*'Assumptions'!$S$128</x:f>
        <x:v>0</x:v>
      </x:c>
      <x:c r="R1002" s="10" t="n">
        <x:f>H1002*'Assumptions'!$Y$128*'Assumptions'!$Z$128*'Assumptions'!$D$11*(1+'Assumptions'!$D$13)^(8-1)</x:f>
        <x:v>647.4226506700119</x:v>
      </x:c>
      <x:c r="S1002" s="10" t="n">
        <x:f>IF(I1002=0,0,J1002*'Assumptions'!$W$128+H1002*'Assumptions'!$X$128)</x:f>
        <x:v>148.1029891568857</x:v>
      </x:c>
      <x:c r="T1002" s="10" t="n">
        <x:f>N1002*'Assumptions'!$AA$128</x:f>
        <x:v>188.9973616743475</x:v>
      </x:c>
      <x:c r="U1002" s="10" t="n">
        <x:f>'Assumptions'!$AE$128*'Assumptions'!$D$11*(1+'Assumptions'!$D$13)^(8-1)</x:f>
        <x:v>0</x:v>
      </x:c>
      <x:c r="V1002" s="10" t="n">
        <x:f>0</x:f>
        <x:v>0</x:v>
      </x:c>
      <x:c r="W1002" s="10" t="n">
        <x:f>H1002*('Assumptions'!$P$128+'Assumptions'!$Y$128)</x:f>
        <x:v>35.09425743408</x:v>
      </x:c>
      <x:c r="X1002" s="10" t="n">
        <x:f>N1002/12*'Assumptions'!$AF$128</x:f>
        <x:v>0</x:v>
      </x:c>
      <x:c r="Y1002" s="10" t="n">
        <x:f>P1002/12</x:f>
        <x:v>0</x:v>
      </x:c>
      <x:c r="Z1002" s="10" t="n">
        <x:f>0</x:f>
        <x:v>0</x:v>
      </x:c>
      <x:c r="AA1002" s="10" t="n">
        <x:f>Z1002*'Assumptions'!$AC$128*'Assumptions'!$D$11*(1+'Assumptions'!$D$13)^(8-1)</x:f>
        <x:v>0</x:v>
      </x:c>
      <x:c r="AB1002" s="10" t="n">
        <x:f>F1002/1</x:f>
        <x:v>40.78581672960001</x:v>
      </x:c>
      <x:c r="AC1002" s="10" t="n">
        <x:f>AB1002/'Assumptions'!$AM$128</x:f>
        <x:v>815.7163345920001</x:v>
      </x:c>
      <x:c r="AD1002" s="10" t="n">
        <x:f>IF(AB1002=0,0,T1002/AB1002)</x:f>
        <x:v>4.633899154879104</x:v>
      </x:c>
      <x:c r="AE1002" s="10" t="n">
        <x:f>AA1002*'Assumptions'!$D$21</x:f>
        <x:v>0</x:v>
      </x:c>
    </x:row>
    <x:row r="1003" ht="16" customHeight="1">
      <x:c r="A1003" s="1"/>
      <x:c r="B1003" s="1"/>
      <x:c r="C1003" s="1" t="str">
        <x:v>DOT-100</x:v>
      </x:c>
      <x:c r="D1003" s="10" t="str">
        <x:v>Semajes courses</x:v>
      </x:c>
      <x:c r="E1003" s="10" t="n">
        <x:v>8</x:v>
      </x:c>
      <x:c r="F1003" s="21" t="n">
        <x:f>F875*(1+'Assumptions'!$M$129)</x:f>
        <x:v>344.0135434578749</x:v>
      </x:c>
      <x:c r="G1003" s="21" t="n">
        <x:f>H875*'Assumptions'!$K$129</x:f>
        <x:v>110.04748225312497</x:v>
      </x:c>
      <x:c r="H1003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1003+G1003,NA())</x:f>
        <x:v>454.06102571099984</x:v>
      </x:c>
      <x:c r="I1003" s="22" t="n">
        <x:f>'Assumptions'!$H$129*IF('Assumptions'!$O$129=1,1,'Assumptions'!$D$10)*(1+'Assumptions'!$N$129)^(8-1)</x:f>
        <x:v>44.79874103832192</x:v>
      </x:c>
      <x:c r="J1003" s="10" t="n">
        <x:f>H1003*I1003</x:f>
        <x:v>20341.362306421914</x:v>
      </x:c>
      <x:c r="K1003" s="10" t="n">
        <x:f>J1003*'Assumptions'!$T$129</x:f>
        <x:v>20341.362306421914</x:v>
      </x:c>
      <x:c r="L1003" s="10" t="n">
        <x:f>K1003*'Assumptions'!$U$129</x:f>
        <x:v>610.2408691926574</x:v>
      </x:c>
      <x:c r="M1003" s="10" t="n">
        <x:f>K1003*'Assumptions'!$V$129</x:f>
        <x:v>0</x:v>
      </x:c>
      <x:c r="N1003" s="10" t="n">
        <x:f>K1003-L1003-M1003</x:f>
        <x:v>19731.121437229256</x:v>
      </x:c>
      <x:c r="O1003" s="10" t="n">
        <x:f>H1003*'Assumptions'!$P$129*'Assumptions'!$Q$129*'Assumptions'!$D$11*(1+'Assumptions'!$D$13)^(8-1)</x:f>
        <x:v>2931.7983913573353</x:v>
      </x:c>
      <x:c r="P1003" s="10" t="n">
        <x:f>H1003*'Assumptions'!$R$129*'Assumptions'!$D$11*(1+'Assumptions'!$D$13)^(8-1)</x:f>
        <x:v>0</x:v>
      </x:c>
      <x:c r="Q1003" s="10" t="n">
        <x:f>J1003*'Assumptions'!$S$129</x:f>
        <x:v>0</x:v>
      </x:c>
      <x:c r="R1003" s="10" t="n">
        <x:f>H1003*'Assumptions'!$Y$129*'Assumptions'!$Z$129*'Assumptions'!$D$11*(1+'Assumptions'!$D$13)^(8-1)</x:f>
        <x:v>1675.3133664899065</x:v>
      </x:c>
      <x:c r="S1003" s="10" t="n">
        <x:f>IF(I1003=0,0,J1003*'Assumptions'!$W$129+H1003*'Assumptions'!$X$129)</x:f>
        <x:v>726.1178145995354</x:v>
      </x:c>
      <x:c r="T1003" s="10" t="n">
        <x:f>N1003*'Assumptions'!$AA$129</x:f>
        <x:v>986.5560718614629</x:v>
      </x:c>
      <x:c r="U1003" s="10" t="n">
        <x:f>'Assumptions'!$AE$129*'Assumptions'!$D$11*(1+'Assumptions'!$D$13)^(8-1)</x:f>
        <x:v>0</x:v>
      </x:c>
      <x:c r="V1003" s="10" t="n">
        <x:f>0</x:f>
        <x:v>0</x:v>
      </x:c>
      <x:c r="W1003" s="10" t="n">
        <x:f>H1003*('Assumptions'!$P$129+'Assumptions'!$Y$129)</x:f>
        <x:v>113.51525642774996</x:v>
      </x:c>
      <x:c r="X1003" s="10" t="n">
        <x:f>N1003/12*'Assumptions'!$AF$129</x:f>
        <x:v>0</x:v>
      </x:c>
      <x:c r="Y1003" s="10" t="n">
        <x:f>P1003/12</x:f>
        <x:v>0</x:v>
      </x:c>
      <x:c r="Z1003" s="10" t="n">
        <x:f>0</x:f>
        <x:v>0</x:v>
      </x:c>
      <x:c r="AA1003" s="10" t="n">
        <x:f>Z1003*'Assumptions'!$AC$129*'Assumptions'!$D$11*(1+'Assumptions'!$D$13)^(8-1)</x:f>
        <x:v>0</x:v>
      </x:c>
      <x:c r="AB1003" s="10" t="n">
        <x:f>F1003/1</x:f>
        <x:v>344.0135434578749</x:v>
      </x:c>
      <x:c r="AC1003" s="10" t="n">
        <x:f>AB1003/'Assumptions'!$AM$129</x:f>
        <x:v>6880.270869157498</x:v>
      </x:c>
      <x:c r="AD1003" s="10" t="n">
        <x:f>IF(AB1003=0,0,T1003/AB1003)</x:f>
        <x:v>2.8677826516509475</x:v>
      </x:c>
      <x:c r="AE1003" s="10" t="n">
        <x:f>AA1003*'Assumptions'!$D$21</x:f>
        <x:v>0</x:v>
      </x:c>
    </x:row>
    <x:row r="1004" ht="16" customHeight="1">
      <x:c r="A1004" s="1"/>
      <x:c r="B1004" s="1"/>
      <x:c r="C1004" s="1" t="str">
        <x:v>DOT-101</x:v>
      </x:c>
      <x:c r="D1004" s="10" t="str">
        <x:v>Sleepy Face</x:v>
      </x:c>
      <x:c r="E1004" s="10" t="n">
        <x:v>8</x:v>
      </x:c>
      <x:c r="F1004" s="21" t="n">
        <x:f>F876*(1+'Assumptions'!$M$130)</x:f>
        <x:v>288.8637510687131</x:v>
      </x:c>
      <x:c r="G1004" s="21" t="n">
        <x:f>H876*'Assumptions'!$K$130</x:f>
        <x:v>118.36525296706566</x:v>
      </x:c>
      <x:c r="H1004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1004+G1004,NA())</x:f>
        <x:v>407.22900403577876</x:v>
      </x:c>
      <x:c r="I1004" s="22" t="n">
        <x:f>'Assumptions'!$H$130*IF('Assumptions'!$O$130=1,1,'Assumptions'!$D$10)*(1+'Assumptions'!$N$130)^(8-1)</x:f>
        <x:v>109.1251384266816</x:v>
      </x:c>
      <x:c r="J1004" s="10" t="n">
        <x:f>H1004*I1004</x:f>
        <x:v>44438.92143676404</x:v>
      </x:c>
      <x:c r="K1004" s="10" t="n">
        <x:f>J1004*'Assumptions'!$T$130</x:f>
        <x:v>44438.92143676404</x:v>
      </x:c>
      <x:c r="L1004" s="10" t="n">
        <x:f>K1004*'Assumptions'!$U$130</x:f>
        <x:v>3555.113714941123</x:v>
      </x:c>
      <x:c r="M1004" s="10" t="n">
        <x:f>K1004*'Assumptions'!$V$130</x:f>
        <x:v>888.7784287352807</x:v>
      </x:c>
      <x:c r="N1004" s="10" t="n">
        <x:f>K1004-L1004-M1004</x:f>
        <x:v>39995.02929308763</x:v>
      </x:c>
      <x:c r="O1004" s="10" t="n">
        <x:f>H1004*'Assumptions'!$P$130*'Assumptions'!$Q$130*'Assumptions'!$D$11*(1+'Assumptions'!$D$13)^(8-1)</x:f>
        <x:v>2629.4116238596666</x:v>
      </x:c>
      <x:c r="P1004" s="10" t="n">
        <x:f>H1004*'Assumptions'!$R$130*'Assumptions'!$D$11*(1+'Assumptions'!$D$13)^(8-1)</x:f>
        <x:v>15025.2092791981</x:v>
      </x:c>
      <x:c r="Q1004" s="10" t="n">
        <x:f>J1004*'Assumptions'!$S$130</x:f>
        <x:v>0</x:v>
      </x:c>
      <x:c r="R1004" s="10" t="n">
        <x:f>H1004*'Assumptions'!$Y$130*'Assumptions'!$Z$130*'Assumptions'!$D$11*(1+'Assumptions'!$D$13)^(8-1)</x:f>
        <x:v>2253.7813918797146</x:v>
      </x:c>
      <x:c r="S1004" s="10" t="n">
        <x:f>IF(I1004=0,0,J1004*'Assumptions'!$W$130+H1004*'Assumptions'!$X$130)</x:f>
        <x:v>1410.8974228768907</x:v>
      </x:c>
      <x:c r="T1004" s="10" t="n">
        <x:f>N1004*'Assumptions'!$AA$130</x:f>
        <x:v>3199.6023434470108</x:v>
      </x:c>
      <x:c r="U1004" s="10" t="n">
        <x:f>'Assumptions'!$AE$130*'Assumptions'!$D$11*(1+'Assumptions'!$D$13)^(8-1)</x:f>
        <x:v>0</x:v>
      </x:c>
      <x:c r="V1004" s="10" t="n">
        <x:f>0</x:f>
        <x:v>0</x:v>
      </x:c>
      <x:c r="W1004" s="10" t="n">
        <x:f>H1004*('Assumptions'!$P$130+'Assumptions'!$Y$130)</x:f>
        <x:v>122.16870121073362</x:v>
      </x:c>
      <x:c r="X1004" s="10" t="n">
        <x:f>N1004/12*'Assumptions'!$AF$130</x:f>
        <x:v>0</x:v>
      </x:c>
      <x:c r="Y1004" s="10" t="n">
        <x:f>P1004/12</x:f>
        <x:v>1252.1007732665082</x:v>
      </x:c>
      <x:c r="Z1004" s="10" t="n">
        <x:f>0</x:f>
        <x:v>0</x:v>
      </x:c>
      <x:c r="AA1004" s="10" t="n">
        <x:f>Z1004*'Assumptions'!$AC$130*'Assumptions'!$D$11*(1+'Assumptions'!$D$13)^(8-1)</x:f>
        <x:v>0</x:v>
      </x:c>
      <x:c r="AB1004" s="10" t="n">
        <x:f>F1004/1</x:f>
        <x:v>288.8637510687131</x:v>
      </x:c>
      <x:c r="AC1004" s="10" t="n">
        <x:f>AB1004/'Assumptions'!$AM$130</x:f>
        <x:v>9628.791702290437</x:v>
      </x:c>
      <x:c r="AD1004" s="10" t="n">
        <x:f>IF(AB1004=0,0,T1004/AB1004)</x:f>
        <x:v>11.076510401908855</x:v>
      </x:c>
      <x:c r="AE1004" s="10" t="n">
        <x:f>AA1004*'Assumptions'!$D$21</x:f>
        <x:v>0</x:v>
      </x:c>
    </x:row>
    <x:row r="1005" ht="16" customHeight="1">
      <x:c r="A1005" s="1"/>
      <x:c r="B1005" s="1"/>
      <x:c r="C1005" s="1" t="str">
        <x:v>DOT-102</x:v>
      </x:c>
      <x:c r="D1005" s="10" t="str">
        <x:v>Sleepy Face</x:v>
      </x:c>
      <x:c r="E1005" s="10" t="n">
        <x:v>8</x:v>
      </x:c>
      <x:c r="F1005" s="21" t="n">
        <x:f>F877*(1+'Assumptions'!$M$131)</x:f>
        <x:v>433.29562660306954</x:v>
      </x:c>
      <x:c r="G1005" s="21" t="n">
        <x:f>H877*'Assumptions'!$K$131</x:f>
        <x:v>177.54787945059846</x:v>
      </x:c>
      <x:c r="H1005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1005+G1005,NA())</x:f>
        <x:v>610.843506053668</x:v>
      </x:c>
      <x:c r="I1005" s="22" t="n">
        <x:f>'Assumptions'!$H$131*IF('Assumptions'!$O$131=1,1,'Assumptions'!$D$10)*(1+'Assumptions'!$N$131)^(8-1)</x:f>
        <x:v>189.5331351621312</x:v>
      </x:c>
      <x:c r="J1005" s="10" t="n">
        <x:f>H1005*I1005</x:f>
        <x:v>115775.08479577996</x:v>
      </x:c>
      <x:c r="K1005" s="10" t="n">
        <x:f>J1005*'Assumptions'!$T$131</x:f>
        <x:v>115775.08479577996</x:v>
      </x:c>
      <x:c r="L1005" s="10" t="n">
        <x:f>K1005*'Assumptions'!$U$131</x:f>
        <x:v>9262.006783662397</x:v>
      </x:c>
      <x:c r="M1005" s="10" t="n">
        <x:f>K1005*'Assumptions'!$V$131</x:f>
        <x:v>2315.501695915599</x:v>
      </x:c>
      <x:c r="N1005" s="10" t="n">
        <x:f>K1005-L1005-M1005</x:f>
        <x:v>104197.57631620196</x:v>
      </x:c>
      <x:c r="O1005" s="10" t="n">
        <x:f>H1005*'Assumptions'!$P$131*'Assumptions'!$Q$131*'Assumptions'!$D$11*(1+'Assumptions'!$D$13)^(8-1)</x:f>
        <x:v>3944.1174357895</x:v>
      </x:c>
      <x:c r="P1005" s="10" t="n">
        <x:f>H1005*'Assumptions'!$R$131*'Assumptions'!$D$11*(1+'Assumptions'!$D$13)^(8-1)</x:f>
        <x:v>45075.62783759428</x:v>
      </x:c>
      <x:c r="Q1005" s="10" t="n">
        <x:f>J1005*'Assumptions'!$S$131</x:f>
        <x:v>0</x:v>
      </x:c>
      <x:c r="R1005" s="10" t="n">
        <x:f>H1005*'Assumptions'!$Y$131*'Assumptions'!$Z$131*'Assumptions'!$D$11*(1+'Assumptions'!$D$13)^(8-1)</x:f>
        <x:v>3380.6720878195715</x:v>
      </x:c>
      <x:c r="S1005" s="10" t="n">
        <x:f>IF(I1005=0,0,J1005*'Assumptions'!$W$131+H1005*'Assumptions'!$X$131)</x:f>
        <x:v>3540.730510893719</x:v>
      </x:c>
      <x:c r="T1005" s="10" t="n">
        <x:f>N1005*'Assumptions'!$AA$131</x:f>
        <x:v>8335.806105296157</x:v>
      </x:c>
      <x:c r="U1005" s="10" t="n">
        <x:f>'Assumptions'!$AE$131*'Assumptions'!$D$11*(1+'Assumptions'!$D$13)^(8-1)</x:f>
        <x:v>0</x:v>
      </x:c>
      <x:c r="V1005" s="10" t="n">
        <x:f>0</x:f>
        <x:v>0</x:v>
      </x:c>
      <x:c r="W1005" s="10" t="n">
        <x:f>H1005*('Assumptions'!$P$131+'Assumptions'!$Y$131)</x:f>
        <x:v>183.2530518161004</x:v>
      </x:c>
      <x:c r="X1005" s="10" t="n">
        <x:f>N1005/12*'Assumptions'!$AF$131</x:f>
        <x:v>0</x:v>
      </x:c>
      <x:c r="Y1005" s="10" t="n">
        <x:f>P1005/12</x:f>
        <x:v>3756.302319799523</x:v>
      </x:c>
      <x:c r="Z1005" s="10" t="n">
        <x:f>0</x:f>
        <x:v>0</x:v>
      </x:c>
      <x:c r="AA1005" s="10" t="n">
        <x:f>Z1005*'Assumptions'!$AC$131*'Assumptions'!$D$11*(1+'Assumptions'!$D$13)^(8-1)</x:f>
        <x:v>0</x:v>
      </x:c>
      <x:c r="AB1005" s="10" t="n">
        <x:f>F1005/1</x:f>
        <x:v>433.29562660306954</x:v>
      </x:c>
      <x:c r="AC1005" s="10" t="n">
        <x:f>AB1005/'Assumptions'!$AM$131</x:f>
        <x:v>14443.187553435651</x:v>
      </x:c>
      <x:c r="AD1005" s="10" t="n">
        <x:f>IF(AB1005=0,0,T1005/AB1005)</x:f>
        <x:v>19.23814964542064</x:v>
      </x:c>
      <x:c r="AE1005" s="10" t="n">
        <x:f>AA1005*'Assumptions'!$D$21</x:f>
        <x:v>0</x:v>
      </x:c>
    </x:row>
    <x:row r="1006" ht="16" customHeight="1">
      <x:c r="A1006" s="1"/>
      <x:c r="B1006" s="1"/>
      <x:c r="C1006" s="1" t="str">
        <x:v>DOT-103</x:v>
      </x:c>
      <x:c r="D1006" s="10" t="str">
        <x:v>Sleepy Face</x:v>
      </x:c>
      <x:c r="E1006" s="10" t="n">
        <x:v>8</x:v>
      </x:c>
      <x:c r="F1006" s="21" t="n">
        <x:f>F878*(1+'Assumptions'!$M$132)</x:f>
        <x:v>96.28791702290434</x:v>
      </x:c>
      <x:c r="G1006" s="21" t="n">
        <x:f>H878*'Assumptions'!$K$132</x:f>
        <x:v>39.455084322355205</x:v>
      </x:c>
      <x:c r="H1006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1006+G1006,NA())</x:f>
        <x:v>135.74300134525953</x:v>
      </x:c>
      <x:c r="I1006" s="22" t="n">
        <x:f>'Assumptions'!$H$132*IF('Assumptions'!$O$132=1,1,'Assumptions'!$D$10)*(1+'Assumptions'!$N$132)^(8-1)</x:f>
        <x:v>258.454275221088</x:v>
      </x:c>
      <x:c r="J1006" s="10" t="n">
        <x:f>H1006*I1006</x:f>
        <x:v>35083.35902902422</x:v>
      </x:c>
      <x:c r="K1006" s="10" t="n">
        <x:f>J1006*'Assumptions'!$T$132</x:f>
        <x:v>35083.35902902422</x:v>
      </x:c>
      <x:c r="L1006" s="10" t="n">
        <x:f>K1006*'Assumptions'!$U$132</x:f>
        <x:v>2806.668722321938</x:v>
      </x:c>
      <x:c r="M1006" s="10" t="n">
        <x:f>K1006*'Assumptions'!$V$132</x:f>
        <x:v>701.6671805804845</x:v>
      </x:c>
      <x:c r="N1006" s="10" t="n">
        <x:f>K1006-L1006-M1006</x:f>
        <x:v>31575.0231261218</x:v>
      </x:c>
      <x:c r="O1006" s="10" t="n">
        <x:f>H1006*'Assumptions'!$P$132*'Assumptions'!$Q$132*'Assumptions'!$D$11*(1+'Assumptions'!$D$13)^(8-1)</x:f>
        <x:v>876.4705412865554</x:v>
      </x:c>
      <x:c r="P1006" s="10" t="n">
        <x:f>H1006*'Assumptions'!$R$132*'Assumptions'!$D$11*(1+'Assumptions'!$D$13)^(8-1)</x:f>
        <x:v>15025.209279198092</x:v>
      </x:c>
      <x:c r="Q1006" s="10" t="n">
        <x:f>J1006*'Assumptions'!$S$132</x:f>
        <x:v>0</x:v>
      </x:c>
      <x:c r="R1006" s="10" t="n">
        <x:f>H1006*'Assumptions'!$Y$132*'Assumptions'!$Z$132*'Assumptions'!$D$11*(1+'Assumptions'!$D$13)^(8-1)</x:f>
        <x:v>751.2604639599045</x:v>
      </x:c>
      <x:c r="S1006" s="10" t="n">
        <x:f>IF(I1006=0,0,J1006*'Assumptions'!$W$132+H1006*'Assumptions'!$X$132)</x:f>
        <x:v>1058.1403122452803</x:v>
      </x:c>
      <x:c r="T1006" s="10" t="n">
        <x:f>N1006*'Assumptions'!$AA$132</x:f>
        <x:v>2526.001850089744</x:v>
      </x:c>
      <x:c r="U1006" s="10" t="n">
        <x:f>'Assumptions'!$AE$132*'Assumptions'!$D$11*(1+'Assumptions'!$D$13)^(8-1)</x:f>
        <x:v>0</x:v>
      </x:c>
      <x:c r="V1006" s="10" t="n">
        <x:f>0</x:f>
        <x:v>0</x:v>
      </x:c>
      <x:c r="W1006" s="10" t="n">
        <x:f>H1006*('Assumptions'!$P$132+'Assumptions'!$Y$132)</x:f>
        <x:v>40.72290040357786</x:v>
      </x:c>
      <x:c r="X1006" s="10" t="n">
        <x:f>N1006/12*'Assumptions'!$AF$132</x:f>
        <x:v>0</x:v>
      </x:c>
      <x:c r="Y1006" s="10" t="n">
        <x:f>P1006/12</x:f>
        <x:v>1252.1007732665078</x:v>
      </x:c>
      <x:c r="Z1006" s="10" t="n">
        <x:f>0</x:f>
        <x:v>0</x:v>
      </x:c>
      <x:c r="AA1006" s="10" t="n">
        <x:f>Z1006*'Assumptions'!$AC$132*'Assumptions'!$D$11*(1+'Assumptions'!$D$13)^(8-1)</x:f>
        <x:v>0</x:v>
      </x:c>
      <x:c r="AB1006" s="10" t="n">
        <x:f>F1006/1</x:f>
        <x:v>96.28791702290434</x:v>
      </x:c>
      <x:c r="AC1006" s="10" t="n">
        <x:f>AB1006/'Assumptions'!$AM$132</x:f>
        <x:v>3209.5972340968115</x:v>
      </x:c>
      <x:c r="AD1006" s="10" t="n">
        <x:f>IF(AB1006=0,0,T1006/AB1006)</x:f>
        <x:v>26.233840425573597</x:v>
      </x:c>
      <x:c r="AE1006" s="10" t="n">
        <x:f>AA1006*'Assumptions'!$D$21</x:f>
        <x:v>0</x:v>
      </x:c>
    </x:row>
    <x:row r="1007" ht="16" customHeight="1">
      <x:c r="A1007" s="1"/>
      <x:c r="B1007" s="1"/>
      <x:c r="C1007" s="1" t="str">
        <x:v>DOT-104</x:v>
      </x:c>
      <x:c r="D1007" s="10" t="str">
        <x:v>Sleepy Face</x:v>
      </x:c>
      <x:c r="E1007" s="10" t="n">
        <x:v>8</x:v>
      </x:c>
      <x:c r="F1007" s="21" t="n">
        <x:f>F879*(1+'Assumptions'!$M$133)</x:f>
        <x:v>288.8637510687131</x:v>
      </x:c>
      <x:c r="G1007" s="21" t="n">
        <x:f>H879*'Assumptions'!$K$133</x:f>
        <x:v>118.36525296706566</x:v>
      </x:c>
      <x:c r="H1007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1007+G1007,NA())</x:f>
        <x:v>407.22900403577876</x:v>
      </x:c>
      <x:c r="I1007" s="22" t="n">
        <x:f>'Assumptions'!$H$133*IF('Assumptions'!$O$133=1,1,'Assumptions'!$D$10)*(1+'Assumptions'!$N$133)^(8-1)</x:f>
        <x:v>109.1251384266816</x:v>
      </x:c>
      <x:c r="J1007" s="10" t="n">
        <x:f>H1007*I1007</x:f>
        <x:v>44438.92143676404</x:v>
      </x:c>
      <x:c r="K1007" s="10" t="n">
        <x:f>J1007*'Assumptions'!$T$133</x:f>
        <x:v>44438.92143676404</x:v>
      </x:c>
      <x:c r="L1007" s="10" t="n">
        <x:f>K1007*'Assumptions'!$U$133</x:f>
        <x:v>3555.113714941123</x:v>
      </x:c>
      <x:c r="M1007" s="10" t="n">
        <x:f>K1007*'Assumptions'!$V$133</x:f>
        <x:v>888.7784287352807</x:v>
      </x:c>
      <x:c r="N1007" s="10" t="n">
        <x:f>K1007-L1007-M1007</x:f>
        <x:v>39995.02929308763</x:v>
      </x:c>
      <x:c r="O1007" s="10" t="n">
        <x:f>H1007*'Assumptions'!$P$133*'Assumptions'!$Q$133*'Assumptions'!$D$11*(1+'Assumptions'!$D$13)^(8-1)</x:f>
        <x:v>2629.4116238596666</x:v>
      </x:c>
      <x:c r="P1007" s="10" t="n">
        <x:f>H1007*'Assumptions'!$R$133*'Assumptions'!$D$11*(1+'Assumptions'!$D$13)^(8-1)</x:f>
        <x:v>17529.410825731116</x:v>
      </x:c>
      <x:c r="Q1007" s="10" t="n">
        <x:f>J1007*'Assumptions'!$S$133</x:f>
        <x:v>0</x:v>
      </x:c>
      <x:c r="R1007" s="10" t="n">
        <x:f>H1007*'Assumptions'!$Y$133*'Assumptions'!$Z$133*'Assumptions'!$D$11*(1+'Assumptions'!$D$13)^(8-1)</x:f>
        <x:v>2253.7813918797146</x:v>
      </x:c>
      <x:c r="S1007" s="10" t="n">
        <x:f>IF(I1007=0,0,J1007*'Assumptions'!$W$133+H1007*'Assumptions'!$X$133)</x:f>
        <x:v>1410.8974228768907</x:v>
      </x:c>
      <x:c r="T1007" s="10" t="n">
        <x:f>N1007*'Assumptions'!$AA$133</x:f>
        <x:v>3199.6023434470108</x:v>
      </x:c>
      <x:c r="U1007" s="10" t="n">
        <x:f>'Assumptions'!$AE$133*'Assumptions'!$D$11*(1+'Assumptions'!$D$13)^(8-1)</x:f>
        <x:v>0</x:v>
      </x:c>
      <x:c r="V1007" s="10" t="n">
        <x:f>0</x:f>
        <x:v>0</x:v>
      </x:c>
      <x:c r="W1007" s="10" t="n">
        <x:f>H1007*('Assumptions'!$P$133+'Assumptions'!$Y$133)</x:f>
        <x:v>122.16870121073362</x:v>
      </x:c>
      <x:c r="X1007" s="10" t="n">
        <x:f>N1007/12*'Assumptions'!$AF$133</x:f>
        <x:v>0</x:v>
      </x:c>
      <x:c r="Y1007" s="10" t="n">
        <x:f>P1007/12</x:f>
        <x:v>1460.784235477593</x:v>
      </x:c>
      <x:c r="Z1007" s="10" t="n">
        <x:f>0</x:f>
        <x:v>0</x:v>
      </x:c>
      <x:c r="AA1007" s="10" t="n">
        <x:f>Z1007*'Assumptions'!$AC$133*'Assumptions'!$D$11*(1+'Assumptions'!$D$13)^(8-1)</x:f>
        <x:v>0</x:v>
      </x:c>
      <x:c r="AB1007" s="10" t="n">
        <x:f>F1007/1</x:f>
        <x:v>288.8637510687131</x:v>
      </x:c>
      <x:c r="AC1007" s="10" t="n">
        <x:f>AB1007/'Assumptions'!$AM$133</x:f>
        <x:v>9628.791702290437</x:v>
      </x:c>
      <x:c r="AD1007" s="10" t="n">
        <x:f>IF(AB1007=0,0,T1007/AB1007)</x:f>
        <x:v>11.076510401908855</x:v>
      </x:c>
      <x:c r="AE1007" s="10" t="n">
        <x:f>AA1007*'Assumptions'!$D$21</x:f>
        <x:v>0</x:v>
      </x:c>
    </x:row>
    <x:row r="1008" ht="16" customHeight="1">
      <x:c r="A1008" s="1"/>
      <x:c r="B1008" s="1"/>
      <x:c r="C1008" s="1" t="str">
        <x:v>DOT-105</x:v>
      </x:c>
      <x:c r="D1008" s="10" t="str">
        <x:v>Sleepy Face</x:v>
      </x:c>
      <x:c r="E1008" s="10" t="n">
        <x:v>8</x:v>
      </x:c>
      <x:c r="F1008" s="21" t="n">
        <x:f>F880*(1+'Assumptions'!$M$134)</x:f>
        <x:v>144.43187553435655</x:v>
      </x:c>
      <x:c r="G1008" s="21" t="n">
        <x:f>H880*'Assumptions'!$K$134</x:f>
        <x:v>59.18262648353283</x:v>
      </x:c>
      <x:c r="H1008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1008+G1008,NA())</x:f>
        <x:v>203.61450201788938</x:v>
      </x:c>
      <x:c r="I1008" s="22" t="n">
        <x:f>'Assumptions'!$H$134*IF('Assumptions'!$O$134=1,1,'Assumptions'!$D$10)*(1+'Assumptions'!$N$134)^(8-1)</x:f>
        <x:v>201.019991838624</x:v>
      </x:c>
      <x:c r="J1008" s="10" t="n">
        <x:f>H1008*I1008</x:f>
        <x:v>40930.58553386162</x:v>
      </x:c>
      <x:c r="K1008" s="10" t="n">
        <x:f>J1008*'Assumptions'!$T$134</x:f>
        <x:v>40930.58553386162</x:v>
      </x:c>
      <x:c r="L1008" s="10" t="n">
        <x:f>K1008*'Assumptions'!$U$134</x:f>
        <x:v>3274.4468427089296</x:v>
      </x:c>
      <x:c r="M1008" s="10" t="n">
        <x:f>K1008*'Assumptions'!$V$134</x:f>
        <x:v>818.6117106772324</x:v>
      </x:c>
      <x:c r="N1008" s="10" t="n">
        <x:f>K1008-L1008-M1008</x:f>
        <x:v>36837.52698047546</x:v>
      </x:c>
      <x:c r="O1008" s="10" t="n">
        <x:f>H1008*'Assumptions'!$P$134*'Assumptions'!$Q$134*'Assumptions'!$D$11*(1+'Assumptions'!$D$13)^(8-1)</x:f>
        <x:v>1314.7058119298333</x:v>
      </x:c>
      <x:c r="P1008" s="10" t="n">
        <x:f>H1008*'Assumptions'!$R$134*'Assumptions'!$D$11*(1+'Assumptions'!$D$13)^(8-1)</x:f>
        <x:v>16277.310052464607</x:v>
      </x:c>
      <x:c r="Q1008" s="10" t="n">
        <x:f>J1008*'Assumptions'!$S$134</x:f>
        <x:v>0</x:v>
      </x:c>
      <x:c r="R1008" s="10" t="n">
        <x:f>H1008*'Assumptions'!$Y$134*'Assumptions'!$Z$134*'Assumptions'!$D$11*(1+'Assumptions'!$D$13)^(8-1)</x:f>
        <x:v>1126.8906959398573</x:v>
      </x:c>
      <x:c r="S1008" s="10" t="n">
        <x:f>IF(I1008=0,0,J1008*'Assumptions'!$W$134+H1008*'Assumptions'!$X$134)</x:f>
        <x:v>1248.0713310873537</x:v>
      </x:c>
      <x:c r="T1008" s="10" t="n">
        <x:f>N1008*'Assumptions'!$AA$134</x:f>
        <x:v>2947.0021584380365</x:v>
      </x:c>
      <x:c r="U1008" s="10" t="n">
        <x:f>'Assumptions'!$AE$134*'Assumptions'!$D$11*(1+'Assumptions'!$D$13)^(8-1)</x:f>
        <x:v>0</x:v>
      </x:c>
      <x:c r="V1008" s="10" t="n">
        <x:f>0</x:f>
        <x:v>0</x:v>
      </x:c>
      <x:c r="W1008" s="10" t="n">
        <x:f>H1008*('Assumptions'!$P$134+'Assumptions'!$Y$134)</x:f>
        <x:v>61.08435060536681</x:v>
      </x:c>
      <x:c r="X1008" s="10" t="n">
        <x:f>N1008/12*'Assumptions'!$AF$134</x:f>
        <x:v>0</x:v>
      </x:c>
      <x:c r="Y1008" s="10" t="n">
        <x:f>P1008/12</x:f>
        <x:v>1356.4425043720505</x:v>
      </x:c>
      <x:c r="Z1008" s="10" t="n">
        <x:f>0</x:f>
        <x:v>0</x:v>
      </x:c>
      <x:c r="AA1008" s="10" t="n">
        <x:f>Z1008*'Assumptions'!$AC$134*'Assumptions'!$D$11*(1+'Assumptions'!$D$13)^(8-1)</x:f>
        <x:v>0</x:v>
      </x:c>
      <x:c r="AB1008" s="10" t="n">
        <x:f>F1008/1</x:f>
        <x:v>144.43187553435655</x:v>
      </x:c>
      <x:c r="AC1008" s="10" t="n">
        <x:f>AB1008/'Assumptions'!$AM$134</x:f>
        <x:v>4814.395851145218</x:v>
      </x:c>
      <x:c r="AD1008" s="10" t="n">
        <x:f>IF(AB1008=0,0,T1008/AB1008)</x:f>
        <x:v>20.404098108779472</x:v>
      </x:c>
      <x:c r="AE1008" s="10" t="n">
        <x:f>AA1008*'Assumptions'!$D$21</x:f>
        <x:v>0</x:v>
      </x:c>
    </x:row>
    <x:row r="1009" ht="16" customHeight="1">
      <x:c r="A1009" s="1"/>
      <x:c r="B1009" s="1"/>
      <x:c r="C1009" s="1" t="str">
        <x:v>DOT-106</x:v>
      </x:c>
      <x:c r="D1009" s="10" t="str">
        <x:v>QzoticMusic</x:v>
      </x:c>
      <x:c r="E1009" s="10" t="n">
        <x:v>8</x:v>
      </x:c>
      <x:c r="F1009" s="21" t="n">
        <x:f>F881*(1+'Assumptions'!$M$135)</x:f>
        <x:v>860.0338586446874</x:v>
      </x:c>
      <x:c r="G1009" s="21" t="n">
        <x:f>H881*'Assumptions'!$K$135</x:f>
        <x:v>275.1095503593749</x:v>
      </x:c>
      <x:c r="H1009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1009+G1009,NA())</x:f>
        <x:v>1135.1434090040623</x:v>
      </x:c>
      <x:c r="I1009" s="22" t="n">
        <x:f>'Assumptions'!$H$135*IF('Assumptions'!$O$135=1,1,'Assumptions'!$D$10)*(1+'Assumptions'!$N$135)^(8-1)</x:f>
        <x:v>5.7434283382464</x:v>
      </x:c>
      <x:c r="J1009" s="10" t="n">
        <x:f>H1009*I1009</x:f>
        <x:v>6519.614823247555</x:v>
      </x:c>
      <x:c r="K1009" s="10" t="n">
        <x:f>J1009*'Assumptions'!$T$135</x:f>
        <x:v>6519.614823247555</x:v>
      </x:c>
      <x:c r="L1009" s="10" t="n">
        <x:f>K1009*'Assumptions'!$U$135</x:f>
        <x:v>195.58844469742664</x:v>
      </x:c>
      <x:c r="M1009" s="10" t="n">
        <x:f>K1009*'Assumptions'!$V$135</x:f>
        <x:v>0</x:v>
      </x:c>
      <x:c r="N1009" s="10" t="n">
        <x:f>K1009-L1009-M1009</x:f>
        <x:v>6324.026378550128</x:v>
      </x:c>
      <x:c r="O1009" s="10" t="n">
        <x:f>H1009*'Assumptions'!$P$135*'Assumptions'!$Q$135*'Assumptions'!$D$11*(1+'Assumptions'!$D$13)^(8-1)</x:f>
        <x:v>977.2582485703733</x:v>
      </x:c>
      <x:c r="P1009" s="10" t="n">
        <x:f>H1009*'Assumptions'!$R$135*'Assumptions'!$D$11*(1+'Assumptions'!$D$13)^(8-1)</x:f>
        <x:v>0</x:v>
      </x:c>
      <x:c r="Q1009" s="10" t="n">
        <x:f>J1009*'Assumptions'!$S$135</x:f>
        <x:v>0</x:v>
      </x:c>
      <x:c r="R1009" s="10" t="n">
        <x:f>H1009*'Assumptions'!$Y$135*'Assumptions'!$Z$135*'Assumptions'!$D$11*(1+'Assumptions'!$D$13)^(8-1)</x:f>
        <x:v>4188.249636730172</x:v>
      </x:c>
      <x:c r="S1009" s="10" t="n">
        <x:f>IF(I1009=0,0,J1009*'Assumptions'!$W$135+H1009*'Assumptions'!$X$135)</x:f>
        <x:v>529.6118525753977</x:v>
      </x:c>
      <x:c r="T1009" s="10" t="n">
        <x:f>N1009*'Assumptions'!$AA$135</x:f>
        <x:v>316.20131892750646</x:v>
      </x:c>
      <x:c r="U1009" s="10" t="n">
        <x:f>'Assumptions'!$AE$135*'Assumptions'!$D$11*(1+'Assumptions'!$D$13)^(8-1)</x:f>
        <x:v>0</x:v>
      </x:c>
      <x:c r="V1009" s="10" t="n">
        <x:f>0</x:f>
        <x:v>0</x:v>
      </x:c>
      <x:c r="W1009" s="10" t="n">
        <x:f>H1009*('Assumptions'!$P$135+'Assumptions'!$Y$135)</x:f>
        <x:v>136.2172090804875</x:v>
      </x:c>
      <x:c r="X1009" s="10" t="n">
        <x:f>N1009/12*'Assumptions'!$AF$135</x:f>
        <x:v>0</x:v>
      </x:c>
      <x:c r="Y1009" s="10" t="n">
        <x:f>P1009/12</x:f>
        <x:v>0</x:v>
      </x:c>
      <x:c r="Z1009" s="10" t="n">
        <x:f>0</x:f>
        <x:v>0</x:v>
      </x:c>
      <x:c r="AA1009" s="10" t="n">
        <x:f>Z1009*'Assumptions'!$AC$135*'Assumptions'!$D$11*(1+'Assumptions'!$D$13)^(8-1)</x:f>
        <x:v>0</x:v>
      </x:c>
      <x:c r="AB1009" s="10" t="n">
        <x:f>F1009/12</x:f>
        <x:v>71.66948822039062</x:v>
      </x:c>
      <x:c r="AC1009" s="10" t="n">
        <x:f>AB1009/'Assumptions'!$AM$135</x:f>
        <x:v>1433.3897644078122</x:v>
      </x:c>
      <x:c r="AD1009" s="10" t="n">
        <x:f>IF(AB1009=0,0,T1009/AB1009)</x:f>
        <x:v>4.411937726625824</x:v>
      </x:c>
      <x:c r="AE1009" s="10" t="n">
        <x:f>AA1009*'Assumptions'!$D$21</x:f>
        <x:v>0</x:v>
      </x:c>
    </x:row>
    <x:row r="1010" ht="16" customHeight="1">
      <x:c r="A1010" s="1"/>
      <x:c r="B1010" s="1"/>
      <x:c r="C1010" s="1" t="str">
        <x:v>DOT-107</x:v>
      </x:c>
      <x:c r="D1010" s="10" t="str">
        <x:v>QzoticMusic</x:v>
      </x:c>
      <x:c r="E1010" s="10" t="n">
        <x:v>8</x:v>
      </x:c>
      <x:c r="F1010" s="21" t="n">
        <x:f>F882*(1+'Assumptions'!$M$136)</x:f>
        <x:v>249.57840970920012</x:v>
      </x:c>
      <x:c r="G1010" s="21" t="n">
        <x:f>H882*'Assumptions'!$K$136</x:f>
        <x:v>127.91904402900005</x:v>
      </x:c>
      <x:c r="H1010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1010+G1010,NA())</x:f>
        <x:v>377.4974537382002</x:v>
      </x:c>
      <x:c r="I1010" s="22" t="n">
        <x:f>'Assumptions'!$H$136*IF('Assumptions'!$O$136=1,1,'Assumptions'!$D$10)*(1+'Assumptions'!$N$136)^(8-1)</x:f>
        <x:v>28.717141691232</x:v>
      </x:c>
      <x:c r="J1010" s="10" t="n">
        <x:f>H1010*I1010</x:f>
        <x:v>10840.647867079193</x:v>
      </x:c>
      <x:c r="K1010" s="10" t="n">
        <x:f>J1010*'Assumptions'!$T$136</x:f>
        <x:v>10840.647867079193</x:v>
      </x:c>
      <x:c r="L1010" s="10" t="n">
        <x:f>K1010*'Assumptions'!$U$136</x:f>
        <x:v>325.21943601237575</x:v>
      </x:c>
      <x:c r="M1010" s="10" t="n">
        <x:f>K1010*'Assumptions'!$V$136</x:f>
        <x:v>0</x:v>
      </x:c>
      <x:c r="N1010" s="10" t="n">
        <x:f>K1010-L1010-M1010</x:f>
        <x:v>10515.428431066817</x:v>
      </x:c>
      <x:c r="O1010" s="10" t="n">
        <x:f>H1010*'Assumptions'!$P$136*'Assumptions'!$Q$136*'Assumptions'!$D$11*(1+'Assumptions'!$D$13)^(8-1)</x:f>
        <x:v>2437.4398262394934</x:v>
      </x:c>
      <x:c r="P1010" s="10" t="n">
        <x:f>H1010*'Assumptions'!$R$136*'Assumptions'!$D$11*(1+'Assumptions'!$D$13)^(8-1)</x:f>
        <x:v>4642.742526170464</x:v>
      </x:c>
      <x:c r="Q1010" s="10" t="n">
        <x:f>J1010*'Assumptions'!$S$136</x:f>
        <x:v>0</x:v>
      </x:c>
      <x:c r="R1010" s="10" t="n">
        <x:f>H1010*'Assumptions'!$Y$136*'Assumptions'!$Z$136*'Assumptions'!$D$11*(1+'Assumptions'!$D$13)^(8-1)</x:f>
        <x:v>6964.113789255695</x:v>
      </x:c>
      <x:c r="S1010" s="10" t="n">
        <x:f>IF(I1010=0,0,J1010*'Assumptions'!$W$136+H1010*'Assumptions'!$X$136)</x:f>
        <x:v>427.62802426675665</x:v>
      </x:c>
      <x:c r="T1010" s="10" t="n">
        <x:f>N1010*'Assumptions'!$AA$136</x:f>
        <x:v>841.2342744853454</x:v>
      </x:c>
      <x:c r="U1010" s="10" t="n">
        <x:f>'Assumptions'!$AE$136*'Assumptions'!$D$11*(1+'Assumptions'!$D$13)^(8-1)</x:f>
        <x:v>0</x:v>
      </x:c>
      <x:c r="V1010" s="10" t="n">
        <x:f>0</x:f>
        <x:v>0</x:v>
      </x:c>
      <x:c r="W1010" s="10" t="n">
        <x:f>H1010*('Assumptions'!$P$136+'Assumptions'!$Y$136)</x:f>
        <x:v>245.37334492983013</x:v>
      </x:c>
      <x:c r="X1010" s="10" t="n">
        <x:f>N1010/12*'Assumptions'!$AF$136</x:f>
        <x:v>876.2857025889015</x:v>
      </x:c>
      <x:c r="Y1010" s="10" t="n">
        <x:f>P1010/12</x:f>
        <x:v>386.8952105142053</x:v>
      </x:c>
      <x:c r="Z1010" s="10" t="n">
        <x:f>0</x:f>
        <x:v>0</x:v>
      </x:c>
      <x:c r="AA1010" s="10" t="n">
        <x:f>Z1010*'Assumptions'!$AC$136*'Assumptions'!$D$11*(1+'Assumptions'!$D$13)^(8-1)</x:f>
        <x:v>0</x:v>
      </x:c>
      <x:c r="AB1010" s="10" t="n">
        <x:f>F1010/1</x:f>
        <x:v>249.57840970920012</x:v>
      </x:c>
      <x:c r="AC1010" s="10" t="n">
        <x:f>AB1010/'Assumptions'!$AM$136</x:f>
        <x:v>2495.784097092001</x:v>
      </x:c>
      <x:c r="AD1010" s="10" t="n">
        <x:f>IF(AB1010=0,0,T1010/AB1010)</x:f>
        <x:v>3.3706211825995753</x:v>
      </x:c>
      <x:c r="AE1010" s="10" t="n">
        <x:f>AA1010*'Assumptions'!$D$21</x:f>
        <x:v>0</x:v>
      </x:c>
    </x:row>
    <x:row r="1011" ht="16" customHeight="1">
      <x:c r="A1011" s="1"/>
      <x:c r="B1011" s="1"/>
      <x:c r="C1011" s="1" t="str">
        <x:v>DOT-108</x:v>
      </x:c>
      <x:c r="D1011" s="10" t="str">
        <x:v>QzoticMusic</x:v>
      </x:c>
      <x:c r="E1011" s="10" t="n">
        <x:v>8</x:v>
      </x:c>
      <x:c r="F1011" s="21" t="n">
        <x:f>F883*(1+'Assumptions'!$M$137)</x:f>
        <x:v>12.478920485460007</x:v>
      </x:c>
      <x:c r="G1011" s="21" t="n">
        <x:f>H883*'Assumptions'!$K$137</x:f>
        <x:v>6.395952201450003</x:v>
      </x:c>
      <x:c r="H1011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1011+G1011,NA())</x:f>
        <x:v>18.87487268691001</x:v>
      </x:c>
      <x:c r="I1011" s="22" t="n">
        <x:f>'Assumptions'!$H$137*IF('Assumptions'!$O$137=1,1,'Assumptions'!$D$10)*(1+'Assumptions'!$N$137)^(8-1)</x:f>
        <x:v>287.17141691232</x:v>
      </x:c>
      <x:c r="J1011" s="10" t="n">
        <x:f>H1011*I1011</x:f>
        <x:v>5420.3239335395965</x:v>
      </x:c>
      <x:c r="K1011" s="10" t="n">
        <x:f>J1011*'Assumptions'!$T$137</x:f>
        <x:v>5420.3239335395965</x:v>
      </x:c>
      <x:c r="L1011" s="10" t="n">
        <x:f>K1011*'Assumptions'!$U$137</x:f>
        <x:v>162.60971800618788</x:v>
      </x:c>
      <x:c r="M1011" s="10" t="n">
        <x:f>K1011*'Assumptions'!$V$137</x:f>
        <x:v>0</x:v>
      </x:c>
      <x:c r="N1011" s="10" t="n">
        <x:f>K1011-L1011-M1011</x:f>
        <x:v>5257.714215533409</x:v>
      </x:c>
      <x:c r="O1011" s="10" t="n">
        <x:f>H1011*'Assumptions'!$P$137*'Assumptions'!$Q$137*'Assumptions'!$D$11*(1+'Assumptions'!$D$13)^(8-1)</x:f>
        <x:v>1857.0970104681855</x:v>
      </x:c>
      <x:c r="P1011" s="10" t="n">
        <x:f>H1011*'Assumptions'!$R$137*'Assumptions'!$D$11*(1+'Assumptions'!$D$13)^(8-1)</x:f>
        <x:v>0</x:v>
      </x:c>
      <x:c r="Q1011" s="10" t="n">
        <x:f>J1011*'Assumptions'!$S$137</x:f>
        <x:v>0</x:v>
      </x:c>
      <x:c r="R1011" s="10" t="n">
        <x:f>H1011*'Assumptions'!$Y$137*'Assumptions'!$Z$137*'Assumptions'!$D$11*(1+'Assumptions'!$D$13)^(8-1)</x:f>
        <x:v>348.2056894627848</x:v>
      </x:c>
      <x:c r="S1011" s="10" t="n">
        <x:f>IF(I1011=0,0,J1011*'Assumptions'!$W$137+H1011*'Assumptions'!$X$137)</x:f>
        <x:v>162.8518558787213</x:v>
      </x:c>
      <x:c r="T1011" s="10" t="n">
        <x:f>N1011*'Assumptions'!$AA$137</x:f>
        <x:v>420.6171372426727</x:v>
      </x:c>
      <x:c r="U1011" s="10" t="n">
        <x:f>'Assumptions'!$AE$137*'Assumptions'!$D$11*(1+'Assumptions'!$D$13)^(8-1)</x:f>
        <x:v>0</x:v>
      </x:c>
      <x:c r="V1011" s="10" t="n">
        <x:f>0</x:f>
        <x:v>0</x:v>
      </x:c>
      <x:c r="W1011" s="10" t="n">
        <x:f>H1011*('Assumptions'!$P$137+'Assumptions'!$Y$137)</x:f>
        <x:v>47.187181717275024</x:v>
      </x:c>
      <x:c r="X1011" s="10" t="n">
        <x:f>N1011/12*'Assumptions'!$AF$137</x:f>
        <x:v>438.14285129445074</x:v>
      </x:c>
      <x:c r="Y1011" s="10" t="n">
        <x:f>P1011/12</x:f>
        <x:v>0</x:v>
      </x:c>
      <x:c r="Z1011" s="10" t="n">
        <x:f>0</x:f>
        <x:v>0</x:v>
      </x:c>
      <x:c r="AA1011" s="10" t="n">
        <x:f>Z1011*'Assumptions'!$AC$137*'Assumptions'!$D$11*(1+'Assumptions'!$D$13)^(8-1)</x:f>
        <x:v>0</x:v>
      </x:c>
      <x:c r="AB1011" s="10" t="n">
        <x:f>F1011/1</x:f>
        <x:v>12.478920485460007</x:v>
      </x:c>
      <x:c r="AC1011" s="10" t="n">
        <x:f>AB1011/'Assumptions'!$AM$137</x:f>
        <x:v>124.78920485460006</x:v>
      </x:c>
      <x:c r="AD1011" s="10" t="n">
        <x:f>IF(AB1011=0,0,T1011/AB1011)</x:f>
        <x:v>33.70621182599575</x:v>
      </x:c>
      <x:c r="AE1011" s="10" t="n">
        <x:f>AA1011*'Assumptions'!$D$21</x:f>
        <x:v>0</x:v>
      </x:c>
    </x:row>
    <x:row r="1012" ht="16" customHeight="1">
      <x:c r="A1012" s="1"/>
      <x:c r="B1012" s="1"/>
      <x:c r="C1012" s="1" t="str">
        <x:v>DOT-109</x:v>
      </x:c>
      <x:c r="D1012" s="10" t="str">
        <x:v>LesPetitFilms</x:v>
      </x:c>
      <x:c r="E1012" s="10" t="n">
        <x:v>8</x:v>
      </x:c>
      <x:c r="F1012" s="21" t="n">
        <x:f>F884*(1+'Assumptions'!$M$138)</x:f>
        <x:v>8.319280323640005</x:v>
      </x:c>
      <x:c r="G1012" s="21" t="n">
        <x:f>H884*'Assumptions'!$K$138</x:f>
        <x:v>4.2639681343000015</x:v>
      </x:c>
      <x:c r="H1012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1012+G1012,NA())</x:f>
        <x:v>12.583248457940005</x:v>
      </x:c>
      <x:c r="I1012" s="22" t="n">
        <x:f>'Assumptions'!$H$138*IF('Assumptions'!$O$138=1,1,'Assumptions'!$D$10)*(1+'Assumptions'!$N$138)^(8-1)</x:f>
        <x:v>4020.3998367724803</x:v>
      </x:c>
      <x:c r="J1012" s="10" t="n">
        <x:f>H1012*I1012</x:f>
        <x:v>50589.690046369564</x:v>
      </x:c>
      <x:c r="K1012" s="10" t="n">
        <x:f>J1012*'Assumptions'!$T$138</x:f>
        <x:v>50589.690046369564</x:v>
      </x:c>
      <x:c r="L1012" s="10" t="n">
        <x:f>K1012*'Assumptions'!$U$138</x:f>
        <x:v>1517.6907013910868</x:v>
      </x:c>
      <x:c r="M1012" s="10" t="n">
        <x:f>K1012*'Assumptions'!$V$138</x:f>
        <x:v>0</x:v>
      </x:c>
      <x:c r="N1012" s="10" t="n">
        <x:f>K1012-L1012-M1012</x:f>
        <x:v>49071.999344978474</x:v>
      </x:c>
      <x:c r="O1012" s="10" t="n">
        <x:f>H1012*'Assumptions'!$P$138*'Assumptions'!$Q$138*'Assumptions'!$D$11*(1+'Assumptions'!$D$13)^(8-1)</x:f>
        <x:v>17410.28447313924</x:v>
      </x:c>
      <x:c r="P1012" s="10" t="n">
        <x:f>H1012*'Assumptions'!$R$138*'Assumptions'!$D$11*(1+'Assumptions'!$D$13)^(8-1)</x:f>
        <x:v>5416.532947198874</x:v>
      </x:c>
      <x:c r="Q1012" s="10" t="n">
        <x:f>J1012*'Assumptions'!$S$138</x:f>
        <x:v>0</x:v>
      </x:c>
      <x:c r="R1012" s="10" t="n">
        <x:f>H1012*'Assumptions'!$Y$138*'Assumptions'!$Z$138*'Assumptions'!$D$11*(1+'Assumptions'!$D$13)^(8-1)</x:f>
        <x:v>232.13712630852316</x:v>
      </x:c>
      <x:c r="S1012" s="10" t="n">
        <x:f>IF(I1012=0,0,J1012*'Assumptions'!$W$138+H1012*'Assumptions'!$X$138)</x:f>
        <x:v>1470.8759858820993</x:v>
      </x:c>
      <x:c r="T1012" s="10" t="n">
        <x:f>N1012*'Assumptions'!$AA$138</x:f>
        <x:v>3925.759947598278</x:v>
      </x:c>
      <x:c r="U1012" s="10" t="n">
        <x:f>'Assumptions'!$AE$138*'Assumptions'!$D$11*(1+'Assumptions'!$D$13)^(8-1)</x:f>
        <x:v>0</x:v>
      </x:c>
      <x:c r="V1012" s="10" t="n">
        <x:f>0</x:f>
        <x:v>0</x:v>
      </x:c>
      <x:c r="W1012" s="10" t="n">
        <x:f>H1012*('Assumptions'!$P$138+'Assumptions'!$Y$138)</x:f>
        <x:v>320.8728356774701</x:v>
      </x:c>
      <x:c r="X1012" s="10" t="n">
        <x:f>N1012/12*'Assumptions'!$AF$138</x:f>
        <x:v>4089.3332787482063</x:v>
      </x:c>
      <x:c r="Y1012" s="10" t="n">
        <x:f>P1012/12</x:f>
        <x:v>451.3777455999062</x:v>
      </x:c>
      <x:c r="Z1012" s="10" t="n">
        <x:f>0</x:f>
        <x:v>0</x:v>
      </x:c>
      <x:c r="AA1012" s="10" t="n">
        <x:f>Z1012*'Assumptions'!$AC$138*'Assumptions'!$D$11*(1+'Assumptions'!$D$13)^(8-1)</x:f>
        <x:v>0</x:v>
      </x:c>
      <x:c r="AB1012" s="10" t="n">
        <x:f>F1012/1</x:f>
        <x:v>8.319280323640005</x:v>
      </x:c>
      <x:c r="AC1012" s="10" t="n">
        <x:f>AB1012/'Assumptions'!$AM$138</x:f>
        <x:v>83.19280323640004</x:v>
      </x:c>
      <x:c r="AD1012" s="10" t="n">
        <x:f>IF(AB1012=0,0,T1012/AB1012)</x:f>
        <x:v>471.8869655639404</x:v>
      </x:c>
      <x:c r="AE1012" s="10" t="n">
        <x:f>AA1012*'Assumptions'!$D$21</x:f>
        <x:v>0</x:v>
      </x:c>
    </x:row>
    <x:row r="1013" ht="16" customHeight="1">
      <x:c r="A1013" s="1"/>
      <x:c r="B1013" s="1"/>
      <x:c r="C1013" s="1" t="str">
        <x:v>DOT-110</x:v>
      </x:c>
      <x:c r="D1013" s="10" t="str">
        <x:v>LesPetitFilms</x:v>
      </x:c>
      <x:c r="E1013" s="10" t="n">
        <x:v>8</x:v>
      </x:c>
      <x:c r="F1013" s="21" t="n">
        <x:f>F885*(1+'Assumptions'!$M$139)</x:f>
        <x:v>8.319280323640005</x:v>
      </x:c>
      <x:c r="G1013" s="21" t="n">
        <x:f>H885*'Assumptions'!$K$139</x:f>
        <x:v>4.2639681343000015</x:v>
      </x:c>
      <x:c r="H1013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1013+G1013,NA())</x:f>
        <x:v>12.583248457940005</x:v>
      </x:c>
      <x:c r="I1013" s="22" t="n">
        <x:f>'Assumptions'!$H$139*IF('Assumptions'!$O$139=1,1,'Assumptions'!$D$10)*(1+'Assumptions'!$N$139)^(8-1)</x:f>
        <x:v>1723.02850147392</x:v>
      </x:c>
      <x:c r="J1013" s="10" t="n">
        <x:f>H1013*I1013</x:f>
        <x:v>21681.295734158382</x:v>
      </x:c>
      <x:c r="K1013" s="10" t="n">
        <x:f>J1013*'Assumptions'!$T$139</x:f>
        <x:v>21681.295734158382</x:v>
      </x:c>
      <x:c r="L1013" s="10" t="n">
        <x:f>K1013*'Assumptions'!$U$139</x:f>
        <x:v>650.4388720247515</x:v>
      </x:c>
      <x:c r="M1013" s="10" t="n">
        <x:f>K1013*'Assumptions'!$V$139</x:f>
        <x:v>0</x:v>
      </x:c>
      <x:c r="N1013" s="10" t="n">
        <x:f>K1013-L1013-M1013</x:f>
        <x:v>21030.85686213363</x:v>
      </x:c>
      <x:c r="O1013" s="10" t="n">
        <x:f>H1013*'Assumptions'!$P$139*'Assumptions'!$Q$139*'Assumptions'!$D$11*(1+'Assumptions'!$D$13)^(8-1)</x:f>
        <x:v>6964.113789255694</x:v>
      </x:c>
      <x:c r="P1013" s="10" t="n">
        <x:f>H1013*'Assumptions'!$R$139*'Assumptions'!$D$11*(1+'Assumptions'!$D$13)^(8-1)</x:f>
        <x:v>3095.1616841136424</x:v>
      </x:c>
      <x:c r="Q1013" s="10" t="n">
        <x:f>J1013*'Assumptions'!$S$139</x:f>
        <x:v>0</x:v>
      </x:c>
      <x:c r="R1013" s="10" t="n">
        <x:f>H1013*'Assumptions'!$Y$139*'Assumptions'!$Z$139*'Assumptions'!$D$11*(1+'Assumptions'!$D$13)^(8-1)</x:f>
        <x:v>232.13712630852316</x:v>
      </x:c>
      <x:c r="S1013" s="10" t="n">
        <x:f>IF(I1013=0,0,J1013*'Assumptions'!$W$139+H1013*'Assumptions'!$X$139)</x:f>
        <x:v>632.5325508279751</x:v>
      </x:c>
      <x:c r="T1013" s="10" t="n">
        <x:f>N1013*'Assumptions'!$AA$139</x:f>
        <x:v>1682.4685489706906</x:v>
      </x:c>
      <x:c r="U1013" s="10" t="n">
        <x:f>'Assumptions'!$AE$139*'Assumptions'!$D$11*(1+'Assumptions'!$D$13)^(8-1)</x:f>
        <x:v>0</x:v>
      </x:c>
      <x:c r="V1013" s="10" t="n">
        <x:f>0</x:f>
        <x:v>0</x:v>
      </x:c>
      <x:c r="W1013" s="10" t="n">
        <x:f>H1013*('Assumptions'!$P$139+'Assumptions'!$Y$139)</x:f>
        <x:v>132.12410880837007</x:v>
      </x:c>
      <x:c r="X1013" s="10" t="n">
        <x:f>N1013/12*'Assumptions'!$AF$139</x:f>
        <x:v>1752.5714051778025</x:v>
      </x:c>
      <x:c r="Y1013" s="10" t="n">
        <x:f>P1013/12</x:f>
        <x:v>257.93014034280355</x:v>
      </x:c>
      <x:c r="Z1013" s="10" t="n">
        <x:f>0</x:f>
        <x:v>0</x:v>
      </x:c>
      <x:c r="AA1013" s="10" t="n">
        <x:f>Z1013*'Assumptions'!$AC$139*'Assumptions'!$D$11*(1+'Assumptions'!$D$13)^(8-1)</x:f>
        <x:v>0</x:v>
      </x:c>
      <x:c r="AB1013" s="10" t="n">
        <x:f>F1013/1</x:f>
        <x:v>8.319280323640005</x:v>
      </x:c>
      <x:c r="AC1013" s="10" t="n">
        <x:f>AB1013/'Assumptions'!$AM$139</x:f>
        <x:v>83.19280323640004</x:v>
      </x:c>
      <x:c r="AD1013" s="10" t="n">
        <x:f>IF(AB1013=0,0,T1013/AB1013)</x:f>
        <x:v>202.23727095597448</x:v>
      </x:c>
      <x:c r="AE1013" s="10" t="n">
        <x:f>AA1013*'Assumptions'!$D$21</x:f>
        <x:v>0</x:v>
      </x:c>
    </x:row>
    <x:row r="1014" ht="16" customHeight="1">
      <x:c r="A1014" s="1"/>
      <x:c r="B1014" s="1"/>
      <x:c r="C1014" s="1" t="str">
        <x:v>DOT-111</x:v>
      </x:c>
      <x:c r="D1014" s="10" t="str">
        <x:v>LesPetitFilms</x:v>
      </x:c>
      <x:c r="E1014" s="10" t="n">
        <x:v>8</x:v>
      </x:c>
      <x:c r="F1014" s="21" t="n">
        <x:f>F886*(1+'Assumptions'!$M$140)</x:f>
        <x:v>12.478920485460007</x:v>
      </x:c>
      <x:c r="G1014" s="21" t="n">
        <x:f>H886*'Assumptions'!$K$140</x:f>
        <x:v>6.395952201450003</x:v>
      </x:c>
      <x:c r="H1014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1014+G1014,NA())</x:f>
        <x:v>18.87487268691001</x:v>
      </x:c>
      <x:c r="I1014" s="22" t="n">
        <x:f>'Assumptions'!$H$140*IF('Assumptions'!$O$140=1,1,'Assumptions'!$D$10)*(1+'Assumptions'!$N$140)^(8-1)</x:f>
        <x:v>574.34283382464</x:v>
      </x:c>
      <x:c r="J1014" s="10" t="n">
        <x:f>H1014*I1014</x:f>
        <x:v>10840.647867079193</x:v>
      </x:c>
      <x:c r="K1014" s="10" t="n">
        <x:f>J1014*'Assumptions'!$T$140</x:f>
        <x:v>10840.647867079193</x:v>
      </x:c>
      <x:c r="L1014" s="10" t="n">
        <x:f>K1014*'Assumptions'!$U$140</x:f>
        <x:v>325.21943601237575</x:v>
      </x:c>
      <x:c r="M1014" s="10" t="n">
        <x:f>K1014*'Assumptions'!$V$140</x:f>
        <x:v>0</x:v>
      </x:c>
      <x:c r="N1014" s="10" t="n">
        <x:f>K1014-L1014-M1014</x:f>
        <x:v>10515.428431066817</x:v>
      </x:c>
      <x:c r="O1014" s="10" t="n">
        <x:f>H1014*'Assumptions'!$P$140*'Assumptions'!$Q$140*'Assumptions'!$D$11*(1+'Assumptions'!$D$13)^(8-1)</x:f>
        <x:v>2785.6455157022783</x:v>
      </x:c>
      <x:c r="P1014" s="10" t="n">
        <x:f>H1014*'Assumptions'!$R$140*'Assumptions'!$D$11*(1+'Assumptions'!$D$13)^(8-1)</x:f>
        <x:v>1160.685631542616</x:v>
      </x:c>
      <x:c r="Q1014" s="10" t="n">
        <x:f>J1014*'Assumptions'!$S$140</x:f>
        <x:v>0</x:v>
      </x:c>
      <x:c r="R1014" s="10" t="n">
        <x:f>H1014*'Assumptions'!$Y$140*'Assumptions'!$Z$140*'Assumptions'!$D$11*(1+'Assumptions'!$D$13)^(8-1)</x:f>
        <x:v>348.2056894627848</x:v>
      </x:c>
      <x:c r="S1014" s="10" t="n">
        <x:f>IF(I1014=0,0,J1014*'Assumptions'!$W$140+H1014*'Assumptions'!$X$140)</x:f>
        <x:v>320.0412499513696</x:v>
      </x:c>
      <x:c r="T1014" s="10" t="n">
        <x:f>N1014*'Assumptions'!$AA$140</x:f>
        <x:v>841.2342744853454</x:v>
      </x:c>
      <x:c r="U1014" s="10" t="n">
        <x:f>'Assumptions'!$AE$140*'Assumptions'!$D$11*(1+'Assumptions'!$D$13)^(8-1)</x:f>
        <x:v>0</x:v>
      </x:c>
      <x:c r="V1014" s="10" t="n">
        <x:f>0</x:f>
        <x:v>0</x:v>
      </x:c>
      <x:c r="W1014" s="10" t="n">
        <x:f>H1014*('Assumptions'!$P$140+'Assumptions'!$Y$140)</x:f>
        <x:v>66.06205440418503</x:v>
      </x:c>
      <x:c r="X1014" s="10" t="n">
        <x:f>N1014/12*'Assumptions'!$AF$140</x:f>
        <x:v>876.2857025889015</x:v>
      </x:c>
      <x:c r="Y1014" s="10" t="n">
        <x:f>P1014/12</x:f>
        <x:v>96.72380262855133</x:v>
      </x:c>
      <x:c r="Z1014" s="10" t="n">
        <x:f>0</x:f>
        <x:v>0</x:v>
      </x:c>
      <x:c r="AA1014" s="10" t="n">
        <x:f>Z1014*'Assumptions'!$AC$140*'Assumptions'!$D$11*(1+'Assumptions'!$D$13)^(8-1)</x:f>
        <x:v>0</x:v>
      </x:c>
      <x:c r="AB1014" s="10" t="n">
        <x:f>F1014/1</x:f>
        <x:v>12.478920485460007</x:v>
      </x:c>
      <x:c r="AC1014" s="10" t="n">
        <x:f>AB1014/'Assumptions'!$AM$140</x:f>
        <x:v>124.78920485460006</x:v>
      </x:c>
      <x:c r="AD1014" s="10" t="n">
        <x:f>IF(AB1014=0,0,T1014/AB1014)</x:f>
        <x:v>67.4124236519915</x:v>
      </x:c>
      <x:c r="AE1014" s="10" t="n">
        <x:f>AA1014*'Assumptions'!$D$21</x:f>
        <x:v>0</x:v>
      </x:c>
    </x:row>
    <x:row r="1015" ht="16" customHeight="1">
      <x:c r="A1015" s="1"/>
      <x:c r="B1015" s="1"/>
      <x:c r="C1015" s="1" t="str">
        <x:v>DOT-112</x:v>
      </x:c>
      <x:c r="D1015" s="10" t="str">
        <x:v>Learn Anglais</x:v>
      </x:c>
      <x:c r="E1015" s="10" t="n">
        <x:v>8</x:v>
      </x:c>
      <x:c r="F1015" s="21" t="n">
        <x:f>F887*(1+'Assumptions'!$M$141)</x:f>
        <x:v>407.85816729600003</x:v>
      </x:c>
      <x:c r="G1015" s="21" t="n">
        <x:f>H887*'Assumptions'!$K$141</x:f>
        <x:v>774.3035588399998</x:v>
      </x:c>
      <x:c r="H1015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1015+G1015,NA())</x:f>
        <x:v>1182.1617261359997</x:v>
      </x:c>
      <x:c r="I1015" s="22" t="n">
        <x:f>'Assumptions'!$H$141*IF('Assumptions'!$O$141=1,1,'Assumptions'!$D$10)*(1+'Assumptions'!$N$141)^(8-1)</x:f>
        <x:v>51.6908550442176</x:v>
      </x:c>
      <x:c r="J1015" s="10" t="n">
        <x:f>H1015*I1015</x:f>
        <x:v>61106.95042451803</x:v>
      </x:c>
      <x:c r="K1015" s="10" t="n">
        <x:f>J1015*'Assumptions'!$T$141</x:f>
        <x:v>20368.98347483934</x:v>
      </x:c>
      <x:c r="L1015" s="10" t="n">
        <x:f>K1015*'Assumptions'!$U$141</x:f>
        <x:v>611.0695042451802</x:v>
      </x:c>
      <x:c r="M1015" s="10" t="n">
        <x:f>K1015*'Assumptions'!$V$141</x:f>
        <x:v>0</x:v>
      </x:c>
      <x:c r="N1015" s="10" t="n">
        <x:f>K1015-L1015-M1015</x:f>
        <x:v>19757.91397059416</x:v>
      </x:c>
      <x:c r="O1015" s="10" t="n">
        <x:f>H1015*'Assumptions'!$P$141*'Assumptions'!$Q$141*'Assumptions'!$D$11*(1+'Assumptions'!$D$13)^(8-1)</x:f>
        <x:v>5088.684340880766</x:v>
      </x:c>
      <x:c r="P1015" s="10" t="n">
        <x:f>H1015*'Assumptions'!$R$141*'Assumptions'!$D$11*(1+'Assumptions'!$D$13)^(8-1)</x:f>
        <x:v>0</x:v>
      </x:c>
      <x:c r="Q1015" s="10" t="n">
        <x:f>J1015*'Assumptions'!$S$141</x:f>
        <x:v>0</x:v>
      </x:c>
      <x:c r="R1015" s="10" t="n">
        <x:f>H1015*'Assumptions'!$Y$141*'Assumptions'!$Z$141*'Assumptions'!$D$11*(1+'Assumptions'!$D$13)^(8-1)</x:f>
        <x:v>6542.594152560984</x:v>
      </x:c>
      <x:c r="S1015" s="10" t="n">
        <x:f>IF(I1015=0,0,J1015*'Assumptions'!$W$141+H1015*'Assumptions'!$X$141)</x:f>
        <x:v>2126.7500801518227</x:v>
      </x:c>
      <x:c r="T1015" s="10" t="n">
        <x:f>N1015*'Assumptions'!$AA$141</x:f>
        <x:v>987.895698529708</x:v>
      </x:c>
      <x:c r="U1015" s="10" t="n">
        <x:f>'Assumptions'!$AE$141*'Assumptions'!$D$11*(1+'Assumptions'!$D$13)^(8-1)</x:f>
        <x:v>0</x:v>
      </x:c>
      <x:c r="V1015" s="10" t="n">
        <x:f>0</x:f>
        <x:v>0</x:v>
      </x:c>
      <x:c r="W1015" s="10" t="n">
        <x:f>H1015*('Assumptions'!$P$141+'Assumptions'!$Y$141)</x:f>
        <x:v>295.54043153399994</x:v>
      </x:c>
      <x:c r="X1015" s="10" t="n">
        <x:f>N1015/12*'Assumptions'!$AF$141</x:f>
        <x:v>0</x:v>
      </x:c>
      <x:c r="Y1015" s="10" t="n">
        <x:f>P1015/12</x:f>
        <x:v>0</x:v>
      </x:c>
      <x:c r="Z1015" s="10" t="n">
        <x:f>0</x:f>
        <x:v>0</x:v>
      </x:c>
      <x:c r="AA1015" s="10" t="n">
        <x:f>Z1015*'Assumptions'!$AC$141*'Assumptions'!$D$11*(1+'Assumptions'!$D$13)^(8-1)</x:f>
        <x:v>0</x:v>
      </x:c>
      <x:c r="AB1015" s="10" t="n">
        <x:f>F1015/1</x:f>
        <x:v>407.85816729600003</x:v>
      </x:c>
      <x:c r="AC1015" s="10" t="n">
        <x:f>AB1015/'Assumptions'!$AM$141</x:f>
        <x:v>8157.16334592</x:v>
      </x:c>
      <x:c r="AD1015" s="10" t="n">
        <x:f>IF(AB1015=0,0,T1015/AB1015)</x:f>
        <x:v>2.4221549983397783</x:v>
      </x:c>
      <x:c r="AE1015" s="10" t="n">
        <x:f>AA1015*'Assumptions'!$D$21</x:f>
        <x:v>0</x:v>
      </x:c>
    </x:row>
    <x:row r="1016" ht="16" customHeight="1">
      <x:c r="A1016" s="1"/>
      <x:c r="B1016" s="1"/>
      <x:c r="C1016" s="1" t="str">
        <x:v>DOT-113</x:v>
      </x:c>
      <x:c r="D1016" s="10" t="str">
        <x:v>Learn Anglais</x:v>
      </x:c>
      <x:c r="E1016" s="10" t="n">
        <x:v>8</x:v>
      </x:c>
      <x:c r="F1016" s="21" t="n">
        <x:f>F888*(1+'Assumptions'!$M$142)</x:f>
        <x:v>244.71490037759997</x:v>
      </x:c>
      <x:c r="G1016" s="21" t="n">
        <x:f>H888*'Assumptions'!$K$142</x:f>
        <x:v>464.5821353039999</x:v>
      </x:c>
      <x:c r="H1016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1016+G1016,NA())</x:f>
        <x:v>709.2970356815999</x:v>
      </x:c>
      <x:c r="I1016" s="22" t="n">
        <x:f>'Assumptions'!$H$142*IF('Assumptions'!$O$142=1,1,'Assumptions'!$D$10)*(1+'Assumptions'!$N$142)^(8-1)</x:f>
        <x:v>97.63828175018881</x:v>
      </x:c>
      <x:c r="J1016" s="10" t="n">
        <x:f>H1016*I1016</x:f>
        <x:v>69254.54381445378</x:v>
      </x:c>
      <x:c r="K1016" s="10" t="n">
        <x:f>J1016*'Assumptions'!$T$142</x:f>
        <x:v>20776.363144336134</x:v>
      </x:c>
      <x:c r="L1016" s="10" t="n">
        <x:f>K1016*'Assumptions'!$U$142</x:f>
        <x:v>623.290894330084</x:v>
      </x:c>
      <x:c r="M1016" s="10" t="n">
        <x:f>K1016*'Assumptions'!$V$142</x:f>
        <x:v>0</x:v>
      </x:c>
      <x:c r="N1016" s="10" t="n">
        <x:f>K1016-L1016-M1016</x:f>
        <x:v>20153.07225000605</x:v>
      </x:c>
      <x:c r="O1016" s="10" t="n">
        <x:f>H1016*'Assumptions'!$P$142*'Assumptions'!$Q$142*'Assumptions'!$D$11*(1+'Assumptions'!$D$13)^(8-1)</x:f>
        <x:v>3053.2106045284595</x:v>
      </x:c>
      <x:c r="P1016" s="10" t="n">
        <x:f>H1016*'Assumptions'!$R$142*'Assumptions'!$D$11*(1+'Assumptions'!$D$13)^(8-1)</x:f>
        <x:v>0</x:v>
      </x:c>
      <x:c r="Q1016" s="10" t="n">
        <x:f>J1016*'Assumptions'!$S$142</x:f>
        <x:v>0</x:v>
      </x:c>
      <x:c r="R1016" s="10" t="n">
        <x:f>H1016*'Assumptions'!$Y$142*'Assumptions'!$Z$142*'Assumptions'!$D$11*(1+'Assumptions'!$D$13)^(8-1)</x:f>
        <x:v>3925.5564915365917</x:v>
      </x:c>
      <x:c r="S1016" s="10" t="n">
        <x:f>IF(I1016=0,0,J1016*'Assumptions'!$W$142+H1016*'Assumptions'!$X$142)</x:f>
        <x:v>2221.1708813236396</x:v>
      </x:c>
      <x:c r="T1016" s="10" t="n">
        <x:f>N1016*'Assumptions'!$AA$142</x:f>
        <x:v>1007.6536125003026</x:v>
      </x:c>
      <x:c r="U1016" s="10" t="n">
        <x:f>'Assumptions'!$AE$142*'Assumptions'!$D$11*(1+'Assumptions'!$D$13)^(8-1)</x:f>
        <x:v>0</x:v>
      </x:c>
      <x:c r="V1016" s="10" t="n">
        <x:f>0</x:f>
        <x:v>0</x:v>
      </x:c>
      <x:c r="W1016" s="10" t="n">
        <x:f>H1016*('Assumptions'!$P$142+'Assumptions'!$Y$142)</x:f>
        <x:v>177.32425892039998</x:v>
      </x:c>
      <x:c r="X1016" s="10" t="n">
        <x:f>N1016/12*'Assumptions'!$AF$142</x:f>
        <x:v>0</x:v>
      </x:c>
      <x:c r="Y1016" s="10" t="n">
        <x:f>P1016/12</x:f>
        <x:v>0</x:v>
      </x:c>
      <x:c r="Z1016" s="10" t="n">
        <x:f>0</x:f>
        <x:v>0</x:v>
      </x:c>
      <x:c r="AA1016" s="10" t="n">
        <x:f>Z1016*'Assumptions'!$AC$142*'Assumptions'!$D$11*(1+'Assumptions'!$D$13)^(8-1)</x:f>
        <x:v>0</x:v>
      </x:c>
      <x:c r="AB1016" s="10" t="n">
        <x:f>F1016/1</x:f>
        <x:v>244.71490037759997</x:v>
      </x:c>
      <x:c r="AC1016" s="10" t="n">
        <x:f>AB1016/'Assumptions'!$AM$142</x:f>
        <x:v>4894.298007551999</x:v>
      </x:c>
      <x:c r="AD1016" s="10" t="n">
        <x:f>IF(AB1016=0,0,T1016/AB1016)</x:f>
        <x:v>4.117663497177626</x:v>
      </x:c>
      <x:c r="AE1016" s="10" t="n">
        <x:f>AA1016*'Assumptions'!$D$21</x:f>
        <x:v>0</x:v>
      </x:c>
    </x:row>
    <x:row r="1017" ht="16" customHeight="1">
      <x:c r="A1017" s="1"/>
      <x:c r="B1017" s="1"/>
      <x:c r="C1017" s="1" t="str">
        <x:v>DOT-114</x:v>
      </x:c>
      <x:c r="D1017" s="10" t="str">
        <x:v>Learn Anglais</x:v>
      </x:c>
      <x:c r="E1017" s="10" t="n">
        <x:v>8</x:v>
      </x:c>
      <x:c r="F1017" s="21" t="n">
        <x:f>F889*(1+'Assumptions'!$M$143)</x:f>
        <x:v>344.0135434578749</x:v>
      </x:c>
      <x:c r="G1017" s="21" t="n">
        <x:f>H889*'Assumptions'!$K$143</x:f>
        <x:v>110.04748225312497</x:v>
      </x:c>
      <x:c r="H1017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1017+G1017,NA())</x:f>
        <x:v>454.06102571099984</x:v>
      </x:c>
      <x:c r="I1017" s="22" t="n">
        <x:f>'Assumptions'!$H$143*IF('Assumptions'!$O$143=1,1,'Assumptions'!$D$10)*(1+'Assumptions'!$N$143)^(8-1)</x:f>
        <x:v>33.31188436182912</x:v>
      </x:c>
      <x:c r="J1017" s="10" t="n">
        <x:f>H1017*I1017</x:f>
        <x:v>15125.628381698347</x:v>
      </x:c>
      <x:c r="K1017" s="10" t="n">
        <x:f>J1017*'Assumptions'!$T$143</x:f>
        <x:v>15125.628381698347</x:v>
      </x:c>
      <x:c r="L1017" s="10" t="n">
        <x:f>K1017*'Assumptions'!$U$143</x:f>
        <x:v>453.76885145095036</x:v>
      </x:c>
      <x:c r="M1017" s="10" t="n">
        <x:f>K1017*'Assumptions'!$V$143</x:f>
        <x:v>0</x:v>
      </x:c>
      <x:c r="N1017" s="10" t="n">
        <x:f>K1017-L1017-M1017</x:f>
        <x:v>14671.859530247397</x:v>
      </x:c>
      <x:c r="O1017" s="10" t="n">
        <x:f>H1017*'Assumptions'!$P$143*'Assumptions'!$Q$143*'Assumptions'!$D$11*(1+'Assumptions'!$D$13)^(8-1)</x:f>
        <x:v>2931.7983913573353</x:v>
      </x:c>
      <x:c r="P1017" s="10" t="n">
        <x:f>H1017*'Assumptions'!$R$143*'Assumptions'!$D$11*(1+'Assumptions'!$D$13)^(8-1)</x:f>
        <x:v>0</x:v>
      </x:c>
      <x:c r="Q1017" s="10" t="n">
        <x:f>J1017*'Assumptions'!$S$143</x:f>
        <x:v>0</x:v>
      </x:c>
      <x:c r="R1017" s="10" t="n">
        <x:f>H1017*'Assumptions'!$Y$143*'Assumptions'!$Z$143*'Assumptions'!$D$11*(1+'Assumptions'!$D$13)^(8-1)</x:f>
        <x:v>1675.3133664899065</x:v>
      </x:c>
      <x:c r="S1017" s="10" t="n">
        <x:f>IF(I1017=0,0,J1017*'Assumptions'!$W$143+H1017*'Assumptions'!$X$143)</x:f>
        <x:v>574.861530782552</x:v>
      </x:c>
      <x:c r="T1017" s="10" t="n">
        <x:f>N1017*'Assumptions'!$AA$143</x:f>
        <x:v>733.5929765123699</x:v>
      </x:c>
      <x:c r="U1017" s="10" t="n">
        <x:f>'Assumptions'!$AE$143*'Assumptions'!$D$11*(1+'Assumptions'!$D$13)^(8-1)</x:f>
        <x:v>0</x:v>
      </x:c>
      <x:c r="V1017" s="10" t="n">
        <x:f>0</x:f>
        <x:v>0</x:v>
      </x:c>
      <x:c r="W1017" s="10" t="n">
        <x:f>H1017*('Assumptions'!$P$143+'Assumptions'!$Y$143)</x:f>
        <x:v>113.51525642774996</x:v>
      </x:c>
      <x:c r="X1017" s="10" t="n">
        <x:f>N1017/12*'Assumptions'!$AF$143</x:f>
        <x:v>0</x:v>
      </x:c>
      <x:c r="Y1017" s="10" t="n">
        <x:f>P1017/12</x:f>
        <x:v>0</x:v>
      </x:c>
      <x:c r="Z1017" s="10" t="n">
        <x:f>0</x:f>
        <x:v>0</x:v>
      </x:c>
      <x:c r="AA1017" s="10" t="n">
        <x:f>Z1017*'Assumptions'!$AC$143*'Assumptions'!$D$11*(1+'Assumptions'!$D$13)^(8-1)</x:f>
        <x:v>0</x:v>
      </x:c>
      <x:c r="AB1017" s="10" t="n">
        <x:f>F1017/1</x:f>
        <x:v>344.0135434578749</x:v>
      </x:c>
      <x:c r="AC1017" s="10" t="n">
        <x:f>AB1017/'Assumptions'!$AM$143</x:f>
        <x:v>6880.270869157498</x:v>
      </x:c>
      <x:c r="AD1017" s="10" t="n">
        <x:f>IF(AB1017=0,0,T1017/AB1017)</x:f>
        <x:v>2.132453766612243</x:v>
      </x:c>
      <x:c r="AE1017" s="10" t="n">
        <x:f>AA1017*'Assumptions'!$D$21</x:f>
        <x:v>0</x:v>
      </x:c>
    </x:row>
    <x:row r="1018" ht="16" customHeight="1">
      <x:c r="A1018" s="1"/>
      <x:c r="B1018" s="1"/>
      <x:c r="C1018" s="1" t="str">
        <x:v>DOT-115</x:v>
      </x:c>
      <x:c r="D1018" s="10" t="str">
        <x:v>Learn Anglais</x:v>
      </x:c>
      <x:c r="E1018" s="10" t="n">
        <x:v>8</x:v>
      </x:c>
      <x:c r="F1018" s="21" t="n">
        <x:f>F890*(1+'Assumptions'!$M$144)</x:f>
        <x:v>163.14326691840003</x:v>
      </x:c>
      <x:c r="G1018" s="21" t="n">
        <x:f>H890*'Assumptions'!$K$144</x:f>
        <x:v>304.78016553599997</x:v>
      </x:c>
      <x:c r="H1018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1018+G1018,NA())</x:f>
        <x:v>467.9234324544</x:v>
      </x:c>
      <x:c r="I1018" s="22" t="n">
        <x:f>'Assumptions'!$H$144*IF('Assumptions'!$O$144=1,1,'Assumptions'!$D$10)*(1+'Assumptions'!$N$144)^(8-1)</x:f>
        <x:v>51.6908550442176</x:v>
      </x:c>
      <x:c r="J1018" s="10" t="n">
        <x:f>H1018*I1018</x:f>
        <x:v>24187.362318793133</x:v>
      </x:c>
      <x:c r="K1018" s="10" t="n">
        <x:f>J1018*'Assumptions'!$T$144</x:f>
        <x:v>8062.4541062643775</x:v>
      </x:c>
      <x:c r="L1018" s="10" t="n">
        <x:f>K1018*'Assumptions'!$U$144</x:f>
        <x:v>241.87362318793132</x:v>
      </x:c>
      <x:c r="M1018" s="10" t="n">
        <x:f>K1018*'Assumptions'!$V$144</x:f>
        <x:v>0</x:v>
      </x:c>
      <x:c r="N1018" s="10" t="n">
        <x:f>K1018-L1018-M1018</x:f>
        <x:v>7820.580483076446</x:v>
      </x:c>
      <x:c r="O1018" s="10" t="n">
        <x:f>H1018*'Assumptions'!$P$144*'Assumptions'!$Q$144*'Assumptions'!$D$11*(1+'Assumptions'!$D$13)^(8-1)</x:f>
        <x:v>3021.3057031267217</x:v>
      </x:c>
      <x:c r="P1018" s="10" t="n">
        <x:f>H1018*'Assumptions'!$R$144*'Assumptions'!$D$11*(1+'Assumptions'!$D$13)^(8-1)</x:f>
        <x:v>0</x:v>
      </x:c>
      <x:c r="Q1018" s="10" t="n">
        <x:f>J1018*'Assumptions'!$S$144</x:f>
        <x:v>0</x:v>
      </x:c>
      <x:c r="R1018" s="10" t="n">
        <x:f>H1018*'Assumptions'!$Y$144*'Assumptions'!$Z$144*'Assumptions'!$D$11*(1+'Assumptions'!$D$13)^(8-1)</x:f>
        <x:v>2589.6906026800475</x:v>
      </x:c>
      <x:c r="S1018" s="10" t="n">
        <x:f>IF(I1018=0,0,J1018*'Assumptions'!$W$144+H1018*'Assumptions'!$X$144)</x:f>
        <x:v>841.8105369813209</x:v>
      </x:c>
      <x:c r="T1018" s="10" t="n">
        <x:f>N1018*'Assumptions'!$AA$144</x:f>
        <x:v>391.0290241538223</x:v>
      </x:c>
      <x:c r="U1018" s="10" t="n">
        <x:f>'Assumptions'!$AE$144*'Assumptions'!$D$11*(1+'Assumptions'!$D$13)^(8-1)</x:f>
        <x:v>0</x:v>
      </x:c>
      <x:c r="V1018" s="10" t="n">
        <x:f>0</x:f>
        <x:v>0</x:v>
      </x:c>
      <x:c r="W1018" s="10" t="n">
        <x:f>H1018*('Assumptions'!$P$144+'Assumptions'!$Y$144)</x:f>
        <x:v>140.37702973632</x:v>
      </x:c>
      <x:c r="X1018" s="10" t="n">
        <x:f>N1018/12*'Assumptions'!$AF$144</x:f>
        <x:v>0</x:v>
      </x:c>
      <x:c r="Y1018" s="10" t="n">
        <x:f>P1018/12</x:f>
        <x:v>0</x:v>
      </x:c>
      <x:c r="Z1018" s="10" t="n">
        <x:f>0</x:f>
        <x:v>0</x:v>
      </x:c>
      <x:c r="AA1018" s="10" t="n">
        <x:f>Z1018*'Assumptions'!$AC$144*'Assumptions'!$D$11*(1+'Assumptions'!$D$13)^(8-1)</x:f>
        <x:v>0</x:v>
      </x:c>
      <x:c r="AB1018" s="10" t="n">
        <x:f>F1018/1</x:f>
        <x:v>163.14326691840003</x:v>
      </x:c>
      <x:c r="AC1018" s="10" t="n">
        <x:f>AB1018/'Assumptions'!$AM$144</x:f>
        <x:v>3262.8653383680003</x:v>
      </x:c>
      <x:c r="AD1018" s="10" t="n">
        <x:f>IF(AB1018=0,0,T1018/AB1018)</x:f>
        <x:v>2.3968443904547083</x:v>
      </x:c>
      <x:c r="AE1018" s="10" t="n">
        <x:f>AA1018*'Assumptions'!$D$21</x:f>
        <x:v>0</x:v>
      </x:c>
    </x:row>
    <x:row r="1019" ht="16" customHeight="1">
      <x:c r="A1019" s="1"/>
      <x:c r="B1019" s="1"/>
      <x:c r="C1019" s="1" t="str">
        <x:v>DOT-116</x:v>
      </x:c>
      <x:c r="D1019" s="10" t="str">
        <x:v>Fiefé</x:v>
      </x:c>
      <x:c r="E1019" s="10" t="n">
        <x:v>8</x:v>
      </x:c>
      <x:c r="F1019" s="21" t="n">
        <x:f>F891*(1+'Assumptions'!$M$145)</x:f>
        <x:v>57.772750213742604</x:v>
      </x:c>
      <x:c r="G1019" s="21" t="n">
        <x:f>H891*'Assumptions'!$K$145</x:f>
        <x:v>23.673050593413123</x:v>
      </x:c>
      <x:c r="H1019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1019+G1019,NA())</x:f>
        <x:v>81.44580080715573</x:v>
      </x:c>
      <x:c r="I1019" s="22" t="n">
        <x:f>'Assumptions'!$H$145*IF('Assumptions'!$O$145=1,1,'Assumptions'!$D$10)*(1+'Assumptions'!$N$145)^(8-1)</x:f>
        <x:v>516.908550442176</x:v>
      </x:c>
      <x:c r="J1019" s="10" t="n">
        <x:f>H1019*I1019</x:f>
        <x:v>42100.03083482908</x:v>
      </x:c>
      <x:c r="K1019" s="10" t="n">
        <x:f>J1019*'Assumptions'!$T$145</x:f>
        <x:v>42100.03083482908</x:v>
      </x:c>
      <x:c r="L1019" s="10" t="n">
        <x:f>K1019*'Assumptions'!$U$145</x:f>
        <x:v>1263.0009250448722</x:v>
      </x:c>
      <x:c r="M1019" s="10" t="n">
        <x:f>K1019*'Assumptions'!$V$145</x:f>
        <x:v>842.0006166965816</x:v>
      </x:c>
      <x:c r="N1019" s="10" t="n">
        <x:f>K1019-L1019-M1019</x:f>
        <x:v>39995.029293087624</x:v>
      </x:c>
      <x:c r="O1019" s="10" t="n">
        <x:f>H1019*'Assumptions'!$P$145*'Assumptions'!$Q$145*'Assumptions'!$D$11*(1+'Assumptions'!$D$13)^(8-1)</x:f>
        <x:v>2504.201546533016</x:v>
      </x:c>
      <x:c r="P1019" s="10" t="n">
        <x:f>H1019*'Assumptions'!$R$145*'Assumptions'!$D$11*(1+'Assumptions'!$D$13)^(8-1)</x:f>
        <x:v>25042.01546533016</x:v>
      </x:c>
      <x:c r="Q1019" s="10" t="n">
        <x:f>J1019*'Assumptions'!$S$145</x:f>
        <x:v>0</x:v>
      </x:c>
      <x:c r="R1019" s="10" t="n">
        <x:f>H1019*'Assumptions'!$Y$145*'Assumptions'!$Z$145*'Assumptions'!$D$11*(1+'Assumptions'!$D$13)^(8-1)</x:f>
        <x:v>450.7562783759428</x:v>
      </x:c>
      <x:c r="S1019" s="10" t="n">
        <x:f>IF(I1019=0,0,J1019*'Assumptions'!$W$145+H1019*'Assumptions'!$X$145)</x:f>
        <x:v>1245.3346344521901</x:v>
      </x:c>
      <x:c r="T1019" s="10" t="n">
        <x:f>N1019*'Assumptions'!$AA$145</x:f>
        <x:v>3199.60234344701</x:v>
      </x:c>
      <x:c r="U1019" s="10" t="n">
        <x:f>'Assumptions'!$AE$145*'Assumptions'!$D$11*(1+'Assumptions'!$D$13)^(8-1)</x:f>
        <x:v>0</x:v>
      </x:c>
      <x:c r="V1019" s="10" t="n">
        <x:f>0</x:f>
        <x:v>0</x:v>
      </x:c>
      <x:c r="W1019" s="10" t="n">
        <x:f>H1019*('Assumptions'!$P$145+'Assumptions'!$Y$145)</x:f>
        <x:v>52.93977052465123</x:v>
      </x:c>
      <x:c r="X1019" s="10" t="n">
        <x:f>N1019/12*'Assumptions'!$AF$145</x:f>
        <x:v>0</x:v>
      </x:c>
      <x:c r="Y1019" s="10" t="n">
        <x:f>P1019/12</x:f>
        <x:v>2086.834622110847</x:v>
      </x:c>
      <x:c r="Z1019" s="10" t="n">
        <x:f>0</x:f>
        <x:v>0</x:v>
      </x:c>
      <x:c r="AA1019" s="10" t="n">
        <x:f>Z1019*'Assumptions'!$AC$145*'Assumptions'!$D$11*(1+'Assumptions'!$D$13)^(8-1)</x:f>
        <x:v>0</x:v>
      </x:c>
      <x:c r="AB1019" s="10" t="n">
        <x:f>F1019/1</x:f>
        <x:v>57.772750213742604</x:v>
      </x:c>
      <x:c r="AC1019" s="10" t="n">
        <x:f>AB1019/'Assumptions'!$AM$145</x:f>
        <x:v>1925.7583404580869</x:v>
      </x:c>
      <x:c r="AD1019" s="10" t="n">
        <x:f>IF(AB1019=0,0,T1019/AB1019)</x:f>
        <x:v>55.38255200954428</x:v>
      </x:c>
      <x:c r="AE1019" s="10" t="n">
        <x:f>AA1019*'Assumptions'!$D$21</x:f>
        <x:v>0</x:v>
      </x:c>
    </x:row>
    <x:row r="1020" ht="16" customHeight="1">
      <x:c r="A1020" s="1"/>
      <x:c r="B1020" s="1"/>
      <x:c r="C1020" s="1" t="str">
        <x:v>DOT-117</x:v>
      </x:c>
      <x:c r="D1020" s="10" t="str">
        <x:v>Fiefé</x:v>
      </x:c>
      <x:c r="E1020" s="10" t="n">
        <x:v>8</x:v>
      </x:c>
      <x:c r="F1020" s="21" t="n">
        <x:f>F892*(1+'Assumptions'!$M$146)</x:f>
        <x:v>72.21593776717827</x:v>
      </x:c>
      <x:c r="G1020" s="21" t="n">
        <x:f>H892*'Assumptions'!$K$146</x:f>
        <x:v>29.591313241766414</x:v>
      </x:c>
      <x:c r="H1020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1020+G1020,NA())</x:f>
        <x:v>101.80725100894469</x:v>
      </x:c>
      <x:c r="I1020" s="22" t="n">
        <x:f>'Assumptions'!$H$146*IF('Assumptions'!$O$146=1,1,'Assumptions'!$D$10)*(1+'Assumptions'!$N$146)^(8-1)</x:f>
        <x:v>201.019991838624</x:v>
      </x:c>
      <x:c r="J1020" s="10" t="n">
        <x:f>H1020*I1020</x:f>
        <x:v>20465.29276693081</x:v>
      </x:c>
      <x:c r="K1020" s="10" t="n">
        <x:f>J1020*'Assumptions'!$T$146</x:f>
        <x:v>20465.29276693081</x:v>
      </x:c>
      <x:c r="L1020" s="10" t="n">
        <x:f>K1020*'Assumptions'!$U$146</x:f>
        <x:v>613.9587830079242</x:v>
      </x:c>
      <x:c r="M1020" s="10" t="n">
        <x:f>K1020*'Assumptions'!$V$146</x:f>
        <x:v>409.3058553386162</x:v>
      </x:c>
      <x:c r="N1020" s="10" t="n">
        <x:f>K1020-L1020-M1020</x:f>
        <x:v>19442.02812858427</x:v>
      </x:c>
      <x:c r="O1020" s="10" t="n">
        <x:f>H1020*'Assumptions'!$P$146*'Assumptions'!$Q$146*'Assumptions'!$D$11*(1+'Assumptions'!$D$13)^(8-1)</x:f>
        <x:v>1408.6133699248219</x:v>
      </x:c>
      <x:c r="P1020" s="10" t="n">
        <x:f>H1020*'Assumptions'!$R$146*'Assumptions'!$D$11*(1+'Assumptions'!$D$13)^(8-1)</x:f>
        <x:v>10016.806186132066</x:v>
      </x:c>
      <x:c r="Q1020" s="10" t="n">
        <x:f>J1020*'Assumptions'!$S$146</x:f>
        <x:v>0</x:v>
      </x:c>
      <x:c r="R1020" s="10" t="n">
        <x:f>H1020*'Assumptions'!$Y$146*'Assumptions'!$Z$146*'Assumptions'!$D$11*(1+'Assumptions'!$D$13)^(8-1)</x:f>
        <x:v>563.4453479699287</x:v>
      </x:c>
      <x:c r="S1020" s="10" t="n">
        <x:f>IF(I1020=0,0,J1020*'Assumptions'!$W$146+H1020*'Assumptions'!$X$146)</x:f>
        <x:v>624.0356655436768</x:v>
      </x:c>
      <x:c r="T1020" s="10" t="n">
        <x:f>N1020*'Assumptions'!$AA$146</x:f>
        <x:v>1555.3622502867415</x:v>
      </x:c>
      <x:c r="U1020" s="10" t="n">
        <x:f>'Assumptions'!$AE$146*'Assumptions'!$D$11*(1+'Assumptions'!$D$13)^(8-1)</x:f>
        <x:v>0</x:v>
      </x:c>
      <x:c r="V1020" s="10" t="n">
        <x:f>0</x:f>
        <x:v>0</x:v>
      </x:c>
      <x:c r="W1020" s="10" t="n">
        <x:f>H1020*('Assumptions'!$P$146+'Assumptions'!$Y$146)</x:f>
        <x:v>40.72290040357788</x:v>
      </x:c>
      <x:c r="X1020" s="10" t="n">
        <x:f>N1020/12*'Assumptions'!$AF$146</x:f>
        <x:v>0</x:v>
      </x:c>
      <x:c r="Y1020" s="10" t="n">
        <x:f>P1020/12</x:f>
        <x:v>834.7338488443388</x:v>
      </x:c>
      <x:c r="Z1020" s="10" t="n">
        <x:f>0</x:f>
        <x:v>0</x:v>
      </x:c>
      <x:c r="AA1020" s="10" t="n">
        <x:f>Z1020*'Assumptions'!$AC$146*'Assumptions'!$D$11*(1+'Assumptions'!$D$13)^(8-1)</x:f>
        <x:v>0</x:v>
      </x:c>
      <x:c r="AB1020" s="10" t="n">
        <x:f>F1020/1</x:f>
        <x:v>72.21593776717827</x:v>
      </x:c>
      <x:c r="AC1020" s="10" t="n">
        <x:f>AB1020/'Assumptions'!$AM$146</x:f>
        <x:v>2407.197925572609</x:v>
      </x:c>
      <x:c r="AD1020" s="10" t="n">
        <x:f>IF(AB1020=0,0,T1020/AB1020)</x:f>
        <x:v>21.537659114822777</x:v>
      </x:c>
      <x:c r="AE1020" s="10" t="n">
        <x:f>AA1020*'Assumptions'!$D$21</x:f>
        <x:v>0</x:v>
      </x:c>
    </x:row>
    <x:row r="1021" ht="16" customHeight="1">
      <x:c r="A1021" s="1"/>
      <x:c r="B1021" s="1"/>
      <x:c r="C1021" s="1" t="str">
        <x:v>DOT-118</x:v>
      </x:c>
      <x:c r="D1021" s="10" t="str">
        <x:v>Fiefé Design</x:v>
      </x:c>
      <x:c r="E1021" s="10" t="n">
        <x:v>8</x:v>
      </x:c>
      <x:c r="F1021" s="21" t="n">
        <x:f>F893*(1+'Assumptions'!$M$147)</x:f>
        <x:v>9.628791702290435</x:v>
      </x:c>
      <x:c r="G1021" s="21" t="n">
        <x:f>H893*'Assumptions'!$K$147</x:f>
        <x:v>3.945508432235521</x:v>
      </x:c>
      <x:c r="H1021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1021+G1021,NA())</x:f>
        <x:v>13.574300134525956</x:v>
      </x:c>
      <x:c r="I1021" s="22" t="n">
        <x:f>'Assumptions'!$H$147*IF('Assumptions'!$O$147=1,1,'Assumptions'!$D$10)*(1+'Assumptions'!$N$147)^(8-1)</x:f>
        <x:v>2871.7141691232</x:v>
      </x:c>
      <x:c r="J1021" s="10" t="n">
        <x:f>H1021*I1021</x:f>
        <x:v>38981.51003224915</x:v>
      </x:c>
      <x:c r="K1021" s="10" t="n">
        <x:f>J1021*'Assumptions'!$T$147</x:f>
        <x:v>38981.51003224915</x:v>
      </x:c>
      <x:c r="L1021" s="10" t="n">
        <x:f>K1021*'Assumptions'!$U$147</x:f>
        <x:v>1169.4453009674744</x:v>
      </x:c>
      <x:c r="M1021" s="10" t="n">
        <x:f>K1021*'Assumptions'!$V$147</x:f>
        <x:v>779.630200644983</x:v>
      </x:c>
      <x:c r="N1021" s="10" t="n">
        <x:f>K1021-L1021-M1021</x:f>
        <x:v>37032.43453063669</x:v>
      </x:c>
      <x:c r="O1021" s="10" t="n">
        <x:f>H1021*'Assumptions'!$P$147*'Assumptions'!$Q$147*'Assumptions'!$D$11*(1+'Assumptions'!$D$13)^(8-1)</x:f>
        <x:v>8013.444948905651</x:v>
      </x:c>
      <x:c r="P1021" s="10" t="n">
        <x:f>H1021*'Assumptions'!$R$147*'Assumptions'!$D$11*(1+'Assumptions'!$D$13)^(8-1)</x:f>
        <x:v>15025.209279198096</x:v>
      </x:c>
      <x:c r="Q1021" s="10" t="n">
        <x:f>J1021*'Assumptions'!$S$147</x:f>
        <x:v>0</x:v>
      </x:c>
      <x:c r="R1021" s="10" t="n">
        <x:f>H1021*'Assumptions'!$Y$147*'Assumptions'!$Z$147*'Assumptions'!$D$11*(1+'Assumptions'!$D$13)^(8-1)</x:f>
        <x:v>75.12604639599047</x:v>
      </x:c>
      <x:c r="S1021" s="10" t="n">
        <x:f>IF(I1021=0,0,J1021*'Assumptions'!$W$147+H1021*'Assumptions'!$X$147)</x:f>
        <x:v>1134.5360809755832</x:v>
      </x:c>
      <x:c r="T1021" s="10" t="n">
        <x:f>N1021*'Assumptions'!$AA$147</x:f>
        <x:v>2962.594762450935</x:v>
      </x:c>
      <x:c r="U1021" s="10" t="n">
        <x:f>'Assumptions'!$AE$147*'Assumptions'!$D$11*(1+'Assumptions'!$D$13)^(8-1)</x:f>
        <x:v>0</x:v>
      </x:c>
      <x:c r="V1021" s="10" t="n">
        <x:f>0</x:f>
        <x:v>0</x:v>
      </x:c>
      <x:c r="W1021" s="10" t="n">
        <x:f>H1021*('Assumptions'!$P$147+'Assumptions'!$Y$147)</x:f>
        <x:v>110.63054609638654</x:v>
      </x:c>
      <x:c r="X1021" s="10" t="n">
        <x:f>N1021/12*'Assumptions'!$AF$147</x:f>
        <x:v>0</x:v>
      </x:c>
      <x:c r="Y1021" s="10" t="n">
        <x:f>P1021/12</x:f>
        <x:v>1252.100773266508</x:v>
      </x:c>
      <x:c r="Z1021" s="10" t="n">
        <x:f>0</x:f>
        <x:v>0</x:v>
      </x:c>
      <x:c r="AA1021" s="10" t="n">
        <x:f>Z1021*'Assumptions'!$AC$147*'Assumptions'!$D$11*(1+'Assumptions'!$D$13)^(8-1)</x:f>
        <x:v>0</x:v>
      </x:c>
      <x:c r="AB1021" s="10" t="n">
        <x:f>F1021/1</x:f>
        <x:v>9.628791702290435</x:v>
      </x:c>
      <x:c r="AC1021" s="10" t="n">
        <x:f>AB1021/'Assumptions'!$AM$147</x:f>
        <x:v>320.9597234096812</x:v>
      </x:c>
      <x:c r="AD1021" s="10" t="n">
        <x:f>IF(AB1021=0,0,T1021/AB1021)</x:f>
        <x:v>307.6808444974681</x:v>
      </x:c>
      <x:c r="AE1021" s="10" t="n">
        <x:f>AA1021*'Assumptions'!$D$21</x:f>
        <x:v>0</x:v>
      </x:c>
    </x:row>
    <x:row r="1022" ht="16" customHeight="1">
      <x:c r="A1022" s="1"/>
      <x:c r="B1022" s="1"/>
      <x:c r="C1022" s="1" t="str">
        <x:v>DOT-119</x:v>
      </x:c>
      <x:c r="D1022" s="10" t="str">
        <x:v>OsezArt</x:v>
      </x:c>
      <x:c r="E1022" s="10" t="n">
        <x:v>8</x:v>
      </x:c>
      <x:c r="F1022" s="21" t="n">
        <x:f>F894*(1+'Assumptions'!$M$148)</x:f>
        <x:v>8.15716334592</x:v>
      </x:c>
      <x:c r="G1022" s="21" t="n">
        <x:f>H894*'Assumptions'!$K$148</x:f>
        <x:v>15.2390082768</x:v>
      </x:c>
      <x:c r="H1022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1022+G1022,NA())</x:f>
        <x:v>23.39617162272</x:v>
      </x:c>
      <x:c r="I1022" s="22" t="n">
        <x:f>'Assumptions'!$H$148*IF('Assumptions'!$O$148=1,1,'Assumptions'!$D$10)*(1+'Assumptions'!$N$148)^(8-1)</x:f>
        <x:v>5743.4283382464</x:v>
      </x:c>
      <x:c r="J1022" s="10" t="n">
        <x:f>H1022*I1022</x:f>
        <x:v>134374.2351044063</x:v>
      </x:c>
      <x:c r="K1022" s="10" t="n">
        <x:f>J1022*'Assumptions'!$T$148</x:f>
        <x:v>26874.847020881265</x:v>
      </x:c>
      <x:c r="L1022" s="10" t="n">
        <x:f>K1022*'Assumptions'!$U$148</x:f>
        <x:v>806.2454106264379</x:v>
      </x:c>
      <x:c r="M1022" s="10" t="n">
        <x:f>K1022*'Assumptions'!$V$148</x:f>
        <x:v>0</x:v>
      </x:c>
      <x:c r="N1022" s="10" t="n">
        <x:f>K1022-L1022-M1022</x:f>
        <x:v>26068.601610254827</x:v>
      </x:c>
      <x:c r="O1022" s="10" t="n">
        <x:f>H1022*'Assumptions'!$P$148*'Assumptions'!$Q$148*'Assumptions'!$D$11*(1+'Assumptions'!$D$13)^(8-1)</x:f>
        <x:v>6905.841607146794</x:v>
      </x:c>
      <x:c r="P1022" s="10" t="n">
        <x:f>H1022*'Assumptions'!$R$148*'Assumptions'!$D$11*(1+'Assumptions'!$D$13)^(8-1)</x:f>
        <x:v>0</x:v>
      </x:c>
      <x:c r="Q1022" s="10" t="n">
        <x:f>J1022*'Assumptions'!$S$148</x:f>
        <x:v>0</x:v>
      </x:c>
      <x:c r="R1022" s="10" t="n">
        <x:f>H1022*'Assumptions'!$Y$148*'Assumptions'!$Z$148*'Assumptions'!$D$11*(1+'Assumptions'!$D$13)^(8-1)</x:f>
        <x:v>129.48453013400237</x:v>
      </x:c>
      <x:c r="S1022" s="10" t="n">
        <x:f>IF(I1022=0,0,J1022*'Assumptions'!$W$148+H1022*'Assumptions'!$X$148)</x:f>
        <x:v>3903.871669514599</x:v>
      </x:c>
      <x:c r="T1022" s="10" t="n">
        <x:f>N1022*'Assumptions'!$AA$148</x:f>
        <x:v>1303.4300805127414</x:v>
      </x:c>
      <x:c r="U1022" s="10" t="n">
        <x:f>'Assumptions'!$AE$148*'Assumptions'!$D$11*(1+'Assumptions'!$D$13)^(8-1)</x:f>
        <x:v>0</x:v>
      </x:c>
      <x:c r="V1022" s="10" t="n">
        <x:f>0</x:f>
        <x:v>0</x:v>
      </x:c>
      <x:c r="W1022" s="10" t="n">
        <x:f>H1022*('Assumptions'!$P$148+'Assumptions'!$Y$148)</x:f>
        <x:v>97.094112234288</x:v>
      </x:c>
      <x:c r="X1022" s="10" t="n">
        <x:f>N1022/12*'Assumptions'!$AF$148</x:f>
        <x:v>0</x:v>
      </x:c>
      <x:c r="Y1022" s="10" t="n">
        <x:f>P1022/12</x:f>
        <x:v>0</x:v>
      </x:c>
      <x:c r="Z1022" s="10" t="n">
        <x:f>0</x:f>
        <x:v>0</x:v>
      </x:c>
      <x:c r="AA1022" s="10" t="n">
        <x:f>Z1022*'Assumptions'!$AC$148*'Assumptions'!$D$11*(1+'Assumptions'!$D$13)^(8-1)</x:f>
        <x:v>0</x:v>
      </x:c>
      <x:c r="AB1022" s="10" t="n">
        <x:f>F1022/1</x:f>
        <x:v>8.15716334592</x:v>
      </x:c>
      <x:c r="AC1022" s="10" t="n">
        <x:f>AB1022/'Assumptions'!$AM$148</x:f>
        <x:v>163.1432669184</x:v>
      </x:c>
      <x:c r="AD1022" s="10" t="n">
        <x:f>IF(AB1022=0,0,T1022/AB1022)</x:f>
        <x:v>159.78962603031394</x:v>
      </x:c>
      <x:c r="AE1022" s="10" t="n">
        <x:f>AA1022*'Assumptions'!$D$21</x:f>
        <x:v>0</x:v>
      </x:c>
    </x:row>
    <x:row r="1023" ht="16" customHeight="1">
      <x:c r="A1023" s="1"/>
      <x:c r="B1023" s="1"/>
      <x:c r="C1023" s="1" t="str">
        <x:v>DOT-120</x:v>
      </x:c>
      <x:c r="D1023" s="10" t="str">
        <x:v>OsezArt</x:v>
      </x:c>
      <x:c r="E1023" s="10" t="n">
        <x:v>8</x:v>
      </x:c>
      <x:c r="F1023" s="21" t="n">
        <x:f>F895*(1+'Assumptions'!$M$149)</x:f>
        <x:v>4.799584802100002</x:v>
      </x:c>
      <x:c r="G1023" s="21" t="n">
        <x:f>H895*'Assumptions'!$K$149</x:f>
        <x:v>4.459669035000001</x:v>
      </x:c>
      <x:c r="H1023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1023+G1023,NA())</x:f>
        <x:v>9.259253837100003</x:v>
      </x:c>
      <x:c r="I1023" s="22" t="n">
        <x:f>'Assumptions'!$H$149*IF('Assumptions'!$O$149=1,1,'Assumptions'!$D$10)*(1+'Assumptions'!$N$149)^(8-1)</x:f>
        <x:v>5743.4283382464</x:v>
      </x:c>
      <x:c r="J1023" s="10" t="n">
        <x:f>H1023*I1023</x:f>
        <x:v>53179.86087901687</x:v>
      </x:c>
      <x:c r="K1023" s="10" t="n">
        <x:f>J1023*'Assumptions'!$T$149</x:f>
        <x:v>53179.86087901687</x:v>
      </x:c>
      <x:c r="L1023" s="10" t="n">
        <x:f>K1023*'Assumptions'!$U$149</x:f>
        <x:v>1595.395826370506</x:v>
      </x:c>
      <x:c r="M1023" s="10" t="n">
        <x:f>K1023*'Assumptions'!$V$149</x:f>
        <x:v>0</x:v>
      </x:c>
      <x:c r="N1023" s="10" t="n">
        <x:f>K1023-L1023-M1023</x:f>
        <x:v>51584.46505264637</x:v>
      </x:c>
      <x:c r="O1023" s="10" t="n">
        <x:f>H1023*'Assumptions'!$P$149*'Assumptions'!$Q$149*'Assumptions'!$D$11*(1+'Assumptions'!$D$13)^(8-1)</x:f>
        <x:v>22206.04289978927</x:v>
      </x:c>
      <x:c r="P1023" s="10" t="n">
        <x:f>H1023*'Assumptions'!$R$149*'Assumptions'!$D$11*(1+'Assumptions'!$D$13)^(8-1)</x:f>
        <x:v>2846.9285768960603</x:v>
      </x:c>
      <x:c r="Q1023" s="10" t="n">
        <x:f>J1023*'Assumptions'!$S$149</x:f>
        <x:v>0</x:v>
      </x:c>
      <x:c r="R1023" s="10" t="n">
        <x:f>H1023*'Assumptions'!$Y$149*'Assumptions'!$Z$149*'Assumptions'!$D$11*(1+'Assumptions'!$D$13)^(8-1)</x:f>
        <x:v>85.40785730688181</x:v>
      </x:c>
      <x:c r="S1023" s="10" t="n">
        <x:f>IF(I1023=0,0,J1023*'Assumptions'!$W$149+H1023*'Assumptions'!$X$149)</x:f>
        <x:v>1544.9937416426194</x:v>
      </x:c>
      <x:c r="T1023" s="10" t="n">
        <x:f>N1023*'Assumptions'!$AA$149</x:f>
        <x:v>2063.3786021058545</x:v>
      </x:c>
      <x:c r="U1023" s="10" t="n">
        <x:f>'Assumptions'!$AE$149*'Assumptions'!$D$11*(1+'Assumptions'!$D$13)^(8-1)</x:f>
        <x:v>0</x:v>
      </x:c>
      <x:c r="V1023" s="10" t="n">
        <x:f>0</x:f>
        <x:v>0</x:v>
      </x:c>
      <x:c r="W1023" s="10" t="n">
        <x:f>H1023*('Assumptions'!$P$149+'Assumptions'!$Y$149)</x:f>
        <x:v>280.0924285722751</x:v>
      </x:c>
      <x:c r="X1023" s="10" t="n">
        <x:f>N1023/12*'Assumptions'!$AF$149</x:f>
        <x:v>4298.705421053864</x:v>
      </x:c>
      <x:c r="Y1023" s="10" t="n">
        <x:f>P1023/12</x:f>
        <x:v>237.2440480746717</x:v>
      </x:c>
      <x:c r="Z1023" s="10" t="n">
        <x:f>0</x:f>
        <x:v>0</x:v>
      </x:c>
      <x:c r="AA1023" s="10" t="n">
        <x:f>Z1023*'Assumptions'!$AC$149*'Assumptions'!$D$11*(1+'Assumptions'!$D$13)^(8-1)</x:f>
        <x:v>0</x:v>
      </x:c>
      <x:c r="AB1023" s="10" t="n">
        <x:f>F1023/1</x:f>
        <x:v>4.799584802100002</x:v>
      </x:c>
      <x:c r="AC1023" s="10" t="n">
        <x:f>AB1023/'Assumptions'!$AM$149</x:f>
        <x:v>23.997924010500007</x:v>
      </x:c>
      <x:c r="AD1023" s="10" t="n">
        <x:f>IF(AB1023=0,0,T1023/AB1023)</x:f>
        <x:v>429.9077289358545</x:v>
      </x:c>
      <x:c r="AE1023" s="10" t="n">
        <x:f>AA1023*'Assumptions'!$D$21</x:f>
        <x:v>0</x:v>
      </x:c>
    </x:row>
    <x:row r="1024" ht="16" customHeight="1">
      <x:c r="A1024" s="1"/>
      <x:c r="B1024" s="1"/>
      <x:c r="C1024" s="1" t="str">
        <x:v>DOT-121</x:v>
      </x:c>
      <x:c r="D1024" s="10" t="str">
        <x:v>OsezArt</x:v>
      </x:c>
      <x:c r="E1024" s="10" t="n">
        <x:v>8</x:v>
      </x:c>
      <x:c r="F1024" s="21" t="n">
        <x:f>F896*(1+'Assumptions'!$M$150)</x:f>
        <x:v>4.799584802100002</x:v>
      </x:c>
      <x:c r="G1024" s="21" t="n">
        <x:f>H896*'Assumptions'!$K$150</x:f>
        <x:v>4.447950285000001</x:v>
      </x:c>
      <x:c r="H1024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1024+G1024,NA())</x:f>
        <x:v>9.247535087100003</x:v>
      </x:c>
      <x:c r="I1024" s="22" t="n">
        <x:f>'Assumptions'!$H$150*IF('Assumptions'!$O$150=1,1,'Assumptions'!$D$10)*(1+'Assumptions'!$N$150)^(8-1)</x:f>
        <x:v>3446.05700294784</x:v>
      </x:c>
      <x:c r="J1024" s="10" t="n">
        <x:f>H1024*I1024</x:f>
        <x:v>31867.53304690683</x:v>
      </x:c>
      <x:c r="K1024" s="10" t="n">
        <x:f>J1024*'Assumptions'!$T$150</x:f>
        <x:v>31867.53304690683</x:v>
      </x:c>
      <x:c r="L1024" s="10" t="n">
        <x:f>K1024*'Assumptions'!$U$150</x:f>
        <x:v>956.0259914072049</x:v>
      </x:c>
      <x:c r="M1024" s="10" t="n">
        <x:f>K1024*'Assumptions'!$V$150</x:f>
        <x:v>0</x:v>
      </x:c>
      <x:c r="N1024" s="10" t="n">
        <x:f>K1024-L1024-M1024</x:f>
        <x:v>30911.507055499624</x:v>
      </x:c>
      <x:c r="O1024" s="10" t="n">
        <x:f>H1024*'Assumptions'!$P$150*'Assumptions'!$Q$150*'Assumptions'!$D$11*(1+'Assumptions'!$D$13)^(8-1)</x:f>
        <x:v>13306.763016171839</x:v>
      </x:c>
      <x:c r="P1024" s="10" t="n">
        <x:f>H1024*'Assumptions'!$R$150*'Assumptions'!$D$11*(1+'Assumptions'!$D$13)^(8-1)</x:f>
        <x:v>2274.660344644759</x:v>
      </x:c>
      <x:c r="Q1024" s="10" t="n">
        <x:f>J1024*'Assumptions'!$S$150</x:f>
        <x:v>0</x:v>
      </x:c>
      <x:c r="R1024" s="10" t="n">
        <x:f>H1024*'Assumptions'!$Y$150*'Assumptions'!$Z$150*'Assumptions'!$D$11*(1+'Assumptions'!$D$13)^(8-1)</x:f>
        <x:v>85.29976292417845</x:v>
      </x:c>
      <x:c r="S1024" s="10" t="n">
        <x:f>IF(I1024=0,0,J1024*'Assumptions'!$W$150+H1024*'Assumptions'!$X$150)</x:f>
        <x:v>926.932718886428</x:v>
      </x:c>
      <x:c r="T1024" s="10" t="n">
        <x:f>N1024*'Assumptions'!$AA$150</x:f>
        <x:v>1236.460282219985</x:v>
      </x:c>
      <x:c r="U1024" s="10" t="n">
        <x:f>'Assumptions'!$AE$150*'Assumptions'!$D$11*(1+'Assumptions'!$D$13)^(8-1)</x:f>
        <x:v>0</x:v>
      </x:c>
      <x:c r="V1024" s="10" t="n">
        <x:f>0</x:f>
        <x:v>0</x:v>
      </x:c>
      <x:c r="W1024" s="10" t="n">
        <x:f>H1024*('Assumptions'!$P$150+'Assumptions'!$Y$150)</x:f>
        <x:v>168.76751533957506</x:v>
      </x:c>
      <x:c r="X1024" s="10" t="n">
        <x:f>N1024/12*'Assumptions'!$AF$150</x:f>
        <x:v>2575.9589212916353</x:v>
      </x:c>
      <x:c r="Y1024" s="10" t="n">
        <x:f>P1024/12</x:f>
        <x:v>189.55502872039656</x:v>
      </x:c>
      <x:c r="Z1024" s="10" t="n">
        <x:f>0</x:f>
        <x:v>0</x:v>
      </x:c>
      <x:c r="AA1024" s="10" t="n">
        <x:f>Z1024*'Assumptions'!$AC$150*'Assumptions'!$D$11*(1+'Assumptions'!$D$13)^(8-1)</x:f>
        <x:v>0</x:v>
      </x:c>
      <x:c r="AB1024" s="10" t="n">
        <x:f>F1024/1</x:f>
        <x:v>4.799584802100002</x:v>
      </x:c>
      <x:c r="AC1024" s="10" t="n">
        <x:f>AB1024/'Assumptions'!$AM$150</x:f>
        <x:v>23.997924010500007</x:v>
      </x:c>
      <x:c r="AD1024" s="10" t="n">
        <x:f>IF(AB1024=0,0,T1024/AB1024)</x:f>
        <x:v>257.6181759886785</x:v>
      </x:c>
      <x:c r="AE1024" s="10" t="n">
        <x:f>AA1024*'Assumptions'!$D$21</x:f>
        <x:v>0</x:v>
      </x:c>
    </x:row>
    <x:row r="1025" ht="16" customHeight="1">
      <x:c r="A1025" s="1"/>
      <x:c r="B1025" s="1"/>
      <x:c r="C1025" s="1" t="str">
        <x:v>DOT-122</x:v>
      </x:c>
      <x:c r="D1025" s="10" t="str">
        <x:v>OsezArt</x:v>
      </x:c>
      <x:c r="E1025" s="10" t="n">
        <x:v>8</x:v>
      </x:c>
      <x:c r="F1025" s="21" t="n">
        <x:f>F897*(1+'Assumptions'!$M$151)</x:f>
        <x:v>1.5998616007000008</x:v>
      </x:c>
      <x:c r="G1025" s="21" t="n">
        <x:f>H897*'Assumptions'!$K$151</x:f>
        <x:v>1.4826500950000008</x:v>
      </x:c>
      <x:c r="H1025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1025+G1025,NA())</x:f>
        <x:v>3.082511695700002</x:v>
      </x:c>
      <x:c r="I1025" s="22" t="n">
        <x:f>'Assumptions'!$H$151*IF('Assumptions'!$O$151=1,1,'Assumptions'!$D$10)*(1+'Assumptions'!$N$151)^(8-1)</x:f>
        <x:v>11486.8566764928</x:v>
      </x:c>
      <x:c r="J1025" s="10" t="n">
        <x:f>H1025*I1025</x:f>
        <x:v>35408.370052118706</x:v>
      </x:c>
      <x:c r="K1025" s="10" t="n">
        <x:f>J1025*'Assumptions'!$T$151</x:f>
        <x:v>35408.370052118706</x:v>
      </x:c>
      <x:c r="L1025" s="10" t="n">
        <x:f>K1025*'Assumptions'!$U$151</x:f>
        <x:v>1062.2511015635612</x:v>
      </x:c>
      <x:c r="M1025" s="10" t="n">
        <x:f>K1025*'Assumptions'!$V$151</x:f>
        <x:v>0</x:v>
      </x:c>
      <x:c r="N1025" s="10" t="n">
        <x:f>K1025-L1025-M1025</x:f>
        <x:v>34346.118950555145</x:v>
      </x:c>
      <x:c r="O1025" s="10" t="n">
        <x:f>H1025*'Assumptions'!$P$151*'Assumptions'!$Q$151*'Assumptions'!$D$11*(1+'Assumptions'!$D$13)^(8-1)</x:f>
        <x:v>14785.292240190938</x:v>
      </x:c>
      <x:c r="P1025" s="10" t="n">
        <x:f>H1025*'Assumptions'!$R$151*'Assumptions'!$D$11*(1+'Assumptions'!$D$13)^(8-1)</x:f>
        <x:v>1895.5502872039663</x:v>
      </x:c>
      <x:c r="Q1025" s="10" t="n">
        <x:f>J1025*'Assumptions'!$S$151</x:f>
        <x:v>0</x:v>
      </x:c>
      <x:c r="R1025" s="10" t="n">
        <x:f>H1025*'Assumptions'!$Y$151*'Assumptions'!$Z$151*'Assumptions'!$D$11*(1+'Assumptions'!$D$13)^(8-1)</x:f>
        <x:v>28.433254308059496</x:v>
      </x:c>
      <x:c r="S1025" s="10" t="n">
        <x:f>IF(I1025=0,0,J1025*'Assumptions'!$W$151+H1025*'Assumptions'!$X$151)</x:f>
        <x:v>1027.7674850201524</x:v>
      </x:c>
      <x:c r="T1025" s="10" t="n">
        <x:f>N1025*'Assumptions'!$AA$151</x:f>
        <x:v>1373.8447580222057</x:v>
      </x:c>
      <x:c r="U1025" s="10" t="n">
        <x:f>'Assumptions'!$AE$151*'Assumptions'!$D$11*(1+'Assumptions'!$D$13)^(8-1)</x:f>
        <x:v>0</x:v>
      </x:c>
      <x:c r="V1025" s="10" t="n">
        <x:f>0</x:f>
        <x:v>0</x:v>
      </x:c>
      <x:c r="W1025" s="10" t="n">
        <x:f>H1025*('Assumptions'!$P$151+'Assumptions'!$Y$151)</x:f>
        <x:v>185.7213296659251</x:v>
      </x:c>
      <x:c r="X1025" s="10" t="n">
        <x:f>N1025/12*'Assumptions'!$AF$151</x:f>
        <x:v>2862.1765792129286</x:v>
      </x:c>
      <x:c r="Y1025" s="10" t="n">
        <x:f>P1025/12</x:f>
        <x:v>157.96252393366385</x:v>
      </x:c>
      <x:c r="Z1025" s="10" t="n">
        <x:f>0</x:f>
        <x:v>0</x:v>
      </x:c>
      <x:c r="AA1025" s="10" t="n">
        <x:f>Z1025*'Assumptions'!$AC$151*'Assumptions'!$D$11*(1+'Assumptions'!$D$13)^(8-1)</x:f>
        <x:v>0</x:v>
      </x:c>
      <x:c r="AB1025" s="10" t="n">
        <x:f>F1025/1</x:f>
        <x:v>1.5998616007000008</x:v>
      </x:c>
      <x:c r="AC1025" s="10" t="n">
        <x:f>AB1025/'Assumptions'!$AM$151</x:f>
        <x:v>7.999308003500004</x:v>
      </x:c>
      <x:c r="AD1025" s="10" t="n">
        <x:f>IF(AB1025=0,0,T1025/AB1025)</x:f>
        <x:v>858.727253295595</x:v>
      </x:c>
      <x:c r="AE1025" s="10" t="n">
        <x:f>AA1025*'Assumptions'!$D$21</x:f>
        <x:v>0</x:v>
      </x:c>
    </x:row>
    <x:row r="1026" ht="16" customHeight="1">
      <x:c r="A1026" s="1"/>
      <x:c r="B1026" s="1"/>
      <x:c r="C1026" s="1" t="str">
        <x:v>DOT-123</x:v>
      </x:c>
      <x:c r="D1026" s="10" t="str">
        <x:v>FinBot research</x:v>
      </x:c>
      <x:c r="E1026" s="10" t="n">
        <x:v>8</x:v>
      </x:c>
      <x:c r="F1026" s="21" t="n">
        <x:f>F898*(1+'Assumptions'!$M$152)</x:f>
        <x:v>172.00677172893745</x:v>
      </x:c>
      <x:c r="G1026" s="21" t="n">
        <x:f>H898*'Assumptions'!$K$152</x:f>
        <x:v>55.021910071874984</x:v>
      </x:c>
      <x:c r="H1026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1026+G1026,NA())</x:f>
        <x:v>227.02868180081242</x:v>
      </x:c>
      <x:c r="I1026" s="22" t="n">
        <x:f>'Assumptions'!$H$152*IF('Assumptions'!$O$152=1,1,'Assumptions'!$D$10)*(1+'Assumptions'!$N$152)^(8-1)</x:f>
        <x:v>33.31188436182912</x:v>
      </x:c>
      <x:c r="J1026" s="10" t="n">
        <x:f>H1026*I1026</x:f>
        <x:v>7562.753194967163</x:v>
      </x:c>
      <x:c r="K1026" s="10" t="n">
        <x:f>J1026*'Assumptions'!$T$152</x:f>
        <x:v>7562.753194967163</x:v>
      </x:c>
      <x:c r="L1026" s="10" t="n">
        <x:f>K1026*'Assumptions'!$U$152</x:f>
        <x:v>226.88259584901488</x:v>
      </x:c>
      <x:c r="M1026" s="10" t="n">
        <x:f>K1026*'Assumptions'!$V$152</x:f>
        <x:v>0</x:v>
      </x:c>
      <x:c r="N1026" s="10" t="n">
        <x:f>K1026-L1026-M1026</x:f>
        <x:v>7335.870599118148</x:v>
      </x:c>
      <x:c r="O1026" s="10" t="n">
        <x:f>H1026*'Assumptions'!$P$152*'Assumptions'!$Q$152*'Assumptions'!$D$11*(1+'Assumptions'!$D$13)^(8-1)</x:f>
        <x:v>2512.9497820381025</x:v>
      </x:c>
      <x:c r="P1026" s="10" t="n">
        <x:f>H1026*'Assumptions'!$R$152*'Assumptions'!$D$11*(1+'Assumptions'!$D$13)^(8-1)</x:f>
        <x:v>0</x:v>
      </x:c>
      <x:c r="Q1026" s="10" t="n">
        <x:f>J1026*'Assumptions'!$S$152</x:f>
        <x:v>0</x:v>
      </x:c>
      <x:c r="R1026" s="10" t="n">
        <x:f>H1026*'Assumptions'!$Y$152*'Assumptions'!$Z$152*'Assumptions'!$D$11*(1+'Assumptions'!$D$13)^(8-1)</x:f>
        <x:v>837.6499273460342</x:v>
      </x:c>
      <x:c r="S1026" s="10" t="n">
        <x:f>IF(I1026=0,0,J1026*'Assumptions'!$W$152+H1026*'Assumptions'!$X$152)</x:f>
        <x:v>287.42844719429144</x:v>
      </x:c>
      <x:c r="T1026" s="10" t="n">
        <x:f>N1026*'Assumptions'!$AA$152</x:f>
        <x:v>366.7935299559074</x:v>
      </x:c>
      <x:c r="U1026" s="10" t="n">
        <x:f>'Assumptions'!$AE$152*'Assumptions'!$D$11*(1+'Assumptions'!$D$13)^(8-1)</x:f>
        <x:v>295.16972770196884</x:v>
      </x:c>
      <x:c r="V1026" s="10" t="n">
        <x:f>0</x:f>
        <x:v>0</x:v>
      </x:c>
      <x:c r="W1026" s="10" t="n">
        <x:f>H1026*('Assumptions'!$P$152+'Assumptions'!$Y$152)</x:f>
        <x:v>68.10860454024373</x:v>
      </x:c>
      <x:c r="X1026" s="10" t="n">
        <x:f>N1026/12*'Assumptions'!$AF$152</x:f>
        <x:v>0</x:v>
      </x:c>
      <x:c r="Y1026" s="10" t="n">
        <x:f>P1026/12</x:f>
        <x:v>0</x:v>
      </x:c>
      <x:c r="Z1026" s="10" t="n">
        <x:f>0</x:f>
        <x:v>0</x:v>
      </x:c>
      <x:c r="AA1026" s="10" t="n">
        <x:f>Z1026*'Assumptions'!$AC$152*'Assumptions'!$D$11*(1+'Assumptions'!$D$13)^(8-1)</x:f>
        <x:v>0</x:v>
      </x:c>
      <x:c r="AB1026" s="10" t="n">
        <x:f>F1026/12</x:f>
        <x:v>14.333897644078121</x:v>
      </x:c>
      <x:c r="AC1026" s="10" t="n">
        <x:f>AB1026/'Assumptions'!$AM$152</x:f>
        <x:v>286.6779528815624</x:v>
      </x:c>
      <x:c r="AD1026" s="10" t="n">
        <x:f>IF(AB1026=0,0,T1026/AB1026)</x:f>
        <x:v>25.589238814429777</x:v>
      </x:c>
      <x:c r="AE1026" s="10" t="n">
        <x:f>AA1026*'Assumptions'!$D$21</x:f>
        <x:v>0</x:v>
      </x:c>
    </x:row>
    <x:row r="1027" ht="16" customHeight="1">
      <x:c r="A1027" s="1"/>
      <x:c r="B1027" s="1"/>
      <x:c r="C1027" s="1" t="str">
        <x:v>DOT-124</x:v>
      </x:c>
      <x:c r="D1027" s="10" t="str">
        <x:v>Functional Analysis</x:v>
      </x:c>
      <x:c r="E1027" s="10" t="n">
        <x:v>8</x:v>
      </x:c>
      <x:c r="F1027" s="21" t="n">
        <x:f>F899*(1+'Assumptions'!$M$153)</x:f>
        <x:v>344.0135434578749</x:v>
      </x:c>
      <x:c r="G1027" s="21" t="n">
        <x:f>H899*'Assumptions'!$K$153</x:f>
        <x:v>110.04382014374997</x:v>
      </x:c>
      <x:c r="H1027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1027+G1027,NA())</x:f>
        <x:v>454.05736360162484</x:v>
      </x:c>
      <x:c r="I1027" s="22" t="n">
        <x:f>'Assumptions'!$H$153*IF('Assumptions'!$O$153=1,1,'Assumptions'!$D$10)*(1+'Assumptions'!$N$153)^(8-1)</x:f>
        <x:v>21.82502768533632</x:v>
      </x:c>
      <x:c r="J1027" s="10" t="n">
        <x:f>H1027*I1027</x:f>
        <x:v>9909.814531336282</x:v>
      </x:c>
      <x:c r="K1027" s="10" t="n">
        <x:f>J1027*'Assumptions'!$T$153</x:f>
        <x:v>9909.814531336282</x:v>
      </x:c>
      <x:c r="L1027" s="10" t="n">
        <x:f>K1027*'Assumptions'!$U$153</x:f>
        <x:v>297.2944359400885</x:v>
      </x:c>
      <x:c r="M1027" s="10" t="n">
        <x:f>K1027*'Assumptions'!$V$153</x:f>
        <x:v>0</x:v>
      </x:c>
      <x:c r="N1027" s="10" t="n">
        <x:f>K1027-L1027-M1027</x:f>
        <x:v>9612.520095396194</x:v>
      </x:c>
      <x:c r="O1027" s="10" t="n">
        <x:f>H1027*'Assumptions'!$P$153*'Assumptions'!$Q$153*'Assumptions'!$D$11*(1+'Assumptions'!$D$13)^(8-1)</x:f>
        <x:v>1954.5164971407464</x:v>
      </x:c>
      <x:c r="P1027" s="10" t="n">
        <x:f>H1027*'Assumptions'!$R$153*'Assumptions'!$D$11*(1+'Assumptions'!$D$13)^(8-1)</x:f>
        <x:v>0</x:v>
      </x:c>
      <x:c r="Q1027" s="10" t="n">
        <x:f>J1027*'Assumptions'!$S$153</x:f>
        <x:v>0</x:v>
      </x:c>
      <x:c r="R1027" s="10" t="n">
        <x:f>H1027*'Assumptions'!$Y$153*'Assumptions'!$Z$153*'Assumptions'!$D$11*(1+'Assumptions'!$D$13)^(8-1)</x:f>
        <x:v>1675.2998546920685</x:v>
      </x:c>
      <x:c r="S1027" s="10" t="n">
        <x:f>IF(I1027=0,0,J1027*'Assumptions'!$W$153+H1027*'Assumptions'!$X$153)</x:f>
        <x:v>423.60183048923966</x:v>
      </x:c>
      <x:c r="T1027" s="10" t="n">
        <x:f>N1027*'Assumptions'!$AA$153</x:f>
        <x:v>480.6260047698097</x:v>
      </x:c>
      <x:c r="U1027" s="10" t="n">
        <x:f>'Assumptions'!$AE$153*'Assumptions'!$D$11*(1+'Assumptions'!$D$13)^(8-1)</x:f>
        <x:v>0</x:v>
      </x:c>
      <x:c r="V1027" s="10" t="n">
        <x:f>0</x:f>
        <x:v>0</x:v>
      </x:c>
      <x:c r="W1027" s="10" t="n">
        <x:f>H1027*('Assumptions'!$P$153+'Assumptions'!$Y$153)</x:f>
        <x:v>90.81147272032497</x:v>
      </x:c>
      <x:c r="X1027" s="10" t="n">
        <x:f>N1027/12*'Assumptions'!$AF$153</x:f>
        <x:v>0</x:v>
      </x:c>
      <x:c r="Y1027" s="10" t="n">
        <x:f>P1027/12</x:f>
        <x:v>0</x:v>
      </x:c>
      <x:c r="Z1027" s="10" t="n">
        <x:f>0</x:f>
        <x:v>0</x:v>
      </x:c>
      <x:c r="AA1027" s="10" t="n">
        <x:f>Z1027*'Assumptions'!$AC$153*'Assumptions'!$D$11*(1+'Assumptions'!$D$13)^(8-1)</x:f>
        <x:v>0</x:v>
      </x:c>
      <x:c r="AB1027" s="10" t="n">
        <x:f>F1027/1</x:f>
        <x:v>344.0135434578749</x:v>
      </x:c>
      <x:c r="AC1027" s="10" t="n">
        <x:f>AB1027/'Assumptions'!$AM$153</x:f>
        <x:v>6880.270869157498</x:v>
      </x:c>
      <x:c r="AD1027" s="10" t="n">
        <x:f>IF(AB1027=0,0,T1027/AB1027)</x:f>
        <x:v>1.3971136134315107</x:v>
      </x:c>
      <x:c r="AE1027" s="10" t="n">
        <x:f>AA1027*'Assumptions'!$D$21</x:f>
        <x:v>0</x:v>
      </x:c>
    </x:row>
    <x:row r="1028" ht="16" customHeight="1">
      <x:c r="A1028" s="1"/>
      <x:c r="B1028" s="1"/>
      <x:c r="C1028" s="1" t="str">
        <x:v>DOT-125</x:v>
      </x:c>
      <x:c r="D1028" s="10" t="str">
        <x:v>Functional Analysis</x:v>
      </x:c>
      <x:c r="E1028" s="10" t="n">
        <x:v>8</x:v>
      </x:c>
      <x:c r="F1028" s="21" t="n">
        <x:f>F900*(1+'Assumptions'!$M$154)</x:f>
        <x:v>28.797508812600004</x:v>
      </x:c>
      <x:c r="G1028" s="21" t="n">
        <x:f>H900*'Assumptions'!$K$154</x:f>
        <x:v>26.687701710000006</x:v>
      </x:c>
      <x:c r="H1028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1028+G1028,NA())</x:f>
        <x:v>55.48521052260001</x:v>
      </x:c>
      <x:c r="I1028" s="22" t="n">
        <x:f>'Assumptions'!$H$154*IF('Assumptions'!$O$154=1,1,'Assumptions'!$D$10)*(1+'Assumptions'!$N$154)^(8-1)</x:f>
        <x:v>113.71988109727873</x:v>
      </x:c>
      <x:c r="J1028" s="10" t="n">
        <x:f>H1028*I1028</x:f>
        <x:v>6309.771543287552</x:v>
      </x:c>
      <x:c r="K1028" s="10" t="n">
        <x:f>J1028*'Assumptions'!$T$154</x:f>
        <x:v>6309.771543287552</x:v>
      </x:c>
      <x:c r="L1028" s="10" t="n">
        <x:f>K1028*'Assumptions'!$U$154</x:f>
        <x:v>189.29314629862657</x:v>
      </x:c>
      <x:c r="M1028" s="10" t="n">
        <x:f>K1028*'Assumptions'!$V$154</x:f>
        <x:v>0</x:v>
      </x:c>
      <x:c r="N1028" s="10" t="n">
        <x:f>K1028-L1028-M1028</x:f>
        <x:v>6120.478396988926</x:v>
      </x:c>
      <x:c r="O1028" s="10" t="n">
        <x:f>H1028*'Assumptions'!$P$154*'Assumptions'!$Q$154*'Assumptions'!$D$11*(1+'Assumptions'!$D$13)^(8-1)</x:f>
        <x:v>2729.5924135737105</x:v>
      </x:c>
      <x:c r="P1028" s="10" t="n">
        <x:f>H1028*'Assumptions'!$R$154*'Assumptions'!$D$11*(1+'Assumptions'!$D$13)^(8-1)</x:f>
        <x:v>0</x:v>
      </x:c>
      <x:c r="Q1028" s="10" t="n">
        <x:f>J1028*'Assumptions'!$S$154</x:f>
        <x:v>0</x:v>
      </x:c>
      <x:c r="R1028" s="10" t="n">
        <x:f>H1028*'Assumptions'!$Y$154*'Assumptions'!$Z$154*'Assumptions'!$D$11*(1+'Assumptions'!$D$13)^(8-1)</x:f>
        <x:v>511.7985775450707</x:v>
      </x:c>
      <x:c r="S1028" s="10" t="n">
        <x:f>IF(I1028=0,0,J1028*'Assumptions'!$W$154+H1028*'Assumptions'!$X$154)</x:f>
        <x:v>199.62893791211903</x:v>
      </x:c>
      <x:c r="T1028" s="10" t="n">
        <x:f>N1028*'Assumptions'!$AA$154</x:f>
        <x:v>244.81913587955705</x:v>
      </x:c>
      <x:c r="U1028" s="10" t="n">
        <x:f>'Assumptions'!$AE$154*'Assumptions'!$D$11*(1+'Assumptions'!$D$13)^(8-1)</x:f>
        <x:v>0</x:v>
      </x:c>
      <x:c r="V1028" s="10" t="n">
        <x:f>0</x:f>
        <x:v>0</x:v>
      </x:c>
      <x:c r="W1028" s="10" t="n">
        <x:f>H1028*('Assumptions'!$P$154+'Assumptions'!$Y$154)</x:f>
        <x:v>69.35651315325002</x:v>
      </x:c>
      <x:c r="X1028" s="10" t="n">
        <x:f>N1028/12*'Assumptions'!$AF$154</x:f>
        <x:v>510.0398664157438</x:v>
      </x:c>
      <x:c r="Y1028" s="10" t="n">
        <x:f>P1028/12</x:f>
        <x:v>0</x:v>
      </x:c>
      <x:c r="Z1028" s="10" t="n">
        <x:f>0</x:f>
        <x:v>0</x:v>
      </x:c>
      <x:c r="AA1028" s="10" t="n">
        <x:f>Z1028*'Assumptions'!$AC$154*'Assumptions'!$D$11*(1+'Assumptions'!$D$13)^(8-1)</x:f>
        <x:v>0</x:v>
      </x:c>
      <x:c r="AB1028" s="10" t="n">
        <x:f>F1028/1</x:f>
        <x:v>28.797508812600004</x:v>
      </x:c>
      <x:c r="AC1028" s="10" t="n">
        <x:f>AB1028/'Assumptions'!$AM$154</x:f>
        <x:v>143.987544063</x:v>
      </x:c>
      <x:c r="AD1028" s="10" t="n">
        <x:f>IF(AB1028=0,0,T1028/AB1028)</x:f>
        <x:v>8.501399807626393</x:v>
      </x:c>
      <x:c r="AE1028" s="10" t="n">
        <x:f>AA1028*'Assumptions'!$D$21</x:f>
        <x:v>0</x:v>
      </x:c>
    </x:row>
    <x:row r="1029" ht="16" customHeight="1">
      <x:c r="A1029" s="1"/>
      <x:c r="B1029" s="1"/>
      <x:c r="C1029" s="1" t="str">
        <x:v>DOT-126</x:v>
      </x:c>
      <x:c r="D1029" s="10" t="str">
        <x:v>Independent candy game</x:v>
      </x:c>
      <x:c r="E1029" s="10" t="n">
        <x:v>8</x:v>
      </x:c>
      <x:c r="F1029" s="21" t="n">
        <x:f>F901*(1+'Assumptions'!$M$155)</x:f>
        <x:v>860.0338586446874</x:v>
      </x:c>
      <x:c r="G1029" s="21" t="n">
        <x:f>H901*'Assumptions'!$K$155</x:f>
        <x:v>275.1095503593749</x:v>
      </x:c>
      <x:c r="H1029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1029+G1029,NA())</x:f>
        <x:v>1135.1434090040623</x:v>
      </x:c>
      <x:c r="I1029" s="22" t="n">
        <x:f>'Assumptions'!$H$155*IF('Assumptions'!$O$155=1,1,'Assumptions'!$D$10)*(1+'Assumptions'!$N$155)^(8-1)</x:f>
        <x:v>5.7319414815699075</x:v>
      </x:c>
      <x:c r="J1029" s="10" t="n">
        <x:f>H1029*I1029</x:f>
        <x:v>6506.57559360106</x:v>
      </x:c>
      <x:c r="K1029" s="10" t="n">
        <x:f>J1029*'Assumptions'!$T$155</x:f>
        <x:v>6506.57559360106</x:v>
      </x:c>
      <x:c r="L1029" s="10" t="n">
        <x:f>K1029*'Assumptions'!$U$155</x:f>
        <x:v>195.1972678080318</x:v>
      </x:c>
      <x:c r="M1029" s="10" t="n">
        <x:f>K1029*'Assumptions'!$V$155</x:f>
        <x:v>0</x:v>
      </x:c>
      <x:c r="N1029" s="10" t="n">
        <x:f>K1029-L1029-M1029</x:f>
        <x:v>6311.378325793028</x:v>
      </x:c>
      <x:c r="O1029" s="10" t="n">
        <x:f>H1029*'Assumptions'!$P$155*'Assumptions'!$Q$155*'Assumptions'!$D$11*(1+'Assumptions'!$D$13)^(8-1)</x:f>
        <x:v>977.2582485703733</x:v>
      </x:c>
      <x:c r="P1029" s="10" t="n">
        <x:f>H1029*'Assumptions'!$R$155*'Assumptions'!$D$11*(1+'Assumptions'!$D$13)^(8-1)</x:f>
        <x:v>0</x:v>
      </x:c>
      <x:c r="Q1029" s="10" t="n">
        <x:f>J1029*'Assumptions'!$S$155</x:f>
        <x:v>0</x:v>
      </x:c>
      <x:c r="R1029" s="10" t="n">
        <x:f>H1029*'Assumptions'!$Y$155*'Assumptions'!$Z$155*'Assumptions'!$D$11*(1+'Assumptions'!$D$13)^(8-1)</x:f>
        <x:v>4188.249636730172</x:v>
      </x:c>
      <x:c r="S1029" s="10" t="n">
        <x:f>IF(I1029=0,0,J1029*'Assumptions'!$W$155+H1029*'Assumptions'!$X$155)</x:f>
        <x:v>529.2337149156494</x:v>
      </x:c>
      <x:c r="T1029" s="10" t="n">
        <x:f>N1029*'Assumptions'!$AA$155</x:f>
        <x:v>315.56891628965144</x:v>
      </x:c>
      <x:c r="U1029" s="10" t="n">
        <x:f>'Assumptions'!$AE$155*'Assumptions'!$D$11*(1+'Assumptions'!$D$13)^(8-1)</x:f>
        <x:v>0</x:v>
      </x:c>
      <x:c r="V1029" s="10" t="n">
        <x:f>0</x:f>
        <x:v>0</x:v>
      </x:c>
      <x:c r="W1029" s="10" t="n">
        <x:f>H1029*('Assumptions'!$P$155+'Assumptions'!$Y$155)</x:f>
        <x:v>136.2172090804875</x:v>
      </x:c>
      <x:c r="X1029" s="10" t="n">
        <x:f>N1029/12*'Assumptions'!$AF$155</x:f>
        <x:v>0</x:v>
      </x:c>
      <x:c r="Y1029" s="10" t="n">
        <x:f>P1029/12</x:f>
        <x:v>0</x:v>
      </x:c>
      <x:c r="Z1029" s="10" t="n">
        <x:f>0</x:f>
        <x:v>0</x:v>
      </x:c>
      <x:c r="AA1029" s="10" t="n">
        <x:f>Z1029*'Assumptions'!$AC$155*'Assumptions'!$D$11*(1+'Assumptions'!$D$13)^(8-1)</x:f>
        <x:v>0</x:v>
      </x:c>
      <x:c r="AB1029" s="10" t="n">
        <x:f>F1029/1</x:f>
        <x:v>860.0338586446874</x:v>
      </x:c>
      <x:c r="AC1029" s="10" t="n">
        <x:f>AB1029/'Assumptions'!$AM$155</x:f>
        <x:v>17200.677172893746</x:v>
      </x:c>
      <x:c r="AD1029" s="10" t="n">
        <x:f>IF(AB1029=0,0,T1029/AB1029)</x:f>
        <x:v>0.366926154264381</x:v>
      </x:c>
      <x:c r="AE1029" s="10" t="n">
        <x:f>AA1029*'Assumptions'!$D$21</x:f>
        <x:v>0</x:v>
      </x:c>
    </x:row>
    <x:row r="1030" ht="16" customHeight="1">
      <x:c r="A1030" s="1"/>
      <x:c r="B1030" s="1"/>
      <x:c r="C1030" s="1" t="str">
        <x:v>DOT-127</x:v>
      </x:c>
      <x:c r="D1030" s="10" t="str">
        <x:v>Learn Anglais</x:v>
      </x:c>
      <x:c r="E1030" s="10" t="n">
        <x:v>8</x:v>
      </x:c>
      <x:c r="F1030" s="21" t="n">
        <x:f>F902*(1+'Assumptions'!$M$156)</x:f>
        <x:v>203.92908364800002</x:v>
      </x:c>
      <x:c r="G1030" s="21" t="n">
        <x:f>H902*'Assumptions'!$K$156</x:f>
        <x:v>387.1517794199999</x:v>
      </x:c>
      <x:c r="H1030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1030+G1030,NA())</x:f>
        <x:v>591.0808630679999</x:v>
      </x:c>
      <x:c r="I1030" s="22" t="n">
        <x:f>'Assumptions'!$H$156*IF('Assumptions'!$O$156=1,1,'Assumptions'!$D$10)*(1+'Assumptions'!$N$156)^(8-1)</x:f>
        <x:v>27.56845602358272</x:v>
      </x:c>
      <x:c r="J1030" s="10" t="n">
        <x:f>H1030*I1030</x:f>
        <x:v>16295.186779871474</x:v>
      </x:c>
      <x:c r="K1030" s="10" t="n">
        <x:f>J1030*'Assumptions'!$T$156</x:f>
        <x:v>5431.728926623824</x:v>
      </x:c>
      <x:c r="L1030" s="10" t="n">
        <x:f>K1030*'Assumptions'!$U$156</x:f>
        <x:v>162.95186779871472</x:v>
      </x:c>
      <x:c r="M1030" s="10" t="n">
        <x:f>K1030*'Assumptions'!$V$156</x:f>
        <x:v>0</x:v>
      </x:c>
      <x:c r="N1030" s="10" t="n">
        <x:f>K1030-L1030-M1030</x:f>
        <x:v>5268.77705882511</x:v>
      </x:c>
      <x:c r="O1030" s="10" t="n">
        <x:f>H1030*'Assumptions'!$P$156*'Assumptions'!$Q$156*'Assumptions'!$D$11*(1+'Assumptions'!$D$13)^(8-1)</x:f>
        <x:v>2544.342170440383</x:v>
      </x:c>
      <x:c r="P1030" s="10" t="n">
        <x:f>H1030*'Assumptions'!$R$156*'Assumptions'!$D$11*(1+'Assumptions'!$D$13)^(8-1)</x:f>
        <x:v>0</x:v>
      </x:c>
      <x:c r="Q1030" s="10" t="n">
        <x:f>J1030*'Assumptions'!$S$156</x:f>
        <x:v>0</x:v>
      </x:c>
      <x:c r="R1030" s="10" t="n">
        <x:f>H1030*'Assumptions'!$Y$156*'Assumptions'!$Z$156*'Assumptions'!$D$11*(1+'Assumptions'!$D$13)^(8-1)</x:f>
        <x:v>3271.297076280492</x:v>
      </x:c>
      <x:c r="S1030" s="10" t="n">
        <x:f>IF(I1030=0,0,J1030*'Assumptions'!$W$156+H1030*'Assumptions'!$X$156)</x:f>
        <x:v>649.8846755366727</x:v>
      </x:c>
      <x:c r="T1030" s="10" t="n">
        <x:f>N1030*'Assumptions'!$AA$156</x:f>
        <x:v>263.4388529412555</x:v>
      </x:c>
      <x:c r="U1030" s="10" t="n">
        <x:f>'Assumptions'!$AE$156*'Assumptions'!$D$11*(1+'Assumptions'!$D$13)^(8-1)</x:f>
        <x:v>0</x:v>
      </x:c>
      <x:c r="V1030" s="10" t="n">
        <x:f>0</x:f>
        <x:v>0</x:v>
      </x:c>
      <x:c r="W1030" s="10" t="n">
        <x:f>H1030*('Assumptions'!$P$156+'Assumptions'!$Y$156)</x:f>
        <x:v>147.77021576699997</x:v>
      </x:c>
      <x:c r="X1030" s="10" t="n">
        <x:f>N1030/12*'Assumptions'!$AF$156</x:f>
        <x:v>0</x:v>
      </x:c>
      <x:c r="Y1030" s="10" t="n">
        <x:f>P1030/12</x:f>
        <x:v>0</x:v>
      </x:c>
      <x:c r="Z1030" s="10" t="n">
        <x:f>0</x:f>
        <x:v>0</x:v>
      </x:c>
      <x:c r="AA1030" s="10" t="n">
        <x:f>Z1030*'Assumptions'!$AC$156*'Assumptions'!$D$11*(1+'Assumptions'!$D$13)^(8-1)</x:f>
        <x:v>0</x:v>
      </x:c>
      <x:c r="AB1030" s="10" t="n">
        <x:f>F1030/1</x:f>
        <x:v>203.92908364800002</x:v>
      </x:c>
      <x:c r="AC1030" s="10" t="n">
        <x:f>AB1030/'Assumptions'!$AM$156</x:f>
        <x:v>4078.58167296</x:v>
      </x:c>
      <x:c r="AD1030" s="10" t="n">
        <x:f>IF(AB1030=0,0,T1030/AB1030)</x:f>
        <x:v>1.2918159991145486</x:v>
      </x:c>
      <x:c r="AE1030" s="10" t="n">
        <x:f>AA1030*'Assumptions'!$D$21</x:f>
        <x:v>0</x:v>
      </x:c>
    </x:row>
    <x:row r="1031" ht="16" customHeight="1">
      <x:c r="A1031" s="1"/>
      <x:c r="B1031" s="1"/>
      <x:c r="C1031" s="1" t="str">
        <x:v>DOT-128</x:v>
      </x:c>
      <x:c r="D1031" s="10" t="str">
        <x:v>Learn Anglais</x:v>
      </x:c>
      <x:c r="E1031" s="10" t="n">
        <x:v>8</x:v>
      </x:c>
      <x:c r="F1031" s="21" t="n">
        <x:f>F903*(1+'Assumptions'!$M$157)</x:f>
        <x:v>81.57163345920002</x:v>
      </x:c>
      <x:c r="G1031" s="21" t="n">
        <x:f>H903*'Assumptions'!$K$157</x:f>
        <x:v>154.860711768</x:v>
      </x:c>
      <x:c r="H1031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1031+G1031,NA())</x:f>
        <x:v>236.43234522720002</x:v>
      </x:c>
      <x:c r="I1031" s="22" t="n">
        <x:f>'Assumptions'!$H$157*IF('Assumptions'!$O$157=1,1,'Assumptions'!$D$10)*(1+'Assumptions'!$N$157)^(8-1)</x:f>
        <x:v>189.5331351621312</x:v>
      </x:c>
      <x:c r="J1031" s="10" t="n">
        <x:f>H1031*I1031</x:f>
        <x:v>44811.76364464657</x:v>
      </x:c>
      <x:c r="K1031" s="10" t="n">
        <x:f>J1031*'Assumptions'!$T$157</x:f>
        <x:v>13443.52909339397</x:v>
      </x:c>
      <x:c r="L1031" s="10" t="n">
        <x:f>K1031*'Assumptions'!$U$157</x:f>
        <x:v>403.3058728018191</x:v>
      </x:c>
      <x:c r="M1031" s="10" t="n">
        <x:f>K1031*'Assumptions'!$V$157</x:f>
        <x:v>0</x:v>
      </x:c>
      <x:c r="N1031" s="10" t="n">
        <x:f>K1031-L1031-M1031</x:f>
        <x:v>13040.223220592152</x:v>
      </x:c>
      <x:c r="O1031" s="10" t="n">
        <x:f>H1031*'Assumptions'!$P$157*'Assumptions'!$Q$157*'Assumptions'!$D$11*(1+'Assumptions'!$D$13)^(8-1)</x:f>
        <x:v>1017.7368681761535</x:v>
      </x:c>
      <x:c r="P1031" s="10" t="n">
        <x:f>H1031*'Assumptions'!$R$157*'Assumptions'!$D$11*(1+'Assumptions'!$D$13)^(8-1)</x:f>
        <x:v>0</x:v>
      </x:c>
      <x:c r="Q1031" s="10" t="n">
        <x:f>J1031*'Assumptions'!$S$157</x:f>
        <x:v>0</x:v>
      </x:c>
      <x:c r="R1031" s="10" t="n">
        <x:f>H1031*'Assumptions'!$Y$157*'Assumptions'!$Z$157*'Assumptions'!$D$11*(1+'Assumptions'!$D$13)^(8-1)</x:f>
        <x:v>1308.5188305121974</x:v>
      </x:c>
      <x:c r="S1031" s="10" t="n">
        <x:f>IF(I1031=0,0,J1031*'Assumptions'!$W$157+H1031*'Assumptions'!$X$157)</x:f>
        <x:v>1370.4708492629106</x:v>
      </x:c>
      <x:c r="T1031" s="10" t="n">
        <x:f>N1031*'Assumptions'!$AA$157</x:f>
        <x:v>652.0111610296076</x:v>
      </x:c>
      <x:c r="U1031" s="10" t="n">
        <x:f>'Assumptions'!$AE$157*'Assumptions'!$D$11*(1+'Assumptions'!$D$13)^(8-1)</x:f>
        <x:v>0</x:v>
      </x:c>
      <x:c r="V1031" s="10" t="n">
        <x:f>0</x:f>
        <x:v>0</x:v>
      </x:c>
      <x:c r="W1031" s="10" t="n">
        <x:f>H1031*('Assumptions'!$P$157+'Assumptions'!$Y$157)</x:f>
        <x:v>59.108086306800004</x:v>
      </x:c>
      <x:c r="X1031" s="10" t="n">
        <x:f>N1031/12*'Assumptions'!$AF$157</x:f>
        <x:v>0</x:v>
      </x:c>
      <x:c r="Y1031" s="10" t="n">
        <x:f>P1031/12</x:f>
        <x:v>0</x:v>
      </x:c>
      <x:c r="Z1031" s="10" t="n">
        <x:f>0</x:f>
        <x:v>0</x:v>
      </x:c>
      <x:c r="AA1031" s="10" t="n">
        <x:f>Z1031*'Assumptions'!$AC$157*'Assumptions'!$D$11*(1+'Assumptions'!$D$13)^(8-1)</x:f>
        <x:v>0</x:v>
      </x:c>
      <x:c r="AB1031" s="10" t="n">
        <x:f>F1031/1</x:f>
        <x:v>81.57163345920002</x:v>
      </x:c>
      <x:c r="AC1031" s="10" t="n">
        <x:f>AB1031/'Assumptions'!$AM$157</x:f>
        <x:v>1631.4326691840001</x:v>
      </x:c>
      <x:c r="AD1031" s="10" t="n">
        <x:f>IF(AB1031=0,0,T1031/AB1031)</x:f>
        <x:v>7.993111494521272</x:v>
      </x:c>
      <x:c r="AE1031" s="10" t="n">
        <x:f>AA1031*'Assumptions'!$D$21</x:f>
        <x:v>0</x:v>
      </x:c>
    </x:row>
    <x:row r="1032" ht="16" customHeight="1">
      <x:c r="A1032" s="1"/>
      <x:c r="B1032" s="1"/>
      <x:c r="C1032" s="1" t="str">
        <x:v>DOT-001</x:v>
      </x:c>
      <x:c r="D1032" s="10" t="str">
        <x:v>ETV courses</x:v>
      </x:c>
      <x:c r="E1032" s="10" t="n">
        <x:v>9</x:v>
      </x:c>
      <x:c r="F1032" s="21" t="n">
        <x:f>F904*(1+'Assumptions'!$M$30)</x:f>
        <x:v>354.33394976161117</x:v>
      </x:c>
      <x:c r="G1032" s="21" t="n">
        <x:f>H904*'Assumptions'!$K$30</x:f>
        <x:v>113.51617195509371</x:v>
      </x:c>
      <x:c r="H1032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1032+G1032,NA())</x:f>
        <x:v>467.85012171670485</x:v>
      </x:c>
      <x:c r="I1032" s="22" t="n">
        <x:f>'Assumptions'!$H$30*IF('Assumptions'!$O$30=1,1,'Assumptions'!$D$10)*(1+'Assumptions'!$N$30)^(9-1)</x:f>
        <x:v>29</x:v>
      </x:c>
      <x:c r="J1032" s="10" t="n">
        <x:f>H1032*I1032</x:f>
        <x:v>13567.65352978444</x:v>
      </x:c>
      <x:c r="K1032" s="10" t="n">
        <x:f>J1032*'Assumptions'!$T$30</x:f>
        <x:v>13567.65352978444</x:v>
      </x:c>
      <x:c r="L1032" s="10" t="n">
        <x:f>K1032*'Assumptions'!$U$30</x:f>
        <x:v>407.0296058935332</x:v>
      </x:c>
      <x:c r="M1032" s="10" t="n">
        <x:f>K1032*'Assumptions'!$V$30</x:f>
        <x:v>0</x:v>
      </x:c>
      <x:c r="N1032" s="10" t="n">
        <x:f>K1032-L1032-M1032</x:f>
        <x:v>13160.623923890907</x:v>
      </x:c>
      <x:c r="O1032" s="10" t="n">
        <x:f>H1032*'Assumptions'!$P$30*'Assumptions'!$Q$30*'Assumptions'!$D$11*(1+'Assumptions'!$D$13)^(9-1)</x:f>
        <x:v>3111.4573180124507</x:v>
      </x:c>
      <x:c r="P1032" s="10" t="n">
        <x:f>H1032*'Assumptions'!$R$30*'Assumptions'!$D$11*(1+'Assumptions'!$D$13)^(9-1)</x:f>
        <x:v>0</x:v>
      </x:c>
      <x:c r="Q1032" s="10" t="n">
        <x:f>J1032*'Assumptions'!$S$30</x:f>
        <x:v>0</x:v>
      </x:c>
      <x:c r="R1032" s="10" t="n">
        <x:f>H1032*'Assumptions'!$Y$30*'Assumptions'!$Z$30*'Assumptions'!$D$11*(1+'Assumptions'!$D$13)^(9-1)</x:f>
        <x:v>1777.9756102928295</x:v>
      </x:c>
      <x:c r="S1032" s="10" t="n">
        <x:f>IF(I1032=0,0,J1032*'Assumptions'!$W$30+H1032*'Assumptions'!$X$30)</x:f>
        <x:v>533.8169888787602</x:v>
      </x:c>
      <x:c r="T1032" s="10" t="n">
        <x:f>N1032*'Assumptions'!$AA$30</x:f>
        <x:v>658.0311961945454</x:v>
      </x:c>
      <x:c r="U1032" s="10" t="n">
        <x:f>'Assumptions'!$AE$30*'Assumptions'!$D$11*(1+'Assumptions'!$D$13)^(9-1)</x:f>
        <x:v>0</x:v>
      </x:c>
      <x:c r="V1032" s="10" t="n">
        <x:f>0</x:f>
        <x:v>0</x:v>
      </x:c>
      <x:c r="W1032" s="10" t="n">
        <x:f>H1032*('Assumptions'!$P$30+'Assumptions'!$Y$30)</x:f>
        <x:v>116.96253042917621</x:v>
      </x:c>
      <x:c r="X1032" s="10" t="n">
        <x:f>N1032/12*'Assumptions'!$AF$30</x:f>
        <x:v>0</x:v>
      </x:c>
      <x:c r="Y1032" s="10" t="n">
        <x:f>P1032/12</x:f>
        <x:v>0</x:v>
      </x:c>
      <x:c r="Z1032" s="10" t="n">
        <x:f>0</x:f>
        <x:v>0</x:v>
      </x:c>
      <x:c r="AA1032" s="10" t="n">
        <x:f>Z1032*'Assumptions'!$AC$30*'Assumptions'!$D$11*(1+'Assumptions'!$D$13)^(9-1)</x:f>
        <x:v>0</x:v>
      </x:c>
      <x:c r="AB1032" s="10" t="n">
        <x:f>F1032/1</x:f>
        <x:v>354.33394976161117</x:v>
      </x:c>
      <x:c r="AC1032" s="10" t="n">
        <x:f>AB1032/'Assumptions'!$AM$30</x:f>
        <x:v>7086.678995232223</x:v>
      </x:c>
      <x:c r="AD1032" s="10" t="n">
        <x:f>IF(AB1032=0,0,T1032/AB1032)</x:f>
        <x:v>1.857093277788526</x:v>
      </x:c>
      <x:c r="AE1032" s="10" t="n">
        <x:f>AA1032*'Assumptions'!$D$21</x:f>
        <x:v>0</x:v>
      </x:c>
    </x:row>
    <x:row r="1033" ht="16" customHeight="1">
      <x:c r="A1033" s="1"/>
      <x:c r="B1033" s="1"/>
      <x:c r="C1033" s="1" t="str">
        <x:v>DOT-002</x:v>
      </x:c>
      <x:c r="D1033" s="10" t="str">
        <x:v>ETV courses</x:v>
      </x:c>
      <x:c r="E1033" s="10" t="n">
        <x:v>9</x:v>
      </x:c>
      <x:c r="F1033" s="21" t="n">
        <x:f>F905*(1+'Assumptions'!$M$31)</x:f>
        <x:v>561.0287537892177</x:v>
      </x:c>
      <x:c r="G1033" s="21" t="n">
        <x:f>H905*'Assumptions'!$K$31</x:f>
        <x:v>179.7339389288984</x:v>
      </x:c>
      <x:c r="H1033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1033+G1033,NA())</x:f>
        <x:v>740.7626927181161</x:v>
      </x:c>
      <x:c r="I1033" s="22" t="n">
        <x:f>'Assumptions'!$H$31*IF('Assumptions'!$O$31=1,1,'Assumptions'!$D$10)*(1+'Assumptions'!$N$31)^(9-1)</x:f>
        <x:v>45.69471585908836</x:v>
      </x:c>
      <x:c r="J1033" s="10" t="n">
        <x:f>H1033*I1033</x:f>
        <x:v>33848.9407627675</x:v>
      </x:c>
      <x:c r="K1033" s="10" t="n">
        <x:f>J1033*'Assumptions'!$T$31</x:f>
        <x:v>33848.9407627675</x:v>
      </x:c>
      <x:c r="L1033" s="10" t="n">
        <x:f>K1033*'Assumptions'!$U$31</x:f>
        <x:v>1015.4682228830251</x:v>
      </x:c>
      <x:c r="M1033" s="10" t="n">
        <x:f>K1033*'Assumptions'!$V$31</x:f>
        <x:v>0</x:v>
      </x:c>
      <x:c r="N1033" s="10" t="n">
        <x:f>K1033-L1033-M1033</x:f>
        <x:v>32833.472539884475</x:v>
      </x:c>
      <x:c r="O1033" s="10" t="n">
        <x:f>H1033*'Assumptions'!$P$31*'Assumptions'!$Q$31*'Assumptions'!$D$11*(1+'Assumptions'!$D$13)^(9-1)</x:f>
        <x:v>4926.474086853049</x:v>
      </x:c>
      <x:c r="P1033" s="10" t="n">
        <x:f>H1033*'Assumptions'!$R$31*'Assumptions'!$D$11*(1+'Assumptions'!$D$13)^(9-1)</x:f>
        <x:v>0</x:v>
      </x:c>
      <x:c r="Q1033" s="10" t="n">
        <x:f>J1033*'Assumptions'!$S$31</x:f>
        <x:v>0</x:v>
      </x:c>
      <x:c r="R1033" s="10" t="n">
        <x:f>H1033*'Assumptions'!$Y$31*'Assumptions'!$Z$31*'Assumptions'!$D$11*(1+'Assumptions'!$D$13)^(9-1)</x:f>
        <x:v>2815.128049630313</x:v>
      </x:c>
      <x:c r="S1033" s="10" t="n">
        <x:f>IF(I1033=0,0,J1033*'Assumptions'!$W$31+H1033*'Assumptions'!$X$31)</x:f>
        <x:v>1203.8480899356923</x:v>
      </x:c>
      <x:c r="T1033" s="10" t="n">
        <x:f>N1033*'Assumptions'!$AA$31</x:f>
        <x:v>1641.673626994224</x:v>
      </x:c>
      <x:c r="U1033" s="10" t="n">
        <x:f>'Assumptions'!$AE$31*'Assumptions'!$D$11*(1+'Assumptions'!$D$13)^(9-1)</x:f>
        <x:v>0</x:v>
      </x:c>
      <x:c r="V1033" s="10" t="n">
        <x:f>0</x:f>
        <x:v>0</x:v>
      </x:c>
      <x:c r="W1033" s="10" t="n">
        <x:f>H1033*('Assumptions'!$P$31+'Assumptions'!$Y$31)</x:f>
        <x:v>185.19067317952903</x:v>
      </x:c>
      <x:c r="X1033" s="10" t="n">
        <x:f>N1033/12*'Assumptions'!$AF$31</x:f>
        <x:v>0</x:v>
      </x:c>
      <x:c r="Y1033" s="10" t="n">
        <x:f>P1033/12</x:f>
        <x:v>0</x:v>
      </x:c>
      <x:c r="Z1033" s="10" t="n">
        <x:f>0</x:f>
        <x:v>0</x:v>
      </x:c>
      <x:c r="AA1033" s="10" t="n">
        <x:f>Z1033*'Assumptions'!$AC$31*'Assumptions'!$D$11*(1+'Assumptions'!$D$13)^(9-1)</x:f>
        <x:v>0</x:v>
      </x:c>
      <x:c r="AB1033" s="10" t="n">
        <x:f>F1033/1</x:f>
        <x:v>561.0287537892177</x:v>
      </x:c>
      <x:c r="AC1033" s="10" t="n">
        <x:f>AB1033/'Assumptions'!$AM$31</x:f>
        <x:v>11220.575075784354</x:v>
      </x:c>
      <x:c r="AD1033" s="10" t="n">
        <x:f>IF(AB1033=0,0,T1033/AB1033)</x:f>
        <x:v>2.9261844707713713</x:v>
      </x:c>
      <x:c r="AE1033" s="10" t="n">
        <x:f>AA1033*'Assumptions'!$D$21</x:f>
        <x:v>0</x:v>
      </x:c>
    </x:row>
    <x:row r="1034" ht="16" customHeight="1">
      <x:c r="A1034" s="1"/>
      <x:c r="B1034" s="1"/>
      <x:c r="C1034" s="1" t="str">
        <x:v>DOT-003</x:v>
      </x:c>
      <x:c r="D1034" s="10" t="str">
        <x:v>ETV services</x:v>
      </x:c>
      <x:c r="E1034" s="10" t="n">
        <x:v>9</x:v>
      </x:c>
      <x:c r="F1034" s="21" t="n">
        <x:f>F906*(1+'Assumptions'!$M$32)</x:f>
        <x:v>9.887144692326004</x:v>
      </x:c>
      <x:c r="G1034" s="21" t="n">
        <x:f>H906*'Assumptions'!$K$32</x:f>
        <x:v>9.270972587100003</x:v>
      </x:c>
      <x:c r="H1034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1034+G1034,NA())</x:f>
        <x:v>19.15811727942601</x:v>
      </x:c>
      <x:c r="I1034" s="22" t="n">
        <x:f>'Assumptions'!$H$32*IF('Assumptions'!$O$32=1,1,'Assumptions'!$D$10)*(1+'Assumptions'!$N$32)^(9-1)</x:f>
        <x:v>2050.403916753965</x:v>
      </x:c>
      <x:c r="J1034" s="10" t="n">
        <x:f>H1034*I1034</x:f>
        <x:v>39281.8787073669</x:v>
      </x:c>
      <x:c r="K1034" s="10" t="n">
        <x:f>J1034*'Assumptions'!$T$32</x:f>
        <x:v>39281.8787073669</x:v>
      </x:c>
      <x:c r="L1034" s="10" t="n">
        <x:f>K1034*'Assumptions'!$U$32</x:f>
        <x:v>1178.456361221007</x:v>
      </x:c>
      <x:c r="M1034" s="10" t="n">
        <x:f>K1034*'Assumptions'!$V$32</x:f>
        <x:v>0</x:v>
      </x:c>
      <x:c r="N1034" s="10" t="n">
        <x:f>K1034-L1034-M1034</x:f>
        <x:v>38103.4223461459</x:v>
      </x:c>
      <x:c r="O1034" s="10" t="n">
        <x:f>H1034*'Assumptions'!$P$32*'Assumptions'!$Q$32*'Assumptions'!$D$11*(1+'Assumptions'!$D$13)^(9-1)</x:f>
        <x:v>21842.036806762786</x:v>
      </x:c>
      <x:c r="P1034" s="10" t="n">
        <x:f>H1034*'Assumptions'!$R$32*'Assumptions'!$D$11*(1+'Assumptions'!$D$13)^(9-1)</x:f>
        <x:v>606.7232446322996</x:v>
      </x:c>
      <x:c r="Q1034" s="10" t="n">
        <x:f>J1034*'Assumptions'!$S$32</x:f>
        <x:v>0</x:v>
      </x:c>
      <x:c r="R1034" s="10" t="n">
        <x:f>H1034*'Assumptions'!$Y$32*'Assumptions'!$Z$32*'Assumptions'!$D$11*(1+'Assumptions'!$D$13)^(9-1)</x:f>
        <x:v>182.0169733896899</x:v>
      </x:c>
      <x:c r="S1034" s="10" t="n">
        <x:f>IF(I1034=0,0,J1034*'Assumptions'!$W$32+H1034*'Assumptions'!$X$32)</x:f>
        <x:v>1144.921917697468</x:v>
      </x:c>
      <x:c r="T1034" s="10" t="n">
        <x:f>N1034*'Assumptions'!$AA$32</x:f>
        <x:v>1524.1368938458359</x:v>
      </x:c>
      <x:c r="U1034" s="10" t="n">
        <x:f>'Assumptions'!$AE$32*'Assumptions'!$D$11*(1+'Assumptions'!$D$13)^(9-1)</x:f>
        <x:v>0</x:v>
      </x:c>
      <x:c r="V1034" s="10" t="n">
        <x:f>0</x:f>
        <x:v>0</x:v>
      </x:c>
      <x:c r="W1034" s="10" t="n">
        <x:f>H1034*('Assumptions'!$P$32+'Assumptions'!$Y$32)</x:f>
        <x:v>387.9518749083767</x:v>
      </x:c>
      <x:c r="X1034" s="10" t="n">
        <x:f>N1034/12*'Assumptions'!$AF$32</x:f>
        <x:v>3175.285195512158</x:v>
      </x:c>
      <x:c r="Y1034" s="10" t="n">
        <x:f>P1034/12</x:f>
        <x:v>50.56027038602497</x:v>
      </x:c>
      <x:c r="Z1034" s="10" t="n">
        <x:f>0</x:f>
        <x:v>0</x:v>
      </x:c>
      <x:c r="AA1034" s="10" t="n">
        <x:f>Z1034*'Assumptions'!$AC$32*'Assumptions'!$D$11*(1+'Assumptions'!$D$13)^(9-1)</x:f>
        <x:v>0</x:v>
      </x:c>
      <x:c r="AB1034" s="10" t="n">
        <x:f>F1034/1</x:f>
        <x:v>9.887144692326004</x:v>
      </x:c>
      <x:c r="AC1034" s="10" t="n">
        <x:f>AB1034/'Assumptions'!$AM$32</x:f>
        <x:v>49.43572346163002</x:v>
      </x:c>
      <x:c r="AD1034" s="10" t="n">
        <x:f>IF(AB1034=0,0,T1034/AB1034)</x:f>
        <x:v>154.153392235557</x:v>
      </x:c>
      <x:c r="AE1034" s="10" t="n">
        <x:f>AA1034*'Assumptions'!$D$21</x:f>
        <x:v>0</x:v>
      </x:c>
    </x:row>
    <x:row r="1035" ht="16" customHeight="1">
      <x:c r="A1035" s="1"/>
      <x:c r="B1035" s="1"/>
      <x:c r="C1035" s="1" t="str">
        <x:v>DOT-004</x:v>
      </x:c>
      <x:c r="D1035" s="10" t="str">
        <x:v>ETV services</x:v>
      </x:c>
      <x:c r="E1035" s="10" t="n">
        <x:v>9</x:v>
      </x:c>
      <x:c r="F1035" s="21" t="n">
        <x:f>F907*(1+'Assumptions'!$M$33)</x:f>
        <x:v>6.591429794884004</x:v>
      </x:c>
      <x:c r="G1035" s="21" t="n">
        <x:f>H907*'Assumptions'!$K$33</x:f>
        <x:v>6.180648391400004</x:v>
      </x:c>
      <x:c r="H1035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1035+G1035,NA())</x:f>
        <x:v>12.772078186284007</x:v>
      </x:c>
      <x:c r="I1035" s="22" t="n">
        <x:f>'Assumptions'!$H$33*IF('Assumptions'!$O$33=1,1,'Assumptions'!$D$10)*(1+'Assumptions'!$N$33)^(9-1)</x:f>
        <x:v>2929.1484525056644</x:v>
      </x:c>
      <x:c r="J1035" s="10" t="n">
        <x:f>H1035*I1035</x:f>
        <x:v>37411.31305463515</x:v>
      </x:c>
      <x:c r="K1035" s="10" t="n">
        <x:f>J1035*'Assumptions'!$T$33</x:f>
        <x:v>37411.31305463515</x:v>
      </x:c>
      <x:c r="L1035" s="10" t="n">
        <x:f>K1035*'Assumptions'!$U$33</x:f>
        <x:v>1122.3393916390546</x:v>
      </x:c>
      <x:c r="M1035" s="10" t="n">
        <x:f>K1035*'Assumptions'!$V$33</x:f>
        <x:v>0</x:v>
      </x:c>
      <x:c r="N1035" s="10" t="n">
        <x:f>K1035-L1035-M1035</x:f>
        <x:v>36288.9736629961</x:v>
      </x:c>
      <x:c r="O1035" s="10" t="n">
        <x:f>H1035*'Assumptions'!$P$33*'Assumptions'!$Q$33*'Assumptions'!$D$11*(1+'Assumptions'!$D$13)^(9-1)</x:f>
        <x:v>21842.036806762786</x:v>
      </x:c>
      <x:c r="P1035" s="10" t="n">
        <x:f>H1035*'Assumptions'!$R$33*'Assumptions'!$D$11*(1+'Assumptions'!$D$13)^(9-1)</x:f>
        <x:v>404.4821630881998</x:v>
      </x:c>
      <x:c r="Q1035" s="10" t="n">
        <x:f>J1035*'Assumptions'!$S$33</x:f>
        <x:v>0</x:v>
      </x:c>
      <x:c r="R1035" s="10" t="n">
        <x:f>H1035*'Assumptions'!$Y$33*'Assumptions'!$Z$33*'Assumptions'!$D$11*(1+'Assumptions'!$D$13)^(9-1)</x:f>
        <x:v>121.34464892645994</x:v>
      </x:c>
      <x:c r="S1035" s="10" t="n">
        <x:f>IF(I1035=0,0,J1035*'Assumptions'!$W$33+H1035*'Assumptions'!$X$33)</x:f>
        <x:v>1088.7597020403045</x:v>
      </x:c>
      <x:c r="T1035" s="10" t="n">
        <x:f>N1035*'Assumptions'!$AA$33</x:f>
        <x:v>1451.5589465198439</x:v>
      </x:c>
      <x:c r="U1035" s="10" t="n">
        <x:f>'Assumptions'!$AE$33*'Assumptions'!$D$11*(1+'Assumptions'!$D$13)^(9-1)</x:f>
        <x:v>0</x:v>
      </x:c>
      <x:c r="V1035" s="10" t="n">
        <x:f>0</x:f>
        <x:v>0</x:v>
      </x:c>
      <x:c r="W1035" s="10" t="n">
        <x:f>H1035*('Assumptions'!$P$33+'Assumptions'!$Y$33)</x:f>
        <x:v>386.35536513509123</x:v>
      </x:c>
      <x:c r="X1035" s="10" t="n">
        <x:f>N1035/12*'Assumptions'!$AF$33</x:f>
        <x:v>3024.081138583008</x:v>
      </x:c>
      <x:c r="Y1035" s="10" t="n">
        <x:f>P1035/12</x:f>
        <x:v>33.70684692401665</x:v>
      </x:c>
      <x:c r="Z1035" s="10" t="n">
        <x:f>0</x:f>
        <x:v>0</x:v>
      </x:c>
      <x:c r="AA1035" s="10" t="n">
        <x:f>Z1035*'Assumptions'!$AC$33*'Assumptions'!$D$11*(1+'Assumptions'!$D$13)^(9-1)</x:f>
        <x:v>0</x:v>
      </x:c>
      <x:c r="AB1035" s="10" t="n">
        <x:f>F1035/1</x:f>
        <x:v>6.591429794884004</x:v>
      </x:c>
      <x:c r="AC1035" s="10" t="n">
        <x:f>AB1035/'Assumptions'!$AM$33</x:f>
        <x:v>32.957148974420015</x:v>
      </x:c>
      <x:c r="AD1035" s="10" t="n">
        <x:f>IF(AB1035=0,0,T1035/AB1035)</x:f>
        <x:v>220.21913176508139</x:v>
      </x:c>
      <x:c r="AE1035" s="10" t="n">
        <x:f>AA1035*'Assumptions'!$D$21</x:f>
        <x:v>0</x:v>
      </x:c>
    </x:row>
    <x:row r="1036" ht="16" customHeight="1">
      <x:c r="A1036" s="1"/>
      <x:c r="B1036" s="1"/>
      <x:c r="C1036" s="1" t="str">
        <x:v>DOT-005</x:v>
      </x:c>
      <x:c r="D1036" s="10" t="str">
        <x:v>ETV services</x:v>
      </x:c>
      <x:c r="E1036" s="10" t="n">
        <x:v>9</x:v>
      </x:c>
      <x:c r="F1036" s="21" t="n">
        <x:f>F908*(1+'Assumptions'!$M$34)</x:f>
        <x:v>6.591429794884004</x:v>
      </x:c>
      <x:c r="G1036" s="21" t="n">
        <x:f>H908*'Assumptions'!$K$34</x:f>
        <x:v>6.180648391400004</x:v>
      </x:c>
      <x:c r="H1036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1036+G1036,NA())</x:f>
        <x:v>12.772078186284007</x:v>
      </x:c>
      <x:c r="I1036" s="22" t="n">
        <x:f>'Assumptions'!$H$34*IF('Assumptions'!$O$34=1,1,'Assumptions'!$D$10)*(1+'Assumptions'!$N$34)^(9-1)</x:f>
        <x:v>1757.4890715033987</x:v>
      </x:c>
      <x:c r="J1036" s="10" t="n">
        <x:f>H1036*I1036</x:f>
        <x:v>22446.787832781094</x:v>
      </x:c>
      <x:c r="K1036" s="10" t="n">
        <x:f>J1036*'Assumptions'!$T$34</x:f>
        <x:v>22446.787832781094</x:v>
      </x:c>
      <x:c r="L1036" s="10" t="n">
        <x:f>K1036*'Assumptions'!$U$34</x:f>
        <x:v>673.4036349834328</x:v>
      </x:c>
      <x:c r="M1036" s="10" t="n">
        <x:f>K1036*'Assumptions'!$V$34</x:f>
        <x:v>0</x:v>
      </x:c>
      <x:c r="N1036" s="10" t="n">
        <x:f>K1036-L1036-M1036</x:f>
        <x:v>21773.384197797663</x:v>
      </x:c>
      <x:c r="O1036" s="10" t="n">
        <x:f>H1036*'Assumptions'!$P$34*'Assumptions'!$Q$34*'Assumptions'!$D$11*(1+'Assumptions'!$D$13)^(9-1)</x:f>
        <x:v>13105.222084057674</x:v>
      </x:c>
      <x:c r="P1036" s="10" t="n">
        <x:f>H1036*'Assumptions'!$R$34*'Assumptions'!$D$11*(1+'Assumptions'!$D$13)^(9-1)</x:f>
        <x:v>404.4821630881998</x:v>
      </x:c>
      <x:c r="Q1036" s="10" t="n">
        <x:f>J1036*'Assumptions'!$S$34</x:f>
        <x:v>0</x:v>
      </x:c>
      <x:c r="R1036" s="10" t="n">
        <x:f>H1036*'Assumptions'!$Y$34*'Assumptions'!$Z$34*'Assumptions'!$D$11*(1+'Assumptions'!$D$13)^(9-1)</x:f>
        <x:v>121.34464892645994</x:v>
      </x:c>
      <x:c r="S1036" s="10" t="n">
        <x:f>IF(I1036=0,0,J1036*'Assumptions'!$W$34+H1036*'Assumptions'!$X$34)</x:f>
        <x:v>654.788470606537</x:v>
      </x:c>
      <x:c r="T1036" s="10" t="n">
        <x:f>N1036*'Assumptions'!$AA$34</x:f>
        <x:v>870.9353679119065</x:v>
      </x:c>
      <x:c r="U1036" s="10" t="n">
        <x:f>'Assumptions'!$AE$34*'Assumptions'!$D$11*(1+'Assumptions'!$D$13)^(9-1)</x:f>
        <x:v>0</x:v>
      </x:c>
      <x:c r="V1036" s="10" t="n">
        <x:f>0</x:f>
        <x:v>0</x:v>
      </x:c>
      <x:c r="W1036" s="10" t="n">
        <x:f>H1036*('Assumptions'!$P$34+'Assumptions'!$Y$34)</x:f>
        <x:v>233.09042689968314</x:v>
      </x:c>
      <x:c r="X1036" s="10" t="n">
        <x:f>N1036/12*'Assumptions'!$AF$34</x:f>
        <x:v>1814.4486831498052</x:v>
      </x:c>
      <x:c r="Y1036" s="10" t="n">
        <x:f>P1036/12</x:f>
        <x:v>33.70684692401665</x:v>
      </x:c>
      <x:c r="Z1036" s="10" t="n">
        <x:f>0</x:f>
        <x:v>0</x:v>
      </x:c>
      <x:c r="AA1036" s="10" t="n">
        <x:f>Z1036*'Assumptions'!$AC$34*'Assumptions'!$D$11*(1+'Assumptions'!$D$13)^(9-1)</x:f>
        <x:v>0</x:v>
      </x:c>
      <x:c r="AB1036" s="10" t="n">
        <x:f>F1036/1</x:f>
        <x:v>6.591429794884004</x:v>
      </x:c>
      <x:c r="AC1036" s="10" t="n">
        <x:f>AB1036/'Assumptions'!$AM$34</x:f>
        <x:v>32.957148974420015</x:v>
      </x:c>
      <x:c r="AD1036" s="10" t="n">
        <x:f>IF(AB1036=0,0,T1036/AB1036)</x:f>
        <x:v>132.13147905904887</x:v>
      </x:c>
      <x:c r="AE1036" s="10" t="n">
        <x:f>AA1036*'Assumptions'!$D$21</x:f>
        <x:v>0</x:v>
      </x:c>
    </x:row>
    <x:row r="1037" ht="16" customHeight="1">
      <x:c r="A1037" s="1"/>
      <x:c r="B1037" s="1"/>
      <x:c r="C1037" s="1" t="str">
        <x:v>DOT-006</x:v>
      </x:c>
      <x:c r="D1037" s="10" t="str">
        <x:v>ETV services</x:v>
      </x:c>
      <x:c r="E1037" s="10" t="n">
        <x:v>9</x:v>
      </x:c>
      <x:c r="F1037" s="21" t="n">
        <x:f>F909*(1+'Assumptions'!$M$35)</x:f>
        <x:v>9.887144692326004</x:v>
      </x:c>
      <x:c r="G1037" s="21" t="n">
        <x:f>H909*'Assumptions'!$K$35</x:f>
        <x:v>9.270972587100003</x:v>
      </x:c>
      <x:c r="H1037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1037+G1037,NA())</x:f>
        <x:v>19.15811727942601</x:v>
      </x:c>
      <x:c r="I1037" s="22" t="n">
        <x:f>'Assumptions'!$H$35*IF('Assumptions'!$O$35=1,1,'Assumptions'!$D$10)*(1+'Assumptions'!$N$35)^(9-1)</x:f>
        <x:v>878.7445357516993</x:v>
      </x:c>
      <x:c r="J1037" s="10" t="n">
        <x:f>H1037*I1037</x:f>
        <x:v>16835.090874585818</x:v>
      </x:c>
      <x:c r="K1037" s="10" t="n">
        <x:f>J1037*'Assumptions'!$T$35</x:f>
        <x:v>16835.090874585818</x:v>
      </x:c>
      <x:c r="L1037" s="10" t="n">
        <x:f>K1037*'Assumptions'!$U$35</x:f>
        <x:v>505.0527262375745</x:v>
      </x:c>
      <x:c r="M1037" s="10" t="n">
        <x:f>K1037*'Assumptions'!$V$35</x:f>
        <x:v>0</x:v>
      </x:c>
      <x:c r="N1037" s="10" t="n">
        <x:f>K1037-L1037-M1037</x:f>
        <x:v>16330.038148348243</x:v>
      </x:c>
      <x:c r="O1037" s="10" t="n">
        <x:f>H1037*'Assumptions'!$P$35*'Assumptions'!$Q$35*'Assumptions'!$D$11*(1+'Assumptions'!$D$13)^(9-1)</x:f>
        <x:v>8736.814722705114</x:v>
      </x:c>
      <x:c r="P1037" s="10" t="n">
        <x:f>H1037*'Assumptions'!$R$35*'Assumptions'!$D$11*(1+'Assumptions'!$D$13)^(9-1)</x:f>
        <x:v>606.7232446322996</x:v>
      </x:c>
      <x:c r="Q1037" s="10" t="n">
        <x:f>J1037*'Assumptions'!$S$35</x:f>
        <x:v>0</x:v>
      </x:c>
      <x:c r="R1037" s="10" t="n">
        <x:f>H1037*'Assumptions'!$Y$35*'Assumptions'!$Z$35*'Assumptions'!$D$11*(1+'Assumptions'!$D$13)^(9-1)</x:f>
        <x:v>182.0169733896899</x:v>
      </x:c>
      <x:c r="S1037" s="10" t="n">
        <x:f>IF(I1037=0,0,J1037*'Assumptions'!$W$35+H1037*'Assumptions'!$X$35)</x:f>
        <x:v>493.96507054681655</x:v>
      </x:c>
      <x:c r="T1037" s="10" t="n">
        <x:f>N1037*'Assumptions'!$AA$35</x:f>
        <x:v>653.2015259339297</x:v>
      </x:c>
      <x:c r="U1037" s="10" t="n">
        <x:f>'Assumptions'!$AE$35*'Assumptions'!$D$11*(1+'Assumptions'!$D$13)^(9-1)</x:f>
        <x:v>0</x:v>
      </x:c>
      <x:c r="V1037" s="10" t="n">
        <x:f>0</x:f>
        <x:v>0</x:v>
      </x:c>
      <x:c r="W1037" s="10" t="n">
        <x:f>H1037*('Assumptions'!$P$35+'Assumptions'!$Y$35)</x:f>
        <x:v>158.05446755526458</x:v>
      </x:c>
      <x:c r="X1037" s="10" t="n">
        <x:f>N1037/12*'Assumptions'!$AF$35</x:f>
        <x:v>1360.8365123623537</x:v>
      </x:c>
      <x:c r="Y1037" s="10" t="n">
        <x:f>P1037/12</x:f>
        <x:v>50.56027038602497</x:v>
      </x:c>
      <x:c r="Z1037" s="10" t="n">
        <x:f>0</x:f>
        <x:v>0</x:v>
      </x:c>
      <x:c r="AA1037" s="10" t="n">
        <x:f>Z1037*'Assumptions'!$AC$35*'Assumptions'!$D$11*(1+'Assumptions'!$D$13)^(9-1)</x:f>
        <x:v>0</x:v>
      </x:c>
      <x:c r="AB1037" s="10" t="n">
        <x:f>F1037/1</x:f>
        <x:v>9.887144692326004</x:v>
      </x:c>
      <x:c r="AC1037" s="10" t="n">
        <x:f>AB1037/'Assumptions'!$AM$35</x:f>
        <x:v>49.43572346163002</x:v>
      </x:c>
      <x:c r="AD1037" s="10" t="n">
        <x:f>IF(AB1037=0,0,T1037/AB1037)</x:f>
        <x:v>66.06573952952442</x:v>
      </x:c>
      <x:c r="AE1037" s="10" t="n">
        <x:f>AA1037*'Assumptions'!$D$21</x:f>
        <x:v>0</x:v>
      </x:c>
    </x:row>
    <x:row r="1038" ht="16" customHeight="1">
      <x:c r="A1038" s="1"/>
      <x:c r="B1038" s="1"/>
      <x:c r="C1038" s="1" t="str">
        <x:v>DOT-007</x:v>
      </x:c>
      <x:c r="D1038" s="10" t="str">
        <x:v>BPA professional services</x:v>
      </x:c>
      <x:c r="E1038" s="10" t="n">
        <x:v>9</x:v>
      </x:c>
      <x:c r="F1038" s="21" t="n">
        <x:f>F910*(1+'Assumptions'!$M$36)</x:f>
        <x:v>39.548578769304015</x:v>
      </x:c>
      <x:c r="G1038" s="21" t="n">
        <x:f>H910*'Assumptions'!$K$36</x:f>
        <x:v>37.03701534840001</x:v>
      </x:c>
      <x:c r="H1038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1038+G1038,NA())</x:f>
        <x:v>76.58559411770403</x:v>
      </x:c>
      <x:c r="I1038" s="22" t="n">
        <x:f>'Assumptions'!$H$36*IF('Assumptions'!$O$36=1,1,'Assumptions'!$D$10)*(1+'Assumptions'!$N$36)^(9-1)</x:f>
        <x:v>250</x:v>
      </x:c>
      <x:c r="J1038" s="10" t="n">
        <x:f>H1038*I1038</x:f>
        <x:v>19146.39852942601</x:v>
      </x:c>
      <x:c r="K1038" s="10" t="n">
        <x:f>J1038*'Assumptions'!$T$36</x:f>
        <x:v>19146.39852942601</x:v>
      </x:c>
      <x:c r="L1038" s="10" t="n">
        <x:f>K1038*'Assumptions'!$U$36</x:f>
        <x:v>574.3919558827803</x:v>
      </x:c>
      <x:c r="M1038" s="10" t="n">
        <x:f>K1038*'Assumptions'!$V$36</x:f>
        <x:v>0</x:v>
      </x:c>
      <x:c r="N1038" s="10" t="n">
        <x:f>K1038-L1038-M1038</x:f>
        <x:v>18572.00657354323</x:v>
      </x:c>
      <x:c r="O1038" s="10" t="n">
        <x:f>H1038*'Assumptions'!$P$36*'Assumptions'!$Q$36*'Assumptions'!$D$11*(1+'Assumptions'!$D$13)^(9-1)</x:f>
        <x:v>4848.876637894273</x:v>
      </x:c>
      <x:c r="P1038" s="10" t="n">
        <x:f>H1038*'Assumptions'!$R$36*'Assumptions'!$D$11*(1+'Assumptions'!$D$13)^(9-1)</x:f>
        <x:v>970.1633929360289</x:v>
      </x:c>
      <x:c r="Q1038" s="10" t="n">
        <x:f>J1038*'Assumptions'!$S$36</x:f>
        <x:v>0</x:v>
      </x:c>
      <x:c r="R1038" s="10" t="n">
        <x:f>H1038*'Assumptions'!$Y$36*'Assumptions'!$Z$36*'Assumptions'!$D$11*(1+'Assumptions'!$D$13)^(9-1)</x:f>
        <x:v>727.6225447020217</x:v>
      </x:c>
      <x:c r="S1038" s="10" t="n">
        <x:f>IF(I1038=0,0,J1038*'Assumptions'!$W$36+H1038*'Assumptions'!$X$36)</x:f>
        <x:v>578.2212355886655</x:v>
      </x:c>
      <x:c r="T1038" s="10" t="n">
        <x:f>N1038*'Assumptions'!$AA$36</x:f>
        <x:v>742.8802629417291</x:v>
      </x:c>
      <x:c r="U1038" s="10" t="n">
        <x:f>'Assumptions'!$AE$36*'Assumptions'!$D$11*(1+'Assumptions'!$D$13)^(9-1)</x:f>
        <x:v>0</x:v>
      </x:c>
      <x:c r="V1038" s="10" t="n">
        <x:f>0</x:f>
        <x:v>0</x:v>
      </x:c>
      <x:c r="W1038" s="10" t="n">
        <x:f>H1038*('Assumptions'!$P$36+'Assumptions'!$Y$36)</x:f>
        <x:v>82.94219842947346</x:v>
      </x:c>
      <x:c r="X1038" s="10" t="n">
        <x:f>N1038/12*'Assumptions'!$AF$36</x:f>
        <x:v>1547.6672144619358</x:v>
      </x:c>
      <x:c r="Y1038" s="10" t="n">
        <x:f>P1038/12</x:f>
        <x:v>80.84694941133574</x:v>
      </x:c>
      <x:c r="Z1038" s="10" t="n">
        <x:f>0</x:f>
        <x:v>0</x:v>
      </x:c>
      <x:c r="AA1038" s="10" t="n">
        <x:f>Z1038*'Assumptions'!$AC$36*'Assumptions'!$D$11*(1+'Assumptions'!$D$13)^(9-1)</x:f>
        <x:v>0</x:v>
      </x:c>
      <x:c r="AB1038" s="10" t="n">
        <x:f>F1038/1</x:f>
        <x:v>39.548578769304015</x:v>
      </x:c>
      <x:c r="AC1038" s="10" t="n">
        <x:f>AB1038/'Assumptions'!$AM$36</x:f>
        <x:v>197.74289384652008</x:v>
      </x:c>
      <x:c r="AD1038" s="10" t="n">
        <x:f>IF(AB1038=0,0,T1038/AB1038)</x:f>
        <x:v>18.78399391480339</x:v>
      </x:c>
      <x:c r="AE1038" s="10" t="n">
        <x:f>AA1038*'Assumptions'!$D$21</x:f>
        <x:v>0</x:v>
      </x:c>
    </x:row>
    <x:row r="1039" ht="16" customHeight="1">
      <x:c r="A1039" s="1"/>
      <x:c r="B1039" s="1"/>
      <x:c r="C1039" s="1" t="str">
        <x:v>DOT-008</x:v>
      </x:c>
      <x:c r="D1039" s="10" t="str">
        <x:v>BPA professional services</x:v>
      </x:c>
      <x:c r="E1039" s="10" t="n">
        <x:v>9</x:v>
      </x:c>
      <x:c r="F1039" s="21" t="n">
        <x:f>F911*(1+'Assumptions'!$M$37)</x:f>
        <x:v>14.830717038489002</x:v>
      </x:c>
      <x:c r="G1039" s="21" t="n">
        <x:f>H911*'Assumptions'!$K$37</x:f>
        <x:v>13.888880755650003</x:v>
      </x:c>
      <x:c r="H1039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1039+G1039,NA())</x:f>
        <x:v>28.719597794139005</x:v>
      </x:c>
      <x:c r="I1039" s="22" t="n">
        <x:f>'Assumptions'!$H$37*IF('Assumptions'!$O$37=1,1,'Assumptions'!$D$10)*(1+'Assumptions'!$N$37)^(9-1)</x:f>
        <x:v>600</x:v>
      </x:c>
      <x:c r="J1039" s="10" t="n">
        <x:f>H1039*I1039</x:f>
        <x:v>17231.758676483405</x:v>
      </x:c>
      <x:c r="K1039" s="10" t="n">
        <x:f>J1039*'Assumptions'!$T$37</x:f>
        <x:v>17231.758676483405</x:v>
      </x:c>
      <x:c r="L1039" s="10" t="n">
        <x:f>K1039*'Assumptions'!$U$37</x:f>
        <x:v>516.9527602945021</x:v>
      </x:c>
      <x:c r="M1039" s="10" t="n">
        <x:f>K1039*'Assumptions'!$V$37</x:f>
        <x:v>0</x:v>
      </x:c>
      <x:c r="N1039" s="10" t="n">
        <x:f>K1039-L1039-M1039</x:f>
        <x:v>16714.805916188903</x:v>
      </x:c>
      <x:c r="O1039" s="10" t="n">
        <x:f>H1039*'Assumptions'!$P$37*'Assumptions'!$Q$37*'Assumptions'!$D$11*(1+'Assumptions'!$D$13)^(9-1)</x:f>
        <x:v>8731.470536424258</x:v>
      </x:c>
      <x:c r="P1039" s="10" t="n">
        <x:f>H1039*'Assumptions'!$R$37*'Assumptions'!$D$11*(1+'Assumptions'!$D$13)^(9-1)</x:f>
        <x:v>363.8112723510108</x:v>
      </x:c>
      <x:c r="Q1039" s="10" t="n">
        <x:f>J1039*'Assumptions'!$S$37</x:f>
        <x:v>0</x:v>
      </x:c>
      <x:c r="R1039" s="10" t="n">
        <x:f>H1039*'Assumptions'!$Y$37*'Assumptions'!$Z$37*'Assumptions'!$D$11*(1+'Assumptions'!$D$13)^(9-1)</x:f>
        <x:v>272.85845426325807</x:v>
      </x:c>
      <x:c r="S1039" s="10" t="n">
        <x:f>IF(I1039=0,0,J1039*'Assumptions'!$W$37+H1039*'Assumptions'!$X$37)</x:f>
        <x:v>508.3368809562605</x:v>
      </x:c>
      <x:c r="T1039" s="10" t="n">
        <x:f>N1039*'Assumptions'!$AA$37</x:f>
        <x:v>668.5922366475561</x:v>
      </x:c>
      <x:c r="U1039" s="10" t="n">
        <x:f>'Assumptions'!$AE$37*'Assumptions'!$D$11*(1+'Assumptions'!$D$13)^(9-1)</x:f>
        <x:v>0</x:v>
      </x:c>
      <x:c r="V1039" s="10" t="n">
        <x:f>0</x:f>
        <x:v>0</x:v>
      </x:c>
      <x:c r="W1039" s="10" t="n">
        <x:f>H1039*('Assumptions'!$P$37+'Assumptions'!$Y$37)</x:f>
        <x:v>122.05829062509078</x:v>
      </x:c>
      <x:c r="X1039" s="10" t="n">
        <x:f>N1039/12*'Assumptions'!$AF$37</x:f>
        <x:v>1392.9004930157419</x:v>
      </x:c>
      <x:c r="Y1039" s="10" t="n">
        <x:f>P1039/12</x:f>
        <x:v>30.3176060292509</x:v>
      </x:c>
      <x:c r="Z1039" s="10" t="n">
        <x:f>0</x:f>
        <x:v>0</x:v>
      </x:c>
      <x:c r="AA1039" s="10" t="n">
        <x:f>Z1039*'Assumptions'!$AC$37*'Assumptions'!$D$11*(1+'Assumptions'!$D$13)^(9-1)</x:f>
        <x:v>0</x:v>
      </x:c>
      <x:c r="AB1039" s="10" t="n">
        <x:f>F1039/1</x:f>
        <x:v>14.830717038489002</x:v>
      </x:c>
      <x:c r="AC1039" s="10" t="n">
        <x:f>AB1039/'Assumptions'!$AM$37</x:f>
        <x:v>74.15358519244501</x:v>
      </x:c>
      <x:c r="AD1039" s="10" t="n">
        <x:f>IF(AB1039=0,0,T1039/AB1039)</x:f>
        <x:v>45.08158539552814</x:v>
      </x:c>
      <x:c r="AE1039" s="10" t="n">
        <x:f>AA1039*'Assumptions'!$D$21</x:f>
        <x:v>0</x:v>
      </x:c>
    </x:row>
    <x:row r="1040" ht="16" customHeight="1">
      <x:c r="A1040" s="1"/>
      <x:c r="B1040" s="1"/>
      <x:c r="C1040" s="1" t="str">
        <x:v>DOT-009</x:v>
      </x:c>
      <x:c r="D1040" s="10" t="str">
        <x:v>BPA professional services</x:v>
      </x:c>
      <x:c r="E1040" s="10" t="n">
        <x:v>9</x:v>
      </x:c>
      <x:c r="F1040" s="21" t="n">
        <x:f>F912*(1+'Assumptions'!$M$38)</x:f>
        <x:v>9.887144692326004</x:v>
      </x:c>
      <x:c r="G1040" s="21" t="n">
        <x:f>H912*'Assumptions'!$K$38</x:f>
        <x:v>9.259253837100003</x:v>
      </x:c>
      <x:c r="H1040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1040+G1040,NA())</x:f>
        <x:v>19.14639852942601</x:v>
      </x:c>
      <x:c r="I1040" s="22" t="n">
        <x:f>'Assumptions'!$H$38*IF('Assumptions'!$O$38=1,1,'Assumptions'!$D$10)*(1+'Assumptions'!$N$38)^(9-1)</x:f>
        <x:v>900</x:v>
      </x:c>
      <x:c r="J1040" s="10" t="n">
        <x:f>H1040*I1040</x:f>
        <x:v>17231.75867648341</x:v>
      </x:c>
      <x:c r="K1040" s="10" t="n">
        <x:f>J1040*'Assumptions'!$T$38</x:f>
        <x:v>17231.75867648341</x:v>
      </x:c>
      <x:c r="L1040" s="10" t="n">
        <x:f>K1040*'Assumptions'!$U$38</x:f>
        <x:v>516.9527602945022</x:v>
      </x:c>
      <x:c r="M1040" s="10" t="n">
        <x:f>K1040*'Assumptions'!$V$38</x:f>
        <x:v>0</x:v>
      </x:c>
      <x:c r="N1040" s="10" t="n">
        <x:f>K1040-L1040-M1040</x:f>
        <x:v>16714.805916188907</x:v>
      </x:c>
      <x:c r="O1040" s="10" t="n">
        <x:f>H1040*'Assumptions'!$P$38*'Assumptions'!$Q$38*'Assumptions'!$D$11*(1+'Assumptions'!$D$13)^(9-1)</x:f>
        <x:v>8731.47053642426</x:v>
      </x:c>
      <x:c r="P1040" s="10" t="n">
        <x:f>H1040*'Assumptions'!$R$38*'Assumptions'!$D$11*(1+'Assumptions'!$D$13)^(9-1)</x:f>
        <x:v>242.54084823400723</x:v>
      </x:c>
      <x:c r="Q1040" s="10" t="n">
        <x:f>J1040*'Assumptions'!$S$38</x:f>
        <x:v>0</x:v>
      </x:c>
      <x:c r="R1040" s="10" t="n">
        <x:f>H1040*'Assumptions'!$Y$38*'Assumptions'!$Z$38*'Assumptions'!$D$11*(1+'Assumptions'!$D$13)^(9-1)</x:f>
        <x:v>181.90563617550544</x:v>
      </x:c>
      <x:c r="S1040" s="10" t="n">
        <x:f>IF(I1040=0,0,J1040*'Assumptions'!$W$38+H1040*'Assumptions'!$X$38)</x:f>
        <x:v>505.4649211768467</x:v>
      </x:c>
      <x:c r="T1040" s="10" t="n">
        <x:f>N1040*'Assumptions'!$AA$38</x:f>
        <x:v>668.5922366475563</x:v>
      </x:c>
      <x:c r="U1040" s="10" t="n">
        <x:f>'Assumptions'!$AE$38*'Assumptions'!$D$11*(1+'Assumptions'!$D$13)^(9-1)</x:f>
        <x:v>0</x:v>
      </x:c>
      <x:c r="V1040" s="10" t="n">
        <x:f>0</x:f>
        <x:v>0</x:v>
      </x:c>
      <x:c r="W1040" s="10" t="n">
        <x:f>H1040*('Assumptions'!$P$38+'Assumptions'!$Y$38)</x:f>
        <x:v>119.66499080891255</x:v>
      </x:c>
      <x:c r="X1040" s="10" t="n">
        <x:f>N1040/12*'Assumptions'!$AF$38</x:f>
        <x:v>1392.9004930157423</x:v>
      </x:c>
      <x:c r="Y1040" s="10" t="n">
        <x:f>P1040/12</x:f>
        <x:v>20.211737352833936</x:v>
      </x:c>
      <x:c r="Z1040" s="10" t="n">
        <x:f>0</x:f>
        <x:v>0</x:v>
      </x:c>
      <x:c r="AA1040" s="10" t="n">
        <x:f>Z1040*'Assumptions'!$AC$38*'Assumptions'!$D$11*(1+'Assumptions'!$D$13)^(9-1)</x:f>
        <x:v>0</x:v>
      </x:c>
      <x:c r="AB1040" s="10" t="n">
        <x:f>F1040/1</x:f>
        <x:v>9.887144692326004</x:v>
      </x:c>
      <x:c r="AC1040" s="10" t="n">
        <x:f>AB1040/'Assumptions'!$AM$38</x:f>
        <x:v>49.43572346163002</x:v>
      </x:c>
      <x:c r="AD1040" s="10" t="n">
        <x:f>IF(AB1040=0,0,T1040/AB1040)</x:f>
        <x:v>67.62237809329221</x:v>
      </x:c>
      <x:c r="AE1040" s="10" t="n">
        <x:f>AA1040*'Assumptions'!$D$21</x:f>
        <x:v>0</x:v>
      </x:c>
    </x:row>
    <x:row r="1041" ht="16" customHeight="1">
      <x:c r="A1041" s="1"/>
      <x:c r="B1041" s="1"/>
      <x:c r="C1041" s="1" t="str">
        <x:v>DOT-010</x:v>
      </x:c>
      <x:c r="D1041" s="10" t="str">
        <x:v>BPA professional services</x:v>
      </x:c>
      <x:c r="E1041" s="10" t="n">
        <x:v>9</x:v>
      </x:c>
      <x:c r="F1041" s="21" t="n">
        <x:f>F913*(1+'Assumptions'!$M$39)</x:f>
        <x:v>9.887144692326004</x:v>
      </x:c>
      <x:c r="G1041" s="21" t="n">
        <x:f>H913*'Assumptions'!$K$39</x:f>
        <x:v>9.259253837100003</x:v>
      </x:c>
      <x:c r="H1041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1041+G1041,NA())</x:f>
        <x:v>19.14639852942601</x:v>
      </x:c>
      <x:c r="I1041" s="22" t="n">
        <x:f>'Assumptions'!$H$39*IF('Assumptions'!$O$39=1,1,'Assumptions'!$D$10)*(1+'Assumptions'!$N$39)^(9-1)</x:f>
        <x:v>1800</x:v>
      </x:c>
      <x:c r="J1041" s="10" t="n">
        <x:f>H1041*I1041</x:f>
        <x:v>34463.51735296682</x:v>
      </x:c>
      <x:c r="K1041" s="10" t="n">
        <x:f>J1041*'Assumptions'!$T$39</x:f>
        <x:v>34463.51735296682</x:v>
      </x:c>
      <x:c r="L1041" s="10" t="n">
        <x:f>K1041*'Assumptions'!$U$39</x:f>
        <x:v>1033.9055205890045</x:v>
      </x:c>
      <x:c r="M1041" s="10" t="n">
        <x:f>K1041*'Assumptions'!$V$39</x:f>
        <x:v>0</x:v>
      </x:c>
      <x:c r="N1041" s="10" t="n">
        <x:f>K1041-L1041-M1041</x:f>
        <x:v>33429.611832377814</x:v>
      </x:c>
      <x:c r="O1041" s="10" t="n">
        <x:f>H1041*'Assumptions'!$P$39*'Assumptions'!$Q$39*'Assumptions'!$D$11*(1+'Assumptions'!$D$13)^(9-1)</x:f>
        <x:v>17462.94107284852</x:v>
      </x:c>
      <x:c r="P1041" s="10" t="n">
        <x:f>H1041*'Assumptions'!$R$39*'Assumptions'!$D$11*(1+'Assumptions'!$D$13)^(9-1)</x:f>
        <x:v>242.54084823400723</x:v>
      </x:c>
      <x:c r="Q1041" s="10" t="n">
        <x:f>J1041*'Assumptions'!$S$39</x:f>
        <x:v>0</x:v>
      </x:c>
      <x:c r="R1041" s="10" t="n">
        <x:f>H1041*'Assumptions'!$Y$39*'Assumptions'!$Z$39*'Assumptions'!$D$11*(1+'Assumptions'!$D$13)^(9-1)</x:f>
        <x:v>181.90563617550544</x:v>
      </x:c>
      <x:c r="S1041" s="10" t="n">
        <x:f>IF(I1041=0,0,J1041*'Assumptions'!$W$39+H1041*'Assumptions'!$X$39)</x:f>
        <x:v>1005.1859227948655</x:v>
      </x:c>
      <x:c r="T1041" s="10" t="n">
        <x:f>N1041*'Assumptions'!$AA$39</x:f>
        <x:v>1337.1844732951126</x:v>
      </x:c>
      <x:c r="U1041" s="10" t="n">
        <x:f>'Assumptions'!$AE$39*'Assumptions'!$D$11*(1+'Assumptions'!$D$13)^(9-1)</x:f>
        <x:v>0</x:v>
      </x:c>
      <x:c r="V1041" s="10" t="n">
        <x:f>0</x:f>
        <x:v>0</x:v>
      </x:c>
      <x:c r="W1041" s="10" t="n">
        <x:f>H1041*('Assumptions'!$P$39+'Assumptions'!$Y$39)</x:f>
        <x:v>234.5433819854686</x:v>
      </x:c>
      <x:c r="X1041" s="10" t="n">
        <x:f>N1041/12*'Assumptions'!$AF$39</x:f>
        <x:v>2785.8009860314846</x:v>
      </x:c>
      <x:c r="Y1041" s="10" t="n">
        <x:f>P1041/12</x:f>
        <x:v>20.211737352833936</x:v>
      </x:c>
      <x:c r="Z1041" s="10" t="n">
        <x:f>0</x:f>
        <x:v>0</x:v>
      </x:c>
      <x:c r="AA1041" s="10" t="n">
        <x:f>Z1041*'Assumptions'!$AC$39*'Assumptions'!$D$11*(1+'Assumptions'!$D$13)^(9-1)</x:f>
        <x:v>0</x:v>
      </x:c>
      <x:c r="AB1041" s="10" t="n">
        <x:f>F1041/1</x:f>
        <x:v>9.887144692326004</x:v>
      </x:c>
      <x:c r="AC1041" s="10" t="n">
        <x:f>AB1041/'Assumptions'!$AM$39</x:f>
        <x:v>49.43572346163002</x:v>
      </x:c>
      <x:c r="AD1041" s="10" t="n">
        <x:f>IF(AB1041=0,0,T1041/AB1041)</x:f>
        <x:v>135.24475618658442</x:v>
      </x:c>
      <x:c r="AE1041" s="10" t="n">
        <x:f>AA1041*'Assumptions'!$D$21</x:f>
        <x:v>0</x:v>
      </x:c>
    </x:row>
    <x:row r="1042" ht="16" customHeight="1">
      <x:c r="A1042" s="1"/>
      <x:c r="B1042" s="1"/>
      <x:c r="C1042" s="1" t="str">
        <x:v>DOT-011</x:v>
      </x:c>
      <x:c r="D1042" s="10" t="str">
        <x:v>BPA professional services</x:v>
      </x:c>
      <x:c r="E1042" s="10" t="n">
        <x:v>9</x:v>
      </x:c>
      <x:c r="F1042" s="21" t="n">
        <x:f>F914*(1+'Assumptions'!$M$40)</x:f>
        <x:v>29.661434076978004</x:v>
      </x:c>
      <x:c r="G1042" s="21" t="n">
        <x:f>H914*'Assumptions'!$K$40</x:f>
        <x:v>27.777761511300007</x:v>
      </x:c>
      <x:c r="H1042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1042+G1042,NA())</x:f>
        <x:v>57.43919558827801</x:v>
      </x:c>
      <x:c r="I1042" s="22" t="n">
        <x:f>'Assumptions'!$H$40*IF('Assumptions'!$O$40=1,1,'Assumptions'!$D$10)*(1+'Assumptions'!$N$40)^(9-1)</x:f>
        <x:v>600</x:v>
      </x:c>
      <x:c r="J1042" s="10" t="n">
        <x:f>H1042*I1042</x:f>
        <x:v>34463.51735296681</x:v>
      </x:c>
      <x:c r="K1042" s="10" t="n">
        <x:f>J1042*'Assumptions'!$T$40</x:f>
        <x:v>34463.51735296681</x:v>
      </x:c>
      <x:c r="L1042" s="10" t="n">
        <x:f>K1042*'Assumptions'!$U$40</x:f>
        <x:v>1033.9055205890043</x:v>
      </x:c>
      <x:c r="M1042" s="10" t="n">
        <x:f>K1042*'Assumptions'!$V$40</x:f>
        <x:v>0</x:v>
      </x:c>
      <x:c r="N1042" s="10" t="n">
        <x:f>K1042-L1042-M1042</x:f>
        <x:v>33429.61183237781</x:v>
      </x:c>
      <x:c r="O1042" s="10" t="n">
        <x:f>H1042*'Assumptions'!$P$40*'Assumptions'!$Q$40*'Assumptions'!$D$11*(1+'Assumptions'!$D$13)^(9-1)</x:f>
        <x:v>17462.941072848516</x:v>
      </x:c>
      <x:c r="P1042" s="10" t="n">
        <x:f>H1042*'Assumptions'!$R$40*'Assumptions'!$D$11*(1+'Assumptions'!$D$13)^(9-1)</x:f>
        <x:v>727.6225447020216</x:v>
      </x:c>
      <x:c r="Q1042" s="10" t="n">
        <x:f>J1042*'Assumptions'!$S$40</x:f>
        <x:v>0</x:v>
      </x:c>
      <x:c r="R1042" s="10" t="n">
        <x:f>H1042*'Assumptions'!$Y$40*'Assumptions'!$Z$40*'Assumptions'!$D$11*(1+'Assumptions'!$D$13)^(9-1)</x:f>
        <x:v>545.7169085265161</x:v>
      </x:c>
      <x:c r="S1042" s="10" t="n">
        <x:f>IF(I1042=0,0,J1042*'Assumptions'!$W$40+H1042*'Assumptions'!$X$40)</x:f>
        <x:v>1016.673761912521</x:v>
      </x:c>
      <x:c r="T1042" s="10" t="n">
        <x:f>N1042*'Assumptions'!$AA$40</x:f>
        <x:v>1337.1844732951122</x:v>
      </x:c>
      <x:c r="U1042" s="10" t="n">
        <x:f>'Assumptions'!$AE$40*'Assumptions'!$D$11*(1+'Assumptions'!$D$13)^(9-1)</x:f>
        <x:v>0</x:v>
      </x:c>
      <x:c r="V1042" s="10" t="n">
        <x:f>0</x:f>
        <x:v>0</x:v>
      </x:c>
      <x:c r="W1042" s="10" t="n">
        <x:f>H1042*('Assumptions'!$P$40+'Assumptions'!$Y$40)</x:f>
        <x:v>244.11658125018155</x:v>
      </x:c>
      <x:c r="X1042" s="10" t="n">
        <x:f>N1042/12*'Assumptions'!$AF$40</x:f>
        <x:v>2785.8009860314837</x:v>
      </x:c>
      <x:c r="Y1042" s="10" t="n">
        <x:f>P1042/12</x:f>
        <x:v>60.6352120585018</x:v>
      </x:c>
      <x:c r="Z1042" s="10" t="n">
        <x:f>0</x:f>
        <x:v>0</x:v>
      </x:c>
      <x:c r="AA1042" s="10" t="n">
        <x:f>Z1042*'Assumptions'!$AC$40*'Assumptions'!$D$11*(1+'Assumptions'!$D$13)^(9-1)</x:f>
        <x:v>0</x:v>
      </x:c>
      <x:c r="AB1042" s="10" t="n">
        <x:f>F1042/12</x:f>
        <x:v>2.4717861730815005</x:v>
      </x:c>
      <x:c r="AC1042" s="10" t="n">
        <x:f>AB1042/'Assumptions'!$AM$40</x:f>
        <x:v>12.358930865407501</x:v>
      </x:c>
      <x:c r="AD1042" s="10" t="n">
        <x:f>IF(AB1042=0,0,T1042/AB1042)</x:f>
        <x:v>540.9790247463376</x:v>
      </x:c>
      <x:c r="AE1042" s="10" t="n">
        <x:f>AA1042*'Assumptions'!$D$21</x:f>
        <x:v>0</x:v>
      </x:c>
    </x:row>
    <x:row r="1043" ht="16" customHeight="1">
      <x:c r="A1043" s="1"/>
      <x:c r="B1043" s="1"/>
      <x:c r="C1043" s="1" t="str">
        <x:v>DOT-012</x:v>
      </x:c>
      <x:c r="D1043" s="10" t="str">
        <x:v>BPA professional services</x:v>
      </x:c>
      <x:c r="E1043" s="10" t="n">
        <x:v>9</x:v>
      </x:c>
      <x:c r="F1043" s="21" t="n">
        <x:f>F915*(1+'Assumptions'!$M$41)</x:f>
        <x:v>19.774289384652008</x:v>
      </x:c>
      <x:c r="G1043" s="21" t="n">
        <x:f>H915*'Assumptions'!$K$41</x:f>
        <x:v>18.518507674200006</x:v>
      </x:c>
      <x:c r="H1043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1043+G1043,NA())</x:f>
        <x:v>38.29279705885202</x:v>
      </x:c>
      <x:c r="I1043" s="22" t="n">
        <x:f>'Assumptions'!$H$41*IF('Assumptions'!$O$41=1,1,'Assumptions'!$D$10)*(1+'Assumptions'!$N$41)^(9-1)</x:f>
        <x:v>1080</x:v>
      </x:c>
      <x:c r="J1043" s="10" t="n">
        <x:f>H1043*I1043</x:f>
        <x:v>41356.22082356018</x:v>
      </x:c>
      <x:c r="K1043" s="10" t="n">
        <x:f>J1043*'Assumptions'!$T$41</x:f>
        <x:v>41356.22082356018</x:v>
      </x:c>
      <x:c r="L1043" s="10" t="n">
        <x:f>K1043*'Assumptions'!$U$41</x:f>
        <x:v>1240.6866247068053</x:v>
      </x:c>
      <x:c r="M1043" s="10" t="n">
        <x:f>K1043*'Assumptions'!$V$41</x:f>
        <x:v>0</x:v>
      </x:c>
      <x:c r="N1043" s="10" t="n">
        <x:f>K1043-L1043-M1043</x:f>
        <x:v>40115.53419885338</x:v>
      </x:c>
      <x:c r="O1043" s="10" t="n">
        <x:f>H1043*'Assumptions'!$P$41*'Assumptions'!$Q$41*'Assumptions'!$D$11*(1+'Assumptions'!$D$13)^(9-1)</x:f>
        <x:v>23283.921430464696</x:v>
      </x:c>
      <x:c r="P1043" s="10" t="n">
        <x:f>H1043*'Assumptions'!$R$41*'Assumptions'!$D$11*(1+'Assumptions'!$D$13)^(9-1)</x:f>
        <x:v>485.08169646801446</x:v>
      </x:c>
      <x:c r="Q1043" s="10" t="n">
        <x:f>J1043*'Assumptions'!$S$41</x:f>
        <x:v>0</x:v>
      </x:c>
      <x:c r="R1043" s="10" t="n">
        <x:f>H1043*'Assumptions'!$Y$41*'Assumptions'!$Z$41*'Assumptions'!$D$11*(1+'Assumptions'!$D$13)^(9-1)</x:f>
        <x:v>363.81127235101087</x:v>
      </x:c>
      <x:c r="S1043" s="10" t="n">
        <x:f>IF(I1043=0,0,J1043*'Assumptions'!$W$41+H1043*'Assumptions'!$X$41)</x:f>
        <x:v>1210.8182430009008</x:v>
      </x:c>
      <x:c r="T1043" s="10" t="n">
        <x:f>N1043*'Assumptions'!$AA$41</x:f>
        <x:v>1604.6213679541352</x:v>
      </x:c>
      <x:c r="U1043" s="10" t="n">
        <x:f>'Assumptions'!$AE$41*'Assumptions'!$D$11*(1+'Assumptions'!$D$13)^(9-1)</x:f>
        <x:v>0</x:v>
      </x:c>
      <x:c r="V1043" s="10" t="n">
        <x:f>0</x:f>
        <x:v>0</x:v>
      </x:c>
      <x:c r="W1043" s="10" t="n">
        <x:f>H1043*('Assumptions'!$P$41+'Assumptions'!$Y$41)</x:f>
        <x:v>315.91557573552916</x:v>
      </x:c>
      <x:c r="X1043" s="10" t="n">
        <x:f>N1043/12*'Assumptions'!$AF$41</x:f>
        <x:v>3342.9611832377814</x:v>
      </x:c>
      <x:c r="Y1043" s="10" t="n">
        <x:f>P1043/12</x:f>
        <x:v>40.42347470566787</x:v>
      </x:c>
      <x:c r="Z1043" s="10" t="n">
        <x:f>0</x:f>
        <x:v>0</x:v>
      </x:c>
      <x:c r="AA1043" s="10" t="n">
        <x:f>Z1043*'Assumptions'!$AC$41*'Assumptions'!$D$11*(1+'Assumptions'!$D$13)^(9-1)</x:f>
        <x:v>0</x:v>
      </x:c>
      <x:c r="AB1043" s="10" t="n">
        <x:f>F1043/12</x:f>
        <x:v>1.6478574487210007</x:v>
      </x:c>
      <x:c r="AC1043" s="10" t="n">
        <x:f>AB1043/'Assumptions'!$AM$41</x:f>
        <x:v>8.239287243605004</x:v>
      </x:c>
      <x:c r="AD1043" s="10" t="n">
        <x:f>IF(AB1043=0,0,T1043/AB1043)</x:f>
        <x:v>973.7622445434077</x:v>
      </x:c>
      <x:c r="AE1043" s="10" t="n">
        <x:f>AA1043*'Assumptions'!$D$21</x:f>
        <x:v>0</x:v>
      </x:c>
    </x:row>
    <x:row r="1044" ht="16" customHeight="1">
      <x:c r="A1044" s="1"/>
      <x:c r="B1044" s="1"/>
      <x:c r="C1044" s="1" t="str">
        <x:v>DOT-013</x:v>
      </x:c>
      <x:c r="D1044" s="10" t="str">
        <x:v>BPA professional services</x:v>
      </x:c>
      <x:c r="E1044" s="10" t="n">
        <x:v>9</x:v>
      </x:c>
      <x:c r="F1044" s="21" t="n">
        <x:f>F916*(1+'Assumptions'!$M$42)</x:f>
        <x:v>14.830717038489002</x:v>
      </x:c>
      <x:c r="G1044" s="21" t="n">
        <x:f>H916*'Assumptions'!$K$42</x:f>
        <x:v>13.888880755650003</x:v>
      </x:c>
      <x:c r="H1044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1044+G1044,NA())</x:f>
        <x:v>28.719597794139005</x:v>
      </x:c>
      <x:c r="I1044" s="22" t="n">
        <x:f>'Assumptions'!$H$42*IF('Assumptions'!$O$42=1,1,'Assumptions'!$D$10)*(1+'Assumptions'!$N$42)^(9-1)</x:f>
        <x:v>2160</x:v>
      </x:c>
      <x:c r="J1044" s="10" t="n">
        <x:f>H1044*I1044</x:f>
        <x:v>62034.33123534025</x:v>
      </x:c>
      <x:c r="K1044" s="10" t="n">
        <x:f>J1044*'Assumptions'!$T$42</x:f>
        <x:v>62034.33123534025</x:v>
      </x:c>
      <x:c r="L1044" s="10" t="n">
        <x:f>K1044*'Assumptions'!$U$42</x:f>
        <x:v>1861.0299370602074</x:v>
      </x:c>
      <x:c r="M1044" s="10" t="n">
        <x:f>K1044*'Assumptions'!$V$42</x:f>
        <x:v>0</x:v>
      </x:c>
      <x:c r="N1044" s="10" t="n">
        <x:f>K1044-L1044-M1044</x:f>
        <x:v>60173.30129828004</x:v>
      </x:c>
      <x:c r="O1044" s="10" t="n">
        <x:f>H1044*'Assumptions'!$P$42*'Assumptions'!$Q$42*'Assumptions'!$D$11*(1+'Assumptions'!$D$13)^(9-1)</x:f>
        <x:v>34925.88214569703</x:v>
      </x:c>
      <x:c r="P1044" s="10" t="n">
        <x:f>H1044*'Assumptions'!$R$42*'Assumptions'!$D$11*(1+'Assumptions'!$D$13)^(9-1)</x:f>
        <x:v>363.8112723510108</x:v>
      </x:c>
      <x:c r="Q1044" s="10" t="n">
        <x:f>J1044*'Assumptions'!$S$42</x:f>
        <x:v>0</x:v>
      </x:c>
      <x:c r="R1044" s="10" t="n">
        <x:f>H1044*'Assumptions'!$Y$42*'Assumptions'!$Z$42*'Assumptions'!$D$11*(1+'Assumptions'!$D$13)^(9-1)</x:f>
        <x:v>272.85845426325807</x:v>
      </x:c>
      <x:c r="S1044" s="10" t="n">
        <x:f>IF(I1044=0,0,J1044*'Assumptions'!$W$42+H1044*'Assumptions'!$X$42)</x:f>
        <x:v>1807.6114851631091</x:v>
      </x:c>
      <x:c r="T1044" s="10" t="n">
        <x:f>N1044*'Assumptions'!$AA$42</x:f>
        <x:v>2406.932051931202</x:v>
      </x:c>
      <x:c r="U1044" s="10" t="n">
        <x:f>'Assumptions'!$AE$42*'Assumptions'!$D$11*(1+'Assumptions'!$D$13)^(9-1)</x:f>
        <x:v>0</x:v>
      </x:c>
      <x:c r="V1044" s="10" t="n">
        <x:f>0</x:f>
        <x:v>0</x:v>
      </x:c>
      <x:c r="W1044" s="10" t="n">
        <x:f>H1044*('Assumptions'!$P$42+'Assumptions'!$Y$42)</x:f>
        <x:v>466.69346415475883</x:v>
      </x:c>
      <x:c r="X1044" s="10" t="n">
        <x:f>N1044/12*'Assumptions'!$AF$42</x:f>
        <x:v>5014.44177485667</x:v>
      </x:c>
      <x:c r="Y1044" s="10" t="n">
        <x:f>P1044/12</x:f>
        <x:v>30.3176060292509</x:v>
      </x:c>
      <x:c r="Z1044" s="10" t="n">
        <x:f>0</x:f>
        <x:v>0</x:v>
      </x:c>
      <x:c r="AA1044" s="10" t="n">
        <x:f>Z1044*'Assumptions'!$AC$42*'Assumptions'!$D$11*(1+'Assumptions'!$D$13)^(9-1)</x:f>
        <x:v>0</x:v>
      </x:c>
      <x:c r="AB1044" s="10" t="n">
        <x:f>F1044/12</x:f>
        <x:v>1.2358930865407503</x:v>
      </x:c>
      <x:c r="AC1044" s="10" t="n">
        <x:f>AB1044/'Assumptions'!$AM$42</x:f>
        <x:v>6.179465432703751</x:v>
      </x:c>
      <x:c r="AD1044" s="10" t="n">
        <x:f>IF(AB1044=0,0,T1044/AB1044)</x:f>
        <x:v>1947.5244890868153</x:v>
      </x:c>
      <x:c r="AE1044" s="10" t="n">
        <x:f>AA1044*'Assumptions'!$D$21</x:f>
        <x:v>0</x:v>
      </x:c>
    </x:row>
    <x:row r="1045" ht="16" customHeight="1">
      <x:c r="A1045" s="1"/>
      <x:c r="B1045" s="1"/>
      <x:c r="C1045" s="1" t="str">
        <x:v>DOT-014</x:v>
      </x:c>
      <x:c r="D1045" s="10" t="str">
        <x:v>BPA professional services</x:v>
      </x:c>
      <x:c r="E1045" s="10" t="n">
        <x:v>9</x:v>
      </x:c>
      <x:c r="F1045" s="21" t="n">
        <x:f>F917*(1+'Assumptions'!$M$43)</x:f>
        <x:v>9.887144692326004</x:v>
      </x:c>
      <x:c r="G1045" s="21" t="n">
        <x:f>H917*'Assumptions'!$K$43</x:f>
        <x:v>9.259253837100003</x:v>
      </x:c>
      <x:c r="H1045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1045+G1045,NA())</x:f>
        <x:v>19.14639852942601</x:v>
      </x:c>
      <x:c r="I1045" s="22" t="n">
        <x:f>'Assumptions'!$H$43*IF('Assumptions'!$O$43=1,1,'Assumptions'!$D$10)*(1+'Assumptions'!$N$43)^(9-1)</x:f>
        <x:v>3000</x:v>
      </x:c>
      <x:c r="J1045" s="10" t="n">
        <x:f>H1045*I1045</x:f>
        <x:v>57439.195588278024</x:v>
      </x:c>
      <x:c r="K1045" s="10" t="n">
        <x:f>J1045*'Assumptions'!$T$43</x:f>
        <x:v>57439.195588278024</x:v>
      </x:c>
      <x:c r="L1045" s="10" t="n">
        <x:f>K1045*'Assumptions'!$U$43</x:f>
        <x:v>1723.1758676483407</x:v>
      </x:c>
      <x:c r="M1045" s="10" t="n">
        <x:f>K1045*'Assumptions'!$V$43</x:f>
        <x:v>0</x:v>
      </x:c>
      <x:c r="N1045" s="10" t="n">
        <x:f>K1045-L1045-M1045</x:f>
        <x:v>55716.01972062968</x:v>
      </x:c>
      <x:c r="O1045" s="10" t="n">
        <x:f>H1045*'Assumptions'!$P$43*'Assumptions'!$Q$43*'Assumptions'!$D$11*(1+'Assumptions'!$D$13)^(9-1)</x:f>
        <x:v>29104.901788080868</x:v>
      </x:c>
      <x:c r="P1045" s="10" t="n">
        <x:f>H1045*'Assumptions'!$R$43*'Assumptions'!$D$11*(1+'Assumptions'!$D$13)^(9-1)</x:f>
        <x:v>242.54084823400723</x:v>
      </x:c>
      <x:c r="Q1045" s="10" t="n">
        <x:f>J1045*'Assumptions'!$S$43</x:f>
        <x:v>0</x:v>
      </x:c>
      <x:c r="R1045" s="10" t="n">
        <x:f>H1045*'Assumptions'!$Y$43*'Assumptions'!$Z$43*'Assumptions'!$D$11*(1+'Assumptions'!$D$13)^(9-1)</x:f>
        <x:v>181.90563617550544</x:v>
      </x:c>
      <x:c r="S1045" s="10" t="n">
        <x:f>IF(I1045=0,0,J1045*'Assumptions'!$W$43+H1045*'Assumptions'!$X$43)</x:f>
        <x:v>1671.4805916188907</x:v>
      </x:c>
      <x:c r="T1045" s="10" t="n">
        <x:f>N1045*'Assumptions'!$AA$43</x:f>
        <x:v>2228.6407888251874</x:v>
      </x:c>
      <x:c r="U1045" s="10" t="n">
        <x:f>'Assumptions'!$AE$43*'Assumptions'!$D$11*(1+'Assumptions'!$D$13)^(9-1)</x:f>
        <x:v>0</x:v>
      </x:c>
      <x:c r="V1045" s="10" t="n">
        <x:f>0</x:f>
        <x:v>0</x:v>
      </x:c>
      <x:c r="W1045" s="10" t="n">
        <x:f>H1045*('Assumptions'!$P$43+'Assumptions'!$Y$43)</x:f>
        <x:v>387.7145702208767</x:v>
      </x:c>
      <x:c r="X1045" s="10" t="n">
        <x:f>N1045/12*'Assumptions'!$AF$43</x:f>
        <x:v>4643.001643385806</x:v>
      </x:c>
      <x:c r="Y1045" s="10" t="n">
        <x:f>P1045/12</x:f>
        <x:v>20.211737352833936</x:v>
      </x:c>
      <x:c r="Z1045" s="10" t="n">
        <x:f>0</x:f>
        <x:v>0</x:v>
      </x:c>
      <x:c r="AA1045" s="10" t="n">
        <x:f>Z1045*'Assumptions'!$AC$43*'Assumptions'!$D$11*(1+'Assumptions'!$D$13)^(9-1)</x:f>
        <x:v>0</x:v>
      </x:c>
      <x:c r="AB1045" s="10" t="n">
        <x:f>F1045/12</x:f>
        <x:v>0.8239287243605004</x:v>
      </x:c>
      <x:c r="AC1045" s="10" t="n">
        <x:f>AB1045/'Assumptions'!$AM$43</x:f>
        <x:v>4.119643621802502</x:v>
      </x:c>
      <x:c r="AD1045" s="10" t="n">
        <x:f>IF(AB1045=0,0,T1045/AB1045)</x:f>
        <x:v>2704.895123731688</x:v>
      </x:c>
      <x:c r="AE1045" s="10" t="n">
        <x:f>AA1045*'Assumptions'!$D$21</x:f>
        <x:v>0</x:v>
      </x:c>
    </x:row>
    <x:row r="1046" ht="16" customHeight="1">
      <x:c r="A1046" s="1"/>
      <x:c r="B1046" s="1"/>
      <x:c r="C1046" s="1" t="str">
        <x:v>DOT-015</x:v>
      </x:c>
      <x:c r="D1046" s="10" t="str">
        <x:v>BPA professional services</x:v>
      </x:c>
      <x:c r="E1046" s="10" t="n">
        <x:v>9</x:v>
      </x:c>
      <x:c r="F1046" s="21" t="n">
        <x:f>F918*(1+'Assumptions'!$M$44)</x:f>
        <x:v>8.239287243605002</x:v>
      </x:c>
      <x:c r="G1046" s="21" t="n">
        <x:f>H918*'Assumptions'!$K$44</x:f>
        <x:v>7.7160448642500015</x:v>
      </x:c>
      <x:c r="H1046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1046+G1046,NA())</x:f>
        <x:v>15.955332107855003</x:v>
      </x:c>
      <x:c r="I1046" s="22" t="n">
        <x:f>'Assumptions'!$H$44*IF('Assumptions'!$O$44=1,1,'Assumptions'!$D$10)*(1+'Assumptions'!$N$44)^(9-1)</x:f>
        <x:v>1200</x:v>
      </x:c>
      <x:c r="J1046" s="10" t="n">
        <x:f>H1046*I1046</x:f>
        <x:v>19146.398529426006</x:v>
      </x:c>
      <x:c r="K1046" s="10" t="n">
        <x:f>J1046*'Assumptions'!$T$44</x:f>
        <x:v>19146.398529426006</x:v>
      </x:c>
      <x:c r="L1046" s="10" t="n">
        <x:f>K1046*'Assumptions'!$U$44</x:f>
        <x:v>574.3919558827802</x:v>
      </x:c>
      <x:c r="M1046" s="10" t="n">
        <x:f>K1046*'Assumptions'!$V$44</x:f>
        <x:v>0</x:v>
      </x:c>
      <x:c r="N1046" s="10" t="n">
        <x:f>K1046-L1046-M1046</x:f>
        <x:v>18572.006573543225</x:v>
      </x:c>
      <x:c r="O1046" s="10" t="n">
        <x:f>H1046*'Assumptions'!$P$44*'Assumptions'!$Q$44*'Assumptions'!$D$11*(1+'Assumptions'!$D$13)^(9-1)</x:f>
        <x:v>12127.042411700357</x:v>
      </x:c>
      <x:c r="P1046" s="10" t="n">
        <x:f>H1046*'Assumptions'!$R$44*'Assumptions'!$D$11*(1+'Assumptions'!$D$13)^(9-1)</x:f>
        <x:v>202.1173735283393</x:v>
      </x:c>
      <x:c r="Q1046" s="10" t="n">
        <x:f>J1046*'Assumptions'!$S$44</x:f>
        <x:v>0</x:v>
      </x:c>
      <x:c r="R1046" s="10" t="n">
        <x:f>H1046*'Assumptions'!$Y$44*'Assumptions'!$Z$44*'Assumptions'!$D$11*(1+'Assumptions'!$D$13)^(9-1)</x:f>
        <x:v>151.58803014625448</x:v>
      </x:c>
      <x:c r="S1046" s="10" t="n">
        <x:f>IF(I1046=0,0,J1046*'Assumptions'!$W$44+H1046*'Assumptions'!$X$44)</x:f>
        <x:v>560.0321569857107</x:v>
      </x:c>
      <x:c r="T1046" s="10" t="n">
        <x:f>N1046*'Assumptions'!$AA$44</x:f>
        <x:v>742.880262941729</x:v>
      </x:c>
      <x:c r="U1046" s="10" t="n">
        <x:f>'Assumptions'!$AE$44*'Assumptions'!$D$11*(1+'Assumptions'!$D$13)^(9-1)</x:f>
        <x:v>0</x:v>
      </x:c>
      <x:c r="V1046" s="10" t="n">
        <x:f>0</x:f>
        <x:v>0</x:v>
      </x:c>
      <x:c r="W1046" s="10" t="n">
        <x:f>H1046*('Assumptions'!$P$44+'Assumptions'!$Y$44)</x:f>
        <x:v>163.5421541055138</x:v>
      </x:c>
      <x:c r="X1046" s="10" t="n">
        <x:f>N1046/12*'Assumptions'!$AF$44</x:f>
        <x:v>1547.6672144619354</x:v>
      </x:c>
      <x:c r="Y1046" s="10" t="n">
        <x:f>P1046/12</x:f>
        <x:v>16.84311446069494</x:v>
      </x:c>
      <x:c r="Z1046" s="10" t="n">
        <x:f>0</x:f>
        <x:v>0</x:v>
      </x:c>
      <x:c r="AA1046" s="10" t="n">
        <x:f>Z1046*'Assumptions'!$AC$44*'Assumptions'!$D$11*(1+'Assumptions'!$D$13)^(9-1)</x:f>
        <x:v>0</x:v>
      </x:c>
      <x:c r="AB1046" s="10" t="n">
        <x:f>F1046/1</x:f>
        <x:v>8.239287243605002</x:v>
      </x:c>
      <x:c r="AC1046" s="10" t="n">
        <x:f>AB1046/'Assumptions'!$AM$44</x:f>
        <x:v>41.196436218025006</x:v>
      </x:c>
      <x:c r="AD1046" s="10" t="n">
        <x:f>IF(AB1046=0,0,T1046/AB1046)</x:f>
        <x:v>90.16317079105627</x:v>
      </x:c>
      <x:c r="AE1046" s="10" t="n">
        <x:f>AA1046*'Assumptions'!$D$21</x:f>
        <x:v>0</x:v>
      </x:c>
    </x:row>
    <x:row r="1047" ht="16" customHeight="1">
      <x:c r="A1047" s="1"/>
      <x:c r="B1047" s="1"/>
      <x:c r="C1047" s="1" t="str">
        <x:v>DOT-016</x:v>
      </x:c>
      <x:c r="D1047" s="10" t="str">
        <x:v>BPA professional services</x:v>
      </x:c>
      <x:c r="E1047" s="10" t="n">
        <x:v>9</x:v>
      </x:c>
      <x:c r="F1047" s="21" t="n">
        <x:f>F919*(1+'Assumptions'!$M$45)</x:f>
        <x:v>4.943572346163002</x:v>
      </x:c>
      <x:c r="G1047" s="21" t="n">
        <x:f>H919*'Assumptions'!$K$45</x:f>
        <x:v>4.629626918550001</x:v>
      </x:c>
      <x:c r="H1047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1047+G1047,NA())</x:f>
        <x:v>9.573199264713004</x:v>
      </x:c>
      <x:c r="I1047" s="22" t="n">
        <x:f>'Assumptions'!$H$45*IF('Assumptions'!$O$45=1,1,'Assumptions'!$D$10)*(1+'Assumptions'!$N$45)^(9-1)</x:f>
        <x:v>1800</x:v>
      </x:c>
      <x:c r="J1047" s="10" t="n">
        <x:f>H1047*I1047</x:f>
        <x:v>17231.75867648341</x:v>
      </x:c>
      <x:c r="K1047" s="10" t="n">
        <x:f>J1047*'Assumptions'!$T$45</x:f>
        <x:v>17231.75867648341</x:v>
      </x:c>
      <x:c r="L1047" s="10" t="n">
        <x:f>K1047*'Assumptions'!$U$45</x:f>
        <x:v>516.9527602945022</x:v>
      </x:c>
      <x:c r="M1047" s="10" t="n">
        <x:f>K1047*'Assumptions'!$V$45</x:f>
        <x:v>0</x:v>
      </x:c>
      <x:c r="N1047" s="10" t="n">
        <x:f>K1047-L1047-M1047</x:f>
        <x:v>16714.805916188907</x:v>
      </x:c>
      <x:c r="O1047" s="10" t="n">
        <x:f>H1047*'Assumptions'!$P$45*'Assumptions'!$Q$45*'Assumptions'!$D$11*(1+'Assumptions'!$D$13)^(9-1)</x:f>
        <x:v>3638.1127235101085</x:v>
      </x:c>
      <x:c r="P1047" s="10" t="n">
        <x:f>H1047*'Assumptions'!$R$45*'Assumptions'!$D$11*(1+'Assumptions'!$D$13)^(9-1)</x:f>
        <x:v>121.27042411700361</x:v>
      </x:c>
      <x:c r="Q1047" s="10" t="n">
        <x:f>J1047*'Assumptions'!$S$45</x:f>
        <x:v>0</x:v>
      </x:c>
      <x:c r="R1047" s="10" t="n">
        <x:f>H1047*'Assumptions'!$Y$45*'Assumptions'!$Z$45*'Assumptions'!$D$11*(1+'Assumptions'!$D$13)^(9-1)</x:f>
        <x:v>90.95281808775272</x:v>
      </x:c>
      <x:c r="S1047" s="10" t="n">
        <x:f>IF(I1047=0,0,J1047*'Assumptions'!$W$45+H1047*'Assumptions'!$X$45)</x:f>
        <x:v>502.59296139743276</x:v>
      </x:c>
      <x:c r="T1047" s="10" t="n">
        <x:f>N1047*'Assumptions'!$AA$45</x:f>
        <x:v>668.5922366475563</x:v>
      </x:c>
      <x:c r="U1047" s="10" t="n">
        <x:f>'Assumptions'!$AE$45*'Assumptions'!$D$11*(1+'Assumptions'!$D$13)^(9-1)</x:f>
        <x:v>0</x:v>
      </x:c>
      <x:c r="V1047" s="10" t="n">
        <x:f>0</x:f>
        <x:v>0</x:v>
      </x:c>
      <x:c r="W1047" s="10" t="n">
        <x:f>H1047*('Assumptions'!$P$45+'Assumptions'!$Y$45)</x:f>
        <x:v>50.25929613974327</x:v>
      </x:c>
      <x:c r="X1047" s="10" t="n">
        <x:f>N1047/12*'Assumptions'!$AF$45</x:f>
        <x:v>1392.9004930157423</x:v>
      </x:c>
      <x:c r="Y1047" s="10" t="n">
        <x:f>P1047/12</x:f>
        <x:v>10.105868676416968</x:v>
      </x:c>
      <x:c r="Z1047" s="10" t="n">
        <x:f>0</x:f>
        <x:v>0</x:v>
      </x:c>
      <x:c r="AA1047" s="10" t="n">
        <x:f>Z1047*'Assumptions'!$AC$45*'Assumptions'!$D$11*(1+'Assumptions'!$D$13)^(9-1)</x:f>
        <x:v>0</x:v>
      </x:c>
      <x:c r="AB1047" s="10" t="n">
        <x:f>F1047/1</x:f>
        <x:v>4.943572346163002</x:v>
      </x:c>
      <x:c r="AC1047" s="10" t="n">
        <x:f>AB1047/'Assumptions'!$AM$45</x:f>
        <x:v>24.71786173081501</x:v>
      </x:c>
      <x:c r="AD1047" s="10" t="n">
        <x:f>IF(AB1047=0,0,T1047/AB1047)</x:f>
        <x:v>135.24475618658442</x:v>
      </x:c>
      <x:c r="AE1047" s="10" t="n">
        <x:f>AA1047*'Assumptions'!$D$21</x:f>
        <x:v>0</x:v>
      </x:c>
    </x:row>
    <x:row r="1048" ht="16" customHeight="1">
      <x:c r="A1048" s="1"/>
      <x:c r="B1048" s="1"/>
      <x:c r="C1048" s="1" t="str">
        <x:v>DOT-017</x:v>
      </x:c>
      <x:c r="D1048" s="10" t="str">
        <x:v>BPA professional services</x:v>
      </x:c>
      <x:c r="E1048" s="10" t="n">
        <x:v>9</x:v>
      </x:c>
      <x:c r="F1048" s="21" t="n">
        <x:f>F920*(1+'Assumptions'!$M$46)</x:f>
        <x:v>4.943572346163002</x:v>
      </x:c>
      <x:c r="G1048" s="21" t="n">
        <x:f>H920*'Assumptions'!$K$46</x:f>
        <x:v>4.629626918550001</x:v>
      </x:c>
      <x:c r="H1048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1048+G1048,NA())</x:f>
        <x:v>9.573199264713004</x:v>
      </x:c>
      <x:c r="I1048" s="22" t="n">
        <x:f>'Assumptions'!$H$46*IF('Assumptions'!$O$46=1,1,'Assumptions'!$D$10)*(1+'Assumptions'!$N$46)^(9-1)</x:f>
        <x:v>1500</x:v>
      </x:c>
      <x:c r="J1048" s="10" t="n">
        <x:f>H1048*I1048</x:f>
        <x:v>14359.798897069506</x:v>
      </x:c>
      <x:c r="K1048" s="10" t="n">
        <x:f>J1048*'Assumptions'!$T$46</x:f>
        <x:v>14359.798897069506</x:v>
      </x:c>
      <x:c r="L1048" s="10" t="n">
        <x:f>K1048*'Assumptions'!$U$46</x:f>
        <x:v>430.7939669120852</x:v>
      </x:c>
      <x:c r="M1048" s="10" t="n">
        <x:f>K1048*'Assumptions'!$V$46</x:f>
        <x:v>0</x:v>
      </x:c>
      <x:c r="N1048" s="10" t="n">
        <x:f>K1048-L1048-M1048</x:f>
        <x:v>13929.00493015742</x:v>
      </x:c>
      <x:c r="O1048" s="10" t="n">
        <x:f>H1048*'Assumptions'!$P$46*'Assumptions'!$Q$46*'Assumptions'!$D$11*(1+'Assumptions'!$D$13)^(9-1)</x:f>
        <x:v>4365.73526821213</x:v>
      </x:c>
      <x:c r="P1048" s="10" t="n">
        <x:f>H1048*'Assumptions'!$R$46*'Assumptions'!$D$11*(1+'Assumptions'!$D$13)^(9-1)</x:f>
        <x:v>121.27042411700361</x:v>
      </x:c>
      <x:c r="Q1048" s="10" t="n">
        <x:f>J1048*'Assumptions'!$S$46</x:f>
        <x:v>0</x:v>
      </x:c>
      <x:c r="R1048" s="10" t="n">
        <x:f>H1048*'Assumptions'!$Y$46*'Assumptions'!$Z$46*'Assumptions'!$D$11*(1+'Assumptions'!$D$13)^(9-1)</x:f>
        <x:v>90.95281808775272</x:v>
      </x:c>
      <x:c r="S1048" s="10" t="n">
        <x:f>IF(I1048=0,0,J1048*'Assumptions'!$W$46+H1048*'Assumptions'!$X$46)</x:f>
        <x:v>419.3061277944296</x:v>
      </x:c>
      <x:c r="T1048" s="10" t="n">
        <x:f>N1048*'Assumptions'!$AA$46</x:f>
        <x:v>557.1601972062969</x:v>
      </x:c>
      <x:c r="U1048" s="10" t="n">
        <x:f>'Assumptions'!$AE$46*'Assumptions'!$D$11*(1+'Assumptions'!$D$13)^(9-1)</x:f>
        <x:v>0</x:v>
      </x:c>
      <x:c r="V1048" s="10" t="n">
        <x:f>0</x:f>
        <x:v>0</x:v>
      </x:c>
      <x:c r="W1048" s="10" t="n">
        <x:f>H1048*('Assumptions'!$P$46+'Assumptions'!$Y$46)</x:f>
        <x:v>59.832495404456274</x:v>
      </x:c>
      <x:c r="X1048" s="10" t="n">
        <x:f>N1048/12*'Assumptions'!$AF$46</x:f>
        <x:v>1160.7504108464516</x:v>
      </x:c>
      <x:c r="Y1048" s="10" t="n">
        <x:f>P1048/12</x:f>
        <x:v>10.105868676416968</x:v>
      </x:c>
      <x:c r="Z1048" s="10" t="n">
        <x:f>0</x:f>
        <x:v>0</x:v>
      </x:c>
      <x:c r="AA1048" s="10" t="n">
        <x:f>Z1048*'Assumptions'!$AC$46*'Assumptions'!$D$11*(1+'Assumptions'!$D$13)^(9-1)</x:f>
        <x:v>0</x:v>
      </x:c>
      <x:c r="AB1048" s="10" t="n">
        <x:f>F1048/1</x:f>
        <x:v>4.943572346163002</x:v>
      </x:c>
      <x:c r="AC1048" s="10" t="n">
        <x:f>AB1048/'Assumptions'!$AM$46</x:f>
        <x:v>24.71786173081501</x:v>
      </x:c>
      <x:c r="AD1048" s="10" t="n">
        <x:f>IF(AB1048=0,0,T1048/AB1048)</x:f>
        <x:v>112.70396348882034</x:v>
      </x:c>
      <x:c r="AE1048" s="10" t="n">
        <x:f>AA1048*'Assumptions'!$D$21</x:f>
        <x:v>0</x:v>
      </x:c>
    </x:row>
    <x:row r="1049" ht="16" customHeight="1">
      <x:c r="A1049" s="1"/>
      <x:c r="B1049" s="1"/>
      <x:c r="C1049" s="1" t="str">
        <x:v>DOT-018</x:v>
      </x:c>
      <x:c r="D1049" s="10" t="str">
        <x:v>BPA professional services</x:v>
      </x:c>
      <x:c r="E1049" s="10" t="n">
        <x:v>9</x:v>
      </x:c>
      <x:c r="F1049" s="21" t="n">
        <x:f>F921*(1+'Assumptions'!$M$47)</x:f>
        <x:v>6.591429794884004</x:v>
      </x:c>
      <x:c r="G1049" s="21" t="n">
        <x:f>H921*'Assumptions'!$K$47</x:f>
        <x:v>6.172835891400004</x:v>
      </x:c>
      <x:c r="H1049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1049+G1049,NA())</x:f>
        <x:v>12.764265686284007</x:v>
      </x:c>
      <x:c r="I1049" s="22" t="n">
        <x:f>'Assumptions'!$H$47*IF('Assumptions'!$O$47=1,1,'Assumptions'!$D$10)*(1+'Assumptions'!$N$47)^(9-1)</x:f>
        <x:v>1200</x:v>
      </x:c>
      <x:c r="J1049" s="10" t="n">
        <x:f>H1049*I1049</x:f>
        <x:v>15317.118823540808</x:v>
      </x:c>
      <x:c r="K1049" s="10" t="n">
        <x:f>J1049*'Assumptions'!$T$47</x:f>
        <x:v>15317.118823540808</x:v>
      </x:c>
      <x:c r="L1049" s="10" t="n">
        <x:f>K1049*'Assumptions'!$U$47</x:f>
        <x:v>459.5135647062242</x:v>
      </x:c>
      <x:c r="M1049" s="10" t="n">
        <x:f>K1049*'Assumptions'!$V$47</x:f>
        <x:v>0</x:v>
      </x:c>
      <x:c r="N1049" s="10" t="n">
        <x:f>K1049-L1049-M1049</x:f>
        <x:v>14857.605258834585</x:v>
      </x:c>
      <x:c r="O1049" s="10" t="n">
        <x:f>H1049*'Assumptions'!$P$47*'Assumptions'!$Q$47*'Assumptions'!$D$11*(1+'Assumptions'!$D$13)^(9-1)</x:f>
        <x:v>3880.653571744116</x:v>
      </x:c>
      <x:c r="P1049" s="10" t="n">
        <x:f>H1049*'Assumptions'!$R$47*'Assumptions'!$D$11*(1+'Assumptions'!$D$13)^(9-1)</x:f>
        <x:v>161.6938988226715</x:v>
      </x:c>
      <x:c r="Q1049" s="10" t="n">
        <x:f>J1049*'Assumptions'!$S$47</x:f>
        <x:v>0</x:v>
      </x:c>
      <x:c r="R1049" s="10" t="n">
        <x:f>H1049*'Assumptions'!$Y$47*'Assumptions'!$Z$47*'Assumptions'!$D$11*(1+'Assumptions'!$D$13)^(9-1)</x:f>
        <x:v>121.27042411700363</x:v>
      </x:c>
      <x:c r="S1049" s="10" t="n">
        <x:f>IF(I1049=0,0,J1049*'Assumptions'!$W$47+H1049*'Assumptions'!$X$47)</x:f>
        <x:v>448.02572558856866</x:v>
      </x:c>
      <x:c r="T1049" s="10" t="n">
        <x:f>N1049*'Assumptions'!$AA$47</x:f>
        <x:v>594.3042103533834</x:v>
      </x:c>
      <x:c r="U1049" s="10" t="n">
        <x:f>'Assumptions'!$AE$47*'Assumptions'!$D$11*(1+'Assumptions'!$D$13)^(9-1)</x:f>
        <x:v>0</x:v>
      </x:c>
      <x:c r="V1049" s="10" t="n">
        <x:f>0</x:f>
        <x:v>0</x:v>
      </x:c>
      <x:c r="W1049" s="10" t="n">
        <x:f>H1049*('Assumptions'!$P$47+'Assumptions'!$Y$47)</x:f>
        <x:v>54.24812916670703</x:v>
      </x:c>
      <x:c r="X1049" s="10" t="n">
        <x:f>N1049/12*'Assumptions'!$AF$47</x:f>
        <x:v>1238.1337715695488</x:v>
      </x:c>
      <x:c r="Y1049" s="10" t="n">
        <x:f>P1049/12</x:f>
        <x:v>13.47449156855596</x:v>
      </x:c>
      <x:c r="Z1049" s="10" t="n">
        <x:f>0</x:f>
        <x:v>0</x:v>
      </x:c>
      <x:c r="AA1049" s="10" t="n">
        <x:f>Z1049*'Assumptions'!$AC$47*'Assumptions'!$D$11*(1+'Assumptions'!$D$13)^(9-1)</x:f>
        <x:v>0</x:v>
      </x:c>
      <x:c r="AB1049" s="10" t="n">
        <x:f>F1049/1</x:f>
        <x:v>6.591429794884004</x:v>
      </x:c>
      <x:c r="AC1049" s="10" t="n">
        <x:f>AB1049/'Assumptions'!$AM$47</x:f>
        <x:v>32.957148974420015</x:v>
      </x:c>
      <x:c r="AD1049" s="10" t="n">
        <x:f>IF(AB1049=0,0,T1049/AB1049)</x:f>
        <x:v>90.16317079105626</x:v>
      </x:c>
      <x:c r="AE1049" s="10" t="n">
        <x:f>AA1049*'Assumptions'!$D$21</x:f>
        <x:v>0</x:v>
      </x:c>
    </x:row>
    <x:row r="1050" ht="16" customHeight="1">
      <x:c r="A1050" s="1"/>
      <x:c r="B1050" s="1"/>
      <x:c r="C1050" s="1" t="str">
        <x:v>DOT-019</x:v>
      </x:c>
      <x:c r="D1050" s="10" t="str">
        <x:v>BPA professional services</x:v>
      </x:c>
      <x:c r="E1050" s="10" t="n">
        <x:v>9</x:v>
      </x:c>
      <x:c r="F1050" s="21" t="n">
        <x:f>F922*(1+'Assumptions'!$M$48)</x:f>
        <x:v>3.295714897442002</x:v>
      </x:c>
      <x:c r="G1050" s="21" t="n">
        <x:f>H922*'Assumptions'!$K$48</x:f>
        <x:v>3.086417945700002</x:v>
      </x:c>
      <x:c r="H1050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1050+G1050,NA())</x:f>
        <x:v>6.382132843142004</x:v>
      </x:c>
      <x:c r="I1050" s="22" t="n">
        <x:f>'Assumptions'!$H$48*IF('Assumptions'!$O$48=1,1,'Assumptions'!$D$10)*(1+'Assumptions'!$N$48)^(9-1)</x:f>
        <x:v>3000</x:v>
      </x:c>
      <x:c r="J1050" s="10" t="n">
        <x:f>H1050*I1050</x:f>
        <x:v>19146.398529426013</x:v>
      </x:c>
      <x:c r="K1050" s="10" t="n">
        <x:f>J1050*'Assumptions'!$T$48</x:f>
        <x:v>19146.398529426013</x:v>
      </x:c>
      <x:c r="L1050" s="10" t="n">
        <x:f>K1050*'Assumptions'!$U$48</x:f>
        <x:v>574.3919558827804</x:v>
      </x:c>
      <x:c r="M1050" s="10" t="n">
        <x:f>K1050*'Assumptions'!$V$48</x:f>
        <x:v>0</x:v>
      </x:c>
      <x:c r="N1050" s="10" t="n">
        <x:f>K1050-L1050-M1050</x:f>
        <x:v>18572.006573543233</x:v>
      </x:c>
      <x:c r="O1050" s="10" t="n">
        <x:f>H1050*'Assumptions'!$P$48*'Assumptions'!$Q$48*'Assumptions'!$D$11*(1+'Assumptions'!$D$13)^(9-1)</x:f>
        <x:v>5820.980357616175</x:v>
      </x:c>
      <x:c r="P1050" s="10" t="n">
        <x:f>H1050*'Assumptions'!$R$48*'Assumptions'!$D$11*(1+'Assumptions'!$D$13)^(9-1)</x:f>
        <x:v>80.84694941133576</x:v>
      </x:c>
      <x:c r="Q1050" s="10" t="n">
        <x:f>J1050*'Assumptions'!$S$48</x:f>
        <x:v>0</x:v>
      </x:c>
      <x:c r="R1050" s="10" t="n">
        <x:f>H1050*'Assumptions'!$Y$48*'Assumptions'!$Z$48*'Assumptions'!$D$11*(1+'Assumptions'!$D$13)^(9-1)</x:f>
        <x:v>60.635212058501814</x:v>
      </x:c>
      <x:c r="S1050" s="10" t="n">
        <x:f>IF(I1050=0,0,J1050*'Assumptions'!$W$48+H1050*'Assumptions'!$X$48)</x:f>
        <x:v>557.1601972062971</x:v>
      </x:c>
      <x:c r="T1050" s="10" t="n">
        <x:f>N1050*'Assumptions'!$AA$48</x:f>
        <x:v>742.8802629417294</x:v>
      </x:c>
      <x:c r="U1050" s="10" t="n">
        <x:f>'Assumptions'!$AE$48*'Assumptions'!$D$11*(1+'Assumptions'!$D$13)^(9-1)</x:f>
        <x:v>0</x:v>
      </x:c>
      <x:c r="V1050" s="10" t="n">
        <x:f>0</x:f>
        <x:v>0</x:v>
      </x:c>
      <x:c r="W1050" s="10" t="n">
        <x:f>H1050*('Assumptions'!$P$48+'Assumptions'!$Y$48)</x:f>
        <x:v>78.18112732848955</x:v>
      </x:c>
      <x:c r="X1050" s="10" t="n">
        <x:f>N1050/12*'Assumptions'!$AF$48</x:f>
        <x:v>1547.667214461936</x:v>
      </x:c>
      <x:c r="Y1050" s="10" t="n">
        <x:f>P1050/12</x:f>
        <x:v>6.73724578427798</x:v>
      </x:c>
      <x:c r="Z1050" s="10" t="n">
        <x:f>0</x:f>
        <x:v>0</x:v>
      </x:c>
      <x:c r="AA1050" s="10" t="n">
        <x:f>Z1050*'Assumptions'!$AC$48*'Assumptions'!$D$11*(1+'Assumptions'!$D$13)^(9-1)</x:f>
        <x:v>0</x:v>
      </x:c>
      <x:c r="AB1050" s="10" t="n">
        <x:f>F1050/1</x:f>
        <x:v>3.295714897442002</x:v>
      </x:c>
      <x:c r="AC1050" s="10" t="n">
        <x:f>AB1050/'Assumptions'!$AM$48</x:f>
        <x:v>16.478574487210008</x:v>
      </x:c>
      <x:c r="AD1050" s="10" t="n">
        <x:f>IF(AB1050=0,0,T1050/AB1050)</x:f>
        <x:v>225.4079269776407</x:v>
      </x:c>
      <x:c r="AE1050" s="10" t="n">
        <x:f>AA1050*'Assumptions'!$D$21</x:f>
        <x:v>0</x:v>
      </x:c>
    </x:row>
    <x:row r="1051" ht="16" customHeight="1">
      <x:c r="A1051" s="1"/>
      <x:c r="B1051" s="1"/>
      <x:c r="C1051" s="1" t="str">
        <x:v>DOT-020</x:v>
      </x:c>
      <x:c r="D1051" s="10" t="str">
        <x:v>BPA professional services</x:v>
      </x:c>
      <x:c r="E1051" s="10" t="n">
        <x:v>9</x:v>
      </x:c>
      <x:c r="F1051" s="21" t="n">
        <x:f>F923*(1+'Assumptions'!$M$49)</x:f>
        <x:v>4.943572346163002</x:v>
      </x:c>
      <x:c r="G1051" s="21" t="n">
        <x:f>H923*'Assumptions'!$K$49</x:f>
        <x:v>4.629626918550001</x:v>
      </x:c>
      <x:c r="H1051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1051+G1051,NA())</x:f>
        <x:v>9.573199264713004</x:v>
      </x:c>
      <x:c r="I1051" s="22" t="n">
        <x:f>'Assumptions'!$H$49*IF('Assumptions'!$O$49=1,1,'Assumptions'!$D$10)*(1+'Assumptions'!$N$49)^(9-1)</x:f>
        <x:v>1800</x:v>
      </x:c>
      <x:c r="J1051" s="10" t="n">
        <x:f>H1051*I1051</x:f>
        <x:v>17231.75867648341</x:v>
      </x:c>
      <x:c r="K1051" s="10" t="n">
        <x:f>J1051*'Assumptions'!$T$49</x:f>
        <x:v>17231.75867648341</x:v>
      </x:c>
      <x:c r="L1051" s="10" t="n">
        <x:f>K1051*'Assumptions'!$U$49</x:f>
        <x:v>516.9527602945022</x:v>
      </x:c>
      <x:c r="M1051" s="10" t="n">
        <x:f>K1051*'Assumptions'!$V$49</x:f>
        <x:v>0</x:v>
      </x:c>
      <x:c r="N1051" s="10" t="n">
        <x:f>K1051-L1051-M1051</x:f>
        <x:v>16714.805916188907</x:v>
      </x:c>
      <x:c r="O1051" s="10" t="n">
        <x:f>H1051*'Assumptions'!$P$49*'Assumptions'!$Q$49*'Assumptions'!$D$11*(1+'Assumptions'!$D$13)^(9-1)</x:f>
        <x:v>4365.73526821213</x:v>
      </x:c>
      <x:c r="P1051" s="10" t="n">
        <x:f>H1051*'Assumptions'!$R$49*'Assumptions'!$D$11*(1+'Assumptions'!$D$13)^(9-1)</x:f>
        <x:v>121.27042411700361</x:v>
      </x:c>
      <x:c r="Q1051" s="10" t="n">
        <x:f>J1051*'Assumptions'!$S$49</x:f>
        <x:v>0</x:v>
      </x:c>
      <x:c r="R1051" s="10" t="n">
        <x:f>H1051*'Assumptions'!$Y$49*'Assumptions'!$Z$49*'Assumptions'!$D$11*(1+'Assumptions'!$D$13)^(9-1)</x:f>
        <x:v>90.95281808775272</x:v>
      </x:c>
      <x:c r="S1051" s="10" t="n">
        <x:f>IF(I1051=0,0,J1051*'Assumptions'!$W$49+H1051*'Assumptions'!$X$49)</x:f>
        <x:v>502.59296139743276</x:v>
      </x:c>
      <x:c r="T1051" s="10" t="n">
        <x:f>N1051*'Assumptions'!$AA$49</x:f>
        <x:v>668.5922366475563</x:v>
      </x:c>
      <x:c r="U1051" s="10" t="n">
        <x:f>'Assumptions'!$AE$49*'Assumptions'!$D$11*(1+'Assumptions'!$D$13)^(9-1)</x:f>
        <x:v>0</x:v>
      </x:c>
      <x:c r="V1051" s="10" t="n">
        <x:f>0</x:f>
        <x:v>0</x:v>
      </x:c>
      <x:c r="W1051" s="10" t="n">
        <x:f>H1051*('Assumptions'!$P$49+'Assumptions'!$Y$49)</x:f>
        <x:v>59.832495404456274</x:v>
      </x:c>
      <x:c r="X1051" s="10" t="n">
        <x:f>N1051/12*'Assumptions'!$AF$49</x:f>
        <x:v>1392.9004930157423</x:v>
      </x:c>
      <x:c r="Y1051" s="10" t="n">
        <x:f>P1051/12</x:f>
        <x:v>10.105868676416968</x:v>
      </x:c>
      <x:c r="Z1051" s="10" t="n">
        <x:f>0</x:f>
        <x:v>0</x:v>
      </x:c>
      <x:c r="AA1051" s="10" t="n">
        <x:f>Z1051*'Assumptions'!$AC$49*'Assumptions'!$D$11*(1+'Assumptions'!$D$13)^(9-1)</x:f>
        <x:v>0</x:v>
      </x:c>
      <x:c r="AB1051" s="10" t="n">
        <x:f>F1051/1</x:f>
        <x:v>4.943572346163002</x:v>
      </x:c>
      <x:c r="AC1051" s="10" t="n">
        <x:f>AB1051/'Assumptions'!$AM$49</x:f>
        <x:v>24.71786173081501</x:v>
      </x:c>
      <x:c r="AD1051" s="10" t="n">
        <x:f>IF(AB1051=0,0,T1051/AB1051)</x:f>
        <x:v>135.24475618658442</x:v>
      </x:c>
      <x:c r="AE1051" s="10" t="n">
        <x:f>AA1051*'Assumptions'!$D$21</x:f>
        <x:v>0</x:v>
      </x:c>
    </x:row>
    <x:row r="1052" ht="16" customHeight="1">
      <x:c r="A1052" s="1"/>
      <x:c r="B1052" s="1"/>
      <x:c r="C1052" s="1" t="str">
        <x:v>DOT-021</x:v>
      </x:c>
      <x:c r="D1052" s="10" t="str">
        <x:v>BPA professional services</x:v>
      </x:c>
      <x:c r="E1052" s="10" t="n">
        <x:v>9</x:v>
      </x:c>
      <x:c r="F1052" s="21" t="n">
        <x:f>F924*(1+'Assumptions'!$M$50)</x:f>
        <x:v>3.295714897442002</x:v>
      </x:c>
      <x:c r="G1052" s="21" t="n">
        <x:f>H924*'Assumptions'!$K$50</x:f>
        <x:v>3.086417945700002</x:v>
      </x:c>
      <x:c r="H1052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1052+G1052,NA())</x:f>
        <x:v>6.382132843142004</x:v>
      </x:c>
      <x:c r="I1052" s="22" t="n">
        <x:f>'Assumptions'!$H$50*IF('Assumptions'!$O$50=1,1,'Assumptions'!$D$10)*(1+'Assumptions'!$N$50)^(9-1)</x:f>
        <x:v>4200</x:v>
      </x:c>
      <x:c r="J1052" s="10" t="n">
        <x:f>H1052*I1052</x:f>
        <x:v>26804.957941196415</x:v>
      </x:c>
      <x:c r="K1052" s="10" t="n">
        <x:f>J1052*'Assumptions'!$T$50</x:f>
        <x:v>26804.957941196415</x:v>
      </x:c>
      <x:c r="L1052" s="10" t="n">
        <x:f>K1052*'Assumptions'!$U$50</x:f>
        <x:v>804.1487382358924</x:v>
      </x:c>
      <x:c r="M1052" s="10" t="n">
        <x:f>K1052*'Assumptions'!$V$50</x:f>
        <x:v>0</x:v>
      </x:c>
      <x:c r="N1052" s="10" t="n">
        <x:f>K1052-L1052-M1052</x:f>
        <x:v>26000.80920296052</x:v>
      </x:c>
      <x:c r="O1052" s="10" t="n">
        <x:f>H1052*'Assumptions'!$P$50*'Assumptions'!$Q$50*'Assumptions'!$D$11*(1+'Assumptions'!$D$13)^(9-1)</x:f>
        <x:v>5820.980357616175</x:v>
      </x:c>
      <x:c r="P1052" s="10" t="n">
        <x:f>H1052*'Assumptions'!$R$50*'Assumptions'!$D$11*(1+'Assumptions'!$D$13)^(9-1)</x:f>
        <x:v>80.84694941133576</x:v>
      </x:c>
      <x:c r="Q1052" s="10" t="n">
        <x:f>J1052*'Assumptions'!$S$50</x:f>
        <x:v>0</x:v>
      </x:c>
      <x:c r="R1052" s="10" t="n">
        <x:f>H1052*'Assumptions'!$Y$50*'Assumptions'!$Z$50*'Assumptions'!$D$11*(1+'Assumptions'!$D$13)^(9-1)</x:f>
        <x:v>60.635212058501814</x:v>
      </x:c>
      <x:c r="S1052" s="10" t="n">
        <x:f>IF(I1052=0,0,J1052*'Assumptions'!$W$50+H1052*'Assumptions'!$X$50)</x:f>
        <x:v>779.2584201476387</x:v>
      </x:c>
      <x:c r="T1052" s="10" t="n">
        <x:f>N1052*'Assumptions'!$AA$50</x:f>
        <x:v>1040.032368118421</x:v>
      </x:c>
      <x:c r="U1052" s="10" t="n">
        <x:f>'Assumptions'!$AE$50*'Assumptions'!$D$11*(1+'Assumptions'!$D$13)^(9-1)</x:f>
        <x:v>0</x:v>
      </x:c>
      <x:c r="V1052" s="10" t="n">
        <x:f>0</x:f>
        <x:v>0</x:v>
      </x:c>
      <x:c r="W1052" s="10" t="n">
        <x:f>H1052*('Assumptions'!$P$50+'Assumptions'!$Y$50)</x:f>
        <x:v>78.18112732848955</x:v>
      </x:c>
      <x:c r="X1052" s="10" t="n">
        <x:f>N1052/12*'Assumptions'!$AF$50</x:f>
        <x:v>2166.73410024671</x:v>
      </x:c>
      <x:c r="Y1052" s="10" t="n">
        <x:f>P1052/12</x:f>
        <x:v>6.73724578427798</x:v>
      </x:c>
      <x:c r="Z1052" s="10" t="n">
        <x:f>0</x:f>
        <x:v>0</x:v>
      </x:c>
      <x:c r="AA1052" s="10" t="n">
        <x:f>Z1052*'Assumptions'!$AC$50*'Assumptions'!$D$11*(1+'Assumptions'!$D$13)^(9-1)</x:f>
        <x:v>0</x:v>
      </x:c>
      <x:c r="AB1052" s="10" t="n">
        <x:f>F1052/1</x:f>
        <x:v>3.295714897442002</x:v>
      </x:c>
      <x:c r="AC1052" s="10" t="n">
        <x:f>AB1052/'Assumptions'!$AM$50</x:f>
        <x:v>16.478574487210008</x:v>
      </x:c>
      <x:c r="AD1052" s="10" t="n">
        <x:f>IF(AB1052=0,0,T1052/AB1052)</x:f>
        <x:v>315.5710977686969</x:v>
      </x:c>
      <x:c r="AE1052" s="10" t="n">
        <x:f>AA1052*'Assumptions'!$D$21</x:f>
        <x:v>0</x:v>
      </x:c>
    </x:row>
    <x:row r="1053" ht="16" customHeight="1">
      <x:c r="A1053" s="1"/>
      <x:c r="B1053" s="1"/>
      <x:c r="C1053" s="1" t="str">
        <x:v>DOT-022</x:v>
      </x:c>
      <x:c r="D1053" s="10" t="str">
        <x:v>BPA professional services</x:v>
      </x:c>
      <x:c r="E1053" s="10" t="n">
        <x:v>9</x:v>
      </x:c>
      <x:c r="F1053" s="21" t="n">
        <x:f>F925*(1+'Assumptions'!$M$51)</x:f>
        <x:v>13.182859589768007</x:v>
      </x:c>
      <x:c r="G1053" s="21" t="n">
        <x:f>H925*'Assumptions'!$K$51</x:f>
        <x:v>12.345671782800007</x:v>
      </x:c>
      <x:c r="H1053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1053+G1053,NA())</x:f>
        <x:v>25.528531372568015</x:v>
      </x:c>
      <x:c r="I1053" s="22" t="n">
        <x:f>'Assumptions'!$H$51*IF('Assumptions'!$O$51=1,1,'Assumptions'!$D$10)*(1+'Assumptions'!$N$51)^(9-1)</x:f>
        <x:v>900</x:v>
      </x:c>
      <x:c r="J1053" s="10" t="n">
        <x:f>H1053*I1053</x:f>
        <x:v>22975.678235311214</x:v>
      </x:c>
      <x:c r="K1053" s="10" t="n">
        <x:f>J1053*'Assumptions'!$T$51</x:f>
        <x:v>22975.678235311214</x:v>
      </x:c>
      <x:c r="L1053" s="10" t="n">
        <x:f>K1053*'Assumptions'!$U$51</x:f>
        <x:v>689.2703470593364</x:v>
      </x:c>
      <x:c r="M1053" s="10" t="n">
        <x:f>K1053*'Assumptions'!$V$51</x:f>
        <x:v>0</x:v>
      </x:c>
      <x:c r="N1053" s="10" t="n">
        <x:f>K1053-L1053-M1053</x:f>
        <x:v>22286.407888251877</x:v>
      </x:c>
      <x:c r="O1053" s="10" t="n">
        <x:f>H1053*'Assumptions'!$P$51*'Assumptions'!$Q$51*'Assumptions'!$D$11*(1+'Assumptions'!$D$13)^(9-1)</x:f>
        <x:v>5820.980357616175</x:v>
      </x:c>
      <x:c r="P1053" s="10" t="n">
        <x:f>H1053*'Assumptions'!$R$51*'Assumptions'!$D$11*(1+'Assumptions'!$D$13)^(9-1)</x:f>
        <x:v>323.387797645343</x:v>
      </x:c>
      <x:c r="Q1053" s="10" t="n">
        <x:f>J1053*'Assumptions'!$S$51</x:f>
        <x:v>0</x:v>
      </x:c>
      <x:c r="R1053" s="10" t="n">
        <x:f>H1053*'Assumptions'!$Y$51*'Assumptions'!$Z$51*'Assumptions'!$D$11*(1+'Assumptions'!$D$13)^(9-1)</x:f>
        <x:v>242.54084823400726</x:v>
      </x:c>
      <x:c r="S1053" s="10" t="n">
        <x:f>IF(I1053=0,0,J1053*'Assumptions'!$W$51+H1053*'Assumptions'!$X$51)</x:f>
        <x:v>673.9532282357957</x:v>
      </x:c>
      <x:c r="T1053" s="10" t="n">
        <x:f>N1053*'Assumptions'!$AA$51</x:f>
        <x:v>891.4563155300751</x:v>
      </x:c>
      <x:c r="U1053" s="10" t="n">
        <x:f>'Assumptions'!$AE$51*'Assumptions'!$D$11*(1+'Assumptions'!$D$13)^(9-1)</x:f>
        <x:v>0</x:v>
      </x:c>
      <x:c r="V1053" s="10" t="n">
        <x:f>0</x:f>
        <x:v>0</x:v>
      </x:c>
      <x:c r="W1053" s="10" t="n">
        <x:f>H1053*('Assumptions'!$P$51+'Assumptions'!$Y$51)</x:f>
        <x:v>82.96772696084605</x:v>
      </x:c>
      <x:c r="X1053" s="10" t="n">
        <x:f>N1053/12*'Assumptions'!$AF$51</x:f>
        <x:v>1857.200657354323</x:v>
      </x:c>
      <x:c r="Y1053" s="10" t="n">
        <x:f>P1053/12</x:f>
        <x:v>26.94898313711192</x:v>
      </x:c>
      <x:c r="Z1053" s="10" t="n">
        <x:f>0</x:f>
        <x:v>0</x:v>
      </x:c>
      <x:c r="AA1053" s="10" t="n">
        <x:f>Z1053*'Assumptions'!$AC$51*'Assumptions'!$D$11*(1+'Assumptions'!$D$13)^(9-1)</x:f>
        <x:v>0</x:v>
      </x:c>
      <x:c r="AB1053" s="10" t="n">
        <x:f>F1053/1</x:f>
        <x:v>13.182859589768007</x:v>
      </x:c>
      <x:c r="AC1053" s="10" t="n">
        <x:f>AB1053/'Assumptions'!$AM$51</x:f>
        <x:v>65.91429794884003</x:v>
      </x:c>
      <x:c r="AD1053" s="10" t="n">
        <x:f>IF(AB1053=0,0,T1053/AB1053)</x:f>
        <x:v>67.6223780932922</x:v>
      </x:c>
      <x:c r="AE1053" s="10" t="n">
        <x:f>AA1053*'Assumptions'!$D$21</x:f>
        <x:v>0</x:v>
      </x:c>
    </x:row>
    <x:row r="1054" ht="16" customHeight="1">
      <x:c r="A1054" s="1"/>
      <x:c r="B1054" s="1"/>
      <x:c r="C1054" s="1" t="str">
        <x:v>DOT-023</x:v>
      </x:c>
      <x:c r="D1054" s="10" t="str">
        <x:v>BPA professional services</x:v>
      </x:c>
      <x:c r="E1054" s="10" t="n">
        <x:v>9</x:v>
      </x:c>
      <x:c r="F1054" s="21" t="n">
        <x:f>F926*(1+'Assumptions'!$M$52)</x:f>
        <x:v>8.239287243605002</x:v>
      </x:c>
      <x:c r="G1054" s="21" t="n">
        <x:f>H926*'Assumptions'!$K$52</x:f>
        <x:v>7.7160448642500015</x:v>
      </x:c>
      <x:c r="H1054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1054+G1054,NA())</x:f>
        <x:v>15.955332107855003</x:v>
      </x:c>
      <x:c r="I1054" s="22" t="n">
        <x:f>'Assumptions'!$H$52*IF('Assumptions'!$O$52=1,1,'Assumptions'!$D$10)*(1+'Assumptions'!$N$52)^(9-1)</x:f>
        <x:v>1800</x:v>
      </x:c>
      <x:c r="J1054" s="10" t="n">
        <x:f>H1054*I1054</x:f>
        <x:v>28719.597794139005</x:v>
      </x:c>
      <x:c r="K1054" s="10" t="n">
        <x:f>J1054*'Assumptions'!$T$52</x:f>
        <x:v>28719.597794139005</x:v>
      </x:c>
      <x:c r="L1054" s="10" t="n">
        <x:f>K1054*'Assumptions'!$U$52</x:f>
        <x:v>861.5879338241701</x:v>
      </x:c>
      <x:c r="M1054" s="10" t="n">
        <x:f>K1054*'Assumptions'!$V$52</x:f>
        <x:v>0</x:v>
      </x:c>
      <x:c r="N1054" s="10" t="n">
        <x:f>K1054-L1054-M1054</x:f>
        <x:v>27858.009860314836</x:v>
      </x:c>
      <x:c r="O1054" s="10" t="n">
        <x:f>H1054*'Assumptions'!$P$52*'Assumptions'!$Q$52*'Assumptions'!$D$11*(1+'Assumptions'!$D$13)^(9-1)</x:f>
        <x:v>7276.225447020216</x:v>
      </x:c>
      <x:c r="P1054" s="10" t="n">
        <x:f>H1054*'Assumptions'!$R$52*'Assumptions'!$D$11*(1+'Assumptions'!$D$13)^(9-1)</x:f>
        <x:v>202.1173735283393</x:v>
      </x:c>
      <x:c r="Q1054" s="10" t="n">
        <x:f>J1054*'Assumptions'!$S$52</x:f>
        <x:v>0</x:v>
      </x:c>
      <x:c r="R1054" s="10" t="n">
        <x:f>H1054*'Assumptions'!$Y$52*'Assumptions'!$Z$52*'Assumptions'!$D$11*(1+'Assumptions'!$D$13)^(9-1)</x:f>
        <x:v>151.58803014625448</x:v>
      </x:c>
      <x:c r="S1054" s="10" t="n">
        <x:f>IF(I1054=0,0,J1054*'Assumptions'!$W$52+H1054*'Assumptions'!$X$52)</x:f>
        <x:v>837.6549356623876</x:v>
      </x:c>
      <x:c r="T1054" s="10" t="n">
        <x:f>N1054*'Assumptions'!$AA$52</x:f>
        <x:v>1114.3203944125935</x:v>
      </x:c>
      <x:c r="U1054" s="10" t="n">
        <x:f>'Assumptions'!$AE$52*'Assumptions'!$D$11*(1+'Assumptions'!$D$13)^(9-1)</x:f>
        <x:v>0</x:v>
      </x:c>
      <x:c r="V1054" s="10" t="n">
        <x:f>0</x:f>
        <x:v>0</x:v>
      </x:c>
      <x:c r="W1054" s="10" t="n">
        <x:f>H1054*('Assumptions'!$P$52+'Assumptions'!$Y$52)</x:f>
        <x:v>99.72082567409377</x:v>
      </x:c>
      <x:c r="X1054" s="10" t="n">
        <x:f>N1054/12*'Assumptions'!$AF$52</x:f>
        <x:v>2321.500821692903</x:v>
      </x:c>
      <x:c r="Y1054" s="10" t="n">
        <x:f>P1054/12</x:f>
        <x:v>16.84311446069494</x:v>
      </x:c>
      <x:c r="Z1054" s="10" t="n">
        <x:f>0</x:f>
        <x:v>0</x:v>
      </x:c>
      <x:c r="AA1054" s="10" t="n">
        <x:f>Z1054*'Assumptions'!$AC$52*'Assumptions'!$D$11*(1+'Assumptions'!$D$13)^(9-1)</x:f>
        <x:v>0</x:v>
      </x:c>
      <x:c r="AB1054" s="10" t="n">
        <x:f>F1054/1</x:f>
        <x:v>8.239287243605002</x:v>
      </x:c>
      <x:c r="AC1054" s="10" t="n">
        <x:f>AB1054/'Assumptions'!$AM$52</x:f>
        <x:v>41.196436218025006</x:v>
      </x:c>
      <x:c r="AD1054" s="10" t="n">
        <x:f>IF(AB1054=0,0,T1054/AB1054)</x:f>
        <x:v>135.2447561865844</x:v>
      </x:c>
      <x:c r="AE1054" s="10" t="n">
        <x:f>AA1054*'Assumptions'!$D$21</x:f>
        <x:v>0</x:v>
      </x:c>
    </x:row>
    <x:row r="1055" ht="16" customHeight="1">
      <x:c r="A1055" s="1"/>
      <x:c r="B1055" s="1"/>
      <x:c r="C1055" s="1" t="str">
        <x:v>DOT-024</x:v>
      </x:c>
      <x:c r="D1055" s="10" t="str">
        <x:v>BPA professional services</x:v>
      </x:c>
      <x:c r="E1055" s="10" t="n">
        <x:v>9</x:v>
      </x:c>
      <x:c r="F1055" s="21" t="n">
        <x:f>F927*(1+'Assumptions'!$M$53)</x:f>
        <x:v>41.19643621802503</x:v>
      </x:c>
      <x:c r="G1055" s="21" t="n">
        <x:f>H927*'Assumptions'!$K$53</x:f>
        <x:v>38.53139619625002</x:v>
      </x:c>
      <x:c r="H1055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1055+G1055,NA())</x:f>
        <x:v>79.72783241427504</x:v>
      </x:c>
      <x:c r="I1055" s="22" t="n">
        <x:f>'Assumptions'!$H$53*IF('Assumptions'!$O$53=1,1,'Assumptions'!$D$10)*(1+'Assumptions'!$N$53)^(9-1)</x:f>
        <x:v>540</x:v>
      </x:c>
      <x:c r="J1055" s="10" t="n">
        <x:f>H1055*I1055</x:f>
        <x:v>43053.02950370852</x:v>
      </x:c>
      <x:c r="K1055" s="10" t="n">
        <x:f>J1055*'Assumptions'!$T$53</x:f>
        <x:v>43053.02950370852</x:v>
      </x:c>
      <x:c r="L1055" s="10" t="n">
        <x:f>K1055*'Assumptions'!$U$53</x:f>
        <x:v>1291.5908851112556</x:v>
      </x:c>
      <x:c r="M1055" s="10" t="n">
        <x:f>K1055*'Assumptions'!$V$53</x:f>
        <x:v>0</x:v>
      </x:c>
      <x:c r="N1055" s="10" t="n">
        <x:f>K1055-L1055-M1055</x:f>
        <x:v>41761.43861859727</x:v>
      </x:c>
      <x:c r="O1055" s="10" t="n">
        <x:f>H1055*'Assumptions'!$P$53*'Assumptions'!$Q$53*'Assumptions'!$D$11*(1+'Assumptions'!$D$13)^(9-1)</x:f>
        <x:v>12119.619930754732</x:v>
      </x:c>
      <x:c r="P1055" s="10" t="n">
        <x:f>H1055*'Assumptions'!$R$53*'Assumptions'!$D$11*(1+'Assumptions'!$D$13)^(9-1)</x:f>
        <x:v>1009.9683275628944</x:v>
      </x:c>
      <x:c r="Q1055" s="10" t="n">
        <x:f>J1055*'Assumptions'!$S$53</x:f>
        <x:v>0</x:v>
      </x:c>
      <x:c r="R1055" s="10" t="n">
        <x:f>H1055*'Assumptions'!$Y$53*'Assumptions'!$Z$53*'Assumptions'!$D$11*(1+'Assumptions'!$D$13)^(9-1)</x:f>
        <x:v>757.4762456721708</x:v>
      </x:c>
      <x:c r="S1055" s="10" t="n">
        <x:f>IF(I1055=0,0,J1055*'Assumptions'!$W$53+H1055*'Assumptions'!$X$53)</x:f>
        <x:v>1272.4562053318298</x:v>
      </x:c>
      <x:c r="T1055" s="10" t="n">
        <x:f>N1055*'Assumptions'!$AA$53</x:f>
        <x:v>1670.4575447438908</x:v>
      </x:c>
      <x:c r="U1055" s="10" t="n">
        <x:f>'Assumptions'!$AE$53*'Assumptions'!$D$11*(1+'Assumptions'!$D$13)^(9-1)</x:f>
        <x:v>0</x:v>
      </x:c>
      <x:c r="V1055" s="10" t="n">
        <x:f>0</x:f>
        <x:v>0</x:v>
      </x:c>
      <x:c r="W1055" s="10" t="n">
        <x:f>H1055*('Assumptions'!$P$53+'Assumptions'!$Y$53)</x:f>
        <x:v>179.38762293211886</x:v>
      </x:c>
      <x:c r="X1055" s="10" t="n">
        <x:f>N1055/12*'Assumptions'!$AF$53</x:f>
        <x:v>3480.119884883106</x:v>
      </x:c>
      <x:c r="Y1055" s="10" t="n">
        <x:f>P1055/12</x:f>
        <x:v>84.16402729690786</x:v>
      </x:c>
      <x:c r="Z1055" s="10" t="n">
        <x:f>0</x:f>
        <x:v>0</x:v>
      </x:c>
      <x:c r="AA1055" s="10" t="n">
        <x:f>Z1055*'Assumptions'!$AC$53*'Assumptions'!$D$11*(1+'Assumptions'!$D$13)^(9-1)</x:f>
        <x:v>0</x:v>
      </x:c>
      <x:c r="AB1055" s="10" t="n">
        <x:f>F1055/1</x:f>
        <x:v>41.19643621802503</x:v>
      </x:c>
      <x:c r="AC1055" s="10" t="n">
        <x:f>AB1055/'Assumptions'!$AM$53</x:f>
        <x:v>205.98218109012512</x:v>
      </x:c>
      <x:c r="AD1055" s="10" t="n">
        <x:f>IF(AB1055=0,0,T1055/AB1055)</x:f>
        <x:v>40.548593473068465</x:v>
      </x:c>
      <x:c r="AE1055" s="10" t="n">
        <x:f>AA1055*'Assumptions'!$D$21</x:f>
        <x:v>0</x:v>
      </x:c>
    </x:row>
    <x:row r="1056" ht="16" customHeight="1">
      <x:c r="A1056" s="1"/>
      <x:c r="B1056" s="1"/>
      <x:c r="C1056" s="1" t="str">
        <x:v>DOT-025</x:v>
      </x:c>
      <x:c r="D1056" s="10" t="str">
        <x:v>BPA professional services</x:v>
      </x:c>
      <x:c r="E1056" s="10" t="n">
        <x:v>9</x:v>
      </x:c>
      <x:c r="F1056" s="21" t="n">
        <x:f>F928*(1+'Assumptions'!$M$54)</x:f>
        <x:v>16.478574487210004</x:v>
      </x:c>
      <x:c r="G1056" s="21" t="n">
        <x:f>H928*'Assumptions'!$K$54</x:f>
        <x:v>15.412558478500003</x:v>
      </x:c>
      <x:c r="H1056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1056+G1056,NA())</x:f>
        <x:v>31.891132965710007</x:v>
      </x:c>
      <x:c r="I1056" s="22" t="n">
        <x:f>'Assumptions'!$H$54*IF('Assumptions'!$O$54=1,1,'Assumptions'!$D$10)*(1+'Assumptions'!$N$54)^(9-1)</x:f>
        <x:v>1020</x:v>
      </x:c>
      <x:c r="J1056" s="10" t="n">
        <x:f>H1056*I1056</x:f>
        <x:v>32528.955625024206</x:v>
      </x:c>
      <x:c r="K1056" s="10" t="n">
        <x:f>J1056*'Assumptions'!$T$54</x:f>
        <x:v>32528.955625024206</x:v>
      </x:c>
      <x:c r="L1056" s="10" t="n">
        <x:f>K1056*'Assumptions'!$U$54</x:f>
        <x:v>975.8686687507261</x:v>
      </x:c>
      <x:c r="M1056" s="10" t="n">
        <x:f>K1056*'Assumptions'!$V$54</x:f>
        <x:v>0</x:v>
      </x:c>
      <x:c r="N1056" s="10" t="n">
        <x:f>K1056-L1056-M1056</x:f>
        <x:v>31553.08695627348</x:v>
      </x:c>
      <x:c r="O1056" s="10" t="n">
        <x:f>H1056*'Assumptions'!$P$54*'Assumptions'!$Q$54*'Assumptions'!$D$11*(1+'Assumptions'!$D$13)^(9-1)</x:f>
        <x:v>12119.619930754727</x:v>
      </x:c>
      <x:c r="P1056" s="10" t="n">
        <x:f>H1056*'Assumptions'!$R$54*'Assumptions'!$D$11*(1+'Assumptions'!$D$13)^(9-1)</x:f>
        <x:v>403.9873310251576</x:v>
      </x:c>
      <x:c r="Q1056" s="10" t="n">
        <x:f>J1056*'Assumptions'!$S$54</x:f>
        <x:v>0</x:v>
      </x:c>
      <x:c r="R1056" s="10" t="n">
        <x:f>H1056*'Assumptions'!$Y$54*'Assumptions'!$Z$54*'Assumptions'!$D$11*(1+'Assumptions'!$D$13)^(9-1)</x:f>
        <x:v>302.9904982688682</x:v>
      </x:c>
      <x:c r="S1056" s="10" t="n">
        <x:f>IF(I1056=0,0,J1056*'Assumptions'!$W$54+H1056*'Assumptions'!$X$54)</x:f>
        <x:v>952.907053015415</x:v>
      </x:c>
      <x:c r="T1056" s="10" t="n">
        <x:f>N1056*'Assumptions'!$AA$54</x:f>
        <x:v>1262.1234782509393</x:v>
      </x:c>
      <x:c r="U1056" s="10" t="n">
        <x:f>'Assumptions'!$AE$54*'Assumptions'!$D$11*(1+'Assumptions'!$D$13)^(9-1)</x:f>
        <x:v>0</x:v>
      </x:c>
      <x:c r="V1056" s="10" t="n">
        <x:f>0</x:f>
        <x:v>0</x:v>
      </x:c>
      <x:c r="W1056" s="10" t="n">
        <x:f>H1056*('Assumptions'!$P$54+'Assumptions'!$Y$54)</x:f>
        <x:v>167.42844806997755</x:v>
      </x:c>
      <x:c r="X1056" s="10" t="n">
        <x:f>N1056/12*'Assumptions'!$AF$54</x:f>
        <x:v>2629.42391302279</x:v>
      </x:c>
      <x:c r="Y1056" s="10" t="n">
        <x:f>P1056/12</x:f>
        <x:v>33.66561091876313</x:v>
      </x:c>
      <x:c r="Z1056" s="10" t="n">
        <x:f>0</x:f>
        <x:v>0</x:v>
      </x:c>
      <x:c r="AA1056" s="10" t="n">
        <x:f>Z1056*'Assumptions'!$AC$54*'Assumptions'!$D$11*(1+'Assumptions'!$D$13)^(9-1)</x:f>
        <x:v>0</x:v>
      </x:c>
      <x:c r="AB1056" s="10" t="n">
        <x:f>F1056/1</x:f>
        <x:v>16.478574487210004</x:v>
      </x:c>
      <x:c r="AC1056" s="10" t="n">
        <x:f>AB1056/'Assumptions'!$AM$54</x:f>
        <x:v>82.39287243605001</x:v>
      </x:c>
      <x:c r="AD1056" s="10" t="n">
        <x:f>IF(AB1056=0,0,T1056/AB1056)</x:f>
        <x:v>76.59178767135155</x:v>
      </x:c>
      <x:c r="AE1056" s="10" t="n">
        <x:f>AA1056*'Assumptions'!$D$21</x:f>
        <x:v>0</x:v>
      </x:c>
    </x:row>
    <x:row r="1057" ht="16" customHeight="1">
      <x:c r="A1057" s="1"/>
      <x:c r="B1057" s="1"/>
      <x:c r="C1057" s="1" t="str">
        <x:v>DOT-026</x:v>
      </x:c>
      <x:c r="D1057" s="10" t="str">
        <x:v>BPA professional services</x:v>
      </x:c>
      <x:c r="E1057" s="10" t="n">
        <x:v>9</x:v>
      </x:c>
      <x:c r="F1057" s="21" t="n">
        <x:f>F929*(1+'Assumptions'!$M$55)</x:f>
        <x:v>6.591429794884004</x:v>
      </x:c>
      <x:c r="G1057" s="21" t="n">
        <x:f>H929*'Assumptions'!$K$55</x:f>
        <x:v>6.165023391400004</x:v>
      </x:c>
      <x:c r="H1057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1057+G1057,NA())</x:f>
        <x:v>12.756453186284007</x:v>
      </x:c>
      <x:c r="I1057" s="22" t="n">
        <x:f>'Assumptions'!$H$55*IF('Assumptions'!$O$55=1,1,'Assumptions'!$D$10)*(1+'Assumptions'!$N$55)^(9-1)</x:f>
        <x:v>1800</x:v>
      </x:c>
      <x:c r="J1057" s="10" t="n">
        <x:f>H1057*I1057</x:f>
        <x:v>22961.615735311214</x:v>
      </x:c>
      <x:c r="K1057" s="10" t="n">
        <x:f>J1057*'Assumptions'!$T$55</x:f>
        <x:v>22961.615735311214</x:v>
      </x:c>
      <x:c r="L1057" s="10" t="n">
        <x:f>K1057*'Assumptions'!$U$55</x:f>
        <x:v>688.8484720593364</x:v>
      </x:c>
      <x:c r="M1057" s="10" t="n">
        <x:f>K1057*'Assumptions'!$V$55</x:f>
        <x:v>0</x:v>
      </x:c>
      <x:c r="N1057" s="10" t="n">
        <x:f>K1057-L1057-M1057</x:f>
        <x:v>22272.767263251877</x:v>
      </x:c>
      <x:c r="O1057" s="10" t="n">
        <x:f>H1057*'Assumptions'!$P$55*'Assumptions'!$Q$55*'Assumptions'!$D$11*(1+'Assumptions'!$D$13)^(9-1)</x:f>
        <x:v>9695.695944603785</x:v>
      </x:c>
      <x:c r="P1057" s="10" t="n">
        <x:f>H1057*'Assumptions'!$R$55*'Assumptions'!$D$11*(1+'Assumptions'!$D$13)^(9-1)</x:f>
        <x:v>161.5949324100631</x:v>
      </x:c>
      <x:c r="Q1057" s="10" t="n">
        <x:f>J1057*'Assumptions'!$S$55</x:f>
        <x:v>0</x:v>
      </x:c>
      <x:c r="R1057" s="10" t="n">
        <x:f>H1057*'Assumptions'!$Y$55*'Assumptions'!$Z$55*'Assumptions'!$D$11*(1+'Assumptions'!$D$13)^(9-1)</x:f>
        <x:v>121.19619930754733</x:v>
      </x:c>
      <x:c r="S1057" s="10" t="n">
        <x:f>IF(I1057=0,0,J1057*'Assumptions'!$W$55+H1057*'Assumptions'!$X$55)</x:f>
        <x:v>669.7137922799104</x:v>
      </x:c>
      <x:c r="T1057" s="10" t="n">
        <x:f>N1057*'Assumptions'!$AA$55</x:f>
        <x:v>890.910690530075</x:v>
      </x:c>
      <x:c r="U1057" s="10" t="n">
        <x:f>'Assumptions'!$AE$55*'Assumptions'!$D$11*(1+'Assumptions'!$D$13)^(9-1)</x:f>
        <x:v>0</x:v>
      </x:c>
      <x:c r="V1057" s="10" t="n">
        <x:f>0</x:f>
        <x:v>0</x:v>
      </x:c>
      <x:c r="W1057" s="10" t="n">
        <x:f>H1057*('Assumptions'!$P$55+'Assumptions'!$Y$55)</x:f>
        <x:v>130.75364515941106</x:v>
      </x:c>
      <x:c r="X1057" s="10" t="n">
        <x:f>N1057/12*'Assumptions'!$AF$55</x:f>
        <x:v>1856.063938604323</x:v>
      </x:c>
      <x:c r="Y1057" s="10" t="n">
        <x:f>P1057/12</x:f>
        <x:v>13.46624436750526</x:v>
      </x:c>
      <x:c r="Z1057" s="10" t="n">
        <x:f>0</x:f>
        <x:v>0</x:v>
      </x:c>
      <x:c r="AA1057" s="10" t="n">
        <x:f>Z1057*'Assumptions'!$AC$55*'Assumptions'!$D$11*(1+'Assumptions'!$D$13)^(9-1)</x:f>
        <x:v>0</x:v>
      </x:c>
      <x:c r="AB1057" s="10" t="n">
        <x:f>F1057/1</x:f>
        <x:v>6.591429794884004</x:v>
      </x:c>
      <x:c r="AC1057" s="10" t="n">
        <x:f>AB1057/'Assumptions'!$AM$55</x:f>
        <x:v>32.957148974420015</x:v>
      </x:c>
      <x:c r="AD1057" s="10" t="n">
        <x:f>IF(AB1057=0,0,T1057/AB1057)</x:f>
        <x:v>135.16197824356155</x:v>
      </x:c>
      <x:c r="AE1057" s="10" t="n">
        <x:f>AA1057*'Assumptions'!$D$21</x:f>
        <x:v>0</x:v>
      </x:c>
    </x:row>
    <x:row r="1058" ht="16" customHeight="1">
      <x:c r="A1058" s="1"/>
      <x:c r="B1058" s="1"/>
      <x:c r="C1058" s="1" t="str">
        <x:v>DOT-027</x:v>
      </x:c>
      <x:c r="D1058" s="10" t="str">
        <x:v>BPA professional services</x:v>
      </x:c>
      <x:c r="E1058" s="10" t="n">
        <x:v>9</x:v>
      </x:c>
      <x:c r="F1058" s="21" t="n">
        <x:f>F930*(1+'Assumptions'!$M$56)</x:f>
        <x:v>6.591429794884004</x:v>
      </x:c>
      <x:c r="G1058" s="21" t="n">
        <x:f>H930*'Assumptions'!$K$56</x:f>
        <x:v>6.165023391400004</x:v>
      </x:c>
      <x:c r="H1058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1058+G1058,NA())</x:f>
        <x:v>12.756453186284007</x:v>
      </x:c>
      <x:c r="I1058" s="22" t="n">
        <x:f>'Assumptions'!$H$56*IF('Assumptions'!$O$56=1,1,'Assumptions'!$D$10)*(1+'Assumptions'!$N$56)^(9-1)</x:f>
        <x:v>1800</x:v>
      </x:c>
      <x:c r="J1058" s="10" t="n">
        <x:f>H1058*I1058</x:f>
        <x:v>22961.615735311214</x:v>
      </x:c>
      <x:c r="K1058" s="10" t="n">
        <x:f>J1058*'Assumptions'!$T$56</x:f>
        <x:v>22961.615735311214</x:v>
      </x:c>
      <x:c r="L1058" s="10" t="n">
        <x:f>K1058*'Assumptions'!$U$56</x:f>
        <x:v>688.8484720593364</x:v>
      </x:c>
      <x:c r="M1058" s="10" t="n">
        <x:f>K1058*'Assumptions'!$V$56</x:f>
        <x:v>0</x:v>
      </x:c>
      <x:c r="N1058" s="10" t="n">
        <x:f>K1058-L1058-M1058</x:f>
        <x:v>22272.767263251877</x:v>
      </x:c>
      <x:c r="O1058" s="10" t="n">
        <x:f>H1058*'Assumptions'!$P$56*'Assumptions'!$Q$56*'Assumptions'!$D$11*(1+'Assumptions'!$D$13)^(9-1)</x:f>
        <x:v>9695.695944603785</x:v>
      </x:c>
      <x:c r="P1058" s="10" t="n">
        <x:f>H1058*'Assumptions'!$R$56*'Assumptions'!$D$11*(1+'Assumptions'!$D$13)^(9-1)</x:f>
        <x:v>161.5949324100631</x:v>
      </x:c>
      <x:c r="Q1058" s="10" t="n">
        <x:f>J1058*'Assumptions'!$S$56</x:f>
        <x:v>0</x:v>
      </x:c>
      <x:c r="R1058" s="10" t="n">
        <x:f>H1058*'Assumptions'!$Y$56*'Assumptions'!$Z$56*'Assumptions'!$D$11*(1+'Assumptions'!$D$13)^(9-1)</x:f>
        <x:v>121.19619930754733</x:v>
      </x:c>
      <x:c r="S1058" s="10" t="n">
        <x:f>IF(I1058=0,0,J1058*'Assumptions'!$W$56+H1058*'Assumptions'!$X$56)</x:f>
        <x:v>669.7137922799104</x:v>
      </x:c>
      <x:c r="T1058" s="10" t="n">
        <x:f>N1058*'Assumptions'!$AA$56</x:f>
        <x:v>890.910690530075</x:v>
      </x:c>
      <x:c r="U1058" s="10" t="n">
        <x:f>'Assumptions'!$AE$56*'Assumptions'!$D$11*(1+'Assumptions'!$D$13)^(9-1)</x:f>
        <x:v>0</x:v>
      </x:c>
      <x:c r="V1058" s="10" t="n">
        <x:f>0</x:f>
        <x:v>0</x:v>
      </x:c>
      <x:c r="W1058" s="10" t="n">
        <x:f>H1058*('Assumptions'!$P$56+'Assumptions'!$Y$56)</x:f>
        <x:v>130.75364515941106</x:v>
      </x:c>
      <x:c r="X1058" s="10" t="n">
        <x:f>N1058/12*'Assumptions'!$AF$56</x:f>
        <x:v>1856.063938604323</x:v>
      </x:c>
      <x:c r="Y1058" s="10" t="n">
        <x:f>P1058/12</x:f>
        <x:v>13.46624436750526</x:v>
      </x:c>
      <x:c r="Z1058" s="10" t="n">
        <x:f>0</x:f>
        <x:v>0</x:v>
      </x:c>
      <x:c r="AA1058" s="10" t="n">
        <x:f>Z1058*'Assumptions'!$AC$56*'Assumptions'!$D$11*(1+'Assumptions'!$D$13)^(9-1)</x:f>
        <x:v>0</x:v>
      </x:c>
      <x:c r="AB1058" s="10" t="n">
        <x:f>F1058/1</x:f>
        <x:v>6.591429794884004</x:v>
      </x:c>
      <x:c r="AC1058" s="10" t="n">
        <x:f>AB1058/'Assumptions'!$AM$56</x:f>
        <x:v>32.957148974420015</x:v>
      </x:c>
      <x:c r="AD1058" s="10" t="n">
        <x:f>IF(AB1058=0,0,T1058/AB1058)</x:f>
        <x:v>135.16197824356155</x:v>
      </x:c>
      <x:c r="AE1058" s="10" t="n">
        <x:f>AA1058*'Assumptions'!$D$21</x:f>
        <x:v>0</x:v>
      </x:c>
    </x:row>
    <x:row r="1059" ht="16" customHeight="1">
      <x:c r="A1059" s="1"/>
      <x:c r="B1059" s="1"/>
      <x:c r="C1059" s="1" t="str">
        <x:v>DOT-028</x:v>
      </x:c>
      <x:c r="D1059" s="10" t="str">
        <x:v>BPA professional services</x:v>
      </x:c>
      <x:c r="E1059" s="10" t="n">
        <x:v>9</x:v>
      </x:c>
      <x:c r="F1059" s="21" t="n">
        <x:f>F931*(1+'Assumptions'!$M$57)</x:f>
        <x:v>3.295714897442002</x:v>
      </x:c>
      <x:c r="G1059" s="21" t="n">
        <x:f>H931*'Assumptions'!$K$57</x:f>
        <x:v>3.082511695700002</x:v>
      </x:c>
      <x:c r="H1059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1059+G1059,NA())</x:f>
        <x:v>6.378226593142004</x:v>
      </x:c>
      <x:c r="I1059" s="22" t="n">
        <x:f>'Assumptions'!$H$57*IF('Assumptions'!$O$57=1,1,'Assumptions'!$D$10)*(1+'Assumptions'!$N$57)^(9-1)</x:f>
        <x:v>1800</x:v>
      </x:c>
      <x:c r="J1059" s="10" t="n">
        <x:f>H1059*I1059</x:f>
        <x:v>11480.807867655607</x:v>
      </x:c>
      <x:c r="K1059" s="10" t="n">
        <x:f>J1059*'Assumptions'!$T$57</x:f>
        <x:v>11480.807867655607</x:v>
      </x:c>
      <x:c r="L1059" s="10" t="n">
        <x:f>K1059*'Assumptions'!$U$57</x:f>
        <x:v>344.4242360296682</x:v>
      </x:c>
      <x:c r="M1059" s="10" t="n">
        <x:f>K1059*'Assumptions'!$V$57</x:f>
        <x:v>0</x:v>
      </x:c>
      <x:c r="N1059" s="10" t="n">
        <x:f>K1059-L1059-M1059</x:f>
        <x:v>11136.383631625939</x:v>
      </x:c>
      <x:c r="O1059" s="10" t="n">
        <x:f>H1059*'Assumptions'!$P$57*'Assumptions'!$Q$57*'Assumptions'!$D$11*(1+'Assumptions'!$D$13)^(9-1)</x:f>
        <x:v>5817.417566762272</x:v>
      </x:c>
      <x:c r="P1059" s="10" t="n">
        <x:f>H1059*'Assumptions'!$R$57*'Assumptions'!$D$11*(1+'Assumptions'!$D$13)^(9-1)</x:f>
        <x:v>80.79746620503155</x:v>
      </x:c>
      <x:c r="Q1059" s="10" t="n">
        <x:f>J1059*'Assumptions'!$S$57</x:f>
        <x:v>0</x:v>
      </x:c>
      <x:c r="R1059" s="10" t="n">
        <x:f>H1059*'Assumptions'!$Y$57*'Assumptions'!$Z$57*'Assumptions'!$D$11*(1+'Assumptions'!$D$13)^(9-1)</x:f>
        <x:v>60.598099653773666</x:v>
      </x:c>
      <x:c r="S1059" s="10" t="n">
        <x:f>IF(I1059=0,0,J1059*'Assumptions'!$W$57+H1059*'Assumptions'!$X$57)</x:f>
        <x:v>334.8568961399552</x:v>
      </x:c>
      <x:c r="T1059" s="10" t="n">
        <x:f>N1059*'Assumptions'!$AA$57</x:f>
        <x:v>445.4553452650375</x:v>
      </x:c>
      <x:c r="U1059" s="10" t="n">
        <x:f>'Assumptions'!$AE$57*'Assumptions'!$D$11*(1+'Assumptions'!$D$13)^(9-1)</x:f>
        <x:v>0</x:v>
      </x:c>
      <x:c r="V1059" s="10" t="n">
        <x:f>0</x:f>
        <x:v>0</x:v>
      </x:c>
      <x:c r="W1059" s="10" t="n">
        <x:f>H1059*('Assumptions'!$P$57+'Assumptions'!$Y$57)</x:f>
        <x:v>78.13327576598955</x:v>
      </x:c>
      <x:c r="X1059" s="10" t="n">
        <x:f>N1059/12*'Assumptions'!$AF$57</x:f>
        <x:v>928.0319693021615</x:v>
      </x:c>
      <x:c r="Y1059" s="10" t="n">
        <x:f>P1059/12</x:f>
        <x:v>6.73312218375263</x:v>
      </x:c>
      <x:c r="Z1059" s="10" t="n">
        <x:f>0</x:f>
        <x:v>0</x:v>
      </x:c>
      <x:c r="AA1059" s="10" t="n">
        <x:f>Z1059*'Assumptions'!$AC$57*'Assumptions'!$D$11*(1+'Assumptions'!$D$13)^(9-1)</x:f>
        <x:v>0</x:v>
      </x:c>
      <x:c r="AB1059" s="10" t="n">
        <x:f>F1059/1</x:f>
        <x:v>3.295714897442002</x:v>
      </x:c>
      <x:c r="AC1059" s="10" t="n">
        <x:f>AB1059/'Assumptions'!$AM$57</x:f>
        <x:v>16.478574487210008</x:v>
      </x:c>
      <x:c r="AD1059" s="10" t="n">
        <x:f>IF(AB1059=0,0,T1059/AB1059)</x:f>
        <x:v>135.16197824356155</x:v>
      </x:c>
      <x:c r="AE1059" s="10" t="n">
        <x:f>AA1059*'Assumptions'!$D$21</x:f>
        <x:v>0</x:v>
      </x:c>
    </x:row>
    <x:row r="1060" ht="16" customHeight="1">
      <x:c r="A1060" s="1"/>
      <x:c r="B1060" s="1"/>
      <x:c r="C1060" s="1" t="str">
        <x:v>DOT-029</x:v>
      </x:c>
      <x:c r="D1060" s="10" t="str">
        <x:v>BPA professional services</x:v>
      </x:c>
      <x:c r="E1060" s="10" t="n">
        <x:v>9</x:v>
      </x:c>
      <x:c r="F1060" s="21" t="n">
        <x:f>F932*(1+'Assumptions'!$M$58)</x:f>
        <x:v>32.95714897442001</x:v>
      </x:c>
      <x:c r="G1060" s="21" t="n">
        <x:f>H932*'Assumptions'!$K$58</x:f>
        <x:v>30.825116957000006</x:v>
      </x:c>
      <x:c r="H1060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1060+G1060,NA())</x:f>
        <x:v>63.782265931420014</x:v>
      </x:c>
      <x:c r="I1060" s="22" t="n">
        <x:f>'Assumptions'!$H$58*IF('Assumptions'!$O$58=1,1,'Assumptions'!$D$10)*(1+'Assumptions'!$N$58)^(9-1)</x:f>
        <x:v>180</x:v>
      </x:c>
      <x:c r="J1060" s="10" t="n">
        <x:f>H1060*I1060</x:f>
        <x:v>11480.807867655603</x:v>
      </x:c>
      <x:c r="K1060" s="10" t="n">
        <x:f>J1060*'Assumptions'!$T$58</x:f>
        <x:v>11480.807867655603</x:v>
      </x:c>
      <x:c r="L1060" s="10" t="n">
        <x:f>K1060*'Assumptions'!$U$58</x:f>
        <x:v>344.42423602966807</x:v>
      </x:c>
      <x:c r="M1060" s="10" t="n">
        <x:f>K1060*'Assumptions'!$V$58</x:f>
        <x:v>0</x:v>
      </x:c>
      <x:c r="N1060" s="10" t="n">
        <x:f>K1060-L1060-M1060</x:f>
        <x:v>11136.383631625935</x:v>
      </x:c>
      <x:c r="O1060" s="10" t="n">
        <x:f>H1060*'Assumptions'!$P$58*'Assumptions'!$Q$58*'Assumptions'!$D$11*(1+'Assumptions'!$D$13)^(9-1)</x:f>
        <x:v>4847.847972301891</x:v>
      </x:c>
      <x:c r="P1060" s="10" t="n">
        <x:f>H1060*'Assumptions'!$R$58*'Assumptions'!$D$11*(1+'Assumptions'!$D$13)^(9-1)</x:f>
        <x:v>807.9746620503151</x:v>
      </x:c>
      <x:c r="Q1060" s="10" t="n">
        <x:f>J1060*'Assumptions'!$S$58</x:f>
        <x:v>0</x:v>
      </x:c>
      <x:c r="R1060" s="10" t="n">
        <x:f>H1060*'Assumptions'!$Y$58*'Assumptions'!$Z$58*'Assumptions'!$D$11*(1+'Assumptions'!$D$13)^(9-1)</x:f>
        <x:v>605.9809965377364</x:v>
      </x:c>
      <x:c r="S1060" s="10" t="n">
        <x:f>IF(I1060=0,0,J1060*'Assumptions'!$W$58+H1060*'Assumptions'!$X$58)</x:f>
        <x:v>352.07810794143853</x:v>
      </x:c>
      <x:c r="T1060" s="10" t="n">
        <x:f>N1060*'Assumptions'!$AA$58</x:f>
        <x:v>445.4553452650374</x:v>
      </x:c>
      <x:c r="U1060" s="10" t="n">
        <x:f>'Assumptions'!$AE$58*'Assumptions'!$D$11*(1+'Assumptions'!$D$13)^(9-1)</x:f>
        <x:v>0</x:v>
      </x:c>
      <x:c r="V1060" s="10" t="n">
        <x:f>0</x:f>
        <x:v>0</x:v>
      </x:c>
      <x:c r="W1060" s="10" t="n">
        <x:f>H1060*('Assumptions'!$P$58+'Assumptions'!$Y$58)</x:f>
        <x:v>79.72783241427501</x:v>
      </x:c>
      <x:c r="X1060" s="10" t="n">
        <x:f>N1060/12*'Assumptions'!$AF$58</x:f>
        <x:v>928.0319693021612</x:v>
      </x:c>
      <x:c r="Y1060" s="10" t="n">
        <x:f>P1060/12</x:f>
        <x:v>67.33122183752626</x:v>
      </x:c>
      <x:c r="Z1060" s="10" t="n">
        <x:f>0</x:f>
        <x:v>0</x:v>
      </x:c>
      <x:c r="AA1060" s="10" t="n">
        <x:f>Z1060*'Assumptions'!$AC$58*'Assumptions'!$D$11*(1+'Assumptions'!$D$13)^(9-1)</x:f>
        <x:v>0</x:v>
      </x:c>
      <x:c r="AB1060" s="10" t="n">
        <x:f>F1060/1</x:f>
        <x:v>32.95714897442001</x:v>
      </x:c>
      <x:c r="AC1060" s="10" t="n">
        <x:f>AB1060/'Assumptions'!$AM$58</x:f>
        <x:v>164.78574487210003</x:v>
      </x:c>
      <x:c r="AD1060" s="10" t="n">
        <x:f>IF(AB1060=0,0,T1060/AB1060)</x:f>
        <x:v>13.516197824356155</x:v>
      </x:c>
      <x:c r="AE1060" s="10" t="n">
        <x:f>AA1060*'Assumptions'!$D$21</x:f>
        <x:v>0</x:v>
      </x:c>
    </x:row>
    <x:row r="1061" ht="16" customHeight="1">
      <x:c r="A1061" s="1"/>
      <x:c r="B1061" s="1"/>
      <x:c r="C1061" s="1" t="str">
        <x:v>DOT-030</x:v>
      </x:c>
      <x:c r="D1061" s="10" t="str">
        <x:v>BPA professional services</x:v>
      </x:c>
      <x:c r="E1061" s="10" t="n">
        <x:v>9</x:v>
      </x:c>
      <x:c r="F1061" s="21" t="n">
        <x:f>F933*(1+'Assumptions'!$M$59)</x:f>
        <x:v>6.591429794884004</x:v>
      </x:c>
      <x:c r="G1061" s="21" t="n">
        <x:f>H933*'Assumptions'!$K$59</x:f>
        <x:v>6.165023391400004</x:v>
      </x:c>
      <x:c r="H1061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1061+G1061,NA())</x:f>
        <x:v>12.756453186284007</x:v>
      </x:c>
      <x:c r="I1061" s="22" t="n">
        <x:f>'Assumptions'!$H$59*IF('Assumptions'!$O$59=1,1,'Assumptions'!$D$10)*(1+'Assumptions'!$N$59)^(9-1)</x:f>
        <x:v>585.8296905011329</x:v>
      </x:c>
      <x:c r="J1061" s="10" t="n">
        <x:f>H1061*I1061</x:f>
        <x:v>7473.10902201295</x:v>
      </x:c>
      <x:c r="K1061" s="10" t="n">
        <x:f>J1061*'Assumptions'!$T$59</x:f>
        <x:v>7473.10902201295</x:v>
      </x:c>
      <x:c r="L1061" s="10" t="n">
        <x:f>K1061*'Assumptions'!$U$59</x:f>
        <x:v>224.1932706603885</x:v>
      </x:c>
      <x:c r="M1061" s="10" t="n">
        <x:f>K1061*'Assumptions'!$V$59</x:f>
        <x:v>0</x:v>
      </x:c>
      <x:c r="N1061" s="10" t="n">
        <x:f>K1061-L1061-M1061</x:f>
        <x:v>7248.9157513525615</x:v>
      </x:c>
      <x:c r="O1061" s="10" t="n">
        <x:f>H1061*'Assumptions'!$P$59*'Assumptions'!$Q$59*'Assumptions'!$D$11*(1+'Assumptions'!$D$13)^(9-1)</x:f>
        <x:v>2908.708783381136</x:v>
      </x:c>
      <x:c r="P1061" s="10" t="n">
        <x:f>H1061*'Assumptions'!$R$59*'Assumptions'!$D$11*(1+'Assumptions'!$D$13)^(9-1)</x:f>
        <x:v>161.5949324100631</x:v>
      </x:c>
      <x:c r="Q1061" s="10" t="n">
        <x:f>J1061*'Assumptions'!$S$59</x:f>
        <x:v>0</x:v>
      </x:c>
      <x:c r="R1061" s="10" t="n">
        <x:f>H1061*'Assumptions'!$Y$59*'Assumptions'!$Z$59*'Assumptions'!$D$11*(1+'Assumptions'!$D$13)^(9-1)</x:f>
        <x:v>121.19619930754733</x:v>
      </x:c>
      <x:c r="S1061" s="10" t="n">
        <x:f>IF(I1061=0,0,J1061*'Assumptions'!$W$59+H1061*'Assumptions'!$X$59)</x:f>
        <x:v>220.54709759426078</x:v>
      </x:c>
      <x:c r="T1061" s="10" t="n">
        <x:f>N1061*'Assumptions'!$AA$59</x:f>
        <x:v>289.95663005410245</x:v>
      </x:c>
      <x:c r="U1061" s="10" t="n">
        <x:f>'Assumptions'!$AE$59*'Assumptions'!$D$11*(1+'Assumptions'!$D$13)^(9-1)</x:f>
        <x:v>0</x:v>
      </x:c>
      <x:c r="V1061" s="10" t="n">
        <x:f>0</x:f>
        <x:v>0</x:v>
      </x:c>
      <x:c r="W1061" s="10" t="n">
        <x:f>H1061*('Assumptions'!$P$59+'Assumptions'!$Y$59)</x:f>
        <x:v>41.458472855423025</x:v>
      </x:c>
      <x:c r="X1061" s="10" t="n">
        <x:f>N1061/12*'Assumptions'!$AF$59</x:f>
        <x:v>604.0763126127134</x:v>
      </x:c>
      <x:c r="Y1061" s="10" t="n">
        <x:f>P1061/12</x:f>
        <x:v>13.46624436750526</x:v>
      </x:c>
      <x:c r="Z1061" s="10" t="n">
        <x:f>0</x:f>
        <x:v>0</x:v>
      </x:c>
      <x:c r="AA1061" s="10" t="n">
        <x:f>Z1061*'Assumptions'!$AC$59*'Assumptions'!$D$11*(1+'Assumptions'!$D$13)^(9-1)</x:f>
        <x:v>0</x:v>
      </x:c>
      <x:c r="AB1061" s="10" t="n">
        <x:f>F1061/1</x:f>
        <x:v>6.591429794884004</x:v>
      </x:c>
      <x:c r="AC1061" s="10" t="n">
        <x:f>AB1061/'Assumptions'!$AM$59</x:f>
        <x:v>32.957148974420015</x:v>
      </x:c>
      <x:c r="AD1061" s="10" t="n">
        <x:f>IF(AB1061=0,0,T1061/AB1061)</x:f>
        <x:v>43.98994437885917</x:v>
      </x:c>
      <x:c r="AE1061" s="10" t="n">
        <x:f>AA1061*'Assumptions'!$D$21</x:f>
        <x:v>0</x:v>
      </x:c>
    </x:row>
    <x:row r="1062" ht="16" customHeight="1">
      <x:c r="A1062" s="1"/>
      <x:c r="B1062" s="1"/>
      <x:c r="C1062" s="1" t="str">
        <x:v>DOT-031</x:v>
      </x:c>
      <x:c r="D1062" s="10" t="str">
        <x:v>BPA professional services</x:v>
      </x:c>
      <x:c r="E1062" s="10" t="n">
        <x:v>9</x:v>
      </x:c>
      <x:c r="F1062" s="21" t="n">
        <x:f>F934*(1+'Assumptions'!$M$60)</x:f>
        <x:v>3.295714897442002</x:v>
      </x:c>
      <x:c r="G1062" s="21" t="n">
        <x:f>H934*'Assumptions'!$K$60</x:f>
        <x:v>3.086417945700002</x:v>
      </x:c>
      <x:c r="H1062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1062+G1062,NA())</x:f>
        <x:v>6.382132843142004</x:v>
      </x:c>
      <x:c r="I1062" s="22" t="n">
        <x:f>'Assumptions'!$H$60*IF('Assumptions'!$O$60=1,1,'Assumptions'!$D$10)*(1+'Assumptions'!$N$60)^(9-1)</x:f>
        <x:v>5858.296905011329</x:v>
      </x:c>
      <x:c r="J1062" s="10" t="n">
        <x:f>H1062*I1062</x:f>
        <x:v>37388.429082349954</x:v>
      </x:c>
      <x:c r="K1062" s="10" t="n">
        <x:f>J1062*'Assumptions'!$T$60</x:f>
        <x:v>37388.429082349954</x:v>
      </x:c>
      <x:c r="L1062" s="10" t="n">
        <x:f>K1062*'Assumptions'!$U$60</x:f>
        <x:v>1121.6528724704986</x:v>
      </x:c>
      <x:c r="M1062" s="10" t="n">
        <x:f>K1062*'Assumptions'!$V$60</x:f>
        <x:v>0</x:v>
      </x:c>
      <x:c r="N1062" s="10" t="n">
        <x:f>K1062-L1062-M1062</x:f>
        <x:v>36266.776209879456</x:v>
      </x:c>
      <x:c r="O1062" s="10" t="n">
        <x:f>H1062*'Assumptions'!$P$60*'Assumptions'!$Q$60*'Assumptions'!$D$11*(1+'Assumptions'!$D$13)^(9-1)</x:f>
        <x:v>19403.26785872058</x:v>
      </x:c>
      <x:c r="P1062" s="10" t="n">
        <x:f>H1062*'Assumptions'!$R$60*'Assumptions'!$D$11*(1+'Assumptions'!$D$13)^(9-1)</x:f>
        <x:v>80.84694941133576</x:v>
      </x:c>
      <x:c r="Q1062" s="10" t="n">
        <x:f>J1062*'Assumptions'!$S$60</x:f>
        <x:v>0</x:v>
      </x:c>
      <x:c r="R1062" s="10" t="n">
        <x:f>H1062*'Assumptions'!$Y$60*'Assumptions'!$Z$60*'Assumptions'!$D$11*(1+'Assumptions'!$D$13)^(9-1)</x:f>
        <x:v>60.635212058501814</x:v>
      </x:c>
      <x:c r="S1062" s="10" t="n">
        <x:f>IF(I1062=0,0,J1062*'Assumptions'!$W$60+H1062*'Assumptions'!$X$60)</x:f>
        <x:v>1086.1790832410913</x:v>
      </x:c>
      <x:c r="T1062" s="10" t="n">
        <x:f>N1062*'Assumptions'!$AA$60</x:f>
        <x:v>1450.6710483951783</x:v>
      </x:c>
      <x:c r="U1062" s="10" t="n">
        <x:f>'Assumptions'!$AE$60*'Assumptions'!$D$11*(1+'Assumptions'!$D$13)^(9-1)</x:f>
        <x:v>0</x:v>
      </x:c>
      <x:c r="V1062" s="10" t="n">
        <x:f>0</x:f>
        <x:v>0</x:v>
      </x:c>
      <x:c r="W1062" s="10" t="n">
        <x:f>H1062*('Assumptions'!$P$60+'Assumptions'!$Y$60)</x:f>
        <x:v>256.8808469364657</x:v>
      </x:c>
      <x:c r="X1062" s="10" t="n">
        <x:f>N1062/12*'Assumptions'!$AF$60</x:f>
        <x:v>3022.231350823288</x:v>
      </x:c>
      <x:c r="Y1062" s="10" t="n">
        <x:f>P1062/12</x:f>
        <x:v>6.73724578427798</x:v>
      </x:c>
      <x:c r="Z1062" s="10" t="n">
        <x:f>0</x:f>
        <x:v>0</x:v>
      </x:c>
      <x:c r="AA1062" s="10" t="n">
        <x:f>Z1062*'Assumptions'!$AC$60*'Assumptions'!$D$11*(1+'Assumptions'!$D$13)^(9-1)</x:f>
        <x:v>0</x:v>
      </x:c>
      <x:c r="AB1062" s="10" t="n">
        <x:f>F1062/1</x:f>
        <x:v>3.295714897442002</x:v>
      </x:c>
      <x:c r="AC1062" s="10" t="n">
        <x:f>AB1062/'Assumptions'!$AM$60</x:f>
        <x:v>16.478574487210008</x:v>
      </x:c>
      <x:c r="AD1062" s="10" t="n">
        <x:f>IF(AB1062=0,0,T1062/AB1062)</x:f>
        <x:v>440.16885365937736</x:v>
      </x:c>
      <x:c r="AE1062" s="10" t="n">
        <x:f>AA1062*'Assumptions'!$D$21</x:f>
        <x:v>0</x:v>
      </x:c>
    </x:row>
    <x:row r="1063" ht="16" customHeight="1">
      <x:c r="A1063" s="1"/>
      <x:c r="B1063" s="1"/>
      <x:c r="C1063" s="1" t="str">
        <x:v>DOT-032</x:v>
      </x:c>
      <x:c r="D1063" s="10" t="str">
        <x:v>BPA professional services</x:v>
      </x:c>
      <x:c r="E1063" s="10" t="n">
        <x:v>9</x:v>
      </x:c>
      <x:c r="F1063" s="21" t="n">
        <x:f>F935*(1+'Assumptions'!$M$61)</x:f>
        <x:v>1.647857448721001</x:v>
      </x:c>
      <x:c r="G1063" s="21" t="n">
        <x:f>H935*'Assumptions'!$K$61</x:f>
        <x:v>1.543208972850001</x:v>
      </x:c>
      <x:c r="H1063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1063+G1063,NA())</x:f>
        <x:v>3.191066421571002</x:v>
      </x:c>
      <x:c r="I1063" s="22" t="n">
        <x:f>'Assumptions'!$H$61*IF('Assumptions'!$O$61=1,1,'Assumptions'!$D$10)*(1+'Assumptions'!$N$61)^(9-1)</x:f>
        <x:v>8787.445357516994</x:v>
      </x:c>
      <x:c r="J1063" s="10" t="n">
        <x:f>H1063*I1063</x:f>
        <x:v>28041.321811762467</x:v>
      </x:c>
      <x:c r="K1063" s="10" t="n">
        <x:f>J1063*'Assumptions'!$T$61</x:f>
        <x:v>28041.321811762467</x:v>
      </x:c>
      <x:c r="L1063" s="10" t="n">
        <x:f>K1063*'Assumptions'!$U$61</x:f>
        <x:v>841.239654352874</x:v>
      </x:c>
      <x:c r="M1063" s="10" t="n">
        <x:f>K1063*'Assumptions'!$V$61</x:f>
        <x:v>0</x:v>
      </x:c>
      <x:c r="N1063" s="10" t="n">
        <x:f>K1063-L1063-M1063</x:f>
        <x:v>27200.082157409593</x:v>
      </x:c>
      <x:c r="O1063" s="10" t="n">
        <x:f>H1063*'Assumptions'!$P$61*'Assumptions'!$Q$61*'Assumptions'!$D$11*(1+'Assumptions'!$D$13)^(9-1)</x:f>
        <x:v>14552.450894040436</x:v>
      </x:c>
      <x:c r="P1063" s="10" t="n">
        <x:f>H1063*'Assumptions'!$R$61*'Assumptions'!$D$11*(1+'Assumptions'!$D$13)^(9-1)</x:f>
        <x:v>40.42347470566788</x:v>
      </x:c>
      <x:c r="Q1063" s="10" t="n">
        <x:f>J1063*'Assumptions'!$S$61</x:f>
        <x:v>0</x:v>
      </x:c>
      <x:c r="R1063" s="10" t="n">
        <x:f>H1063*'Assumptions'!$Y$61*'Assumptions'!$Z$61*'Assumptions'!$D$11*(1+'Assumptions'!$D$13)^(9-1)</x:f>
        <x:v>30.317606029250907</x:v>
      </x:c>
      <x:c r="S1063" s="10" t="n">
        <x:f>IF(I1063=0,0,J1063*'Assumptions'!$W$61+H1063*'Assumptions'!$X$61)</x:f>
        <x:v>814.1556524675829</x:v>
      </x:c>
      <x:c r="T1063" s="10" t="n">
        <x:f>N1063*'Assumptions'!$AA$61</x:f>
        <x:v>1088.0032862963837</x:v>
      </x:c>
      <x:c r="U1063" s="10" t="n">
        <x:f>'Assumptions'!$AE$61*'Assumptions'!$D$11*(1+'Assumptions'!$D$13)^(9-1)</x:f>
        <x:v>0</x:v>
      </x:c>
      <x:c r="V1063" s="10" t="n">
        <x:f>0</x:f>
        <x:v>0</x:v>
      </x:c>
      <x:c r="W1063" s="10" t="n">
        <x:f>H1063*('Assumptions'!$P$61+'Assumptions'!$Y$61)</x:f>
        <x:v>192.26175189965286</x:v>
      </x:c>
      <x:c r="X1063" s="10" t="n">
        <x:f>N1063/12*'Assumptions'!$AF$61</x:f>
        <x:v>2266.673513117466</x:v>
      </x:c>
      <x:c r="Y1063" s="10" t="n">
        <x:f>P1063/12</x:f>
        <x:v>3.36862289213899</x:v>
      </x:c>
      <x:c r="Z1063" s="10" t="n">
        <x:f>0</x:f>
        <x:v>0</x:v>
      </x:c>
      <x:c r="AA1063" s="10" t="n">
        <x:f>Z1063*'Assumptions'!$AC$61*'Assumptions'!$D$11*(1+'Assumptions'!$D$13)^(9-1)</x:f>
        <x:v>0</x:v>
      </x:c>
      <x:c r="AB1063" s="10" t="n">
        <x:f>F1063/1</x:f>
        <x:v>1.647857448721001</x:v>
      </x:c>
      <x:c r="AC1063" s="10" t="n">
        <x:f>AB1063/'Assumptions'!$AM$61</x:f>
        <x:v>8.239287243605004</x:v>
      </x:c>
      <x:c r="AD1063" s="10" t="n">
        <x:f>IF(AB1063=0,0,T1063/AB1063)</x:f>
        <x:v>660.253280489066</x:v>
      </x:c>
      <x:c r="AE1063" s="10" t="n">
        <x:f>AA1063*'Assumptions'!$D$21</x:f>
        <x:v>0</x:v>
      </x:c>
    </x:row>
    <x:row r="1064" ht="16" customHeight="1">
      <x:c r="A1064" s="1"/>
      <x:c r="B1064" s="1"/>
      <x:c r="C1064" s="1" t="str">
        <x:v>DOT-033</x:v>
      </x:c>
      <x:c r="D1064" s="10" t="str">
        <x:v>CornerFlow</x:v>
      </x:c>
      <x:c r="E1064" s="10" t="n">
        <x:v>9</x:v>
      </x:c>
      <x:c r="F1064" s="21" t="n">
        <x:f>F936*(1+'Assumptions'!$M$62)</x:f>
        <x:v>84.01878246297602</x:v>
      </x:c>
      <x:c r="G1064" s="21" t="n">
        <x:f>H936*'Assumptions'!$K$62</x:f>
        <x:v>163.77320135903997</x:v>
      </x:c>
      <x:c r="H1064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1064+G1064,NA())</x:f>
        <x:v>247.791983822016</x:v>
      </x:c>
      <x:c r="I1064" s="22" t="n">
        <x:f>'Assumptions'!$H$62*IF('Assumptions'!$O$62=1,1,'Assumptions'!$D$10)*(1+'Assumptions'!$N$62)^(9-1)</x:f>
        <x:v>57.41130966911102</x:v>
      </x:c>
      <x:c r="J1064" s="10" t="n">
        <x:f>H1064*I1064</x:f>
        <x:v>14226.062316729109</x:v>
      </x:c>
      <x:c r="K1064" s="10" t="n">
        <x:f>J1064*'Assumptions'!$T$62</x:f>
        <x:v>14226.062316729109</x:v>
      </x:c>
      <x:c r="L1064" s="10" t="n">
        <x:f>K1064*'Assumptions'!$U$62</x:f>
        <x:v>426.78186950187325</x:v>
      </x:c>
      <x:c r="M1064" s="10" t="n">
        <x:f>K1064*'Assumptions'!$V$62</x:f>
        <x:v>0</x:v>
      </x:c>
      <x:c r="N1064" s="10" t="n">
        <x:f>K1064-L1064-M1064</x:f>
        <x:v>13799.280447227235</x:v>
      </x:c>
      <x:c r="O1064" s="10" t="n">
        <x:f>H1064*'Assumptions'!$P$62*'Assumptions'!$Q$62*'Assumptions'!$D$11*(1+'Assumptions'!$D$13)^(9-1)</x:f>
        <x:v>1647.9512254454241</x:v>
      </x:c>
      <x:c r="P1064" s="10" t="n">
        <x:f>H1064*'Assumptions'!$R$62*'Assumptions'!$D$11*(1+'Assumptions'!$D$13)^(9-1)</x:f>
        <x:v>0</x:v>
      </x:c>
      <x:c r="Q1064" s="10" t="n">
        <x:f>J1064*'Assumptions'!$S$62</x:f>
        <x:v>0</x:v>
      </x:c>
      <x:c r="R1064" s="10" t="n">
        <x:f>H1064*'Assumptions'!$Y$62*'Assumptions'!$Z$62*'Assumptions'!$D$11*(1+'Assumptions'!$D$13)^(9-1)</x:f>
        <x:v>1412.5296218103636</x:v>
      </x:c>
      <x:c r="S1064" s="10" t="n">
        <x:f>IF(I1064=0,0,J1064*'Assumptions'!$W$62+H1064*'Assumptions'!$X$62)</x:f>
        <x:v>486.8934023317489</x:v>
      </x:c>
      <x:c r="T1064" s="10" t="n">
        <x:f>N1064*'Assumptions'!$AA$62</x:f>
        <x:v>689.9640223613618</x:v>
      </x:c>
      <x:c r="U1064" s="10" t="n">
        <x:f>'Assumptions'!$AE$62*'Assumptions'!$D$11*(1+'Assumptions'!$D$13)^(9-1)</x:f>
        <x:v>152.01240976651397</x:v>
      </x:c>
      <x:c r="V1064" s="10" t="n">
        <x:f>0</x:f>
        <x:v>0</x:v>
      </x:c>
      <x:c r="W1064" s="10" t="n">
        <x:f>H1064*('Assumptions'!$P$62+'Assumptions'!$Y$62)</x:f>
        <x:v>74.3375951466048</x:v>
      </x:c>
      <x:c r="X1064" s="10" t="n">
        <x:f>N1064/12*'Assumptions'!$AF$62</x:f>
        <x:v>0</x:v>
      </x:c>
      <x:c r="Y1064" s="10" t="n">
        <x:f>P1064/12</x:f>
        <x:v>0</x:v>
      </x:c>
      <x:c r="Z1064" s="10" t="n">
        <x:f>0</x:f>
        <x:v>0</x:v>
      </x:c>
      <x:c r="AA1064" s="10" t="n">
        <x:f>Z1064*'Assumptions'!$AC$62*'Assumptions'!$D$11*(1+'Assumptions'!$D$13)^(9-1)</x:f>
        <x:v>0</x:v>
      </x:c>
      <x:c r="AB1064" s="10" t="n">
        <x:f>F1064/12</x:f>
        <x:v>7.001565205248002</x:v>
      </x:c>
      <x:c r="AC1064" s="10" t="n">
        <x:f>AB1064/'Assumptions'!$AM$62</x:f>
        <x:v>140.03130410496004</x:v>
      </x:c>
      <x:c r="AD1064" s="10" t="n">
        <x:f>IF(AB1064=0,0,T1064/AB1064)</x:f>
        <x:v>98.54425433961558</x:v>
      </x:c>
      <x:c r="AE1064" s="10" t="n">
        <x:f>AA1064*'Assumptions'!$D$21</x:f>
        <x:v>0</x:v>
      </x:c>
    </x:row>
    <x:row r="1065" ht="16" customHeight="1">
      <x:c r="A1065" s="1"/>
      <x:c r="B1065" s="1"/>
      <x:c r="C1065" s="1" t="str">
        <x:v>DOT-034</x:v>
      </x:c>
      <x:c r="D1065" s="10" t="str">
        <x:v>CornerFlow</x:v>
      </x:c>
      <x:c r="E1065" s="10" t="n">
        <x:v>9</x:v>
      </x:c>
      <x:c r="F1065" s="21" t="n">
        <x:f>F937*(1+'Assumptions'!$M$63)</x:f>
        <x:v>16.478574487210004</x:v>
      </x:c>
      <x:c r="G1065" s="21" t="n">
        <x:f>H937*'Assumptions'!$K$63</x:f>
        <x:v>15.412558478500003</x:v>
      </x:c>
      <x:c r="H1065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1065+G1065,NA())</x:f>
        <x:v>31.891132965710007</x:v>
      </x:c>
      <x:c r="I1065" s="22" t="n">
        <x:f>'Assumptions'!$H$63*IF('Assumptions'!$O$63=1,1,'Assumptions'!$D$10)*(1+'Assumptions'!$N$63)^(9-1)</x:f>
        <x:v>233.16021681945088</x:v>
      </x:c>
      <x:c r="J1065" s="10" t="n">
        <x:f>H1065*I1065</x:f>
        <x:v>7435.743476902883</x:v>
      </x:c>
      <x:c r="K1065" s="10" t="n">
        <x:f>J1065*'Assumptions'!$T$63</x:f>
        <x:v>7435.743476902883</x:v>
      </x:c>
      <x:c r="L1065" s="10" t="n">
        <x:f>K1065*'Assumptions'!$U$63</x:f>
        <x:v>223.07230430708648</x:v>
      </x:c>
      <x:c r="M1065" s="10" t="n">
        <x:f>K1065*'Assumptions'!$V$63</x:f>
        <x:v>0</x:v>
      </x:c>
      <x:c r="N1065" s="10" t="n">
        <x:f>K1065-L1065-M1065</x:f>
        <x:v>7212.671172595797</x:v>
      </x:c>
      <x:c r="O1065" s="10" t="n">
        <x:f>H1065*'Assumptions'!$P$63*'Assumptions'!$Q$63*'Assumptions'!$D$11*(1+'Assumptions'!$D$13)^(9-1)</x:f>
        <x:v>3231.8986482012606</x:v>
      </x:c>
      <x:c r="P1065" s="10" t="n">
        <x:f>H1065*'Assumptions'!$R$63*'Assumptions'!$D$11*(1+'Assumptions'!$D$13)^(9-1)</x:f>
        <x:v>0</x:v>
      </x:c>
      <x:c r="Q1065" s="10" t="n">
        <x:f>J1065*'Assumptions'!$S$63</x:f>
        <x:v>0</x:v>
      </x:c>
      <x:c r="R1065" s="10" t="n">
        <x:f>H1065*'Assumptions'!$Y$63*'Assumptions'!$Z$63*'Assumptions'!$D$11*(1+'Assumptions'!$D$13)^(9-1)</x:f>
        <x:v>302.9904982688682</x:v>
      </x:c>
      <x:c r="S1065" s="10" t="n">
        <x:f>IF(I1065=0,0,J1065*'Assumptions'!$W$63+H1065*'Assumptions'!$X$63)</x:f>
        <x:v>225.2039007198966</x:v>
      </x:c>
      <x:c r="T1065" s="10" t="n">
        <x:f>N1065*'Assumptions'!$AA$63</x:f>
        <x:v>288.5068469038319</x:v>
      </x:c>
      <x:c r="U1065" s="10" t="n">
        <x:f>'Assumptions'!$AE$63*'Assumptions'!$D$11*(1+'Assumptions'!$D$13)^(9-1)</x:f>
        <x:v>0</x:v>
      </x:c>
      <x:c r="V1065" s="10" t="n">
        <x:f>0</x:f>
        <x:v>0</x:v>
      </x:c>
      <x:c r="W1065" s="10" t="n">
        <x:f>H1065*('Assumptions'!$P$63+'Assumptions'!$Y$63)</x:f>
        <x:v>71.75504917284752</x:v>
      </x:c>
      <x:c r="X1065" s="10" t="n">
        <x:f>N1065/12*'Assumptions'!$AF$63</x:f>
        <x:v>601.0559310496498</x:v>
      </x:c>
      <x:c r="Y1065" s="10" t="n">
        <x:f>P1065/12</x:f>
        <x:v>0</x:v>
      </x:c>
      <x:c r="Z1065" s="10" t="n">
        <x:f>0</x:f>
        <x:v>0</x:v>
      </x:c>
      <x:c r="AA1065" s="10" t="n">
        <x:f>Z1065*'Assumptions'!$AC$63*'Assumptions'!$D$11*(1+'Assumptions'!$D$13)^(9-1)</x:f>
        <x:v>0</x:v>
      </x:c>
      <x:c r="AB1065" s="10" t="n">
        <x:f>F1065/1</x:f>
        <x:v>16.478574487210004</x:v>
      </x:c>
      <x:c r="AC1065" s="10" t="n">
        <x:f>AB1065/'Assumptions'!$AM$63</x:f>
        <x:v>82.39287243605001</x:v>
      </x:c>
      <x:c r="AD1065" s="10" t="n">
        <x:f>IF(AB1065=0,0,T1065/AB1065)</x:f>
        <x:v>17.507997862785952</x:v>
      </x:c>
      <x:c r="AE1065" s="10" t="n">
        <x:f>AA1065*'Assumptions'!$D$21</x:f>
        <x:v>0</x:v>
      </x:c>
    </x:row>
    <x:row r="1066" ht="16" customHeight="1">
      <x:c r="A1066" s="1"/>
      <x:c r="B1066" s="1"/>
      <x:c r="C1066" s="1" t="str">
        <x:v>DOT-035</x:v>
      </x:c>
      <x:c r="D1066" s="10" t="str">
        <x:v>Spindle</x:v>
      </x:c>
      <x:c r="E1066" s="10" t="n">
        <x:v>9</x:v>
      </x:c>
      <x:c r="F1066" s="21" t="n">
        <x:f>F938*(1+'Assumptions'!$M$64)</x:f>
        <x:v>84.01878246297602</x:v>
      </x:c>
      <x:c r="G1066" s="21" t="n">
        <x:f>H938*'Assumptions'!$K$64</x:f>
        <x:v>163.77320135903997</x:v>
      </x:c>
      <x:c r="H1066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1066+G1066,NA())</x:f>
        <x:v>247.791983822016</x:v>
      </x:c>
      <x:c r="I1066" s="22" t="n">
        <x:f>'Assumptions'!$H$64*IF('Assumptions'!$O$64=1,1,'Assumptions'!$D$10)*(1+'Assumptions'!$N$64)^(9-1)</x:f>
        <x:v>57.41130966911102</x:v>
      </x:c>
      <x:c r="J1066" s="10" t="n">
        <x:f>H1066*I1066</x:f>
        <x:v>14226.062316729109</x:v>
      </x:c>
      <x:c r="K1066" s="10" t="n">
        <x:f>J1066*'Assumptions'!$T$64</x:f>
        <x:v>14226.062316729109</x:v>
      </x:c>
      <x:c r="L1066" s="10" t="n">
        <x:f>K1066*'Assumptions'!$U$64</x:f>
        <x:v>426.78186950187325</x:v>
      </x:c>
      <x:c r="M1066" s="10" t="n">
        <x:f>K1066*'Assumptions'!$V$64</x:f>
        <x:v>0</x:v>
      </x:c>
      <x:c r="N1066" s="10" t="n">
        <x:f>K1066-L1066-M1066</x:f>
        <x:v>13799.280447227235</x:v>
      </x:c>
      <x:c r="O1066" s="10" t="n">
        <x:f>H1066*'Assumptions'!$P$64*'Assumptions'!$Q$64*'Assumptions'!$D$11*(1+'Assumptions'!$D$13)^(9-1)</x:f>
        <x:v>1647.9512254454241</x:v>
      </x:c>
      <x:c r="P1066" s="10" t="n">
        <x:f>H1066*'Assumptions'!$R$64*'Assumptions'!$D$11*(1+'Assumptions'!$D$13)^(9-1)</x:f>
        <x:v>0</x:v>
      </x:c>
      <x:c r="Q1066" s="10" t="n">
        <x:f>J1066*'Assumptions'!$S$64</x:f>
        <x:v>0</x:v>
      </x:c>
      <x:c r="R1066" s="10" t="n">
        <x:f>H1066*'Assumptions'!$Y$64*'Assumptions'!$Z$64*'Assumptions'!$D$11*(1+'Assumptions'!$D$13)^(9-1)</x:f>
        <x:v>1412.5296218103636</x:v>
      </x:c>
      <x:c r="S1066" s="10" t="n">
        <x:f>IF(I1066=0,0,J1066*'Assumptions'!$W$64+H1066*'Assumptions'!$X$64)</x:f>
        <x:v>486.8934023317489</x:v>
      </x:c>
      <x:c r="T1066" s="10" t="n">
        <x:f>N1066*'Assumptions'!$AA$64</x:f>
        <x:v>689.9640223613618</x:v>
      </x:c>
      <x:c r="U1066" s="10" t="n">
        <x:f>'Assumptions'!$AE$64*'Assumptions'!$D$11*(1+'Assumptions'!$D$13)^(9-1)</x:f>
        <x:v>152.01240976651397</x:v>
      </x:c>
      <x:c r="V1066" s="10" t="n">
        <x:f>0</x:f>
        <x:v>0</x:v>
      </x:c>
      <x:c r="W1066" s="10" t="n">
        <x:f>H1066*('Assumptions'!$P$64+'Assumptions'!$Y$64)</x:f>
        <x:v>74.3375951466048</x:v>
      </x:c>
      <x:c r="X1066" s="10" t="n">
        <x:f>N1066/12*'Assumptions'!$AF$64</x:f>
        <x:v>0</x:v>
      </x:c>
      <x:c r="Y1066" s="10" t="n">
        <x:f>P1066/12</x:f>
        <x:v>0</x:v>
      </x:c>
      <x:c r="Z1066" s="10" t="n">
        <x:f>0</x:f>
        <x:v>0</x:v>
      </x:c>
      <x:c r="AA1066" s="10" t="n">
        <x:f>Z1066*'Assumptions'!$AC$64*'Assumptions'!$D$11*(1+'Assumptions'!$D$13)^(9-1)</x:f>
        <x:v>0</x:v>
      </x:c>
      <x:c r="AB1066" s="10" t="n">
        <x:f>F1066/12</x:f>
        <x:v>7.001565205248002</x:v>
      </x:c>
      <x:c r="AC1066" s="10" t="n">
        <x:f>AB1066/'Assumptions'!$AM$64</x:f>
        <x:v>140.03130410496004</x:v>
      </x:c>
      <x:c r="AD1066" s="10" t="n">
        <x:f>IF(AB1066=0,0,T1066/AB1066)</x:f>
        <x:v>98.54425433961558</x:v>
      </x:c>
      <x:c r="AE1066" s="10" t="n">
        <x:f>AA1066*'Assumptions'!$D$21</x:f>
        <x:v>0</x:v>
      </x:c>
    </x:row>
    <x:row r="1067" ht="16" customHeight="1">
      <x:c r="A1067" s="1"/>
      <x:c r="B1067" s="1"/>
      <x:c r="C1067" s="1" t="str">
        <x:v>DOT-036</x:v>
      </x:c>
      <x:c r="D1067" s="10" t="str">
        <x:v>Spindle</x:v>
      </x:c>
      <x:c r="E1067" s="10" t="n">
        <x:v>9</x:v>
      </x:c>
      <x:c r="F1067" s="21" t="n">
        <x:f>F939*(1+'Assumptions'!$M$65)</x:f>
        <x:v>16.478574487210004</x:v>
      </x:c>
      <x:c r="G1067" s="21" t="n">
        <x:f>H939*'Assumptions'!$K$65</x:f>
        <x:v>15.412558478500003</x:v>
      </x:c>
      <x:c r="H1067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1067+G1067,NA())</x:f>
        <x:v>31.891132965710007</x:v>
      </x:c>
      <x:c r="I1067" s="22" t="n">
        <x:f>'Assumptions'!$H$65*IF('Assumptions'!$O$65=1,1,'Assumptions'!$D$10)*(1+'Assumptions'!$N$65)^(9-1)</x:f>
        <x:v>233.16021681945088</x:v>
      </x:c>
      <x:c r="J1067" s="10" t="n">
        <x:f>H1067*I1067</x:f>
        <x:v>7435.743476902883</x:v>
      </x:c>
      <x:c r="K1067" s="10" t="n">
        <x:f>J1067*'Assumptions'!$T$65</x:f>
        <x:v>7435.743476902883</x:v>
      </x:c>
      <x:c r="L1067" s="10" t="n">
        <x:f>K1067*'Assumptions'!$U$65</x:f>
        <x:v>223.07230430708648</x:v>
      </x:c>
      <x:c r="M1067" s="10" t="n">
        <x:f>K1067*'Assumptions'!$V$65</x:f>
        <x:v>0</x:v>
      </x:c>
      <x:c r="N1067" s="10" t="n">
        <x:f>K1067-L1067-M1067</x:f>
        <x:v>7212.671172595797</x:v>
      </x:c>
      <x:c r="O1067" s="10" t="n">
        <x:f>H1067*'Assumptions'!$P$65*'Assumptions'!$Q$65*'Assumptions'!$D$11*(1+'Assumptions'!$D$13)^(9-1)</x:f>
        <x:v>3231.8986482012606</x:v>
      </x:c>
      <x:c r="P1067" s="10" t="n">
        <x:f>H1067*'Assumptions'!$R$65*'Assumptions'!$D$11*(1+'Assumptions'!$D$13)^(9-1)</x:f>
        <x:v>0</x:v>
      </x:c>
      <x:c r="Q1067" s="10" t="n">
        <x:f>J1067*'Assumptions'!$S$65</x:f>
        <x:v>0</x:v>
      </x:c>
      <x:c r="R1067" s="10" t="n">
        <x:f>H1067*'Assumptions'!$Y$65*'Assumptions'!$Z$65*'Assumptions'!$D$11*(1+'Assumptions'!$D$13)^(9-1)</x:f>
        <x:v>302.9904982688682</x:v>
      </x:c>
      <x:c r="S1067" s="10" t="n">
        <x:f>IF(I1067=0,0,J1067*'Assumptions'!$W$65+H1067*'Assumptions'!$X$65)</x:f>
        <x:v>225.2039007198966</x:v>
      </x:c>
      <x:c r="T1067" s="10" t="n">
        <x:f>N1067*'Assumptions'!$AA$65</x:f>
        <x:v>288.5068469038319</x:v>
      </x:c>
      <x:c r="U1067" s="10" t="n">
        <x:f>'Assumptions'!$AE$65*'Assumptions'!$D$11*(1+'Assumptions'!$D$13)^(9-1)</x:f>
        <x:v>0</x:v>
      </x:c>
      <x:c r="V1067" s="10" t="n">
        <x:f>0</x:f>
        <x:v>0</x:v>
      </x:c>
      <x:c r="W1067" s="10" t="n">
        <x:f>H1067*('Assumptions'!$P$65+'Assumptions'!$Y$65)</x:f>
        <x:v>71.75504917284752</x:v>
      </x:c>
      <x:c r="X1067" s="10" t="n">
        <x:f>N1067/12*'Assumptions'!$AF$65</x:f>
        <x:v>601.0559310496498</x:v>
      </x:c>
      <x:c r="Y1067" s="10" t="n">
        <x:f>P1067/12</x:f>
        <x:v>0</x:v>
      </x:c>
      <x:c r="Z1067" s="10" t="n">
        <x:f>0</x:f>
        <x:v>0</x:v>
      </x:c>
      <x:c r="AA1067" s="10" t="n">
        <x:f>Z1067*'Assumptions'!$AC$65*'Assumptions'!$D$11*(1+'Assumptions'!$D$13)^(9-1)</x:f>
        <x:v>0</x:v>
      </x:c>
      <x:c r="AB1067" s="10" t="n">
        <x:f>F1067/1</x:f>
        <x:v>16.478574487210004</x:v>
      </x:c>
      <x:c r="AC1067" s="10" t="n">
        <x:f>AB1067/'Assumptions'!$AM$65</x:f>
        <x:v>82.39287243605001</x:v>
      </x:c>
      <x:c r="AD1067" s="10" t="n">
        <x:f>IF(AB1067=0,0,T1067/AB1067)</x:f>
        <x:v>17.507997862785952</x:v>
      </x:c>
      <x:c r="AE1067" s="10" t="n">
        <x:f>AA1067*'Assumptions'!$D$21</x:f>
        <x:v>0</x:v>
      </x:c>
    </x:row>
    <x:row r="1068" ht="16" customHeight="1">
      <x:c r="A1068" s="1"/>
      <x:c r="B1068" s="1"/>
      <x:c r="C1068" s="1" t="str">
        <x:v>DOT-037</x:v>
      </x:c>
      <x:c r="D1068" s="10" t="str">
        <x:v>Maison Contour</x:v>
      </x:c>
      <x:c r="E1068" s="10" t="n">
        <x:v>9</x:v>
      </x:c>
      <x:c r="F1068" s="21" t="n">
        <x:f>F940*(1+'Assumptions'!$M$66)</x:f>
        <x:v>84.01878246297602</x:v>
      </x:c>
      <x:c r="G1068" s="21" t="n">
        <x:f>H940*'Assumptions'!$K$66</x:f>
        <x:v>163.77320135903997</x:v>
      </x:c>
      <x:c r="H1068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1068+G1068,NA())</x:f>
        <x:v>247.791983822016</x:v>
      </x:c>
      <x:c r="I1068" s="22" t="n">
        <x:f>'Assumptions'!$H$66*IF('Assumptions'!$O$66=1,1,'Assumptions'!$D$10)*(1+'Assumptions'!$N$66)^(9-1)</x:f>
        <x:v>92.561091099179</x:v>
      </x:c>
      <x:c r="J1068" s="10" t="n">
        <x:f>H1068*I1068</x:f>
        <x:v>22935.89638819591</x:v>
      </x:c>
      <x:c r="K1068" s="10" t="n">
        <x:f>J1068*'Assumptions'!$T$66</x:f>
        <x:v>22935.89638819591</x:v>
      </x:c>
      <x:c r="L1068" s="10" t="n">
        <x:f>K1068*'Assumptions'!$U$66</x:f>
        <x:v>688.0768916458773</x:v>
      </x:c>
      <x:c r="M1068" s="10" t="n">
        <x:f>K1068*'Assumptions'!$V$66</x:f>
        <x:v>0</x:v>
      </x:c>
      <x:c r="N1068" s="10" t="n">
        <x:f>K1068-L1068-M1068</x:f>
        <x:v>22247.819496550033</x:v>
      </x:c>
      <x:c r="O1068" s="10" t="n">
        <x:f>H1068*'Assumptions'!$P$66*'Assumptions'!$Q$66*'Assumptions'!$D$11*(1+'Assumptions'!$D$13)^(9-1)</x:f>
        <x:v>1647.9512254454241</x:v>
      </x:c>
      <x:c r="P1068" s="10" t="n">
        <x:f>H1068*'Assumptions'!$R$66*'Assumptions'!$D$11*(1+'Assumptions'!$D$13)^(9-1)</x:f>
        <x:v>0</x:v>
      </x:c>
      <x:c r="Q1068" s="10" t="n">
        <x:f>J1068*'Assumptions'!$S$66</x:f>
        <x:v>0</x:v>
      </x:c>
      <x:c r="R1068" s="10" t="n">
        <x:f>H1068*'Assumptions'!$Y$66*'Assumptions'!$Z$66*'Assumptions'!$D$11*(1+'Assumptions'!$D$13)^(9-1)</x:f>
        <x:v>1412.5296218103636</x:v>
      </x:c>
      <x:c r="S1068" s="10" t="n">
        <x:f>IF(I1068=0,0,J1068*'Assumptions'!$W$66+H1068*'Assumptions'!$X$66)</x:f>
        <x:v>739.4785904042863</x:v>
      </x:c>
      <x:c r="T1068" s="10" t="n">
        <x:f>N1068*'Assumptions'!$AA$66</x:f>
        <x:v>1112.3909748275016</x:v>
      </x:c>
      <x:c r="U1068" s="10" t="n">
        <x:f>'Assumptions'!$AE$66*'Assumptions'!$D$11*(1+'Assumptions'!$D$13)^(9-1)</x:f>
        <x:v>152.01240976651397</x:v>
      </x:c>
      <x:c r="V1068" s="10" t="n">
        <x:f>0</x:f>
        <x:v>0</x:v>
      </x:c>
      <x:c r="W1068" s="10" t="n">
        <x:f>H1068*('Assumptions'!$P$66+'Assumptions'!$Y$66)</x:f>
        <x:v>74.3375951466048</x:v>
      </x:c>
      <x:c r="X1068" s="10" t="n">
        <x:f>N1068/12*'Assumptions'!$AF$66</x:f>
        <x:v>0</x:v>
      </x:c>
      <x:c r="Y1068" s="10" t="n">
        <x:f>P1068/12</x:f>
        <x:v>0</x:v>
      </x:c>
      <x:c r="Z1068" s="10" t="n">
        <x:f>0</x:f>
        <x:v>0</x:v>
      </x:c>
      <x:c r="AA1068" s="10" t="n">
        <x:f>Z1068*'Assumptions'!$AC$66*'Assumptions'!$D$11*(1+'Assumptions'!$D$13)^(9-1)</x:f>
        <x:v>0</x:v>
      </x:c>
      <x:c r="AB1068" s="10" t="n">
        <x:f>F1068/12</x:f>
        <x:v>7.001565205248002</x:v>
      </x:c>
      <x:c r="AC1068" s="10" t="n">
        <x:f>AB1068/'Assumptions'!$AM$66</x:f>
        <x:v>140.03130410496004</x:v>
      </x:c>
      <x:c r="AD1068" s="10" t="n">
        <x:f>IF(AB1068=0,0,T1068/AB1068)</x:f>
        <x:v>158.87747128223734</x:v>
      </x:c>
      <x:c r="AE1068" s="10" t="n">
        <x:f>AA1068*'Assumptions'!$D$21</x:f>
        <x:v>0</x:v>
      </x:c>
    </x:row>
    <x:row r="1069" ht="16" customHeight="1">
      <x:c r="A1069" s="1"/>
      <x:c r="B1069" s="1"/>
      <x:c r="C1069" s="1" t="str">
        <x:v>DOT-038</x:v>
      </x:c>
      <x:c r="D1069" s="10" t="str">
        <x:v>Maison Contour</x:v>
      </x:c>
      <x:c r="E1069" s="10" t="n">
        <x:v>9</x:v>
      </x:c>
      <x:c r="F1069" s="21" t="n">
        <x:f>F941*(1+'Assumptions'!$M$67)</x:f>
        <x:v>16.478574487210004</x:v>
      </x:c>
      <x:c r="G1069" s="21" t="n">
        <x:f>H941*'Assumptions'!$K$67</x:f>
        <x:v>15.412558478500003</x:v>
      </x:c>
      <x:c r="H1069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1069+G1069,NA())</x:f>
        <x:v>31.891132965710007</x:v>
      </x:c>
      <x:c r="I1069" s="22" t="n">
        <x:f>'Assumptions'!$H$67*IF('Assumptions'!$O$67=1,1,'Assumptions'!$D$10)*(1+'Assumptions'!$N$67)^(9-1)</x:f>
        <x:v>233.16021681945088</x:v>
      </x:c>
      <x:c r="J1069" s="10" t="n">
        <x:f>H1069*I1069</x:f>
        <x:v>7435.743476902883</x:v>
      </x:c>
      <x:c r="K1069" s="10" t="n">
        <x:f>J1069*'Assumptions'!$T$67</x:f>
        <x:v>7435.743476902883</x:v>
      </x:c>
      <x:c r="L1069" s="10" t="n">
        <x:f>K1069*'Assumptions'!$U$67</x:f>
        <x:v>223.07230430708648</x:v>
      </x:c>
      <x:c r="M1069" s="10" t="n">
        <x:f>K1069*'Assumptions'!$V$67</x:f>
        <x:v>0</x:v>
      </x:c>
      <x:c r="N1069" s="10" t="n">
        <x:f>K1069-L1069-M1069</x:f>
        <x:v>7212.671172595797</x:v>
      </x:c>
      <x:c r="O1069" s="10" t="n">
        <x:f>H1069*'Assumptions'!$P$67*'Assumptions'!$Q$67*'Assumptions'!$D$11*(1+'Assumptions'!$D$13)^(9-1)</x:f>
        <x:v>3231.8986482012606</x:v>
      </x:c>
      <x:c r="P1069" s="10" t="n">
        <x:f>H1069*'Assumptions'!$R$67*'Assumptions'!$D$11*(1+'Assumptions'!$D$13)^(9-1)</x:f>
        <x:v>0</x:v>
      </x:c>
      <x:c r="Q1069" s="10" t="n">
        <x:f>J1069*'Assumptions'!$S$67</x:f>
        <x:v>0</x:v>
      </x:c>
      <x:c r="R1069" s="10" t="n">
        <x:f>H1069*'Assumptions'!$Y$67*'Assumptions'!$Z$67*'Assumptions'!$D$11*(1+'Assumptions'!$D$13)^(9-1)</x:f>
        <x:v>302.9904982688682</x:v>
      </x:c>
      <x:c r="S1069" s="10" t="n">
        <x:f>IF(I1069=0,0,J1069*'Assumptions'!$W$67+H1069*'Assumptions'!$X$67)</x:f>
        <x:v>225.2039007198966</x:v>
      </x:c>
      <x:c r="T1069" s="10" t="n">
        <x:f>N1069*'Assumptions'!$AA$67</x:f>
        <x:v>288.5068469038319</x:v>
      </x:c>
      <x:c r="U1069" s="10" t="n">
        <x:f>'Assumptions'!$AE$67*'Assumptions'!$D$11*(1+'Assumptions'!$D$13)^(9-1)</x:f>
        <x:v>0</x:v>
      </x:c>
      <x:c r="V1069" s="10" t="n">
        <x:f>0</x:f>
        <x:v>0</x:v>
      </x:c>
      <x:c r="W1069" s="10" t="n">
        <x:f>H1069*('Assumptions'!$P$67+'Assumptions'!$Y$67)</x:f>
        <x:v>71.75504917284752</x:v>
      </x:c>
      <x:c r="X1069" s="10" t="n">
        <x:f>N1069/12*'Assumptions'!$AF$67</x:f>
        <x:v>601.0559310496498</x:v>
      </x:c>
      <x:c r="Y1069" s="10" t="n">
        <x:f>P1069/12</x:f>
        <x:v>0</x:v>
      </x:c>
      <x:c r="Z1069" s="10" t="n">
        <x:f>0</x:f>
        <x:v>0</x:v>
      </x:c>
      <x:c r="AA1069" s="10" t="n">
        <x:f>Z1069*'Assumptions'!$AC$67*'Assumptions'!$D$11*(1+'Assumptions'!$D$13)^(9-1)</x:f>
        <x:v>0</x:v>
      </x:c>
      <x:c r="AB1069" s="10" t="n">
        <x:f>F1069/1</x:f>
        <x:v>16.478574487210004</x:v>
      </x:c>
      <x:c r="AC1069" s="10" t="n">
        <x:f>AB1069/'Assumptions'!$AM$67</x:f>
        <x:v>82.39287243605001</x:v>
      </x:c>
      <x:c r="AD1069" s="10" t="n">
        <x:f>IF(AB1069=0,0,T1069/AB1069)</x:f>
        <x:v>17.507997862785952</x:v>
      </x:c>
      <x:c r="AE1069" s="10" t="n">
        <x:f>AA1069*'Assumptions'!$D$21</x:f>
        <x:v>0</x:v>
      </x:c>
    </x:row>
    <x:row r="1070" ht="16" customHeight="1">
      <x:c r="A1070" s="1"/>
      <x:c r="B1070" s="1"/>
      <x:c r="C1070" s="1" t="str">
        <x:v>DOT-039</x:v>
      </x:c>
      <x:c r="D1070" s="10" t="str">
        <x:v>DishLoom US</x:v>
      </x:c>
      <x:c r="E1070" s="10" t="n">
        <x:v>9</x:v>
      </x:c>
      <x:c r="F1070" s="21" t="n">
        <x:f>F942*(1+'Assumptions'!$M$68)</x:f>
        <x:v>84.01878246297602</x:v>
      </x:c>
      <x:c r="G1070" s="21" t="n">
        <x:f>H942*'Assumptions'!$K$68</x:f>
        <x:v>163.77320135903997</x:v>
      </x:c>
      <x:c r="H1070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1070+G1070,NA())</x:f>
        <x:v>247.791983822016</x:v>
      </x:c>
      <x:c r="I1070" s="22" t="n">
        <x:f>'Assumptions'!$H$68*IF('Assumptions'!$O$68=1,1,'Assumptions'!$D$10)*(1+'Assumptions'!$N$68)^(9-1)</x:f>
        <x:v>45.69471585908836</x:v>
      </x:c>
      <x:c r="J1070" s="10" t="n">
        <x:f>H1070*I1070</x:f>
        <x:v>11322.784292906841</x:v>
      </x:c>
      <x:c r="K1070" s="10" t="n">
        <x:f>J1070*'Assumptions'!$T$68</x:f>
        <x:v>11322.784292906841</x:v>
      </x:c>
      <x:c r="L1070" s="10" t="n">
        <x:f>K1070*'Assumptions'!$U$68</x:f>
        <x:v>339.6835287872052</x:v>
      </x:c>
      <x:c r="M1070" s="10" t="n">
        <x:f>K1070*'Assumptions'!$V$68</x:f>
        <x:v>0</x:v>
      </x:c>
      <x:c r="N1070" s="10" t="n">
        <x:f>K1070-L1070-M1070</x:f>
        <x:v>10983.100764119636</x:v>
      </x:c>
      <x:c r="O1070" s="10" t="n">
        <x:f>H1070*'Assumptions'!$P$68*'Assumptions'!$Q$68*'Assumptions'!$D$11*(1+'Assumptions'!$D$13)^(9-1)</x:f>
        <x:v>1647.9512254454241</x:v>
      </x:c>
      <x:c r="P1070" s="10" t="n">
        <x:f>H1070*'Assumptions'!$R$68*'Assumptions'!$D$11*(1+'Assumptions'!$D$13)^(9-1)</x:f>
        <x:v>0</x:v>
      </x:c>
      <x:c r="Q1070" s="10" t="n">
        <x:f>J1070*'Assumptions'!$S$68</x:f>
        <x:v>0</x:v>
      </x:c>
      <x:c r="R1070" s="10" t="n">
        <x:f>H1070*'Assumptions'!$Y$68*'Assumptions'!$Z$68*'Assumptions'!$D$11*(1+'Assumptions'!$D$13)^(9-1)</x:f>
        <x:v>1412.5296218103636</x:v>
      </x:c>
      <x:c r="S1070" s="10" t="n">
        <x:f>IF(I1070=0,0,J1070*'Assumptions'!$W$68+H1070*'Assumptions'!$X$68)</x:f>
        <x:v>402.6983396409032</x:v>
      </x:c>
      <x:c r="T1070" s="10" t="n">
        <x:f>N1070*'Assumptions'!$AA$68</x:f>
        <x:v>549.1550382059818</x:v>
      </x:c>
      <x:c r="U1070" s="10" t="n">
        <x:f>'Assumptions'!$AE$68*'Assumptions'!$D$11*(1+'Assumptions'!$D$13)^(9-1)</x:f>
        <x:v>152.01240976651397</x:v>
      </x:c>
      <x:c r="V1070" s="10" t="n">
        <x:f>0</x:f>
        <x:v>0</x:v>
      </x:c>
      <x:c r="W1070" s="10" t="n">
        <x:f>H1070*('Assumptions'!$P$68+'Assumptions'!$Y$68)</x:f>
        <x:v>74.3375951466048</x:v>
      </x:c>
      <x:c r="X1070" s="10" t="n">
        <x:f>N1070/12*'Assumptions'!$AF$68</x:f>
        <x:v>0</x:v>
      </x:c>
      <x:c r="Y1070" s="10" t="n">
        <x:f>P1070/12</x:f>
        <x:v>0</x:v>
      </x:c>
      <x:c r="Z1070" s="10" t="n">
        <x:f>0</x:f>
        <x:v>0</x:v>
      </x:c>
      <x:c r="AA1070" s="10" t="n">
        <x:f>Z1070*'Assumptions'!$AC$68*'Assumptions'!$D$11*(1+'Assumptions'!$D$13)^(9-1)</x:f>
        <x:v>0</x:v>
      </x:c>
      <x:c r="AB1070" s="10" t="n">
        <x:f>F1070/12</x:f>
        <x:v>7.001565205248002</x:v>
      </x:c>
      <x:c r="AC1070" s="10" t="n">
        <x:f>AB1070/'Assumptions'!$AM$68</x:f>
        <x:v>140.03130410496004</x:v>
      </x:c>
      <x:c r="AD1070" s="10" t="n">
        <x:f>IF(AB1070=0,0,T1070/AB1070)</x:f>
        <x:v>78.4331820254083</x:v>
      </x:c>
      <x:c r="AE1070" s="10" t="n">
        <x:f>AA1070*'Assumptions'!$D$21</x:f>
        <x:v>0</x:v>
      </x:c>
    </x:row>
    <x:row r="1071" ht="16" customHeight="1">
      <x:c r="A1071" s="1"/>
      <x:c r="B1071" s="1"/>
      <x:c r="C1071" s="1" t="str">
        <x:v>DOT-040</x:v>
      </x:c>
      <x:c r="D1071" s="10" t="str">
        <x:v>DishLoom US</x:v>
      </x:c>
      <x:c r="E1071" s="10" t="n">
        <x:v>9</x:v>
      </x:c>
      <x:c r="F1071" s="21" t="n">
        <x:f>F943*(1+'Assumptions'!$M$69)</x:f>
        <x:v>168.03756492595204</x:v>
      </x:c>
      <x:c r="G1071" s="21" t="n">
        <x:f>H943*'Assumptions'!$K$69</x:f>
        <x:v>327.54640271807995</x:v>
      </x:c>
      <x:c r="H1071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1071+G1071,NA())</x:f>
        <x:v>495.583967644032</x:v>
      </x:c>
      <x:c r="I1071" s="22" t="n">
        <x:f>'Assumptions'!$H$69*IF('Assumptions'!$O$69=1,1,'Assumptions'!$D$10)*(1+'Assumptions'!$N$69)^(9-1)</x:f>
        <x:v>10.544934429020392</x:v>
      </x:c>
      <x:c r="J1071" s="10" t="n">
        <x:f>H1071*I1071</x:f>
        <x:v>5225.900442880081</x:v>
      </x:c>
      <x:c r="K1071" s="10" t="n">
        <x:f>J1071*'Assumptions'!$T$69</x:f>
        <x:v>5225.900442880081</x:v>
      </x:c>
      <x:c r="L1071" s="10" t="n">
        <x:f>K1071*'Assumptions'!$U$69</x:f>
        <x:v>156.77701328640242</x:v>
      </x:c>
      <x:c r="M1071" s="10" t="n">
        <x:f>K1071*'Assumptions'!$V$69</x:f>
        <x:v>0</x:v>
      </x:c>
      <x:c r="N1071" s="10" t="n">
        <x:f>K1071-L1071-M1071</x:f>
        <x:v>5069.123429593678</x:v>
      </x:c>
      <x:c r="O1071" s="10" t="n">
        <x:f>H1071*'Assumptions'!$P$69*'Assumptions'!$Q$69*'Assumptions'!$D$11*(1+'Assumptions'!$D$13)^(9-1)</x:f>
        <x:v>1098.6341502969494</x:v>
      </x:c>
      <x:c r="P1071" s="10" t="n">
        <x:f>H1071*'Assumptions'!$R$69*'Assumptions'!$D$11*(1+'Assumptions'!$D$13)^(9-1)</x:f>
        <x:v>0</x:v>
      </x:c>
      <x:c r="Q1071" s="10" t="n">
        <x:f>J1071*'Assumptions'!$S$69</x:f>
        <x:v>0</x:v>
      </x:c>
      <x:c r="R1071" s="10" t="n">
        <x:f>H1071*'Assumptions'!$Y$69*'Assumptions'!$Z$69*'Assumptions'!$D$11*(1+'Assumptions'!$D$13)^(9-1)</x:f>
        <x:v>2825.059243620727</x:v>
      </x:c>
      <x:c r="S1071" s="10" t="n">
        <x:f>IF(I1071=0,0,J1071*'Assumptions'!$W$69+H1071*'Assumptions'!$X$69)</x:f>
        <x:v>300.226303136732</x:v>
      </x:c>
      <x:c r="T1071" s="10" t="n">
        <x:f>N1071*'Assumptions'!$AA$69</x:f>
        <x:v>253.45617147968392</x:v>
      </x:c>
      <x:c r="U1071" s="10" t="n">
        <x:f>'Assumptions'!$AE$69*'Assumptions'!$D$11*(1+'Assumptions'!$D$13)^(9-1)</x:f>
        <x:v>0</x:v>
      </x:c>
      <x:c r="V1071" s="10" t="n">
        <x:f>0</x:f>
        <x:v>0</x:v>
      </x:c>
      <x:c r="W1071" s="10" t="n">
        <x:f>H1071*('Assumptions'!$P$69+'Assumptions'!$Y$69)</x:f>
        <x:v>99.1167935288064</x:v>
      </x:c>
      <x:c r="X1071" s="10" t="n">
        <x:f>N1071/12*'Assumptions'!$AF$69</x:f>
        <x:v>0</x:v>
      </x:c>
      <x:c r="Y1071" s="10" t="n">
        <x:f>P1071/12</x:f>
        <x:v>0</x:v>
      </x:c>
      <x:c r="Z1071" s="10" t="n">
        <x:f>0</x:f>
        <x:v>0</x:v>
      </x:c>
      <x:c r="AA1071" s="10" t="n">
        <x:f>Z1071*'Assumptions'!$AC$69*'Assumptions'!$D$11*(1+'Assumptions'!$D$13)^(9-1)</x:f>
        <x:v>0</x:v>
      </x:c>
      <x:c r="AB1071" s="10" t="n">
        <x:f>F1071/1</x:f>
        <x:v>168.03756492595204</x:v>
      </x:c>
      <x:c r="AC1071" s="10" t="n">
        <x:f>AB1071/'Assumptions'!$AM$69</x:f>
        <x:v>3360.7512985190406</x:v>
      </x:c>
      <x:c r="AD1071" s="10" t="n">
        <x:f>IF(AB1071=0,0,T1071/AB1071)</x:f>
        <x:v>1.5083304235655444</x:v>
      </x:c>
      <x:c r="AE1071" s="10" t="n">
        <x:f>AA1071*'Assumptions'!$D$21</x:f>
        <x:v>0</x:v>
      </x:c>
    </x:row>
    <x:row r="1072" ht="16" customHeight="1">
      <x:c r="A1072" s="1"/>
      <x:c r="B1072" s="1"/>
      <x:c r="C1072" s="1" t="str">
        <x:v>DOT-041</x:v>
      </x:c>
      <x:c r="D1072" s="10" t="str">
        <x:v>DishLoom US</x:v>
      </x:c>
      <x:c r="E1072" s="10" t="n">
        <x:v>9</x:v>
      </x:c>
      <x:c r="F1072" s="21" t="n">
        <x:f>F944*(1+'Assumptions'!$M$70)</x:f>
        <x:v>210.04695615744004</x:v>
      </x:c>
      <x:c r="G1072" s="21" t="n">
        <x:f>H944*'Assumptions'!$K$70</x:f>
        <x:v>409.4330033976</x:v>
      </x:c>
      <x:c r="H1072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1072+G1072,NA())</x:f>
        <x:v>619.4799595550401</x:v>
      </x:c>
      <x:c r="I1072" s="22" t="n">
        <x:f>'Assumptions'!$H$70*IF('Assumptions'!$O$70=1,1,'Assumptions'!$D$10)*(1+'Assumptions'!$N$70)^(9-1)</x:f>
        <x:v>117.16593810022657</x:v>
      </x:c>
      <x:c r="J1072" s="10" t="n">
        <x:f>H1072*I1072</x:f>
        <x:v>72581.95059555669</x:v>
      </x:c>
      <x:c r="K1072" s="10" t="n">
        <x:f>J1072*'Assumptions'!$T$70</x:f>
        <x:v>10887.292589333503</x:v>
      </x:c>
      <x:c r="L1072" s="10" t="n">
        <x:f>K1072*'Assumptions'!$U$70</x:f>
        <x:v>326.6187776800051</x:v>
      </x:c>
      <x:c r="M1072" s="10" t="n">
        <x:f>K1072*'Assumptions'!$V$70</x:f>
        <x:v>0</x:v>
      </x:c>
      <x:c r="N1072" s="10" t="n">
        <x:f>K1072-L1072-M1072</x:f>
        <x:v>10560.673811653498</x:v>
      </x:c>
      <x:c r="O1072" s="10" t="n">
        <x:f>H1072*'Assumptions'!$P$70*'Assumptions'!$Q$70*'Assumptions'!$D$11*(1+'Assumptions'!$D$13)^(9-1)</x:f>
        <x:v>2746.5853757423743</x:v>
      </x:c>
      <x:c r="P1072" s="10" t="n">
        <x:f>H1072*'Assumptions'!$R$70*'Assumptions'!$D$11*(1+'Assumptions'!$D$13)^(9-1)</x:f>
        <x:v>0</x:v>
      </x:c>
      <x:c r="Q1072" s="10" t="n">
        <x:f>J1072*'Assumptions'!$S$70</x:f>
        <x:v>0</x:v>
      </x:c>
      <x:c r="R1072" s="10" t="n">
        <x:f>H1072*'Assumptions'!$Y$70*'Assumptions'!$Z$70*'Assumptions'!$D$11*(1+'Assumptions'!$D$13)^(9-1)</x:f>
        <x:v>3531.324054525909</x:v>
      </x:c>
      <x:c r="S1072" s="10" t="n">
        <x:f>IF(I1072=0,0,J1072*'Assumptions'!$W$70+H1072*'Assumptions'!$X$70)</x:f>
        <x:v>2290.720555137656</x:v>
      </x:c>
      <x:c r="T1072" s="10" t="n">
        <x:f>N1072*'Assumptions'!$AA$70</x:f>
        <x:v>528.0336905826749</x:v>
      </x:c>
      <x:c r="U1072" s="10" t="n">
        <x:f>'Assumptions'!$AE$70*'Assumptions'!$D$11*(1+'Assumptions'!$D$13)^(9-1)</x:f>
        <x:v>0</x:v>
      </x:c>
      <x:c r="V1072" s="10" t="n">
        <x:f>0</x:f>
        <x:v>0</x:v>
      </x:c>
      <x:c r="W1072" s="10" t="n">
        <x:f>H1072*('Assumptions'!$P$70+'Assumptions'!$Y$70)</x:f>
        <x:v>154.86998988876002</x:v>
      </x:c>
      <x:c r="X1072" s="10" t="n">
        <x:f>N1072/12*'Assumptions'!$AF$70</x:f>
        <x:v>0</x:v>
      </x:c>
      <x:c r="Y1072" s="10" t="n">
        <x:f>P1072/12</x:f>
        <x:v>0</x:v>
      </x:c>
      <x:c r="Z1072" s="10" t="n">
        <x:f>0</x:f>
        <x:v>0</x:v>
      </x:c>
      <x:c r="AA1072" s="10" t="n">
        <x:f>Z1072*'Assumptions'!$AC$70*'Assumptions'!$D$11*(1+'Assumptions'!$D$13)^(9-1)</x:f>
        <x:v>0</x:v>
      </x:c>
      <x:c r="AB1072" s="10" t="n">
        <x:f>F1072/1</x:f>
        <x:v>210.04695615744004</x:v>
      </x:c>
      <x:c r="AC1072" s="10" t="n">
        <x:f>AB1072/'Assumptions'!$AM$70</x:f>
        <x:v>4200.939123148801</x:v>
      </x:c>
      <x:c r="AD1072" s="10" t="n">
        <x:f>IF(AB1072=0,0,T1072/AB1072)</x:f>
        <x:v>2.513884039275908</x:v>
      </x:c>
      <x:c r="AE1072" s="10" t="n">
        <x:f>AA1072*'Assumptions'!$D$21</x:f>
        <x:v>0</x:v>
      </x:c>
    </x:row>
    <x:row r="1073" ht="16" customHeight="1">
      <x:c r="A1073" s="1"/>
      <x:c r="B1073" s="1"/>
      <x:c r="C1073" s="1" t="str">
        <x:v>DOT-042</x:v>
      </x:c>
      <x:c r="D1073" s="10" t="str">
        <x:v>Is Makes Travel Easy</x:v>
      </x:c>
      <x:c r="E1073" s="10" t="n">
        <x:v>9</x:v>
      </x:c>
      <x:c r="F1073" s="21" t="n">
        <x:f>F945*(1+'Assumptions'!$M$71)</x:f>
        <x:v>252.05634738892797</x:v>
      </x:c>
      <x:c r="G1073" s="21" t="n">
        <x:f>H945*'Assumptions'!$K$71</x:f>
        <x:v>496.5079249771199</x:v>
      </x:c>
      <x:c r="H1073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1073+G1073,NA())</x:f>
        <x:v>748.5642723660478</x:v>
      </x:c>
      <x:c r="I1073" s="22" t="n">
        <x:f>'Assumptions'!$H$71*IF('Assumptions'!$O$71=1,1,'Assumptions'!$D$10)*(1+'Assumptions'!$N$71)^(9-1)</x:f>
        <x:v>33.9781220490657</x:v>
      </x:c>
      <x:c r="J1073" s="10" t="n">
        <x:f>H1073*I1073</x:f>
        <x:v>25434.808208023635</x:v>
      </x:c>
      <x:c r="K1073" s="10" t="n">
        <x:f>J1073*'Assumptions'!$T$71</x:f>
        <x:v>25434.808208023635</x:v>
      </x:c>
      <x:c r="L1073" s="10" t="n">
        <x:f>K1073*'Assumptions'!$U$71</x:f>
        <x:v>763.044246240709</x:v>
      </x:c>
      <x:c r="M1073" s="10" t="n">
        <x:f>K1073*'Assumptions'!$V$71</x:f>
        <x:v>0</x:v>
      </x:c>
      <x:c r="N1073" s="10" t="n">
        <x:f>K1073-L1073-M1073</x:f>
        <x:v>24671.763961782926</x:v>
      </x:c>
      <x:c r="O1073" s="10" t="n">
        <x:f>H1073*'Assumptions'!$P$71*'Assumptions'!$Q$71*'Assumptions'!$D$11*(1+'Assumptions'!$D$13)^(9-1)</x:f>
        <x:v>3318.905884801501</x:v>
      </x:c>
      <x:c r="P1073" s="10" t="n">
        <x:f>H1073*'Assumptions'!$R$71*'Assumptions'!$D$11*(1+'Assumptions'!$D$13)^(9-1)</x:f>
        <x:v>0</x:v>
      </x:c>
      <x:c r="Q1073" s="10" t="n">
        <x:f>J1073*'Assumptions'!$S$71</x:f>
        <x:v>0</x:v>
      </x:c>
      <x:c r="R1073" s="10" t="n">
        <x:f>H1073*'Assumptions'!$Y$71*'Assumptions'!$Z$71*'Assumptions'!$D$11*(1+'Assumptions'!$D$13)^(9-1)</x:f>
        <x:v>4267.1647090305005</x:v>
      </x:c>
      <x:c r="S1073" s="10" t="n">
        <x:f>IF(I1073=0,0,J1073*'Assumptions'!$W$71+H1073*'Assumptions'!$X$71)</x:f>
        <x:v>962.1787197424999</x:v>
      </x:c>
      <x:c r="T1073" s="10" t="n">
        <x:f>N1073*'Assumptions'!$AA$71</x:f>
        <x:v>1233.5881980891463</x:v>
      </x:c>
      <x:c r="U1073" s="10" t="n">
        <x:f>'Assumptions'!$AE$71*'Assumptions'!$D$11*(1+'Assumptions'!$D$13)^(9-1)</x:f>
        <x:v>304.02481953302794</x:v>
      </x:c>
      <x:c r="V1073" s="10" t="n">
        <x:f>0</x:f>
        <x:v>0</x:v>
      </x:c>
      <x:c r="W1073" s="10" t="n">
        <x:f>H1073*('Assumptions'!$P$71+'Assumptions'!$Y$71)</x:f>
        <x:v>187.14106809151195</x:v>
      </x:c>
      <x:c r="X1073" s="10" t="n">
        <x:f>N1073/12*'Assumptions'!$AF$71</x:f>
        <x:v>0</x:v>
      </x:c>
      <x:c r="Y1073" s="10" t="n">
        <x:f>P1073/12</x:f>
        <x:v>0</x:v>
      </x:c>
      <x:c r="Z1073" s="10" t="n">
        <x:f>0</x:f>
        <x:v>0</x:v>
      </x:c>
      <x:c r="AA1073" s="10" t="n">
        <x:f>Z1073*'Assumptions'!$AC$71*'Assumptions'!$D$11*(1+'Assumptions'!$D$13)^(9-1)</x:f>
        <x:v>0</x:v>
      </x:c>
      <x:c r="AB1073" s="10" t="n">
        <x:f>F1073/1</x:f>
        <x:v>252.05634738892797</x:v>
      </x:c>
      <x:c r="AC1073" s="10" t="n">
        <x:f>AB1073/'Assumptions'!$AM$71</x:f>
        <x:v>5041.126947778559</x:v>
      </x:c>
      <x:c r="AD1073" s="10" t="n">
        <x:f>IF(AB1073=0,0,T1073/AB1073)</x:f>
        <x:v>4.894096938513892</x:v>
      </x:c>
      <x:c r="AE1073" s="10" t="n">
        <x:f>AA1073*'Assumptions'!$D$21</x:f>
        <x:v>0</x:v>
      </x:c>
    </x:row>
    <x:row r="1074" ht="16" customHeight="1">
      <x:c r="A1074" s="1"/>
      <x:c r="B1074" s="1"/>
      <x:c r="C1074" s="1" t="str">
        <x:v>DOT-043</x:v>
      </x:c>
      <x:c r="D1074" s="10" t="str">
        <x:v>Is Makes Travel Easy</x:v>
      </x:c>
      <x:c r="E1074" s="10" t="n">
        <x:v>9</x:v>
      </x:c>
      <x:c r="F1074" s="21" t="n">
        <x:f>F946*(1+'Assumptions'!$M$72)</x:f>
        <x:v>126.02817369446399</x:v>
      </x:c>
      <x:c r="G1074" s="21" t="n">
        <x:f>H946*'Assumptions'!$K$72</x:f>
        <x:v>248.25396248855995</x:v>
      </x:c>
      <x:c r="H1074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1074+G1074,NA())</x:f>
        <x:v>374.2821361830239</x:v>
      </x:c>
      <x:c r="I1074" s="22" t="n">
        <x:f>'Assumptions'!$H$72*IF('Assumptions'!$O$72=1,1,'Assumptions'!$D$10)*(1+'Assumptions'!$N$72)^(9-1)</x:f>
        <x:v>22.26152823904305</x:v>
      </x:c>
      <x:c r="J1074" s="10" t="n">
        <x:f>H1074*I1074</x:f>
        <x:v>8332.092344007742</x:v>
      </x:c>
      <x:c r="K1074" s="10" t="n">
        <x:f>J1074*'Assumptions'!$T$72</x:f>
        <x:v>8332.092344007742</x:v>
      </x:c>
      <x:c r="L1074" s="10" t="n">
        <x:f>K1074*'Assumptions'!$U$72</x:f>
        <x:v>249.96277032023227</x:v>
      </x:c>
      <x:c r="M1074" s="10" t="n">
        <x:f>K1074*'Assumptions'!$V$72</x:f>
        <x:v>0</x:v>
      </x:c>
      <x:c r="N1074" s="10" t="n">
        <x:f>K1074-L1074-M1074</x:f>
        <x:v>8082.12957368751</x:v>
      </x:c>
      <x:c r="O1074" s="10" t="n">
        <x:f>H1074*'Assumptions'!$P$72*'Assumptions'!$Q$72*'Assumptions'!$D$11*(1+'Assumptions'!$D$13)^(9-1)</x:f>
        <x:v>1659.4529424007505</x:v>
      </x:c>
      <x:c r="P1074" s="10" t="n">
        <x:f>H1074*'Assumptions'!$R$72*'Assumptions'!$D$11*(1+'Assumptions'!$D$13)^(9-1)</x:f>
        <x:v>0</x:v>
      </x:c>
      <x:c r="Q1074" s="10" t="n">
        <x:f>J1074*'Assumptions'!$S$72</x:f>
        <x:v>0</x:v>
      </x:c>
      <x:c r="R1074" s="10" t="n">
        <x:f>H1074*'Assumptions'!$Y$72*'Assumptions'!$Z$72*'Assumptions'!$D$11*(1+'Assumptions'!$D$13)^(9-1)</x:f>
        <x:v>2133.5823545152502</x:v>
      </x:c>
      <x:c r="S1074" s="10" t="n">
        <x:f>IF(I1074=0,0,J1074*'Assumptions'!$W$72+H1074*'Assumptions'!$X$72)</x:f>
        <x:v>353.9153188311317</x:v>
      </x:c>
      <x:c r="T1074" s="10" t="n">
        <x:f>N1074*'Assumptions'!$AA$72</x:f>
        <x:v>404.10647868437553</x:v>
      </x:c>
      <x:c r="U1074" s="10" t="n">
        <x:f>'Assumptions'!$AE$72*'Assumptions'!$D$11*(1+'Assumptions'!$D$13)^(9-1)</x:f>
        <x:v>0</x:v>
      </x:c>
      <x:c r="V1074" s="10" t="n">
        <x:f>0</x:f>
        <x:v>0</x:v>
      </x:c>
      <x:c r="W1074" s="10" t="n">
        <x:f>H1074*('Assumptions'!$P$72+'Assumptions'!$Y$72)</x:f>
        <x:v>93.57053404575598</x:v>
      </x:c>
      <x:c r="X1074" s="10" t="n">
        <x:f>N1074/12*'Assumptions'!$AF$72</x:f>
        <x:v>0</x:v>
      </x:c>
      <x:c r="Y1074" s="10" t="n">
        <x:f>P1074/12</x:f>
        <x:v>0</x:v>
      </x:c>
      <x:c r="Z1074" s="10" t="n">
        <x:f>0</x:f>
        <x:v>0</x:v>
      </x:c>
      <x:c r="AA1074" s="10" t="n">
        <x:f>Z1074*'Assumptions'!$AC$72*'Assumptions'!$D$11*(1+'Assumptions'!$D$13)^(9-1)</x:f>
        <x:v>0</x:v>
      </x:c>
      <x:c r="AB1074" s="10" t="n">
        <x:f>F1074/12</x:f>
        <x:v>10.502347807871999</x:v>
      </x:c>
      <x:c r="AC1074" s="10" t="n">
        <x:f>AB1074/'Assumptions'!$AM$72</x:f>
        <x:v>210.04695615743998</x:v>
      </x:c>
      <x:c r="AD1074" s="10" t="n">
        <x:f>IF(AB1074=0,0,T1074/AB1074)</x:f>
        <x:v>38.47772765452301</x:v>
      </x:c>
      <x:c r="AE1074" s="10" t="n">
        <x:f>AA1074*'Assumptions'!$D$21</x:f>
        <x:v>0</x:v>
      </x:c>
    </x:row>
    <x:row r="1075" ht="16" customHeight="1">
      <x:c r="A1075" s="1"/>
      <x:c r="B1075" s="1"/>
      <x:c r="C1075" s="1" t="str">
        <x:v>DOT-044</x:v>
      </x:c>
      <x:c r="D1075" s="10" t="str">
        <x:v>Is Makes Travel Easy</x:v>
      </x:c>
      <x:c r="E1075" s="10" t="n">
        <x:v>9</x:v>
      </x:c>
      <x:c r="F1075" s="21" t="n">
        <x:f>F947*(1+'Assumptions'!$M$73)</x:f>
        <x:v>51.41315240009523</x:v>
      </x:c>
      <x:c r="G1075" s="21" t="n">
        <x:f>H947*'Assumptions'!$K$73</x:f>
        <x:v>26.42752401214276</x:v>
      </x:c>
      <x:c r="H1075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1075+G1075,NA())</x:f>
        <x:v>77.840676412238</x:v>
      </x:c>
      <x:c r="I1075" s="22" t="n">
        <x:f>'Assumptions'!$H$73*IF('Assumptions'!$O$73=1,1,'Assumptions'!$D$10)*(1+'Assumptions'!$N$73)^(9-1)</x:f>
        <x:v>57.41130966911102</x:v>
      </x:c>
      <x:c r="J1075" s="10" t="n">
        <x:f>H1075*I1075</x:f>
        <x:v>4468.935178356061</x:v>
      </x:c>
      <x:c r="K1075" s="10" t="n">
        <x:f>J1075*'Assumptions'!$T$73</x:f>
        <x:v>4468.935178356061</x:v>
      </x:c>
      <x:c r="L1075" s="10" t="n">
        <x:f>K1075*'Assumptions'!$U$73</x:f>
        <x:v>134.06805535068185</x:v>
      </x:c>
      <x:c r="M1075" s="10" t="n">
        <x:f>K1075*'Assumptions'!$V$73</x:f>
        <x:v>0</x:v>
      </x:c>
      <x:c r="N1075" s="10" t="n">
        <x:f>K1075-L1075-M1075</x:f>
        <x:v>4334.86712300538</x:v>
      </x:c>
      <x:c r="O1075" s="10" t="n">
        <x:f>H1075*'Assumptions'!$P$73*'Assumptions'!$Q$73*'Assumptions'!$D$11*(1+'Assumptions'!$D$13)^(9-1)</x:f>
        <x:v>862.804599947481</x:v>
      </x:c>
      <x:c r="P1075" s="10" t="n">
        <x:f>H1075*'Assumptions'!$R$73*'Assumptions'!$D$11*(1+'Assumptions'!$D$13)^(9-1)</x:f>
        <x:v>0</x:v>
      </x:c>
      <x:c r="Q1075" s="10" t="n">
        <x:f>J1075*'Assumptions'!$S$73</x:f>
        <x:v>0</x:v>
      </x:c>
      <x:c r="R1075" s="10" t="n">
        <x:f>H1075*'Assumptions'!$Y$73*'Assumptions'!$Z$73*'Assumptions'!$D$11*(1+'Assumptions'!$D$13)^(9-1)</x:f>
        <x:v>1479.0935999099675</x:v>
      </x:c>
      <x:c r="S1075" s="10" t="n">
        <x:f>IF(I1075=0,0,J1075*'Assumptions'!$W$73+H1075*'Assumptions'!$X$73)</x:f>
        <x:v>152.9513230959972</x:v>
      </x:c>
      <x:c r="T1075" s="10" t="n">
        <x:f>N1075*'Assumptions'!$AA$73</x:f>
        <x:v>346.78936984043037</x:v>
      </x:c>
      <x:c r="U1075" s="10" t="n">
        <x:f>'Assumptions'!$AE$73*'Assumptions'!$D$11*(1+'Assumptions'!$D$13)^(9-1)</x:f>
        <x:v>0</x:v>
      </x:c>
      <x:c r="V1075" s="10" t="n">
        <x:f>0</x:f>
        <x:v>0</x:v>
      </x:c>
      <x:c r="W1075" s="10" t="n">
        <x:f>H1075*('Assumptions'!$P$73+'Assumptions'!$Y$73)</x:f>
        <x:v>58.3805073091785</x:v>
      </x:c>
      <x:c r="X1075" s="10" t="n">
        <x:f>N1075/12*'Assumptions'!$AF$73</x:f>
        <x:v>361.23892691711495</x:v>
      </x:c>
      <x:c r="Y1075" s="10" t="n">
        <x:f>P1075/12</x:f>
        <x:v>0</x:v>
      </x:c>
      <x:c r="Z1075" s="10" t="n">
        <x:f>0</x:f>
        <x:v>0</x:v>
      </x:c>
      <x:c r="AA1075" s="10" t="n">
        <x:f>Z1075*'Assumptions'!$AC$73*'Assumptions'!$D$11*(1+'Assumptions'!$D$13)^(9-1)</x:f>
        <x:v>0</x:v>
      </x:c>
      <x:c r="AB1075" s="10" t="n">
        <x:f>F1075/1</x:f>
        <x:v>51.41315240009523</x:v>
      </x:c>
      <x:c r="AC1075" s="10" t="n">
        <x:f>AB1075/'Assumptions'!$AM$73</x:f>
        <x:v>514.1315240009523</x:v>
      </x:c>
      <x:c r="AD1075" s="10" t="n">
        <x:f>IF(AB1075=0,0,T1075/AB1075)</x:f>
        <x:v>6.745148928852455</x:v>
      </x:c>
      <x:c r="AE1075" s="10" t="n">
        <x:f>AA1075*'Assumptions'!$D$21</x:f>
        <x:v>0</x:v>
      </x:c>
    </x:row>
    <x:row r="1076" ht="16" customHeight="1">
      <x:c r="A1076" s="1"/>
      <x:c r="B1076" s="1"/>
      <x:c r="C1076" s="1" t="str">
        <x:v>DOT-045</x:v>
      </x:c>
      <x:c r="D1076" s="10" t="str">
        <x:v>Is Makes Travel Easy</x:v>
      </x:c>
      <x:c r="E1076" s="10" t="n">
        <x:v>9</x:v>
      </x:c>
      <x:c r="F1076" s="21" t="n">
        <x:f>F948*(1+'Assumptions'!$M$74)</x:f>
        <x:v>168.03756492595204</x:v>
      </x:c>
      <x:c r="G1076" s="21" t="n">
        <x:f>H948*'Assumptions'!$K$74</x:f>
        <x:v>331.00528331808</x:v>
      </x:c>
      <x:c r="H1076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1076+G1076,NA())</x:f>
        <x:v>499.04284824403203</x:v>
      </x:c>
      <x:c r="I1076" s="22" t="n">
        <x:f>'Assumptions'!$H$74*IF('Assumptions'!$O$74=1,1,'Assumptions'!$D$10)*(1+'Assumptions'!$N$74)^(9-1)</x:f>
        <x:v>175.74890715033987</x:v>
      </x:c>
      <x:c r="J1076" s="10" t="n">
        <x:f>H1076*I1076</x:f>
        <x:v>87706.23520008154</x:v>
      </x:c>
      <x:c r="K1076" s="10" t="n">
        <x:f>J1076*'Assumptions'!$T$74</x:f>
        <x:v>8770.623520008156</x:v>
      </x:c>
      <x:c r="L1076" s="10" t="n">
        <x:f>K1076*'Assumptions'!$U$74</x:f>
        <x:v>263.11870560024465</x:v>
      </x:c>
      <x:c r="M1076" s="10" t="n">
        <x:f>K1076*'Assumptions'!$V$74</x:f>
        <x:v>0</x:v>
      </x:c>
      <x:c r="N1076" s="10" t="n">
        <x:f>K1076-L1076-M1076</x:f>
        <x:v>8507.50481440791</x:v>
      </x:c>
      <x:c r="O1076" s="10" t="n">
        <x:f>H1076*'Assumptions'!$P$74*'Assumptions'!$Q$74*'Assumptions'!$D$11*(1+'Assumptions'!$D$13)^(9-1)</x:f>
        <x:v>2212.603923201001</x:v>
      </x:c>
      <x:c r="P1076" s="10" t="n">
        <x:f>H1076*'Assumptions'!$R$74*'Assumptions'!$D$11*(1+'Assumptions'!$D$13)^(9-1)</x:f>
        <x:v>0</x:v>
      </x:c>
      <x:c r="Q1076" s="10" t="n">
        <x:f>J1076*'Assumptions'!$S$74</x:f>
        <x:v>0</x:v>
      </x:c>
      <x:c r="R1076" s="10" t="n">
        <x:f>H1076*'Assumptions'!$Y$74*'Assumptions'!$Z$74*'Assumptions'!$D$11*(1+'Assumptions'!$D$13)^(9-1)</x:f>
        <x:v>2844.7764726870014</x:v>
      </x:c>
      <x:c r="S1076" s="10" t="n">
        <x:f>IF(I1076=0,0,J1076*'Assumptions'!$W$74+H1076*'Assumptions'!$X$74)</x:f>
        <x:v>2693.1936752755746</x:v>
      </x:c>
      <x:c r="T1076" s="10" t="n">
        <x:f>N1076*'Assumptions'!$AA$74</x:f>
        <x:v>425.37524072039554</x:v>
      </x:c>
      <x:c r="U1076" s="10" t="n">
        <x:f>'Assumptions'!$AE$74*'Assumptions'!$D$11*(1+'Assumptions'!$D$13)^(9-1)</x:f>
        <x:v>0</x:v>
      </x:c>
      <x:c r="V1076" s="10" t="n">
        <x:f>0</x:f>
        <x:v>0</x:v>
      </x:c>
      <x:c r="W1076" s="10" t="n">
        <x:f>H1076*('Assumptions'!$P$74+'Assumptions'!$Y$74)</x:f>
        <x:v>124.76071206100801</x:v>
      </x:c>
      <x:c r="X1076" s="10" t="n">
        <x:f>N1076/12*'Assumptions'!$AF$74</x:f>
        <x:v>0</x:v>
      </x:c>
      <x:c r="Y1076" s="10" t="n">
        <x:f>P1076/12</x:f>
        <x:v>0</x:v>
      </x:c>
      <x:c r="Z1076" s="10" t="n">
        <x:f>0</x:f>
        <x:v>0</x:v>
      </x:c>
      <x:c r="AA1076" s="10" t="n">
        <x:f>Z1076*'Assumptions'!$AC$74*'Assumptions'!$D$11*(1+'Assumptions'!$D$13)^(9-1)</x:f>
        <x:v>0</x:v>
      </x:c>
      <x:c r="AB1076" s="10" t="n">
        <x:f>F1076/1</x:f>
        <x:v>168.03756492595204</x:v>
      </x:c>
      <x:c r="AC1076" s="10" t="n">
        <x:f>AB1076/'Assumptions'!$AM$74</x:f>
        <x:v>3360.7512985190406</x:v>
      </x:c>
      <x:c r="AD1076" s="10" t="n">
        <x:f>IF(AB1076=0,0,T1076/AB1076)</x:f>
        <x:v>2.531429450955462</x:v>
      </x:c>
      <x:c r="AE1076" s="10" t="n">
        <x:f>AA1076*'Assumptions'!$D$21</x:f>
        <x:v>0</x:v>
      </x:c>
    </x:row>
    <x:row r="1077" ht="16" customHeight="1">
      <x:c r="A1077" s="1"/>
      <x:c r="B1077" s="1"/>
      <x:c r="C1077" s="1" t="str">
        <x:v>DOT-046</x:v>
      </x:c>
      <x:c r="D1077" s="10" t="str">
        <x:v>Turbo Tax - Made Easy!</x:v>
      </x:c>
      <x:c r="E1077" s="10" t="n">
        <x:v>9</x:v>
      </x:c>
      <x:c r="F1077" s="21" t="n">
        <x:f>F949*(1+'Assumptions'!$M$75)</x:f>
        <x:v>442.917437202014</x:v>
      </x:c>
      <x:c r="G1077" s="21" t="n">
        <x:f>H949*'Assumptions'!$K$75</x:f>
        <x:v>141.89445200441403</x:v>
      </x:c>
      <x:c r="H1077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1077+G1077,NA())</x:f>
        <x:v>584.8118892064281</x:v>
      </x:c>
      <x:c r="I1077" s="22" t="n">
        <x:f>'Assumptions'!$H$75*IF('Assumptions'!$O$75=1,1,'Assumptions'!$D$10)*(1+'Assumptions'!$N$75)^(9-1)</x:f>
        <x:v>149</x:v>
      </x:c>
      <x:c r="J1077" s="10" t="n">
        <x:f>H1077*I1077</x:f>
        <x:v>87136.97149175778</x:v>
      </x:c>
      <x:c r="K1077" s="10" t="n">
        <x:f>J1077*'Assumptions'!$T$75</x:f>
        <x:v>87136.97149175778</x:v>
      </x:c>
      <x:c r="L1077" s="10" t="n">
        <x:f>K1077*'Assumptions'!$U$75</x:f>
        <x:v>2614.1091447527333</x:v>
      </x:c>
      <x:c r="M1077" s="10" t="n">
        <x:f>K1077*'Assumptions'!$V$75</x:f>
        <x:v>0</x:v>
      </x:c>
      <x:c r="N1077" s="10" t="n">
        <x:f>K1077-L1077-M1077</x:f>
        <x:v>84522.86234700505</x:v>
      </x:c>
      <x:c r="O1077" s="10" t="n">
        <x:f>H1077*'Assumptions'!$P$75*'Assumptions'!$Q$75*'Assumptions'!$D$11*(1+'Assumptions'!$D$13)^(9-1)</x:f>
        <x:v>3889.316573553981</x:v>
      </x:c>
      <x:c r="P1077" s="10" t="n">
        <x:f>H1077*'Assumptions'!$R$75*'Assumptions'!$D$11*(1+'Assumptions'!$D$13)^(9-1)</x:f>
        <x:v>0</x:v>
      </x:c>
      <x:c r="Q1077" s="10" t="n">
        <x:f>J1077*'Assumptions'!$S$75</x:f>
        <x:v>0</x:v>
      </x:c>
      <x:c r="R1077" s="10" t="n">
        <x:f>H1077*'Assumptions'!$Y$75*'Assumptions'!$Z$75*'Assumptions'!$D$11*(1+'Assumptions'!$D$13)^(9-1)</x:f>
        <x:v>2222.4666134594177</x:v>
      </x:c>
      <x:c r="S1077" s="10" t="n">
        <x:f>IF(I1077=0,0,J1077*'Assumptions'!$W$75+H1077*'Assumptions'!$X$75)</x:f>
        <x:v>2702.415740022904</x:v>
      </x:c>
      <x:c r="T1077" s="10" t="n">
        <x:f>N1077*'Assumptions'!$AA$75</x:f>
        <x:v>4226.143117350252</x:v>
      </x:c>
      <x:c r="U1077" s="10" t="n">
        <x:f>'Assumptions'!$AE$75*'Assumptions'!$D$11*(1+'Assumptions'!$D$13)^(9-1)</x:f>
        <x:v>0</x:v>
      </x:c>
      <x:c r="V1077" s="10" t="n">
        <x:f>0</x:f>
        <x:v>0</x:v>
      </x:c>
      <x:c r="W1077" s="10" t="n">
        <x:f>H1077*('Assumptions'!$P$75+'Assumptions'!$Y$75)</x:f>
        <x:v>146.20297230160702</x:v>
      </x:c>
      <x:c r="X1077" s="10" t="n">
        <x:f>N1077/12*'Assumptions'!$AF$75</x:f>
        <x:v>0</x:v>
      </x:c>
      <x:c r="Y1077" s="10" t="n">
        <x:f>P1077/12</x:f>
        <x:v>0</x:v>
      </x:c>
      <x:c r="Z1077" s="10" t="n">
        <x:f>0</x:f>
        <x:v>0</x:v>
      </x:c>
      <x:c r="AA1077" s="10" t="n">
        <x:f>Z1077*'Assumptions'!$AC$75*'Assumptions'!$D$11*(1+'Assumptions'!$D$13)^(9-1)</x:f>
        <x:v>0</x:v>
      </x:c>
      <x:c r="AB1077" s="10" t="n">
        <x:f>F1077/1</x:f>
        <x:v>442.917437202014</x:v>
      </x:c>
      <x:c r="AC1077" s="10" t="n">
        <x:f>AB1077/'Assumptions'!$AM$75</x:f>
        <x:v>8858.34874404028</x:v>
      </x:c>
      <x:c r="AD1077" s="10" t="n">
        <x:f>IF(AB1077=0,0,T1077/AB1077)</x:f>
        <x:v>9.541604738001576</x:v>
      </x:c>
      <x:c r="AE1077" s="10" t="n">
        <x:f>AA1077*'Assumptions'!$D$21</x:f>
        <x:v>0</x:v>
      </x:c>
    </x:row>
    <x:row r="1078" ht="16" customHeight="1">
      <x:c r="A1078" s="1"/>
      <x:c r="B1078" s="1"/>
      <x:c r="C1078" s="1" t="str">
        <x:v>DOT-047</x:v>
      </x:c>
      <x:c r="D1078" s="10" t="str">
        <x:v>LavaLearning adult</x:v>
      </x:c>
      <x:c r="E1078" s="10" t="n">
        <x:v>9</x:v>
      </x:c>
      <x:c r="F1078" s="21" t="n">
        <x:f>F950*(1+'Assumptions'!$M$76)</x:f>
        <x:v>295.27829146800934</x:v>
      </x:c>
      <x:c r="G1078" s="21" t="n">
        <x:f>H950*'Assumptions'!$K$76</x:f>
        <x:v>94.59604702312498</x:v>
      </x:c>
      <x:c r="H1078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1078+G1078,NA())</x:f>
        <x:v>389.8743384911343</x:v>
      </x:c>
      <x:c r="I1078" s="22" t="n">
        <x:f>'Assumptions'!$H$76*IF('Assumptions'!$O$76=1,1,'Assumptions'!$D$10)*(1+'Assumptions'!$N$76)^(9-1)</x:f>
        <x:v>79</x:v>
      </x:c>
      <x:c r="J1078" s="10" t="n">
        <x:f>H1078*I1078</x:f>
        <x:v>30800.072740799613</x:v>
      </x:c>
      <x:c r="K1078" s="10" t="n">
        <x:f>J1078*'Assumptions'!$T$76</x:f>
        <x:v>30800.072740799613</x:v>
      </x:c>
      <x:c r="L1078" s="10" t="n">
        <x:f>K1078*'Assumptions'!$U$76</x:f>
        <x:v>924.0021822239884</x:v>
      </x:c>
      <x:c r="M1078" s="10" t="n">
        <x:f>K1078*'Assumptions'!$V$76</x:f>
        <x:v>0</x:v>
      </x:c>
      <x:c r="N1078" s="10" t="n">
        <x:f>K1078-L1078-M1078</x:f>
        <x:v>29876.070558575626</x:v>
      </x:c>
      <x:c r="O1078" s="10" t="n">
        <x:f>H1078*'Assumptions'!$P$76*'Assumptions'!$Q$76*'Assumptions'!$D$11*(1+'Assumptions'!$D$13)^(9-1)</x:f>
        <x:v>2592.8760243821257</x:v>
      </x:c>
      <x:c r="P1078" s="10" t="n">
        <x:f>H1078*'Assumptions'!$R$76*'Assumptions'!$D$11*(1+'Assumptions'!$D$13)^(9-1)</x:f>
        <x:v>0</x:v>
      </x:c>
      <x:c r="Q1078" s="10" t="n">
        <x:f>J1078*'Assumptions'!$S$76</x:f>
        <x:v>0</x:v>
      </x:c>
      <x:c r="R1078" s="10" t="n">
        <x:f>H1078*'Assumptions'!$Y$76*'Assumptions'!$Z$76*'Assumptions'!$D$11*(1+'Assumptions'!$D$13)^(9-1)</x:f>
        <x:v>1481.643442504072</x:v>
      </x:c>
      <x:c r="S1078" s="10" t="n">
        <x:f>IF(I1078=0,0,J1078*'Assumptions'!$W$76+H1078*'Assumptions'!$X$76)</x:f>
        <x:v>1010.1644110305291</x:v>
      </x:c>
      <x:c r="T1078" s="10" t="n">
        <x:f>N1078*'Assumptions'!$AA$76</x:f>
        <x:v>1493.8035279287815</x:v>
      </x:c>
      <x:c r="U1078" s="10" t="n">
        <x:f>'Assumptions'!$AE$76*'Assumptions'!$D$11*(1+'Assumptions'!$D$13)^(9-1)</x:f>
        <x:v>0</x:v>
      </x:c>
      <x:c r="V1078" s="10" t="n">
        <x:f>0</x:f>
        <x:v>0</x:v>
      </x:c>
      <x:c r="W1078" s="10" t="n">
        <x:f>H1078*('Assumptions'!$P$76+'Assumptions'!$Y$76)</x:f>
        <x:v>97.46858462278358</x:v>
      </x:c>
      <x:c r="X1078" s="10" t="n">
        <x:f>N1078/12*'Assumptions'!$AF$76</x:f>
        <x:v>0</x:v>
      </x:c>
      <x:c r="Y1078" s="10" t="n">
        <x:f>P1078/12</x:f>
        <x:v>0</x:v>
      </x:c>
      <x:c r="Z1078" s="10" t="n">
        <x:f>0</x:f>
        <x:v>0</x:v>
      </x:c>
      <x:c r="AA1078" s="10" t="n">
        <x:f>Z1078*'Assumptions'!$AC$76*'Assumptions'!$D$11*(1+'Assumptions'!$D$13)^(9-1)</x:f>
        <x:v>0</x:v>
      </x:c>
      <x:c r="AB1078" s="10" t="n">
        <x:f>F1078/1</x:f>
        <x:v>295.27829146800934</x:v>
      </x:c>
      <x:c r="AC1078" s="10" t="n">
        <x:f>AB1078/'Assumptions'!$AM$76</x:f>
        <x:v>5905.565829360186</x:v>
      </x:c>
      <x:c r="AD1078" s="10" t="n">
        <x:f>IF(AB1078=0,0,T1078/AB1078)</x:f>
        <x:v>5.058968339670921</x:v>
      </x:c>
      <x:c r="AE1078" s="10" t="n">
        <x:f>AA1078*'Assumptions'!$D$21</x:f>
        <x:v>0</x:v>
      </x:c>
    </x:row>
    <x:row r="1079" ht="16" customHeight="1">
      <x:c r="A1079" s="1"/>
      <x:c r="B1079" s="1"/>
      <x:c r="C1079" s="1" t="str">
        <x:v>DOT-048</x:v>
      </x:c>
      <x:c r="D1079" s="10" t="str">
        <x:v>Turbo Tax - Made Easy!</x:v>
      </x:c>
      <x:c r="E1079" s="10" t="n">
        <x:v>9</x:v>
      </x:c>
      <x:c r="F1079" s="21" t="n">
        <x:f>F951*(1+'Assumptions'!$M$77)</x:f>
        <x:v>885.834874404028</x:v>
      </x:c>
      <x:c r="G1079" s="21" t="n">
        <x:f>H951*'Assumptions'!$K$77</x:f>
        <x:v>283.78890400882807</x:v>
      </x:c>
      <x:c r="H1079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1079+G1079,NA())</x:f>
        <x:v>1169.6237784128562</x:v>
      </x:c>
      <x:c r="I1079" s="22" t="n">
        <x:f>'Assumptions'!$H$77*IF('Assumptions'!$O$77=1,1,'Assumptions'!$D$10)*(1+'Assumptions'!$N$77)^(9-1)</x:f>
        <x:v>22.26152823904305</x:v>
      </x:c>
      <x:c r="J1079" s="10" t="n">
        <x:f>H1079*I1079</x:f>
        <x:v>26037.61277219403</x:v>
      </x:c>
      <x:c r="K1079" s="10" t="n">
        <x:f>J1079*'Assumptions'!$T$77</x:f>
        <x:v>26037.61277219403</x:v>
      </x:c>
      <x:c r="L1079" s="10" t="n">
        <x:f>K1079*'Assumptions'!$U$77</x:f>
        <x:v>781.1283831658209</x:v>
      </x:c>
      <x:c r="M1079" s="10" t="n">
        <x:f>K1079*'Assumptions'!$V$77</x:f>
        <x:v>0</x:v>
      </x:c>
      <x:c r="N1079" s="10" t="n">
        <x:f>K1079-L1079-M1079</x:f>
        <x:v>25256.484389028206</x:v>
      </x:c>
      <x:c r="O1079" s="10" t="n">
        <x:f>H1079*'Assumptions'!$P$77*'Assumptions'!$Q$77*'Assumptions'!$D$11*(1+'Assumptions'!$D$13)^(9-1)</x:f>
        <x:v>7778.633147107962</x:v>
      </x:c>
      <x:c r="P1079" s="10" t="n">
        <x:f>H1079*'Assumptions'!$R$77*'Assumptions'!$D$11*(1+'Assumptions'!$D$13)^(9-1)</x:f>
        <x:v>0</x:v>
      </x:c>
      <x:c r="Q1079" s="10" t="n">
        <x:f>J1079*'Assumptions'!$S$77</x:f>
        <x:v>0</x:v>
      </x:c>
      <x:c r="R1079" s="10" t="n">
        <x:f>H1079*'Assumptions'!$Y$77*'Assumptions'!$Z$77*'Assumptions'!$D$11*(1+'Assumptions'!$D$13)^(9-1)</x:f>
        <x:v>4444.933226918835</x:v>
      </x:c>
      <x:c r="S1079" s="10" t="n">
        <x:f>IF(I1079=0,0,J1079*'Assumptions'!$W$77+H1079*'Assumptions'!$X$77)</x:f>
        <x:v>1105.9779039174837</x:v>
      </x:c>
      <x:c r="T1079" s="10" t="n">
        <x:f>N1079*'Assumptions'!$AA$77</x:f>
        <x:v>1262.8242194514105</x:v>
      </x:c>
      <x:c r="U1079" s="10" t="n">
        <x:f>'Assumptions'!$AE$77*'Assumptions'!$D$11*(1+'Assumptions'!$D$13)^(9-1)</x:f>
        <x:v>0</x:v>
      </x:c>
      <x:c r="V1079" s="10" t="n">
        <x:f>0</x:f>
        <x:v>0</x:v>
      </x:c>
      <x:c r="W1079" s="10" t="n">
        <x:f>H1079*('Assumptions'!$P$77+'Assumptions'!$Y$77)</x:f>
        <x:v>292.40594460321404</x:v>
      </x:c>
      <x:c r="X1079" s="10" t="n">
        <x:f>N1079/12*'Assumptions'!$AF$77</x:f>
        <x:v>0</x:v>
      </x:c>
      <x:c r="Y1079" s="10" t="n">
        <x:f>P1079/12</x:f>
        <x:v>0</x:v>
      </x:c>
      <x:c r="Z1079" s="10" t="n">
        <x:f>0</x:f>
        <x:v>0</x:v>
      </x:c>
      <x:c r="AA1079" s="10" t="n">
        <x:f>Z1079*'Assumptions'!$AC$77*'Assumptions'!$D$11*(1+'Assumptions'!$D$13)^(9-1)</x:f>
        <x:v>0</x:v>
      </x:c>
      <x:c r="AB1079" s="10" t="n">
        <x:f>F1079/1</x:f>
        <x:v>885.834874404028</x:v>
      </x:c>
      <x:c r="AC1079" s="10" t="n">
        <x:f>AB1079/'Assumptions'!$AM$77</x:f>
        <x:v>17716.69748808056</x:v>
      </x:c>
      <x:c r="AD1079" s="10" t="n">
        <x:f>IF(AB1079=0,0,T1079/AB1079)</x:f>
        <x:v>1.4255751900725442</x:v>
      </x:c>
      <x:c r="AE1079" s="10" t="n">
        <x:f>AA1079*'Assumptions'!$D$21</x:f>
        <x:v>0</x:v>
      </x:c>
    </x:row>
    <x:row r="1080" ht="16" customHeight="1">
      <x:c r="A1080" s="1"/>
      <x:c r="B1080" s="1"/>
      <x:c r="C1080" s="1" t="str">
        <x:v>DOT-049</x:v>
      </x:c>
      <x:c r="D1080" s="10" t="str">
        <x:v>Turbo Tax - Made Easy!</x:v>
      </x:c>
      <x:c r="E1080" s="10" t="n">
        <x:v>9</x:v>
      </x:c>
      <x:c r="F1080" s="21" t="n">
        <x:f>F952*(1+'Assumptions'!$M$78)</x:f>
        <x:v>295.27829146800934</x:v>
      </x:c>
      <x:c r="G1080" s="21" t="n">
        <x:f>H952*'Assumptions'!$K$78</x:f>
        <x:v>94.59528408367186</x:v>
      </x:c>
      <x:c r="H1080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1080+G1080,NA())</x:f>
        <x:v>389.8735755516812</x:v>
      </x:c>
      <x:c r="I1080" s="22" t="n">
        <x:f>'Assumptions'!$H$78*IF('Assumptions'!$O$78=1,1,'Assumptions'!$D$10)*(1+'Assumptions'!$N$78)^(9-1)</x:f>
        <x:v>22.26152823904305</x:v>
      </x:c>
      <x:c r="J1080" s="10" t="n">
        <x:f>H1080*I1080</x:f>
        <x:v>8679.181611800435</x:v>
      </x:c>
      <x:c r="K1080" s="10" t="n">
        <x:f>J1080*'Assumptions'!$T$78</x:f>
        <x:v>8679.181611800435</x:v>
      </x:c>
      <x:c r="L1080" s="10" t="n">
        <x:f>K1080*'Assumptions'!$U$78</x:f>
        <x:v>260.37544835401303</x:v>
      </x:c>
      <x:c r="M1080" s="10" t="n">
        <x:f>K1080*'Assumptions'!$V$78</x:f>
        <x:v>0</x:v>
      </x:c>
      <x:c r="N1080" s="10" t="n">
        <x:f>K1080-L1080-M1080</x:f>
        <x:v>8418.806163446423</x:v>
      </x:c>
      <x:c r="O1080" s="10" t="n">
        <x:f>H1080*'Assumptions'!$P$78*'Assumptions'!$Q$78*'Assumptions'!$D$11*(1+'Assumptions'!$D$13)^(9-1)</x:f>
        <x:v>2592.8709504205417</x:v>
      </x:c>
      <x:c r="P1080" s="10" t="n">
        <x:f>H1080*'Assumptions'!$R$78*'Assumptions'!$D$11*(1+'Assumptions'!$D$13)^(9-1)</x:f>
        <x:v>0</x:v>
      </x:c>
      <x:c r="Q1080" s="10" t="n">
        <x:f>J1080*'Assumptions'!$S$78</x:f>
        <x:v>0</x:v>
      </x:c>
      <x:c r="R1080" s="10" t="n">
        <x:f>H1080*'Assumptions'!$Y$78*'Assumptions'!$Z$78*'Assumptions'!$D$11*(1+'Assumptions'!$D$13)^(9-1)</x:f>
        <x:v>1481.6405430974526</x:v>
      </x:c>
      <x:c r="S1080" s="10" t="n">
        <x:f>IF(I1080=0,0,J1080*'Assumptions'!$W$78+H1080*'Assumptions'!$X$78)</x:f>
        <x:v>368.658339407717</x:v>
      </x:c>
      <x:c r="T1080" s="10" t="n">
        <x:f>N1080*'Assumptions'!$AA$78</x:f>
        <x:v>420.9403081723212</x:v>
      </x:c>
      <x:c r="U1080" s="10" t="n">
        <x:f>'Assumptions'!$AE$78*'Assumptions'!$D$11*(1+'Assumptions'!$D$13)^(9-1)</x:f>
        <x:v>0</x:v>
      </x:c>
      <x:c r="V1080" s="10" t="n">
        <x:f>0</x:f>
        <x:v>0</x:v>
      </x:c>
      <x:c r="W1080" s="10" t="n">
        <x:f>H1080*('Assumptions'!$P$78+'Assumptions'!$Y$78)</x:f>
        <x:v>97.4683938879203</x:v>
      </x:c>
      <x:c r="X1080" s="10" t="n">
        <x:f>N1080/12*'Assumptions'!$AF$78</x:f>
        <x:v>0</x:v>
      </x:c>
      <x:c r="Y1080" s="10" t="n">
        <x:f>P1080/12</x:f>
        <x:v>0</x:v>
      </x:c>
      <x:c r="Z1080" s="10" t="n">
        <x:f>0</x:f>
        <x:v>0</x:v>
      </x:c>
      <x:c r="AA1080" s="10" t="n">
        <x:f>Z1080*'Assumptions'!$AC$78*'Assumptions'!$D$11*(1+'Assumptions'!$D$13)^(9-1)</x:f>
        <x:v>0</x:v>
      </x:c>
      <x:c r="AB1080" s="10" t="n">
        <x:f>F1080/1</x:f>
        <x:v>295.27829146800934</x:v>
      </x:c>
      <x:c r="AC1080" s="10" t="n">
        <x:f>AB1080/'Assumptions'!$AM$78</x:f>
        <x:v>5905.565829360186</x:v>
      </x:c>
      <x:c r="AD1080" s="10" t="n">
        <x:f>IF(AB1080=0,0,T1080/AB1080)</x:f>
        <x:v>1.4255714704916806</x:v>
      </x:c>
      <x:c r="AE1080" s="10" t="n">
        <x:f>AA1080*'Assumptions'!$D$21</x:f>
        <x:v>0</x:v>
      </x:c>
    </x:row>
    <x:row r="1081" ht="16" customHeight="1">
      <x:c r="A1081" s="1"/>
      <x:c r="B1081" s="1"/>
      <x:c r="C1081" s="1" t="str">
        <x:v>DOT-050</x:v>
      </x:c>
      <x:c r="D1081" s="10" t="str">
        <x:v>LavaLearning adult</x:v>
      </x:c>
      <x:c r="E1081" s="10" t="n">
        <x:v>9</x:v>
      </x:c>
      <x:c r="F1081" s="21" t="n">
        <x:f>F953*(1+'Assumptions'!$M$79)</x:f>
        <x:v>885.834874404028</x:v>
      </x:c>
      <x:c r="G1081" s="21" t="n">
        <x:f>H953*'Assumptions'!$K$79</x:f>
        <x:v>283.78814106937494</x:v>
      </x:c>
      <x:c r="H1081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1081+G1081,NA())</x:f>
        <x:v>1169.623015473403</x:v>
      </x:c>
      <x:c r="I1081" s="22" t="n">
        <x:f>'Assumptions'!$H$79*IF('Assumptions'!$O$79=1,1,'Assumptions'!$D$10)*(1+'Assumptions'!$N$79)^(9-1)</x:f>
        <x:v>22.26152823904305</x:v>
      </x:c>
      <x:c r="J1081" s="10" t="n">
        <x:f>H1081*I1081</x:f>
        <x:v>26037.595787995848</x:v>
      </x:c>
      <x:c r="K1081" s="10" t="n">
        <x:f>J1081*'Assumptions'!$T$79</x:f>
        <x:v>26037.595787995848</x:v>
      </x:c>
      <x:c r="L1081" s="10" t="n">
        <x:f>K1081*'Assumptions'!$U$79</x:f>
        <x:v>781.1278736398754</x:v>
      </x:c>
      <x:c r="M1081" s="10" t="n">
        <x:f>K1081*'Assumptions'!$V$79</x:f>
        <x:v>0</x:v>
      </x:c>
      <x:c r="N1081" s="10" t="n">
        <x:f>K1081-L1081-M1081</x:f>
        <x:v>25256.467914355973</x:v>
      </x:c>
      <x:c r="O1081" s="10" t="n">
        <x:f>H1081*'Assumptions'!$P$79*'Assumptions'!$Q$79*'Assumptions'!$D$11*(1+'Assumptions'!$D$13)^(9-1)</x:f>
        <x:v>7778.6280731463785</x:v>
      </x:c>
      <x:c r="P1081" s="10" t="n">
        <x:f>H1081*'Assumptions'!$R$79*'Assumptions'!$D$11*(1+'Assumptions'!$D$13)^(9-1)</x:f>
        <x:v>0</x:v>
      </x:c>
      <x:c r="Q1081" s="10" t="n">
        <x:f>J1081*'Assumptions'!$S$79</x:f>
        <x:v>0</x:v>
      </x:c>
      <x:c r="R1081" s="10" t="n">
        <x:f>H1081*'Assumptions'!$Y$79*'Assumptions'!$Z$79*'Assumptions'!$D$11*(1+'Assumptions'!$D$13)^(9-1)</x:f>
        <x:v>4444.9303275122165</x:v>
      </x:c>
      <x:c r="S1081" s="10" t="n">
        <x:f>IF(I1081=0,0,J1081*'Assumptions'!$W$79+H1081*'Assumptions'!$X$79)</x:f>
        <x:v>1105.9771824939005</x:v>
      </x:c>
      <x:c r="T1081" s="10" t="n">
        <x:f>N1081*'Assumptions'!$AA$79</x:f>
        <x:v>1262.8233957177988</x:v>
      </x:c>
      <x:c r="U1081" s="10" t="n">
        <x:f>'Assumptions'!$AE$79*'Assumptions'!$D$11*(1+'Assumptions'!$D$13)^(9-1)</x:f>
        <x:v>0</x:v>
      </x:c>
      <x:c r="V1081" s="10" t="n">
        <x:f>0</x:f>
        <x:v>0</x:v>
      </x:c>
      <x:c r="W1081" s="10" t="n">
        <x:f>H1081*('Assumptions'!$P$79+'Assumptions'!$Y$79)</x:f>
        <x:v>292.40575386835076</x:v>
      </x:c>
      <x:c r="X1081" s="10" t="n">
        <x:f>N1081/12*'Assumptions'!$AF$79</x:f>
        <x:v>0</x:v>
      </x:c>
      <x:c r="Y1081" s="10" t="n">
        <x:f>P1081/12</x:f>
        <x:v>0</x:v>
      </x:c>
      <x:c r="Z1081" s="10" t="n">
        <x:f>0</x:f>
        <x:v>0</x:v>
      </x:c>
      <x:c r="AA1081" s="10" t="n">
        <x:f>Z1081*'Assumptions'!$AC$79*'Assumptions'!$D$11*(1+'Assumptions'!$D$13)^(9-1)</x:f>
        <x:v>0</x:v>
      </x:c>
      <x:c r="AB1081" s="10" t="n">
        <x:f>F1081/1</x:f>
        <x:v>885.834874404028</x:v>
      </x:c>
      <x:c r="AC1081" s="10" t="n">
        <x:f>AB1081/'Assumptions'!$AM$79</x:f>
        <x:v>17716.69748808056</x:v>
      </x:c>
      <x:c r="AD1081" s="10" t="n">
        <x:f>IF(AB1081=0,0,T1081/AB1081)</x:f>
        <x:v>1.4255742601773282</x:v>
      </x:c>
      <x:c r="AE1081" s="10" t="n">
        <x:f>AA1081*'Assumptions'!$D$21</x:f>
        <x:v>0</x:v>
      </x:c>
    </x:row>
    <x:row r="1082" ht="16" customHeight="1">
      <x:c r="A1082" s="1"/>
      <x:c r="B1082" s="1"/>
      <x:c r="C1082" s="1" t="str">
        <x:v>DOT-051</x:v>
      </x:c>
      <x:c r="D1082" s="10" t="str">
        <x:v>LavaLearning adult</x:v>
      </x:c>
      <x:c r="E1082" s="10" t="n">
        <x:v>9</x:v>
      </x:c>
      <x:c r="F1082" s="21" t="n">
        <x:f>F954*(1+'Assumptions'!$M$80)</x:f>
        <x:v>177.16697488080558</x:v>
      </x:c>
      <x:c r="G1082" s="21" t="n">
        <x:f>H954*'Assumptions'!$K$80</x:f>
        <x:v>56.757170450203105</x:v>
      </x:c>
      <x:c r="H1082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1082+G1082,NA())</x:f>
        <x:v>233.92414533100867</x:v>
      </x:c>
      <x:c r="I1082" s="22" t="n">
        <x:f>'Assumptions'!$H$80*IF('Assumptions'!$O$80=1,1,'Assumptions'!$D$10)*(1+'Assumptions'!$N$80)^(9-1)</x:f>
        <x:v>33.9781220490657</x:v>
      </x:c>
      <x:c r="J1082" s="10" t="n">
        <x:f>H1082*I1082</x:f>
        <x:v>7948.303160280396</x:v>
      </x:c>
      <x:c r="K1082" s="10" t="n">
        <x:f>J1082*'Assumptions'!$T$80</x:f>
        <x:v>7948.303160280396</x:v>
      </x:c>
      <x:c r="L1082" s="10" t="n">
        <x:f>K1082*'Assumptions'!$U$80</x:f>
        <x:v>238.44909480841187</x:v>
      </x:c>
      <x:c r="M1082" s="10" t="n">
        <x:f>K1082*'Assumptions'!$V$80</x:f>
        <x:v>0</x:v>
      </x:c>
      <x:c r="N1082" s="10" t="n">
        <x:f>K1082-L1082-M1082</x:f>
        <x:v>7709.854065471984</x:v>
      </x:c>
      <x:c r="O1082" s="10" t="n">
        <x:f>H1082*'Assumptions'!$P$80*'Assumptions'!$Q$80*'Assumptions'!$D$11*(1+'Assumptions'!$D$13)^(9-1)</x:f>
        <x:v>1555.7225702523247</x:v>
      </x:c>
      <x:c r="P1082" s="10" t="n">
        <x:f>H1082*'Assumptions'!$R$80*'Assumptions'!$D$11*(1+'Assumptions'!$D$13)^(9-1)</x:f>
        <x:v>0</x:v>
      </x:c>
      <x:c r="Q1082" s="10" t="n">
        <x:f>J1082*'Assumptions'!$S$80</x:f>
        <x:v>0</x:v>
      </x:c>
      <x:c r="R1082" s="10" t="n">
        <x:f>H1082*'Assumptions'!$Y$80*'Assumptions'!$Z$80*'Assumptions'!$D$11*(1+'Assumptions'!$D$13)^(9-1)</x:f>
        <x:v>888.9843258584715</x:v>
      </x:c>
      <x:c r="S1082" s="10" t="n">
        <x:f>IF(I1082=0,0,J1082*'Assumptions'!$W$80+H1082*'Assumptions'!$X$80)</x:f>
        <x:v>300.6780352474341</x:v>
      </x:c>
      <x:c r="T1082" s="10" t="n">
        <x:f>N1082*'Assumptions'!$AA$80</x:f>
        <x:v>385.4927032735992</x:v>
      </x:c>
      <x:c r="U1082" s="10" t="n">
        <x:f>'Assumptions'!$AE$80*'Assumptions'!$D$11*(1+'Assumptions'!$D$13)^(9-1)</x:f>
        <x:v>0</x:v>
      </x:c>
      <x:c r="V1082" s="10" t="n">
        <x:f>0</x:f>
        <x:v>0</x:v>
      </x:c>
      <x:c r="W1082" s="10" t="n">
        <x:f>H1082*('Assumptions'!$P$80+'Assumptions'!$Y$80)</x:f>
        <x:v>58.48103633275217</x:v>
      </x:c>
      <x:c r="X1082" s="10" t="n">
        <x:f>N1082/12*'Assumptions'!$AF$80</x:f>
        <x:v>0</x:v>
      </x:c>
      <x:c r="Y1082" s="10" t="n">
        <x:f>P1082/12</x:f>
        <x:v>0</x:v>
      </x:c>
      <x:c r="Z1082" s="10" t="n">
        <x:f>0</x:f>
        <x:v>0</x:v>
      </x:c>
      <x:c r="AA1082" s="10" t="n">
        <x:f>Z1082*'Assumptions'!$AC$80*'Assumptions'!$D$11*(1+'Assumptions'!$D$13)^(9-1)</x:f>
        <x:v>0</x:v>
      </x:c>
      <x:c r="AB1082" s="10" t="n">
        <x:f>F1082/1</x:f>
        <x:v>177.16697488080558</x:v>
      </x:c>
      <x:c r="AC1082" s="10" t="n">
        <x:f>AB1082/'Assumptions'!$AM$80</x:f>
        <x:v>3543.3394976161117</x:v>
      </x:c>
      <x:c r="AD1082" s="10" t="n">
        <x:f>IF(AB1082=0,0,T1082/AB1082)</x:f>
        <x:v>2.17587224443467</x:v>
      </x:c>
      <x:c r="AE1082" s="10" t="n">
        <x:f>AA1082*'Assumptions'!$D$21</x:f>
        <x:v>0</x:v>
      </x:c>
    </x:row>
    <x:row r="1083" ht="16" customHeight="1">
      <x:c r="A1083" s="1"/>
      <x:c r="B1083" s="1"/>
      <x:c r="C1083" s="1" t="str">
        <x:v>DOT-052</x:v>
      </x:c>
      <x:c r="D1083" s="10" t="str">
        <x:v>LavaLearning Model Life</x:v>
      </x:c>
      <x:c r="E1083" s="10" t="n">
        <x:v>9</x:v>
      </x:c>
      <x:c r="F1083" s="21" t="n">
        <x:f>F955*(1+'Assumptions'!$M$81)</x:f>
        <x:v>0</x:v>
      </x:c>
      <x:c r="G1083" s="21" t="n">
        <x:f>H955*'Assumptions'!$K$81</x:f>
        <x:v>0</x:v>
      </x:c>
      <x:c r="H1083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1083+G1083,NA())</x:f>
        <x:v>0</x:v>
      </x:c>
      <x:c r="I1083" s="22" t="n">
        <x:f>'Assumptions'!$H$81*IF('Assumptions'!$O$81=1,1,'Assumptions'!$D$10)*(1+'Assumptions'!$N$81)^(9-1)</x:f>
        <x:v>0</x:v>
      </x:c>
      <x:c r="J1083" s="10" t="n">
        <x:f>H1083*I1083</x:f>
        <x:v>0</x:v>
      </x:c>
      <x:c r="K1083" s="10" t="n">
        <x:f>J1083*'Assumptions'!$T$81</x:f>
        <x:v>0</x:v>
      </x:c>
      <x:c r="L1083" s="10" t="n">
        <x:f>K1083*'Assumptions'!$U$81</x:f>
        <x:v>0</x:v>
      </x:c>
      <x:c r="M1083" s="10" t="n">
        <x:f>K1083*'Assumptions'!$V$81</x:f>
        <x:v>0</x:v>
      </x:c>
      <x:c r="N1083" s="10" t="n">
        <x:f>K1083-L1083-M1083</x:f>
        <x:v>0</x:v>
      </x:c>
      <x:c r="O1083" s="10" t="n">
        <x:f>H1083*'Assumptions'!$P$81*'Assumptions'!$Q$81*'Assumptions'!$D$11*(1+'Assumptions'!$D$13)^(9-1)</x:f>
        <x:v>0</x:v>
      </x:c>
      <x:c r="P1083" s="10" t="n">
        <x:f>H1083*'Assumptions'!$R$81*'Assumptions'!$D$11*(1+'Assumptions'!$D$13)^(9-1)</x:f>
        <x:v>0</x:v>
      </x:c>
      <x:c r="Q1083" s="10" t="n">
        <x:f>J1083*'Assumptions'!$S$81</x:f>
        <x:v>0</x:v>
      </x:c>
      <x:c r="R1083" s="10" t="n">
        <x:f>H1083*'Assumptions'!$Y$81*'Assumptions'!$Z$81*'Assumptions'!$D$11*(1+'Assumptions'!$D$13)^(9-1)</x:f>
        <x:v>0</x:v>
      </x:c>
      <x:c r="S1083" s="10" t="n">
        <x:f>IF(I1083=0,0,J1083*'Assumptions'!$W$81+H1083*'Assumptions'!$X$81)</x:f>
        <x:v>0</x:v>
      </x:c>
      <x:c r="T1083" s="10" t="n">
        <x:f>N1083*'Assumptions'!$AA$81</x:f>
        <x:v>0</x:v>
      </x:c>
      <x:c r="U1083" s="10" t="n">
        <x:f>'Assumptions'!$AE$81*'Assumptions'!$D$11*(1+'Assumptions'!$D$13)^(9-1)</x:f>
        <x:v>0</x:v>
      </x:c>
      <x:c r="V1083" s="10" t="n">
        <x:f>0</x:f>
        <x:v>0</x:v>
      </x:c>
      <x:c r="W1083" s="10" t="n">
        <x:f>H1083*('Assumptions'!$P$81+'Assumptions'!$Y$81)</x:f>
        <x:v>0</x:v>
      </x:c>
      <x:c r="X1083" s="10" t="n">
        <x:f>N1083/12*'Assumptions'!$AF$81</x:f>
        <x:v>0</x:v>
      </x:c>
      <x:c r="Y1083" s="10" t="n">
        <x:f>P1083/12</x:f>
        <x:v>0</x:v>
      </x:c>
      <x:c r="Z1083" s="10" t="n">
        <x:f>0</x:f>
        <x:v>0</x:v>
      </x:c>
      <x:c r="AA1083" s="10" t="n">
        <x:f>Z1083*'Assumptions'!$AC$81*'Assumptions'!$D$11*(1+'Assumptions'!$D$13)^(9-1)</x:f>
        <x:v>0</x:v>
      </x:c>
      <x:c r="AB1083" s="10" t="n">
        <x:f>F1083/1</x:f>
        <x:v>0</x:v>
      </x:c>
      <x:c r="AC1083" s="10" t="n">
        <x:f>AB1083/'Assumptions'!$AM$81</x:f>
        <x:v>0</x:v>
      </x:c>
      <x:c r="AD1083" s="10" t="n">
        <x:f>IF(AB1083=0,0,T1083/AB1083)</x:f>
        <x:v>0</x:v>
      </x:c>
      <x:c r="AE1083" s="10" t="n">
        <x:f>AA1083*'Assumptions'!$D$21</x:f>
        <x:v>0</x:v>
      </x:c>
    </x:row>
    <x:row r="1084" ht="16" customHeight="1">
      <x:c r="A1084" s="1"/>
      <x:c r="B1084" s="1"/>
      <x:c r="C1084" s="1" t="str">
        <x:v>DOT-053</x:v>
      </x:c>
      <x:c r="D1084" s="10" t="str">
        <x:v>LavaLearning Kids</x:v>
      </x:c>
      <x:c r="E1084" s="10" t="n">
        <x:v>9</x:v>
      </x:c>
      <x:c r="F1084" s="21" t="n">
        <x:f>F956*(1+'Assumptions'!$M$82)</x:f>
        <x:v>885.834874404028</x:v>
      </x:c>
      <x:c r="G1084" s="21" t="n">
        <x:f>H956*'Assumptions'!$K$82</x:f>
        <x:v>283.78585225101557</x:v>
      </x:c>
      <x:c r="H1084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1084+G1084,NA())</x:f>
        <x:v>1169.6207266550437</x:v>
      </x:c>
      <x:c r="I1084" s="22" t="n">
        <x:f>'Assumptions'!$H$82*IF('Assumptions'!$O$82=1,1,'Assumptions'!$D$10)*(1+'Assumptions'!$N$82)^(9-1)</x:f>
        <x:v>22.26152823904305</x:v>
      </x:c>
      <x:c r="J1084" s="10" t="n">
        <x:f>H1084*I1084</x:f>
        <x:v>26037.544835401306</x:v>
      </x:c>
      <x:c r="K1084" s="10" t="n">
        <x:f>J1084*'Assumptions'!$T$82</x:f>
        <x:v>26037.544835401306</x:v>
      </x:c>
      <x:c r="L1084" s="10" t="n">
        <x:f>K1084*'Assumptions'!$U$82</x:f>
        <x:v>781.1263450620391</x:v>
      </x:c>
      <x:c r="M1084" s="10" t="n">
        <x:f>K1084*'Assumptions'!$V$82</x:f>
        <x:v>0</x:v>
      </x:c>
      <x:c r="N1084" s="10" t="n">
        <x:f>K1084-L1084-M1084</x:f>
        <x:v>25256.418490339267</x:v>
      </x:c>
      <x:c r="O1084" s="10" t="n">
        <x:f>H1084*'Assumptions'!$P$82*'Assumptions'!$Q$82*'Assumptions'!$D$11*(1+'Assumptions'!$D$13)^(9-1)</x:f>
        <x:v>7778.612851261627</x:v>
      </x:c>
      <x:c r="P1084" s="10" t="n">
        <x:f>H1084*'Assumptions'!$R$82*'Assumptions'!$D$11*(1+'Assumptions'!$D$13)^(9-1)</x:f>
        <x:v>0</x:v>
      </x:c>
      <x:c r="Q1084" s="10" t="n">
        <x:f>J1084*'Assumptions'!$S$82</x:f>
        <x:v>0</x:v>
      </x:c>
      <x:c r="R1084" s="10" t="n">
        <x:f>H1084*'Assumptions'!$Y$82*'Assumptions'!$Z$82*'Assumptions'!$D$11*(1+'Assumptions'!$D$13)^(9-1)</x:f>
        <x:v>4444.921629292358</x:v>
      </x:c>
      <x:c r="S1084" s="10" t="n">
        <x:f>IF(I1084=0,0,J1084*'Assumptions'!$W$82+H1084*'Assumptions'!$X$82)</x:f>
        <x:v>1105.975018223151</x:v>
      </x:c>
      <x:c r="T1084" s="10" t="n">
        <x:f>N1084*'Assumptions'!$AA$82</x:f>
        <x:v>1262.8209245169635</x:v>
      </x:c>
      <x:c r="U1084" s="10" t="n">
        <x:f>'Assumptions'!$AE$82*'Assumptions'!$D$11*(1+'Assumptions'!$D$13)^(9-1)</x:f>
        <x:v>304.02481953302794</x:v>
      </x:c>
      <x:c r="V1084" s="10" t="n">
        <x:f>0</x:f>
        <x:v>0</x:v>
      </x:c>
      <x:c r="W1084" s="10" t="n">
        <x:f>H1084*('Assumptions'!$P$82+'Assumptions'!$Y$82)</x:f>
        <x:v>292.4051816637609</x:v>
      </x:c>
      <x:c r="X1084" s="10" t="n">
        <x:f>N1084/12*'Assumptions'!$AF$82</x:f>
        <x:v>0</x:v>
      </x:c>
      <x:c r="Y1084" s="10" t="n">
        <x:f>P1084/12</x:f>
        <x:v>0</x:v>
      </x:c>
      <x:c r="Z1084" s="10" t="n">
        <x:f>0</x:f>
        <x:v>0</x:v>
      </x:c>
      <x:c r="AA1084" s="10" t="n">
        <x:f>Z1084*'Assumptions'!$AC$82*'Assumptions'!$D$11*(1+'Assumptions'!$D$13)^(9-1)</x:f>
        <x:v>0</x:v>
      </x:c>
      <x:c r="AB1084" s="10" t="n">
        <x:f>F1084/1</x:f>
        <x:v>885.834874404028</x:v>
      </x:c>
      <x:c r="AC1084" s="10" t="n">
        <x:f>AB1084/'Assumptions'!$AM$82</x:f>
        <x:v>17716.69748808056</x:v>
      </x:c>
      <x:c r="AD1084" s="10" t="n">
        <x:f>IF(AB1084=0,0,T1084/AB1084)</x:f>
        <x:v>1.4255714704916806</x:v>
      </x:c>
      <x:c r="AE1084" s="10" t="n">
        <x:f>AA1084*'Assumptions'!$D$21</x:f>
        <x:v>0</x:v>
      </x:c>
    </x:row>
    <x:row r="1085" ht="16" customHeight="1">
      <x:c r="A1085" s="1"/>
      <x:c r="B1085" s="1"/>
      <x:c r="C1085" s="1" t="str">
        <x:v>DOT-054</x:v>
      </x:c>
      <x:c r="D1085" s="10" t="str">
        <x:v>VraiSkill adult</x:v>
      </x:c>
      <x:c r="E1085" s="10" t="n">
        <x:v>9</x:v>
      </x:c>
      <x:c r="F1085" s="21" t="n">
        <x:f>F957*(1+'Assumptions'!$M$83)</x:f>
        <x:v>1771.669748808056</x:v>
      </x:c>
      <x:c r="G1085" s="21" t="n">
        <x:f>H957*'Assumptions'!$K$83</x:f>
        <x:v>567.5762821387499</x:v>
      </x:c>
      <x:c r="H1085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1085+G1085,NA())</x:f>
        <x:v>2339.246030946806</x:v>
      </x:c>
      <x:c r="I1085" s="22" t="n">
        <x:f>'Assumptions'!$H$83*IF('Assumptions'!$O$83=1,1,'Assumptions'!$D$10)*(1+'Assumptions'!$N$83)^(9-1)</x:f>
        <x:v>11.704877216212635</x:v>
      </x:c>
      <x:c r="J1085" s="10" t="n">
        <x:f>H1085*I1085</x:f>
        <x:v>27380.58757074511</x:v>
      </x:c>
      <x:c r="K1085" s="10" t="n">
        <x:f>J1085*'Assumptions'!$T$83</x:f>
        <x:v>27380.58757074511</x:v>
      </x:c>
      <x:c r="L1085" s="10" t="n">
        <x:f>K1085*'Assumptions'!$U$83</x:f>
        <x:v>821.4176271223532</x:v>
      </x:c>
      <x:c r="M1085" s="10" t="n">
        <x:f>K1085*'Assumptions'!$V$83</x:f>
        <x:v>0</x:v>
      </x:c>
      <x:c r="N1085" s="10" t="n">
        <x:f>K1085-L1085-M1085</x:f>
        <x:v>26559.169943622757</x:v>
      </x:c>
      <x:c r="O1085" s="10" t="n">
        <x:f>H1085*'Assumptions'!$P$83*'Assumptions'!$Q$83*'Assumptions'!$D$11*(1+'Assumptions'!$D$13)^(9-1)</x:f>
        <x:v>15557.256146292757</x:v>
      </x:c>
      <x:c r="P1085" s="10" t="n">
        <x:f>H1085*'Assumptions'!$R$83*'Assumptions'!$D$11*(1+'Assumptions'!$D$13)^(9-1)</x:f>
        <x:v>0</x:v>
      </x:c>
      <x:c r="Q1085" s="10" t="n">
        <x:f>J1085*'Assumptions'!$S$83</x:f>
        <x:v>0</x:v>
      </x:c>
      <x:c r="R1085" s="10" t="n">
        <x:f>H1085*'Assumptions'!$Y$83*'Assumptions'!$Z$83*'Assumptions'!$D$11*(1+'Assumptions'!$D$13)^(9-1)</x:f>
        <x:v>8889.860655024433</x:v>
      </x:c>
      <x:c r="S1085" s="10" t="n">
        <x:f>IF(I1085=0,0,J1085*'Assumptions'!$W$83+H1085*'Assumptions'!$X$83)</x:f>
        <x:v>1495.8108488356502</x:v>
      </x:c>
      <x:c r="T1085" s="10" t="n">
        <x:f>N1085*'Assumptions'!$AA$83</x:f>
        <x:v>1327.958497181138</x:v>
      </x:c>
      <x:c r="U1085" s="10" t="n">
        <x:f>'Assumptions'!$AE$83*'Assumptions'!$D$11*(1+'Assumptions'!$D$13)^(9-1)</x:f>
        <x:v>304.02481953302794</x:v>
      </x:c>
      <x:c r="V1085" s="10" t="n">
        <x:f>0</x:f>
        <x:v>0</x:v>
      </x:c>
      <x:c r="W1085" s="10" t="n">
        <x:f>H1085*('Assumptions'!$P$83+'Assumptions'!$Y$83)</x:f>
        <x:v>584.8115077367015</x:v>
      </x:c>
      <x:c r="X1085" s="10" t="n">
        <x:f>N1085/12*'Assumptions'!$AF$83</x:f>
        <x:v>0</x:v>
      </x:c>
      <x:c r="Y1085" s="10" t="n">
        <x:f>P1085/12</x:f>
        <x:v>0</x:v>
      </x:c>
      <x:c r="Z1085" s="10" t="n">
        <x:f>0</x:f>
        <x:v>0</x:v>
      </x:c>
      <x:c r="AA1085" s="10" t="n">
        <x:f>Z1085*'Assumptions'!$AC$83*'Assumptions'!$D$11*(1+'Assumptions'!$D$13)^(9-1)</x:f>
        <x:v>0</x:v>
      </x:c>
      <x:c r="AB1085" s="10" t="n">
        <x:f>F1085/1</x:f>
        <x:v>1771.669748808056</x:v>
      </x:c>
      <x:c r="AC1085" s="10" t="n">
        <x:f>AB1085/'Assumptions'!$AM$83</x:f>
        <x:v>35433.39497616112</x:v>
      </x:c>
      <x:c r="AD1085" s="10" t="n">
        <x:f>IF(AB1085=0,0,T1085/AB1085)</x:f>
        <x:v>0.7495519399563954</x:v>
      </x:c>
      <x:c r="AE1085" s="10" t="n">
        <x:f>AA1085*'Assumptions'!$D$21</x:f>
        <x:v>0</x:v>
      </x:c>
    </x:row>
    <x:row r="1086" ht="16" customHeight="1">
      <x:c r="A1086" s="1"/>
      <x:c r="B1086" s="1"/>
      <x:c r="C1086" s="1" t="str">
        <x:v>DOT-055</x:v>
      </x:c>
      <x:c r="D1086" s="10" t="str">
        <x:v>VraiSkill adult</x:v>
      </x:c>
      <x:c r="E1086" s="10" t="n">
        <x:v>9</x:v>
      </x:c>
      <x:c r="F1086" s="21" t="n">
        <x:f>F958*(1+'Assumptions'!$M$84)</x:f>
        <x:v>590.5565829360187</x:v>
      </x:c>
      <x:c r="G1086" s="21" t="n">
        <x:f>H958*'Assumptions'!$K$84</x:f>
        <x:v>189.19209404624996</x:v>
      </x:c>
      <x:c r="H1086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1086+G1086,NA())</x:f>
        <x:v>779.7486769822686</x:v>
      </x:c>
      <x:c r="I1086" s="22" t="n">
        <x:f>'Assumptions'!$H$84*IF('Assumptions'!$O$84=1,1,'Assumptions'!$D$10)*(1+'Assumptions'!$N$84)^(9-1)</x:f>
        <x:v>28.119825144054378</x:v>
      </x:c>
      <x:c r="J1086" s="10" t="n">
        <x:f>H1086*I1086</x:f>
        <x:v>21926.396453049132</x:v>
      </x:c>
      <x:c r="K1086" s="10" t="n">
        <x:f>J1086*'Assumptions'!$T$84</x:f>
        <x:v>21926.396453049132</x:v>
      </x:c>
      <x:c r="L1086" s="10" t="n">
        <x:f>K1086*'Assumptions'!$U$84</x:f>
        <x:v>657.7918935914739</x:v>
      </x:c>
      <x:c r="M1086" s="10" t="n">
        <x:f>K1086*'Assumptions'!$V$84</x:f>
        <x:v>0</x:v>
      </x:c>
      <x:c r="N1086" s="10" t="n">
        <x:f>K1086-L1086-M1086</x:f>
        <x:v>21268.604559457657</x:v>
      </x:c>
      <x:c r="O1086" s="10" t="n">
        <x:f>H1086*'Assumptions'!$P$84*'Assumptions'!$Q$84*'Assumptions'!$D$11*(1+'Assumptions'!$D$13)^(9-1)</x:f>
        <x:v>5185.752048764251</x:v>
      </x:c>
      <x:c r="P1086" s="10" t="n">
        <x:f>H1086*'Assumptions'!$R$84*'Assumptions'!$D$11*(1+'Assumptions'!$D$13)^(9-1)</x:f>
        <x:v>0</x:v>
      </x:c>
      <x:c r="Q1086" s="10" t="n">
        <x:f>J1086*'Assumptions'!$S$84</x:f>
        <x:v>0</x:v>
      </x:c>
      <x:c r="R1086" s="10" t="n">
        <x:f>H1086*'Assumptions'!$Y$84*'Assumptions'!$Z$84*'Assumptions'!$D$11*(1+'Assumptions'!$D$13)^(9-1)</x:f>
        <x:v>2963.286885008144</x:v>
      </x:c>
      <x:c r="S1086" s="10" t="n">
        <x:f>IF(I1086=0,0,J1086*'Assumptions'!$W$84+H1086*'Assumptions'!$X$84)</x:f>
        <x:v>869.7901002331055</x:v>
      </x:c>
      <x:c r="T1086" s="10" t="n">
        <x:f>N1086*'Assumptions'!$AA$84</x:f>
        <x:v>1063.430227972883</x:v>
      </x:c>
      <x:c r="U1086" s="10" t="n">
        <x:f>'Assumptions'!$AE$84*'Assumptions'!$D$11*(1+'Assumptions'!$D$13)^(9-1)</x:f>
        <x:v>0</x:v>
      </x:c>
      <x:c r="V1086" s="10" t="n">
        <x:f>0</x:f>
        <x:v>0</x:v>
      </x:c>
      <x:c r="W1086" s="10" t="n">
        <x:f>H1086*('Assumptions'!$P$84+'Assumptions'!$Y$84)</x:f>
        <x:v>194.93716924556716</x:v>
      </x:c>
      <x:c r="X1086" s="10" t="n">
        <x:f>N1086/12*'Assumptions'!$AF$84</x:f>
        <x:v>0</x:v>
      </x:c>
      <x:c r="Y1086" s="10" t="n">
        <x:f>P1086/12</x:f>
        <x:v>0</x:v>
      </x:c>
      <x:c r="Z1086" s="10" t="n">
        <x:f>0</x:f>
        <x:v>0</x:v>
      </x:c>
      <x:c r="AA1086" s="10" t="n">
        <x:f>Z1086*'Assumptions'!$AC$84*'Assumptions'!$D$11*(1+'Assumptions'!$D$13)^(9-1)</x:f>
        <x:v>0</x:v>
      </x:c>
      <x:c r="AB1086" s="10" t="n">
        <x:f>F1086/1</x:f>
        <x:v>590.5565829360187</x:v>
      </x:c>
      <x:c r="AC1086" s="10" t="n">
        <x:f>AB1086/'Assumptions'!$AM$84</x:f>
        <x:v>11811.131658720373</x:v>
      </x:c>
      <x:c r="AD1086" s="10" t="n">
        <x:f>IF(AB1086=0,0,T1086/AB1086)</x:f>
        <x:v>1.8007253812766246</x:v>
      </x:c>
      <x:c r="AE1086" s="10" t="n">
        <x:f>AA1086*'Assumptions'!$D$21</x:f>
        <x:v>0</x:v>
      </x:c>
    </x:row>
    <x:row r="1087" ht="16" customHeight="1">
      <x:c r="A1087" s="1"/>
      <x:c r="B1087" s="1"/>
      <x:c r="C1087" s="1" t="str">
        <x:v>DOT-056</x:v>
      </x:c>
      <x:c r="D1087" s="10" t="str">
        <x:v>VraiSkill teen</x:v>
      </x:c>
      <x:c r="E1087" s="10" t="n">
        <x:v>9</x:v>
      </x:c>
      <x:c r="F1087" s="21" t="n">
        <x:f>F959*(1+'Assumptions'!$M$85)</x:f>
        <x:v>590.5565829360187</x:v>
      </x:c>
      <x:c r="G1087" s="21" t="n">
        <x:f>H959*'Assumptions'!$K$85</x:f>
        <x:v>189.1905681673437</x:v>
      </x:c>
      <x:c r="H1087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1087+G1087,NA())</x:f>
        <x:v>779.7471511033624</x:v>
      </x:c>
      <x:c r="I1087" s="22" t="n">
        <x:f>'Assumptions'!$H$85*IF('Assumptions'!$O$85=1,1,'Assumptions'!$D$10)*(1+'Assumptions'!$N$85)^(9-1)</x:f>
        <x:v>28.119825144054378</x:v>
      </x:c>
      <x:c r="J1087" s="10" t="n">
        <x:f>H1087*I1087</x:f>
        <x:v>21926.353545601098</x:v>
      </x:c>
      <x:c r="K1087" s="10" t="n">
        <x:f>J1087*'Assumptions'!$T$85</x:f>
        <x:v>21926.353545601098</x:v>
      </x:c>
      <x:c r="L1087" s="10" t="n">
        <x:f>K1087*'Assumptions'!$U$85</x:f>
        <x:v>657.7906063680329</x:v>
      </x:c>
      <x:c r="M1087" s="10" t="n">
        <x:f>K1087*'Assumptions'!$V$85</x:f>
        <x:v>0</x:v>
      </x:c>
      <x:c r="N1087" s="10" t="n">
        <x:f>K1087-L1087-M1087</x:f>
        <x:v>21268.562939233067</x:v>
      </x:c>
      <x:c r="O1087" s="10" t="n">
        <x:f>H1087*'Assumptions'!$P$85*'Assumptions'!$Q$85*'Assumptions'!$D$11*(1+'Assumptions'!$D$13)^(9-1)</x:f>
        <x:v>5185.741900841083</x:v>
      </x:c>
      <x:c r="P1087" s="10" t="n">
        <x:f>H1087*'Assumptions'!$R$85*'Assumptions'!$D$11*(1+'Assumptions'!$D$13)^(9-1)</x:f>
        <x:v>0</x:v>
      </x:c>
      <x:c r="Q1087" s="10" t="n">
        <x:f>J1087*'Assumptions'!$S$85</x:f>
        <x:v>0</x:v>
      </x:c>
      <x:c r="R1087" s="10" t="n">
        <x:f>H1087*'Assumptions'!$Y$85*'Assumptions'!$Z$85*'Assumptions'!$D$11*(1+'Assumptions'!$D$13)^(9-1)</x:f>
        <x:v>2963.281086194905</x:v>
      </x:c>
      <x:c r="S1087" s="10" t="n">
        <x:f>IF(I1087=0,0,J1087*'Assumptions'!$W$85+H1087*'Assumptions'!$X$85)</x:f>
        <x:v>869.7883981534407</x:v>
      </x:c>
      <x:c r="T1087" s="10" t="n">
        <x:f>N1087*'Assumptions'!$AA$85</x:f>
        <x:v>1063.4281469616533</x:v>
      </x:c>
      <x:c r="U1087" s="10" t="n">
        <x:f>'Assumptions'!$AE$85*'Assumptions'!$D$11*(1+'Assumptions'!$D$13)^(9-1)</x:f>
        <x:v>304.02481953302794</x:v>
      </x:c>
      <x:c r="V1087" s="10" t="n">
        <x:f>0</x:f>
        <x:v>0</x:v>
      </x:c>
      <x:c r="W1087" s="10" t="n">
        <x:f>H1087*('Assumptions'!$P$85+'Assumptions'!$Y$85)</x:f>
        <x:v>194.9367877758406</x:v>
      </x:c>
      <x:c r="X1087" s="10" t="n">
        <x:f>N1087/12*'Assumptions'!$AF$85</x:f>
        <x:v>0</x:v>
      </x:c>
      <x:c r="Y1087" s="10" t="n">
        <x:f>P1087/12</x:f>
        <x:v>0</x:v>
      </x:c>
      <x:c r="Z1087" s="10" t="n">
        <x:f>0</x:f>
        <x:v>0</x:v>
      </x:c>
      <x:c r="AA1087" s="10" t="n">
        <x:f>Z1087*'Assumptions'!$AC$85*'Assumptions'!$D$11*(1+'Assumptions'!$D$13)^(9-1)</x:f>
        <x:v>0</x:v>
      </x:c>
      <x:c r="AB1087" s="10" t="n">
        <x:f>F1087/1</x:f>
        <x:v>590.5565829360187</x:v>
      </x:c>
      <x:c r="AC1087" s="10" t="n">
        <x:f>AB1087/'Assumptions'!$AM$85</x:f>
        <x:v>11811.131658720373</x:v>
      </x:c>
      <x:c r="AD1087" s="10" t="n">
        <x:f>IF(AB1087=0,0,T1087/AB1087)</x:f>
        <x:v>1.8007218574631754</x:v>
      </x:c>
      <x:c r="AE1087" s="10" t="n">
        <x:f>AA1087*'Assumptions'!$D$21</x:f>
        <x:v>0</x:v>
      </x:c>
    </x:row>
    <x:row r="1088" ht="16" customHeight="1">
      <x:c r="A1088" s="1"/>
      <x:c r="B1088" s="1"/>
      <x:c r="C1088" s="1" t="str">
        <x:v>DOT-057</x:v>
      </x:c>
      <x:c r="D1088" s="10" t="str">
        <x:v>VraiSkill Model Life</x:v>
      </x:c>
      <x:c r="E1088" s="10" t="n">
        <x:v>9</x:v>
      </x:c>
      <x:c r="F1088" s="21" t="n">
        <x:f>F960*(1+'Assumptions'!$M$86)</x:f>
        <x:v>0</x:v>
      </x:c>
      <x:c r="G1088" s="21" t="n">
        <x:f>H960*'Assumptions'!$K$86</x:f>
        <x:v>0</x:v>
      </x:c>
      <x:c r="H1088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1088+G1088,NA())</x:f>
        <x:v>0</x:v>
      </x:c>
      <x:c r="I1088" s="22" t="n">
        <x:f>'Assumptions'!$H$86*IF('Assumptions'!$O$86=1,1,'Assumptions'!$D$10)*(1+'Assumptions'!$N$86)^(9-1)</x:f>
        <x:v>0</x:v>
      </x:c>
      <x:c r="J1088" s="10" t="n">
        <x:f>H1088*I1088</x:f>
        <x:v>0</x:v>
      </x:c>
      <x:c r="K1088" s="10" t="n">
        <x:f>J1088*'Assumptions'!$T$86</x:f>
        <x:v>0</x:v>
      </x:c>
      <x:c r="L1088" s="10" t="n">
        <x:f>K1088*'Assumptions'!$U$86</x:f>
        <x:v>0</x:v>
      </x:c>
      <x:c r="M1088" s="10" t="n">
        <x:f>K1088*'Assumptions'!$V$86</x:f>
        <x:v>0</x:v>
      </x:c>
      <x:c r="N1088" s="10" t="n">
        <x:f>K1088-L1088-M1088</x:f>
        <x:v>0</x:v>
      </x:c>
      <x:c r="O1088" s="10" t="n">
        <x:f>H1088*'Assumptions'!$P$86*'Assumptions'!$Q$86*'Assumptions'!$D$11*(1+'Assumptions'!$D$13)^(9-1)</x:f>
        <x:v>0</x:v>
      </x:c>
      <x:c r="P1088" s="10" t="n">
        <x:f>H1088*'Assumptions'!$R$86*'Assumptions'!$D$11*(1+'Assumptions'!$D$13)^(9-1)</x:f>
        <x:v>0</x:v>
      </x:c>
      <x:c r="Q1088" s="10" t="n">
        <x:f>J1088*'Assumptions'!$S$86</x:f>
        <x:v>0</x:v>
      </x:c>
      <x:c r="R1088" s="10" t="n">
        <x:f>H1088*'Assumptions'!$Y$86*'Assumptions'!$Z$86*'Assumptions'!$D$11*(1+'Assumptions'!$D$13)^(9-1)</x:f>
        <x:v>0</x:v>
      </x:c>
      <x:c r="S1088" s="10" t="n">
        <x:f>IF(I1088=0,0,J1088*'Assumptions'!$W$86+H1088*'Assumptions'!$X$86)</x:f>
        <x:v>0</x:v>
      </x:c>
      <x:c r="T1088" s="10" t="n">
        <x:f>N1088*'Assumptions'!$AA$86</x:f>
        <x:v>0</x:v>
      </x:c>
      <x:c r="U1088" s="10" t="n">
        <x:f>'Assumptions'!$AE$86*'Assumptions'!$D$11*(1+'Assumptions'!$D$13)^(9-1)</x:f>
        <x:v>0</x:v>
      </x:c>
      <x:c r="V1088" s="10" t="n">
        <x:f>0</x:f>
        <x:v>0</x:v>
      </x:c>
      <x:c r="W1088" s="10" t="n">
        <x:f>H1088*('Assumptions'!$P$86+'Assumptions'!$Y$86)</x:f>
        <x:v>0</x:v>
      </x:c>
      <x:c r="X1088" s="10" t="n">
        <x:f>N1088/12*'Assumptions'!$AF$86</x:f>
        <x:v>0</x:v>
      </x:c>
      <x:c r="Y1088" s="10" t="n">
        <x:f>P1088/12</x:f>
        <x:v>0</x:v>
      </x:c>
      <x:c r="Z1088" s="10" t="n">
        <x:f>0</x:f>
        <x:v>0</x:v>
      </x:c>
      <x:c r="AA1088" s="10" t="n">
        <x:f>Z1088*'Assumptions'!$AC$86*'Assumptions'!$D$11*(1+'Assumptions'!$D$13)^(9-1)</x:f>
        <x:v>0</x:v>
      </x:c>
      <x:c r="AB1088" s="10" t="n">
        <x:f>F1088/1</x:f>
        <x:v>0</x:v>
      </x:c>
      <x:c r="AC1088" s="10" t="n">
        <x:f>AB1088/'Assumptions'!$AM$86</x:f>
        <x:v>0</x:v>
      </x:c>
      <x:c r="AD1088" s="10" t="n">
        <x:f>IF(AB1088=0,0,T1088/AB1088)</x:f>
        <x:v>0</x:v>
      </x:c>
      <x:c r="AE1088" s="10" t="n">
        <x:f>AA1088*'Assumptions'!$D$21</x:f>
        <x:v>0</x:v>
      </x:c>
    </x:row>
    <x:row r="1089" ht="16" customHeight="1">
      <x:c r="A1089" s="1"/>
      <x:c r="B1089" s="1"/>
      <x:c r="C1089" s="1" t="str">
        <x:v>DOT-058</x:v>
      </x:c>
      <x:c r="D1089" s="10" t="str">
        <x:v>Model Life</x:v>
      </x:c>
      <x:c r="E1089" s="10" t="n">
        <x:v>9</x:v>
      </x:c>
      <x:c r="F1089" s="21" t="n">
        <x:f>F961*(1+'Assumptions'!$M$87)</x:f>
        <x:v>336.0751298519041</x:v>
      </x:c>
      <x:c r="G1089" s="21" t="n">
        <x:f>H961*'Assumptions'!$K$87</x:f>
        <x:v>655.0928054361599</x:v>
      </x:c>
      <x:c r="H1089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1089+G1089,NA())</x:f>
        <x:v>991.167935288064</x:v>
      </x:c>
      <x:c r="I1089" s="22" t="n">
        <x:f>'Assumptions'!$H$87*IF('Assumptions'!$O$87=1,1,'Assumptions'!$D$10)*(1+'Assumptions'!$N$87)^(9-1)</x:f>
        <x:v>17.574890715033987</x:v>
      </x:c>
      <x:c r="J1089" s="10" t="n">
        <x:f>H1089*I1089</x:f>
        <x:v>17419.668142933602</x:v>
      </x:c>
      <x:c r="K1089" s="10" t="n">
        <x:f>J1089*'Assumptions'!$T$87</x:f>
        <x:v>17419.668142933602</x:v>
      </x:c>
      <x:c r="L1089" s="10" t="n">
        <x:f>K1089*'Assumptions'!$U$87</x:f>
        <x:v>522.590044288008</x:v>
      </x:c>
      <x:c r="M1089" s="10" t="n">
        <x:f>K1089*'Assumptions'!$V$87</x:f>
        <x:v>0</x:v>
      </x:c>
      <x:c r="N1089" s="10" t="n">
        <x:f>K1089-L1089-M1089</x:f>
        <x:v>16897.078098645594</x:v>
      </x:c>
      <x:c r="O1089" s="10" t="n">
        <x:f>H1089*'Assumptions'!$P$87*'Assumptions'!$Q$87*'Assumptions'!$D$11*(1+'Assumptions'!$D$13)^(9-1)</x:f>
        <x:v>4394.536601187798</x:v>
      </x:c>
      <x:c r="P1089" s="10" t="n">
        <x:f>H1089*'Assumptions'!$R$87*'Assumptions'!$D$11*(1+'Assumptions'!$D$13)^(9-1)</x:f>
        <x:v>0</x:v>
      </x:c>
      <x:c r="Q1089" s="10" t="n">
        <x:f>J1089*'Assumptions'!$S$87</x:f>
        <x:v>0</x:v>
      </x:c>
      <x:c r="R1089" s="10" t="n">
        <x:f>H1089*'Assumptions'!$Y$87*'Assumptions'!$Z$87*'Assumptions'!$D$11*(1+'Assumptions'!$D$13)^(9-1)</x:f>
        <x:v>5650.118487241454</x:v>
      </x:c>
      <x:c r="S1089" s="10" t="n">
        <x:f>IF(I1089=0,0,J1089*'Assumptions'!$W$87+H1089*'Assumptions'!$X$87)</x:f>
        <x:v>802.5207567314937</x:v>
      </x:c>
      <x:c r="T1089" s="10" t="n">
        <x:f>N1089*'Assumptions'!$AA$87</x:f>
        <x:v>844.8539049322798</x:v>
      </x:c>
      <x:c r="U1089" s="10" t="n">
        <x:f>'Assumptions'!$AE$87*'Assumptions'!$D$11*(1+'Assumptions'!$D$13)^(9-1)</x:f>
        <x:v>76.00620488325698</x:v>
      </x:c>
      <x:c r="V1089" s="10" t="n">
        <x:f>0</x:f>
        <x:v>0</x:v>
      </x:c>
      <x:c r="W1089" s="10" t="n">
        <x:f>H1089*('Assumptions'!$P$87+'Assumptions'!$Y$87)</x:f>
        <x:v>247.791983822016</x:v>
      </x:c>
      <x:c r="X1089" s="10" t="n">
        <x:f>N1089/12*'Assumptions'!$AF$87</x:f>
        <x:v>0</x:v>
      </x:c>
      <x:c r="Y1089" s="10" t="n">
        <x:f>P1089/12</x:f>
        <x:v>0</x:v>
      </x:c>
      <x:c r="Z1089" s="10" t="n">
        <x:f>0</x:f>
        <x:v>0</x:v>
      </x:c>
      <x:c r="AA1089" s="10" t="n">
        <x:f>Z1089*'Assumptions'!$AC$87*'Assumptions'!$D$11*(1+'Assumptions'!$D$13)^(9-1)</x:f>
        <x:v>0</x:v>
      </x:c>
      <x:c r="AB1089" s="10" t="n">
        <x:f>F1089/12</x:f>
        <x:v>28.006260820992008</x:v>
      </x:c>
      <x:c r="AC1089" s="10" t="n">
        <x:f>AB1089/'Assumptions'!$AM$87</x:f>
        <x:v>560.1252164198402</x:v>
      </x:c>
      <x:c r="AD1089" s="10" t="n">
        <x:f>IF(AB1089=0,0,T1089/AB1089)</x:f>
        <x:v>30.16660847131089</x:v>
      </x:c>
      <x:c r="AE1089" s="10" t="n">
        <x:f>AA1089*'Assumptions'!$D$21</x:f>
        <x:v>0</x:v>
      </x:c>
    </x:row>
    <x:row r="1090" ht="16" customHeight="1">
      <x:c r="A1090" s="1"/>
      <x:c r="B1090" s="1"/>
      <x:c r="C1090" s="1" t="str">
        <x:v>DOT-059</x:v>
      </x:c>
      <x:c r="D1090" s="10" t="str">
        <x:v>Model Life</x:v>
      </x:c>
      <x:c r="E1090" s="10" t="n">
        <x:v>9</x:v>
      </x:c>
      <x:c r="F1090" s="21" t="n">
        <x:f>F962*(1+'Assumptions'!$M$88)</x:f>
        <x:v>84.01878246297602</x:v>
      </x:c>
      <x:c r="G1090" s="21" t="n">
        <x:f>H962*'Assumptions'!$K$88</x:f>
        <x:v>163.77320135903997</x:v>
      </x:c>
      <x:c r="H1090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1090+G1090,NA())</x:f>
        <x:v>247.791983822016</x:v>
      </x:c>
      <x:c r="I1090" s="22" t="n">
        <x:f>'Assumptions'!$H$88*IF('Assumptions'!$O$88=1,1,'Assumptions'!$D$10)*(1+'Assumptions'!$N$88)^(9-1)</x:f>
        <x:v>92.561091099179</x:v>
      </x:c>
      <x:c r="J1090" s="10" t="n">
        <x:f>H1090*I1090</x:f>
        <x:v>22935.89638819591</x:v>
      </x:c>
      <x:c r="K1090" s="10" t="n">
        <x:f>J1090*'Assumptions'!$T$88</x:f>
        <x:v>22935.89638819591</x:v>
      </x:c>
      <x:c r="L1090" s="10" t="n">
        <x:f>K1090*'Assumptions'!$U$88</x:f>
        <x:v>688.0768916458773</x:v>
      </x:c>
      <x:c r="M1090" s="10" t="n">
        <x:f>K1090*'Assumptions'!$V$88</x:f>
        <x:v>0</x:v>
      </x:c>
      <x:c r="N1090" s="10" t="n">
        <x:f>K1090-L1090-M1090</x:f>
        <x:v>22247.819496550033</x:v>
      </x:c>
      <x:c r="O1090" s="10" t="n">
        <x:f>H1090*'Assumptions'!$P$88*'Assumptions'!$Q$88*'Assumptions'!$D$11*(1+'Assumptions'!$D$13)^(9-1)</x:f>
        <x:v>1098.6341502969494</x:v>
      </x:c>
      <x:c r="P1090" s="10" t="n">
        <x:f>H1090*'Assumptions'!$R$88*'Assumptions'!$D$11*(1+'Assumptions'!$D$13)^(9-1)</x:f>
        <x:v>0</x:v>
      </x:c>
      <x:c r="Q1090" s="10" t="n">
        <x:f>J1090*'Assumptions'!$S$88</x:f>
        <x:v>0</x:v>
      </x:c>
      <x:c r="R1090" s="10" t="n">
        <x:f>H1090*'Assumptions'!$Y$88*'Assumptions'!$Z$88*'Assumptions'!$D$11*(1+'Assumptions'!$D$13)^(9-1)</x:f>
        <x:v>1412.5296218103636</x:v>
      </x:c>
      <x:c r="S1090" s="10" t="n">
        <x:f>IF(I1090=0,0,J1090*'Assumptions'!$W$88+H1090*'Assumptions'!$X$88)</x:f>
        <x:v>739.4785904042863</x:v>
      </x:c>
      <x:c r="T1090" s="10" t="n">
        <x:f>N1090*'Assumptions'!$AA$88</x:f>
        <x:v>1112.3909748275016</x:v>
      </x:c>
      <x:c r="U1090" s="10" t="n">
        <x:f>'Assumptions'!$AE$88*'Assumptions'!$D$11*(1+'Assumptions'!$D$13)^(9-1)</x:f>
        <x:v>76.00620488325698</x:v>
      </x:c>
      <x:c r="V1090" s="10" t="n">
        <x:f>0</x:f>
        <x:v>0</x:v>
      </x:c>
      <x:c r="W1090" s="10" t="n">
        <x:f>H1090*('Assumptions'!$P$88+'Assumptions'!$Y$88)</x:f>
        <x:v>61.947995955504</x:v>
      </x:c>
      <x:c r="X1090" s="10" t="n">
        <x:f>N1090/12*'Assumptions'!$AF$88</x:f>
        <x:v>0</x:v>
      </x:c>
      <x:c r="Y1090" s="10" t="n">
        <x:f>P1090/12</x:f>
        <x:v>0</x:v>
      </x:c>
      <x:c r="Z1090" s="10" t="n">
        <x:f>0</x:f>
        <x:v>0</x:v>
      </x:c>
      <x:c r="AA1090" s="10" t="n">
        <x:f>Z1090*'Assumptions'!$AC$88*'Assumptions'!$D$11*(1+'Assumptions'!$D$13)^(9-1)</x:f>
        <x:v>0</x:v>
      </x:c>
      <x:c r="AB1090" s="10" t="n">
        <x:f>F1090/12</x:f>
        <x:v>7.001565205248002</x:v>
      </x:c>
      <x:c r="AC1090" s="10" t="n">
        <x:f>AB1090/'Assumptions'!$AM$88</x:f>
        <x:v>140.03130410496004</x:v>
      </x:c>
      <x:c r="AD1090" s="10" t="n">
        <x:f>IF(AB1090=0,0,T1090/AB1090)</x:f>
        <x:v>158.87747128223734</x:v>
      </x:c>
      <x:c r="AE1090" s="10" t="n">
        <x:f>AA1090*'Assumptions'!$D$21</x:f>
        <x:v>0</x:v>
      </x:c>
    </x:row>
    <x:row r="1091" ht="16" customHeight="1">
      <x:c r="A1091" s="1"/>
      <x:c r="B1091" s="1"/>
      <x:c r="C1091" s="1" t="str">
        <x:v>DOT-060</x:v>
      </x:c>
      <x:c r="D1091" s="10" t="str">
        <x:v>Model Life</x:v>
      </x:c>
      <x:c r="E1091" s="10" t="n">
        <x:v>9</x:v>
      </x:c>
      <x:c r="F1091" s="21" t="n">
        <x:f>F963*(1+'Assumptions'!$M$89)</x:f>
        <x:v>84.01878246297602</x:v>
      </x:c>
      <x:c r="G1091" s="21" t="n">
        <x:f>H963*'Assumptions'!$K$89</x:f>
        <x:v>163.77320135903997</x:v>
      </x:c>
      <x:c r="H1091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1091+G1091,NA())</x:f>
        <x:v>247.791983822016</x:v>
      </x:c>
      <x:c r="I1091" s="22" t="n">
        <x:f>'Assumptions'!$H$89*IF('Assumptions'!$O$89=1,1,'Assumptions'!$D$10)*(1+'Assumptions'!$N$89)^(9-1)</x:f>
        <x:v>69.12790347913368</x:v>
      </x:c>
      <x:c r="J1091" s="10" t="n">
        <x:f>H1091*I1091</x:f>
        <x:v>17129.340340551375</x:v>
      </x:c>
      <x:c r="K1091" s="10" t="n">
        <x:f>J1091*'Assumptions'!$T$89</x:f>
        <x:v>17129.340340551375</x:v>
      </x:c>
      <x:c r="L1091" s="10" t="n">
        <x:f>K1091*'Assumptions'!$U$89</x:f>
        <x:v>513.8802102165412</x:v>
      </x:c>
      <x:c r="M1091" s="10" t="n">
        <x:f>K1091*'Assumptions'!$V$89</x:f>
        <x:v>0</x:v>
      </x:c>
      <x:c r="N1091" s="10" t="n">
        <x:f>K1091-L1091-M1091</x:f>
        <x:v>16615.46013033483</x:v>
      </x:c>
      <x:c r="O1091" s="10" t="n">
        <x:f>H1091*'Assumptions'!$P$89*'Assumptions'!$Q$89*'Assumptions'!$D$11*(1+'Assumptions'!$D$13)^(9-1)</x:f>
        <x:v>1098.6341502969494</x:v>
      </x:c>
      <x:c r="P1091" s="10" t="n">
        <x:f>H1091*'Assumptions'!$R$89*'Assumptions'!$D$11*(1+'Assumptions'!$D$13)^(9-1)</x:f>
        <x:v>0</x:v>
      </x:c>
      <x:c r="Q1091" s="10" t="n">
        <x:f>J1091*'Assumptions'!$S$89</x:f>
        <x:v>0</x:v>
      </x:c>
      <x:c r="R1091" s="10" t="n">
        <x:f>H1091*'Assumptions'!$Y$89*'Assumptions'!$Z$89*'Assumptions'!$D$11*(1+'Assumptions'!$D$13)^(9-1)</x:f>
        <x:v>1412.5296218103636</x:v>
      </x:c>
      <x:c r="S1091" s="10" t="n">
        <x:f>IF(I1091=0,0,J1091*'Assumptions'!$W$89+H1091*'Assumptions'!$X$89)</x:f>
        <x:v>571.0884650225947</x:v>
      </x:c>
      <x:c r="T1091" s="10" t="n">
        <x:f>N1091*'Assumptions'!$AA$89</x:f>
        <x:v>830.7730065167416</x:v>
      </x:c>
      <x:c r="U1091" s="10" t="n">
        <x:f>'Assumptions'!$AE$89*'Assumptions'!$D$11*(1+'Assumptions'!$D$13)^(9-1)</x:f>
        <x:v>76.00620488325698</x:v>
      </x:c>
      <x:c r="V1091" s="10" t="n">
        <x:f>0</x:f>
        <x:v>0</x:v>
      </x:c>
      <x:c r="W1091" s="10" t="n">
        <x:f>H1091*('Assumptions'!$P$89+'Assumptions'!$Y$89)</x:f>
        <x:v>61.947995955504</x:v>
      </x:c>
      <x:c r="X1091" s="10" t="n">
        <x:f>N1091/12*'Assumptions'!$AF$89</x:f>
        <x:v>0</x:v>
      </x:c>
      <x:c r="Y1091" s="10" t="n">
        <x:f>P1091/12</x:f>
        <x:v>0</x:v>
      </x:c>
      <x:c r="Z1091" s="10" t="n">
        <x:f>0</x:f>
        <x:v>0</x:v>
      </x:c>
      <x:c r="AA1091" s="10" t="n">
        <x:f>Z1091*'Assumptions'!$AC$89*'Assumptions'!$D$11*(1+'Assumptions'!$D$13)^(9-1)</x:f>
        <x:v>0</x:v>
      </x:c>
      <x:c r="AB1091" s="10" t="n">
        <x:f>F1091/12</x:f>
        <x:v>7.001565205248002</x:v>
      </x:c>
      <x:c r="AC1091" s="10" t="n">
        <x:f>AB1091/'Assumptions'!$AM$89</x:f>
        <x:v>140.03130410496004</x:v>
      </x:c>
      <x:c r="AD1091" s="10" t="n">
        <x:f>IF(AB1091=0,0,T1091/AB1091)</x:f>
        <x:v>118.65532665382281</x:v>
      </x:c>
      <x:c r="AE1091" s="10" t="n">
        <x:f>AA1091*'Assumptions'!$D$21</x:f>
        <x:v>0</x:v>
      </x:c>
    </x:row>
    <x:row r="1092" ht="16" customHeight="1">
      <x:c r="A1092" s="1"/>
      <x:c r="B1092" s="1"/>
      <x:c r="C1092" s="1" t="str">
        <x:v>DOT-061</x:v>
      </x:c>
      <x:c r="D1092" s="10" t="str">
        <x:v>Model Life</x:v>
      </x:c>
      <x:c r="E1092" s="10" t="n">
        <x:v>9</x:v>
      </x:c>
      <x:c r="F1092" s="21" t="n">
        <x:f>F964*(1+'Assumptions'!$M$90)</x:f>
        <x:v>42.00939123148801</x:v>
      </x:c>
      <x:c r="G1092" s="21" t="n">
        <x:f>H964*'Assumptions'!$K$90</x:f>
        <x:v>81.88660067951999</x:v>
      </x:c>
      <x:c r="H1092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1092+G1092,NA())</x:f>
        <x:v>123.895991911008</x:v>
      </x:c>
      <x:c r="I1092" s="22" t="n">
        <x:f>'Assumptions'!$H$90*IF('Assumptions'!$O$90=1,1,'Assumptions'!$D$10)*(1+'Assumptions'!$N$90)^(9-1)</x:f>
        <x:v>115.99427871922431</x:v>
      </x:c>
      <x:c r="J1092" s="10" t="n">
        <x:f>H1092*I1092</x:f>
        <x:v>14371.226217920223</x:v>
      </x:c>
      <x:c r="K1092" s="10" t="n">
        <x:f>J1092*'Assumptions'!$T$90</x:f>
        <x:v>14371.226217920223</x:v>
      </x:c>
      <x:c r="L1092" s="10" t="n">
        <x:f>K1092*'Assumptions'!$U$90</x:f>
        <x:v>431.13678653760667</x:v>
      </x:c>
      <x:c r="M1092" s="10" t="n">
        <x:f>K1092*'Assumptions'!$V$90</x:f>
        <x:v>0</x:v>
      </x:c>
      <x:c r="N1092" s="10" t="n">
        <x:f>K1092-L1092-M1092</x:f>
        <x:v>13940.089431382616</x:v>
      </x:c>
      <x:c r="O1092" s="10" t="n">
        <x:f>H1092*'Assumptions'!$P$90*'Assumptions'!$Q$90*'Assumptions'!$D$11*(1+'Assumptions'!$D$13)^(9-1)</x:f>
        <x:v>549.3170751484747</x:v>
      </x:c>
      <x:c r="P1092" s="10" t="n">
        <x:f>H1092*'Assumptions'!$R$90*'Assumptions'!$D$11*(1+'Assumptions'!$D$13)^(9-1)</x:f>
        <x:v>0</x:v>
      </x:c>
      <x:c r="Q1092" s="10" t="n">
        <x:f>J1092*'Assumptions'!$S$90</x:f>
        <x:v>0</x:v>
      </x:c>
      <x:c r="R1092" s="10" t="n">
        <x:f>H1092*'Assumptions'!$Y$90*'Assumptions'!$Z$90*'Assumptions'!$D$11*(1+'Assumptions'!$D$13)^(9-1)</x:f>
        <x:v>706.2648109051818</x:v>
      </x:c>
      <x:c r="S1092" s="10" t="n">
        <x:f>IF(I1092=0,0,J1092*'Assumptions'!$W$90+H1092*'Assumptions'!$X$90)</x:f>
        <x:v>453.9343578929889</x:v>
      </x:c>
      <x:c r="T1092" s="10" t="n">
        <x:f>N1092*'Assumptions'!$AA$90</x:f>
        <x:v>697.0044715691308</x:v>
      </x:c>
      <x:c r="U1092" s="10" t="n">
        <x:f>'Assumptions'!$AE$90*'Assumptions'!$D$11*(1+'Assumptions'!$D$13)^(9-1)</x:f>
        <x:v>76.00620488325698</x:v>
      </x:c>
      <x:c r="V1092" s="10" t="n">
        <x:f>0</x:f>
        <x:v>0</x:v>
      </x:c>
      <x:c r="W1092" s="10" t="n">
        <x:f>H1092*('Assumptions'!$P$90+'Assumptions'!$Y$90)</x:f>
        <x:v>30.973997977752</x:v>
      </x:c>
      <x:c r="X1092" s="10" t="n">
        <x:f>N1092/12*'Assumptions'!$AF$90</x:f>
        <x:v>0</x:v>
      </x:c>
      <x:c r="Y1092" s="10" t="n">
        <x:f>P1092/12</x:f>
        <x:v>0</x:v>
      </x:c>
      <x:c r="Z1092" s="10" t="n">
        <x:f>0</x:f>
        <x:v>0</x:v>
      </x:c>
      <x:c r="AA1092" s="10" t="n">
        <x:f>Z1092*'Assumptions'!$AC$90*'Assumptions'!$D$11*(1+'Assumptions'!$D$13)^(9-1)</x:f>
        <x:v>0</x:v>
      </x:c>
      <x:c r="AB1092" s="10" t="n">
        <x:f>F1092/12</x:f>
        <x:v>3.500782602624001</x:v>
      </x:c>
      <x:c r="AC1092" s="10" t="n">
        <x:f>AB1092/'Assumptions'!$AM$90</x:f>
        <x:v>70.01565205248002</x:v>
      </x:c>
      <x:c r="AD1092" s="10" t="n">
        <x:f>IF(AB1092=0,0,T1092/AB1092)</x:f>
        <x:v>199.09961591065186</x:v>
      </x:c>
      <x:c r="AE1092" s="10" t="n">
        <x:f>AA1092*'Assumptions'!$D$21</x:f>
        <x:v>0</x:v>
      </x:c>
    </x:row>
    <x:row r="1093" ht="16" customHeight="1">
      <x:c r="A1093" s="1"/>
      <x:c r="B1093" s="1"/>
      <x:c r="C1093" s="1" t="str">
        <x:v>DOT-062</x:v>
      </x:c>
      <x:c r="D1093" s="10" t="str">
        <x:v>Model Life</x:v>
      </x:c>
      <x:c r="E1093" s="10" t="n">
        <x:v>9</x:v>
      </x:c>
      <x:c r="F1093" s="21" t="n">
        <x:f>F965*(1+'Assumptions'!$M$91)</x:f>
        <x:v>42.00939123148801</x:v>
      </x:c>
      <x:c r="G1093" s="21" t="n">
        <x:f>H965*'Assumptions'!$K$91</x:f>
        <x:v>81.88660067951999</x:v>
      </x:c>
      <x:c r="H1093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1093+G1093,NA())</x:f>
        <x:v>123.895991911008</x:v>
      </x:c>
      <x:c r="I1093" s="22" t="n">
        <x:f>'Assumptions'!$H$91*IF('Assumptions'!$O$91=1,1,'Assumptions'!$D$10)*(1+'Assumptions'!$N$91)^(9-1)</x:f>
        <x:v>57.41130966911102</x:v>
      </x:c>
      <x:c r="J1093" s="10" t="n">
        <x:f>H1093*I1093</x:f>
        <x:v>7113.031158364554</x:v>
      </x:c>
      <x:c r="K1093" s="10" t="n">
        <x:f>J1093*'Assumptions'!$T$91</x:f>
        <x:v>7113.031158364554</x:v>
      </x:c>
      <x:c r="L1093" s="10" t="n">
        <x:f>K1093*'Assumptions'!$U$91</x:f>
        <x:v>213.39093475093662</x:v>
      </x:c>
      <x:c r="M1093" s="10" t="n">
        <x:f>K1093*'Assumptions'!$V$91</x:f>
        <x:v>0</x:v>
      </x:c>
      <x:c r="N1093" s="10" t="n">
        <x:f>K1093-L1093-M1093</x:f>
        <x:v>6899.640223613617</x:v>
      </x:c>
      <x:c r="O1093" s="10" t="n">
        <x:f>H1093*'Assumptions'!$P$91*'Assumptions'!$Q$91*'Assumptions'!$D$11*(1+'Assumptions'!$D$13)^(9-1)</x:f>
        <x:v>549.3170751484747</x:v>
      </x:c>
      <x:c r="P1093" s="10" t="n">
        <x:f>H1093*'Assumptions'!$R$91*'Assumptions'!$D$11*(1+'Assumptions'!$D$13)^(9-1)</x:f>
        <x:v>0</x:v>
      </x:c>
      <x:c r="Q1093" s="10" t="n">
        <x:f>J1093*'Assumptions'!$S$91</x:f>
        <x:v>0</x:v>
      </x:c>
      <x:c r="R1093" s="10" t="n">
        <x:f>H1093*'Assumptions'!$Y$91*'Assumptions'!$Z$91*'Assumptions'!$D$11*(1+'Assumptions'!$D$13)^(9-1)</x:f>
        <x:v>706.2648109051818</x:v>
      </x:c>
      <x:c r="S1093" s="10" t="n">
        <x:f>IF(I1093=0,0,J1093*'Assumptions'!$W$91+H1093*'Assumptions'!$X$91)</x:f>
        <x:v>243.44670116587446</x:v>
      </x:c>
      <x:c r="T1093" s="10" t="n">
        <x:f>N1093*'Assumptions'!$AA$91</x:f>
        <x:v>344.9820111806809</x:v>
      </x:c>
      <x:c r="U1093" s="10" t="n">
        <x:f>'Assumptions'!$AE$91*'Assumptions'!$D$11*(1+'Assumptions'!$D$13)^(9-1)</x:f>
        <x:v>76.00620488325698</x:v>
      </x:c>
      <x:c r="V1093" s="10" t="n">
        <x:f>0</x:f>
        <x:v>0</x:v>
      </x:c>
      <x:c r="W1093" s="10" t="n">
        <x:f>H1093*('Assumptions'!$P$91+'Assumptions'!$Y$91)</x:f>
        <x:v>30.973997977752</x:v>
      </x:c>
      <x:c r="X1093" s="10" t="n">
        <x:f>N1093/12*'Assumptions'!$AF$91</x:f>
        <x:v>0</x:v>
      </x:c>
      <x:c r="Y1093" s="10" t="n">
        <x:f>P1093/12</x:f>
        <x:v>0</x:v>
      </x:c>
      <x:c r="Z1093" s="10" t="n">
        <x:f>0</x:f>
        <x:v>0</x:v>
      </x:c>
      <x:c r="AA1093" s="10" t="n">
        <x:f>Z1093*'Assumptions'!$AC$91*'Assumptions'!$D$11*(1+'Assumptions'!$D$13)^(9-1)</x:f>
        <x:v>0</x:v>
      </x:c>
      <x:c r="AB1093" s="10" t="n">
        <x:f>F1093/12</x:f>
        <x:v>3.500782602624001</x:v>
      </x:c>
      <x:c r="AC1093" s="10" t="n">
        <x:f>AB1093/'Assumptions'!$AM$91</x:f>
        <x:v>70.01565205248002</x:v>
      </x:c>
      <x:c r="AD1093" s="10" t="n">
        <x:f>IF(AB1093=0,0,T1093/AB1093)</x:f>
        <x:v>98.54425433961558</x:v>
      </x:c>
      <x:c r="AE1093" s="10" t="n">
        <x:f>AA1093*'Assumptions'!$D$21</x:f>
        <x:v>0</x:v>
      </x:c>
    </x:row>
    <x:row r="1094" ht="16" customHeight="1">
      <x:c r="A1094" s="1"/>
      <x:c r="B1094" s="1"/>
      <x:c r="C1094" s="1" t="str">
        <x:v>DOT-063</x:v>
      </x:c>
      <x:c r="D1094" s="10" t="str">
        <x:v>S’otality cleaning</x:v>
      </x:c>
      <x:c r="E1094" s="10" t="n">
        <x:v>9</x:v>
      </x:c>
      <x:c r="F1094" s="21" t="n">
        <x:f>F966*(1+'Assumptions'!$M$92)</x:f>
        <x:v>79.09715753860803</x:v>
      </x:c>
      <x:c r="G1094" s="21" t="n">
        <x:f>H966*'Assumptions'!$K$92</x:f>
        <x:v>108.32689424736004</x:v>
      </x:c>
      <x:c r="H1094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1094+G1094,NA())</x:f>
        <x:v>187.42405178596806</x:v>
      </x:c>
      <x:c r="I1094" s="22" t="n">
        <x:f>'Assumptions'!$H$92*IF('Assumptions'!$O$92=1,1,'Assumptions'!$D$10)*(1+'Assumptions'!$N$92)^(9-1)</x:f>
        <x:v>174.5772477693376</x:v>
      </x:c>
      <x:c r="J1094" s="10" t="n">
        <x:f>H1094*I1094</x:f>
        <x:v>32719.975126572106</x:v>
      </x:c>
      <x:c r="K1094" s="10" t="n">
        <x:f>J1094*'Assumptions'!$T$92</x:f>
        <x:v>32719.975126572106</x:v>
      </x:c>
      <x:c r="L1094" s="10" t="n">
        <x:f>K1094*'Assumptions'!$U$92</x:f>
        <x:v>981.5992537971631</x:v>
      </x:c>
      <x:c r="M1094" s="10" t="n">
        <x:f>K1094*'Assumptions'!$V$92</x:f>
        <x:v>0</x:v>
      </x:c>
      <x:c r="N1094" s="10" t="n">
        <x:f>K1094-L1094-M1094</x:f>
        <x:v>31738.375872774945</x:v>
      </x:c>
      <x:c r="O1094" s="10" t="n">
        <x:f>H1094*'Assumptions'!$P$92*'Assumptions'!$Q$92*'Assumptions'!$D$11*(1+'Assumptions'!$D$13)^(9-1)</x:f>
        <x:v>830.9811346721766</x:v>
      </x:c>
      <x:c r="P1094" s="10" t="n">
        <x:f>H1094*'Assumptions'!$R$92*'Assumptions'!$D$11*(1+'Assumptions'!$D$13)^(9-1)</x:f>
        <x:v>1899.3854506792607</x:v>
      </x:c>
      <x:c r="Q1094" s="10" t="n">
        <x:f>J1094*'Assumptions'!$S$92</x:f>
        <x:v>21267.983832271868</x:v>
      </x:c>
      <x:c r="R1094" s="10" t="n">
        <x:f>H1094*'Assumptions'!$Y$92*'Assumptions'!$Z$92*'Assumptions'!$D$11*(1+'Assumptions'!$D$13)^(9-1)</x:f>
        <x:v>1424.5390880094458</x:v>
      </x:c>
      <x:c r="S1094" s="10" t="n">
        <x:f>IF(I1094=0,0,J1094*'Assumptions'!$W$92+H1094*'Assumptions'!$X$92)</x:f>
        <x:v>1005.1064942063815</x:v>
      </x:c>
      <x:c r="T1094" s="10" t="n">
        <x:f>N1094*'Assumptions'!$AA$92</x:f>
        <x:v>1269.5350349109979</x:v>
      </x:c>
      <x:c r="U1094" s="10" t="n">
        <x:f>'Assumptions'!$AE$92*'Assumptions'!$D$11*(1+'Assumptions'!$D$13)^(9-1)</x:f>
        <x:v>0</x:v>
      </x:c>
      <x:c r="V1094" s="10" t="n">
        <x:f>0</x:f>
        <x:v>0</x:v>
      </x:c>
      <x:c r="W1094" s="10" t="n">
        <x:f>H1094*('Assumptions'!$P$92+'Assumptions'!$Y$92)</x:f>
        <x:v>56.22721553579043</x:v>
      </x:c>
      <x:c r="X1094" s="10" t="n">
        <x:f>N1094/12*'Assumptions'!$AF$92</x:f>
        <x:v>0</x:v>
      </x:c>
      <x:c r="Y1094" s="10" t="n">
        <x:f>P1094/12</x:f>
        <x:v>158.2821208899384</x:v>
      </x:c>
      <x:c r="Z1094" s="10" t="n">
        <x:f>0</x:f>
        <x:v>0</x:v>
      </x:c>
      <x:c r="AA1094" s="10" t="n">
        <x:f>Z1094*'Assumptions'!$AC$92*'Assumptions'!$D$11*(1+'Assumptions'!$D$13)^(9-1)</x:f>
        <x:v>0</x:v>
      </x:c>
      <x:c r="AB1094" s="10" t="n">
        <x:f>F1094/1</x:f>
        <x:v>79.09715753860803</x:v>
      </x:c>
      <x:c r="AC1094" s="10" t="n">
        <x:f>AB1094/'Assumptions'!$AM$92</x:f>
        <x:v>527.3143835907202</x:v>
      </x:c>
      <x:c r="AD1094" s="10" t="n">
        <x:f>IF(AB1094=0,0,T1094/AB1094)</x:f>
        <x:v>16.05032436584496</x:v>
      </x:c>
      <x:c r="AE1094" s="10" t="n">
        <x:f>AA1094*'Assumptions'!$D$21</x:f>
        <x:v>0</x:v>
      </x:c>
    </x:row>
    <x:row r="1095" ht="16" customHeight="1">
      <x:c r="A1095" s="1"/>
      <x:c r="B1095" s="1"/>
      <x:c r="C1095" s="1" t="str">
        <x:v>DOT-064</x:v>
      </x:c>
      <x:c r="D1095" s="10" t="str">
        <x:v>S’otality cleaning</x:v>
      </x:c>
      <x:c r="E1095" s="10" t="n">
        <x:v>9</x:v>
      </x:c>
      <x:c r="F1095" s="21" t="n">
        <x:f>F967*(1+'Assumptions'!$M$93)</x:f>
        <x:v>118.64573630791202</x:v>
      </x:c>
      <x:c r="G1095" s="21" t="n">
        <x:f>H967*'Assumptions'!$K$93</x:f>
        <x:v>162.49034137104002</x:v>
      </x:c>
      <x:c r="H1095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1095+G1095,NA())</x:f>
        <x:v>281.136077678952</x:v>
      </x:c>
      <x:c r="I1095" s="22" t="n">
        <x:f>'Assumptions'!$H$93*IF('Assumptions'!$O$93=1,1,'Assumptions'!$D$10)*(1+'Assumptions'!$N$93)^(9-1)</x:f>
        <x:v>162.86065395931493</x:v>
      </x:c>
      <x:c r="J1095" s="10" t="n">
        <x:f>H1095*I1095</x:f>
        <x:v>45786.005462350884</x:v>
      </x:c>
      <x:c r="K1095" s="10" t="n">
        <x:f>J1095*'Assumptions'!$T$93</x:f>
        <x:v>45786.005462350884</x:v>
      </x:c>
      <x:c r="L1095" s="10" t="n">
        <x:f>K1095*'Assumptions'!$U$93</x:f>
        <x:v>1373.5801638705266</x:v>
      </x:c>
      <x:c r="M1095" s="10" t="n">
        <x:f>K1095*'Assumptions'!$V$93</x:f>
        <x:v>0</x:v>
      </x:c>
      <x:c r="N1095" s="10" t="n">
        <x:f>K1095-L1095-M1095</x:f>
        <x:v>44412.42529848036</x:v>
      </x:c>
      <x:c r="O1095" s="10" t="n">
        <x:f>H1095*'Assumptions'!$P$93*'Assumptions'!$Q$93*'Assumptions'!$D$11*(1+'Assumptions'!$D$13)^(9-1)</x:f>
        <x:v>1246.4717020082646</x:v>
      </x:c>
      <x:c r="P1095" s="10" t="n">
        <x:f>H1095*'Assumptions'!$R$93*'Assumptions'!$D$11*(1+'Assumptions'!$D$13)^(9-1)</x:f>
        <x:v>2849.07817601889</x:v>
      </x:c>
      <x:c r="Q1095" s="10" t="n">
        <x:f>J1095*'Assumptions'!$S$93</x:f>
        <x:v>29760.903550528077</x:v>
      </x:c>
      <x:c r="R1095" s="10" t="n">
        <x:f>H1095*'Assumptions'!$Y$93*'Assumptions'!$Z$93*'Assumptions'!$D$11*(1+'Assumptions'!$D$13)^(9-1)</x:f>
        <x:v>2136.808632014168</x:v>
      </x:c>
      <x:c r="S1095" s="10" t="n">
        <x:f>IF(I1095=0,0,J1095*'Assumptions'!$W$93+H1095*'Assumptions'!$X$93)</x:f>
        <x:v>1412.1349817118612</x:v>
      </x:c>
      <x:c r="T1095" s="10" t="n">
        <x:f>N1095*'Assumptions'!$AA$93</x:f>
        <x:v>1776.4970119392144</x:v>
      </x:c>
      <x:c r="U1095" s="10" t="n">
        <x:f>'Assumptions'!$AE$93*'Assumptions'!$D$11*(1+'Assumptions'!$D$13)^(9-1)</x:f>
        <x:v>0</x:v>
      </x:c>
      <x:c r="V1095" s="10" t="n">
        <x:f>0</x:f>
        <x:v>0</x:v>
      </x:c>
      <x:c r="W1095" s="10" t="n">
        <x:f>H1095*('Assumptions'!$P$93+'Assumptions'!$Y$93)</x:f>
        <x:v>84.34082330368561</x:v>
      </x:c>
      <x:c r="X1095" s="10" t="n">
        <x:f>N1095/12*'Assumptions'!$AF$93</x:f>
        <x:v>0</x:v>
      </x:c>
      <x:c r="Y1095" s="10" t="n">
        <x:f>P1095/12</x:f>
        <x:v>237.42318133490753</x:v>
      </x:c>
      <x:c r="Z1095" s="10" t="n">
        <x:f>0</x:f>
        <x:v>0</x:v>
      </x:c>
      <x:c r="AA1095" s="10" t="n">
        <x:f>Z1095*'Assumptions'!$AC$93*'Assumptions'!$D$11*(1+'Assumptions'!$D$13)^(9-1)</x:f>
        <x:v>0</x:v>
      </x:c>
      <x:c r="AB1095" s="10" t="n">
        <x:f>F1095/1</x:f>
        <x:v>118.64573630791202</x:v>
      </x:c>
      <x:c r="AC1095" s="10" t="n">
        <x:f>AB1095/'Assumptions'!$AM$93</x:f>
        <x:v>790.9715753860802</x:v>
      </x:c>
      <x:c r="AD1095" s="10" t="n">
        <x:f>IF(AB1095=0,0,T1095/AB1095)</x:f>
        <x:v>14.97312138827147</x:v>
      </x:c>
      <x:c r="AE1095" s="10" t="n">
        <x:f>AA1095*'Assumptions'!$D$21</x:f>
        <x:v>0</x:v>
      </x:c>
    </x:row>
    <x:row r="1096" ht="16" customHeight="1">
      <x:c r="A1096" s="1"/>
      <x:c r="B1096" s="1"/>
      <x:c r="C1096" s="1" t="str">
        <x:v>DOT-065</x:v>
      </x:c>
      <x:c r="D1096" s="10" t="str">
        <x:v>S’otality cleaning</x:v>
      </x:c>
      <x:c r="E1096" s="10" t="n">
        <x:v>9</x:v>
      </x:c>
      <x:c r="F1096" s="21" t="n">
        <x:f>F968*(1+'Assumptions'!$M$94)</x:f>
        <x:v>79.09715753860803</x:v>
      </x:c>
      <x:c r="G1096" s="21" t="n">
        <x:f>H968*'Assumptions'!$K$94</x:f>
        <x:v>108.32689424736004</x:v>
      </x:c>
      <x:c r="H1096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1096+G1096,NA())</x:f>
        <x:v>187.42405178596806</x:v>
      </x:c>
      <x:c r="I1096" s="22" t="n">
        <x:f>'Assumptions'!$H$94*IF('Assumptions'!$O$94=1,1,'Assumptions'!$D$10)*(1+'Assumptions'!$N$94)^(9-1)</x:f>
        <x:v>186.29384157936025</x:v>
      </x:c>
      <x:c r="J1096" s="10" t="n">
        <x:f>H1096*I1096</x:f>
        <x:v>34915.94661157695</x:v>
      </x:c>
      <x:c r="K1096" s="10" t="n">
        <x:f>J1096*'Assumptions'!$T$94</x:f>
        <x:v>34915.94661157695</x:v>
      </x:c>
      <x:c r="L1096" s="10" t="n">
        <x:f>K1096*'Assumptions'!$U$94</x:f>
        <x:v>1047.4783983473083</x:v>
      </x:c>
      <x:c r="M1096" s="10" t="n">
        <x:f>K1096*'Assumptions'!$V$94</x:f>
        <x:v>0</x:v>
      </x:c>
      <x:c r="N1096" s="10" t="n">
        <x:f>K1096-L1096-M1096</x:f>
        <x:v>33868.46821322964</x:v>
      </x:c>
      <x:c r="O1096" s="10" t="n">
        <x:f>H1096*'Assumptions'!$P$94*'Assumptions'!$Q$94*'Assumptions'!$D$11*(1+'Assumptions'!$D$13)^(9-1)</x:f>
        <x:v>830.9811346721766</x:v>
      </x:c>
      <x:c r="P1096" s="10" t="n">
        <x:f>H1096*'Assumptions'!$R$94*'Assumptions'!$D$11*(1+'Assumptions'!$D$13)^(9-1)</x:f>
        <x:v>1899.3854506792607</x:v>
      </x:c>
      <x:c r="Q1096" s="10" t="n">
        <x:f>J1096*'Assumptions'!$S$94</x:f>
        <x:v>22695.365297525015</x:v>
      </x:c>
      <x:c r="R1096" s="10" t="n">
        <x:f>H1096*'Assumptions'!$Y$94*'Assumptions'!$Z$94*'Assumptions'!$D$11*(1+'Assumptions'!$D$13)^(9-1)</x:f>
        <x:v>1424.5390880094458</x:v>
      </x:c>
      <x:c r="S1096" s="10" t="n">
        <x:f>IF(I1096=0,0,J1096*'Assumptions'!$W$94+H1096*'Assumptions'!$X$94)</x:f>
        <x:v>1068.789667271522</x:v>
      </x:c>
      <x:c r="T1096" s="10" t="n">
        <x:f>N1096*'Assumptions'!$AA$94</x:f>
        <x:v>1354.7387285291854</x:v>
      </x:c>
      <x:c r="U1096" s="10" t="n">
        <x:f>'Assumptions'!$AE$94*'Assumptions'!$D$11*(1+'Assumptions'!$D$13)^(9-1)</x:f>
        <x:v>0</x:v>
      </x:c>
      <x:c r="V1096" s="10" t="n">
        <x:f>0</x:f>
        <x:v>0</x:v>
      </x:c>
      <x:c r="W1096" s="10" t="n">
        <x:f>H1096*('Assumptions'!$P$94+'Assumptions'!$Y$94)</x:f>
        <x:v>56.22721553579043</x:v>
      </x:c>
      <x:c r="X1096" s="10" t="n">
        <x:f>N1096/12*'Assumptions'!$AF$94</x:f>
        <x:v>0</x:v>
      </x:c>
      <x:c r="Y1096" s="10" t="n">
        <x:f>P1096/12</x:f>
        <x:v>158.2821208899384</x:v>
      </x:c>
      <x:c r="Z1096" s="10" t="n">
        <x:f>0</x:f>
        <x:v>0</x:v>
      </x:c>
      <x:c r="AA1096" s="10" t="n">
        <x:f>Z1096*'Assumptions'!$AC$94*'Assumptions'!$D$11*(1+'Assumptions'!$D$13)^(9-1)</x:f>
        <x:v>0</x:v>
      </x:c>
      <x:c r="AB1096" s="10" t="n">
        <x:f>F1096/1</x:f>
        <x:v>79.09715753860803</x:v>
      </x:c>
      <x:c r="AC1096" s="10" t="n">
        <x:f>AB1096/'Assumptions'!$AM$94</x:f>
        <x:v>527.3143835907202</x:v>
      </x:c>
      <x:c r="AD1096" s="10" t="n">
        <x:f>IF(AB1096=0,0,T1096/AB1096)</x:f>
        <x:v>17.127527343418446</x:v>
      </x:c>
      <x:c r="AE1096" s="10" t="n">
        <x:f>AA1096*'Assumptions'!$D$21</x:f>
        <x:v>0</x:v>
      </x:c>
    </x:row>
    <x:row r="1097" ht="16" customHeight="1">
      <x:c r="A1097" s="1"/>
      <x:c r="B1097" s="1"/>
      <x:c r="C1097" s="1" t="str">
        <x:v>DOT-066</x:v>
      </x:c>
      <x:c r="D1097" s="10" t="str">
        <x:v>S’otality cleaning</x:v>
      </x:c>
      <x:c r="E1097" s="10" t="n">
        <x:v>9</x:v>
      </x:c>
      <x:c r="F1097" s="21" t="n">
        <x:f>F969*(1+'Assumptions'!$M$95)</x:f>
        <x:v>118.64573630791202</x:v>
      </x:c>
      <x:c r="G1097" s="21" t="n">
        <x:f>H969*'Assumptions'!$K$95</x:f>
        <x:v>162.49034137104002</x:v>
      </x:c>
      <x:c r="H1097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1097+G1097,NA())</x:f>
        <x:v>281.136077678952</x:v>
      </x:c>
      <x:c r="I1097" s="22" t="n">
        <x:f>'Assumptions'!$H$95*IF('Assumptions'!$O$95=1,1,'Assumptions'!$D$10)*(1+'Assumptions'!$N$95)^(9-1)</x:f>
        <x:v>174.5772477693376</x:v>
      </x:c>
      <x:c r="J1097" s="10" t="n">
        <x:f>H1097*I1097</x:f>
        <x:v>49079.96268985814</x:v>
      </x:c>
      <x:c r="K1097" s="10" t="n">
        <x:f>J1097*'Assumptions'!$T$95</x:f>
        <x:v>49079.96268985814</x:v>
      </x:c>
      <x:c r="L1097" s="10" t="n">
        <x:f>K1097*'Assumptions'!$U$95</x:f>
        <x:v>1472.398880695744</x:v>
      </x:c>
      <x:c r="M1097" s="10" t="n">
        <x:f>K1097*'Assumptions'!$V$95</x:f>
        <x:v>0</x:v>
      </x:c>
      <x:c r="N1097" s="10" t="n">
        <x:f>K1097-L1097-M1097</x:f>
        <x:v>47607.5638091624</x:v>
      </x:c>
      <x:c r="O1097" s="10" t="n">
        <x:f>H1097*'Assumptions'!$P$95*'Assumptions'!$Q$95*'Assumptions'!$D$11*(1+'Assumptions'!$D$13)^(9-1)</x:f>
        <x:v>1246.4717020082646</x:v>
      </x:c>
      <x:c r="P1097" s="10" t="n">
        <x:f>H1097*'Assumptions'!$R$95*'Assumptions'!$D$11*(1+'Assumptions'!$D$13)^(9-1)</x:f>
        <x:v>2849.07817601889</x:v>
      </x:c>
      <x:c r="Q1097" s="10" t="n">
        <x:f>J1097*'Assumptions'!$S$95</x:f>
        <x:v>31901.975748407793</x:v>
      </x:c>
      <x:c r="R1097" s="10" t="n">
        <x:f>H1097*'Assumptions'!$Y$95*'Assumptions'!$Z$95*'Assumptions'!$D$11*(1+'Assumptions'!$D$13)^(9-1)</x:f>
        <x:v>2136.808632014168</x:v>
      </x:c>
      <x:c r="S1097" s="10" t="n">
        <x:f>IF(I1097=0,0,J1097*'Assumptions'!$W$95+H1097*'Assumptions'!$X$95)</x:f>
        <x:v>1507.6597413095717</x:v>
      </x:c>
      <x:c r="T1097" s="10" t="n">
        <x:f>N1097*'Assumptions'!$AA$95</x:f>
        <x:v>1904.302552366496</x:v>
      </x:c>
      <x:c r="U1097" s="10" t="n">
        <x:f>'Assumptions'!$AE$95*'Assumptions'!$D$11*(1+'Assumptions'!$D$13)^(9-1)</x:f>
        <x:v>0</x:v>
      </x:c>
      <x:c r="V1097" s="10" t="n">
        <x:f>0</x:f>
        <x:v>0</x:v>
      </x:c>
      <x:c r="W1097" s="10" t="n">
        <x:f>H1097*('Assumptions'!$P$95+'Assumptions'!$Y$95)</x:f>
        <x:v>84.34082330368561</x:v>
      </x:c>
      <x:c r="X1097" s="10" t="n">
        <x:f>N1097/12*'Assumptions'!$AF$95</x:f>
        <x:v>0</x:v>
      </x:c>
      <x:c r="Y1097" s="10" t="n">
        <x:f>P1097/12</x:f>
        <x:v>237.42318133490753</x:v>
      </x:c>
      <x:c r="Z1097" s="10" t="n">
        <x:f>0</x:f>
        <x:v>0</x:v>
      </x:c>
      <x:c r="AA1097" s="10" t="n">
        <x:f>Z1097*'Assumptions'!$AC$95*'Assumptions'!$D$11*(1+'Assumptions'!$D$13)^(9-1)</x:f>
        <x:v>0</x:v>
      </x:c>
      <x:c r="AB1097" s="10" t="n">
        <x:f>F1097/1</x:f>
        <x:v>118.64573630791202</x:v>
      </x:c>
      <x:c r="AC1097" s="10" t="n">
        <x:f>AB1097/'Assumptions'!$AM$95</x:f>
        <x:v>790.9715753860802</x:v>
      </x:c>
      <x:c r="AD1097" s="10" t="n">
        <x:f>IF(AB1097=0,0,T1097/AB1097)</x:f>
        <x:v>16.050324365844958</x:v>
      </x:c>
      <x:c r="AE1097" s="10" t="n">
        <x:f>AA1097*'Assumptions'!$D$21</x:f>
        <x:v>0</x:v>
      </x:c>
    </x:row>
    <x:row r="1098" ht="16" customHeight="1">
      <x:c r="A1098" s="1"/>
      <x:c r="B1098" s="1"/>
      <x:c r="C1098" s="1" t="str">
        <x:v>DOT-067</x:v>
      </x:c>
      <x:c r="D1098" s="10" t="str">
        <x:v>S’otality cleaning</x:v>
      </x:c>
      <x:c r="E1098" s="10" t="n">
        <x:v>9</x:v>
      </x:c>
      <x:c r="F1098" s="21" t="n">
        <x:f>F970*(1+'Assumptions'!$M$96)</x:f>
        <x:v>52.73143835907203</x:v>
      </x:c>
      <x:c r="G1098" s="21" t="n">
        <x:f>H970*'Assumptions'!$K$96</x:f>
        <x:v>72.21792949824004</x:v>
      </x:c>
      <x:c r="H1098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1098+G1098,NA())</x:f>
        <x:v>124.94936785731207</x:v>
      </x:c>
      <x:c r="I1098" s="22" t="n">
        <x:f>'Assumptions'!$H$96*IF('Assumptions'!$O$96=1,1,'Assumptions'!$D$10)*(1+'Assumptions'!$N$96)^(9-1)</x:f>
        <x:v>233.16021681945088</x:v>
      </x:c>
      <x:c r="J1098" s="10" t="n">
        <x:f>H1098*I1098</x:f>
        <x:v>29133.22170106421</x:v>
      </x:c>
      <x:c r="K1098" s="10" t="n">
        <x:f>J1098*'Assumptions'!$T$96</x:f>
        <x:v>29133.22170106421</x:v>
      </x:c>
      <x:c r="L1098" s="10" t="n">
        <x:f>K1098*'Assumptions'!$U$96</x:f>
        <x:v>873.9966510319263</x:v>
      </x:c>
      <x:c r="M1098" s="10" t="n">
        <x:f>K1098*'Assumptions'!$V$96</x:f>
        <x:v>0</x:v>
      </x:c>
      <x:c r="N1098" s="10" t="n">
        <x:f>K1098-L1098-M1098</x:f>
        <x:v>28259.225050032284</x:v>
      </x:c>
      <x:c r="O1098" s="10" t="n">
        <x:f>H1098*'Assumptions'!$P$96*'Assumptions'!$Q$96*'Assumptions'!$D$11*(1+'Assumptions'!$D$13)^(9-1)</x:f>
        <x:v>553.9874231147845</x:v>
      </x:c>
      <x:c r="P1098" s="10" t="n">
        <x:f>H1098*'Assumptions'!$R$96*'Assumptions'!$D$11*(1+'Assumptions'!$D$13)^(9-1)</x:f>
        <x:v>1266.2569671195074</x:v>
      </x:c>
      <x:c r="Q1098" s="10" t="n">
        <x:f>J1098*'Assumptions'!$S$96</x:f>
        <x:v>18936.594105691736</x:v>
      </x:c>
      <x:c r="R1098" s="10" t="n">
        <x:f>H1098*'Assumptions'!$Y$96*'Assumptions'!$Z$96*'Assumptions'!$D$11*(1+'Assumptions'!$D$13)^(9-1)</x:f>
        <x:v>949.6927253396307</x:v>
      </x:c>
      <x:c r="S1098" s="10" t="n">
        <x:f>IF(I1098=0,0,J1098*'Assumptions'!$W$96+H1098*'Assumptions'!$X$96)</x:f>
        <x:v>882.3482396880557</x:v>
      </x:c>
      <x:c r="T1098" s="10" t="n">
        <x:f>N1098*'Assumptions'!$AA$96</x:f>
        <x:v>1130.3690020012914</x:v>
      </x:c>
      <x:c r="U1098" s="10" t="n">
        <x:f>'Assumptions'!$AE$96*'Assumptions'!$D$11*(1+'Assumptions'!$D$13)^(9-1)</x:f>
        <x:v>0</x:v>
      </x:c>
      <x:c r="V1098" s="10" t="n">
        <x:f>0</x:f>
        <x:v>0</x:v>
      </x:c>
      <x:c r="W1098" s="10" t="n">
        <x:f>H1098*('Assumptions'!$P$96+'Assumptions'!$Y$96)</x:f>
        <x:v>37.48481035719362</x:v>
      </x:c>
      <x:c r="X1098" s="10" t="n">
        <x:f>N1098/12*'Assumptions'!$AF$96</x:f>
        <x:v>0</x:v>
      </x:c>
      <x:c r="Y1098" s="10" t="n">
        <x:f>P1098/12</x:f>
        <x:v>105.52141392662561</x:v>
      </x:c>
      <x:c r="Z1098" s="10" t="n">
        <x:f>0</x:f>
        <x:v>0</x:v>
      </x:c>
      <x:c r="AA1098" s="10" t="n">
        <x:f>Z1098*'Assumptions'!$AC$96*'Assumptions'!$D$11*(1+'Assumptions'!$D$13)^(9-1)</x:f>
        <x:v>0</x:v>
      </x:c>
      <x:c r="AB1098" s="10" t="n">
        <x:f>F1098/1</x:f>
        <x:v>52.73143835907203</x:v>
      </x:c>
      <x:c r="AC1098" s="10" t="n">
        <x:f>AB1098/'Assumptions'!$AM$96</x:f>
        <x:v>351.54292239381357</x:v>
      </x:c>
      <x:c r="AD1098" s="10" t="n">
        <x:f>IF(AB1098=0,0,T1098/AB1098)</x:f>
        <x:v>21.436339253712397</x:v>
      </x:c>
      <x:c r="AE1098" s="10" t="n">
        <x:f>AA1098*'Assumptions'!$D$21</x:f>
        <x:v>0</x:v>
      </x:c>
    </x:row>
    <x:row r="1099" ht="16" customHeight="1">
      <x:c r="A1099" s="1"/>
      <x:c r="B1099" s="1"/>
      <x:c r="C1099" s="1" t="str">
        <x:v>DOT-068</x:v>
      </x:c>
      <x:c r="D1099" s="10" t="str">
        <x:v>S’otality cleaning</x:v>
      </x:c>
      <x:c r="E1099" s="10" t="n">
        <x:v>9</x:v>
      </x:c>
      <x:c r="F1099" s="21" t="n">
        <x:f>F971*(1+'Assumptions'!$M$97)</x:f>
        <x:v>79.09715753860803</x:v>
      </x:c>
      <x:c r="G1099" s="21" t="n">
        <x:f>H971*'Assumptions'!$K$97</x:f>
        <x:v>108.32689424736004</x:v>
      </x:c>
      <x:c r="H1099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1099+G1099,NA())</x:f>
        <x:v>187.42405178596806</x:v>
      </x:c>
      <x:c r="I1099" s="22" t="n">
        <x:f>'Assumptions'!$H$97*IF('Assumptions'!$O$97=1,1,'Assumptions'!$D$10)*(1+'Assumptions'!$N$97)^(9-1)</x:f>
        <x:v>221.44362300942822</x:v>
      </x:c>
      <x:c r="J1099" s="10" t="n">
        <x:f>H1099*I1099</x:f>
        <x:v>41503.86106659146</x:v>
      </x:c>
      <x:c r="K1099" s="10" t="n">
        <x:f>J1099*'Assumptions'!$T$97</x:f>
        <x:v>41503.86106659146</x:v>
      </x:c>
      <x:c r="L1099" s="10" t="n">
        <x:f>K1099*'Assumptions'!$U$97</x:f>
        <x:v>1245.1158319977437</x:v>
      </x:c>
      <x:c r="M1099" s="10" t="n">
        <x:f>K1099*'Assumptions'!$V$97</x:f>
        <x:v>0</x:v>
      </x:c>
      <x:c r="N1099" s="10" t="n">
        <x:f>K1099-L1099-M1099</x:f>
        <x:v>40258.74523459372</x:v>
      </x:c>
      <x:c r="O1099" s="10" t="n">
        <x:f>H1099*'Assumptions'!$P$97*'Assumptions'!$Q$97*'Assumptions'!$D$11*(1+'Assumptions'!$D$13)^(9-1)</x:f>
        <x:v>830.9811346721766</x:v>
      </x:c>
      <x:c r="P1099" s="10" t="n">
        <x:f>H1099*'Assumptions'!$R$97*'Assumptions'!$D$11*(1+'Assumptions'!$D$13)^(9-1)</x:f>
        <x:v>1899.3854506792607</x:v>
      </x:c>
      <x:c r="Q1099" s="10" t="n">
        <x:f>J1099*'Assumptions'!$S$97</x:f>
        <x:v>26977.50969328445</x:v>
      </x:c>
      <x:c r="R1099" s="10" t="n">
        <x:f>H1099*'Assumptions'!$Y$97*'Assumptions'!$Z$97*'Assumptions'!$D$11*(1+'Assumptions'!$D$13)^(9-1)</x:f>
        <x:v>1424.5390880094458</x:v>
      </x:c>
      <x:c r="S1099" s="10" t="n">
        <x:f>IF(I1099=0,0,J1099*'Assumptions'!$W$97+H1099*'Assumptions'!$X$97)</x:f>
        <x:v>1259.839186466943</x:v>
      </x:c>
      <x:c r="T1099" s="10" t="n">
        <x:f>N1099*'Assumptions'!$AA$97</x:f>
        <x:v>1610.3498093837488</x:v>
      </x:c>
      <x:c r="U1099" s="10" t="n">
        <x:f>'Assumptions'!$AE$97*'Assumptions'!$D$11*(1+'Assumptions'!$D$13)^(9-1)</x:f>
        <x:v>0</x:v>
      </x:c>
      <x:c r="V1099" s="10" t="n">
        <x:f>0</x:f>
        <x:v>0</x:v>
      </x:c>
      <x:c r="W1099" s="10" t="n">
        <x:f>H1099*('Assumptions'!$P$97+'Assumptions'!$Y$97)</x:f>
        <x:v>56.22721553579043</x:v>
      </x:c>
      <x:c r="X1099" s="10" t="n">
        <x:f>N1099/12*'Assumptions'!$AF$97</x:f>
        <x:v>0</x:v>
      </x:c>
      <x:c r="Y1099" s="10" t="n">
        <x:f>P1099/12</x:f>
        <x:v>158.2821208899384</x:v>
      </x:c>
      <x:c r="Z1099" s="10" t="n">
        <x:f>0</x:f>
        <x:v>0</x:v>
      </x:c>
      <x:c r="AA1099" s="10" t="n">
        <x:f>Z1099*'Assumptions'!$AC$97*'Assumptions'!$D$11*(1+'Assumptions'!$D$13)^(9-1)</x:f>
        <x:v>0</x:v>
      </x:c>
      <x:c r="AB1099" s="10" t="n">
        <x:f>F1099/1</x:f>
        <x:v>79.09715753860803</x:v>
      </x:c>
      <x:c r="AC1099" s="10" t="n">
        <x:f>AB1099/'Assumptions'!$AM$97</x:f>
        <x:v>527.3143835907202</x:v>
      </x:c>
      <x:c r="AD1099" s="10" t="n">
        <x:f>IF(AB1099=0,0,T1099/AB1099)</x:f>
        <x:v>20.35913627613891</x:v>
      </x:c>
      <x:c r="AE1099" s="10" t="n">
        <x:f>AA1099*'Assumptions'!$D$21</x:f>
        <x:v>0</x:v>
      </x:c>
    </x:row>
    <x:row r="1100" ht="16" customHeight="1">
      <x:c r="A1100" s="1"/>
      <x:c r="B1100" s="1"/>
      <x:c r="C1100" s="1" t="str">
        <x:v>DOT-069</x:v>
      </x:c>
      <x:c r="D1100" s="10" t="str">
        <x:v>S’otality cleaning</x:v>
      </x:c>
      <x:c r="E1100" s="10" t="n">
        <x:v>9</x:v>
      </x:c>
      <x:c r="F1100" s="21" t="n">
        <x:f>F972*(1+'Assumptions'!$M$98)</x:f>
        <x:v>26.365719179536015</x:v>
      </x:c>
      <x:c r="G1100" s="21" t="n">
        <x:f>H972*'Assumptions'!$K$98</x:f>
        <x:v>36.10896474912002</x:v>
      </x:c>
      <x:c r="H1100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1100+G1100,NA())</x:f>
        <x:v>62.474683928656034</x:v>
      </x:c>
      <x:c r="I1100" s="22" t="n">
        <x:f>'Assumptions'!$H$98*IF('Assumptions'!$O$98=1,1,'Assumptions'!$D$10)*(1+'Assumptions'!$N$98)^(9-1)</x:f>
        <x:v>350.32615491967744</x:v>
      </x:c>
      <x:c r="J1100" s="10" t="n">
        <x:f>H1100*I1100</x:f>
        <x:v>21886.515800548237</x:v>
      </x:c>
      <x:c r="K1100" s="10" t="n">
        <x:f>J1100*'Assumptions'!$T$98</x:f>
        <x:v>21886.515800548237</x:v>
      </x:c>
      <x:c r="L1100" s="10" t="n">
        <x:f>K1100*'Assumptions'!$U$98</x:f>
        <x:v>656.595474016447</x:v>
      </x:c>
      <x:c r="M1100" s="10" t="n">
        <x:f>K1100*'Assumptions'!$V$98</x:f>
        <x:v>0</x:v>
      </x:c>
      <x:c r="N1100" s="10" t="n">
        <x:f>K1100-L1100-M1100</x:f>
        <x:v>21229.920326531792</x:v>
      </x:c>
      <x:c r="O1100" s="10" t="n">
        <x:f>H1100*'Assumptions'!$P$98*'Assumptions'!$Q$98*'Assumptions'!$D$11*(1+'Assumptions'!$D$13)^(9-1)</x:f>
        <x:v>276.99371155739226</x:v>
      </x:c>
      <x:c r="P1100" s="10" t="n">
        <x:f>H1100*'Assumptions'!$R$98*'Assumptions'!$D$11*(1+'Assumptions'!$D$13)^(9-1)</x:f>
        <x:v>633.1284835597537</x:v>
      </x:c>
      <x:c r="Q1100" s="10" t="n">
        <x:f>J1100*'Assumptions'!$S$98</x:f>
        <x:v>14226.235270356354</x:v>
      </x:c>
      <x:c r="R1100" s="10" t="n">
        <x:f>H1100*'Assumptions'!$Y$98*'Assumptions'!$Z$98*'Assumptions'!$D$11*(1+'Assumptions'!$D$13)^(9-1)</x:f>
        <x:v>474.84636266981533</x:v>
      </x:c>
      <x:c r="S1100" s="10" t="n">
        <x:f>IF(I1100=0,0,J1100*'Assumptions'!$W$98+H1100*'Assumptions'!$X$98)</x:f>
        <x:v>653.4513633944956</x:v>
      </x:c>
      <x:c r="T1100" s="10" t="n">
        <x:f>N1100*'Assumptions'!$AA$98</x:f>
        <x:v>849.1968130612717</x:v>
      </x:c>
      <x:c r="U1100" s="10" t="n">
        <x:f>'Assumptions'!$AE$98*'Assumptions'!$D$11*(1+'Assumptions'!$D$13)^(9-1)</x:f>
        <x:v>0</x:v>
      </x:c>
      <x:c r="V1100" s="10" t="n">
        <x:f>0</x:f>
        <x:v>0</x:v>
      </x:c>
      <x:c r="W1100" s="10" t="n">
        <x:f>H1100*('Assumptions'!$P$98+'Assumptions'!$Y$98)</x:f>
        <x:v>18.74240517859681</x:v>
      </x:c>
      <x:c r="X1100" s="10" t="n">
        <x:f>N1100/12*'Assumptions'!$AF$98</x:f>
        <x:v>0</x:v>
      </x:c>
      <x:c r="Y1100" s="10" t="n">
        <x:f>P1100/12</x:f>
        <x:v>52.760706963312806</x:v>
      </x:c>
      <x:c r="Z1100" s="10" t="n">
        <x:f>0</x:f>
        <x:v>0</x:v>
      </x:c>
      <x:c r="AA1100" s="10" t="n">
        <x:f>Z1100*'Assumptions'!$AC$98*'Assumptions'!$D$11*(1+'Assumptions'!$D$13)^(9-1)</x:f>
        <x:v>0</x:v>
      </x:c>
      <x:c r="AB1100" s="10" t="n">
        <x:f>F1100/1</x:f>
        <x:v>26.365719179536015</x:v>
      </x:c>
      <x:c r="AC1100" s="10" t="n">
        <x:f>AB1100/'Assumptions'!$AM$98</x:f>
        <x:v>175.77146119690678</x:v>
      </x:c>
      <x:c r="AD1100" s="10" t="n">
        <x:f>IF(AB1100=0,0,T1100/AB1100)</x:f>
        <x:v>32.20836902944727</x:v>
      </x:c>
      <x:c r="AE1100" s="10" t="n">
        <x:f>AA1100*'Assumptions'!$D$21</x:f>
        <x:v>0</x:v>
      </x:c>
    </x:row>
    <x:row r="1101" ht="16" customHeight="1">
      <x:c r="A1101" s="1"/>
      <x:c r="B1101" s="1"/>
      <x:c r="C1101" s="1" t="str">
        <x:v>DOT-070</x:v>
      </x:c>
      <x:c r="D1101" s="10" t="str">
        <x:v>S’otality laundry</x:v>
      </x:c>
      <x:c r="E1101" s="10" t="n">
        <x:v>9</x:v>
      </x:c>
      <x:c r="F1101" s="21" t="n">
        <x:f>F973*(1+'Assumptions'!$M$99)</x:f>
        <x:v>237.29147261582403</x:v>
      </x:c>
      <x:c r="G1101" s="21" t="n">
        <x:f>H973*'Assumptions'!$K$99</x:f>
        <x:v>324.98068274208003</x:v>
      </x:c>
      <x:c r="H1101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1101+G1101,NA())</x:f>
        <x:v>562.272155357904</x:v>
      </x:c>
      <x:c r="I1101" s="22" t="n">
        <x:f>'Assumptions'!$H$99*IF('Assumptions'!$O$99=1,1,'Assumptions'!$D$10)*(1+'Assumptions'!$N$99)^(9-1)</x:f>
        <x:v>70.29956286013595</x:v>
      </x:c>
      <x:c r="J1101" s="10" t="n">
        <x:f>H1101*I1101</x:f>
        <x:v>39527.4867300871</x:v>
      </x:c>
      <x:c r="K1101" s="10" t="n">
        <x:f>J1101*'Assumptions'!$T$99</x:f>
        <x:v>39527.4867300871</x:v>
      </x:c>
      <x:c r="L1101" s="10" t="n">
        <x:f>K1101*'Assumptions'!$U$99</x:f>
        <x:v>1185.8246019026128</x:v>
      </x:c>
      <x:c r="M1101" s="10" t="n">
        <x:f>K1101*'Assumptions'!$V$99</x:f>
        <x:v>0</x:v>
      </x:c>
      <x:c r="N1101" s="10" t="n">
        <x:f>K1101-L1101-M1101</x:f>
        <x:v>38341.662128184485</x:v>
      </x:c>
      <x:c r="O1101" s="10" t="n">
        <x:f>H1101*'Assumptions'!$P$99*'Assumptions'!$Q$99*'Assumptions'!$D$11*(1+'Assumptions'!$D$13)^(9-1)</x:f>
        <x:v>2492.9434040165293</x:v>
      </x:c>
      <x:c r="P1101" s="10" t="n">
        <x:f>H1101*'Assumptions'!$R$99*'Assumptions'!$D$11*(1+'Assumptions'!$D$13)^(9-1)</x:f>
        <x:v>0</x:v>
      </x:c>
      <x:c r="Q1101" s="10" t="n">
        <x:f>J1101*'Assumptions'!$S$99</x:f>
        <x:v>25692.866374556615</x:v>
      </x:c>
      <x:c r="R1101" s="10" t="n">
        <x:f>H1101*'Assumptions'!$Y$99*'Assumptions'!$Z$99*'Assumptions'!$D$11*(1+'Assumptions'!$D$13)^(9-1)</x:f>
        <x:v>4273.617264028336</x:v>
      </x:c>
      <x:c r="S1101" s="10" t="n">
        <x:f>IF(I1101=0,0,J1101*'Assumptions'!$W$99+H1101*'Assumptions'!$X$99)</x:f>
        <x:v>1314.9787617798972</x:v>
      </x:c>
      <x:c r="T1101" s="10" t="n">
        <x:f>N1101*'Assumptions'!$AA$99</x:f>
        <x:v>1533.6664851273795</x:v>
      </x:c>
      <x:c r="U1101" s="10" t="n">
        <x:f>'Assumptions'!$AE$99*'Assumptions'!$D$11*(1+'Assumptions'!$D$13)^(9-1)</x:f>
        <x:v>0</x:v>
      </x:c>
      <x:c r="V1101" s="10" t="n">
        <x:f>0</x:f>
        <x:v>0</x:v>
      </x:c>
      <x:c r="W1101" s="10" t="n">
        <x:f>H1101*('Assumptions'!$P$99+'Assumptions'!$Y$99)</x:f>
        <x:v>168.68164660737122</x:v>
      </x:c>
      <x:c r="X1101" s="10" t="n">
        <x:f>N1101/12*'Assumptions'!$AF$99</x:f>
        <x:v>0</x:v>
      </x:c>
      <x:c r="Y1101" s="10" t="n">
        <x:f>P1101/12</x:f>
        <x:v>0</x:v>
      </x:c>
      <x:c r="Z1101" s="10" t="n">
        <x:f>0</x:f>
        <x:v>0</x:v>
      </x:c>
      <x:c r="AA1101" s="10" t="n">
        <x:f>Z1101*'Assumptions'!$AC$99*'Assumptions'!$D$11*(1+'Assumptions'!$D$13)^(9-1)</x:f>
        <x:v>0</x:v>
      </x:c>
      <x:c r="AB1101" s="10" t="n">
        <x:f>F1101/1</x:f>
        <x:v>237.29147261582403</x:v>
      </x:c>
      <x:c r="AC1101" s="10" t="n">
        <x:f>AB1101/'Assumptions'!$AM$99</x:f>
        <x:v>1581.9431507721604</x:v>
      </x:c>
      <x:c r="AD1101" s="10" t="n">
        <x:f>IF(AB1101=0,0,T1101/AB1101)</x:f>
        <x:v>6.463217865440923</x:v>
      </x:c>
      <x:c r="AE1101" s="10" t="n">
        <x:f>AA1101*'Assumptions'!$D$21</x:f>
        <x:v>0</x:v>
      </x:c>
    </x:row>
    <x:row r="1102" ht="16" customHeight="1">
      <x:c r="A1102" s="1"/>
      <x:c r="B1102" s="1"/>
      <x:c r="C1102" s="1" t="str">
        <x:v>DOT-071</x:v>
      </x:c>
      <x:c r="D1102" s="10" t="str">
        <x:v>S’otality Personal Chef</x:v>
      </x:c>
      <x:c r="E1102" s="10" t="n">
        <x:v>9</x:v>
      </x:c>
      <x:c r="F1102" s="21" t="n">
        <x:f>F974*(1+'Assumptions'!$M$100)</x:f>
        <x:v>39.548578769304015</x:v>
      </x:c>
      <x:c r="G1102" s="21" t="n">
        <x:f>H974*'Assumptions'!$K$100</x:f>
        <x:v>53.91150472368002</x:v>
      </x:c>
      <x:c r="H1102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1102+G1102,NA())</x:f>
        <x:v>93.46008349298404</x:v>
      </x:c>
      <x:c r="I1102" s="22" t="n">
        <x:f>'Assumptions'!$H$100*IF('Assumptions'!$O$100=1,1,'Assumptions'!$D$10)*(1+'Assumptions'!$N$100)^(9-1)</x:f>
        <x:v>761.5785976514727</x:v>
      </x:c>
      <x:c r="J1102" s="10" t="n">
        <x:f>H1102*I1102</x:f>
        <x:v>71177.19932297633</x:v>
      </x:c>
      <x:c r="K1102" s="10" t="n">
        <x:f>J1102*'Assumptions'!$T$100</x:f>
        <x:v>71177.19932297633</x:v>
      </x:c>
      <x:c r="L1102" s="10" t="n">
        <x:f>K1102*'Assumptions'!$U$100</x:f>
        <x:v>2135.31597968929</x:v>
      </x:c>
      <x:c r="M1102" s="10" t="n">
        <x:f>K1102*'Assumptions'!$V$100</x:f>
        <x:v>0</x:v>
      </x:c>
      <x:c r="N1102" s="10" t="n">
        <x:f>K1102-L1102-M1102</x:f>
        <x:v>69041.88334328705</x:v>
      </x:c>
      <x:c r="O1102" s="10" t="n">
        <x:f>H1102*'Assumptions'!$P$100*'Assumptions'!$Q$100*'Assumptions'!$D$11*(1+'Assumptions'!$D$13)^(9-1)</x:f>
        <x:v>2367.848751458016</x:v>
      </x:c>
      <x:c r="P1102" s="10" t="n">
        <x:f>H1102*'Assumptions'!$R$100*'Assumptions'!$D$11*(1+'Assumptions'!$D$13)^(9-1)</x:f>
        <x:v>11839.243757290082</x:v>
      </x:c>
      <x:c r="Q1102" s="10" t="n">
        <x:f>J1102*'Assumptions'!$S$100</x:f>
        <x:v>35588.599661488166</x:v>
      </x:c>
      <x:c r="R1102" s="10" t="n">
        <x:f>H1102*'Assumptions'!$Y$100*'Assumptions'!$Z$100*'Assumptions'!$D$11*(1+'Assumptions'!$D$13)^(9-1)</x:f>
        <x:v>710.3546254374049</x:v>
      </x:c>
      <x:c r="S1102" s="10" t="n">
        <x:f>IF(I1102=0,0,J1102*'Assumptions'!$W$100+H1102*'Assumptions'!$X$100)</x:f>
        <x:v>2092.176805414209</x:v>
      </x:c>
      <x:c r="T1102" s="10" t="n">
        <x:f>N1102*'Assumptions'!$AA$100</x:f>
        <x:v>2761.6753337314817</x:v>
      </x:c>
      <x:c r="U1102" s="10" t="n">
        <x:f>'Assumptions'!$AE$100*'Assumptions'!$D$11*(1+'Assumptions'!$D$13)^(9-1)</x:f>
        <x:v>0</x:v>
      </x:c>
      <x:c r="V1102" s="10" t="n">
        <x:f>0</x:f>
        <x:v>0</x:v>
      </x:c>
      <x:c r="W1102" s="10" t="n">
        <x:f>H1102*('Assumptions'!$P$100+'Assumptions'!$Y$100)</x:f>
        <x:v>65.42205844508882</x:v>
      </x:c>
      <x:c r="X1102" s="10" t="n">
        <x:f>N1102/12*'Assumptions'!$AF$100</x:f>
        <x:v>0</x:v>
      </x:c>
      <x:c r="Y1102" s="10" t="n">
        <x:f>P1102/12</x:f>
        <x:v>986.6036464408402</x:v>
      </x:c>
      <x:c r="Z1102" s="10" t="n">
        <x:f>0</x:f>
        <x:v>0</x:v>
      </x:c>
      <x:c r="AA1102" s="10" t="n">
        <x:f>Z1102*'Assumptions'!$AC$100*'Assumptions'!$D$11*(1+'Assumptions'!$D$13)^(9-1)</x:f>
        <x:v>0</x:v>
      </x:c>
      <x:c r="AB1102" s="10" t="n">
        <x:f>F1102/1</x:f>
        <x:v>39.548578769304015</x:v>
      </x:c>
      <x:c r="AC1102" s="10" t="n">
        <x:f>AB1102/'Assumptions'!$AM$100</x:f>
        <x:v>263.6571917953601</x:v>
      </x:c>
      <x:c r="AD1102" s="10" t="n">
        <x:f>IF(AB1102=0,0,T1102/AB1102)</x:f>
        <x:v>69.82995140839247</x:v>
      </x:c>
      <x:c r="AE1102" s="10" t="n">
        <x:f>AA1102*'Assumptions'!$D$21</x:f>
        <x:v>0</x:v>
      </x:c>
    </x:row>
    <x:row r="1103" ht="16" customHeight="1">
      <x:c r="A1103" s="1"/>
      <x:c r="B1103" s="1"/>
      <x:c r="C1103" s="1" t="str">
        <x:v>DOT-072</x:v>
      </x:c>
      <x:c r="D1103" s="10" t="str">
        <x:v>S’otality interiors</x:v>
      </x:c>
      <x:c r="E1103" s="10" t="n">
        <x:v>9</x:v>
      </x:c>
      <x:c r="F1103" s="21" t="n">
        <x:f>F975*(1+'Assumptions'!$M$101)</x:f>
        <x:v>14.830717038489002</x:v>
      </x:c>
      <x:c r="G1103" s="21" t="n">
        <x:f>H975*'Assumptions'!$K$101</x:f>
        <x:v>13.888880755650003</x:v>
      </x:c>
      <x:c r="H1103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1103+G1103,NA())</x:f>
        <x:v>28.719597794139005</x:v>
      </x:c>
      <x:c r="I1103" s="22" t="n">
        <x:f>'Assumptions'!$H$101*IF('Assumptions'!$O$101=1,1,'Assumptions'!$D$10)*(1+'Assumptions'!$N$101)^(9-1)</x:f>
        <x:v>1757.4890715033987</x:v>
      </x:c>
      <x:c r="J1103" s="10" t="n">
        <x:f>H1103*I1103</x:f>
        <x:v>50474.37926117242</x:v>
      </x:c>
      <x:c r="K1103" s="10" t="n">
        <x:f>J1103*'Assumptions'!$T$101</x:f>
        <x:v>50474.37926117242</x:v>
      </x:c>
      <x:c r="L1103" s="10" t="n">
        <x:f>K1103*'Assumptions'!$U$101</x:f>
        <x:v>1514.2313778351725</x:v>
      </x:c>
      <x:c r="M1103" s="10" t="n">
        <x:f>K1103*'Assumptions'!$V$101</x:f>
        <x:v>0</x:v>
      </x:c>
      <x:c r="N1103" s="10" t="n">
        <x:f>K1103-L1103-M1103</x:f>
        <x:v>48960.147883337246</x:v>
      </x:c>
      <x:c r="O1103" s="10" t="n">
        <x:f>H1103*'Assumptions'!$P$101*'Assumptions'!$Q$101*'Assumptions'!$D$11*(1+'Assumptions'!$D$13)^(9-1)</x:f>
        <x:v>20009.619979305593</x:v>
      </x:c>
      <x:c r="P1103" s="10" t="n">
        <x:f>H1103*'Assumptions'!$R$101*'Assumptions'!$D$11*(1+'Assumptions'!$D$13)^(9-1)</x:f>
        <x:v>1819.0563617550538</x:v>
      </x:c>
      <x:c r="Q1103" s="10" t="n">
        <x:f>J1103*'Assumptions'!$S$101</x:f>
        <x:v>0</x:v>
      </x:c>
      <x:c r="R1103" s="10" t="n">
        <x:f>H1103*'Assumptions'!$Y$101*'Assumptions'!$Z$101*'Assumptions'!$D$11*(1+'Assumptions'!$D$13)^(9-1)</x:f>
        <x:v>272.85845426325807</x:v>
      </x:c>
      <x:c r="S1103" s="10" t="n">
        <x:f>IF(I1103=0,0,J1103*'Assumptions'!$W$101+H1103*'Assumptions'!$X$101)</x:f>
        <x:v>1472.372877912242</x:v>
      </x:c>
      <x:c r="T1103" s="10" t="n">
        <x:f>N1103*'Assumptions'!$AA$101</x:f>
        <x:v>1958.40591533349</x:v>
      </x:c>
      <x:c r="U1103" s="10" t="n">
        <x:f>'Assumptions'!$AE$101*'Assumptions'!$D$11*(1+'Assumptions'!$D$13)^(9-1)</x:f>
        <x:v>0</x:v>
      </x:c>
      <x:c r="V1103" s="10" t="n">
        <x:f>0</x:f>
        <x:v>0</x:v>
      </x:c>
      <x:c r="W1103" s="10" t="n">
        <x:f>H1103*('Assumptions'!$P$101+'Assumptions'!$Y$101)</x:f>
        <x:v>294.3758773899248</x:v>
      </x:c>
      <x:c r="X1103" s="10" t="n">
        <x:f>N1103/12*'Assumptions'!$AF$101</x:f>
        <x:v>4080.0123236114373</x:v>
      </x:c>
      <x:c r="Y1103" s="10" t="n">
        <x:f>P1103/12</x:f>
        <x:v>151.58803014625448</x:v>
      </x:c>
      <x:c r="Z1103" s="10" t="n">
        <x:f>0</x:f>
        <x:v>0</x:v>
      </x:c>
      <x:c r="AA1103" s="10" t="n">
        <x:f>Z1103*'Assumptions'!$AC$101*'Assumptions'!$D$11*(1+'Assumptions'!$D$13)^(9-1)</x:f>
        <x:v>0</x:v>
      </x:c>
      <x:c r="AB1103" s="10" t="n">
        <x:f>F1103/1</x:f>
        <x:v>14.830717038489002</x:v>
      </x:c>
      <x:c r="AC1103" s="10" t="n">
        <x:f>AB1103/'Assumptions'!$AM$101</x:f>
        <x:v>74.15358519244501</x:v>
      </x:c>
      <x:c r="AD1103" s="10" t="n">
        <x:f>IF(AB1103=0,0,T1103/AB1103)</x:f>
        <x:v>132.0506560978132</x:v>
      </x:c>
      <x:c r="AE1103" s="10" t="n">
        <x:f>AA1103*'Assumptions'!$D$21</x:f>
        <x:v>0</x:v>
      </x:c>
    </x:row>
    <x:row r="1104" ht="16" customHeight="1">
      <x:c r="A1104" s="1"/>
      <x:c r="B1104" s="1"/>
      <x:c r="C1104" s="1" t="str">
        <x:v>DOT-073</x:v>
      </x:c>
      <x:c r="D1104" s="10" t="str">
        <x:v>S’otality interiors</x:v>
      </x:c>
      <x:c r="E1104" s="10" t="n">
        <x:v>9</x:v>
      </x:c>
      <x:c r="F1104" s="21" t="n">
        <x:f>F976*(1+'Assumptions'!$M$102)</x:f>
        <x:v>39.548578769304015</x:v>
      </x:c>
      <x:c r="G1104" s="21" t="n">
        <x:f>H976*'Assumptions'!$K$102</x:f>
        <x:v>54.16344712368002</x:v>
      </x:c>
      <x:c r="H1104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1104+G1104,NA())</x:f>
        <x:v>93.71202589298403</x:v>
      </x:c>
      <x:c r="I1104" s="22" t="n">
        <x:f>'Assumptions'!$H$102*IF('Assumptions'!$O$102=1,1,'Assumptions'!$D$10)*(1+'Assumptions'!$N$102)^(9-1)</x:f>
        <x:v>351.49781430067975</x:v>
      </x:c>
      <x:c r="J1104" s="10" t="n">
        <x:f>H1104*I1104</x:f>
        <x:v>32939.57227507259</x:v>
      </x:c>
      <x:c r="K1104" s="10" t="n">
        <x:f>J1104*'Assumptions'!$T$102</x:f>
        <x:v>32939.57227507259</x:v>
      </x:c>
      <x:c r="L1104" s="10" t="n">
        <x:f>K1104*'Assumptions'!$U$102</x:f>
        <x:v>988.1871682521777</x:v>
      </x:c>
      <x:c r="M1104" s="10" t="n">
        <x:f>K1104*'Assumptions'!$V$102</x:f>
        <x:v>0</x:v>
      </x:c>
      <x:c r="N1104" s="10" t="n">
        <x:f>K1104-L1104-M1104</x:f>
        <x:v>31951.385106820413</x:v>
      </x:c>
      <x:c r="O1104" s="10" t="n">
        <x:f>H1104*'Assumptions'!$P$102*'Assumptions'!$Q$102*'Assumptions'!$D$11*(1+'Assumptions'!$D$13)^(9-1)</x:f>
        <x:v>1038.7264183402206</x:v>
      </x:c>
      <x:c r="P1104" s="10" t="n">
        <x:f>H1104*'Assumptions'!$R$102*'Assumptions'!$D$11*(1+'Assumptions'!$D$13)^(9-1)</x:f>
        <x:v>0</x:v>
      </x:c>
      <x:c r="Q1104" s="10" t="n">
        <x:f>J1104*'Assumptions'!$S$102</x:f>
        <x:v>19763.743365043552</x:v>
      </x:c>
      <x:c r="R1104" s="10" t="n">
        <x:f>H1104*'Assumptions'!$Y$102*'Assumptions'!$Z$102*'Assumptions'!$D$11*(1+'Assumptions'!$D$13)^(9-1)</x:f>
        <x:v>712.2695440047229</x:v>
      </x:c>
      <x:c r="S1104" s="10" t="n">
        <x:f>IF(I1104=0,0,J1104*'Assumptions'!$W$102+H1104*'Assumptions'!$X$102)</x:f>
        <x:v>983.3612037450005</x:v>
      </x:c>
      <x:c r="T1104" s="10" t="n">
        <x:f>N1104*'Assumptions'!$AA$102</x:f>
        <x:v>1278.0554042728165</x:v>
      </x:c>
      <x:c r="U1104" s="10" t="n">
        <x:f>'Assumptions'!$AE$102*'Assumptions'!$D$11*(1+'Assumptions'!$D$13)^(9-1)</x:f>
        <x:v>0</x:v>
      </x:c>
      <x:c r="V1104" s="10" t="n">
        <x:f>0</x:f>
        <x:v>0</x:v>
      </x:c>
      <x:c r="W1104" s="10" t="n">
        <x:f>H1104*('Assumptions'!$P$102+'Assumptions'!$Y$102)</x:f>
        <x:v>42.17041165184281</x:v>
      </x:c>
      <x:c r="X1104" s="10" t="n">
        <x:f>N1104/12*'Assumptions'!$AF$102</x:f>
        <x:v>0</x:v>
      </x:c>
      <x:c r="Y1104" s="10" t="n">
        <x:f>P1104/12</x:f>
        <x:v>0</x:v>
      </x:c>
      <x:c r="Z1104" s="10" t="n">
        <x:f>0</x:f>
        <x:v>0</x:v>
      </x:c>
      <x:c r="AA1104" s="10" t="n">
        <x:f>Z1104*'Assumptions'!$AC$102*'Assumptions'!$D$11*(1+'Assumptions'!$D$13)^(9-1)</x:f>
        <x:v>0</x:v>
      </x:c>
      <x:c r="AB1104" s="10" t="n">
        <x:f>F1104/1</x:f>
        <x:v>39.548578769304015</x:v>
      </x:c>
      <x:c r="AC1104" s="10" t="n">
        <x:f>AB1104/'Assumptions'!$AM$102</x:f>
        <x:v>263.6571917953601</x:v>
      </x:c>
      <x:c r="AD1104" s="10" t="n">
        <x:f>IF(AB1104=0,0,T1104/AB1104)</x:f>
        <x:v>32.316089327204615</x:v>
      </x:c>
      <x:c r="AE1104" s="10" t="n">
        <x:f>AA1104*'Assumptions'!$D$21</x:f>
        <x:v>0</x:v>
      </x:c>
    </x:row>
    <x:row r="1105" ht="16" customHeight="1">
      <x:c r="A1105" s="1"/>
      <x:c r="B1105" s="1"/>
      <x:c r="C1105" s="1" t="str">
        <x:v>DOT-074</x:v>
      </x:c>
      <x:c r="D1105" s="10" t="str">
        <x:v>S’otality interiors</x:v>
      </x:c>
      <x:c r="E1105" s="10" t="n">
        <x:v>9</x:v>
      </x:c>
      <x:c r="F1105" s="21" t="n">
        <x:f>F977*(1+'Assumptions'!$M$103)</x:f>
        <x:v>16.803756492595202</x:v>
      </x:c>
      <x:c r="G1105" s="21" t="n">
        <x:f>H977*'Assumptions'!$K$103</x:f>
        <x:v>33.100528331808</x:v>
      </x:c>
      <x:c r="H1105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1105+G1105,NA())</x:f>
        <x:v>49.904284824403206</x:v>
      </x:c>
      <x:c r="I1105" s="22" t="n">
        <x:f>'Assumptions'!$H$103*IF('Assumptions'!$O$103=1,1,'Assumptions'!$D$10)*(1+'Assumptions'!$N$103)^(9-1)</x:f>
        <x:v>1757.4890715033987</x:v>
      </x:c>
      <x:c r="J1105" s="10" t="n">
        <x:f>H1105*I1105</x:f>
        <x:v>87706.23520008154</x:v>
      </x:c>
      <x:c r="K1105" s="10" t="n">
        <x:f>J1105*'Assumptions'!$T$103</x:f>
        <x:v>8770.623520008156</x:v>
      </x:c>
      <x:c r="L1105" s="10" t="n">
        <x:f>K1105*'Assumptions'!$U$103</x:f>
        <x:v>263.11870560024465</x:v>
      </x:c>
      <x:c r="M1105" s="10" t="n">
        <x:f>K1105*'Assumptions'!$V$103</x:f>
        <x:v>0</x:v>
      </x:c>
      <x:c r="N1105" s="10" t="n">
        <x:f>K1105-L1105-M1105</x:f>
        <x:v>8507.50481440791</x:v>
      </x:c>
      <x:c r="O1105" s="10" t="n">
        <x:f>H1105*'Assumptions'!$P$103*'Assumptions'!$Q$103*'Assumptions'!$D$11*(1+'Assumptions'!$D$13)^(9-1)</x:f>
        <x:v>2528.6901979440013</x:v>
      </x:c>
      <x:c r="P1105" s="10" t="n">
        <x:f>H1105*'Assumptions'!$R$103*'Assumptions'!$D$11*(1+'Assumptions'!$D$13)^(9-1)</x:f>
        <x:v>0</x:v>
      </x:c>
      <x:c r="Q1105" s="10" t="n">
        <x:f>J1105*'Assumptions'!$S$103</x:f>
        <x:v>0</x:v>
      </x:c>
      <x:c r="R1105" s="10" t="n">
        <x:f>H1105*'Assumptions'!$Y$103*'Assumptions'!$Z$103*'Assumptions'!$D$11*(1+'Assumptions'!$D$13)^(9-1)</x:f>
        <x:v>284.47764726870014</x:v>
      </x:c>
      <x:c r="S1105" s="10" t="n">
        <x:f>IF(I1105=0,0,J1105*'Assumptions'!$W$103+H1105*'Assumptions'!$X$103)</x:f>
        <x:v>2558.452106249686</x:v>
      </x:c>
      <x:c r="T1105" s="10" t="n">
        <x:f>N1105*'Assumptions'!$AA$103</x:f>
        <x:v>425.37524072039554</x:v>
      </x:c>
      <x:c r="U1105" s="10" t="n">
        <x:f>'Assumptions'!$AE$103*'Assumptions'!$D$11*(1+'Assumptions'!$D$13)^(9-1)</x:f>
        <x:v>0</x:v>
      </x:c>
      <x:c r="V1105" s="10" t="n">
        <x:f>0</x:f>
        <x:v>0</x:v>
      </x:c>
      <x:c r="W1105" s="10" t="n">
        <x:f>H1105*('Assumptions'!$P$103+'Assumptions'!$Y$103)</x:f>
        <x:v>57.38992754806368</x:v>
      </x:c>
      <x:c r="X1105" s="10" t="n">
        <x:f>N1105/12*'Assumptions'!$AF$103</x:f>
        <x:v>0</x:v>
      </x:c>
      <x:c r="Y1105" s="10" t="n">
        <x:f>P1105/12</x:f>
        <x:v>0</x:v>
      </x:c>
      <x:c r="Z1105" s="10" t="n">
        <x:f>0</x:f>
        <x:v>0</x:v>
      </x:c>
      <x:c r="AA1105" s="10" t="n">
        <x:f>Z1105*'Assumptions'!$AC$103*'Assumptions'!$D$11*(1+'Assumptions'!$D$13)^(9-1)</x:f>
        <x:v>0</x:v>
      </x:c>
      <x:c r="AB1105" s="10" t="n">
        <x:f>F1105/1</x:f>
        <x:v>16.803756492595202</x:v>
      </x:c>
      <x:c r="AC1105" s="10" t="n">
        <x:f>AB1105/'Assumptions'!$AM$103</x:f>
        <x:v>336.075129851904</x:v>
      </x:c>
      <x:c r="AD1105" s="10" t="n">
        <x:f>IF(AB1105=0,0,T1105/AB1105)</x:f>
        <x:v>25.31429450955462</x:v>
      </x:c>
      <x:c r="AE1105" s="10" t="n">
        <x:f>AA1105*'Assumptions'!$D$21</x:f>
        <x:v>0</x:v>
      </x:c>
    </x:row>
    <x:row r="1106" ht="16" customHeight="1">
      <x:c r="A1106" s="1"/>
      <x:c r="B1106" s="1"/>
      <x:c r="C1106" s="1" t="str">
        <x:v>DOT-075</x:v>
      </x:c>
      <x:c r="D1106" s="10" t="str">
        <x:v>S’otality concierge</x:v>
      </x:c>
      <x:c r="E1106" s="10" t="n">
        <x:v>9</x:v>
      </x:c>
      <x:c r="F1106" s="21" t="n">
        <x:f>F978*(1+'Assumptions'!$M$104)</x:f>
        <x:v>197.74289384652005</x:v>
      </x:c>
      <x:c r="G1106" s="21" t="n">
        <x:f>H978*'Assumptions'!$K$104</x:f>
        <x:v>185.18507674200004</x:v>
      </x:c>
      <x:c r="H1106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1106+G1106,NA())</x:f>
        <x:v>382.9279705885201</x:v>
      </x:c>
      <x:c r="I1106" s="22" t="n">
        <x:f>'Assumptions'!$H$104*IF('Assumptions'!$O$104=1,1,'Assumptions'!$D$10)*(1+'Assumptions'!$N$104)^(9-1)</x:f>
        <x:v>87.87445357516994</x:v>
      </x:c>
      <x:c r="J1106" s="10" t="n">
        <x:f>H1106*I1106</x:f>
        <x:v>33649.58617411495</x:v>
      </x:c>
      <x:c r="K1106" s="10" t="n">
        <x:f>J1106*'Assumptions'!$T$104</x:f>
        <x:v>33649.58617411495</x:v>
      </x:c>
      <x:c r="L1106" s="10" t="n">
        <x:f>K1106*'Assumptions'!$U$104</x:f>
        <x:v>1009.4875852234485</x:v>
      </x:c>
      <x:c r="M1106" s="10" t="n">
        <x:f>K1106*'Assumptions'!$V$104</x:f>
        <x:v>0</x:v>
      </x:c>
      <x:c r="N1106" s="10" t="n">
        <x:f>K1106-L1106-M1106</x:f>
        <x:v>32640.098588891502</x:v>
      </x:c>
      <x:c r="O1106" s="10" t="n">
        <x:f>H1106*'Assumptions'!$P$104*'Assumptions'!$Q$104*'Assumptions'!$D$11*(1+'Assumptions'!$D$13)^(9-1)</x:f>
        <x:v>12733.394532285378</x:v>
      </x:c>
      <x:c r="P1106" s="10" t="n">
        <x:f>H1106*'Assumptions'!$R$104*'Assumptions'!$D$11*(1+'Assumptions'!$D$13)^(9-1)</x:f>
        <x:v>0</x:v>
      </x:c>
      <x:c r="Q1106" s="10" t="n">
        <x:f>J1106*'Assumptions'!$S$104</x:f>
        <x:v>0</x:v>
      </x:c>
      <x:c r="R1106" s="10" t="n">
        <x:f>H1106*'Assumptions'!$Y$104*'Assumptions'!$Z$104*'Assumptions'!$D$11*(1+'Assumptions'!$D$13)^(9-1)</x:f>
        <x:v>3638.112723510108</x:v>
      </x:c>
      <x:c r="S1106" s="10" t="n">
        <x:f>IF(I1106=0,0,J1106*'Assumptions'!$W$104+H1106*'Assumptions'!$X$104)</x:f>
        <x:v>1090.7163902258897</x:v>
      </x:c>
      <x:c r="T1106" s="10" t="n">
        <x:f>N1106*'Assumptions'!$AA$104</x:f>
        <x:v>1305.6039435556602</x:v>
      </x:c>
      <x:c r="U1106" s="10" t="n">
        <x:f>'Assumptions'!$AE$104*'Assumptions'!$D$11*(1+'Assumptions'!$D$13)^(9-1)</x:f>
        <x:v>0</x:v>
      </x:c>
      <x:c r="V1106" s="10" t="n">
        <x:f>0</x:f>
        <x:v>0</x:v>
      </x:c>
      <x:c r="W1106" s="10" t="n">
        <x:f>H1106*('Assumptions'!$P$104+'Assumptions'!$Y$104)</x:f>
        <x:v>382.9279705885201</x:v>
      </x:c>
      <x:c r="X1106" s="10" t="n">
        <x:f>N1106/12*'Assumptions'!$AF$104</x:f>
        <x:v>2720.0082157409583</x:v>
      </x:c>
      <x:c r="Y1106" s="10" t="n">
        <x:f>P1106/12</x:f>
        <x:v>0</x:v>
      </x:c>
      <x:c r="Z1106" s="10" t="n">
        <x:f>0</x:f>
        <x:v>0</x:v>
      </x:c>
      <x:c r="AA1106" s="10" t="n">
        <x:f>Z1106*'Assumptions'!$AC$104*'Assumptions'!$D$11*(1+'Assumptions'!$D$13)^(9-1)</x:f>
        <x:v>0</x:v>
      </x:c>
      <x:c r="AB1106" s="10" t="n">
        <x:f>F1106/1</x:f>
        <x:v>197.74289384652005</x:v>
      </x:c>
      <x:c r="AC1106" s="10" t="n">
        <x:f>AB1106/'Assumptions'!$AM$104</x:f>
        <x:v>988.7144692326002</x:v>
      </x:c>
      <x:c r="AD1106" s="10" t="n">
        <x:f>IF(AB1106=0,0,T1106/AB1106)</x:f>
        <x:v>6.602532804890661</x:v>
      </x:c>
      <x:c r="AE1106" s="10" t="n">
        <x:f>AA1106*'Assumptions'!$D$21</x:f>
        <x:v>0</x:v>
      </x:c>
    </x:row>
    <x:row r="1107" ht="16" customHeight="1">
      <x:c r="A1107" s="1"/>
      <x:c r="B1107" s="1"/>
      <x:c r="C1107" s="1" t="str">
        <x:v>DOT-076</x:v>
      </x:c>
      <x:c r="D1107" s="10" t="str">
        <x:v>S’otality administration</x:v>
      </x:c>
      <x:c r="E1107" s="10" t="n">
        <x:v>9</x:v>
      </x:c>
      <x:c r="F1107" s="21" t="n">
        <x:f>F979*(1+'Assumptions'!$M$105)</x:f>
        <x:v>395.4857876930401</x:v>
      </x:c>
      <x:c r="G1107" s="21" t="n">
        <x:f>H979*'Assumptions'!$K$105</x:f>
        <x:v>370.37015348400007</x:v>
      </x:c>
      <x:c r="H1107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1107+G1107,NA())</x:f>
        <x:v>765.8559411770402</x:v>
      </x:c>
      <x:c r="I1107" s="22" t="n">
        <x:f>'Assumptions'!$H$105*IF('Assumptions'!$O$105=1,1,'Assumptions'!$D$10)*(1+'Assumptions'!$N$105)^(9-1)</x:f>
        <x:v>70.29956286013595</x:v>
      </x:c>
      <x:c r="J1107" s="10" t="n">
        <x:f>H1107*I1107</x:f>
        <x:v>53839.33787858392</x:v>
      </x:c>
      <x:c r="K1107" s="10" t="n">
        <x:f>J1107*'Assumptions'!$T$105</x:f>
        <x:v>53839.33787858392</x:v>
      </x:c>
      <x:c r="L1107" s="10" t="n">
        <x:f>K1107*'Assumptions'!$U$105</x:f>
        <x:v>1615.1801363575175</x:v>
      </x:c>
      <x:c r="M1107" s="10" t="n">
        <x:f>K1107*'Assumptions'!$V$105</x:f>
        <x:v>0</x:v>
      </x:c>
      <x:c r="N1107" s="10" t="n">
        <x:f>K1107-L1107-M1107</x:f>
        <x:v>52224.15774222641</x:v>
      </x:c>
      <x:c r="O1107" s="10" t="n">
        <x:f>H1107*'Assumptions'!$P$105*'Assumptions'!$Q$105*'Assumptions'!$D$11*(1+'Assumptions'!$D$13)^(9-1)</x:f>
        <x:v>29104.901788080864</x:v>
      </x:c>
      <x:c r="P1107" s="10" t="n">
        <x:f>H1107*'Assumptions'!$R$105*'Assumptions'!$D$11*(1+'Assumptions'!$D$13)^(9-1)</x:f>
        <x:v>0</x:v>
      </x:c>
      <x:c r="Q1107" s="10" t="n">
        <x:f>J1107*'Assumptions'!$S$105</x:f>
        <x:v>0</x:v>
      </x:c>
      <x:c r="R1107" s="10" t="n">
        <x:f>H1107*'Assumptions'!$Y$105*'Assumptions'!$Z$105*'Assumptions'!$D$11*(1+'Assumptions'!$D$13)^(9-1)</x:f>
        <x:v>7276.225447020216</x:v>
      </x:c>
      <x:c r="S1107" s="10" t="n">
        <x:f>IF(I1107=0,0,J1107*'Assumptions'!$W$105+H1107*'Assumptions'!$X$105)</x:f>
        <x:v>1791.097580832046</x:v>
      </x:c>
      <x:c r="T1107" s="10" t="n">
        <x:f>N1107*'Assumptions'!$AA$105</x:f>
        <x:v>2088.9663096890563</x:v>
      </x:c>
      <x:c r="U1107" s="10" t="n">
        <x:f>'Assumptions'!$AE$105*'Assumptions'!$D$11*(1+'Assumptions'!$D$13)^(9-1)</x:f>
        <x:v>0</x:v>
      </x:c>
      <x:c r="V1107" s="10" t="n">
        <x:f>0</x:f>
        <x:v>0</x:v>
      </x:c>
      <x:c r="W1107" s="10" t="n">
        <x:f>H1107*('Assumptions'!$P$105+'Assumptions'!$Y$105)</x:f>
        <x:v>957.3199264713003</x:v>
      </x:c>
      <x:c r="X1107" s="10" t="n">
        <x:f>N1107/12*'Assumptions'!$AF$105</x:f>
        <x:v>4352.013145185534</x:v>
      </x:c>
      <x:c r="Y1107" s="10" t="n">
        <x:f>P1107/12</x:f>
        <x:v>0</x:v>
      </x:c>
      <x:c r="Z1107" s="10" t="n">
        <x:f>0</x:f>
        <x:v>0</x:v>
      </x:c>
      <x:c r="AA1107" s="10" t="n">
        <x:f>Z1107*'Assumptions'!$AC$105*'Assumptions'!$D$11*(1+'Assumptions'!$D$13)^(9-1)</x:f>
        <x:v>0</x:v>
      </x:c>
      <x:c r="AB1107" s="10" t="n">
        <x:f>F1107/1</x:f>
        <x:v>395.4857876930401</x:v>
      </x:c>
      <x:c r="AC1107" s="10" t="n">
        <x:f>AB1107/'Assumptions'!$AM$105</x:f>
        <x:v>1977.4289384652004</x:v>
      </x:c>
      <x:c r="AD1107" s="10" t="n">
        <x:f>IF(AB1107=0,0,T1107/AB1107)</x:f>
        <x:v>5.2820262439125285</x:v>
      </x:c>
      <x:c r="AE1107" s="10" t="n">
        <x:f>AA1107*'Assumptions'!$D$21</x:f>
        <x:v>0</x:v>
      </x:c>
    </x:row>
    <x:row r="1108" ht="16" customHeight="1">
      <x:c r="A1108" s="1"/>
      <x:c r="B1108" s="1"/>
      <x:c r="C1108" s="1" t="str">
        <x:v>DOT-077</x:v>
      </x:c>
      <x:c r="D1108" s="10" t="str">
        <x:v>S’otality bike tours</x:v>
      </x:c>
      <x:c r="E1108" s="10" t="n">
        <x:v>9</x:v>
      </x:c>
      <x:c r="F1108" s="21" t="n">
        <x:f>F980*(1+'Assumptions'!$M$106)</x:f>
        <x:v>158.19431507721606</x:v>
      </x:c>
      <x:c r="G1108" s="21" t="n">
        <x:f>H980*'Assumptions'!$K$106</x:f>
        <x:v>215.64601889472007</x:v>
      </x:c>
      <x:c r="H1108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1108+G1108,NA())</x:f>
        <x:v>373.84033397193616</x:v>
      </x:c>
      <x:c r="I1108" s="22" t="n">
        <x:f>'Assumptions'!$H$106*IF('Assumptions'!$O$106=1,1,'Assumptions'!$D$10)*(1+'Assumptions'!$N$106)^(9-1)</x:f>
        <x:v>76.15785976514728</x:v>
      </x:c>
      <x:c r="J1108" s="10" t="n">
        <x:f>H1108*I1108</x:f>
        <x:v>28470.87972919054</x:v>
      </x:c>
      <x:c r="K1108" s="10" t="n">
        <x:f>J1108*'Assumptions'!$T$106</x:f>
        <x:v>28470.87972919054</x:v>
      </x:c>
      <x:c r="L1108" s="10" t="n">
        <x:f>K1108*'Assumptions'!$U$106</x:f>
        <x:v>854.1263918757162</x:v>
      </x:c>
      <x:c r="M1108" s="10" t="n">
        <x:f>K1108*'Assumptions'!$V$106</x:f>
        <x:v>0</x:v>
      </x:c>
      <x:c r="N1108" s="10" t="n">
        <x:f>K1108-L1108-M1108</x:f>
        <x:v>27616.75333731482</x:v>
      </x:c>
      <x:c r="O1108" s="10" t="n">
        <x:f>H1108*'Assumptions'!$P$106*'Assumptions'!$Q$106*'Assumptions'!$D$11*(1+'Assumptions'!$D$13)^(9-1)</x:f>
        <x:v>2486.241189030917</x:v>
      </x:c>
      <x:c r="P1108" s="10" t="n">
        <x:f>H1108*'Assumptions'!$R$106*'Assumptions'!$D$11*(1+'Assumptions'!$D$13)^(9-1)</x:f>
        <x:v>2367.848751458016</x:v>
      </x:c>
      <x:c r="Q1108" s="10" t="n">
        <x:f>J1108*'Assumptions'!$S$106</x:f>
        <x:v>12811.895878135743</x:v>
      </x:c>
      <x:c r="R1108" s="10" t="n">
        <x:f>H1108*'Assumptions'!$Y$106*'Assumptions'!$Z$106*'Assumptions'!$D$11*(1+'Assumptions'!$D$13)^(9-1)</x:f>
        <x:v>2841.4185017496197</x:v>
      </x:c>
      <x:c r="S1108" s="10" t="n">
        <x:f>IF(I1108=0,0,J1108*'Assumptions'!$W$106+H1108*'Assumptions'!$X$106)</x:f>
        <x:v>937.8076123381065</x:v>
      </x:c>
      <x:c r="T1108" s="10" t="n">
        <x:f>N1108*'Assumptions'!$AA$106</x:f>
        <x:v>1104.6701334925929</x:v>
      </x:c>
      <x:c r="U1108" s="10" t="n">
        <x:f>'Assumptions'!$AE$106*'Assumptions'!$D$11*(1+'Assumptions'!$D$13)^(9-1)</x:f>
        <x:v>0</x:v>
      </x:c>
      <x:c r="V1108" s="10" t="n">
        <x:f>0</x:f>
        <x:v>0</x:v>
      </x:c>
      <x:c r="W1108" s="10" t="n">
        <x:f>H1108*('Assumptions'!$P$106+'Assumptions'!$Y$106)</x:f>
        <x:v>130.84411689017765</x:v>
      </x:c>
      <x:c r="X1108" s="10" t="n">
        <x:f>N1108/12*'Assumptions'!$AF$106</x:f>
        <x:v>0</x:v>
      </x:c>
      <x:c r="Y1108" s="10" t="n">
        <x:f>P1108/12</x:f>
        <x:v>197.320729288168</x:v>
      </x:c>
      <x:c r="Z1108" s="10" t="n">
        <x:f>0</x:f>
        <x:v>0</x:v>
      </x:c>
      <x:c r="AA1108" s="10" t="n">
        <x:f>Z1108*'Assumptions'!$AC$106*'Assumptions'!$D$11*(1+'Assumptions'!$D$13)^(9-1)</x:f>
        <x:v>0</x:v>
      </x:c>
      <x:c r="AB1108" s="10" t="n">
        <x:f>F1108/1</x:f>
        <x:v>158.19431507721606</x:v>
      </x:c>
      <x:c r="AC1108" s="10" t="n">
        <x:f>AB1108/'Assumptions'!$AM$106</x:f>
        <x:v>1054.6287671814405</x:v>
      </x:c>
      <x:c r="AD1108" s="10" t="n">
        <x:f>IF(AB1108=0,0,T1108/AB1108)</x:f>
        <x:v>6.9829951408392485</x:v>
      </x:c>
      <x:c r="AE1108" s="10" t="n">
        <x:f>AA1108*'Assumptions'!$D$21</x:f>
        <x:v>0</x:v>
      </x:c>
    </x:row>
    <x:row r="1109" ht="16" customHeight="1">
      <x:c r="A1109" s="1"/>
      <x:c r="B1109" s="1"/>
      <x:c r="C1109" s="1" t="str">
        <x:v>DOT-078</x:v>
      </x:c>
      <x:c r="D1109" s="10" t="str">
        <x:v>S’otality editorial</x:v>
      </x:c>
      <x:c r="E1109" s="10" t="n">
        <x:v>9</x:v>
      </x:c>
      <x:c r="F1109" s="21" t="n">
        <x:f>F981*(1+'Assumptions'!$M$107)</x:f>
        <x:v>12.853288100023807</x:v>
      </x:c>
      <x:c r="G1109" s="21" t="n">
        <x:f>H981*'Assumptions'!$K$107</x:f>
        <x:v>6.606205440418503</x:v>
      </x:c>
      <x:c r="H1109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1109+G1109,NA())</x:f>
        <x:v>19.45949354044231</x:v>
      </x:c>
      <x:c r="I1109" s="22" t="n">
        <x:f>'Assumptions'!$H$107*IF('Assumptions'!$O$107=1,1,'Assumptions'!$D$10)*(1+'Assumptions'!$N$107)^(9-1)</x:f>
        <x:v>292.91484525056643</x:v>
      </x:c>
      <x:c r="J1109" s="10" t="n">
        <x:f>H1109*I1109</x:f>
        <x:v>5699.974539053056</x:v>
      </x:c>
      <x:c r="K1109" s="10" t="n">
        <x:f>J1109*'Assumptions'!$T$107</x:f>
        <x:v>5699.974539053056</x:v>
      </x:c>
      <x:c r="L1109" s="10" t="n">
        <x:f>K1109*'Assumptions'!$U$107</x:f>
        <x:v>170.9992361715917</x:v>
      </x:c>
      <x:c r="M1109" s="10" t="n">
        <x:f>K1109*'Assumptions'!$V$107</x:f>
        <x:v>0</x:v>
      </x:c>
      <x:c r="N1109" s="10" t="n">
        <x:f>K1109-L1109-M1109</x:f>
        <x:v>5528.975302881465</x:v>
      </x:c>
      <x:c r="O1109" s="10" t="n">
        <x:f>H1109*'Assumptions'!$P$107*'Assumptions'!$Q$107*'Assumptions'!$D$11*(1+'Assumptions'!$D$13)^(9-1)</x:f>
        <x:v>1972.056337279032</x:v>
      </x:c>
      <x:c r="P1109" s="10" t="n">
        <x:f>H1109*'Assumptions'!$R$107*'Assumptions'!$D$11*(1+'Assumptions'!$D$13)^(9-1)</x:f>
        <x:v>0</x:v>
      </x:c>
      <x:c r="Q1109" s="10" t="n">
        <x:f>J1109*'Assumptions'!$S$107</x:f>
        <x:v>0</x:v>
      </x:c>
      <x:c r="R1109" s="10" t="n">
        <x:f>H1109*'Assumptions'!$Y$107*'Assumptions'!$Z$107*'Assumptions'!$D$11*(1+'Assumptions'!$D$13)^(9-1)</x:f>
        <x:v>369.7605632398185</x:v>
      </x:c>
      <x:c r="S1109" s="10" t="n">
        <x:f>IF(I1109=0,0,J1109*'Assumptions'!$W$107+H1109*'Assumptions'!$X$107)</x:f>
        <x:v>171.13710969467132</x:v>
      </x:c>
      <x:c r="T1109" s="10" t="n">
        <x:f>N1109*'Assumptions'!$AA$107</x:f>
        <x:v>442.3180242305172</x:v>
      </x:c>
      <x:c r="U1109" s="10" t="n">
        <x:f>'Assumptions'!$AE$107*'Assumptions'!$D$11*(1+'Assumptions'!$D$13)^(9-1)</x:f>
        <x:v>0</x:v>
      </x:c>
      <x:c r="V1109" s="10" t="n">
        <x:f>0</x:f>
        <x:v>0</x:v>
      </x:c>
      <x:c r="W1109" s="10" t="n">
        <x:f>H1109*('Assumptions'!$P$107+'Assumptions'!$Y$107)</x:f>
        <x:v>48.648733851105774</x:v>
      </x:c>
      <x:c r="X1109" s="10" t="n">
        <x:f>N1109/12*'Assumptions'!$AF$107</x:f>
        <x:v>460.74794190678875</x:v>
      </x:c>
      <x:c r="Y1109" s="10" t="n">
        <x:f>P1109/12</x:f>
        <x:v>0</x:v>
      </x:c>
      <x:c r="Z1109" s="10" t="n">
        <x:f>0</x:f>
        <x:v>0</x:v>
      </x:c>
      <x:c r="AA1109" s="10" t="n">
        <x:f>Z1109*'Assumptions'!$AC$107*'Assumptions'!$D$11*(1+'Assumptions'!$D$13)^(9-1)</x:f>
        <x:v>0</x:v>
      </x:c>
      <x:c r="AB1109" s="10" t="n">
        <x:f>F1109/1</x:f>
        <x:v>12.853288100023807</x:v>
      </x:c>
      <x:c r="AC1109" s="10" t="n">
        <x:f>AB1109/'Assumptions'!$AM$107</x:f>
        <x:v>128.53288100023806</x:v>
      </x:c>
      <x:c r="AD1109" s="10" t="n">
        <x:f>IF(AB1109=0,0,T1109/AB1109)</x:f>
        <x:v>34.41283045928908</x:v>
      </x:c>
      <x:c r="AE1109" s="10" t="n">
        <x:f>AA1109*'Assumptions'!$D$21</x:f>
        <x:v>0</x:v>
      </x:c>
    </x:row>
    <x:row r="1110" ht="16" customHeight="1">
      <x:c r="A1110" s="1"/>
      <x:c r="B1110" s="1"/>
      <x:c r="C1110" s="1" t="str">
        <x:v>DOT-079</x:v>
      </x:c>
      <x:c r="D1110" s="10" t="str">
        <x:v>S’otality editorial</x:v>
      </x:c>
      <x:c r="E1110" s="10" t="n">
        <x:v>9</x:v>
      </x:c>
      <x:c r="F1110" s="21" t="n">
        <x:f>F982*(1+'Assumptions'!$M$108)</x:f>
        <x:v>4.284429366674602</x:v>
      </x:c>
      <x:c r="G1110" s="21" t="n">
        <x:f>H982*'Assumptions'!$K$108</x:f>
        <x:v>2.2020684801395007</x:v>
      </x:c>
      <x:c r="H1110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1110+G1110,NA())</x:f>
        <x:v>6.486497846814103</x:v>
      </x:c>
      <x:c r="I1110" s="22" t="n">
        <x:f>'Assumptions'!$H$108*IF('Assumptions'!$O$108=1,1,'Assumptions'!$D$10)*(1+'Assumptions'!$N$108)^(9-1)</x:f>
        <x:v>1171.6593810022657</x:v>
      </x:c>
      <x:c r="J1110" s="10" t="n">
        <x:f>H1110*I1110</x:f>
        <x:v>7599.966052070741</x:v>
      </x:c>
      <x:c r="K1110" s="10" t="n">
        <x:f>J1110*'Assumptions'!$T$108</x:f>
        <x:v>7599.966052070741</x:v>
      </x:c>
      <x:c r="L1110" s="10" t="n">
        <x:f>K1110*'Assumptions'!$U$108</x:f>
        <x:v>227.99898156212222</x:v>
      </x:c>
      <x:c r="M1110" s="10" t="n">
        <x:f>K1110*'Assumptions'!$V$108</x:f>
        <x:v>0</x:v>
      </x:c>
      <x:c r="N1110" s="10" t="n">
        <x:f>K1110-L1110-M1110</x:f>
        <x:v>7371.967070508619</x:v>
      </x:c>
      <x:c r="O1110" s="10" t="n">
        <x:f>H1110*'Assumptions'!$P$108*'Assumptions'!$Q$108*'Assumptions'!$D$11*(1+'Assumptions'!$D$13)^(9-1)</x:f>
        <x:v>2629.408449705376</x:v>
      </x:c>
      <x:c r="P1110" s="10" t="n">
        <x:f>H1110*'Assumptions'!$R$108*'Assumptions'!$D$11*(1+'Assumptions'!$D$13)^(9-1)</x:f>
        <x:v>821.69014053293</x:v>
      </x:c>
      <x:c r="Q1110" s="10" t="n">
        <x:f>J1110*'Assumptions'!$S$108</x:f>
        <x:v>0</x:v>
      </x:c>
      <x:c r="R1110" s="10" t="n">
        <x:f>H1110*'Assumptions'!$Y$108*'Assumptions'!$Z$108*'Assumptions'!$D$11*(1+'Assumptions'!$D$13)^(9-1)</x:f>
        <x:v>123.2535210799395</x:v>
      </x:c>
      <x:c r="S1110" s="10" t="n">
        <x:f>IF(I1110=0,0,J1110*'Assumptions'!$W$108+H1110*'Assumptions'!$X$108)</x:f>
        <x:v>222.34496486409574</x:v>
      </x:c>
      <x:c r="T1110" s="10" t="n">
        <x:f>N1110*'Assumptions'!$AA$108</x:f>
        <x:v>589.7573656406895</x:v>
      </x:c>
      <x:c r="U1110" s="10" t="n">
        <x:f>'Assumptions'!$AE$108*'Assumptions'!$D$11*(1+'Assumptions'!$D$13)^(9-1)</x:f>
        <x:v>0</x:v>
      </x:c>
      <x:c r="V1110" s="10" t="n">
        <x:f>0</x:f>
        <x:v>0</x:v>
      </x:c>
      <x:c r="W1110" s="10" t="n">
        <x:f>H1110*('Assumptions'!$P$108+'Assumptions'!$Y$108)</x:f>
        <x:v>55.13523169791988</x:v>
      </x:c>
      <x:c r="X1110" s="10" t="n">
        <x:f>N1110/12*'Assumptions'!$AF$108</x:f>
        <x:v>614.3305892090516</x:v>
      </x:c>
      <x:c r="Y1110" s="10" t="n">
        <x:f>P1110/12</x:f>
        <x:v>68.47417837774417</x:v>
      </x:c>
      <x:c r="Z1110" s="10" t="n">
        <x:f>0</x:f>
        <x:v>0</x:v>
      </x:c>
      <x:c r="AA1110" s="10" t="n">
        <x:f>Z1110*'Assumptions'!$AC$108*'Assumptions'!$D$11*(1+'Assumptions'!$D$13)^(9-1)</x:f>
        <x:v>0</x:v>
      </x:c>
      <x:c r="AB1110" s="10" t="n">
        <x:f>F1110/1</x:f>
        <x:v>4.284429366674602</x:v>
      </x:c>
      <x:c r="AC1110" s="10" t="n">
        <x:f>AB1110/'Assumptions'!$AM$108</x:f>
        <x:v>42.84429366674602</x:v>
      </x:c>
      <x:c r="AD1110" s="10" t="n">
        <x:f>IF(AB1110=0,0,T1110/AB1110)</x:f>
        <x:v>137.65132183715633</x:v>
      </x:c>
      <x:c r="AE1110" s="10" t="n">
        <x:f>AA1110*'Assumptions'!$D$21</x:f>
        <x:v>0</x:v>
      </x:c>
    </x:row>
    <x:row r="1111" ht="16" customHeight="1">
      <x:c r="A1111" s="1"/>
      <x:c r="B1111" s="1"/>
      <x:c r="C1111" s="1" t="str">
        <x:v>DOT-080</x:v>
      </x:c>
      <x:c r="D1111" s="10" t="str">
        <x:v>Tomato Odyssey</x:v>
      </x:c>
      <x:c r="E1111" s="10" t="n">
        <x:v>9</x:v>
      </x:c>
      <x:c r="F1111" s="21" t="n">
        <x:f>F983*(1+'Assumptions'!$M$109)</x:f>
        <x:v>12.853288100023807</x:v>
      </x:c>
      <x:c r="G1111" s="21" t="n">
        <x:f>H983*'Assumptions'!$K$109</x:f>
        <x:v>6.606205440418503</x:v>
      </x:c>
      <x:c r="H1111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1111+G1111,NA())</x:f>
        <x:v>19.45949354044231</x:v>
      </x:c>
      <x:c r="I1111" s="22" t="n">
        <x:f>'Assumptions'!$H$109*IF('Assumptions'!$O$109=1,1,'Assumptions'!$D$10)*(1+'Assumptions'!$N$109)^(9-1)</x:f>
        <x:v>292.91484525056643</x:v>
      </x:c>
      <x:c r="J1111" s="10" t="n">
        <x:f>H1111*I1111</x:f>
        <x:v>5699.974539053056</x:v>
      </x:c>
      <x:c r="K1111" s="10" t="n">
        <x:f>J1111*'Assumptions'!$T$109</x:f>
        <x:v>5699.974539053056</x:v>
      </x:c>
      <x:c r="L1111" s="10" t="n">
        <x:f>K1111*'Assumptions'!$U$109</x:f>
        <x:v>170.9992361715917</x:v>
      </x:c>
      <x:c r="M1111" s="10" t="n">
        <x:f>K1111*'Assumptions'!$V$109</x:f>
        <x:v>0</x:v>
      </x:c>
      <x:c r="N1111" s="10" t="n">
        <x:f>K1111-L1111-M1111</x:f>
        <x:v>5528.975302881465</x:v>
      </x:c>
      <x:c r="O1111" s="10" t="n">
        <x:f>H1111*'Assumptions'!$P$109*'Assumptions'!$Q$109*'Assumptions'!$D$11*(1+'Assumptions'!$D$13)^(9-1)</x:f>
        <x:v>1972.056337279032</x:v>
      </x:c>
      <x:c r="P1111" s="10" t="n">
        <x:f>H1111*'Assumptions'!$R$109*'Assumptions'!$D$11*(1+'Assumptions'!$D$13)^(9-1)</x:f>
        <x:v>0</x:v>
      </x:c>
      <x:c r="Q1111" s="10" t="n">
        <x:f>J1111*'Assumptions'!$S$109</x:f>
        <x:v>0</x:v>
      </x:c>
      <x:c r="R1111" s="10" t="n">
        <x:f>H1111*'Assumptions'!$Y$109*'Assumptions'!$Z$109*'Assumptions'!$D$11*(1+'Assumptions'!$D$13)^(9-1)</x:f>
        <x:v>369.7605632398185</x:v>
      </x:c>
      <x:c r="S1111" s="10" t="n">
        <x:f>IF(I1111=0,0,J1111*'Assumptions'!$W$109+H1111*'Assumptions'!$X$109)</x:f>
        <x:v>171.13710969467132</x:v>
      </x:c>
      <x:c r="T1111" s="10" t="n">
        <x:f>N1111*'Assumptions'!$AA$109</x:f>
        <x:v>442.3180242305172</x:v>
      </x:c>
      <x:c r="U1111" s="10" t="n">
        <x:f>'Assumptions'!$AE$109*'Assumptions'!$D$11*(1+'Assumptions'!$D$13)^(9-1)</x:f>
        <x:v>0</x:v>
      </x:c>
      <x:c r="V1111" s="10" t="n">
        <x:f>0</x:f>
        <x:v>0</x:v>
      </x:c>
      <x:c r="W1111" s="10" t="n">
        <x:f>H1111*('Assumptions'!$P$109+'Assumptions'!$Y$109)</x:f>
        <x:v>48.648733851105774</x:v>
      </x:c>
      <x:c r="X1111" s="10" t="n">
        <x:f>N1111/12*'Assumptions'!$AF$109</x:f>
        <x:v>460.74794190678875</x:v>
      </x:c>
      <x:c r="Y1111" s="10" t="n">
        <x:f>P1111/12</x:f>
        <x:v>0</x:v>
      </x:c>
      <x:c r="Z1111" s="10" t="n">
        <x:f>0</x:f>
        <x:v>0</x:v>
      </x:c>
      <x:c r="AA1111" s="10" t="n">
        <x:f>Z1111*'Assumptions'!$AC$109*'Assumptions'!$D$11*(1+'Assumptions'!$D$13)^(9-1)</x:f>
        <x:v>0</x:v>
      </x:c>
      <x:c r="AB1111" s="10" t="n">
        <x:f>F1111/1</x:f>
        <x:v>12.853288100023807</x:v>
      </x:c>
      <x:c r="AC1111" s="10" t="n">
        <x:f>AB1111/'Assumptions'!$AM$109</x:f>
        <x:v>128.53288100023806</x:v>
      </x:c>
      <x:c r="AD1111" s="10" t="n">
        <x:f>IF(AB1111=0,0,T1111/AB1111)</x:f>
        <x:v>34.41283045928908</x:v>
      </x:c>
      <x:c r="AE1111" s="10" t="n">
        <x:f>AA1111*'Assumptions'!$D$21</x:f>
        <x:v>0</x:v>
      </x:c>
    </x:row>
    <x:row r="1112" ht="16" customHeight="1">
      <x:c r="A1112" s="1"/>
      <x:c r="B1112" s="1"/>
      <x:c r="C1112" s="1" t="str">
        <x:v>DOT-081</x:v>
      </x:c>
      <x:c r="D1112" s="10" t="str">
        <x:v>Tomato Odyssey</x:v>
      </x:c>
      <x:c r="E1112" s="10" t="n">
        <x:v>9</x:v>
      </x:c>
      <x:c r="F1112" s="21" t="n">
        <x:f>F984*(1+'Assumptions'!$M$110)</x:f>
        <x:v>4.284429366674602</x:v>
      </x:c>
      <x:c r="G1112" s="21" t="n">
        <x:f>H984*'Assumptions'!$K$110</x:f>
        <x:v>2.2020684801395007</x:v>
      </x:c>
      <x:c r="H1112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1112+G1112,NA())</x:f>
        <x:v>6.486497846814103</x:v>
      </x:c>
      <x:c r="I1112" s="22" t="n">
        <x:f>'Assumptions'!$H$110*IF('Assumptions'!$O$110=1,1,'Assumptions'!$D$10)*(1+'Assumptions'!$N$110)^(9-1)</x:f>
        <x:v>1171.6593810022657</x:v>
      </x:c>
      <x:c r="J1112" s="10" t="n">
        <x:f>H1112*I1112</x:f>
        <x:v>7599.966052070741</x:v>
      </x:c>
      <x:c r="K1112" s="10" t="n">
        <x:f>J1112*'Assumptions'!$T$110</x:f>
        <x:v>7599.966052070741</x:v>
      </x:c>
      <x:c r="L1112" s="10" t="n">
        <x:f>K1112*'Assumptions'!$U$110</x:f>
        <x:v>227.99898156212222</x:v>
      </x:c>
      <x:c r="M1112" s="10" t="n">
        <x:f>K1112*'Assumptions'!$V$110</x:f>
        <x:v>0</x:v>
      </x:c>
      <x:c r="N1112" s="10" t="n">
        <x:f>K1112-L1112-M1112</x:f>
        <x:v>7371.967070508619</x:v>
      </x:c>
      <x:c r="O1112" s="10" t="n">
        <x:f>H1112*'Assumptions'!$P$110*'Assumptions'!$Q$110*'Assumptions'!$D$11*(1+'Assumptions'!$D$13)^(9-1)</x:f>
        <x:v>2629.408449705376</x:v>
      </x:c>
      <x:c r="P1112" s="10" t="n">
        <x:f>H1112*'Assumptions'!$R$110*'Assumptions'!$D$11*(1+'Assumptions'!$D$13)^(9-1)</x:f>
        <x:v>821.69014053293</x:v>
      </x:c>
      <x:c r="Q1112" s="10" t="n">
        <x:f>J1112*'Assumptions'!$S$110</x:f>
        <x:v>0</x:v>
      </x:c>
      <x:c r="R1112" s="10" t="n">
        <x:f>H1112*'Assumptions'!$Y$110*'Assumptions'!$Z$110*'Assumptions'!$D$11*(1+'Assumptions'!$D$13)^(9-1)</x:f>
        <x:v>123.2535210799395</x:v>
      </x:c>
      <x:c r="S1112" s="10" t="n">
        <x:f>IF(I1112=0,0,J1112*'Assumptions'!$W$110+H1112*'Assumptions'!$X$110)</x:f>
        <x:v>222.34496486409574</x:v>
      </x:c>
      <x:c r="T1112" s="10" t="n">
        <x:f>N1112*'Assumptions'!$AA$110</x:f>
        <x:v>589.7573656406895</x:v>
      </x:c>
      <x:c r="U1112" s="10" t="n">
        <x:f>'Assumptions'!$AE$110*'Assumptions'!$D$11*(1+'Assumptions'!$D$13)^(9-1)</x:f>
        <x:v>0</x:v>
      </x:c>
      <x:c r="V1112" s="10" t="n">
        <x:f>0</x:f>
        <x:v>0</x:v>
      </x:c>
      <x:c r="W1112" s="10" t="n">
        <x:f>H1112*('Assumptions'!$P$110+'Assumptions'!$Y$110)</x:f>
        <x:v>55.13523169791988</x:v>
      </x:c>
      <x:c r="X1112" s="10" t="n">
        <x:f>N1112/12*'Assumptions'!$AF$110</x:f>
        <x:v>614.3305892090516</x:v>
      </x:c>
      <x:c r="Y1112" s="10" t="n">
        <x:f>P1112/12</x:f>
        <x:v>68.47417837774417</x:v>
      </x:c>
      <x:c r="Z1112" s="10" t="n">
        <x:f>0</x:f>
        <x:v>0</x:v>
      </x:c>
      <x:c r="AA1112" s="10" t="n">
        <x:f>Z1112*'Assumptions'!$AC$110*'Assumptions'!$D$11*(1+'Assumptions'!$D$13)^(9-1)</x:f>
        <x:v>0</x:v>
      </x:c>
      <x:c r="AB1112" s="10" t="n">
        <x:f>F1112/1</x:f>
        <x:v>4.284429366674602</x:v>
      </x:c>
      <x:c r="AC1112" s="10" t="n">
        <x:f>AB1112/'Assumptions'!$AM$110</x:f>
        <x:v>42.84429366674602</x:v>
      </x:c>
      <x:c r="AD1112" s="10" t="n">
        <x:f>IF(AB1112=0,0,T1112/AB1112)</x:f>
        <x:v>137.65132183715633</x:v>
      </x:c>
      <x:c r="AE1112" s="10" t="n">
        <x:f>AA1112*'Assumptions'!$D$21</x:f>
        <x:v>0</x:v>
      </x:c>
    </x:row>
    <x:row r="1113" ht="16" customHeight="1">
      <x:c r="A1113" s="1"/>
      <x:c r="B1113" s="1"/>
      <x:c r="C1113" s="1" t="str">
        <x:v>DOT-082</x:v>
      </x:c>
      <x:c r="D1113" s="10" t="str">
        <x:v>Semajes Studio</x:v>
      </x:c>
      <x:c r="E1113" s="10" t="n">
        <x:v>9</x:v>
      </x:c>
      <x:c r="F1113" s="21" t="n">
        <x:f>F985*(1+'Assumptions'!$M$111)</x:f>
        <x:v>29.661434076978004</x:v>
      </x:c>
      <x:c r="G1113" s="21" t="n">
        <x:f>H985*'Assumptions'!$K$111</x:f>
        <x:v>27.777761511300007</x:v>
      </x:c>
      <x:c r="H1113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1113+G1113,NA())</x:f>
        <x:v>57.43919558827801</x:v>
      </x:c>
      <x:c r="I1113" s="22" t="n">
        <x:f>'Assumptions'!$H$111*IF('Assumptions'!$O$111=1,1,'Assumptions'!$D$10)*(1+'Assumptions'!$N$111)^(9-1)</x:f>
        <x:v>644.4126595512462</x:v>
      </x:c>
      <x:c r="J1113" s="10" t="n">
        <x:f>H1113*I1113</x:f>
        <x:v>37014.54479152644</x:v>
      </x:c>
      <x:c r="K1113" s="10" t="n">
        <x:f>J1113*'Assumptions'!$T$111</x:f>
        <x:v>37014.54479152644</x:v>
      </x:c>
      <x:c r="L1113" s="10" t="n">
        <x:f>K1113*'Assumptions'!$U$111</x:f>
        <x:v>1110.436343745793</x:v>
      </x:c>
      <x:c r="M1113" s="10" t="n">
        <x:f>K1113*'Assumptions'!$V$111</x:f>
        <x:v>0</x:v>
      </x:c>
      <x:c r="N1113" s="10" t="n">
        <x:f>K1113-L1113-M1113</x:f>
        <x:v>35904.10844778064</x:v>
      </x:c>
      <x:c r="O1113" s="10" t="n">
        <x:f>H1113*'Assumptions'!$P$111*'Assumptions'!$Q$111*'Assumptions'!$D$11*(1+'Assumptions'!$D$13)^(9-1)</x:f>
        <x:v>21828.676341060647</x:v>
      </x:c>
      <x:c r="P1113" s="10" t="n">
        <x:f>H1113*'Assumptions'!$R$111*'Assumptions'!$D$11*(1+'Assumptions'!$D$13)^(9-1)</x:f>
        <x:v>5820.980357616173</x:v>
      </x:c>
      <x:c r="Q1113" s="10" t="n">
        <x:f>J1113*'Assumptions'!$S$111</x:f>
        <x:v>0</x:v>
      </x:c>
      <x:c r="R1113" s="10" t="n">
        <x:f>H1113*'Assumptions'!$Y$111*'Assumptions'!$Z$111*'Assumptions'!$D$11*(1+'Assumptions'!$D$13)^(9-1)</x:f>
        <x:v>545.7169085265161</x:v>
      </x:c>
      <x:c r="S1113" s="10" t="n">
        <x:f>IF(I1113=0,0,J1113*'Assumptions'!$W$111+H1113*'Assumptions'!$X$111)</x:f>
        <x:v>1090.6535576307501</x:v>
      </x:c>
      <x:c r="T1113" s="10" t="n">
        <x:f>N1113*'Assumptions'!$AA$111</x:f>
        <x:v>1436.1643379112259</x:v>
      </x:c>
      <x:c r="U1113" s="10" t="n">
        <x:f>'Assumptions'!$AE$111*'Assumptions'!$D$11*(1+'Assumptions'!$D$13)^(9-1)</x:f>
        <x:v>0</x:v>
      </x:c>
      <x:c r="V1113" s="10" t="n">
        <x:f>0</x:f>
        <x:v>0</x:v>
      </x:c>
      <x:c r="W1113" s="10" t="n">
        <x:f>H1113*('Assumptions'!$P$111+'Assumptions'!$Y$111)</x:f>
        <x:v>358.99497242673755</x:v>
      </x:c>
      <x:c r="X1113" s="10" t="n">
        <x:f>N1113/12*'Assumptions'!$AF$111</x:f>
        <x:v>2992.009037315054</x:v>
      </x:c>
      <x:c r="Y1113" s="10" t="n">
        <x:f>P1113/12</x:f>
        <x:v>485.0816964680144</x:v>
      </x:c>
      <x:c r="Z1113" s="10" t="n">
        <x:f>0</x:f>
        <x:v>0</x:v>
      </x:c>
      <x:c r="AA1113" s="10" t="n">
        <x:f>Z1113*'Assumptions'!$AC$111*'Assumptions'!$D$11*(1+'Assumptions'!$D$13)^(9-1)</x:f>
        <x:v>0</x:v>
      </x:c>
      <x:c r="AB1113" s="10" t="n">
        <x:f>F1113/1</x:f>
        <x:v>29.661434076978004</x:v>
      </x:c>
      <x:c r="AC1113" s="10" t="n">
        <x:f>AB1113/'Assumptions'!$AM$111</x:f>
        <x:v>148.30717038489001</x:v>
      </x:c>
      <x:c r="AD1113" s="10" t="n">
        <x:f>IF(AB1113=0,0,T1113/AB1113)</x:f>
        <x:v>48.418573902531506</x:v>
      </x:c>
      <x:c r="AE1113" s="10" t="n">
        <x:f>AA1113*'Assumptions'!$D$21</x:f>
        <x:v>0</x:v>
      </x:c>
    </x:row>
    <x:row r="1114" ht="16" customHeight="1">
      <x:c r="A1114" s="1"/>
      <x:c r="B1114" s="1"/>
      <x:c r="C1114" s="1" t="str">
        <x:v>DOT-083</x:v>
      </x:c>
      <x:c r="D1114" s="10" t="str">
        <x:v>Semajes Studio</x:v>
      </x:c>
      <x:c r="E1114" s="10" t="n">
        <x:v>9</x:v>
      </x:c>
      <x:c r="F1114" s="21" t="n">
        <x:f>F986*(1+'Assumptions'!$M$112)</x:f>
        <x:v>14.830717038489002</x:v>
      </x:c>
      <x:c r="G1114" s="21" t="n">
        <x:f>H986*'Assumptions'!$K$112</x:f>
        <x:v>13.888880755650003</x:v>
      </x:c>
      <x:c r="H1114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1114+G1114,NA())</x:f>
        <x:v>28.719597794139005</x:v>
      </x:c>
      <x:c r="I1114" s="22" t="n">
        <x:f>'Assumptions'!$H$112*IF('Assumptions'!$O$112=1,1,'Assumptions'!$D$10)*(1+'Assumptions'!$N$112)^(9-1)</x:f>
        <x:v>1405.991257202719</x:v>
      </x:c>
      <x:c r="J1114" s="10" t="n">
        <x:f>H1114*I1114</x:f>
        <x:v>40379.50340893793</x:v>
      </x:c>
      <x:c r="K1114" s="10" t="n">
        <x:f>J1114*'Assumptions'!$T$112</x:f>
        <x:v>40379.50340893793</x:v>
      </x:c>
      <x:c r="L1114" s="10" t="n">
        <x:f>K1114*'Assumptions'!$U$112</x:f>
        <x:v>1211.3851022681379</x:v>
      </x:c>
      <x:c r="M1114" s="10" t="n">
        <x:f>K1114*'Assumptions'!$V$112</x:f>
        <x:v>0</x:v>
      </x:c>
      <x:c r="N1114" s="10" t="n">
        <x:f>K1114-L1114-M1114</x:f>
        <x:v>39168.11830666979</x:v>
      </x:c>
      <x:c r="O1114" s="10" t="n">
        <x:f>H1114*'Assumptions'!$P$112*'Assumptions'!$Q$112*'Assumptions'!$D$11*(1+'Assumptions'!$D$13)^(9-1)</x:f>
        <x:v>18190.56361755054</x:v>
      </x:c>
      <x:c r="P1114" s="10" t="n">
        <x:f>H1114*'Assumptions'!$R$112*'Assumptions'!$D$11*(1+'Assumptions'!$D$13)^(9-1)</x:f>
        <x:v>5457.169085265162</x:v>
      </x:c>
      <x:c r="Q1114" s="10" t="n">
        <x:f>J1114*'Assumptions'!$S$112</x:f>
        <x:v>0</x:v>
      </x:c>
      <x:c r="R1114" s="10" t="n">
        <x:f>H1114*'Assumptions'!$Y$112*'Assumptions'!$Z$112*'Assumptions'!$D$11*(1+'Assumptions'!$D$13)^(9-1)</x:f>
        <x:v>272.85845426325807</x:v>
      </x:c>
      <x:c r="S1114" s="10" t="n">
        <x:f>IF(I1114=0,0,J1114*'Assumptions'!$W$112+H1114*'Assumptions'!$X$112)</x:f>
        <x:v>1179.6214781974418</x:v>
      </x:c>
      <x:c r="T1114" s="10" t="n">
        <x:f>N1114*'Assumptions'!$AA$112</x:f>
        <x:v>1566.7247322667918</x:v>
      </x:c>
      <x:c r="U1114" s="10" t="n">
        <x:f>'Assumptions'!$AE$112*'Assumptions'!$D$11*(1+'Assumptions'!$D$13)^(9-1)</x:f>
        <x:v>0</x:v>
      </x:c>
      <x:c r="V1114" s="10" t="n">
        <x:f>0</x:f>
        <x:v>0</x:v>
      </x:c>
      <x:c r="W1114" s="10" t="n">
        <x:f>H1114*('Assumptions'!$P$112+'Assumptions'!$Y$112)</x:f>
        <x:v>294.3758773899248</x:v>
      </x:c>
      <x:c r="X1114" s="10" t="n">
        <x:f>N1114/12*'Assumptions'!$AF$112</x:f>
        <x:v>3264.009858889149</x:v>
      </x:c>
      <x:c r="Y1114" s="10" t="n">
        <x:f>P1114/12</x:f>
        <x:v>454.7640904387635</x:v>
      </x:c>
      <x:c r="Z1114" s="10" t="n">
        <x:f>0</x:f>
        <x:v>0</x:v>
      </x:c>
      <x:c r="AA1114" s="10" t="n">
        <x:f>Z1114*'Assumptions'!$AC$112*'Assumptions'!$D$11*(1+'Assumptions'!$D$13)^(9-1)</x:f>
        <x:v>0</x:v>
      </x:c>
      <x:c r="AB1114" s="10" t="n">
        <x:f>F1114/1</x:f>
        <x:v>14.830717038489002</x:v>
      </x:c>
      <x:c r="AC1114" s="10" t="n">
        <x:f>AB1114/'Assumptions'!$AM$112</x:f>
        <x:v>74.15358519244501</x:v>
      </x:c>
      <x:c r="AD1114" s="10" t="n">
        <x:f>IF(AB1114=0,0,T1114/AB1114)</x:f>
        <x:v>105.64052487825055</x:v>
      </x:c>
      <x:c r="AE1114" s="10" t="n">
        <x:f>AA1114*'Assumptions'!$D$21</x:f>
        <x:v>0</x:v>
      </x:c>
    </x:row>
    <x:row r="1115" ht="16" customHeight="1">
      <x:c r="A1115" s="1"/>
      <x:c r="B1115" s="1"/>
      <x:c r="C1115" s="1" t="str">
        <x:v>DOT-084</x:v>
      </x:c>
      <x:c r="D1115" s="10" t="str">
        <x:v>Semajes Studio</x:v>
      </x:c>
      <x:c r="E1115" s="10" t="n">
        <x:v>9</x:v>
      </x:c>
      <x:c r="F1115" s="21" t="n">
        <x:f>F987*(1+'Assumptions'!$M$113)</x:f>
        <x:v>98.87144692326002</x:v>
      </x:c>
      <x:c r="G1115" s="21" t="n">
        <x:f>H987*'Assumptions'!$K$113</x:f>
        <x:v>92.59253837100002</x:v>
      </x:c>
      <x:c r="H1115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1115+G1115,NA())</x:f>
        <x:v>191.46398529426006</x:v>
      </x:c>
      <x:c r="I1115" s="22" t="n">
        <x:f>'Assumptions'!$H$113*IF('Assumptions'!$O$113=1,1,'Assumptions'!$D$10)*(1+'Assumptions'!$N$113)^(9-1)</x:f>
        <x:v>41.008078335079304</x:v>
      </x:c>
      <x:c r="J1115" s="10" t="n">
        <x:f>H1115*I1115</x:f>
        <x:v>7851.570107293488</x:v>
      </x:c>
      <x:c r="K1115" s="10" t="n">
        <x:f>J1115*'Assumptions'!$T$113</x:f>
        <x:v>7851.570107293488</x:v>
      </x:c>
      <x:c r="L1115" s="10" t="n">
        <x:f>K1115*'Assumptions'!$U$113</x:f>
        <x:v>235.54710321880464</x:v>
      </x:c>
      <x:c r="M1115" s="10" t="n">
        <x:f>K1115*'Assumptions'!$V$113</x:f>
        <x:v>0</x:v>
      </x:c>
      <x:c r="N1115" s="10" t="n">
        <x:f>K1115-L1115-M1115</x:f>
        <x:v>7616.023004074684</x:v>
      </x:c>
      <x:c r="O1115" s="10" t="n">
        <x:f>H1115*'Assumptions'!$P$113*'Assumptions'!$Q$113*'Assumptions'!$D$11*(1+'Assumptions'!$D$13)^(9-1)</x:f>
        <x:v>1212.704241170036</x:v>
      </x:c>
      <x:c r="P1115" s="10" t="n">
        <x:f>H1115*'Assumptions'!$R$113*'Assumptions'!$D$11*(1+'Assumptions'!$D$13)^(9-1)</x:f>
        <x:v>0</x:v>
      </x:c>
      <x:c r="Q1115" s="10" t="n">
        <x:f>J1115*'Assumptions'!$S$113</x:f>
        <x:v>0</x:v>
      </x:c>
      <x:c r="R1115" s="10" t="n">
        <x:f>H1115*'Assumptions'!$Y$113*'Assumptions'!$Z$113*'Assumptions'!$D$11*(1+'Assumptions'!$D$13)^(9-1)</x:f>
        <x:v>1819.056361755054</x:v>
      </x:c>
      <x:c r="S1115" s="10" t="n">
        <x:f>IF(I1115=0,0,J1115*'Assumptions'!$W$113+H1115*'Assumptions'!$X$113)</x:f>
        <x:v>285.1347286997892</x:v>
      </x:c>
      <x:c r="T1115" s="10" t="n">
        <x:f>N1115*'Assumptions'!$AA$113</x:f>
        <x:v>304.64092016298736</x:v>
      </x:c>
      <x:c r="U1115" s="10" t="n">
        <x:f>'Assumptions'!$AE$113*'Assumptions'!$D$11*(1+'Assumptions'!$D$13)^(9-1)</x:f>
        <x:v>0</x:v>
      </x:c>
      <x:c r="V1115" s="10" t="n">
        <x:f>0</x:f>
        <x:v>0</x:v>
      </x:c>
      <x:c r="W1115" s="10" t="n">
        <x:f>H1115*('Assumptions'!$P$113+'Assumptions'!$Y$113)</x:f>
        <x:v>67.01239485299102</x:v>
      </x:c>
      <x:c r="X1115" s="10" t="n">
        <x:f>N1115/12*'Assumptions'!$AF$113</x:f>
        <x:v>634.6685836728903</x:v>
      </x:c>
      <x:c r="Y1115" s="10" t="n">
        <x:f>P1115/12</x:f>
        <x:v>0</x:v>
      </x:c>
      <x:c r="Z1115" s="10" t="n">
        <x:f>0</x:f>
        <x:v>0</x:v>
      </x:c>
      <x:c r="AA1115" s="10" t="n">
        <x:f>Z1115*'Assumptions'!$AC$113*'Assumptions'!$D$11*(1+'Assumptions'!$D$13)^(9-1)</x:f>
        <x:v>0</x:v>
      </x:c>
      <x:c r="AB1115" s="10" t="n">
        <x:f>F1115/1</x:f>
        <x:v>98.87144692326002</x:v>
      </x:c>
      <x:c r="AC1115" s="10" t="n">
        <x:f>AB1115/'Assumptions'!$AM$113</x:f>
        <x:v>494.3572346163001</x:v>
      </x:c>
      <x:c r="AD1115" s="10" t="n">
        <x:f>IF(AB1115=0,0,T1115/AB1115)</x:f>
        <x:v>3.0811819756156416</x:v>
      </x:c>
      <x:c r="AE1115" s="10" t="n">
        <x:f>AA1115*'Assumptions'!$D$21</x:f>
        <x:v>0</x:v>
      </x:c>
    </x:row>
    <x:row r="1116" ht="16" customHeight="1">
      <x:c r="A1116" s="1"/>
      <x:c r="B1116" s="1"/>
      <x:c r="C1116" s="1" t="str">
        <x:v>DOT-085</x:v>
      </x:c>
      <x:c r="D1116" s="10" t="str">
        <x:v>Semajes Studio</x:v>
      </x:c>
      <x:c r="E1116" s="10" t="n">
        <x:v>9</x:v>
      </x:c>
      <x:c r="F1116" s="21" t="n">
        <x:f>F988*(1+'Assumptions'!$M$114)</x:f>
        <x:v>29.661434076978004</x:v>
      </x:c>
      <x:c r="G1116" s="21" t="n">
        <x:f>H988*'Assumptions'!$K$114</x:f>
        <x:v>27.777761511300007</x:v>
      </x:c>
      <x:c r="H1116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1116+G1116,NA())</x:f>
        <x:v>57.43919558827801</x:v>
      </x:c>
      <x:c r="I1116" s="22" t="n">
        <x:f>'Assumptions'!$H$114*IF('Assumptions'!$O$114=1,1,'Assumptions'!$D$10)*(1+'Assumptions'!$N$114)^(9-1)</x:f>
        <x:v>175.74890715033987</x:v>
      </x:c>
      <x:c r="J1116" s="10" t="n">
        <x:f>H1116*I1116</x:f>
        <x:v>10094.875852234483</x:v>
      </x:c>
      <x:c r="K1116" s="10" t="n">
        <x:f>J1116*'Assumptions'!$T$114</x:f>
        <x:v>10094.875852234483</x:v>
      </x:c>
      <x:c r="L1116" s="10" t="n">
        <x:f>K1116*'Assumptions'!$U$114</x:f>
        <x:v>302.84627556703447</x:v>
      </x:c>
      <x:c r="M1116" s="10" t="n">
        <x:f>K1116*'Assumptions'!$V$114</x:f>
        <x:v>0</x:v>
      </x:c>
      <x:c r="N1116" s="10" t="n">
        <x:f>K1116-L1116-M1116</x:f>
        <x:v>9792.029576667448</x:v>
      </x:c>
      <x:c r="O1116" s="10" t="n">
        <x:f>H1116*'Assumptions'!$P$114*'Assumptions'!$Q$114*'Assumptions'!$D$11*(1+'Assumptions'!$D$13)^(9-1)</x:f>
        <x:v>909.5281808775269</x:v>
      </x:c>
      <x:c r="P1116" s="10" t="n">
        <x:f>H1116*'Assumptions'!$R$114*'Assumptions'!$D$11*(1+'Assumptions'!$D$13)^(9-1)</x:f>
        <x:v>0</x:v>
      </x:c>
      <x:c r="Q1116" s="10" t="n">
        <x:f>J1116*'Assumptions'!$S$114</x:f>
        <x:v>0</x:v>
      </x:c>
      <x:c r="R1116" s="10" t="n">
        <x:f>H1116*'Assumptions'!$Y$114*'Assumptions'!$Z$114*'Assumptions'!$D$11*(1+'Assumptions'!$D$13)^(9-1)</x:f>
        <x:v>545.7169085265161</x:v>
      </x:c>
      <x:c r="S1116" s="10" t="n">
        <x:f>IF(I1116=0,0,J1116*'Assumptions'!$W$114+H1116*'Assumptions'!$X$114)</x:f>
        <x:v>309.98315839128344</x:v>
      </x:c>
      <x:c r="T1116" s="10" t="n">
        <x:f>N1116*'Assumptions'!$AA$114</x:f>
        <x:v>391.68118306669794</x:v>
      </x:c>
      <x:c r="U1116" s="10" t="n">
        <x:f>'Assumptions'!$AE$114*'Assumptions'!$D$11*(1+'Assumptions'!$D$13)^(9-1)</x:f>
        <x:v>0</x:v>
      </x:c>
      <x:c r="V1116" s="10" t="n">
        <x:f>0</x:f>
        <x:v>0</x:v>
      </x:c>
      <x:c r="W1116" s="10" t="n">
        <x:f>H1116*('Assumptions'!$P$114+'Assumptions'!$Y$114)</x:f>
        <x:v>28.719597794139005</x:v>
      </x:c>
      <x:c r="X1116" s="10" t="n">
        <x:f>N1116/12*'Assumptions'!$AF$114</x:f>
        <x:v>816.0024647222873</x:v>
      </x:c>
      <x:c r="Y1116" s="10" t="n">
        <x:f>P1116/12</x:f>
        <x:v>0</x:v>
      </x:c>
      <x:c r="Z1116" s="10" t="n">
        <x:f>0</x:f>
        <x:v>0</x:v>
      </x:c>
      <x:c r="AA1116" s="10" t="n">
        <x:f>Z1116*'Assumptions'!$AC$114*'Assumptions'!$D$11*(1+'Assumptions'!$D$13)^(9-1)</x:f>
        <x:v>0</x:v>
      </x:c>
      <x:c r="AB1116" s="10" t="n">
        <x:f>F1116/1</x:f>
        <x:v>29.661434076978004</x:v>
      </x:c>
      <x:c r="AC1116" s="10" t="n">
        <x:f>AB1116/'Assumptions'!$AM$114</x:f>
        <x:v>148.30717038489001</x:v>
      </x:c>
      <x:c r="AD1116" s="10" t="n">
        <x:f>IF(AB1116=0,0,T1116/AB1116)</x:f>
        <x:v>13.205065609781318</x:v>
      </x:c>
      <x:c r="AE1116" s="10" t="n">
        <x:f>AA1116*'Assumptions'!$D$21</x:f>
        <x:v>0</x:v>
      </x:c>
    </x:row>
    <x:row r="1117" ht="16" customHeight="1">
      <x:c r="A1117" s="1"/>
      <x:c r="B1117" s="1"/>
      <x:c r="C1117" s="1" t="str">
        <x:v>DOT-086</x:v>
      </x:c>
      <x:c r="D1117" s="10" t="str">
        <x:v>Semajes Studio</x:v>
      </x:c>
      <x:c r="E1117" s="10" t="n">
        <x:v>9</x:v>
      </x:c>
      <x:c r="F1117" s="21" t="n">
        <x:f>F989*(1+'Assumptions'!$M$115)</x:f>
        <x:v>14.830717038489002</x:v>
      </x:c>
      <x:c r="G1117" s="21" t="n">
        <x:f>H989*'Assumptions'!$K$115</x:f>
        <x:v>13.888880755650003</x:v>
      </x:c>
      <x:c r="H1117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1117+G1117,NA())</x:f>
        <x:v>28.719597794139005</x:v>
      </x:c>
      <x:c r="I1117" s="22" t="n">
        <x:f>'Assumptions'!$H$115*IF('Assumptions'!$O$115=1,1,'Assumptions'!$D$10)*(1+'Assumptions'!$N$115)^(9-1)</x:f>
        <x:v>585.8296905011329</x:v>
      </x:c>
      <x:c r="J1117" s="10" t="n">
        <x:f>H1117*I1117</x:f>
        <x:v>16824.79308705747</x:v>
      </x:c>
      <x:c r="K1117" s="10" t="n">
        <x:f>J1117*'Assumptions'!$T$115</x:f>
        <x:v>16824.79308705747</x:v>
      </x:c>
      <x:c r="L1117" s="10" t="n">
        <x:f>K1117*'Assumptions'!$U$115</x:f>
        <x:v>504.74379261172413</x:v>
      </x:c>
      <x:c r="M1117" s="10" t="n">
        <x:f>K1117*'Assumptions'!$V$115</x:f>
        <x:v>0</x:v>
      </x:c>
      <x:c r="N1117" s="10" t="n">
        <x:f>K1117-L1117-M1117</x:f>
        <x:v>16320.049294445747</x:v>
      </x:c>
      <x:c r="O1117" s="10" t="n">
        <x:f>H1117*'Assumptions'!$P$115*'Assumptions'!$Q$115*'Assumptions'!$D$11*(1+'Assumptions'!$D$13)^(9-1)</x:f>
        <x:v>1819.0563617550538</x:v>
      </x:c>
      <x:c r="P1117" s="10" t="n">
        <x:f>H1117*'Assumptions'!$R$115*'Assumptions'!$D$11*(1+'Assumptions'!$D$13)^(9-1)</x:f>
        <x:v>0</x:v>
      </x:c>
      <x:c r="Q1117" s="10" t="n">
        <x:f>J1117*'Assumptions'!$S$115</x:f>
        <x:v>0</x:v>
      </x:c>
      <x:c r="R1117" s="10" t="n">
        <x:f>H1117*'Assumptions'!$Y$115*'Assumptions'!$Z$115*'Assumptions'!$D$11*(1+'Assumptions'!$D$13)^(9-1)</x:f>
        <x:v>272.85845426325807</x:v>
      </x:c>
      <x:c r="S1117" s="10" t="n">
        <x:f>IF(I1117=0,0,J1117*'Assumptions'!$W$115+H1117*'Assumptions'!$X$115)</x:f>
        <x:v>496.5348788629084</x:v>
      </x:c>
      <x:c r="T1117" s="10" t="n">
        <x:f>N1117*'Assumptions'!$AA$115</x:f>
        <x:v>652.8019717778299</x:v>
      </x:c>
      <x:c r="U1117" s="10" t="n">
        <x:f>'Assumptions'!$AE$115*'Assumptions'!$D$11*(1+'Assumptions'!$D$13)^(9-1)</x:f>
        <x:v>0</x:v>
      </x:c>
      <x:c r="V1117" s="10" t="n">
        <x:f>0</x:f>
        <x:v>0</x:v>
      </x:c>
      <x:c r="W1117" s="10" t="n">
        <x:f>H1117*('Assumptions'!$P$115+'Assumptions'!$Y$115)</x:f>
        <x:v>35.89949724267376</x:v>
      </x:c>
      <x:c r="X1117" s="10" t="n">
        <x:f>N1117/12*'Assumptions'!$AF$115</x:f>
        <x:v>1360.004107870479</x:v>
      </x:c>
      <x:c r="Y1117" s="10" t="n">
        <x:f>P1117/12</x:f>
        <x:v>0</x:v>
      </x:c>
      <x:c r="Z1117" s="10" t="n">
        <x:f>0</x:f>
        <x:v>0</x:v>
      </x:c>
      <x:c r="AA1117" s="10" t="n">
        <x:f>Z1117*'Assumptions'!$AC$115*'Assumptions'!$D$11*(1+'Assumptions'!$D$13)^(9-1)</x:f>
        <x:v>0</x:v>
      </x:c>
      <x:c r="AB1117" s="10" t="n">
        <x:f>F1117/1</x:f>
        <x:v>14.830717038489002</x:v>
      </x:c>
      <x:c r="AC1117" s="10" t="n">
        <x:f>AB1117/'Assumptions'!$AM$115</x:f>
        <x:v>74.15358519244501</x:v>
      </x:c>
      <x:c r="AD1117" s="10" t="n">
        <x:f>IF(AB1117=0,0,T1117/AB1117)</x:f>
        <x:v>44.016885365937725</x:v>
      </x:c>
      <x:c r="AE1117" s="10" t="n">
        <x:f>AA1117*'Assumptions'!$D$21</x:f>
        <x:v>0</x:v>
      </x:c>
    </x:row>
    <x:row r="1118" ht="16" customHeight="1">
      <x:c r="A1118" s="1"/>
      <x:c r="B1118" s="1"/>
      <x:c r="C1118" s="1" t="str">
        <x:v>DOT-087</x:v>
      </x:c>
      <x:c r="D1118" s="10" t="str">
        <x:v>Semajes Studio</x:v>
      </x:c>
      <x:c r="E1118" s="10" t="n">
        <x:v>9</x:v>
      </x:c>
      <x:c r="F1118" s="21" t="n">
        <x:f>F990*(1+'Assumptions'!$M$116)</x:f>
        <x:v>148.76483180038724</x:v>
      </x:c>
      <x:c r="G1118" s="21" t="n">
        <x:f>H990*'Assumptions'!$K$116</x:f>
        <x:v>61.0863189053668</x:v>
      </x:c>
      <x:c r="H1118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1118+G1118,NA())</x:f>
        <x:v>209.85115070575404</x:v>
      </x:c>
      <x:c r="I1118" s="22" t="n">
        <x:f>'Assumptions'!$H$116*IF('Assumptions'!$O$116=1,1,'Assumptions'!$D$10)*(1+'Assumptions'!$N$116)^(9-1)</x:f>
        <x:v>111.30764119521524</x:v>
      </x:c>
      <x:c r="J1118" s="10" t="n">
        <x:f>H1118*I1118</x:f>
        <x:v>23358.03658715911</x:v>
      </x:c>
      <x:c r="K1118" s="10" t="n">
        <x:f>J1118*'Assumptions'!$T$116</x:f>
        <x:v>23358.03658715911</x:v>
      </x:c>
      <x:c r="L1118" s="10" t="n">
        <x:f>K1118*'Assumptions'!$U$116</x:f>
        <x:v>700.7410976147733</x:v>
      </x:c>
      <x:c r="M1118" s="10" t="n">
        <x:f>K1118*'Assumptions'!$V$116</x:f>
        <x:v>467.16073174318217</x:v>
      </x:c>
      <x:c r="N1118" s="10" t="n">
        <x:f>K1118-L1118-M1118</x:f>
        <x:v>22190.134757801156</x:v>
      </x:c>
      <x:c r="O1118" s="10" t="n">
        <x:f>H1118*'Assumptions'!$P$116*'Assumptions'!$Q$116*'Assumptions'!$D$11*(1+'Assumptions'!$D$13)^(9-1)</x:f>
        <x:v>1993.7486944410973</x:v>
      </x:c>
      <x:c r="P1118" s="10" t="n">
        <x:f>H1118*'Assumptions'!$R$116*'Assumptions'!$D$11*(1+'Assumptions'!$D$13)^(9-1)</x:f>
        <x:v>9304.160574058455</x:v>
      </x:c>
      <x:c r="Q1118" s="10" t="n">
        <x:f>J1118*'Assumptions'!$S$116</x:f>
        <x:v>0</x:v>
      </x:c>
      <x:c r="R1118" s="10" t="n">
        <x:f>H1118*'Assumptions'!$Y$116*'Assumptions'!$Z$116*'Assumptions'!$D$11*(1+'Assumptions'!$D$13)^(9-1)</x:f>
        <x:v>1196.2492166646584</x:v>
      </x:c>
      <x:c r="S1118" s="10" t="n">
        <x:f>IF(I1118=0,0,J1118*'Assumptions'!$W$116+H1118*'Assumptions'!$X$116)</x:f>
        <x:v>740.3384062393404</x:v>
      </x:c>
      <x:c r="T1118" s="10" t="n">
        <x:f>N1118*'Assumptions'!$AA$116</x:f>
        <x:v>1775.2107806240924</x:v>
      </x:c>
      <x:c r="U1118" s="10" t="n">
        <x:f>'Assumptions'!$AE$116*'Assumptions'!$D$11*(1+'Assumptions'!$D$13)^(9-1)</x:f>
        <x:v>0</x:v>
      </x:c>
      <x:c r="V1118" s="10" t="n">
        <x:f>0</x:f>
        <x:v>0</x:v>
      </x:c>
      <x:c r="W1118" s="10" t="n">
        <x:f>H1118*('Assumptions'!$P$116+'Assumptions'!$Y$116)</x:f>
        <x:v>62.95534521172621</x:v>
      </x:c>
      <x:c r="X1118" s="10" t="n">
        <x:f>N1118/12*'Assumptions'!$AF$116</x:f>
        <x:v>0</x:v>
      </x:c>
      <x:c r="Y1118" s="10" t="n">
        <x:f>P1118/12</x:f>
        <x:v>775.3467145048712</x:v>
      </x:c>
      <x:c r="Z1118" s="10" t="n">
        <x:f>0</x:f>
        <x:v>0</x:v>
      </x:c>
      <x:c r="AA1118" s="10" t="n">
        <x:f>Z1118*'Assumptions'!$AC$116*'Assumptions'!$D$11*(1+'Assumptions'!$D$13)^(9-1)</x:f>
        <x:v>0</x:v>
      </x:c>
      <x:c r="AB1118" s="10" t="n">
        <x:f>F1118/1</x:f>
        <x:v>148.76483180038724</x:v>
      </x:c>
      <x:c r="AC1118" s="10" t="n">
        <x:f>AB1118/'Assumptions'!$AM$116</x:f>
        <x:v>4958.827726679575</x:v>
      </x:c>
      <x:c r="AD1118" s="10" t="n">
        <x:f>IF(AB1118=0,0,T1118/AB1118)</x:f>
        <x:v>11.933000287366784</x:v>
      </x:c>
      <x:c r="AE1118" s="10" t="n">
        <x:f>AA1118*'Assumptions'!$D$21</x:f>
        <x:v>0</x:v>
      </x:c>
    </x:row>
    <x:row r="1119" ht="16" customHeight="1">
      <x:c r="A1119" s="1"/>
      <x:c r="B1119" s="1"/>
      <x:c r="C1119" s="1" t="str">
        <x:v>DOT-088</x:v>
      </x:c>
      <x:c r="D1119" s="10" t="str">
        <x:v>Semajes Studio</x:v>
      </x:c>
      <x:c r="E1119" s="10" t="n">
        <x:v>9</x:v>
      </x:c>
      <x:c r="F1119" s="21" t="n">
        <x:f>F991*(1+'Assumptions'!$M$117)</x:f>
        <x:v>74.38241590019362</x:v>
      </x:c>
      <x:c r="G1119" s="21" t="n">
        <x:f>H991*'Assumptions'!$K$117</x:f>
        <x:v>30.5431594526834</x:v>
      </x:c>
      <x:c r="H1119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1119+G1119,NA())</x:f>
        <x:v>104.92557535287702</x:v>
      </x:c>
      <x:c r="I1119" s="22" t="n">
        <x:f>'Assumptions'!$H$117*IF('Assumptions'!$O$117=1,1,'Assumptions'!$D$10)*(1+'Assumptions'!$N$117)^(9-1)</x:f>
        <x:v>292.91484525056643</x:v>
      </x:c>
      <x:c r="J1119" s="10" t="n">
        <x:f>H1119*I1119</x:f>
        <x:v>30734.258667314618</x:v>
      </x:c>
      <x:c r="K1119" s="10" t="n">
        <x:f>J1119*'Assumptions'!$T$117</x:f>
        <x:v>30734.258667314618</x:v>
      </x:c>
      <x:c r="L1119" s="10" t="n">
        <x:f>K1119*'Assumptions'!$U$117</x:f>
        <x:v>922.0277600194385</x:v>
      </x:c>
      <x:c r="M1119" s="10" t="n">
        <x:f>K1119*'Assumptions'!$V$117</x:f>
        <x:v>614.6851733462923</x:v>
      </x:c>
      <x:c r="N1119" s="10" t="n">
        <x:f>K1119-L1119-M1119</x:f>
        <x:v>29197.545733948886</x:v>
      </x:c>
      <x:c r="O1119" s="10" t="n">
        <x:f>H1119*'Assumptions'!$P$117*'Assumptions'!$Q$117*'Assumptions'!$D$11*(1+'Assumptions'!$D$13)^(9-1)</x:f>
        <x:v>1661.4572453675812</x:v>
      </x:c>
      <x:c r="P1119" s="10" t="n">
        <x:f>H1119*'Assumptions'!$R$117*'Assumptions'!$D$11*(1+'Assumptions'!$D$13)^(9-1)</x:f>
        <x:v>14620.823759234716</x:v>
      </x:c>
      <x:c r="Q1119" s="10" t="n">
        <x:f>J1119*'Assumptions'!$S$117</x:f>
        <x:v>0</x:v>
      </x:c>
      <x:c r="R1119" s="10" t="n">
        <x:f>H1119*'Assumptions'!$Y$117*'Assumptions'!$Z$117*'Assumptions'!$D$11*(1+'Assumptions'!$D$13)^(9-1)</x:f>
        <x:v>598.1246083323292</x:v>
      </x:c>
      <x:c r="S1119" s="10" t="n">
        <x:f>IF(I1119=0,0,J1119*'Assumptions'!$W$117+H1119*'Assumptions'!$X$117)</x:f>
        <x:v>922.771173957987</x:v>
      </x:c>
      <x:c r="T1119" s="10" t="n">
        <x:f>N1119*'Assumptions'!$AA$117</x:f>
        <x:v>2335.803658715911</x:v>
      </x:c>
      <x:c r="U1119" s="10" t="n">
        <x:f>'Assumptions'!$AE$117*'Assumptions'!$D$11*(1+'Assumptions'!$D$13)^(9-1)</x:f>
        <x:v>0</x:v>
      </x:c>
      <x:c r="V1119" s="10" t="n">
        <x:f>0</x:f>
        <x:v>0</x:v>
      </x:c>
      <x:c r="W1119" s="10" t="n">
        <x:f>H1119*('Assumptions'!$P$117+'Assumptions'!$Y$117)</x:f>
        <x:v>41.97023014115081</x:v>
      </x:c>
      <x:c r="X1119" s="10" t="n">
        <x:f>N1119/12*'Assumptions'!$AF$117</x:f>
        <x:v>0</x:v>
      </x:c>
      <x:c r="Y1119" s="10" t="n">
        <x:f>P1119/12</x:f>
        <x:v>1218.4019799362263</x:v>
      </x:c>
      <x:c r="Z1119" s="10" t="n">
        <x:f>0</x:f>
        <x:v>0</x:v>
      </x:c>
      <x:c r="AA1119" s="10" t="n">
        <x:f>Z1119*'Assumptions'!$AC$117*'Assumptions'!$D$11*(1+'Assumptions'!$D$13)^(9-1)</x:f>
        <x:v>0</x:v>
      </x:c>
      <x:c r="AB1119" s="10" t="n">
        <x:f>F1119/1</x:f>
        <x:v>74.38241590019362</x:v>
      </x:c>
      <x:c r="AC1119" s="10" t="n">
        <x:f>AB1119/'Assumptions'!$AM$117</x:f>
        <x:v>2479.4138633397874</x:v>
      </x:c>
      <x:c r="AD1119" s="10" t="n">
        <x:f>IF(AB1119=0,0,T1119/AB1119)</x:f>
        <x:v>31.40263233517575</x:v>
      </x:c>
      <x:c r="AE1119" s="10" t="n">
        <x:f>AA1119*'Assumptions'!$D$21</x:f>
        <x:v>0</x:v>
      </x:c>
    </x:row>
    <x:row r="1120" ht="16" customHeight="1">
      <x:c r="A1120" s="1"/>
      <x:c r="B1120" s="1"/>
      <x:c r="C1120" s="1" t="str">
        <x:v>DOT-089</x:v>
      </x:c>
      <x:c r="D1120" s="10" t="str">
        <x:v>Semajes Studio</x:v>
      </x:c>
      <x:c r="E1120" s="10" t="n">
        <x:v>9</x:v>
      </x:c>
      <x:c r="F1120" s="21" t="n">
        <x:f>F992*(1+'Assumptions'!$M$118)</x:f>
        <x:v>29.75296636007744</x:v>
      </x:c>
      <x:c r="G1120" s="21" t="n">
        <x:f>H992*'Assumptions'!$K$118</x:f>
        <x:v>12.217263781073358</x:v>
      </x:c>
      <x:c r="H1120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1120+G1120,NA())</x:f>
        <x:v>41.9702301411508</x:v>
      </x:c>
      <x:c r="I1120" s="22" t="n">
        <x:f>'Assumptions'!$H$118*IF('Assumptions'!$O$118=1,1,'Assumptions'!$D$10)*(1+'Assumptions'!$N$118)^(9-1)</x:f>
        <x:v>205.0403916753965</x:v>
      </x:c>
      <x:c r="J1120" s="10" t="n">
        <x:f>H1120*I1120</x:f>
        <x:v>8605.592426848092</x:v>
      </x:c>
      <x:c r="K1120" s="10" t="n">
        <x:f>J1120*'Assumptions'!$T$118</x:f>
        <x:v>8605.592426848092</x:v>
      </x:c>
      <x:c r="L1120" s="10" t="n">
        <x:f>K1120*'Assumptions'!$U$118</x:f>
        <x:v>258.1677728054428</x:v>
      </x:c>
      <x:c r="M1120" s="10" t="n">
        <x:f>K1120*'Assumptions'!$V$118</x:f>
        <x:v>172.11184853696184</x:v>
      </x:c>
      <x:c r="N1120" s="10" t="n">
        <x:f>K1120-L1120-M1120</x:f>
        <x:v>8175.312805505689</x:v>
      </x:c>
      <x:c r="O1120" s="10" t="n">
        <x:f>H1120*'Assumptions'!$P$118*'Assumptions'!$Q$118*'Assumptions'!$D$11*(1+'Assumptions'!$D$13)^(9-1)</x:f>
        <x:v>1329.1657962940646</x:v>
      </x:c>
      <x:c r="P1120" s="10" t="n">
        <x:f>H1120*'Assumptions'!$R$118*'Assumptions'!$D$11*(1+'Assumptions'!$D$13)^(9-1)</x:f>
        <x:v>4784.996866658633</x:v>
      </x:c>
      <x:c r="Q1120" s="10" t="n">
        <x:f>J1120*'Assumptions'!$S$118</x:f>
        <x:v>0</x:v>
      </x:c>
      <x:c r="R1120" s="10" t="n">
        <x:f>H1120*'Assumptions'!$Y$118*'Assumptions'!$Z$118*'Assumptions'!$D$11*(1+'Assumptions'!$D$13)^(9-1)</x:f>
        <x:v>239.24984333293165</x:v>
      </x:c>
      <x:c r="S1120" s="10" t="n">
        <x:f>IF(I1120=0,0,J1120*'Assumptions'!$W$118+H1120*'Assumptions'!$X$118)</x:f>
        <x:v>262.1532494209399</x:v>
      </x:c>
      <x:c r="T1120" s="10" t="n">
        <x:f>N1120*'Assumptions'!$AA$118</x:f>
        <x:v>654.0250244404551</x:v>
      </x:c>
      <x:c r="U1120" s="10" t="n">
        <x:f>'Assumptions'!$AE$118*'Assumptions'!$D$11*(1+'Assumptions'!$D$13)^(9-1)</x:f>
        <x:v>0</x:v>
      </x:c>
      <x:c r="V1120" s="10" t="n">
        <x:f>0</x:f>
        <x:v>0</x:v>
      </x:c>
      <x:c r="W1120" s="10" t="n">
        <x:f>H1120*('Assumptions'!$P$118+'Assumptions'!$Y$118)</x:f>
        <x:v>27.28064959174802</x:v>
      </x:c>
      <x:c r="X1120" s="10" t="n">
        <x:f>N1120/12*'Assumptions'!$AF$118</x:f>
        <x:v>0</x:v>
      </x:c>
      <x:c r="Y1120" s="10" t="n">
        <x:f>P1120/12</x:f>
        <x:v>398.7497388882194</x:v>
      </x:c>
      <x:c r="Z1120" s="10" t="n">
        <x:f>0</x:f>
        <x:v>0</x:v>
      </x:c>
      <x:c r="AA1120" s="10" t="n">
        <x:f>Z1120*'Assumptions'!$AC$118*'Assumptions'!$D$11*(1+'Assumptions'!$D$13)^(9-1)</x:f>
        <x:v>0</x:v>
      </x:c>
      <x:c r="AB1120" s="10" t="n">
        <x:f>F1120/1</x:f>
        <x:v>29.75296636007744</x:v>
      </x:c>
      <x:c r="AC1120" s="10" t="n">
        <x:f>AB1120/'Assumptions'!$AM$118</x:f>
        <x:v>991.7655453359147</x:v>
      </x:c>
      <x:c r="AD1120" s="10" t="n">
        <x:f>IF(AB1120=0,0,T1120/AB1120)</x:f>
        <x:v>21.981842634623032</x:v>
      </x:c>
      <x:c r="AE1120" s="10" t="n">
        <x:f>AA1120*'Assumptions'!$D$21</x:f>
        <x:v>0</x:v>
      </x:c>
    </x:row>
    <x:row r="1121" ht="16" customHeight="1">
      <x:c r="A1121" s="1"/>
      <x:c r="B1121" s="1"/>
      <x:c r="C1121" s="1" t="str">
        <x:v>DOT-090</x:v>
      </x:c>
      <x:c r="D1121" s="10" t="str">
        <x:v>Semajes Marketplace</x:v>
      </x:c>
      <x:c r="E1121" s="10" t="n">
        <x:v>9</x:v>
      </x:c>
      <x:c r="F1121" s="21" t="n">
        <x:f>F993*(1+'Assumptions'!$M$119)</x:f>
        <x:v>84.01878246297602</x:v>
      </x:c>
      <x:c r="G1121" s="21" t="n">
        <x:f>H993*'Assumptions'!$K$119</x:f>
        <x:v>163.77320135903997</x:v>
      </x:c>
      <x:c r="H1121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1121+G1121,NA())</x:f>
        <x:v>247.791983822016</x:v>
      </x:c>
      <x:c r="I1121" s="22" t="n">
        <x:f>'Assumptions'!$H$119*IF('Assumptions'!$O$119=1,1,'Assumptions'!$D$10)*(1+'Assumptions'!$N$119)^(9-1)</x:f>
        <x:v>702.9956286013595</x:v>
      </x:c>
      <x:c r="J1121" s="10" t="n">
        <x:f>H1121*I1121</x:f>
        <x:v>174196.68142933602</x:v>
      </x:c>
      <x:c r="K1121" s="10" t="n">
        <x:f>J1121*'Assumptions'!$T$119</x:f>
        <x:v>26129.502214400403</x:v>
      </x:c>
      <x:c r="L1121" s="10" t="n">
        <x:f>K1121*'Assumptions'!$U$119</x:f>
        <x:v>783.8850664320121</x:v>
      </x:c>
      <x:c r="M1121" s="10" t="n">
        <x:f>K1121*'Assumptions'!$V$119</x:f>
        <x:v>0</x:v>
      </x:c>
      <x:c r="N1121" s="10" t="n">
        <x:f>K1121-L1121-M1121</x:f>
        <x:v>25345.61714796839</x:v>
      </x:c>
      <x:c r="O1121" s="10" t="n">
        <x:f>H1121*'Assumptions'!$P$119*'Assumptions'!$Q$119*'Assumptions'!$D$11*(1+'Assumptions'!$D$13)^(9-1)</x:f>
        <x:v>2746.585375742374</x:v>
      </x:c>
      <x:c r="P1121" s="10" t="n">
        <x:f>H1121*'Assumptions'!$R$119*'Assumptions'!$D$11*(1+'Assumptions'!$D$13)^(9-1)</x:f>
        <x:v>0</x:v>
      </x:c>
      <x:c r="Q1121" s="10" t="n">
        <x:f>J1121*'Assumptions'!$S$119</x:f>
        <x:v>0</x:v>
      </x:c>
      <x:c r="R1121" s="10" t="n">
        <x:f>H1121*'Assumptions'!$Y$119*'Assumptions'!$Z$119*'Assumptions'!$D$11*(1+'Assumptions'!$D$13)^(9-1)</x:f>
        <x:v>1412.5296218103636</x:v>
      </x:c>
      <x:c r="S1121" s="10" t="n">
        <x:f>IF(I1121=0,0,J1121*'Assumptions'!$W$119+H1121*'Assumptions'!$X$119)</x:f>
        <x:v>5126.04135659735</x:v>
      </x:c>
      <x:c r="T1121" s="10" t="n">
        <x:f>N1121*'Assumptions'!$AA$119</x:f>
        <x:v>1267.2808573984196</x:v>
      </x:c>
      <x:c r="U1121" s="10" t="n">
        <x:f>'Assumptions'!$AE$119*'Assumptions'!$D$11*(1+'Assumptions'!$D$13)^(9-1)</x:f>
        <x:v>304.02481953302794</x:v>
      </x:c>
      <x:c r="V1121" s="10" t="n">
        <x:f>0</x:f>
        <x:v>0</x:v>
      </x:c>
      <x:c r="W1121" s="10" t="n">
        <x:f>H1121*('Assumptions'!$P$119+'Assumptions'!$Y$119)</x:f>
        <x:v>99.1167935288064</x:v>
      </x:c>
      <x:c r="X1121" s="10" t="n">
        <x:f>N1121/12*'Assumptions'!$AF$119</x:f>
        <x:v>0</x:v>
      </x:c>
      <x:c r="Y1121" s="10" t="n">
        <x:f>P1121/12</x:f>
        <x:v>0</x:v>
      </x:c>
      <x:c r="Z1121" s="10" t="n">
        <x:f>0</x:f>
        <x:v>0</x:v>
      </x:c>
      <x:c r="AA1121" s="10" t="n">
        <x:f>Z1121*'Assumptions'!$AC$119*'Assumptions'!$D$11*(1+'Assumptions'!$D$13)^(9-1)</x:f>
        <x:v>0</x:v>
      </x:c>
      <x:c r="AB1121" s="10" t="n">
        <x:f>F1121/1</x:f>
        <x:v>84.01878246297602</x:v>
      </x:c>
      <x:c r="AC1121" s="10" t="n">
        <x:f>AB1121/'Assumptions'!$AM$119</x:f>
        <x:v>1680.3756492595203</x:v>
      </x:c>
      <x:c r="AD1121" s="10" t="n">
        <x:f>IF(AB1121=0,0,T1121/AB1121)</x:f>
        <x:v>15.083304235655444</x:v>
      </x:c>
      <x:c r="AE1121" s="10" t="n">
        <x:f>AA1121*'Assumptions'!$D$21</x:f>
        <x:v>0</x:v>
      </x:c>
    </x:row>
    <x:row r="1122" ht="16" customHeight="1">
      <x:c r="A1122" s="1"/>
      <x:c r="B1122" s="1"/>
      <x:c r="C1122" s="1" t="str">
        <x:v>DOT-091</x:v>
      </x:c>
      <x:c r="D1122" s="10" t="str">
        <x:v>Semajes Marketplace</x:v>
      </x:c>
      <x:c r="E1122" s="10" t="n">
        <x:v>9</x:v>
      </x:c>
      <x:c r="F1122" s="21" t="n">
        <x:f>F994*(1+'Assumptions'!$M$120)</x:f>
        <x:v>168.03756492595204</x:v>
      </x:c>
      <x:c r="G1122" s="21" t="n">
        <x:f>H994*'Assumptions'!$K$120</x:f>
        <x:v>327.54640271807995</x:v>
      </x:c>
      <x:c r="H1122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1122+G1122,NA())</x:f>
        <x:v>495.583967644032</x:v>
      </x:c>
      <x:c r="I1122" s="22" t="n">
        <x:f>'Assumptions'!$H$120*IF('Assumptions'!$O$120=1,1,'Assumptions'!$D$10)*(1+'Assumptions'!$N$120)^(9-1)</x:f>
        <x:v>87.87445357516994</x:v>
      </x:c>
      <x:c r="J1122" s="10" t="n">
        <x:f>H1122*I1122</x:f>
        <x:v>43549.170357334006</x:v>
      </x:c>
      <x:c r="K1122" s="10" t="n">
        <x:f>J1122*'Assumptions'!$T$120</x:f>
        <x:v>8709.834071466801</x:v>
      </x:c>
      <x:c r="L1122" s="10" t="n">
        <x:f>K1122*'Assumptions'!$U$120</x:f>
        <x:v>261.295022144004</x:v>
      </x:c>
      <x:c r="M1122" s="10" t="n">
        <x:f>K1122*'Assumptions'!$V$120</x:f>
        <x:v>0</x:v>
      </x:c>
      <x:c r="N1122" s="10" t="n">
        <x:f>K1122-L1122-M1122</x:f>
        <x:v>8448.539049322797</x:v>
      </x:c>
      <x:c r="O1122" s="10" t="n">
        <x:f>H1122*'Assumptions'!$P$120*'Assumptions'!$Q$120*'Assumptions'!$D$11*(1+'Assumptions'!$D$13)^(9-1)</x:f>
        <x:v>2197.268300593899</x:v>
      </x:c>
      <x:c r="P1122" s="10" t="n">
        <x:f>H1122*'Assumptions'!$R$120*'Assumptions'!$D$11*(1+'Assumptions'!$D$13)^(9-1)</x:f>
        <x:v>0</x:v>
      </x:c>
      <x:c r="Q1122" s="10" t="n">
        <x:f>J1122*'Assumptions'!$S$120</x:f>
        <x:v>0</x:v>
      </x:c>
      <x:c r="R1122" s="10" t="n">
        <x:f>H1122*'Assumptions'!$Y$120*'Assumptions'!$Z$120*'Assumptions'!$D$11*(1+'Assumptions'!$D$13)^(9-1)</x:f>
        <x:v>2825.059243620727</x:v>
      </x:c>
      <x:c r="S1122" s="10" t="n">
        <x:f>IF(I1122=0,0,J1122*'Assumptions'!$W$120+H1122*'Assumptions'!$X$120)</x:f>
        <x:v>1411.601130655896</x:v>
      </x:c>
      <x:c r="T1122" s="10" t="n">
        <x:f>N1122*'Assumptions'!$AA$120</x:f>
        <x:v>422.4269524661399</x:v>
      </x:c>
      <x:c r="U1122" s="10" t="n">
        <x:f>'Assumptions'!$AE$120*'Assumptions'!$D$11*(1+'Assumptions'!$D$13)^(9-1)</x:f>
        <x:v>0</x:v>
      </x:c>
      <x:c r="V1122" s="10" t="n">
        <x:f>0</x:f>
        <x:v>0</x:v>
      </x:c>
      <x:c r="W1122" s="10" t="n">
        <x:f>H1122*('Assumptions'!$P$120+'Assumptions'!$Y$120)</x:f>
        <x:v>123.895991911008</x:v>
      </x:c>
      <x:c r="X1122" s="10" t="n">
        <x:f>N1122/12*'Assumptions'!$AF$120</x:f>
        <x:v>0</x:v>
      </x:c>
      <x:c r="Y1122" s="10" t="n">
        <x:f>P1122/12</x:f>
        <x:v>0</x:v>
      </x:c>
      <x:c r="Z1122" s="10" t="n">
        <x:f>0</x:f>
        <x:v>0</x:v>
      </x:c>
      <x:c r="AA1122" s="10" t="n">
        <x:f>Z1122*'Assumptions'!$AC$120*'Assumptions'!$D$11*(1+'Assumptions'!$D$13)^(9-1)</x:f>
        <x:v>0</x:v>
      </x:c>
      <x:c r="AB1122" s="10" t="n">
        <x:f>F1122/1</x:f>
        <x:v>168.03756492595204</x:v>
      </x:c>
      <x:c r="AC1122" s="10" t="n">
        <x:f>AB1122/'Assumptions'!$AM$120</x:f>
        <x:v>3360.7512985190406</x:v>
      </x:c>
      <x:c r="AD1122" s="10" t="n">
        <x:f>IF(AB1122=0,0,T1122/AB1122)</x:f>
        <x:v>2.5138840392759074</x:v>
      </x:c>
      <x:c r="AE1122" s="10" t="n">
        <x:f>AA1122*'Assumptions'!$D$21</x:f>
        <x:v>0</x:v>
      </x:c>
    </x:row>
    <x:row r="1123" ht="16" customHeight="1">
      <x:c r="A1123" s="1"/>
      <x:c r="B1123" s="1"/>
      <x:c r="C1123" s="1" t="str">
        <x:v>DOT-092</x:v>
      </x:c>
      <x:c r="D1123" s="10" t="str">
        <x:v>Semajes Marketplace</x:v>
      </x:c>
      <x:c r="E1123" s="10" t="n">
        <x:v>9</x:v>
      </x:c>
      <x:c r="F1123" s="21" t="n">
        <x:f>F995*(1+'Assumptions'!$M$121)</x:f>
        <x:v>84.01878246297602</x:v>
      </x:c>
      <x:c r="G1123" s="21" t="n">
        <x:f>H995*'Assumptions'!$K$121</x:f>
        <x:v>163.77320135903997</x:v>
      </x:c>
      <x:c r="H1123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1123+G1123,NA())</x:f>
        <x:v>247.791983822016</x:v>
      </x:c>
      <x:c r="I1123" s="22" t="n">
        <x:f>'Assumptions'!$H$121*IF('Assumptions'!$O$121=1,1,'Assumptions'!$D$10)*(1+'Assumptions'!$N$121)^(9-1)</x:f>
        <x:v>292.91484525056643</x:v>
      </x:c>
      <x:c r="J1123" s="10" t="n">
        <x:f>H1123*I1123</x:f>
        <x:v>72581.95059555667</x:v>
      </x:c>
      <x:c r="K1123" s="10" t="n">
        <x:f>J1123*'Assumptions'!$T$121</x:f>
        <x:v>14516.390119111335</x:v>
      </x:c>
      <x:c r="L1123" s="10" t="n">
        <x:f>K1123*'Assumptions'!$U$121</x:f>
        <x:v>435.49170357334003</x:v>
      </x:c>
      <x:c r="M1123" s="10" t="n">
        <x:f>K1123*'Assumptions'!$V$121</x:f>
        <x:v>0</x:v>
      </x:c>
      <x:c r="N1123" s="10" t="n">
        <x:f>K1123-L1123-M1123</x:f>
        <x:v>14080.898415537995</x:v>
      </x:c>
      <x:c r="O1123" s="10" t="n">
        <x:f>H1123*'Assumptions'!$P$121*'Assumptions'!$Q$121*'Assumptions'!$D$11*(1+'Assumptions'!$D$13)^(9-1)</x:f>
        <x:v>1647.9512254454241</x:v>
      </x:c>
      <x:c r="P1123" s="10" t="n">
        <x:f>H1123*'Assumptions'!$R$121*'Assumptions'!$D$11*(1+'Assumptions'!$D$13)^(9-1)</x:f>
        <x:v>0</x:v>
      </x:c>
      <x:c r="Q1123" s="10" t="n">
        <x:f>J1123*'Assumptions'!$S$121</x:f>
        <x:v>0</x:v>
      </x:c>
      <x:c r="R1123" s="10" t="n">
        <x:f>H1123*'Assumptions'!$Y$121*'Assumptions'!$Z$121*'Assumptions'!$D$11*(1+'Assumptions'!$D$13)^(9-1)</x:f>
        <x:v>1412.5296218103636</x:v>
      </x:c>
      <x:c r="S1123" s="10" t="n">
        <x:f>IF(I1123=0,0,J1123*'Assumptions'!$W$121+H1123*'Assumptions'!$X$121)</x:f>
        <x:v>2179.214162417748</x:v>
      </x:c>
      <x:c r="T1123" s="10" t="n">
        <x:f>N1123*'Assumptions'!$AA$121</x:f>
        <x:v>704.0449207768997</x:v>
      </x:c>
      <x:c r="U1123" s="10" t="n">
        <x:f>'Assumptions'!$AE$121*'Assumptions'!$D$11*(1+'Assumptions'!$D$13)^(9-1)</x:f>
        <x:v>0</x:v>
      </x:c>
      <x:c r="V1123" s="10" t="n">
        <x:f>0</x:f>
        <x:v>0</x:v>
      </x:c>
      <x:c r="W1123" s="10" t="n">
        <x:f>H1123*('Assumptions'!$P$121+'Assumptions'!$Y$121)</x:f>
        <x:v>74.3375951466048</x:v>
      </x:c>
      <x:c r="X1123" s="10" t="n">
        <x:f>N1123/12*'Assumptions'!$AF$121</x:f>
        <x:v>0</x:v>
      </x:c>
      <x:c r="Y1123" s="10" t="n">
        <x:f>P1123/12</x:f>
        <x:v>0</x:v>
      </x:c>
      <x:c r="Z1123" s="10" t="n">
        <x:f>0</x:f>
        <x:v>0</x:v>
      </x:c>
      <x:c r="AA1123" s="10" t="n">
        <x:f>Z1123*'Assumptions'!$AC$121*'Assumptions'!$D$11*(1+'Assumptions'!$D$13)^(9-1)</x:f>
        <x:v>0</x:v>
      </x:c>
      <x:c r="AB1123" s="10" t="n">
        <x:f>F1123/1</x:f>
        <x:v>84.01878246297602</x:v>
      </x:c>
      <x:c r="AC1123" s="10" t="n">
        <x:f>AB1123/'Assumptions'!$AM$121</x:f>
        <x:v>1680.3756492595203</x:v>
      </x:c>
      <x:c r="AD1123" s="10" t="n">
        <x:f>IF(AB1123=0,0,T1123/AB1123)</x:f>
        <x:v>8.379613464253024</x:v>
      </x:c>
      <x:c r="AE1123" s="10" t="n">
        <x:f>AA1123*'Assumptions'!$D$21</x:f>
        <x:v>0</x:v>
      </x:c>
    </x:row>
    <x:row r="1124" ht="16" customHeight="1">
      <x:c r="A1124" s="1"/>
      <x:c r="B1124" s="1"/>
      <x:c r="C1124" s="1" t="str">
        <x:v>DOT-093</x:v>
      </x:c>
      <x:c r="D1124" s="10" t="str">
        <x:v>Semajes Marketplace</x:v>
      </x:c>
      <x:c r="E1124" s="10" t="n">
        <x:v>9</x:v>
      </x:c>
      <x:c r="F1124" s="21" t="n">
        <x:f>F996*(1+'Assumptions'!$M$122)</x:f>
        <x:v>16.803756492595202</x:v>
      </x:c>
      <x:c r="G1124" s="21" t="n">
        <x:f>H996*'Assumptions'!$K$122</x:f>
        <x:v>32.754640271808</x:v>
      </x:c>
      <x:c r="H1124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1124+G1124,NA())</x:f>
        <x:v>49.5583967644032</x:v>
      </x:c>
      <x:c r="I1124" s="22" t="n">
        <x:f>'Assumptions'!$H$122*IF('Assumptions'!$O$122=1,1,'Assumptions'!$D$10)*(1+'Assumptions'!$N$122)^(9-1)</x:f>
        <x:v>585.8296905011329</x:v>
      </x:c>
      <x:c r="J1124" s="10" t="n">
        <x:f>H1124*I1124</x:f>
        <x:v>29032.78023822267</x:v>
      </x:c>
      <x:c r="K1124" s="10" t="n">
        <x:f>J1124*'Assumptions'!$T$122</x:f>
        <x:v>4354.917035733401</x:v>
      </x:c>
      <x:c r="L1124" s="10" t="n">
        <x:f>K1124*'Assumptions'!$U$122</x:f>
        <x:v>130.647511072002</x:v>
      </x:c>
      <x:c r="M1124" s="10" t="n">
        <x:f>K1124*'Assumptions'!$V$122</x:f>
        <x:v>0</x:v>
      </x:c>
      <x:c r="N1124" s="10" t="n">
        <x:f>K1124-L1124-M1124</x:f>
        <x:v>4224.2695246613985</x:v>
      </x:c>
      <x:c r="O1124" s="10" t="n">
        <x:f>H1124*'Assumptions'!$P$122*'Assumptions'!$Q$122*'Assumptions'!$D$11*(1+'Assumptions'!$D$13)^(9-1)</x:f>
        <x:v>549.3170751484747</x:v>
      </x:c>
      <x:c r="P1124" s="10" t="n">
        <x:f>H1124*'Assumptions'!$R$122*'Assumptions'!$D$11*(1+'Assumptions'!$D$13)^(9-1)</x:f>
        <x:v>0</x:v>
      </x:c>
      <x:c r="Q1124" s="10" t="n">
        <x:f>J1124*'Assumptions'!$S$122</x:f>
        <x:v>0</x:v>
      </x:c>
      <x:c r="R1124" s="10" t="n">
        <x:f>H1124*'Assumptions'!$Y$122*'Assumptions'!$Z$122*'Assumptions'!$D$11*(1+'Assumptions'!$D$13)^(9-1)</x:f>
        <x:v>282.50592436207273</x:v>
      </x:c>
      <x:c r="S1124" s="10" t="n">
        <x:f>IF(I1124=0,0,J1124*'Assumptions'!$W$122+H1124*'Assumptions'!$X$122)</x:f>
        <x:v>856.8181459377785</x:v>
      </x:c>
      <x:c r="T1124" s="10" t="n">
        <x:f>N1124*'Assumptions'!$AA$122</x:f>
        <x:v>211.21347623306994</x:v>
      </x:c>
      <x:c r="U1124" s="10" t="n">
        <x:f>'Assumptions'!$AE$122*'Assumptions'!$D$11*(1+'Assumptions'!$D$13)^(9-1)</x:f>
        <x:v>0</x:v>
      </x:c>
      <x:c r="V1124" s="10" t="n">
        <x:f>0</x:f>
        <x:v>0</x:v>
      </x:c>
      <x:c r="W1124" s="10" t="n">
        <x:f>H1124*('Assumptions'!$P$122+'Assumptions'!$Y$122)</x:f>
        <x:v>19.82335870576128</x:v>
      </x:c>
      <x:c r="X1124" s="10" t="n">
        <x:f>N1124/12*'Assumptions'!$AF$122</x:f>
        <x:v>0</x:v>
      </x:c>
      <x:c r="Y1124" s="10" t="n">
        <x:f>P1124/12</x:f>
        <x:v>0</x:v>
      </x:c>
      <x:c r="Z1124" s="10" t="n">
        <x:f>0</x:f>
        <x:v>0</x:v>
      </x:c>
      <x:c r="AA1124" s="10" t="n">
        <x:f>Z1124*'Assumptions'!$AC$122*'Assumptions'!$D$11*(1+'Assumptions'!$D$13)^(9-1)</x:f>
        <x:v>0</x:v>
      </x:c>
      <x:c r="AB1124" s="10" t="n">
        <x:f>F1124/1</x:f>
        <x:v>16.803756492595202</x:v>
      </x:c>
      <x:c r="AC1124" s="10" t="n">
        <x:f>AB1124/'Assumptions'!$AM$122</x:f>
        <x:v>336.075129851904</x:v>
      </x:c>
      <x:c r="AD1124" s="10" t="n">
        <x:f>IF(AB1124=0,0,T1124/AB1124)</x:f>
        <x:v>12.56942019637954</x:v>
      </x:c>
      <x:c r="AE1124" s="10" t="n">
        <x:f>AA1124*'Assumptions'!$D$21</x:f>
        <x:v>0</x:v>
      </x:c>
    </x:row>
    <x:row r="1125" ht="16" customHeight="1">
      <x:c r="A1125" s="1"/>
      <x:c r="B1125" s="1"/>
      <x:c r="C1125" s="1" t="str">
        <x:v>DOT-094</x:v>
      </x:c>
      <x:c r="D1125" s="10" t="str">
        <x:v>Semajes premium and media</x:v>
      </x:c>
      <x:c r="E1125" s="10" t="n">
        <x:v>9</x:v>
      </x:c>
      <x:c r="F1125" s="21" t="n">
        <x:f>F997*(1+'Assumptions'!$M$123)</x:f>
        <x:v>84.01878246297602</x:v>
      </x:c>
      <x:c r="G1125" s="21" t="n">
        <x:f>H997*'Assumptions'!$K$123</x:f>
        <x:v>163.77320135903997</x:v>
      </x:c>
      <x:c r="H1125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1125+G1125,NA())</x:f>
        <x:v>247.791983822016</x:v>
      </x:c>
      <x:c r="I1125" s="22" t="n">
        <x:f>'Assumptions'!$H$123*IF('Assumptions'!$O$123=1,1,'Assumptions'!$D$10)*(1+'Assumptions'!$N$123)^(9-1)</x:f>
        <x:v>10.544934429020392</x:v>
      </x:c>
      <x:c r="J1125" s="10" t="n">
        <x:f>H1125*I1125</x:f>
        <x:v>2612.9502214400404</x:v>
      </x:c>
      <x:c r="K1125" s="10" t="n">
        <x:f>J1125*'Assumptions'!$T$123</x:f>
        <x:v>2612.9502214400404</x:v>
      </x:c>
      <x:c r="L1125" s="10" t="n">
        <x:f>K1125*'Assumptions'!$U$123</x:f>
        <x:v>78.38850664320121</x:v>
      </x:c>
      <x:c r="M1125" s="10" t="n">
        <x:f>K1125*'Assumptions'!$V$123</x:f>
        <x:v>0</x:v>
      </x:c>
      <x:c r="N1125" s="10" t="n">
        <x:f>K1125-L1125-M1125</x:f>
        <x:v>2534.561714796839</x:v>
      </x:c>
      <x:c r="O1125" s="10" t="n">
        <x:f>H1125*'Assumptions'!$P$123*'Assumptions'!$Q$123*'Assumptions'!$D$11*(1+'Assumptions'!$D$13)^(9-1)</x:f>
        <x:v>549.3170751484747</x:v>
      </x:c>
      <x:c r="P1125" s="10" t="n">
        <x:f>H1125*'Assumptions'!$R$123*'Assumptions'!$D$11*(1+'Assumptions'!$D$13)^(9-1)</x:f>
        <x:v>0</x:v>
      </x:c>
      <x:c r="Q1125" s="10" t="n">
        <x:f>J1125*'Assumptions'!$S$123</x:f>
        <x:v>0</x:v>
      </x:c>
      <x:c r="R1125" s="10" t="n">
        <x:f>H1125*'Assumptions'!$Y$123*'Assumptions'!$Z$123*'Assumptions'!$D$11*(1+'Assumptions'!$D$13)^(9-1)</x:f>
        <x:v>1412.5296218103636</x:v>
      </x:c>
      <x:c r="S1125" s="10" t="n">
        <x:f>IF(I1125=0,0,J1125*'Assumptions'!$W$123+H1125*'Assumptions'!$X$123)</x:f>
        <x:v>150.113151568366</x:v>
      </x:c>
      <x:c r="T1125" s="10" t="n">
        <x:f>N1125*'Assumptions'!$AA$123</x:f>
        <x:v>126.72808573984196</x:v>
      </x:c>
      <x:c r="U1125" s="10" t="n">
        <x:f>'Assumptions'!$AE$123*'Assumptions'!$D$11*(1+'Assumptions'!$D$13)^(9-1)</x:f>
        <x:v>0</x:v>
      </x:c>
      <x:c r="V1125" s="10" t="n">
        <x:f>0</x:f>
        <x:v>0</x:v>
      </x:c>
      <x:c r="W1125" s="10" t="n">
        <x:f>H1125*('Assumptions'!$P$123+'Assumptions'!$Y$123)</x:f>
        <x:v>49.5583967644032</x:v>
      </x:c>
      <x:c r="X1125" s="10" t="n">
        <x:f>N1125/12*'Assumptions'!$AF$123</x:f>
        <x:v>0</x:v>
      </x:c>
      <x:c r="Y1125" s="10" t="n">
        <x:f>P1125/12</x:f>
        <x:v>0</x:v>
      </x:c>
      <x:c r="Z1125" s="10" t="n">
        <x:f>0</x:f>
        <x:v>0</x:v>
      </x:c>
      <x:c r="AA1125" s="10" t="n">
        <x:f>Z1125*'Assumptions'!$AC$123*'Assumptions'!$D$11*(1+'Assumptions'!$D$13)^(9-1)</x:f>
        <x:v>0</x:v>
      </x:c>
      <x:c r="AB1125" s="10" t="n">
        <x:f>F1125/12</x:f>
        <x:v>7.001565205248002</x:v>
      </x:c>
      <x:c r="AC1125" s="10" t="n">
        <x:f>AB1125/'Assumptions'!$AM$123</x:f>
        <x:v>140.03130410496004</x:v>
      </x:c>
      <x:c r="AD1125" s="10" t="n">
        <x:f>IF(AB1125=0,0,T1125/AB1125)</x:f>
        <x:v>18.099965082786532</x:v>
      </x:c>
      <x:c r="AE1125" s="10" t="n">
        <x:f>AA1125*'Assumptions'!$D$21</x:f>
        <x:v>0</x:v>
      </x:c>
    </x:row>
    <x:row r="1126" ht="16" customHeight="1">
      <x:c r="A1126" s="1"/>
      <x:c r="B1126" s="1"/>
      <x:c r="C1126" s="1" t="str">
        <x:v>DOT-095</x:v>
      </x:c>
      <x:c r="D1126" s="10" t="str">
        <x:v>Semajes premium and media</x:v>
      </x:c>
      <x:c r="E1126" s="10" t="n">
        <x:v>9</x:v>
      </x:c>
      <x:c r="F1126" s="21" t="n">
        <x:f>F998*(1+'Assumptions'!$M$124)</x:f>
        <x:v>84.01878246297602</x:v>
      </x:c>
      <x:c r="G1126" s="21" t="n">
        <x:f>H998*'Assumptions'!$K$124</x:f>
        <x:v>163.77320135903997</x:v>
      </x:c>
      <x:c r="H1126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1126+G1126,NA())</x:f>
        <x:v>247.791983822016</x:v>
      </x:c>
      <x:c r="I1126" s="22" t="n">
        <x:f>'Assumptions'!$H$124*IF('Assumptions'!$O$124=1,1,'Assumptions'!$D$10)*(1+'Assumptions'!$N$124)^(9-1)</x:f>
        <x:v>22.26152823904305</x:v>
      </x:c>
      <x:c r="J1126" s="10" t="n">
        <x:f>H1126*I1126</x:f>
        <x:v>5516.228245262308</x:v>
      </x:c>
      <x:c r="K1126" s="10" t="n">
        <x:f>J1126*'Assumptions'!$T$124</x:f>
        <x:v>5516.228245262308</x:v>
      </x:c>
      <x:c r="L1126" s="10" t="n">
        <x:f>K1126*'Assumptions'!$U$124</x:f>
        <x:v>165.4868473578692</x:v>
      </x:c>
      <x:c r="M1126" s="10" t="n">
        <x:f>K1126*'Assumptions'!$V$124</x:f>
        <x:v>0</x:v>
      </x:c>
      <x:c r="N1126" s="10" t="n">
        <x:f>K1126-L1126-M1126</x:f>
        <x:v>5350.741397904439</x:v>
      </x:c>
      <x:c r="O1126" s="10" t="n">
        <x:f>H1126*'Assumptions'!$P$124*'Assumptions'!$Q$124*'Assumptions'!$D$11*(1+'Assumptions'!$D$13)^(9-1)</x:f>
        <x:v>1098.6341502969494</x:v>
      </x:c>
      <x:c r="P1126" s="10" t="n">
        <x:f>H1126*'Assumptions'!$R$124*'Assumptions'!$D$11*(1+'Assumptions'!$D$13)^(9-1)</x:f>
        <x:v>0</x:v>
      </x:c>
      <x:c r="Q1126" s="10" t="n">
        <x:f>J1126*'Assumptions'!$S$124</x:f>
        <x:v>0</x:v>
      </x:c>
      <x:c r="R1126" s="10" t="n">
        <x:f>H1126*'Assumptions'!$Y$124*'Assumptions'!$Z$124*'Assumptions'!$D$11*(1+'Assumptions'!$D$13)^(9-1)</x:f>
        <x:v>1412.5296218103636</x:v>
      </x:c>
      <x:c r="S1126" s="10" t="n">
        <x:f>IF(I1126=0,0,J1126*'Assumptions'!$W$124+H1126*'Assumptions'!$X$124)</x:f>
        <x:v>234.30821425921172</x:v>
      </x:c>
      <x:c r="T1126" s="10" t="n">
        <x:f>N1126*'Assumptions'!$AA$124</x:f>
        <x:v>267.5370698952219</x:v>
      </x:c>
      <x:c r="U1126" s="10" t="n">
        <x:f>'Assumptions'!$AE$124*'Assumptions'!$D$11*(1+'Assumptions'!$D$13)^(9-1)</x:f>
        <x:v>0</x:v>
      </x:c>
      <x:c r="V1126" s="10" t="n">
        <x:f>0</x:f>
        <x:v>0</x:v>
      </x:c>
      <x:c r="W1126" s="10" t="n">
        <x:f>H1126*('Assumptions'!$P$124+'Assumptions'!$Y$124)</x:f>
        <x:v>61.947995955504</x:v>
      </x:c>
      <x:c r="X1126" s="10" t="n">
        <x:f>N1126/12*'Assumptions'!$AF$124</x:f>
        <x:v>0</x:v>
      </x:c>
      <x:c r="Y1126" s="10" t="n">
        <x:f>P1126/12</x:f>
        <x:v>0</x:v>
      </x:c>
      <x:c r="Z1126" s="10" t="n">
        <x:f>0</x:f>
        <x:v>0</x:v>
      </x:c>
      <x:c r="AA1126" s="10" t="n">
        <x:f>Z1126*'Assumptions'!$AC$124*'Assumptions'!$D$11*(1+'Assumptions'!$D$13)^(9-1)</x:f>
        <x:v>0</x:v>
      </x:c>
      <x:c r="AB1126" s="10" t="n">
        <x:f>F1126/12</x:f>
        <x:v>7.001565205248002</x:v>
      </x:c>
      <x:c r="AC1126" s="10" t="n">
        <x:f>AB1126/'Assumptions'!$AM$124</x:f>
        <x:v>140.03130410496004</x:v>
      </x:c>
      <x:c r="AD1126" s="10" t="n">
        <x:f>IF(AB1126=0,0,T1126/AB1126)</x:f>
        <x:v>38.211037396993795</x:v>
      </x:c>
      <x:c r="AE1126" s="10" t="n">
        <x:f>AA1126*'Assumptions'!$D$21</x:f>
        <x:v>0</x:v>
      </x:c>
    </x:row>
    <x:row r="1127" ht="16" customHeight="1">
      <x:c r="A1127" s="1"/>
      <x:c r="B1127" s="1"/>
      <x:c r="C1127" s="1" t="str">
        <x:v>DOT-096</x:v>
      </x:c>
      <x:c r="D1127" s="10" t="str">
        <x:v>Semajes premium and media</x:v>
      </x:c>
      <x:c r="E1127" s="10" t="n">
        <x:v>9</x:v>
      </x:c>
      <x:c r="F1127" s="21" t="n">
        <x:f>F999*(1+'Assumptions'!$M$125)</x:f>
        <x:v>42.00939123148801</x:v>
      </x:c>
      <x:c r="G1127" s="21" t="n">
        <x:f>H999*'Assumptions'!$K$125</x:f>
        <x:v>81.88660067951999</x:v>
      </x:c>
      <x:c r="H1127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1127+G1127,NA())</x:f>
        <x:v>123.895991911008</x:v>
      </x:c>
      <x:c r="I1127" s="22" t="n">
        <x:f>'Assumptions'!$H$125*IF('Assumptions'!$O$125=1,1,'Assumptions'!$D$10)*(1+'Assumptions'!$N$125)^(9-1)</x:f>
        <x:v>45.69471585908836</x:v>
      </x:c>
      <x:c r="J1127" s="10" t="n">
        <x:f>H1127*I1127</x:f>
        <x:v>5661.3921464534205</x:v>
      </x:c>
      <x:c r="K1127" s="10" t="n">
        <x:f>J1127*'Assumptions'!$T$125</x:f>
        <x:v>5661.3921464534205</x:v>
      </x:c>
      <x:c r="L1127" s="10" t="n">
        <x:f>K1127*'Assumptions'!$U$125</x:f>
        <x:v>169.8417643936026</x:v>
      </x:c>
      <x:c r="M1127" s="10" t="n">
        <x:f>K1127*'Assumptions'!$V$125</x:f>
        <x:v>0</x:v>
      </x:c>
      <x:c r="N1127" s="10" t="n">
        <x:f>K1127-L1127-M1127</x:f>
        <x:v>5491.550382059818</x:v>
      </x:c>
      <x:c r="O1127" s="10" t="n">
        <x:f>H1127*'Assumptions'!$P$125*'Assumptions'!$Q$125*'Assumptions'!$D$11*(1+'Assumptions'!$D$13)^(9-1)</x:f>
        <x:v>1098.6341502969494</x:v>
      </x:c>
      <x:c r="P1127" s="10" t="n">
        <x:f>H1127*'Assumptions'!$R$125*'Assumptions'!$D$11*(1+'Assumptions'!$D$13)^(9-1)</x:f>
        <x:v>0</x:v>
      </x:c>
      <x:c r="Q1127" s="10" t="n">
        <x:f>J1127*'Assumptions'!$S$125</x:f>
        <x:v>0</x:v>
      </x:c>
      <x:c r="R1127" s="10" t="n">
        <x:f>H1127*'Assumptions'!$Y$125*'Assumptions'!$Z$125*'Assumptions'!$D$11*(1+'Assumptions'!$D$13)^(9-1)</x:f>
        <x:v>706.2648109051818</x:v>
      </x:c>
      <x:c r="S1127" s="10" t="n">
        <x:f>IF(I1127=0,0,J1127*'Assumptions'!$W$125+H1127*'Assumptions'!$X$125)</x:f>
        <x:v>201.3491698204516</x:v>
      </x:c>
      <x:c r="T1127" s="10" t="n">
        <x:f>N1127*'Assumptions'!$AA$125</x:f>
        <x:v>274.5775191029909</x:v>
      </x:c>
      <x:c r="U1127" s="10" t="n">
        <x:f>'Assumptions'!$AE$125*'Assumptions'!$D$11*(1+'Assumptions'!$D$13)^(9-1)</x:f>
        <x:v>0</x:v>
      </x:c>
      <x:c r="V1127" s="10" t="n">
        <x:f>0</x:f>
        <x:v>0</x:v>
      </x:c>
      <x:c r="W1127" s="10" t="n">
        <x:f>H1127*('Assumptions'!$P$125+'Assumptions'!$Y$125)</x:f>
        <x:v>43.3635971688528</x:v>
      </x:c>
      <x:c r="X1127" s="10" t="n">
        <x:f>N1127/12*'Assumptions'!$AF$125</x:f>
        <x:v>0</x:v>
      </x:c>
      <x:c r="Y1127" s="10" t="n">
        <x:f>P1127/12</x:f>
        <x:v>0</x:v>
      </x:c>
      <x:c r="Z1127" s="10" t="n">
        <x:f>0</x:f>
        <x:v>0</x:v>
      </x:c>
      <x:c r="AA1127" s="10" t="n">
        <x:f>Z1127*'Assumptions'!$AC$125*'Assumptions'!$D$11*(1+'Assumptions'!$D$13)^(9-1)</x:f>
        <x:v>0</x:v>
      </x:c>
      <x:c r="AB1127" s="10" t="n">
        <x:f>F1127/12</x:f>
        <x:v>3.500782602624001</x:v>
      </x:c>
      <x:c r="AC1127" s="10" t="n">
        <x:f>AB1127/'Assumptions'!$AM$125</x:f>
        <x:v>70.01565205248002</x:v>
      </x:c>
      <x:c r="AD1127" s="10" t="n">
        <x:f>IF(AB1127=0,0,T1127/AB1127)</x:f>
        <x:v>78.4331820254083</x:v>
      </x:c>
      <x:c r="AE1127" s="10" t="n">
        <x:f>AA1127*'Assumptions'!$D$21</x:f>
        <x:v>0</x:v>
      </x:c>
    </x:row>
    <x:row r="1128" ht="16" customHeight="1">
      <x:c r="A1128" s="1"/>
      <x:c r="B1128" s="1"/>
      <x:c r="C1128" s="1" t="str">
        <x:v>DOT-097</x:v>
      </x:c>
      <x:c r="D1128" s="10" t="str">
        <x:v>Semajes premium and media</x:v>
      </x:c>
      <x:c r="E1128" s="10" t="n">
        <x:v>9</x:v>
      </x:c>
      <x:c r="F1128" s="21" t="n">
        <x:f>F1000*(1+'Assumptions'!$M$126)</x:f>
        <x:v>25.205634738892797</x:v>
      </x:c>
      <x:c r="G1128" s="21" t="n">
        <x:f>H1000*'Assumptions'!$K$126</x:f>
        <x:v>49.131960407711986</x:v>
      </x:c>
      <x:c r="H1128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1128+G1128,NA())</x:f>
        <x:v>74.33759514660478</x:v>
      </x:c>
      <x:c r="I1128" s="22" t="n">
        <x:f>'Assumptions'!$H$126*IF('Assumptions'!$O$126=1,1,'Assumptions'!$D$10)*(1+'Assumptions'!$N$126)^(9-1)</x:f>
        <x:v>115.99427871922431</x:v>
      </x:c>
      <x:c r="J1128" s="10" t="n">
        <x:f>H1128*I1128</x:f>
        <x:v>8622.735730752132</x:v>
      </x:c>
      <x:c r="K1128" s="10" t="n">
        <x:f>J1128*'Assumptions'!$T$126</x:f>
        <x:v>8622.735730752132</x:v>
      </x:c>
      <x:c r="L1128" s="10" t="n">
        <x:f>K1128*'Assumptions'!$U$126</x:f>
        <x:v>258.682071922564</x:v>
      </x:c>
      <x:c r="M1128" s="10" t="n">
        <x:f>K1128*'Assumptions'!$V$126</x:f>
        <x:v>0</x:v>
      </x:c>
      <x:c r="N1128" s="10" t="n">
        <x:f>K1128-L1128-M1128</x:f>
        <x:v>8364.053658829569</x:v>
      </x:c>
      <x:c r="O1128" s="10" t="n">
        <x:f>H1128*'Assumptions'!$P$126*'Assumptions'!$Q$126*'Assumptions'!$D$11*(1+'Assumptions'!$D$13)^(9-1)</x:f>
        <x:v>3295.9024508908474</x:v>
      </x:c>
      <x:c r="P1128" s="10" t="n">
        <x:f>H1128*'Assumptions'!$R$126*'Assumptions'!$D$11*(1+'Assumptions'!$D$13)^(9-1)</x:f>
        <x:v>0</x:v>
      </x:c>
      <x:c r="Q1128" s="10" t="n">
        <x:f>J1128*'Assumptions'!$S$126</x:f>
        <x:v>0</x:v>
      </x:c>
      <x:c r="R1128" s="10" t="n">
        <x:f>H1128*'Assumptions'!$Y$126*'Assumptions'!$Z$126*'Assumptions'!$D$11*(1+'Assumptions'!$D$13)^(9-1)</x:f>
        <x:v>423.758886543109</x:v>
      </x:c>
      <x:c r="S1128" s="10" t="n">
        <x:f>IF(I1128=0,0,J1128*'Assumptions'!$W$126+H1128*'Assumptions'!$X$126)</x:f>
        <x:v>272.3606147357933</x:v>
      </x:c>
      <x:c r="T1128" s="10" t="n">
        <x:f>N1128*'Assumptions'!$AA$126</x:f>
        <x:v>418.2026829414785</x:v>
      </x:c>
      <x:c r="U1128" s="10" t="n">
        <x:f>'Assumptions'!$AE$126*'Assumptions'!$D$11*(1+'Assumptions'!$D$13)^(9-1)</x:f>
        <x:v>0</x:v>
      </x:c>
      <x:c r="V1128" s="10" t="n">
        <x:f>0</x:f>
        <x:v>0</x:v>
      </x:c>
      <x:c r="W1128" s="10" t="n">
        <x:f>H1128*('Assumptions'!$P$126+'Assumptions'!$Y$126)</x:f>
        <x:v>85.4882344185955</x:v>
      </x:c>
      <x:c r="X1128" s="10" t="n">
        <x:f>N1128/12*'Assumptions'!$AF$126</x:f>
        <x:v>0</x:v>
      </x:c>
      <x:c r="Y1128" s="10" t="n">
        <x:f>P1128/12</x:f>
        <x:v>0</x:v>
      </x:c>
      <x:c r="Z1128" s="10" t="n">
        <x:f>0</x:f>
        <x:v>0</x:v>
      </x:c>
      <x:c r="AA1128" s="10" t="n">
        <x:f>Z1128*'Assumptions'!$AC$126*'Assumptions'!$D$11*(1+'Assumptions'!$D$13)^(9-1)</x:f>
        <x:v>0</x:v>
      </x:c>
      <x:c r="AB1128" s="10" t="n">
        <x:f>F1128/1</x:f>
        <x:v>25.205634738892797</x:v>
      </x:c>
      <x:c r="AC1128" s="10" t="n">
        <x:f>AB1128/'Assumptions'!$AM$126</x:f>
        <x:v>504.11269477785595</x:v>
      </x:c>
      <x:c r="AD1128" s="10" t="n">
        <x:f>IF(AB1128=0,0,T1128/AB1128)</x:f>
        <x:v>16.591634659220997</x:v>
      </x:c>
      <x:c r="AE1128" s="10" t="n">
        <x:f>AA1128*'Assumptions'!$D$21</x:f>
        <x:v>0</x:v>
      </x:c>
    </x:row>
    <x:row r="1129" ht="16" customHeight="1">
      <x:c r="A1129" s="1"/>
      <x:c r="B1129" s="1"/>
      <x:c r="C1129" s="1" t="str">
        <x:v>DOT-098</x:v>
      </x:c>
      <x:c r="D1129" s="10" t="str">
        <x:v>Semajes premium and media</x:v>
      </x:c>
      <x:c r="E1129" s="10" t="n">
        <x:v>9</x:v>
      </x:c>
      <x:c r="F1129" s="21" t="n">
        <x:f>F1001*(1+'Assumptions'!$M$127)</x:f>
        <x:v>12.602817369446399</x:v>
      </x:c>
      <x:c r="G1129" s="21" t="n">
        <x:f>H1001*'Assumptions'!$K$127</x:f>
        <x:v>24.565980203855993</x:v>
      </x:c>
      <x:c r="H1129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1129+G1129,NA())</x:f>
        <x:v>37.16879757330239</x:v>
      </x:c>
      <x:c r="I1129" s="22" t="n">
        <x:f>'Assumptions'!$H$127*IF('Assumptions'!$O$127=1,1,'Assumptions'!$D$10)*(1+'Assumptions'!$N$127)^(9-1)</x:f>
        <x:v>291.7431858695642</x:v>
      </x:c>
      <x:c r="J1129" s="10" t="n">
        <x:f>H1129*I1129</x:f>
        <x:v>10843.743418976166</x:v>
      </x:c>
      <x:c r="K1129" s="10" t="n">
        <x:f>J1129*'Assumptions'!$T$127</x:f>
        <x:v>10843.743418976166</x:v>
      </x:c>
      <x:c r="L1129" s="10" t="n">
        <x:f>K1129*'Assumptions'!$U$127</x:f>
        <x:v>325.31230256928495</x:v>
      </x:c>
      <x:c r="M1129" s="10" t="n">
        <x:f>K1129*'Assumptions'!$V$127</x:f>
        <x:v>0</x:v>
      </x:c>
      <x:c r="N1129" s="10" t="n">
        <x:f>K1129-L1129-M1129</x:f>
        <x:v>10518.43111640688</x:v>
      </x:c>
      <x:c r="O1129" s="10" t="n">
        <x:f>H1129*'Assumptions'!$P$127*'Assumptions'!$Q$127*'Assumptions'!$D$11*(1+'Assumptions'!$D$13)^(9-1)</x:f>
        <x:v>4943.853676336272</x:v>
      </x:c>
      <x:c r="P1129" s="10" t="n">
        <x:f>H1129*'Assumptions'!$R$127*'Assumptions'!$D$11*(1+'Assumptions'!$D$13)^(9-1)</x:f>
        <x:v>0</x:v>
      </x:c>
      <x:c r="Q1129" s="10" t="n">
        <x:f>J1129*'Assumptions'!$S$127</x:f>
        <x:v>0</x:v>
      </x:c>
      <x:c r="R1129" s="10" t="n">
        <x:f>H1129*'Assumptions'!$Y$127*'Assumptions'!$Z$127*'Assumptions'!$D$11*(1+'Assumptions'!$D$13)^(9-1)</x:f>
        <x:v>211.8794432715545</x:v>
      </x:c>
      <x:c r="S1129" s="10" t="n">
        <x:f>IF(I1129=0,0,J1129*'Assumptions'!$W$127+H1129*'Assumptions'!$X$127)</x:f>
        <x:v>325.6191984222995</x:v>
      </x:c>
      <x:c r="T1129" s="10" t="n">
        <x:f>N1129*'Assumptions'!$AA$127</x:f>
        <x:v>525.921555820344</x:v>
      </x:c>
      <x:c r="U1129" s="10" t="n">
        <x:f>'Assumptions'!$AE$127*'Assumptions'!$D$11*(1+'Assumptions'!$D$13)^(9-1)</x:f>
        <x:v>0</x:v>
      </x:c>
      <x:c r="V1129" s="10" t="n">
        <x:f>0</x:f>
        <x:v>0</x:v>
      </x:c>
      <x:c r="W1129" s="10" t="n">
        <x:f>H1129*('Assumptions'!$P$127+'Assumptions'!$Y$127)</x:f>
        <x:v>117.08171235590252</x:v>
      </x:c>
      <x:c r="X1129" s="10" t="n">
        <x:f>N1129/12*'Assumptions'!$AF$127</x:f>
        <x:v>0</x:v>
      </x:c>
      <x:c r="Y1129" s="10" t="n">
        <x:f>P1129/12</x:f>
        <x:v>0</x:v>
      </x:c>
      <x:c r="Z1129" s="10" t="n">
        <x:f>0</x:f>
        <x:v>0</x:v>
      </x:c>
      <x:c r="AA1129" s="10" t="n">
        <x:f>Z1129*'Assumptions'!$AC$127*'Assumptions'!$D$11*(1+'Assumptions'!$D$13)^(9-1)</x:f>
        <x:v>0</x:v>
      </x:c>
      <x:c r="AB1129" s="10" t="n">
        <x:f>F1129/1</x:f>
        <x:v>12.602817369446399</x:v>
      </x:c>
      <x:c r="AC1129" s="10" t="n">
        <x:f>AB1129/'Assumptions'!$AM$127</x:f>
        <x:v>252.05634738892797</x:v>
      </x:c>
      <x:c r="AD1129" s="10" t="n">
        <x:f>IF(AB1129=0,0,T1129/AB1129)</x:f>
        <x:v>41.730475051980065</x:v>
      </x:c>
      <x:c r="AE1129" s="10" t="n">
        <x:f>AA1129*'Assumptions'!$D$21</x:f>
        <x:v>0</x:v>
      </x:c>
    </x:row>
    <x:row r="1130" ht="16" customHeight="1">
      <x:c r="A1130" s="1"/>
      <x:c r="B1130" s="1"/>
      <x:c r="C1130" s="1" t="str">
        <x:v>DOT-099</x:v>
      </x:c>
      <x:c r="D1130" s="10" t="str">
        <x:v>Semajes premium and media</x:v>
      </x:c>
      <x:c r="E1130" s="10" t="n">
        <x:v>9</x:v>
      </x:c>
      <x:c r="F1130" s="21" t="n">
        <x:f>F1002*(1+'Assumptions'!$M$128)</x:f>
        <x:v>42.00939123148801</x:v>
      </x:c>
      <x:c r="G1130" s="21" t="n">
        <x:f>H1002*'Assumptions'!$K$128</x:f>
        <x:v>81.88660067951999</x:v>
      </x:c>
      <x:c r="H1130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1130+G1130,NA())</x:f>
        <x:v>123.895991911008</x:v>
      </x:c>
      <x:c r="I1130" s="22" t="n">
        <x:f>'Assumptions'!$H$128*IF('Assumptions'!$O$128=1,1,'Assumptions'!$D$10)*(1+'Assumptions'!$N$128)^(9-1)</x:f>
        <x:v>33.9781220490657</x:v>
      </x:c>
      <x:c r="J1130" s="10" t="n">
        <x:f>H1130*I1130</x:f>
        <x:v>4209.753134542287</x:v>
      </x:c>
      <x:c r="K1130" s="10" t="n">
        <x:f>J1130*'Assumptions'!$T$128</x:f>
        <x:v>4209.753134542287</x:v>
      </x:c>
      <x:c r="L1130" s="10" t="n">
        <x:f>K1130*'Assumptions'!$U$128</x:f>
        <x:v>126.2925940362686</x:v>
      </x:c>
      <x:c r="M1130" s="10" t="n">
        <x:f>K1130*'Assumptions'!$V$128</x:f>
        <x:v>0</x:v>
      </x:c>
      <x:c r="N1130" s="10" t="n">
        <x:f>K1130-L1130-M1130</x:f>
        <x:v>4083.4605405060183</x:v>
      </x:c>
      <x:c r="O1130" s="10" t="n">
        <x:f>H1130*'Assumptions'!$P$128*'Assumptions'!$Q$128*'Assumptions'!$D$11*(1+'Assumptions'!$D$13)^(9-1)</x:f>
        <x:v>823.9756127227121</x:v>
      </x:c>
      <x:c r="P1130" s="10" t="n">
        <x:f>H1130*'Assumptions'!$R$128*'Assumptions'!$D$11*(1+'Assumptions'!$D$13)^(9-1)</x:f>
        <x:v>0</x:v>
      </x:c>
      <x:c r="Q1130" s="10" t="n">
        <x:f>J1130*'Assumptions'!$S$128</x:f>
        <x:v>0</x:v>
      </x:c>
      <x:c r="R1130" s="10" t="n">
        <x:f>H1130*'Assumptions'!$Y$128*'Assumptions'!$Z$128*'Assumptions'!$D$11*(1+'Assumptions'!$D$13)^(9-1)</x:f>
        <x:v>706.2648109051818</x:v>
      </x:c>
      <x:c r="S1130" s="10" t="n">
        <x:f>IF(I1130=0,0,J1130*'Assumptions'!$W$128+H1130*'Assumptions'!$X$128)</x:f>
        <x:v>159.2516384750287</x:v>
      </x:c>
      <x:c r="T1130" s="10" t="n">
        <x:f>N1130*'Assumptions'!$AA$128</x:f>
        <x:v>204.17302702530094</x:v>
      </x:c>
      <x:c r="U1130" s="10" t="n">
        <x:f>'Assumptions'!$AE$128*'Assumptions'!$D$11*(1+'Assumptions'!$D$13)^(9-1)</x:f>
        <x:v>0</x:v>
      </x:c>
      <x:c r="V1130" s="10" t="n">
        <x:f>0</x:f>
        <x:v>0</x:v>
      </x:c>
      <x:c r="W1130" s="10" t="n">
        <x:f>H1130*('Assumptions'!$P$128+'Assumptions'!$Y$128)</x:f>
        <x:v>37.1687975733024</x:v>
      </x:c>
      <x:c r="X1130" s="10" t="n">
        <x:f>N1130/12*'Assumptions'!$AF$128</x:f>
        <x:v>0</x:v>
      </x:c>
      <x:c r="Y1130" s="10" t="n">
        <x:f>P1130/12</x:f>
        <x:v>0</x:v>
      </x:c>
      <x:c r="Z1130" s="10" t="n">
        <x:f>0</x:f>
        <x:v>0</x:v>
      </x:c>
      <x:c r="AA1130" s="10" t="n">
        <x:f>Z1130*'Assumptions'!$AC$128*'Assumptions'!$D$11*(1+'Assumptions'!$D$13)^(9-1)</x:f>
        <x:v>0</x:v>
      </x:c>
      <x:c r="AB1130" s="10" t="n">
        <x:f>F1130/1</x:f>
        <x:v>42.00939123148801</x:v>
      </x:c>
      <x:c r="AC1130" s="10" t="n">
        <x:f>AB1130/'Assumptions'!$AM$128</x:f>
        <x:v>840.1878246297601</x:v>
      </x:c>
      <x:c r="AD1130" s="10" t="n">
        <x:f>IF(AB1130=0,0,T1130/AB1130)</x:f>
        <x:v>4.860175809266755</x:v>
      </x:c>
      <x:c r="AE1130" s="10" t="n">
        <x:f>AA1130*'Assumptions'!$D$21</x:f>
        <x:v>0</x:v>
      </x:c>
    </x:row>
    <x:row r="1131" ht="16" customHeight="1">
      <x:c r="A1131" s="1"/>
      <x:c r="B1131" s="1"/>
      <x:c r="C1131" s="1" t="str">
        <x:v>DOT-100</x:v>
      </x:c>
      <x:c r="D1131" s="10" t="str">
        <x:v>Semajes courses</x:v>
      </x:c>
      <x:c r="E1131" s="10" t="n">
        <x:v>9</x:v>
      </x:c>
      <x:c r="F1131" s="21" t="n">
        <x:f>F1003*(1+'Assumptions'!$M$129)</x:f>
        <x:v>354.33394976161117</x:v>
      </x:c>
      <x:c r="G1131" s="21" t="n">
        <x:f>H1003*'Assumptions'!$K$129</x:f>
        <x:v>113.51525642774996</x:v>
      </x:c>
      <x:c r="H1131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1131+G1131,NA())</x:f>
        <x:v>467.8492061893611</x:v>
      </x:c>
      <x:c r="I1131" s="22" t="n">
        <x:f>'Assumptions'!$H$129*IF('Assumptions'!$O$129=1,1,'Assumptions'!$D$10)*(1+'Assumptions'!$N$129)^(9-1)</x:f>
        <x:v>45.69471585908836</x:v>
      </x:c>
      <x:c r="J1131" s="10" t="n">
        <x:f>H1131*I1131</x:f>
        <x:v>21378.2365417229</x:v>
      </x:c>
      <x:c r="K1131" s="10" t="n">
        <x:f>J1131*'Assumptions'!$T$129</x:f>
        <x:v>21378.2365417229</x:v>
      </x:c>
      <x:c r="L1131" s="10" t="n">
        <x:f>K1131*'Assumptions'!$U$129</x:f>
        <x:v>641.347096251687</x:v>
      </x:c>
      <x:c r="M1131" s="10" t="n">
        <x:f>K1131*'Assumptions'!$V$129</x:f>
        <x:v>0</x:v>
      </x:c>
      <x:c r="N1131" s="10" t="n">
        <x:f>K1131-L1131-M1131</x:f>
        <x:v>20736.889445471214</x:v>
      </x:c>
      <x:c r="O1131" s="10" t="n">
        <x:f>H1131*'Assumptions'!$P$129*'Assumptions'!$Q$129*'Assumptions'!$D$11*(1+'Assumptions'!$D$13)^(9-1)</x:f>
        <x:v>3111.45122925855</x:v>
      </x:c>
      <x:c r="P1131" s="10" t="n">
        <x:f>H1131*'Assumptions'!$R$129*'Assumptions'!$D$11*(1+'Assumptions'!$D$13)^(9-1)</x:f>
        <x:v>0</x:v>
      </x:c>
      <x:c r="Q1131" s="10" t="n">
        <x:f>J1131*'Assumptions'!$S$129</x:f>
        <x:v>0</x:v>
      </x:c>
      <x:c r="R1131" s="10" t="n">
        <x:f>H1131*'Assumptions'!$Y$129*'Assumptions'!$Z$129*'Assumptions'!$D$11*(1+'Assumptions'!$D$13)^(9-1)</x:f>
        <x:v>1777.9721310048863</x:v>
      </x:c>
      <x:c r="S1131" s="10" t="n">
        <x:f>IF(I1131=0,0,J1131*'Assumptions'!$W$129+H1131*'Assumptions'!$X$129)</x:f>
        <x:v>760.3236215667724</x:v>
      </x:c>
      <x:c r="T1131" s="10" t="n">
        <x:f>N1131*'Assumptions'!$AA$129</x:f>
        <x:v>1036.8444722735608</x:v>
      </x:c>
      <x:c r="U1131" s="10" t="n">
        <x:f>'Assumptions'!$AE$129*'Assumptions'!$D$11*(1+'Assumptions'!$D$13)^(9-1)</x:f>
        <x:v>0</x:v>
      </x:c>
      <x:c r="V1131" s="10" t="n">
        <x:f>0</x:f>
        <x:v>0</x:v>
      </x:c>
      <x:c r="W1131" s="10" t="n">
        <x:f>H1131*('Assumptions'!$P$129+'Assumptions'!$Y$129)</x:f>
        <x:v>116.96230154734027</x:v>
      </x:c>
      <x:c r="X1131" s="10" t="n">
        <x:f>N1131/12*'Assumptions'!$AF$129</x:f>
        <x:v>0</x:v>
      </x:c>
      <x:c r="Y1131" s="10" t="n">
        <x:f>P1131/12</x:f>
        <x:v>0</x:v>
      </x:c>
      <x:c r="Z1131" s="10" t="n">
        <x:f>0</x:f>
        <x:v>0</x:v>
      </x:c>
      <x:c r="AA1131" s="10" t="n">
        <x:f>Z1131*'Assumptions'!$AC$129*'Assumptions'!$D$11*(1+'Assumptions'!$D$13)^(9-1)</x:f>
        <x:v>0</x:v>
      </x:c>
      <x:c r="AB1131" s="10" t="n">
        <x:f>F1131/1</x:f>
        <x:v>354.33394976161117</x:v>
      </x:c>
      <x:c r="AC1131" s="10" t="n">
        <x:f>AB1131/'Assumptions'!$AM$129</x:f>
        <x:v>7086.678995232223</x:v>
      </x:c>
      <x:c r="AD1131" s="10" t="n">
        <x:f>IF(AB1131=0,0,T1131/AB1131)</x:f>
        <x:v>2.9261787445745155</x:v>
      </x:c>
      <x:c r="AE1131" s="10" t="n">
        <x:f>AA1131*'Assumptions'!$D$21</x:f>
        <x:v>0</x:v>
      </x:c>
    </x:row>
    <x:row r="1132" ht="16" customHeight="1">
      <x:c r="A1132" s="1"/>
      <x:c r="B1132" s="1"/>
      <x:c r="C1132" s="1" t="str">
        <x:v>DOT-101</x:v>
      </x:c>
      <x:c r="D1132" s="10" t="str">
        <x:v>Sleepy Face</x:v>
      </x:c>
      <x:c r="E1132" s="10" t="n">
        <x:v>9</x:v>
      </x:c>
      <x:c r="F1132" s="21" t="n">
        <x:f>F1004*(1+'Assumptions'!$M$130)</x:f>
        <x:v>297.5296636007745</x:v>
      </x:c>
      <x:c r="G1132" s="21" t="n">
        <x:f>H1004*'Assumptions'!$K$130</x:f>
        <x:v>122.16870121073362</x:v>
      </x:c>
      <x:c r="H1132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1132+G1132,NA())</x:f>
        <x:v>419.6983648115081</x:v>
      </x:c>
      <x:c r="I1132" s="22" t="n">
        <x:f>'Assumptions'!$H$130*IF('Assumptions'!$O$130=1,1,'Assumptions'!$D$10)*(1+'Assumptions'!$N$130)^(9-1)</x:f>
        <x:v>111.30764119521524</x:v>
      </x:c>
      <x:c r="J1132" s="10" t="n">
        <x:f>H1132*I1132</x:f>
        <x:v>46715.635000657894</x:v>
      </x:c>
      <x:c r="K1132" s="10" t="n">
        <x:f>J1132*'Assumptions'!$T$130</x:f>
        <x:v>46715.635000657894</x:v>
      </x:c>
      <x:c r="L1132" s="10" t="n">
        <x:f>K1132*'Assumptions'!$U$130</x:f>
        <x:v>3737.250800052632</x:v>
      </x:c>
      <x:c r="M1132" s="10" t="n">
        <x:f>K1132*'Assumptions'!$V$130</x:f>
        <x:v>934.312700013158</x:v>
      </x:c>
      <x:c r="N1132" s="10" t="n">
        <x:f>K1132-L1132-M1132</x:f>
        <x:v>42044.07150059211</x:v>
      </x:c>
      <x:c r="O1132" s="10" t="n">
        <x:f>H1132*'Assumptions'!$P$130*'Assumptions'!$Q$130*'Assumptions'!$D$11*(1+'Assumptions'!$D$13)^(9-1)</x:f>
        <x:v>2791.221991690249</x:v>
      </x:c>
      <x:c r="P1132" s="10" t="n">
        <x:f>H1132*'Assumptions'!$R$130*'Assumptions'!$D$11*(1+'Assumptions'!$D$13)^(9-1)</x:f>
        <x:v>15949.839952515707</x:v>
      </x:c>
      <x:c r="Q1132" s="10" t="n">
        <x:f>J1132*'Assumptions'!$S$130</x:f>
        <x:v>0</x:v>
      </x:c>
      <x:c r="R1132" s="10" t="n">
        <x:f>H1132*'Assumptions'!$Y$130*'Assumptions'!$Z$130*'Assumptions'!$D$11*(1+'Assumptions'!$D$13)^(9-1)</x:f>
        <x:v>2392.475992877356</x:v>
      </x:c>
      <x:c r="S1132" s="10" t="n">
        <x:f>IF(I1132=0,0,J1132*'Assumptions'!$W$130+H1132*'Assumptions'!$X$130)</x:f>
        <x:v>1480.6629244625315</x:v>
      </x:c>
      <x:c r="T1132" s="10" t="n">
        <x:f>N1132*'Assumptions'!$AA$130</x:f>
        <x:v>3363.525720047369</x:v>
      </x:c>
      <x:c r="U1132" s="10" t="n">
        <x:f>'Assumptions'!$AE$130*'Assumptions'!$D$11*(1+'Assumptions'!$D$13)^(9-1)</x:f>
        <x:v>0</x:v>
      </x:c>
      <x:c r="V1132" s="10" t="n">
        <x:f>0</x:f>
        <x:v>0</x:v>
      </x:c>
      <x:c r="W1132" s="10" t="n">
        <x:f>H1132*('Assumptions'!$P$130+'Assumptions'!$Y$130)</x:f>
        <x:v>125.90950944345242</x:v>
      </x:c>
      <x:c r="X1132" s="10" t="n">
        <x:f>N1132/12*'Assumptions'!$AF$130</x:f>
        <x:v>0</x:v>
      </x:c>
      <x:c r="Y1132" s="10" t="n">
        <x:f>P1132/12</x:f>
        <x:v>1329.1533293763089</x:v>
      </x:c>
      <x:c r="Z1132" s="10" t="n">
        <x:f>0</x:f>
        <x:v>0</x:v>
      </x:c>
      <x:c r="AA1132" s="10" t="n">
        <x:f>Z1132*'Assumptions'!$AC$130*'Assumptions'!$D$11*(1+'Assumptions'!$D$13)^(9-1)</x:f>
        <x:v>0</x:v>
      </x:c>
      <x:c r="AB1132" s="10" t="n">
        <x:f>F1132/1</x:f>
        <x:v>297.5296636007745</x:v>
      </x:c>
      <x:c r="AC1132" s="10" t="n">
        <x:f>AB1132/'Assumptions'!$AM$130</x:f>
        <x:v>9917.65545335915</x:v>
      </x:c>
      <x:c r="AD1132" s="10" t="n">
        <x:f>IF(AB1132=0,0,T1132/AB1132)</x:f>
        <x:v>11.304841605845896</x:v>
      </x:c>
      <x:c r="AE1132" s="10" t="n">
        <x:f>AA1132*'Assumptions'!$D$21</x:f>
        <x:v>0</x:v>
      </x:c>
    </x:row>
    <x:row r="1133" ht="16" customHeight="1">
      <x:c r="A1133" s="1"/>
      <x:c r="B1133" s="1"/>
      <x:c r="C1133" s="1" t="str">
        <x:v>DOT-102</x:v>
      </x:c>
      <x:c r="D1133" s="10" t="str">
        <x:v>Sleepy Face</x:v>
      </x:c>
      <x:c r="E1133" s="10" t="n">
        <x:v>9</x:v>
      </x:c>
      <x:c r="F1133" s="21" t="n">
        <x:f>F1005*(1+'Assumptions'!$M$131)</x:f>
        <x:v>446.2944954011616</x:v>
      </x:c>
      <x:c r="G1133" s="21" t="n">
        <x:f>H1005*'Assumptions'!$K$131</x:f>
        <x:v>183.2530518161004</x:v>
      </x:c>
      <x:c r="H1133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1133+G1133,NA())</x:f>
        <x:v>629.547547217262</x:v>
      </x:c>
      <x:c r="I1133" s="22" t="n">
        <x:f>'Assumptions'!$H$131*IF('Assumptions'!$O$131=1,1,'Assumptions'!$D$10)*(1+'Assumptions'!$N$131)^(9-1)</x:f>
        <x:v>193.32379786537385</x:v>
      </x:c>
      <x:c r="J1133" s="10" t="n">
        <x:f>H1133*I1133</x:f>
        <x:v>121706.52276487186</x:v>
      </x:c>
      <x:c r="K1133" s="10" t="n">
        <x:f>J1133*'Assumptions'!$T$131</x:f>
        <x:v>121706.52276487186</x:v>
      </x:c>
      <x:c r="L1133" s="10" t="n">
        <x:f>K1133*'Assumptions'!$U$131</x:f>
        <x:v>9736.521821189748</x:v>
      </x:c>
      <x:c r="M1133" s="10" t="n">
        <x:f>K1133*'Assumptions'!$V$131</x:f>
        <x:v>2434.130455297437</x:v>
      </x:c>
      <x:c r="N1133" s="10" t="n">
        <x:f>K1133-L1133-M1133</x:f>
        <x:v>109535.87048838468</x:v>
      </x:c>
      <x:c r="O1133" s="10" t="n">
        <x:f>H1133*'Assumptions'!$P$131*'Assumptions'!$Q$131*'Assumptions'!$D$11*(1+'Assumptions'!$D$13)^(9-1)</x:f>
        <x:v>4186.832987535373</x:v>
      </x:c>
      <x:c r="P1133" s="10" t="n">
        <x:f>H1133*'Assumptions'!$R$131*'Assumptions'!$D$11*(1+'Assumptions'!$D$13)^(9-1)</x:f>
        <x:v>47849.519857547115</x:v>
      </x:c>
      <x:c r="Q1133" s="10" t="n">
        <x:f>J1133*'Assumptions'!$S$131</x:f>
        <x:v>0</x:v>
      </x:c>
      <x:c r="R1133" s="10" t="n">
        <x:f>H1133*'Assumptions'!$Y$131*'Assumptions'!$Z$131*'Assumptions'!$D$11*(1+'Assumptions'!$D$13)^(9-1)</x:f>
        <x:v>3588.713989316034</x:v>
      </x:c>
      <x:c r="S1133" s="10" t="n">
        <x:f>IF(I1133=0,0,J1133*'Assumptions'!$W$131+H1133*'Assumptions'!$X$131)</x:f>
        <x:v>3718.353424346463</x:v>
      </x:c>
      <x:c r="T1133" s="10" t="n">
        <x:f>N1133*'Assumptions'!$AA$131</x:f>
        <x:v>8762.869639070776</x:v>
      </x:c>
      <x:c r="U1133" s="10" t="n">
        <x:f>'Assumptions'!$AE$131*'Assumptions'!$D$11*(1+'Assumptions'!$D$13)^(9-1)</x:f>
        <x:v>0</x:v>
      </x:c>
      <x:c r="V1133" s="10" t="n">
        <x:f>0</x:f>
        <x:v>0</x:v>
      </x:c>
      <x:c r="W1133" s="10" t="n">
        <x:f>H1133*('Assumptions'!$P$131+'Assumptions'!$Y$131)</x:f>
        <x:v>188.8642641651786</x:v>
      </x:c>
      <x:c r="X1133" s="10" t="n">
        <x:f>N1133/12*'Assumptions'!$AF$131</x:f>
        <x:v>0</x:v>
      </x:c>
      <x:c r="Y1133" s="10" t="n">
        <x:f>P1133/12</x:f>
        <x:v>3987.4599881289264</x:v>
      </x:c>
      <x:c r="Z1133" s="10" t="n">
        <x:f>0</x:f>
        <x:v>0</x:v>
      </x:c>
      <x:c r="AA1133" s="10" t="n">
        <x:f>Z1133*'Assumptions'!$AC$131*'Assumptions'!$D$11*(1+'Assumptions'!$D$13)^(9-1)</x:f>
        <x:v>0</x:v>
      </x:c>
      <x:c r="AB1133" s="10" t="n">
        <x:f>F1133/1</x:f>
        <x:v>446.2944954011616</x:v>
      </x:c>
      <x:c r="AC1133" s="10" t="n">
        <x:f>AB1133/'Assumptions'!$AM$131</x:f>
        <x:v>14876.48318003872</x:v>
      </x:c>
      <x:c r="AD1133" s="10" t="n">
        <x:f>IF(AB1133=0,0,T1133/AB1133)</x:f>
        <x:v>19.634724894363927</x:v>
      </x:c>
      <x:c r="AE1133" s="10" t="n">
        <x:f>AA1133*'Assumptions'!$D$21</x:f>
        <x:v>0</x:v>
      </x:c>
    </x:row>
    <x:row r="1134" ht="16" customHeight="1">
      <x:c r="A1134" s="1"/>
      <x:c r="B1134" s="1"/>
      <x:c r="C1134" s="1" t="str">
        <x:v>DOT-103</x:v>
      </x:c>
      <x:c r="D1134" s="10" t="str">
        <x:v>Sleepy Face</x:v>
      </x:c>
      <x:c r="E1134" s="10" t="n">
        <x:v>9</x:v>
      </x:c>
      <x:c r="F1134" s="21" t="n">
        <x:f>F1006*(1+'Assumptions'!$M$132)</x:f>
        <x:v>99.17655453359147</x:v>
      </x:c>
      <x:c r="G1134" s="21" t="n">
        <x:f>H1006*'Assumptions'!$K$132</x:f>
        <x:v>40.72290040357786</x:v>
      </x:c>
      <x:c r="H1134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1134+G1134,NA())</x:f>
        <x:v>139.89945493716934</x:v>
      </x:c>
      <x:c r="I1134" s="22" t="n">
        <x:f>'Assumptions'!$H$132*IF('Assumptions'!$O$132=1,1,'Assumptions'!$D$10)*(1+'Assumptions'!$N$132)^(9-1)</x:f>
        <x:v>263.62336072550977</x:v>
      </x:c>
      <x:c r="J1134" s="10" t="n">
        <x:f>H1134*I1134</x:f>
        <x:v>36880.76447420359</x:v>
      </x:c>
      <x:c r="K1134" s="10" t="n">
        <x:f>J1134*'Assumptions'!$T$132</x:f>
        <x:v>36880.76447420359</x:v>
      </x:c>
      <x:c r="L1134" s="10" t="n">
        <x:f>K1134*'Assumptions'!$U$132</x:f>
        <x:v>2950.4611579362872</x:v>
      </x:c>
      <x:c r="M1134" s="10" t="n">
        <x:f>K1134*'Assumptions'!$V$132</x:f>
        <x:v>737.6152894840718</x:v>
      </x:c>
      <x:c r="N1134" s="10" t="n">
        <x:f>K1134-L1134-M1134</x:f>
        <x:v>33192.68802678323</x:v>
      </x:c>
      <x:c r="O1134" s="10" t="n">
        <x:f>H1134*'Assumptions'!$P$132*'Assumptions'!$Q$132*'Assumptions'!$D$11*(1+'Assumptions'!$D$13)^(9-1)</x:f>
        <x:v>930.4073305634162</x:v>
      </x:c>
      <x:c r="P1134" s="10" t="n">
        <x:f>H1134*'Assumptions'!$R$132*'Assumptions'!$D$11*(1+'Assumptions'!$D$13)^(9-1)</x:f>
        <x:v>15949.839952515706</x:v>
      </x:c>
      <x:c r="Q1134" s="10" t="n">
        <x:f>J1134*'Assumptions'!$S$132</x:f>
        <x:v>0</x:v>
      </x:c>
      <x:c r="R1134" s="10" t="n">
        <x:f>H1134*'Assumptions'!$Y$132*'Assumptions'!$Z$132*'Assumptions'!$D$11*(1+'Assumptions'!$D$13)^(9-1)</x:f>
        <x:v>797.4919976257853</x:v>
      </x:c>
      <x:c r="S1134" s="10" t="n">
        <x:f>IF(I1134=0,0,J1134*'Assumptions'!$W$132+H1134*'Assumptions'!$X$132)</x:f>
        <x:v>1111.512006233055</x:v>
      </x:c>
      <x:c r="T1134" s="10" t="n">
        <x:f>N1134*'Assumptions'!$AA$132</x:f>
        <x:v>2655.4150421426584</x:v>
      </x:c>
      <x:c r="U1134" s="10" t="n">
        <x:f>'Assumptions'!$AE$132*'Assumptions'!$D$11*(1+'Assumptions'!$D$13)^(9-1)</x:f>
        <x:v>0</x:v>
      </x:c>
      <x:c r="V1134" s="10" t="n">
        <x:f>0</x:f>
        <x:v>0</x:v>
      </x:c>
      <x:c r="W1134" s="10" t="n">
        <x:f>H1134*('Assumptions'!$P$132+'Assumptions'!$Y$132)</x:f>
        <x:v>41.9698364811508</x:v>
      </x:c>
      <x:c r="X1134" s="10" t="n">
        <x:f>N1134/12*'Assumptions'!$AF$132</x:f>
        <x:v>0</x:v>
      </x:c>
      <x:c r="Y1134" s="10" t="n">
        <x:f>P1134/12</x:f>
        <x:v>1329.1533293763089</x:v>
      </x:c>
      <x:c r="Z1134" s="10" t="n">
        <x:f>0</x:f>
        <x:v>0</x:v>
      </x:c>
      <x:c r="AA1134" s="10" t="n">
        <x:f>Z1134*'Assumptions'!$AC$132*'Assumptions'!$D$11*(1+'Assumptions'!$D$13)^(9-1)</x:f>
        <x:v>0</x:v>
      </x:c>
      <x:c r="AB1134" s="10" t="n">
        <x:f>F1134/1</x:f>
        <x:v>99.17655453359147</x:v>
      </x:c>
      <x:c r="AC1134" s="10" t="n">
        <x:f>AB1134/'Assumptions'!$AM$132</x:f>
        <x:v>3305.885151119716</x:v>
      </x:c>
      <x:c r="AD1134" s="10" t="n">
        <x:f>IF(AB1134=0,0,T1134/AB1134)</x:f>
        <x:v>26.7746248559508</x:v>
      </x:c>
      <x:c r="AE1134" s="10" t="n">
        <x:f>AA1134*'Assumptions'!$D$21</x:f>
        <x:v>0</x:v>
      </x:c>
    </x:row>
    <x:row r="1135" ht="16" customHeight="1">
      <x:c r="A1135" s="1"/>
      <x:c r="B1135" s="1"/>
      <x:c r="C1135" s="1" t="str">
        <x:v>DOT-104</x:v>
      </x:c>
      <x:c r="D1135" s="10" t="str">
        <x:v>Sleepy Face</x:v>
      </x:c>
      <x:c r="E1135" s="10" t="n">
        <x:v>9</x:v>
      </x:c>
      <x:c r="F1135" s="21" t="n">
        <x:f>F1007*(1+'Assumptions'!$M$133)</x:f>
        <x:v>297.5296636007745</x:v>
      </x:c>
      <x:c r="G1135" s="21" t="n">
        <x:f>H1007*'Assumptions'!$K$133</x:f>
        <x:v>122.16870121073362</x:v>
      </x:c>
      <x:c r="H1135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1135+G1135,NA())</x:f>
        <x:v>419.6983648115081</x:v>
      </x:c>
      <x:c r="I1135" s="22" t="n">
        <x:f>'Assumptions'!$H$133*IF('Assumptions'!$O$133=1,1,'Assumptions'!$D$10)*(1+'Assumptions'!$N$133)^(9-1)</x:f>
        <x:v>111.30764119521524</x:v>
      </x:c>
      <x:c r="J1135" s="10" t="n">
        <x:f>H1135*I1135</x:f>
        <x:v>46715.635000657894</x:v>
      </x:c>
      <x:c r="K1135" s="10" t="n">
        <x:f>J1135*'Assumptions'!$T$133</x:f>
        <x:v>46715.635000657894</x:v>
      </x:c>
      <x:c r="L1135" s="10" t="n">
        <x:f>K1135*'Assumptions'!$U$133</x:f>
        <x:v>3737.250800052632</x:v>
      </x:c>
      <x:c r="M1135" s="10" t="n">
        <x:f>K1135*'Assumptions'!$V$133</x:f>
        <x:v>934.312700013158</x:v>
      </x:c>
      <x:c r="N1135" s="10" t="n">
        <x:f>K1135-L1135-M1135</x:f>
        <x:v>42044.07150059211</x:v>
      </x:c>
      <x:c r="O1135" s="10" t="n">
        <x:f>H1135*'Assumptions'!$P$133*'Assumptions'!$Q$133*'Assumptions'!$D$11*(1+'Assumptions'!$D$13)^(9-1)</x:f>
        <x:v>2791.221991690249</x:v>
      </x:c>
      <x:c r="P1135" s="10" t="n">
        <x:f>H1135*'Assumptions'!$R$133*'Assumptions'!$D$11*(1+'Assumptions'!$D$13)^(9-1)</x:f>
        <x:v>18608.146611268327</x:v>
      </x:c>
      <x:c r="Q1135" s="10" t="n">
        <x:f>J1135*'Assumptions'!$S$133</x:f>
        <x:v>0</x:v>
      </x:c>
      <x:c r="R1135" s="10" t="n">
        <x:f>H1135*'Assumptions'!$Y$133*'Assumptions'!$Z$133*'Assumptions'!$D$11*(1+'Assumptions'!$D$13)^(9-1)</x:f>
        <x:v>2392.475992877356</x:v>
      </x:c>
      <x:c r="S1135" s="10" t="n">
        <x:f>IF(I1135=0,0,J1135*'Assumptions'!$W$133+H1135*'Assumptions'!$X$133)</x:f>
        <x:v>1480.6629244625315</x:v>
      </x:c>
      <x:c r="T1135" s="10" t="n">
        <x:f>N1135*'Assumptions'!$AA$133</x:f>
        <x:v>3363.525720047369</x:v>
      </x:c>
      <x:c r="U1135" s="10" t="n">
        <x:f>'Assumptions'!$AE$133*'Assumptions'!$D$11*(1+'Assumptions'!$D$13)^(9-1)</x:f>
        <x:v>0</x:v>
      </x:c>
      <x:c r="V1135" s="10" t="n">
        <x:f>0</x:f>
        <x:v>0</x:v>
      </x:c>
      <x:c r="W1135" s="10" t="n">
        <x:f>H1135*('Assumptions'!$P$133+'Assumptions'!$Y$133)</x:f>
        <x:v>125.90950944345242</x:v>
      </x:c>
      <x:c r="X1135" s="10" t="n">
        <x:f>N1135/12*'Assumptions'!$AF$133</x:f>
        <x:v>0</x:v>
      </x:c>
      <x:c r="Y1135" s="10" t="n">
        <x:f>P1135/12</x:f>
        <x:v>1550.6788842723606</x:v>
      </x:c>
      <x:c r="Z1135" s="10" t="n">
        <x:f>0</x:f>
        <x:v>0</x:v>
      </x:c>
      <x:c r="AA1135" s="10" t="n">
        <x:f>Z1135*'Assumptions'!$AC$133*'Assumptions'!$D$11*(1+'Assumptions'!$D$13)^(9-1)</x:f>
        <x:v>0</x:v>
      </x:c>
      <x:c r="AB1135" s="10" t="n">
        <x:f>F1135/1</x:f>
        <x:v>297.5296636007745</x:v>
      </x:c>
      <x:c r="AC1135" s="10" t="n">
        <x:f>AB1135/'Assumptions'!$AM$133</x:f>
        <x:v>9917.65545335915</x:v>
      </x:c>
      <x:c r="AD1135" s="10" t="n">
        <x:f>IF(AB1135=0,0,T1135/AB1135)</x:f>
        <x:v>11.304841605845896</x:v>
      </x:c>
      <x:c r="AE1135" s="10" t="n">
        <x:f>AA1135*'Assumptions'!$D$21</x:f>
        <x:v>0</x:v>
      </x:c>
    </x:row>
    <x:row r="1136" ht="16" customHeight="1">
      <x:c r="A1136" s="1"/>
      <x:c r="B1136" s="1"/>
      <x:c r="C1136" s="1" t="str">
        <x:v>DOT-105</x:v>
      </x:c>
      <x:c r="D1136" s="10" t="str">
        <x:v>Sleepy Face</x:v>
      </x:c>
      <x:c r="E1136" s="10" t="n">
        <x:v>9</x:v>
      </x:c>
      <x:c r="F1136" s="21" t="n">
        <x:f>F1008*(1+'Assumptions'!$M$134)</x:f>
        <x:v>148.76483180038724</x:v>
      </x:c>
      <x:c r="G1136" s="21" t="n">
        <x:f>H1008*'Assumptions'!$K$134</x:f>
        <x:v>61.08435060536681</x:v>
      </x:c>
      <x:c r="H1136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1136+G1136,NA())</x:f>
        <x:v>209.84918240575405</x:v>
      </x:c>
      <x:c r="I1136" s="22" t="n">
        <x:f>'Assumptions'!$H$134*IF('Assumptions'!$O$134=1,1,'Assumptions'!$D$10)*(1+'Assumptions'!$N$134)^(9-1)</x:f>
        <x:v>205.0403916753965</x:v>
      </x:c>
      <x:c r="J1136" s="10" t="n">
        <x:f>H1136*I1136</x:f>
        <x:v>43027.55855323753</x:v>
      </x:c>
      <x:c r="K1136" s="10" t="n">
        <x:f>J1136*'Assumptions'!$T$134</x:f>
        <x:v>43027.55855323753</x:v>
      </x:c>
      <x:c r="L1136" s="10" t="n">
        <x:f>K1136*'Assumptions'!$U$134</x:f>
        <x:v>3442.2046842590025</x:v>
      </x:c>
      <x:c r="M1136" s="10" t="n">
        <x:f>K1136*'Assumptions'!$V$134</x:f>
        <x:v>860.5511710647506</x:v>
      </x:c>
      <x:c r="N1136" s="10" t="n">
        <x:f>K1136-L1136-M1136</x:f>
        <x:v>38724.80269791379</x:v>
      </x:c>
      <x:c r="O1136" s="10" t="n">
        <x:f>H1136*'Assumptions'!$P$134*'Assumptions'!$Q$134*'Assumptions'!$D$11*(1+'Assumptions'!$D$13)^(9-1)</x:f>
        <x:v>1395.6109958451245</x:v>
      </x:c>
      <x:c r="P1136" s="10" t="n">
        <x:f>H1136*'Assumptions'!$R$134*'Assumptions'!$D$11*(1+'Assumptions'!$D$13)^(9-1)</x:f>
        <x:v>17278.993281892017</x:v>
      </x:c>
      <x:c r="Q1136" s="10" t="n">
        <x:f>J1136*'Assumptions'!$S$134</x:f>
        <x:v>0</x:v>
      </x:c>
      <x:c r="R1136" s="10" t="n">
        <x:f>H1136*'Assumptions'!$Y$134*'Assumptions'!$Z$134*'Assumptions'!$D$11*(1+'Assumptions'!$D$13)^(9-1)</x:f>
        <x:v>1196.237996438678</x:v>
      </x:c>
      <x:c r="S1136" s="10" t="n">
        <x:f>IF(I1136=0,0,J1136*'Assumptions'!$W$134+H1136*'Assumptions'!$X$134)</x:f>
        <x:v>1310.7539527656147</x:v>
      </x:c>
      <x:c r="T1136" s="10" t="n">
        <x:f>N1136*'Assumptions'!$AA$134</x:f>
        <x:v>3097.984215833103</x:v>
      </x:c>
      <x:c r="U1136" s="10" t="n">
        <x:f>'Assumptions'!$AE$134*'Assumptions'!$D$11*(1+'Assumptions'!$D$13)^(9-1)</x:f>
        <x:v>0</x:v>
      </x:c>
      <x:c r="V1136" s="10" t="n">
        <x:f>0</x:f>
        <x:v>0</x:v>
      </x:c>
      <x:c r="W1136" s="10" t="n">
        <x:f>H1136*('Assumptions'!$P$134+'Assumptions'!$Y$134)</x:f>
        <x:v>62.95475472172621</x:v>
      </x:c>
      <x:c r="X1136" s="10" t="n">
        <x:f>N1136/12*'Assumptions'!$AF$134</x:f>
        <x:v>0</x:v>
      </x:c>
      <x:c r="Y1136" s="10" t="n">
        <x:f>P1136/12</x:f>
        <x:v>1439.9161068243347</x:v>
      </x:c>
      <x:c r="Z1136" s="10" t="n">
        <x:f>0</x:f>
        <x:v>0</x:v>
      </x:c>
      <x:c r="AA1136" s="10" t="n">
        <x:f>Z1136*'Assumptions'!$AC$134*'Assumptions'!$D$11*(1+'Assumptions'!$D$13)^(9-1)</x:f>
        <x:v>0</x:v>
      </x:c>
      <x:c r="AB1136" s="10" t="n">
        <x:f>F1136/1</x:f>
        <x:v>148.76483180038724</x:v>
      </x:c>
      <x:c r="AC1136" s="10" t="n">
        <x:f>AB1136/'Assumptions'!$AM$134</x:f>
        <x:v>4958.827726679575</x:v>
      </x:c>
      <x:c r="AD1136" s="10" t="n">
        <x:f>IF(AB1136=0,0,T1136/AB1136)</x:f>
        <x:v>20.824708221295072</x:v>
      </x:c>
      <x:c r="AE1136" s="10" t="n">
        <x:f>AA1136*'Assumptions'!$D$21</x:f>
        <x:v>0</x:v>
      </x:c>
    </x:row>
    <x:row r="1137" ht="16" customHeight="1">
      <x:c r="A1137" s="1"/>
      <x:c r="B1137" s="1"/>
      <x:c r="C1137" s="1" t="str">
        <x:v>DOT-106</x:v>
      </x:c>
      <x:c r="D1137" s="10" t="str">
        <x:v>QzoticMusic</x:v>
      </x:c>
      <x:c r="E1137" s="10" t="n">
        <x:v>9</x:v>
      </x:c>
      <x:c r="F1137" s="21" t="n">
        <x:f>F1009*(1+'Assumptions'!$M$135)</x:f>
        <x:v>885.834874404028</x:v>
      </x:c>
      <x:c r="G1137" s="21" t="n">
        <x:f>H1009*'Assumptions'!$K$135</x:f>
        <x:v>283.78585225101557</x:v>
      </x:c>
      <x:c r="H1137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1137+G1137,NA())</x:f>
        <x:v>1169.6207266550437</x:v>
      </x:c>
      <x:c r="I1137" s="22" t="n">
        <x:f>'Assumptions'!$H$135*IF('Assumptions'!$O$135=1,1,'Assumptions'!$D$10)*(1+'Assumptions'!$N$135)^(9-1)</x:f>
        <x:v>5.858296905011329</x:v>
      </x:c>
      <x:c r="J1137" s="10" t="n">
        <x:f>H1137*I1137</x:f>
        <x:v>6851.985483000344</x:v>
      </x:c>
      <x:c r="K1137" s="10" t="n">
        <x:f>J1137*'Assumptions'!$T$135</x:f>
        <x:v>6851.985483000344</x:v>
      </x:c>
      <x:c r="L1137" s="10" t="n">
        <x:f>K1137*'Assumptions'!$U$135</x:f>
        <x:v>205.55956449001033</x:v>
      </x:c>
      <x:c r="M1137" s="10" t="n">
        <x:f>K1137*'Assumptions'!$V$135</x:f>
        <x:v>0</x:v>
      </x:c>
      <x:c r="N1137" s="10" t="n">
        <x:f>K1137-L1137-M1137</x:f>
        <x:v>6646.425918510334</x:v>
      </x:c>
      <x:c r="O1137" s="10" t="n">
        <x:f>H1137*'Assumptions'!$P$135*'Assumptions'!$Q$135*'Assumptions'!$D$11*(1+'Assumptions'!$D$13)^(9-1)</x:f>
        <x:v>1037.1483801682168</x:v>
      </x:c>
      <x:c r="P1137" s="10" t="n">
        <x:f>H1137*'Assumptions'!$R$135*'Assumptions'!$D$11*(1+'Assumptions'!$D$13)^(9-1)</x:f>
        <x:v>0</x:v>
      </x:c>
      <x:c r="Q1137" s="10" t="n">
        <x:f>J1137*'Assumptions'!$S$135</x:f>
        <x:v>0</x:v>
      </x:c>
      <x:c r="R1137" s="10" t="n">
        <x:f>H1137*'Assumptions'!$Y$135*'Assumptions'!$Z$135*'Assumptions'!$D$11*(1+'Assumptions'!$D$13)^(9-1)</x:f>
        <x:v>4444.921629292358</x:v>
      </x:c>
      <x:c r="S1137" s="10" t="n">
        <x:f>IF(I1137=0,0,J1137*'Assumptions'!$W$135+H1137*'Assumptions'!$X$135)</x:f>
        <x:v>549.5937970035232</x:v>
      </x:c>
      <x:c r="T1137" s="10" t="n">
        <x:f>N1137*'Assumptions'!$AA$135</x:f>
        <x:v>332.3212959255167</x:v>
      </x:c>
      <x:c r="U1137" s="10" t="n">
        <x:f>'Assumptions'!$AE$135*'Assumptions'!$D$11*(1+'Assumptions'!$D$13)^(9-1)</x:f>
        <x:v>0</x:v>
      </x:c>
      <x:c r="V1137" s="10" t="n">
        <x:f>0</x:f>
        <x:v>0</x:v>
      </x:c>
      <x:c r="W1137" s="10" t="n">
        <x:f>H1137*('Assumptions'!$P$135+'Assumptions'!$Y$135)</x:f>
        <x:v>140.35448719860526</x:v>
      </x:c>
      <x:c r="X1137" s="10" t="n">
        <x:f>N1137/12*'Assumptions'!$AF$135</x:f>
        <x:v>0</x:v>
      </x:c>
      <x:c r="Y1137" s="10" t="n">
        <x:f>P1137/12</x:f>
        <x:v>0</x:v>
      </x:c>
      <x:c r="Z1137" s="10" t="n">
        <x:f>0</x:f>
        <x:v>0</x:v>
      </x:c>
      <x:c r="AA1137" s="10" t="n">
        <x:f>Z1137*'Assumptions'!$AC$135*'Assumptions'!$D$11*(1+'Assumptions'!$D$13)^(9-1)</x:f>
        <x:v>0</x:v>
      </x:c>
      <x:c r="AB1137" s="10" t="n">
        <x:f>F1137/12</x:f>
        <x:v>73.81957286700234</x:v>
      </x:c>
      <x:c r="AC1137" s="10" t="n">
        <x:f>AB1137/'Assumptions'!$AM$135</x:f>
        <x:v>1476.3914573400466</x:v>
      </x:c>
      <x:c r="AD1137" s="10" t="n">
        <x:f>IF(AB1137=0,0,T1137/AB1137)</x:f>
        <x:v>4.501804643657939</x:v>
      </x:c>
      <x:c r="AE1137" s="10" t="n">
        <x:f>AA1137*'Assumptions'!$D$21</x:f>
        <x:v>0</x:v>
      </x:c>
    </x:row>
    <x:row r="1138" ht="16" customHeight="1">
      <x:c r="A1138" s="1"/>
      <x:c r="B1138" s="1"/>
      <x:c r="C1138" s="1" t="str">
        <x:v>DOT-107</x:v>
      </x:c>
      <x:c r="D1138" s="10" t="str">
        <x:v>QzoticMusic</x:v>
      </x:c>
      <x:c r="E1138" s="10" t="n">
        <x:v>9</x:v>
      </x:c>
      <x:c r="F1138" s="21" t="n">
        <x:f>F1010*(1+'Assumptions'!$M$136)</x:f>
        <x:v>257.0657620004761</x:v>
      </x:c>
      <x:c r="G1138" s="21" t="n">
        <x:f>H1010*'Assumptions'!$K$136</x:f>
        <x:v>132.12410880837007</x:v>
      </x:c>
      <x:c r="H1138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1138+G1138,NA())</x:f>
        <x:v>389.1898708088462</x:v>
      </x:c>
      <x:c r="I1138" s="22" t="n">
        <x:f>'Assumptions'!$H$136*IF('Assumptions'!$O$136=1,1,'Assumptions'!$D$10)*(1+'Assumptions'!$N$136)^(9-1)</x:f>
        <x:v>29.291484525056642</x:v>
      </x:c>
      <x:c r="J1138" s="10" t="n">
        <x:f>H1138*I1138</x:f>
        <x:v>11399.949078106112</x:v>
      </x:c>
      <x:c r="K1138" s="10" t="n">
        <x:f>J1138*'Assumptions'!$T$136</x:f>
        <x:v>11399.949078106112</x:v>
      </x:c>
      <x:c r="L1138" s="10" t="n">
        <x:f>K1138*'Assumptions'!$U$136</x:f>
        <x:v>341.9984723431834</x:v>
      </x:c>
      <x:c r="M1138" s="10" t="n">
        <x:f>K1138*'Assumptions'!$V$136</x:f>
        <x:v>0</x:v>
      </x:c>
      <x:c r="N1138" s="10" t="n">
        <x:f>K1138-L1138-M1138</x:f>
        <x:v>11057.95060576293</x:v>
      </x:c>
      <x:c r="O1138" s="10" t="n">
        <x:f>H1138*'Assumptions'!$P$136*'Assumptions'!$Q$136*'Assumptions'!$D$11*(1+'Assumptions'!$D$13)^(9-1)</x:f>
        <x:v>2588.3239426787295</x:v>
      </x:c>
      <x:c r="P1138" s="10" t="n">
        <x:f>H1138*'Assumptions'!$R$136*'Assumptions'!$D$11*(1+'Assumptions'!$D$13)^(9-1)</x:f>
        <x:v>4930.14084319758</x:v>
      </x:c>
      <x:c r="Q1138" s="10" t="n">
        <x:f>J1138*'Assumptions'!$S$136</x:f>
        <x:v>0</x:v>
      </x:c>
      <x:c r="R1138" s="10" t="n">
        <x:f>H1138*'Assumptions'!$Y$136*'Assumptions'!$Z$136*'Assumptions'!$D$11*(1+'Assumptions'!$D$13)^(9-1)</x:f>
        <x:v>7395.2112647963695</x:v>
      </x:c>
      <x:c r="S1138" s="10" t="n">
        <x:f>IF(I1138=0,0,J1138*'Assumptions'!$W$136+H1138*'Assumptions'!$X$136)</x:f>
        <x:v>447.35548450773115</x:v>
      </x:c>
      <x:c r="T1138" s="10" t="n">
        <x:f>N1138*'Assumptions'!$AA$136</x:f>
        <x:v>884.6360484610344</x:v>
      </x:c>
      <x:c r="U1138" s="10" t="n">
        <x:f>'Assumptions'!$AE$136*'Assumptions'!$D$11*(1+'Assumptions'!$D$13)^(9-1)</x:f>
        <x:v>0</x:v>
      </x:c>
      <x:c r="V1138" s="10" t="n">
        <x:f>0</x:f>
        <x:v>0</x:v>
      </x:c>
      <x:c r="W1138" s="10" t="n">
        <x:f>H1138*('Assumptions'!$P$136+'Assumptions'!$Y$136)</x:f>
        <x:v>252.97341602575003</x:v>
      </x:c>
      <x:c r="X1138" s="10" t="n">
        <x:f>N1138/12*'Assumptions'!$AF$136</x:f>
        <x:v>921.4958838135775</x:v>
      </x:c>
      <x:c r="Y1138" s="10" t="n">
        <x:f>P1138/12</x:f>
        <x:v>410.845070266465</x:v>
      </x:c>
      <x:c r="Z1138" s="10" t="n">
        <x:f>0</x:f>
        <x:v>0</x:v>
      </x:c>
      <x:c r="AA1138" s="10" t="n">
        <x:f>Z1138*'Assumptions'!$AC$136*'Assumptions'!$D$11*(1+'Assumptions'!$D$13)^(9-1)</x:f>
        <x:v>0</x:v>
      </x:c>
      <x:c r="AB1138" s="10" t="n">
        <x:f>F1138/1</x:f>
        <x:v>257.0657620004761</x:v>
      </x:c>
      <x:c r="AC1138" s="10" t="n">
        <x:f>AB1138/'Assumptions'!$AM$136</x:f>
        <x:v>2570.657620004761</x:v>
      </x:c>
      <x:c r="AD1138" s="10" t="n">
        <x:f>IF(AB1138=0,0,T1138/AB1138)</x:f>
        <x:v>3.441283045928909</x:v>
      </x:c>
      <x:c r="AE1138" s="10" t="n">
        <x:f>AA1138*'Assumptions'!$D$21</x:f>
        <x:v>0</x:v>
      </x:c>
    </x:row>
    <x:row r="1139" ht="16" customHeight="1">
      <x:c r="A1139" s="1"/>
      <x:c r="B1139" s="1"/>
      <x:c r="C1139" s="1" t="str">
        <x:v>DOT-108</x:v>
      </x:c>
      <x:c r="D1139" s="10" t="str">
        <x:v>QzoticMusic</x:v>
      </x:c>
      <x:c r="E1139" s="10" t="n">
        <x:v>9</x:v>
      </x:c>
      <x:c r="F1139" s="21" t="n">
        <x:f>F1011*(1+'Assumptions'!$M$137)</x:f>
        <x:v>12.853288100023807</x:v>
      </x:c>
      <x:c r="G1139" s="21" t="n">
        <x:f>H1011*'Assumptions'!$K$137</x:f>
        <x:v>6.606205440418503</x:v>
      </x:c>
      <x:c r="H1139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1139+G1139,NA())</x:f>
        <x:v>19.45949354044231</x:v>
      </x:c>
      <x:c r="I1139" s="22" t="n">
        <x:f>'Assumptions'!$H$137*IF('Assumptions'!$O$137=1,1,'Assumptions'!$D$10)*(1+'Assumptions'!$N$137)^(9-1)</x:f>
        <x:v>292.91484525056643</x:v>
      </x:c>
      <x:c r="J1139" s="10" t="n">
        <x:f>H1139*I1139</x:f>
        <x:v>5699.974539053056</x:v>
      </x:c>
      <x:c r="K1139" s="10" t="n">
        <x:f>J1139*'Assumptions'!$T$137</x:f>
        <x:v>5699.974539053056</x:v>
      </x:c>
      <x:c r="L1139" s="10" t="n">
        <x:f>K1139*'Assumptions'!$U$137</x:f>
        <x:v>170.9992361715917</x:v>
      </x:c>
      <x:c r="M1139" s="10" t="n">
        <x:f>K1139*'Assumptions'!$V$137</x:f>
        <x:v>0</x:v>
      </x:c>
      <x:c r="N1139" s="10" t="n">
        <x:f>K1139-L1139-M1139</x:f>
        <x:v>5528.975302881465</x:v>
      </x:c>
      <x:c r="O1139" s="10" t="n">
        <x:f>H1139*'Assumptions'!$P$137*'Assumptions'!$Q$137*'Assumptions'!$D$11*(1+'Assumptions'!$D$13)^(9-1)</x:f>
        <x:v>1972.056337279032</x:v>
      </x:c>
      <x:c r="P1139" s="10" t="n">
        <x:f>H1139*'Assumptions'!$R$137*'Assumptions'!$D$11*(1+'Assumptions'!$D$13)^(9-1)</x:f>
        <x:v>0</x:v>
      </x:c>
      <x:c r="Q1139" s="10" t="n">
        <x:f>J1139*'Assumptions'!$S$137</x:f>
        <x:v>0</x:v>
      </x:c>
      <x:c r="R1139" s="10" t="n">
        <x:f>H1139*'Assumptions'!$Y$137*'Assumptions'!$Z$137*'Assumptions'!$D$11*(1+'Assumptions'!$D$13)^(9-1)</x:f>
        <x:v>369.7605632398185</x:v>
      </x:c>
      <x:c r="S1139" s="10" t="n">
        <x:f>IF(I1139=0,0,J1139*'Assumptions'!$W$137+H1139*'Assumptions'!$X$137)</x:f>
        <x:v>171.13710969467132</x:v>
      </x:c>
      <x:c r="T1139" s="10" t="n">
        <x:f>N1139*'Assumptions'!$AA$137</x:f>
        <x:v>442.3180242305172</x:v>
      </x:c>
      <x:c r="U1139" s="10" t="n">
        <x:f>'Assumptions'!$AE$137*'Assumptions'!$D$11*(1+'Assumptions'!$D$13)^(9-1)</x:f>
        <x:v>0</x:v>
      </x:c>
      <x:c r="V1139" s="10" t="n">
        <x:f>0</x:f>
        <x:v>0</x:v>
      </x:c>
      <x:c r="W1139" s="10" t="n">
        <x:f>H1139*('Assumptions'!$P$137+'Assumptions'!$Y$137)</x:f>
        <x:v>48.648733851105774</x:v>
      </x:c>
      <x:c r="X1139" s="10" t="n">
        <x:f>N1139/12*'Assumptions'!$AF$137</x:f>
        <x:v>460.74794190678875</x:v>
      </x:c>
      <x:c r="Y1139" s="10" t="n">
        <x:f>P1139/12</x:f>
        <x:v>0</x:v>
      </x:c>
      <x:c r="Z1139" s="10" t="n">
        <x:f>0</x:f>
        <x:v>0</x:v>
      </x:c>
      <x:c r="AA1139" s="10" t="n">
        <x:f>Z1139*'Assumptions'!$AC$137*'Assumptions'!$D$11*(1+'Assumptions'!$D$13)^(9-1)</x:f>
        <x:v>0</x:v>
      </x:c>
      <x:c r="AB1139" s="10" t="n">
        <x:f>F1139/1</x:f>
        <x:v>12.853288100023807</x:v>
      </x:c>
      <x:c r="AC1139" s="10" t="n">
        <x:f>AB1139/'Assumptions'!$AM$137</x:f>
        <x:v>128.53288100023806</x:v>
      </x:c>
      <x:c r="AD1139" s="10" t="n">
        <x:f>IF(AB1139=0,0,T1139/AB1139)</x:f>
        <x:v>34.41283045928908</x:v>
      </x:c>
      <x:c r="AE1139" s="10" t="n">
        <x:f>AA1139*'Assumptions'!$D$21</x:f>
        <x:v>0</x:v>
      </x:c>
    </x:row>
    <x:row r="1140" ht="16" customHeight="1">
      <x:c r="A1140" s="1"/>
      <x:c r="B1140" s="1"/>
      <x:c r="C1140" s="1" t="str">
        <x:v>DOT-109</x:v>
      </x:c>
      <x:c r="D1140" s="10" t="str">
        <x:v>LesPetitFilms</x:v>
      </x:c>
      <x:c r="E1140" s="10" t="n">
        <x:v>9</x:v>
      </x:c>
      <x:c r="F1140" s="21" t="n">
        <x:f>F1012*(1+'Assumptions'!$M$138)</x:f>
        <x:v>8.568858733349204</x:v>
      </x:c>
      <x:c r="G1140" s="21" t="n">
        <x:f>H1012*'Assumptions'!$K$138</x:f>
        <x:v>4.4041369602790015</x:v>
      </x:c>
      <x:c r="H1140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1140+G1140,NA())</x:f>
        <x:v>12.972995693628206</x:v>
      </x:c>
      <x:c r="I1140" s="22" t="n">
        <x:f>'Assumptions'!$H$138*IF('Assumptions'!$O$138=1,1,'Assumptions'!$D$10)*(1+'Assumptions'!$N$138)^(9-1)</x:f>
        <x:v>4100.80783350793</x:v>
      </x:c>
      <x:c r="J1140" s="10" t="n">
        <x:f>H1140*I1140</x:f>
        <x:v>53199.76236449519</x:v>
      </x:c>
      <x:c r="K1140" s="10" t="n">
        <x:f>J1140*'Assumptions'!$T$138</x:f>
        <x:v>53199.76236449519</x:v>
      </x:c>
      <x:c r="L1140" s="10" t="n">
        <x:f>K1140*'Assumptions'!$U$138</x:f>
        <x:v>1595.9928709348555</x:v>
      </x:c>
      <x:c r="M1140" s="10" t="n">
        <x:f>K1140*'Assumptions'!$V$138</x:f>
        <x:v>0</x:v>
      </x:c>
      <x:c r="N1140" s="10" t="n">
        <x:f>K1140-L1140-M1140</x:f>
        <x:v>51603.769493560336</x:v>
      </x:c>
      <x:c r="O1140" s="10" t="n">
        <x:f>H1140*'Assumptions'!$P$138*'Assumptions'!$Q$138*'Assumptions'!$D$11*(1+'Assumptions'!$D$13)^(9-1)</x:f>
        <x:v>18488.028161990926</x:v>
      </x:c>
      <x:c r="P1140" s="10" t="n">
        <x:f>H1140*'Assumptions'!$R$138*'Assumptions'!$D$11*(1+'Assumptions'!$D$13)^(9-1)</x:f>
        <x:v>5751.8309837305105</x:v>
      </x:c>
      <x:c r="Q1140" s="10" t="n">
        <x:f>J1140*'Assumptions'!$S$138</x:f>
        <x:v>0</x:v>
      </x:c>
      <x:c r="R1140" s="10" t="n">
        <x:f>H1140*'Assumptions'!$Y$138*'Assumptions'!$Z$138*'Assumptions'!$D$11*(1+'Assumptions'!$D$13)^(9-1)</x:f>
        <x:v>246.507042159879</x:v>
      </x:c>
      <x:c r="S1140" s="10" t="n">
        <x:f>IF(I1140=0,0,J1140*'Assumptions'!$W$138+H1140*'Assumptions'!$X$138)</x:f>
        <x:v>1546.6850072784491</x:v>
      </x:c>
      <x:c r="T1140" s="10" t="n">
        <x:f>N1140*'Assumptions'!$AA$138</x:f>
        <x:v>4128.301559484827</x:v>
      </x:c>
      <x:c r="U1140" s="10" t="n">
        <x:f>'Assumptions'!$AE$138*'Assumptions'!$D$11*(1+'Assumptions'!$D$13)^(9-1)</x:f>
        <x:v>0</x:v>
      </x:c>
      <x:c r="V1140" s="10" t="n">
        <x:f>0</x:f>
        <x:v>0</x:v>
      </x:c>
      <x:c r="W1140" s="10" t="n">
        <x:f>H1140*('Assumptions'!$P$138+'Assumptions'!$Y$138)</x:f>
        <x:v>330.81139018751924</x:v>
      </x:c>
      <x:c r="X1140" s="10" t="n">
        <x:f>N1140/12*'Assumptions'!$AF$138</x:f>
        <x:v>4300.314124463362</x:v>
      </x:c>
      <x:c r="Y1140" s="10" t="n">
        <x:f>P1140/12</x:f>
        <x:v>479.3192486442092</x:v>
      </x:c>
      <x:c r="Z1140" s="10" t="n">
        <x:f>0</x:f>
        <x:v>0</x:v>
      </x:c>
      <x:c r="AA1140" s="10" t="n">
        <x:f>Z1140*'Assumptions'!$AC$138*'Assumptions'!$D$11*(1+'Assumptions'!$D$13)^(9-1)</x:f>
        <x:v>0</x:v>
      </x:c>
      <x:c r="AB1140" s="10" t="n">
        <x:f>F1140/1</x:f>
        <x:v>8.568858733349204</x:v>
      </x:c>
      <x:c r="AC1140" s="10" t="n">
        <x:f>AB1140/'Assumptions'!$AM$138</x:f>
        <x:v>85.68858733349204</x:v>
      </x:c>
      <x:c r="AD1140" s="10" t="n">
        <x:f>IF(AB1140=0,0,T1140/AB1140)</x:f>
        <x:v>481.77962643004713</x:v>
      </x:c>
      <x:c r="AE1140" s="10" t="n">
        <x:f>AA1140*'Assumptions'!$D$21</x:f>
        <x:v>0</x:v>
      </x:c>
    </x:row>
    <x:row r="1141" ht="16" customHeight="1">
      <x:c r="A1141" s="1"/>
      <x:c r="B1141" s="1"/>
      <x:c r="C1141" s="1" t="str">
        <x:v>DOT-110</x:v>
      </x:c>
      <x:c r="D1141" s="10" t="str">
        <x:v>LesPetitFilms</x:v>
      </x:c>
      <x:c r="E1141" s="10" t="n">
        <x:v>9</x:v>
      </x:c>
      <x:c r="F1141" s="21" t="n">
        <x:f>F1013*(1+'Assumptions'!$M$139)</x:f>
        <x:v>8.568858733349204</x:v>
      </x:c>
      <x:c r="G1141" s="21" t="n">
        <x:f>H1013*'Assumptions'!$K$139</x:f>
        <x:v>4.4041369602790015</x:v>
      </x:c>
      <x:c r="H1141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1141+G1141,NA())</x:f>
        <x:v>12.972995693628206</x:v>
      </x:c>
      <x:c r="I1141" s="22" t="n">
        <x:f>'Assumptions'!$H$139*IF('Assumptions'!$O$139=1,1,'Assumptions'!$D$10)*(1+'Assumptions'!$N$139)^(9-1)</x:f>
        <x:v>1757.4890715033987</x:v>
      </x:c>
      <x:c r="J1141" s="10" t="n">
        <x:f>H1141*I1141</x:f>
        <x:v>22799.898156212228</x:v>
      </x:c>
      <x:c r="K1141" s="10" t="n">
        <x:f>J1141*'Assumptions'!$T$139</x:f>
        <x:v>22799.898156212228</x:v>
      </x:c>
      <x:c r="L1141" s="10" t="n">
        <x:f>K1141*'Assumptions'!$U$139</x:f>
        <x:v>683.9969446863668</x:v>
      </x:c>
      <x:c r="M1141" s="10" t="n">
        <x:f>K1141*'Assumptions'!$V$139</x:f>
        <x:v>0</x:v>
      </x:c>
      <x:c r="N1141" s="10" t="n">
        <x:f>K1141-L1141-M1141</x:f>
        <x:v>22115.901211525863</x:v>
      </x:c>
      <x:c r="O1141" s="10" t="n">
        <x:f>H1141*'Assumptions'!$P$139*'Assumptions'!$Q$139*'Assumptions'!$D$11*(1+'Assumptions'!$D$13)^(9-1)</x:f>
        <x:v>7395.2112647963695</x:v>
      </x:c>
      <x:c r="P1141" s="10" t="n">
        <x:f>H1141*'Assumptions'!$R$139*'Assumptions'!$D$11*(1+'Assumptions'!$D$13)^(9-1)</x:f>
        <x:v>3286.76056213172</x:v>
      </x:c>
      <x:c r="Q1141" s="10" t="n">
        <x:f>J1141*'Assumptions'!$S$139</x:f>
        <x:v>0</x:v>
      </x:c>
      <x:c r="R1141" s="10" t="n">
        <x:f>H1141*'Assumptions'!$Y$139*'Assumptions'!$Z$139*'Assumptions'!$D$11*(1+'Assumptions'!$D$13)^(9-1)</x:f>
        <x:v>246.507042159879</x:v>
      </x:c>
      <x:c r="S1141" s="10" t="n">
        <x:f>IF(I1141=0,0,J1141*'Assumptions'!$W$139+H1141*'Assumptions'!$X$139)</x:f>
        <x:v>665.0889452382431</x:v>
      </x:c>
      <x:c r="T1141" s="10" t="n">
        <x:f>N1141*'Assumptions'!$AA$139</x:f>
        <x:v>1769.272096922069</x:v>
      </x:c>
      <x:c r="U1141" s="10" t="n">
        <x:f>'Assumptions'!$AE$139*'Assumptions'!$D$11*(1+'Assumptions'!$D$13)^(9-1)</x:f>
        <x:v>0</x:v>
      </x:c>
      <x:c r="V1141" s="10" t="n">
        <x:f>0</x:f>
        <x:v>0</x:v>
      </x:c>
      <x:c r="W1141" s="10" t="n">
        <x:f>H1141*('Assumptions'!$P$139+'Assumptions'!$Y$139)</x:f>
        <x:v>136.21645478309617</x:v>
      </x:c>
      <x:c r="X1141" s="10" t="n">
        <x:f>N1141/12*'Assumptions'!$AF$139</x:f>
        <x:v>1842.9917676271552</x:v>
      </x:c>
      <x:c r="Y1141" s="10" t="n">
        <x:f>P1141/12</x:f>
        <x:v>273.89671351097667</x:v>
      </x:c>
      <x:c r="Z1141" s="10" t="n">
        <x:f>0</x:f>
        <x:v>0</x:v>
      </x:c>
      <x:c r="AA1141" s="10" t="n">
        <x:f>Z1141*'Assumptions'!$AC$139*'Assumptions'!$D$11*(1+'Assumptions'!$D$13)^(9-1)</x:f>
        <x:v>0</x:v>
      </x:c>
      <x:c r="AB1141" s="10" t="n">
        <x:f>F1141/1</x:f>
        <x:v>8.568858733349204</x:v>
      </x:c>
      <x:c r="AC1141" s="10" t="n">
        <x:f>AB1141/'Assumptions'!$AM$139</x:f>
        <x:v>85.68858733349204</x:v>
      </x:c>
      <x:c r="AD1141" s="10" t="n">
        <x:f>IF(AB1141=0,0,T1141/AB1141)</x:f>
        <x:v>206.47698275573455</x:v>
      </x:c>
      <x:c r="AE1141" s="10" t="n">
        <x:f>AA1141*'Assumptions'!$D$21</x:f>
        <x:v>0</x:v>
      </x:c>
    </x:row>
    <x:row r="1142" ht="16" customHeight="1">
      <x:c r="A1142" s="1"/>
      <x:c r="B1142" s="1"/>
      <x:c r="C1142" s="1" t="str">
        <x:v>DOT-111</x:v>
      </x:c>
      <x:c r="D1142" s="10" t="str">
        <x:v>LesPetitFilms</x:v>
      </x:c>
      <x:c r="E1142" s="10" t="n">
        <x:v>9</x:v>
      </x:c>
      <x:c r="F1142" s="21" t="n">
        <x:f>F1014*(1+'Assumptions'!$M$140)</x:f>
        <x:v>12.853288100023807</x:v>
      </x:c>
      <x:c r="G1142" s="21" t="n">
        <x:f>H1014*'Assumptions'!$K$140</x:f>
        <x:v>6.606205440418503</x:v>
      </x:c>
      <x:c r="H1142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1142+G1142,NA())</x:f>
        <x:v>19.45949354044231</x:v>
      </x:c>
      <x:c r="I1142" s="22" t="n">
        <x:f>'Assumptions'!$H$140*IF('Assumptions'!$O$140=1,1,'Assumptions'!$D$10)*(1+'Assumptions'!$N$140)^(9-1)</x:f>
        <x:v>585.8296905011329</x:v>
      </x:c>
      <x:c r="J1142" s="10" t="n">
        <x:f>H1142*I1142</x:f>
        <x:v>11399.949078106112</x:v>
      </x:c>
      <x:c r="K1142" s="10" t="n">
        <x:f>J1142*'Assumptions'!$T$140</x:f>
        <x:v>11399.949078106112</x:v>
      </x:c>
      <x:c r="L1142" s="10" t="n">
        <x:f>K1142*'Assumptions'!$U$140</x:f>
        <x:v>341.9984723431834</x:v>
      </x:c>
      <x:c r="M1142" s="10" t="n">
        <x:f>K1142*'Assumptions'!$V$140</x:f>
        <x:v>0</x:v>
      </x:c>
      <x:c r="N1142" s="10" t="n">
        <x:f>K1142-L1142-M1142</x:f>
        <x:v>11057.95060576293</x:v>
      </x:c>
      <x:c r="O1142" s="10" t="n">
        <x:f>H1142*'Assumptions'!$P$140*'Assumptions'!$Q$140*'Assumptions'!$D$11*(1+'Assumptions'!$D$13)^(9-1)</x:f>
        <x:v>2958.084505918548</x:v>
      </x:c>
      <x:c r="P1142" s="10" t="n">
        <x:f>H1142*'Assumptions'!$R$140*'Assumptions'!$D$11*(1+'Assumptions'!$D$13)^(9-1)</x:f>
        <x:v>1232.535210799395</x:v>
      </x:c>
      <x:c r="Q1142" s="10" t="n">
        <x:f>J1142*'Assumptions'!$S$140</x:f>
        <x:v>0</x:v>
      </x:c>
      <x:c r="R1142" s="10" t="n">
        <x:f>H1142*'Assumptions'!$Y$140*'Assumptions'!$Z$140*'Assumptions'!$D$11*(1+'Assumptions'!$D$13)^(9-1)</x:f>
        <x:v>369.7605632398185</x:v>
      </x:c>
      <x:c r="S1142" s="10" t="n">
        <x:f>IF(I1142=0,0,J1142*'Assumptions'!$W$140+H1142*'Assumptions'!$X$140)</x:f>
        <x:v>336.43637132721</x:v>
      </x:c>
      <x:c r="T1142" s="10" t="n">
        <x:f>N1142*'Assumptions'!$AA$140</x:f>
        <x:v>884.6360484610344</x:v>
      </x:c>
      <x:c r="U1142" s="10" t="n">
        <x:f>'Assumptions'!$AE$140*'Assumptions'!$D$11*(1+'Assumptions'!$D$13)^(9-1)</x:f>
        <x:v>0</x:v>
      </x:c>
      <x:c r="V1142" s="10" t="n">
        <x:f>0</x:f>
        <x:v>0</x:v>
      </x:c>
      <x:c r="W1142" s="10" t="n">
        <x:f>H1142*('Assumptions'!$P$140+'Assumptions'!$Y$140)</x:f>
        <x:v>68.10822739154808</x:v>
      </x:c>
      <x:c r="X1142" s="10" t="n">
        <x:f>N1142/12*'Assumptions'!$AF$140</x:f>
        <x:v>921.4958838135775</x:v>
      </x:c>
      <x:c r="Y1142" s="10" t="n">
        <x:f>P1142/12</x:f>
        <x:v>102.71126756661624</x:v>
      </x:c>
      <x:c r="Z1142" s="10" t="n">
        <x:f>0</x:f>
        <x:v>0</x:v>
      </x:c>
      <x:c r="AA1142" s="10" t="n">
        <x:f>Z1142*'Assumptions'!$AC$140*'Assumptions'!$D$11*(1+'Assumptions'!$D$13)^(9-1)</x:f>
        <x:v>0</x:v>
      </x:c>
      <x:c r="AB1142" s="10" t="n">
        <x:f>F1142/1</x:f>
        <x:v>12.853288100023807</x:v>
      </x:c>
      <x:c r="AC1142" s="10" t="n">
        <x:f>AB1142/'Assumptions'!$AM$140</x:f>
        <x:v>128.53288100023806</x:v>
      </x:c>
      <x:c r="AD1142" s="10" t="n">
        <x:f>IF(AB1142=0,0,T1142/AB1142)</x:f>
        <x:v>68.82566091857817</x:v>
      </x:c>
      <x:c r="AE1142" s="10" t="n">
        <x:f>AA1142*'Assumptions'!$D$21</x:f>
        <x:v>0</x:v>
      </x:c>
    </x:row>
    <x:row r="1143" ht="16" customHeight="1">
      <x:c r="A1143" s="1"/>
      <x:c r="B1143" s="1"/>
      <x:c r="C1143" s="1" t="str">
        <x:v>DOT-112</x:v>
      </x:c>
      <x:c r="D1143" s="10" t="str">
        <x:v>Learn Anglais</x:v>
      </x:c>
      <x:c r="E1143" s="10" t="n">
        <x:v>9</x:v>
      </x:c>
      <x:c r="F1143" s="21" t="n">
        <x:f>F1015*(1+'Assumptions'!$M$141)</x:f>
        <x:v>420.0939123148801</x:v>
      </x:c>
      <x:c r="G1143" s="21" t="n">
        <x:f>H1015*'Assumptions'!$K$141</x:f>
        <x:v>827.5132082951998</x:v>
      </x:c>
      <x:c r="H1143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1143+G1143,NA())</x:f>
        <x:v>1247.6071206100798</x:v>
      </x:c>
      <x:c r="I1143" s="22" t="n">
        <x:f>'Assumptions'!$H$141*IF('Assumptions'!$O$141=1,1,'Assumptions'!$D$10)*(1+'Assumptions'!$N$141)^(9-1)</x:f>
        <x:v>52.724672145101955</x:v>
      </x:c>
      <x:c r="J1143" s="10" t="n">
        <x:f>H1143*I1143</x:f>
        <x:v>65779.67640006113</x:v>
      </x:c>
      <x:c r="K1143" s="10" t="n">
        <x:f>J1143*'Assumptions'!$T$141</x:f>
        <x:v>21926.558800020375</x:v>
      </x:c>
      <x:c r="L1143" s="10" t="n">
        <x:f>K1143*'Assumptions'!$U$141</x:f>
        <x:v>657.7967640006112</x:v>
      </x:c>
      <x:c r="M1143" s="10" t="n">
        <x:f>K1143*'Assumptions'!$V$141</x:f>
        <x:v>0</x:v>
      </x:c>
      <x:c r="N1143" s="10" t="n">
        <x:f>K1143-L1143-M1143</x:f>
        <x:v>21268.762036019765</x:v>
      </x:c>
      <x:c r="O1143" s="10" t="n">
        <x:f>H1143*'Assumptions'!$P$141*'Assumptions'!$Q$141*'Assumptions'!$D$11*(1+'Assumptions'!$D$13)^(9-1)</x:f>
        <x:v>5531.509808002503</x:v>
      </x:c>
      <x:c r="P1143" s="10" t="n">
        <x:f>H1143*'Assumptions'!$R$141*'Assumptions'!$D$11*(1+'Assumptions'!$D$13)^(9-1)</x:f>
        <x:v>0</x:v>
      </x:c>
      <x:c r="Q1143" s="10" t="n">
        <x:f>J1143*'Assumptions'!$S$141</x:f>
        <x:v>0</x:v>
      </x:c>
      <x:c r="R1143" s="10" t="n">
        <x:f>H1143*'Assumptions'!$Y$141*'Assumptions'!$Z$141*'Assumptions'!$D$11*(1+'Assumptions'!$D$13)^(9-1)</x:f>
        <x:v>7111.941181717503</x:v>
      </x:c>
      <x:c r="S1143" s="10" t="n">
        <x:f>IF(I1143=0,0,J1143*'Assumptions'!$W$141+H1143*'Assumptions'!$X$141)</x:f>
        <x:v>2281.892751784797</x:v>
      </x:c>
      <x:c r="T1143" s="10" t="n">
        <x:f>N1143*'Assumptions'!$AA$141</x:f>
        <x:v>1063.4381018009883</x:v>
      </x:c>
      <x:c r="U1143" s="10" t="n">
        <x:f>'Assumptions'!$AE$141*'Assumptions'!$D$11*(1+'Assumptions'!$D$13)^(9-1)</x:f>
        <x:v>0</x:v>
      </x:c>
      <x:c r="V1143" s="10" t="n">
        <x:f>0</x:f>
        <x:v>0</x:v>
      </x:c>
      <x:c r="W1143" s="10" t="n">
        <x:f>H1143*('Assumptions'!$P$141+'Assumptions'!$Y$141)</x:f>
        <x:v>311.90178015251996</x:v>
      </x:c>
      <x:c r="X1143" s="10" t="n">
        <x:f>N1143/12*'Assumptions'!$AF$141</x:f>
        <x:v>0</x:v>
      </x:c>
      <x:c r="Y1143" s="10" t="n">
        <x:f>P1143/12</x:f>
        <x:v>0</x:v>
      </x:c>
      <x:c r="Z1143" s="10" t="n">
        <x:f>0</x:f>
        <x:v>0</x:v>
      </x:c>
      <x:c r="AA1143" s="10" t="n">
        <x:f>Z1143*'Assumptions'!$AC$141*'Assumptions'!$D$11*(1+'Assumptions'!$D$13)^(9-1)</x:f>
        <x:v>0</x:v>
      </x:c>
      <x:c r="AB1143" s="10" t="n">
        <x:f>F1143/1</x:f>
        <x:v>420.0939123148801</x:v>
      </x:c>
      <x:c r="AC1143" s="10" t="n">
        <x:f>AB1143/'Assumptions'!$AM$141</x:f>
        <x:v>8401.878246297601</x:v>
      </x:c>
      <x:c r="AD1143" s="10" t="n">
        <x:f>IF(AB1143=0,0,T1143/AB1143)</x:f>
        <x:v>2.5314294509554607</x:v>
      </x:c>
      <x:c r="AE1143" s="10" t="n">
        <x:f>AA1143*'Assumptions'!$D$21</x:f>
        <x:v>0</x:v>
      </x:c>
    </x:row>
    <x:row r="1144" ht="16" customHeight="1">
      <x:c r="A1144" s="1"/>
      <x:c r="B1144" s="1"/>
      <x:c r="C1144" s="1" t="str">
        <x:v>DOT-113</x:v>
      </x:c>
      <x:c r="D1144" s="10" t="str">
        <x:v>Learn Anglais</x:v>
      </x:c>
      <x:c r="E1144" s="10" t="n">
        <x:v>9</x:v>
      </x:c>
      <x:c r="F1144" s="21" t="n">
        <x:f>F1016*(1+'Assumptions'!$M$142)</x:f>
        <x:v>252.05634738892797</x:v>
      </x:c>
      <x:c r="G1144" s="21" t="n">
        <x:f>H1016*'Assumptions'!$K$142</x:f>
        <x:v>496.5079249771199</x:v>
      </x:c>
      <x:c r="H1144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1144+G1144,NA())</x:f>
        <x:v>748.5642723660478</x:v>
      </x:c>
      <x:c r="I1144" s="22" t="n">
        <x:f>'Assumptions'!$H$142*IF('Assumptions'!$O$142=1,1,'Assumptions'!$D$10)*(1+'Assumptions'!$N$142)^(9-1)</x:f>
        <x:v>99.59104738519258</x:v>
      </x:c>
      <x:c r="J1144" s="10" t="n">
        <x:f>H1144*I1144</x:f>
        <x:v>74550.29992006927</x:v>
      </x:c>
      <x:c r="K1144" s="10" t="n">
        <x:f>J1144*'Assumptions'!$T$142</x:f>
        <x:v>22365.08997602078</x:v>
      </x:c>
      <x:c r="L1144" s="10" t="n">
        <x:f>K1144*'Assumptions'!$U$142</x:f>
        <x:v>670.9526992806234</x:v>
      </x:c>
      <x:c r="M1144" s="10" t="n">
        <x:f>K1144*'Assumptions'!$V$142</x:f>
        <x:v>0</x:v>
      </x:c>
      <x:c r="N1144" s="10" t="n">
        <x:f>K1144-L1144-M1144</x:f>
        <x:v>21694.137276740155</x:v>
      </x:c>
      <x:c r="O1144" s="10" t="n">
        <x:f>H1144*'Assumptions'!$P$142*'Assumptions'!$Q$142*'Assumptions'!$D$11*(1+'Assumptions'!$D$13)^(9-1)</x:f>
        <x:v>3318.905884801501</x:v>
      </x:c>
      <x:c r="P1144" s="10" t="n">
        <x:f>H1144*'Assumptions'!$R$142*'Assumptions'!$D$11*(1+'Assumptions'!$D$13)^(9-1)</x:f>
        <x:v>0</x:v>
      </x:c>
      <x:c r="Q1144" s="10" t="n">
        <x:f>J1144*'Assumptions'!$S$142</x:f>
        <x:v>0</x:v>
      </x:c>
      <x:c r="R1144" s="10" t="n">
        <x:f>H1144*'Assumptions'!$Y$142*'Assumptions'!$Z$142*'Assumptions'!$D$11*(1+'Assumptions'!$D$13)^(9-1)</x:f>
        <x:v>4267.1647090305005</x:v>
      </x:c>
      <x:c r="S1144" s="10" t="n">
        <x:f>IF(I1144=0,0,J1144*'Assumptions'!$W$142+H1144*'Assumptions'!$X$142)</x:f>
        <x:v>2386.5279793918235</x:v>
      </x:c>
      <x:c r="T1144" s="10" t="n">
        <x:f>N1144*'Assumptions'!$AA$142</x:f>
        <x:v>1084.7068638370079</x:v>
      </x:c>
      <x:c r="U1144" s="10" t="n">
        <x:f>'Assumptions'!$AE$142*'Assumptions'!$D$11*(1+'Assumptions'!$D$13)^(9-1)</x:f>
        <x:v>0</x:v>
      </x:c>
      <x:c r="V1144" s="10" t="n">
        <x:f>0</x:f>
        <x:v>0</x:v>
      </x:c>
      <x:c r="W1144" s="10" t="n">
        <x:f>H1144*('Assumptions'!$P$142+'Assumptions'!$Y$142)</x:f>
        <x:v>187.14106809151195</x:v>
      </x:c>
      <x:c r="X1144" s="10" t="n">
        <x:f>N1144/12*'Assumptions'!$AF$142</x:f>
        <x:v>0</x:v>
      </x:c>
      <x:c r="Y1144" s="10" t="n">
        <x:f>P1144/12</x:f>
        <x:v>0</x:v>
      </x:c>
      <x:c r="Z1144" s="10" t="n">
        <x:f>0</x:f>
        <x:v>0</x:v>
      </x:c>
      <x:c r="AA1144" s="10" t="n">
        <x:f>Z1144*'Assumptions'!$AC$142*'Assumptions'!$D$11*(1+'Assumptions'!$D$13)^(9-1)</x:f>
        <x:v>0</x:v>
      </x:c>
      <x:c r="AB1144" s="10" t="n">
        <x:f>F1144/1</x:f>
        <x:v>252.05634738892797</x:v>
      </x:c>
      <x:c r="AC1144" s="10" t="n">
        <x:f>AB1144/'Assumptions'!$AM$142</x:f>
        <x:v>5041.126947778559</x:v>
      </x:c>
      <x:c r="AD1144" s="10" t="n">
        <x:f>IF(AB1144=0,0,T1144/AB1144)</x:f>
        <x:v>4.3034300666242835</x:v>
      </x:c>
      <x:c r="AE1144" s="10" t="n">
        <x:f>AA1144*'Assumptions'!$D$21</x:f>
        <x:v>0</x:v>
      </x:c>
    </x:row>
    <x:row r="1145" ht="16" customHeight="1">
      <x:c r="A1145" s="1"/>
      <x:c r="B1145" s="1"/>
      <x:c r="C1145" s="1" t="str">
        <x:v>DOT-114</x:v>
      </x:c>
      <x:c r="D1145" s="10" t="str">
        <x:v>Learn Anglais</x:v>
      </x:c>
      <x:c r="E1145" s="10" t="n">
        <x:v>9</x:v>
      </x:c>
      <x:c r="F1145" s="21" t="n">
        <x:f>F1017*(1+'Assumptions'!$M$143)</x:f>
        <x:v>354.33394976161117</x:v>
      </x:c>
      <x:c r="G1145" s="21" t="n">
        <x:f>H1017*'Assumptions'!$K$143</x:f>
        <x:v>113.51525642774996</x:v>
      </x:c>
      <x:c r="H1145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1145+G1145,NA())</x:f>
        <x:v>467.8492061893611</x:v>
      </x:c>
      <x:c r="I1145" s="22" t="n">
        <x:f>'Assumptions'!$H$143*IF('Assumptions'!$O$143=1,1,'Assumptions'!$D$10)*(1+'Assumptions'!$N$143)^(9-1)</x:f>
        <x:v>33.9781220490657</x:v>
      </x:c>
      <x:c r="J1145" s="10" t="n">
        <x:f>H1145*I1145</x:f>
        <x:v>15896.637428460617</x:v>
      </x:c>
      <x:c r="K1145" s="10" t="n">
        <x:f>J1145*'Assumptions'!$T$143</x:f>
        <x:v>15896.637428460617</x:v>
      </x:c>
      <x:c r="L1145" s="10" t="n">
        <x:f>K1145*'Assumptions'!$U$143</x:f>
        <x:v>476.8991228538185</x:v>
      </x:c>
      <x:c r="M1145" s="10" t="n">
        <x:f>K1145*'Assumptions'!$V$143</x:f>
        <x:v>0</x:v>
      </x:c>
      <x:c r="N1145" s="10" t="n">
        <x:f>K1145-L1145-M1145</x:f>
        <x:v>15419.7383056068</x:v>
      </x:c>
      <x:c r="O1145" s="10" t="n">
        <x:f>H1145*'Assumptions'!$P$143*'Assumptions'!$Q$143*'Assumptions'!$D$11*(1+'Assumptions'!$D$13)^(9-1)</x:f>
        <x:v>3111.45122925855</x:v>
      </x:c>
      <x:c r="P1145" s="10" t="n">
        <x:f>H1145*'Assumptions'!$R$143*'Assumptions'!$D$11*(1+'Assumptions'!$D$13)^(9-1)</x:f>
        <x:v>0</x:v>
      </x:c>
      <x:c r="Q1145" s="10" t="n">
        <x:f>J1145*'Assumptions'!$S$143</x:f>
        <x:v>0</x:v>
      </x:c>
      <x:c r="R1145" s="10" t="n">
        <x:f>H1145*'Assumptions'!$Y$143*'Assumptions'!$Z$143*'Assumptions'!$D$11*(1+'Assumptions'!$D$13)^(9-1)</x:f>
        <x:v>1777.9721310048863</x:v>
      </x:c>
      <x:c r="S1145" s="10" t="n">
        <x:f>IF(I1145=0,0,J1145*'Assumptions'!$W$143+H1145*'Assumptions'!$X$143)</x:f>
        <x:v>601.3572472821662</x:v>
      </x:c>
      <x:c r="T1145" s="10" t="n">
        <x:f>N1145*'Assumptions'!$AA$143</x:f>
        <x:v>770.98691528034</x:v>
      </x:c>
      <x:c r="U1145" s="10" t="n">
        <x:f>'Assumptions'!$AE$143*'Assumptions'!$D$11*(1+'Assumptions'!$D$13)^(9-1)</x:f>
        <x:v>0</x:v>
      </x:c>
      <x:c r="V1145" s="10" t="n">
        <x:f>0</x:f>
        <x:v>0</x:v>
      </x:c>
      <x:c r="W1145" s="10" t="n">
        <x:f>H1145*('Assumptions'!$P$143+'Assumptions'!$Y$143)</x:f>
        <x:v>116.96230154734027</x:v>
      </x:c>
      <x:c r="X1145" s="10" t="n">
        <x:f>N1145/12*'Assumptions'!$AF$143</x:f>
        <x:v>0</x:v>
      </x:c>
      <x:c r="Y1145" s="10" t="n">
        <x:f>P1145/12</x:f>
        <x:v>0</x:v>
      </x:c>
      <x:c r="Z1145" s="10" t="n">
        <x:f>0</x:f>
        <x:v>0</x:v>
      </x:c>
      <x:c r="AA1145" s="10" t="n">
        <x:f>Z1145*'Assumptions'!$AC$143*'Assumptions'!$D$11*(1+'Assumptions'!$D$13)^(9-1)</x:f>
        <x:v>0</x:v>
      </x:c>
      <x:c r="AB1145" s="10" t="n">
        <x:f>F1145/1</x:f>
        <x:v>354.33394976161117</x:v>
      </x:c>
      <x:c r="AC1145" s="10" t="n">
        <x:f>AB1145/'Assumptions'!$AM$143</x:f>
        <x:v>7086.678995232223</x:v>
      </x:c>
      <x:c r="AD1145" s="10" t="n">
        <x:f>IF(AB1145=0,0,T1145/AB1145)</x:f>
        <x:v>2.1758765023759215</x:v>
      </x:c>
      <x:c r="AE1145" s="10" t="n">
        <x:f>AA1145*'Assumptions'!$D$21</x:f>
        <x:v>0</x:v>
      </x:c>
    </x:row>
    <x:row r="1146" ht="16" customHeight="1">
      <x:c r="A1146" s="1"/>
      <x:c r="B1146" s="1"/>
      <x:c r="C1146" s="1" t="str">
        <x:v>DOT-115</x:v>
      </x:c>
      <x:c r="D1146" s="10" t="str">
        <x:v>Learn Anglais</x:v>
      </x:c>
      <x:c r="E1146" s="10" t="n">
        <x:v>9</x:v>
      </x:c>
      <x:c r="F1146" s="21" t="n">
        <x:f>F1018*(1+'Assumptions'!$M$144)</x:f>
        <x:v>168.03756492595204</x:v>
      </x:c>
      <x:c r="G1146" s="21" t="n">
        <x:f>H1018*'Assumptions'!$K$144</x:f>
        <x:v>327.54640271807995</x:v>
      </x:c>
      <x:c r="H1146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1146+G1146,NA())</x:f>
        <x:v>495.583967644032</x:v>
      </x:c>
      <x:c r="I1146" s="22" t="n">
        <x:f>'Assumptions'!$H$144*IF('Assumptions'!$O$144=1,1,'Assumptions'!$D$10)*(1+'Assumptions'!$N$144)^(9-1)</x:f>
        <x:v>52.724672145101955</x:v>
      </x:c>
      <x:c r="J1146" s="10" t="n">
        <x:f>H1146*I1146</x:f>
        <x:v>26129.502214400403</x:v>
      </x:c>
      <x:c r="K1146" s="10" t="n">
        <x:f>J1146*'Assumptions'!$T$144</x:f>
        <x:v>8709.834071466801</x:v>
      </x:c>
      <x:c r="L1146" s="10" t="n">
        <x:f>K1146*'Assumptions'!$U$144</x:f>
        <x:v>261.295022144004</x:v>
      </x:c>
      <x:c r="M1146" s="10" t="n">
        <x:f>K1146*'Assumptions'!$V$144</x:f>
        <x:v>0</x:v>
      </x:c>
      <x:c r="N1146" s="10" t="n">
        <x:f>K1146-L1146-M1146</x:f>
        <x:v>8448.539049322797</x:v>
      </x:c>
      <x:c r="O1146" s="10" t="n">
        <x:f>H1146*'Assumptions'!$P$144*'Assumptions'!$Q$144*'Assumptions'!$D$11*(1+'Assumptions'!$D$13)^(9-1)</x:f>
        <x:v>3295.9024508908483</x:v>
      </x:c>
      <x:c r="P1146" s="10" t="n">
        <x:f>H1146*'Assumptions'!$R$144*'Assumptions'!$D$11*(1+'Assumptions'!$D$13)^(9-1)</x:f>
        <x:v>0</x:v>
      </x:c>
      <x:c r="Q1146" s="10" t="n">
        <x:f>J1146*'Assumptions'!$S$144</x:f>
        <x:v>0</x:v>
      </x:c>
      <x:c r="R1146" s="10" t="n">
        <x:f>H1146*'Assumptions'!$Y$144*'Assumptions'!$Z$144*'Assumptions'!$D$11*(1+'Assumptions'!$D$13)^(9-1)</x:f>
        <x:v>2825.059243620727</x:v>
      </x:c>
      <x:c r="S1146" s="10" t="n">
        <x:f>IF(I1146=0,0,J1146*'Assumptions'!$W$144+H1146*'Assumptions'!$X$144)</x:f>
        <x:v>906.4307545108213</x:v>
      </x:c>
      <x:c r="T1146" s="10" t="n">
        <x:f>N1146*'Assumptions'!$AA$144</x:f>
        <x:v>422.4269524661399</x:v>
      </x:c>
      <x:c r="U1146" s="10" t="n">
        <x:f>'Assumptions'!$AE$144*'Assumptions'!$D$11*(1+'Assumptions'!$D$13)^(9-1)</x:f>
        <x:v>0</x:v>
      </x:c>
      <x:c r="V1146" s="10" t="n">
        <x:f>0</x:f>
        <x:v>0</x:v>
      </x:c>
      <x:c r="W1146" s="10" t="n">
        <x:f>H1146*('Assumptions'!$P$144+'Assumptions'!$Y$144)</x:f>
        <x:v>148.6751902932096</x:v>
      </x:c>
      <x:c r="X1146" s="10" t="n">
        <x:f>N1146/12*'Assumptions'!$AF$144</x:f>
        <x:v>0</x:v>
      </x:c>
      <x:c r="Y1146" s="10" t="n">
        <x:f>P1146/12</x:f>
        <x:v>0</x:v>
      </x:c>
      <x:c r="Z1146" s="10" t="n">
        <x:f>0</x:f>
        <x:v>0</x:v>
      </x:c>
      <x:c r="AA1146" s="10" t="n">
        <x:f>Z1146*'Assumptions'!$AC$144*'Assumptions'!$D$11*(1+'Assumptions'!$D$13)^(9-1)</x:f>
        <x:v>0</x:v>
      </x:c>
      <x:c r="AB1146" s="10" t="n">
        <x:f>F1146/1</x:f>
        <x:v>168.03756492595204</x:v>
      </x:c>
      <x:c r="AC1146" s="10" t="n">
        <x:f>AB1146/'Assumptions'!$AM$144</x:f>
        <x:v>3360.7512985190406</x:v>
      </x:c>
      <x:c r="AD1146" s="10" t="n">
        <x:f>IF(AB1146=0,0,T1146/AB1146)</x:f>
        <x:v>2.5138840392759074</x:v>
      </x:c>
      <x:c r="AE1146" s="10" t="n">
        <x:f>AA1146*'Assumptions'!$D$21</x:f>
        <x:v>0</x:v>
      </x:c>
    </x:row>
    <x:row r="1147" ht="16" customHeight="1">
      <x:c r="A1147" s="1"/>
      <x:c r="B1147" s="1"/>
      <x:c r="C1147" s="1" t="str">
        <x:v>DOT-116</x:v>
      </x:c>
      <x:c r="D1147" s="10" t="str">
        <x:v>Fiefé</x:v>
      </x:c>
      <x:c r="E1147" s="10" t="n">
        <x:v>9</x:v>
      </x:c>
      <x:c r="F1147" s="21" t="n">
        <x:f>F1019*(1+'Assumptions'!$M$145)</x:f>
        <x:v>59.50593272015488</x:v>
      </x:c>
      <x:c r="G1147" s="21" t="n">
        <x:f>H1019*'Assumptions'!$K$145</x:f>
        <x:v>24.43374024214672</x:v>
      </x:c>
      <x:c r="H1147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1147+G1147,NA())</x:f>
        <x:v>83.9396729623016</x:v>
      </x:c>
      <x:c r="I1147" s="22" t="n">
        <x:f>'Assumptions'!$H$145*IF('Assumptions'!$O$145=1,1,'Assumptions'!$D$10)*(1+'Assumptions'!$N$145)^(9-1)</x:f>
        <x:v>527.2467214510195</x:v>
      </x:c>
      <x:c r="J1147" s="10" t="n">
        <x:f>H1147*I1147</x:f>
        <x:v>44256.917369044306</x:v>
      </x:c>
      <x:c r="K1147" s="10" t="n">
        <x:f>J1147*'Assumptions'!$T$145</x:f>
        <x:v>44256.917369044306</x:v>
      </x:c>
      <x:c r="L1147" s="10" t="n">
        <x:f>K1147*'Assumptions'!$U$145</x:f>
        <x:v>1327.7075210713292</x:v>
      </x:c>
      <x:c r="M1147" s="10" t="n">
        <x:f>K1147*'Assumptions'!$V$145</x:f>
        <x:v>885.1383473808861</x:v>
      </x:c>
      <x:c r="N1147" s="10" t="n">
        <x:f>K1147-L1147-M1147</x:f>
        <x:v>42044.07150059209</x:v>
      </x:c>
      <x:c r="O1147" s="10" t="n">
        <x:f>H1147*'Assumptions'!$P$145*'Assumptions'!$Q$145*'Assumptions'!$D$11*(1+'Assumptions'!$D$13)^(9-1)</x:f>
        <x:v>2658.3066587526173</x:v>
      </x:c>
      <x:c r="P1147" s="10" t="n">
        <x:f>H1147*'Assumptions'!$R$145*'Assumptions'!$D$11*(1+'Assumptions'!$D$13)^(9-1)</x:f>
        <x:v>26583.066587526177</x:v>
      </x:c>
      <x:c r="Q1147" s="10" t="n">
        <x:f>J1147*'Assumptions'!$S$145</x:f>
        <x:v>0</x:v>
      </x:c>
      <x:c r="R1147" s="10" t="n">
        <x:f>H1147*'Assumptions'!$Y$145*'Assumptions'!$Z$145*'Assumptions'!$D$11*(1+'Assumptions'!$D$13)^(9-1)</x:f>
        <x:v>478.4951985754711</x:v>
      </x:c>
      <x:c r="S1147" s="10" t="n">
        <x:f>IF(I1147=0,0,J1147*'Assumptions'!$W$145+H1147*'Assumptions'!$X$145)</x:f>
        <x:v>1308.6325055909754</x:v>
      </x:c>
      <x:c r="T1147" s="10" t="n">
        <x:f>N1147*'Assumptions'!$AA$145</x:f>
        <x:v>3363.525720047367</x:v>
      </x:c>
      <x:c r="U1147" s="10" t="n">
        <x:f>'Assumptions'!$AE$145*'Assumptions'!$D$11*(1+'Assumptions'!$D$13)^(9-1)</x:f>
        <x:v>0</x:v>
      </x:c>
      <x:c r="V1147" s="10" t="n">
        <x:f>0</x:f>
        <x:v>0</x:v>
      </x:c>
      <x:c r="W1147" s="10" t="n">
        <x:f>H1147*('Assumptions'!$P$145+'Assumptions'!$Y$145)</x:f>
        <x:v>54.560787425496045</x:v>
      </x:c>
      <x:c r="X1147" s="10" t="n">
        <x:f>N1147/12*'Assumptions'!$AF$145</x:f>
        <x:v>0</x:v>
      </x:c>
      <x:c r="Y1147" s="10" t="n">
        <x:f>P1147/12</x:f>
        <x:v>2215.2555489605147</x:v>
      </x:c>
      <x:c r="Z1147" s="10" t="n">
        <x:f>0</x:f>
        <x:v>0</x:v>
      </x:c>
      <x:c r="AA1147" s="10" t="n">
        <x:f>Z1147*'Assumptions'!$AC$145*'Assumptions'!$D$11*(1+'Assumptions'!$D$13)^(9-1)</x:f>
        <x:v>0</x:v>
      </x:c>
      <x:c r="AB1147" s="10" t="n">
        <x:f>F1147/1</x:f>
        <x:v>59.50593272015488</x:v>
      </x:c>
      <x:c r="AC1147" s="10" t="n">
        <x:f>AB1147/'Assumptions'!$AM$145</x:f>
        <x:v>1983.5310906718294</x:v>
      </x:c>
      <x:c r="AD1147" s="10" t="n">
        <x:f>IF(AB1147=0,0,T1147/AB1147)</x:f>
        <x:v>56.52420802922947</x:v>
      </x:c>
      <x:c r="AE1147" s="10" t="n">
        <x:f>AA1147*'Assumptions'!$D$21</x:f>
        <x:v>0</x:v>
      </x:c>
    </x:row>
    <x:row r="1148" ht="16" customHeight="1">
      <x:c r="A1148" s="1"/>
      <x:c r="B1148" s="1"/>
      <x:c r="C1148" s="1" t="str">
        <x:v>DOT-117</x:v>
      </x:c>
      <x:c r="D1148" s="10" t="str">
        <x:v>Fiefé</x:v>
      </x:c>
      <x:c r="E1148" s="10" t="n">
        <x:v>9</x:v>
      </x:c>
      <x:c r="F1148" s="21" t="n">
        <x:f>F1020*(1+'Assumptions'!$M$146)</x:f>
        <x:v>74.38241590019362</x:v>
      </x:c>
      <x:c r="G1148" s="21" t="n">
        <x:f>H1020*'Assumptions'!$K$146</x:f>
        <x:v>30.542175302683404</x:v>
      </x:c>
      <x:c r="H1148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1148+G1148,NA())</x:f>
        <x:v>104.92459120287702</x:v>
      </x:c>
      <x:c r="I1148" s="22" t="n">
        <x:f>'Assumptions'!$H$146*IF('Assumptions'!$O$146=1,1,'Assumptions'!$D$10)*(1+'Assumptions'!$N$146)^(9-1)</x:f>
        <x:v>205.0403916753965</x:v>
      </x:c>
      <x:c r="J1148" s="10" t="n">
        <x:f>H1148*I1148</x:f>
        <x:v>21513.779276618767</x:v>
      </x:c>
      <x:c r="K1148" s="10" t="n">
        <x:f>J1148*'Assumptions'!$T$146</x:f>
        <x:v>21513.779276618767</x:v>
      </x:c>
      <x:c r="L1148" s="10" t="n">
        <x:f>K1148*'Assumptions'!$U$146</x:f>
        <x:v>645.413378298563</x:v>
      </x:c>
      <x:c r="M1148" s="10" t="n">
        <x:f>K1148*'Assumptions'!$V$146</x:f>
        <x:v>430.2755855323753</x:v>
      </x:c>
      <x:c r="N1148" s="10" t="n">
        <x:f>K1148-L1148-M1148</x:f>
        <x:v>20438.09031278783</x:v>
      </x:c>
      <x:c r="O1148" s="10" t="n">
        <x:f>H1148*'Assumptions'!$P$146*'Assumptions'!$Q$146*'Assumptions'!$D$11*(1+'Assumptions'!$D$13)^(9-1)</x:f>
        <x:v>1495.2974955483478</x:v>
      </x:c>
      <x:c r="P1148" s="10" t="n">
        <x:f>H1148*'Assumptions'!$R$146*'Assumptions'!$D$11*(1+'Assumptions'!$D$13)^(9-1)</x:f>
        <x:v>10633.226635010473</x:v>
      </x:c>
      <x:c r="Q1148" s="10" t="n">
        <x:f>J1148*'Assumptions'!$S$146</x:f>
        <x:v>0</x:v>
      </x:c>
      <x:c r="R1148" s="10" t="n">
        <x:f>H1148*'Assumptions'!$Y$146*'Assumptions'!$Z$146*'Assumptions'!$D$11*(1+'Assumptions'!$D$13)^(9-1)</x:f>
        <x:v>598.118998219339</x:v>
      </x:c>
      <x:c r="S1148" s="10" t="n">
        <x:f>IF(I1148=0,0,J1148*'Assumptions'!$W$146+H1148*'Assumptions'!$X$146)</x:f>
        <x:v>655.3769763828074</x:v>
      </x:c>
      <x:c r="T1148" s="10" t="n">
        <x:f>N1148*'Assumptions'!$AA$146</x:f>
        <x:v>1635.0472250230264</x:v>
      </x:c>
      <x:c r="U1148" s="10" t="n">
        <x:f>'Assumptions'!$AE$146*'Assumptions'!$D$11*(1+'Assumptions'!$D$13)^(9-1)</x:f>
        <x:v>0</x:v>
      </x:c>
      <x:c r="V1148" s="10" t="n">
        <x:f>0</x:f>
        <x:v>0</x:v>
      </x:c>
      <x:c r="W1148" s="10" t="n">
        <x:f>H1148*('Assumptions'!$P$146+'Assumptions'!$Y$146)</x:f>
        <x:v>41.969836481150814</x:v>
      </x:c>
      <x:c r="X1148" s="10" t="n">
        <x:f>N1148/12*'Assumptions'!$AF$146</x:f>
        <x:v>0</x:v>
      </x:c>
      <x:c r="Y1148" s="10" t="n">
        <x:f>P1148/12</x:f>
        <x:v>886.1022195842061</x:v>
      </x:c>
      <x:c r="Z1148" s="10" t="n">
        <x:f>0</x:f>
        <x:v>0</x:v>
      </x:c>
      <x:c r="AA1148" s="10" t="n">
        <x:f>Z1148*'Assumptions'!$AC$146*'Assumptions'!$D$11*(1+'Assumptions'!$D$13)^(9-1)</x:f>
        <x:v>0</x:v>
      </x:c>
      <x:c r="AB1148" s="10" t="n">
        <x:f>F1148/1</x:f>
        <x:v>74.38241590019362</x:v>
      </x:c>
      <x:c r="AC1148" s="10" t="n">
        <x:f>AB1148/'Assumptions'!$AM$146</x:f>
        <x:v>2479.4138633397874</x:v>
      </x:c>
      <x:c r="AD1148" s="10" t="n">
        <x:f>IF(AB1148=0,0,T1148/AB1148)</x:f>
        <x:v>21.981636455811465</x:v>
      </x:c>
      <x:c r="AE1148" s="10" t="n">
        <x:f>AA1148*'Assumptions'!$D$21</x:f>
        <x:v>0</x:v>
      </x:c>
    </x:row>
    <x:row r="1149" ht="16" customHeight="1">
      <x:c r="A1149" s="1"/>
      <x:c r="B1149" s="1"/>
      <x:c r="C1149" s="1" t="str">
        <x:v>DOT-118</x:v>
      </x:c>
      <x:c r="D1149" s="10" t="str">
        <x:v>Fiefé Design</x:v>
      </x:c>
      <x:c r="E1149" s="10" t="n">
        <x:v>9</x:v>
      </x:c>
      <x:c r="F1149" s="21" t="n">
        <x:f>F1021*(1+'Assumptions'!$M$147)</x:f>
        <x:v>9.91765545335915</x:v>
      </x:c>
      <x:c r="G1149" s="21" t="n">
        <x:f>H1021*'Assumptions'!$K$147</x:f>
        <x:v>4.072290040357786</x:v>
      </x:c>
      <x:c r="H1149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1149+G1149,NA())</x:f>
        <x:v>13.989945493716935</x:v>
      </x:c>
      <x:c r="I1149" s="22" t="n">
        <x:f>'Assumptions'!$H$147*IF('Assumptions'!$O$147=1,1,'Assumptions'!$D$10)*(1+'Assumptions'!$N$147)^(9-1)</x:f>
        <x:v>2929.1484525056644</x:v>
      </x:c>
      <x:c r="J1149" s="10" t="n">
        <x:f>H1149*I1149</x:f>
        <x:v>40978.62719355955</x:v>
      </x:c>
      <x:c r="K1149" s="10" t="n">
        <x:f>J1149*'Assumptions'!$T$147</x:f>
        <x:v>40978.62719355955</x:v>
      </x:c>
      <x:c r="L1149" s="10" t="n">
        <x:f>K1149*'Assumptions'!$U$147</x:f>
        <x:v>1229.3588158067864</x:v>
      </x:c>
      <x:c r="M1149" s="10" t="n">
        <x:f>K1149*'Assumptions'!$V$147</x:f>
        <x:v>819.572543871191</x:v>
      </x:c>
      <x:c r="N1149" s="10" t="n">
        <x:f>K1149-L1149-M1149</x:f>
        <x:v>38929.695833881575</x:v>
      </x:c>
      <x:c r="O1149" s="10" t="n">
        <x:f>H1149*'Assumptions'!$P$147*'Assumptions'!$Q$147*'Assumptions'!$D$11*(1+'Assumptions'!$D$13)^(9-1)</x:f>
        <x:v>8506.581308008377</x:v>
      </x:c>
      <x:c r="P1149" s="10" t="n">
        <x:f>H1149*'Assumptions'!$R$147*'Assumptions'!$D$11*(1+'Assumptions'!$D$13)^(9-1)</x:f>
        <x:v>15949.839952515706</x:v>
      </x:c>
      <x:c r="Q1149" s="10" t="n">
        <x:f>J1149*'Assumptions'!$S$147</x:f>
        <x:v>0</x:v>
      </x:c>
      <x:c r="R1149" s="10" t="n">
        <x:f>H1149*'Assumptions'!$Y$147*'Assumptions'!$Z$147*'Assumptions'!$D$11*(1+'Assumptions'!$D$13)^(9-1)</x:f>
        <x:v>79.74919976257853</x:v>
      </x:c>
      <x:c r="S1149" s="10" t="n">
        <x:f>IF(I1149=0,0,J1149*'Assumptions'!$W$147+H1149*'Assumptions'!$X$147)</x:f>
        <x:v>1192.5771722613422</x:v>
      </x:c>
      <x:c r="T1149" s="10" t="n">
        <x:f>N1149*'Assumptions'!$AA$147</x:f>
        <x:v>3114.3756667105263</x:v>
      </x:c>
      <x:c r="U1149" s="10" t="n">
        <x:f>'Assumptions'!$AE$147*'Assumptions'!$D$11*(1+'Assumptions'!$D$13)^(9-1)</x:f>
        <x:v>0</x:v>
      </x:c>
      <x:c r="V1149" s="10" t="n">
        <x:f>0</x:f>
        <x:v>0</x:v>
      </x:c>
      <x:c r="W1149" s="10" t="n">
        <x:f>H1149*('Assumptions'!$P$147+'Assumptions'!$Y$147)</x:f>
        <x:v>114.01805577379302</x:v>
      </x:c>
      <x:c r="X1149" s="10" t="n">
        <x:f>N1149/12*'Assumptions'!$AF$147</x:f>
        <x:v>0</x:v>
      </x:c>
      <x:c r="Y1149" s="10" t="n">
        <x:f>P1149/12</x:f>
        <x:v>1329.1533293763089</x:v>
      </x:c>
      <x:c r="Z1149" s="10" t="n">
        <x:f>0</x:f>
        <x:v>0</x:v>
      </x:c>
      <x:c r="AA1149" s="10" t="n">
        <x:f>Z1149*'Assumptions'!$AC$147*'Assumptions'!$D$11*(1+'Assumptions'!$D$13)^(9-1)</x:f>
        <x:v>0</x:v>
      </x:c>
      <x:c r="AB1149" s="10" t="n">
        <x:f>F1149/1</x:f>
        <x:v>9.91765545335915</x:v>
      </x:c>
      <x:c r="AC1149" s="10" t="n">
        <x:f>AB1149/'Assumptions'!$AM$147</x:f>
        <x:v>330.5885151119717</x:v>
      </x:c>
      <x:c r="AD1149" s="10" t="n">
        <x:f>IF(AB1149=0,0,T1149/AB1149)</x:f>
        <x:v>314.02337794016375</x:v>
      </x:c>
      <x:c r="AE1149" s="10" t="n">
        <x:f>AA1149*'Assumptions'!$D$21</x:f>
        <x:v>0</x:v>
      </x:c>
    </x:row>
    <x:row r="1150" ht="16" customHeight="1">
      <x:c r="A1150" s="1"/>
      <x:c r="B1150" s="1"/>
      <x:c r="C1150" s="1" t="str">
        <x:v>DOT-119</x:v>
      </x:c>
      <x:c r="D1150" s="10" t="str">
        <x:v>OsezArt</x:v>
      </x:c>
      <x:c r="E1150" s="10" t="n">
        <x:v>9</x:v>
      </x:c>
      <x:c r="F1150" s="21" t="n">
        <x:f>F1022*(1+'Assumptions'!$M$148)</x:f>
        <x:v>8.401878246297601</x:v>
      </x:c>
      <x:c r="G1150" s="21" t="n">
        <x:f>H1022*'Assumptions'!$K$148</x:f>
        <x:v>16.377320135904</x:v>
      </x:c>
      <x:c r="H1150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1150+G1150,NA())</x:f>
        <x:v>24.7791983822016</x:v>
      </x:c>
      <x:c r="I1150" s="22" t="n">
        <x:f>'Assumptions'!$H$148*IF('Assumptions'!$O$148=1,1,'Assumptions'!$D$10)*(1+'Assumptions'!$N$148)^(9-1)</x:f>
        <x:v>5858.296905011329</x:v>
      </x:c>
      <x:c r="J1150" s="10" t="n">
        <x:f>H1150*I1150</x:f>
        <x:v>145163.90119111334</x:v>
      </x:c>
      <x:c r="K1150" s="10" t="n">
        <x:f>J1150*'Assumptions'!$T$148</x:f>
        <x:v>29032.78023822267</x:v>
      </x:c>
      <x:c r="L1150" s="10" t="n">
        <x:f>K1150*'Assumptions'!$U$148</x:f>
        <x:v>870.9834071466801</x:v>
      </x:c>
      <x:c r="M1150" s="10" t="n">
        <x:f>K1150*'Assumptions'!$V$148</x:f>
        <x:v>0</x:v>
      </x:c>
      <x:c r="N1150" s="10" t="n">
        <x:f>K1150-L1150-M1150</x:f>
        <x:v>28161.79683107599</x:v>
      </x:c>
      <x:c r="O1150" s="10" t="n">
        <x:f>H1150*'Assumptions'!$P$148*'Assumptions'!$Q$148*'Assumptions'!$D$11*(1+'Assumptions'!$D$13)^(9-1)</x:f>
        <x:v>7533.49131632194</x:v>
      </x:c>
      <x:c r="P1150" s="10" t="n">
        <x:f>H1150*'Assumptions'!$R$148*'Assumptions'!$D$11*(1+'Assumptions'!$D$13)^(9-1)</x:f>
        <x:v>0</x:v>
      </x:c>
      <x:c r="Q1150" s="10" t="n">
        <x:f>J1150*'Assumptions'!$S$148</x:f>
        <x:v>0</x:v>
      </x:c>
      <x:c r="R1150" s="10" t="n">
        <x:f>H1150*'Assumptions'!$Y$148*'Assumptions'!$Z$148*'Assumptions'!$D$11*(1+'Assumptions'!$D$13)^(9-1)</x:f>
        <x:v>141.25296218103637</x:v>
      </x:c>
      <x:c r="S1150" s="10" t="n">
        <x:f>IF(I1150=0,0,J1150*'Assumptions'!$W$148+H1150*'Assumptions'!$X$148)</x:f>
        <x:v>4217.1868940569475</x:v>
      </x:c>
      <x:c r="T1150" s="10" t="n">
        <x:f>N1150*'Assumptions'!$AA$148</x:f>
        <x:v>1408.0898415537995</x:v>
      </x:c>
      <x:c r="U1150" s="10" t="n">
        <x:f>'Assumptions'!$AE$148*'Assumptions'!$D$11*(1+'Assumptions'!$D$13)^(9-1)</x:f>
        <x:v>0</x:v>
      </x:c>
      <x:c r="V1150" s="10" t="n">
        <x:f>0</x:f>
        <x:v>0</x:v>
      </x:c>
      <x:c r="W1150" s="10" t="n">
        <x:f>H1150*('Assumptions'!$P$148+'Assumptions'!$Y$148)</x:f>
        <x:v>102.83367328613664</x:v>
      </x:c>
      <x:c r="X1150" s="10" t="n">
        <x:f>N1150/12*'Assumptions'!$AF$148</x:f>
        <x:v>0</x:v>
      </x:c>
      <x:c r="Y1150" s="10" t="n">
        <x:f>P1150/12</x:f>
        <x:v>0</x:v>
      </x:c>
      <x:c r="Z1150" s="10" t="n">
        <x:f>0</x:f>
        <x:v>0</x:v>
      </x:c>
      <x:c r="AA1150" s="10" t="n">
        <x:f>Z1150*'Assumptions'!$AC$148*'Assumptions'!$D$11*(1+'Assumptions'!$D$13)^(9-1)</x:f>
        <x:v>0</x:v>
      </x:c>
      <x:c r="AB1150" s="10" t="n">
        <x:f>F1150/1</x:f>
        <x:v>8.401878246297601</x:v>
      </x:c>
      <x:c r="AC1150" s="10" t="n">
        <x:f>AB1150/'Assumptions'!$AM$148</x:f>
        <x:v>168.037564925952</x:v>
      </x:c>
      <x:c r="AD1150" s="10" t="n">
        <x:f>IF(AB1150=0,0,T1150/AB1150)</x:f>
        <x:v>167.5922692850605</x:v>
      </x:c>
      <x:c r="AE1150" s="10" t="n">
        <x:f>AA1150*'Assumptions'!$D$21</x:f>
        <x:v>0</x:v>
      </x:c>
    </x:row>
    <x:row r="1151" ht="16" customHeight="1">
      <x:c r="A1151" s="1"/>
      <x:c r="B1151" s="1"/>
      <x:c r="C1151" s="1" t="str">
        <x:v>DOT-120</x:v>
      </x:c>
      <x:c r="D1151" s="10" t="str">
        <x:v>OsezArt</x:v>
      </x:c>
      <x:c r="E1151" s="10" t="n">
        <x:v>9</x:v>
      </x:c>
      <x:c r="F1151" s="21" t="n">
        <x:f>F1023*(1+'Assumptions'!$M$149)</x:f>
        <x:v>4.943572346163002</x:v>
      </x:c>
      <x:c r="G1151" s="21" t="n">
        <x:f>H1023*'Assumptions'!$K$149</x:f>
        <x:v>4.629626918550001</x:v>
      </x:c>
      <x:c r="H1151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1151+G1151,NA())</x:f>
        <x:v>9.573199264713004</x:v>
      </x:c>
      <x:c r="I1151" s="22" t="n">
        <x:f>'Assumptions'!$H$149*IF('Assumptions'!$O$149=1,1,'Assumptions'!$D$10)*(1+'Assumptions'!$N$149)^(9-1)</x:f>
        <x:v>5858.296905011329</x:v>
      </x:c>
      <x:c r="J1151" s="10" t="n">
        <x:f>H1151*I1151</x:f>
        <x:v>56082.64362352492</x:v>
      </x:c>
      <x:c r="K1151" s="10" t="n">
        <x:f>J1151*'Assumptions'!$T$149</x:f>
        <x:v>56082.64362352492</x:v>
      </x:c>
      <x:c r="L1151" s="10" t="n">
        <x:f>K1151*'Assumptions'!$U$149</x:f>
        <x:v>1682.4793087057476</x:v>
      </x:c>
      <x:c r="M1151" s="10" t="n">
        <x:f>K1151*'Assumptions'!$V$149</x:f>
        <x:v>0</x:v>
      </x:c>
      <x:c r="N1151" s="10" t="n">
        <x:f>K1151-L1151-M1151</x:f>
        <x:v>54400.16431481917</x:v>
      </x:c>
      <x:c r="O1151" s="10" t="n">
        <x:f>H1151*'Assumptions'!$P$149*'Assumptions'!$Q$149*'Assumptions'!$D$11*(1+'Assumptions'!$D$13)^(9-1)</x:f>
        <x:v>23647.73270281571</x:v>
      </x:c>
      <x:c r="P1151" s="10" t="n">
        <x:f>H1151*'Assumptions'!$R$149*'Assumptions'!$D$11*(1+'Assumptions'!$D$13)^(9-1)</x:f>
        <x:v>3031.7606029250906</x:v>
      </x:c>
      <x:c r="Q1151" s="10" t="n">
        <x:f>J1151*'Assumptions'!$S$149</x:f>
        <x:v>0</x:v>
      </x:c>
      <x:c r="R1151" s="10" t="n">
        <x:f>H1151*'Assumptions'!$Y$149*'Assumptions'!$Z$149*'Assumptions'!$D$11*(1+'Assumptions'!$D$13)^(9-1)</x:f>
        <x:v>90.95281808775272</x:v>
      </x:c>
      <x:c r="S1151" s="10" t="n">
        <x:f>IF(I1151=0,0,J1151*'Assumptions'!$W$149+H1151*'Assumptions'!$X$149)</x:f>
        <x:v>1629.2686248616367</x:v>
      </x:c>
      <x:c r="T1151" s="10" t="n">
        <x:f>N1151*'Assumptions'!$AA$149</x:f>
        <x:v>2176.006572592767</x:v>
      </x:c>
      <x:c r="U1151" s="10" t="n">
        <x:f>'Assumptions'!$AE$149*'Assumptions'!$D$11*(1+'Assumptions'!$D$13)^(9-1)</x:f>
        <x:v>0</x:v>
      </x:c>
      <x:c r="V1151" s="10" t="n">
        <x:f>0</x:f>
        <x:v>0</x:v>
      </x:c>
      <x:c r="W1151" s="10" t="n">
        <x:f>H1151*('Assumptions'!$P$149+'Assumptions'!$Y$149)</x:f>
        <x:v>289.58927775756837</x:v>
      </x:c>
      <x:c r="X1151" s="10" t="n">
        <x:f>N1151/12*'Assumptions'!$AF$149</x:f>
        <x:v>4533.347026234931</x:v>
      </x:c>
      <x:c r="Y1151" s="10" t="n">
        <x:f>P1151/12</x:f>
        <x:v>252.6467169104242</x:v>
      </x:c>
      <x:c r="Z1151" s="10" t="n">
        <x:f>0</x:f>
        <x:v>0</x:v>
      </x:c>
      <x:c r="AA1151" s="10" t="n">
        <x:f>Z1151*'Assumptions'!$AC$149*'Assumptions'!$D$11*(1+'Assumptions'!$D$13)^(9-1)</x:f>
        <x:v>0</x:v>
      </x:c>
      <x:c r="AB1151" s="10" t="n">
        <x:f>F1151/1</x:f>
        <x:v>4.943572346163002</x:v>
      </x:c>
      <x:c r="AC1151" s="10" t="n">
        <x:f>AB1151/'Assumptions'!$AM$149</x:f>
        <x:v>24.71786173081501</x:v>
      </x:c>
      <x:c r="AD1151" s="10" t="n">
        <x:f>IF(AB1151=0,0,T1151/AB1151)</x:f>
        <x:v>440.1688536593773</x:v>
      </x:c>
      <x:c r="AE1151" s="10" t="n">
        <x:f>AA1151*'Assumptions'!$D$21</x:f>
        <x:v>0</x:v>
      </x:c>
    </x:row>
    <x:row r="1152" ht="16" customHeight="1">
      <x:c r="A1152" s="1"/>
      <x:c r="B1152" s="1"/>
      <x:c r="C1152" s="1" t="str">
        <x:v>DOT-121</x:v>
      </x:c>
      <x:c r="D1152" s="10" t="str">
        <x:v>OsezArt</x:v>
      </x:c>
      <x:c r="E1152" s="10" t="n">
        <x:v>9</x:v>
      </x:c>
      <x:c r="F1152" s="21" t="n">
        <x:f>F1024*(1+'Assumptions'!$M$150)</x:f>
        <x:v>4.943572346163002</x:v>
      </x:c>
      <x:c r="G1152" s="21" t="n">
        <x:f>H1024*'Assumptions'!$K$150</x:f>
        <x:v>4.623767543550001</x:v>
      </x:c>
      <x:c r="H1152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1152+G1152,NA())</x:f>
        <x:v>9.567339889713004</x:v>
      </x:c>
      <x:c r="I1152" s="22" t="n">
        <x:f>'Assumptions'!$H$150*IF('Assumptions'!$O$150=1,1,'Assumptions'!$D$10)*(1+'Assumptions'!$N$150)^(9-1)</x:f>
        <x:v>3514.9781430067974</x:v>
      </x:c>
      <x:c r="J1152" s="10" t="n">
        <x:f>H1152*I1152</x:f>
        <x:v>33628.99059905827</x:v>
      </x:c>
      <x:c r="K1152" s="10" t="n">
        <x:f>J1152*'Assumptions'!$T$150</x:f>
        <x:v>33628.99059905827</x:v>
      </x:c>
      <x:c r="L1152" s="10" t="n">
        <x:f>K1152*'Assumptions'!$U$150</x:f>
        <x:v>1008.8697179717481</x:v>
      </x:c>
      <x:c r="M1152" s="10" t="n">
        <x:f>K1152*'Assumptions'!$V$150</x:f>
        <x:v>0</x:v>
      </x:c>
      <x:c r="N1152" s="10" t="n">
        <x:f>K1152-L1152-M1152</x:f>
        <x:v>32620.12088108652</x:v>
      </x:c>
      <x:c r="O1152" s="10" t="n">
        <x:f>H1152*'Assumptions'!$P$150*'Assumptions'!$Q$150*'Assumptions'!$D$11*(1+'Assumptions'!$D$13)^(9-1)</x:f>
        <x:v>14179.955318983033</x:v>
      </x:c>
      <x:c r="P1152" s="10" t="n">
        <x:f>H1152*'Assumptions'!$R$150*'Assumptions'!$D$11*(1+'Assumptions'!$D$13)^(9-1)</x:f>
        <x:v>2423.9239861509463</x:v>
      </x:c>
      <x:c r="Q1152" s="10" t="n">
        <x:f>J1152*'Assumptions'!$S$150</x:f>
        <x:v>0</x:v>
      </x:c>
      <x:c r="R1152" s="10" t="n">
        <x:f>H1152*'Assumptions'!$Y$150*'Assumptions'!$Z$150*'Assumptions'!$D$11*(1+'Assumptions'!$D$13)^(9-1)</x:f>
        <x:v>90.89714948066049</x:v>
      </x:c>
      <x:c r="S1152" s="10" t="n">
        <x:f>IF(I1152=0,0,J1152*'Assumptions'!$W$150+H1152*'Assumptions'!$X$150)</x:f>
        <x:v>978.1109293396038</x:v>
      </x:c>
      <x:c r="T1152" s="10" t="n">
        <x:f>N1152*'Assumptions'!$AA$150</x:f>
        <x:v>1304.804835243461</x:v>
      </x:c>
      <x:c r="U1152" s="10" t="n">
        <x:f>'Assumptions'!$AE$150*'Assumptions'!$D$11*(1+'Assumptions'!$D$13)^(9-1)</x:f>
        <x:v>0</x:v>
      </x:c>
      <x:c r="V1152" s="10" t="n">
        <x:f>0</x:f>
        <x:v>0</x:v>
      </x:c>
      <x:c r="W1152" s="10" t="n">
        <x:f>H1152*('Assumptions'!$P$150+'Assumptions'!$Y$150)</x:f>
        <x:v>174.60395298726232</x:v>
      </x:c>
      <x:c r="X1152" s="10" t="n">
        <x:f>N1152/12*'Assumptions'!$AF$150</x:f>
        <x:v>2718.3434067572102</x:v>
      </x:c>
      <x:c r="Y1152" s="10" t="n">
        <x:f>P1152/12</x:f>
        <x:v>201.99366551257887</x:v>
      </x:c>
      <x:c r="Z1152" s="10" t="n">
        <x:f>0</x:f>
        <x:v>0</x:v>
      </x:c>
      <x:c r="AA1152" s="10" t="n">
        <x:f>Z1152*'Assumptions'!$AC$150*'Assumptions'!$D$11*(1+'Assumptions'!$D$13)^(9-1)</x:f>
        <x:v>0</x:v>
      </x:c>
      <x:c r="AB1152" s="10" t="n">
        <x:f>F1152/1</x:f>
        <x:v>4.943572346163002</x:v>
      </x:c>
      <x:c r="AC1152" s="10" t="n">
        <x:f>AB1152/'Assumptions'!$AM$150</x:f>
        <x:v>24.71786173081501</x:v>
      </x:c>
      <x:c r="AD1152" s="10" t="n">
        <x:f>IF(AB1152=0,0,T1152/AB1152)</x:f>
        <x:v>263.93966627315507</x:v>
      </x:c>
      <x:c r="AE1152" s="10" t="n">
        <x:f>AA1152*'Assumptions'!$D$21</x:f>
        <x:v>0</x:v>
      </x:c>
    </x:row>
    <x:row r="1153" ht="16" customHeight="1">
      <x:c r="A1153" s="1"/>
      <x:c r="B1153" s="1"/>
      <x:c r="C1153" s="1" t="str">
        <x:v>DOT-122</x:v>
      </x:c>
      <x:c r="D1153" s="10" t="str">
        <x:v>OsezArt</x:v>
      </x:c>
      <x:c r="E1153" s="10" t="n">
        <x:v>9</x:v>
      </x:c>
      <x:c r="F1153" s="21" t="n">
        <x:f>F1025*(1+'Assumptions'!$M$151)</x:f>
        <x:v>1.647857448721001</x:v>
      </x:c>
      <x:c r="G1153" s="21" t="n">
        <x:f>H1025*'Assumptions'!$K$151</x:f>
        <x:v>1.541255847850001</x:v>
      </x:c>
      <x:c r="H1153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1153+G1153,NA())</x:f>
        <x:v>3.189113296571002</x:v>
      </x:c>
      <x:c r="I1153" s="22" t="n">
        <x:f>'Assumptions'!$H$151*IF('Assumptions'!$O$151=1,1,'Assumptions'!$D$10)*(1+'Assumptions'!$N$151)^(9-1)</x:f>
        <x:v>11716.593810022658</x:v>
      </x:c>
      <x:c r="J1153" s="10" t="n">
        <x:f>H1153*I1153</x:f>
        <x:v>37365.545110064755</x:v>
      </x:c>
      <x:c r="K1153" s="10" t="n">
        <x:f>J1153*'Assumptions'!$T$151</x:f>
        <x:v>37365.545110064755</x:v>
      </x:c>
      <x:c r="L1153" s="10" t="n">
        <x:f>K1153*'Assumptions'!$U$151</x:f>
        <x:v>1120.9663533019427</x:v>
      </x:c>
      <x:c r="M1153" s="10" t="n">
        <x:f>K1153*'Assumptions'!$V$151</x:f>
        <x:v>0</x:v>
      </x:c>
      <x:c r="N1153" s="10" t="n">
        <x:f>K1153-L1153-M1153</x:f>
        <x:v>36244.578756762814</x:v>
      </x:c>
      <x:c r="O1153" s="10" t="n">
        <x:f>H1153*'Assumptions'!$P$151*'Assumptions'!$Q$151*'Assumptions'!$D$11*(1+'Assumptions'!$D$13)^(9-1)</x:f>
        <x:v>15755.505909981153</x:v>
      </x:c>
      <x:c r="P1153" s="10" t="n">
        <x:f>H1153*'Assumptions'!$R$151*'Assumptions'!$D$11*(1+'Assumptions'!$D$13)^(9-1)</x:f>
        <x:v>2019.9366551257888</x:v>
      </x:c>
      <x:c r="Q1153" s="10" t="n">
        <x:f>J1153*'Assumptions'!$S$151</x:f>
        <x:v>0</x:v>
      </x:c>
      <x:c r="R1153" s="10" t="n">
        <x:f>H1153*'Assumptions'!$Y$151*'Assumptions'!$Z$151*'Assumptions'!$D$11*(1+'Assumptions'!$D$13)^(9-1)</x:f>
        <x:v>30.299049826886833</x:v>
      </x:c>
      <x:c r="S1153" s="10" t="n">
        <x:f>IF(I1153=0,0,J1153*'Assumptions'!$W$151+H1153*'Assumptions'!$X$151)</x:f>
        <x:v>1084.5575421808494</x:v>
      </x:c>
      <x:c r="T1153" s="10" t="n">
        <x:f>N1153*'Assumptions'!$AA$151</x:f>
        <x:v>1449.7831502705126</x:v>
      </x:c>
      <x:c r="U1153" s="10" t="n">
        <x:f>'Assumptions'!$AE$151*'Assumptions'!$D$11*(1+'Assumptions'!$D$13)^(9-1)</x:f>
        <x:v>0</x:v>
      </x:c>
      <x:c r="V1153" s="10" t="n">
        <x:f>0</x:f>
        <x:v>0</x:v>
      </x:c>
      <x:c r="W1153" s="10" t="n">
        <x:f>H1153*('Assumptions'!$P$151+'Assumptions'!$Y$151)</x:f>
        <x:v>192.14407611840286</x:v>
      </x:c>
      <x:c r="X1153" s="10" t="n">
        <x:f>N1153/12*'Assumptions'!$AF$151</x:f>
        <x:v>3020.3815630635677</x:v>
      </x:c>
      <x:c r="Y1153" s="10" t="n">
        <x:f>P1153/12</x:f>
        <x:v>168.32805459381572</x:v>
      </x:c>
      <x:c r="Z1153" s="10" t="n">
        <x:f>0</x:f>
        <x:v>0</x:v>
      </x:c>
      <x:c r="AA1153" s="10" t="n">
        <x:f>Z1153*'Assumptions'!$AC$151*'Assumptions'!$D$11*(1+'Assumptions'!$D$13)^(9-1)</x:f>
        <x:v>0</x:v>
      </x:c>
      <x:c r="AB1153" s="10" t="n">
        <x:f>F1153/1</x:f>
        <x:v>1.647857448721001</x:v>
      </x:c>
      <x:c r="AC1153" s="10" t="n">
        <x:f>AB1153/'Assumptions'!$AM$151</x:f>
        <x:v>8.239287243605004</x:v>
      </x:c>
      <x:c r="AD1153" s="10" t="n">
        <x:f>IF(AB1153=0,0,T1153/AB1153)</x:f>
        <x:v>879.7988875771837</x:v>
      </x:c>
      <x:c r="AE1153" s="10" t="n">
        <x:f>AA1153*'Assumptions'!$D$21</x:f>
        <x:v>0</x:v>
      </x:c>
    </x:row>
    <x:row r="1154" ht="16" customHeight="1">
      <x:c r="A1154" s="1"/>
      <x:c r="B1154" s="1"/>
      <x:c r="C1154" s="1" t="str">
        <x:v>DOT-123</x:v>
      </x:c>
      <x:c r="D1154" s="10" t="str">
        <x:v>FinBot research</x:v>
      </x:c>
      <x:c r="E1154" s="10" t="n">
        <x:v>9</x:v>
      </x:c>
      <x:c r="F1154" s="21" t="n">
        <x:f>F1026*(1+'Assumptions'!$M$152)</x:f>
        <x:v>177.16697488080558</x:v>
      </x:c>
      <x:c r="G1154" s="21" t="n">
        <x:f>H1026*'Assumptions'!$K$152</x:f>
        <x:v>56.757170450203105</x:v>
      </x:c>
      <x:c r="H1154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1154+G1154,NA())</x:f>
        <x:v>233.92414533100867</x:v>
      </x:c>
      <x:c r="I1154" s="22" t="n">
        <x:f>'Assumptions'!$H$152*IF('Assumptions'!$O$152=1,1,'Assumptions'!$D$10)*(1+'Assumptions'!$N$152)^(9-1)</x:f>
        <x:v>33.9781220490657</x:v>
      </x:c>
      <x:c r="J1154" s="10" t="n">
        <x:f>H1154*I1154</x:f>
        <x:v>7948.303160280396</x:v>
      </x:c>
      <x:c r="K1154" s="10" t="n">
        <x:f>J1154*'Assumptions'!$T$152</x:f>
        <x:v>7948.303160280396</x:v>
      </x:c>
      <x:c r="L1154" s="10" t="n">
        <x:f>K1154*'Assumptions'!$U$152</x:f>
        <x:v>238.44909480841187</x:v>
      </x:c>
      <x:c r="M1154" s="10" t="n">
        <x:f>K1154*'Assumptions'!$V$152</x:f>
        <x:v>0</x:v>
      </x:c>
      <x:c r="N1154" s="10" t="n">
        <x:f>K1154-L1154-M1154</x:f>
        <x:v>7709.854065471984</x:v>
      </x:c>
      <x:c r="O1154" s="10" t="n">
        <x:f>H1154*'Assumptions'!$P$152*'Assumptions'!$Q$152*'Assumptions'!$D$11*(1+'Assumptions'!$D$13)^(9-1)</x:f>
        <x:v>2666.952977575414</x:v>
      </x:c>
      <x:c r="P1154" s="10" t="n">
        <x:f>H1154*'Assumptions'!$R$152*'Assumptions'!$D$11*(1+'Assumptions'!$D$13)^(9-1)</x:f>
        <x:v>0</x:v>
      </x:c>
      <x:c r="Q1154" s="10" t="n">
        <x:f>J1154*'Assumptions'!$S$152</x:f>
        <x:v>0</x:v>
      </x:c>
      <x:c r="R1154" s="10" t="n">
        <x:f>H1154*'Assumptions'!$Y$152*'Assumptions'!$Z$152*'Assumptions'!$D$11*(1+'Assumptions'!$D$13)^(9-1)</x:f>
        <x:v>888.9843258584715</x:v>
      </x:c>
      <x:c r="S1154" s="10" t="n">
        <x:f>IF(I1154=0,0,J1154*'Assumptions'!$W$152+H1154*'Assumptions'!$X$152)</x:f>
        <x:v>300.6780352474341</x:v>
      </x:c>
      <x:c r="T1154" s="10" t="n">
        <x:f>N1154*'Assumptions'!$AA$152</x:f>
        <x:v>385.4927032735992</x:v>
      </x:c>
      <x:c r="U1154" s="10" t="n">
        <x:f>'Assumptions'!$AE$152*'Assumptions'!$D$11*(1+'Assumptions'!$D$13)^(9-1)</x:f>
        <x:v>304.02481953302794</x:v>
      </x:c>
      <x:c r="V1154" s="10" t="n">
        <x:f>0</x:f>
        <x:v>0</x:v>
      </x:c>
      <x:c r="W1154" s="10" t="n">
        <x:f>H1154*('Assumptions'!$P$152+'Assumptions'!$Y$152)</x:f>
        <x:v>70.17724359930261</x:v>
      </x:c>
      <x:c r="X1154" s="10" t="n">
        <x:f>N1154/12*'Assumptions'!$AF$152</x:f>
        <x:v>0</x:v>
      </x:c>
      <x:c r="Y1154" s="10" t="n">
        <x:f>P1154/12</x:f>
        <x:v>0</x:v>
      </x:c>
      <x:c r="Z1154" s="10" t="n">
        <x:f>0</x:f>
        <x:v>0</x:v>
      </x:c>
      <x:c r="AA1154" s="10" t="n">
        <x:f>Z1154*'Assumptions'!$AC$152*'Assumptions'!$D$11*(1+'Assumptions'!$D$13)^(9-1)</x:f>
        <x:v>0</x:v>
      </x:c>
      <x:c r="AB1154" s="10" t="n">
        <x:f>F1154/12</x:f>
        <x:v>14.763914573400465</x:v>
      </x:c>
      <x:c r="AC1154" s="10" t="n">
        <x:f>AB1154/'Assumptions'!$AM$152</x:f>
        <x:v>295.2782914680093</x:v>
      </x:c>
      <x:c r="AD1154" s="10" t="n">
        <x:f>IF(AB1154=0,0,T1154/AB1154)</x:f>
        <x:v>26.11046693321604</x:v>
      </x:c>
      <x:c r="AE1154" s="10" t="n">
        <x:f>AA1154*'Assumptions'!$D$21</x:f>
        <x:v>0</x:v>
      </x:c>
    </x:row>
    <x:row r="1155" ht="16" customHeight="1">
      <x:c r="A1155" s="1"/>
      <x:c r="B1155" s="1"/>
      <x:c r="C1155" s="1" t="str">
        <x:v>DOT-124</x:v>
      </x:c>
      <x:c r="D1155" s="10" t="str">
        <x:v>Functional Analysis</x:v>
      </x:c>
      <x:c r="E1155" s="10" t="n">
        <x:v>9</x:v>
      </x:c>
      <x:c r="F1155" s="21" t="n">
        <x:f>F1027*(1+'Assumptions'!$M$153)</x:f>
        <x:v>354.33394976161117</x:v>
      </x:c>
      <x:c r="G1155" s="21" t="n">
        <x:f>H1027*'Assumptions'!$K$153</x:f>
        <x:v>113.51434090040621</x:v>
      </x:c>
      <x:c r="H1155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1155+G1155,NA())</x:f>
        <x:v>467.84829066201735</x:v>
      </x:c>
      <x:c r="I1155" s="22" t="n">
        <x:f>'Assumptions'!$H$153*IF('Assumptions'!$O$153=1,1,'Assumptions'!$D$10)*(1+'Assumptions'!$N$153)^(9-1)</x:f>
        <x:v>22.26152823904305</x:v>
      </x:c>
      <x:c r="J1155" s="10" t="n">
        <x:f>H1155*I1155</x:f>
        <x:v>10415.01793416052</x:v>
      </x:c>
      <x:c r="K1155" s="10" t="n">
        <x:f>J1155*'Assumptions'!$T$153</x:f>
        <x:v>10415.01793416052</x:v>
      </x:c>
      <x:c r="L1155" s="10" t="n">
        <x:f>K1155*'Assumptions'!$U$153</x:f>
        <x:v>312.45053802481556</x:v>
      </x:c>
      <x:c r="M1155" s="10" t="n">
        <x:f>K1155*'Assumptions'!$V$153</x:f>
        <x:v>0</x:v>
      </x:c>
      <x:c r="N1155" s="10" t="n">
        <x:f>K1155-L1155-M1155</x:f>
        <x:v>10102.567396135704</x:v>
      </x:c>
      <x:c r="O1155" s="10" t="n">
        <x:f>H1155*'Assumptions'!$P$153*'Assumptions'!$Q$153*'Assumptions'!$D$11*(1+'Assumptions'!$D$13)^(9-1)</x:f>
        <x:v>2074.2967603364336</x:v>
      </x:c>
      <x:c r="P1155" s="10" t="n">
        <x:f>H1155*'Assumptions'!$R$153*'Assumptions'!$D$11*(1+'Assumptions'!$D$13)^(9-1)</x:f>
        <x:v>0</x:v>
      </x:c>
      <x:c r="Q1155" s="10" t="n">
        <x:f>J1155*'Assumptions'!$S$153</x:f>
        <x:v>0</x:v>
      </x:c>
      <x:c r="R1155" s="10" t="n">
        <x:f>H1155*'Assumptions'!$Y$153*'Assumptions'!$Z$153*'Assumptions'!$D$11*(1+'Assumptions'!$D$13)^(9-1)</x:f>
        <x:v>1777.968651716943</x:v>
      </x:c>
      <x:c r="S1155" s="10" t="n">
        <x:f>IF(I1155=0,0,J1155*'Assumptions'!$W$153+H1155*'Assumptions'!$X$153)</x:f>
        <x:v>442.3900072892603</x:v>
      </x:c>
      <x:c r="T1155" s="10" t="n">
        <x:f>N1155*'Assumptions'!$AA$153</x:f>
        <x:v>505.12836980678526</x:v>
      </x:c>
      <x:c r="U1155" s="10" t="n">
        <x:f>'Assumptions'!$AE$153*'Assumptions'!$D$11*(1+'Assumptions'!$D$13)^(9-1)</x:f>
        <x:v>0</x:v>
      </x:c>
      <x:c r="V1155" s="10" t="n">
        <x:f>0</x:f>
        <x:v>0</x:v>
      </x:c>
      <x:c r="W1155" s="10" t="n">
        <x:f>H1155*('Assumptions'!$P$153+'Assumptions'!$Y$153)</x:f>
        <x:v>93.56965813240348</x:v>
      </x:c>
      <x:c r="X1155" s="10" t="n">
        <x:f>N1155/12*'Assumptions'!$AF$153</x:f>
        <x:v>0</x:v>
      </x:c>
      <x:c r="Y1155" s="10" t="n">
        <x:f>P1155/12</x:f>
        <x:v>0</x:v>
      </x:c>
      <x:c r="Z1155" s="10" t="n">
        <x:f>0</x:f>
        <x:v>0</x:v>
      </x:c>
      <x:c r="AA1155" s="10" t="n">
        <x:f>Z1155*'Assumptions'!$AC$153*'Assumptions'!$D$11*(1+'Assumptions'!$D$13)^(9-1)</x:f>
        <x:v>0</x:v>
      </x:c>
      <x:c r="AB1155" s="10" t="n">
        <x:f>F1155/1</x:f>
        <x:v>354.33394976161117</x:v>
      </x:c>
      <x:c r="AC1155" s="10" t="n">
        <x:f>AB1155/'Assumptions'!$AM$153</x:f>
        <x:v>7086.678995232223</x:v>
      </x:c>
      <x:c r="AD1155" s="10" t="n">
        <x:f>IF(AB1155=0,0,T1155/AB1155)</x:f>
        <x:v>1.4255714704916804</x:v>
      </x:c>
      <x:c r="AE1155" s="10" t="n">
        <x:f>AA1155*'Assumptions'!$D$21</x:f>
        <x:v>0</x:v>
      </x:c>
    </x:row>
    <x:row r="1156" ht="16" customHeight="1">
      <x:c r="A1156" s="1"/>
      <x:c r="B1156" s="1"/>
      <x:c r="C1156" s="1" t="str">
        <x:v>DOT-125</x:v>
      </x:c>
      <x:c r="D1156" s="10" t="str">
        <x:v>Functional Analysis</x:v>
      </x:c>
      <x:c r="E1156" s="10" t="n">
        <x:v>9</x:v>
      </x:c>
      <x:c r="F1156" s="21" t="n">
        <x:f>F1028*(1+'Assumptions'!$M$154)</x:f>
        <x:v>29.661434076978004</x:v>
      </x:c>
      <x:c r="G1156" s="21" t="n">
        <x:f>H1028*'Assumptions'!$K$154</x:f>
        <x:v>27.742605261300007</x:v>
      </x:c>
      <x:c r="H1156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1156+G1156,NA())</x:f>
        <x:v>57.40403933827801</x:v>
      </x:c>
      <x:c r="I1156" s="22" t="n">
        <x:f>'Assumptions'!$H$154*IF('Assumptions'!$O$154=1,1,'Assumptions'!$D$10)*(1+'Assumptions'!$N$154)^(9-1)</x:f>
        <x:v>115.99427871922431</x:v>
      </x:c>
      <x:c r="J1156" s="10" t="n">
        <x:f>H1156*I1156</x:f>
        <x:v>6658.540138613536</x:v>
      </x:c>
      <x:c r="K1156" s="10" t="n">
        <x:f>J1156*'Assumptions'!$T$154</x:f>
        <x:v>6658.540138613536</x:v>
      </x:c>
      <x:c r="L1156" s="10" t="n">
        <x:f>K1156*'Assumptions'!$U$154</x:f>
        <x:v>199.7562041584061</x:v>
      </x:c>
      <x:c r="M1156" s="10" t="n">
        <x:f>K1156*'Assumptions'!$V$154</x:f>
        <x:v>0</x:v>
      </x:c>
      <x:c r="N1156" s="10" t="n">
        <x:f>K1156-L1156-M1156</x:f>
        <x:v>6458.78393445513</x:v>
      </x:c>
      <x:c r="O1156" s="10" t="n">
        <x:f>H1156*'Assumptions'!$P$154*'Assumptions'!$Q$154*'Assumptions'!$D$11*(1+'Assumptions'!$D$13)^(9-1)</x:f>
        <x:v>2908.708783381135</x:v>
      </x:c>
      <x:c r="P1156" s="10" t="n">
        <x:f>H1156*'Assumptions'!$R$154*'Assumptions'!$D$11*(1+'Assumptions'!$D$13)^(9-1)</x:f>
        <x:v>0</x:v>
      </x:c>
      <x:c r="Q1156" s="10" t="n">
        <x:f>J1156*'Assumptions'!$S$154</x:f>
        <x:v>0</x:v>
      </x:c>
      <x:c r="R1156" s="10" t="n">
        <x:f>H1156*'Assumptions'!$Y$154*'Assumptions'!$Z$154*'Assumptions'!$D$11*(1+'Assumptions'!$D$13)^(9-1)</x:f>
        <x:v>545.3828968839628</x:v>
      </x:c>
      <x:c r="S1156" s="10" t="n">
        <x:f>IF(I1156=0,0,J1156*'Assumptions'!$W$154+H1156*'Assumptions'!$X$154)</x:f>
        <x:v>210.31887582127598</x:v>
      </x:c>
      <x:c r="T1156" s="10" t="n">
        <x:f>N1156*'Assumptions'!$AA$154</x:f>
        <x:v>258.3513573782052</x:v>
      </x:c>
      <x:c r="U1156" s="10" t="n">
        <x:f>'Assumptions'!$AE$154*'Assumptions'!$D$11*(1+'Assumptions'!$D$13)^(9-1)</x:f>
        <x:v>0</x:v>
      </x:c>
      <x:c r="V1156" s="10" t="n">
        <x:f>0</x:f>
        <x:v>0</x:v>
      </x:c>
      <x:c r="W1156" s="10" t="n">
        <x:f>H1156*('Assumptions'!$P$154+'Assumptions'!$Y$154)</x:f>
        <x:v>71.75504917284752</x:v>
      </x:c>
      <x:c r="X1156" s="10" t="n">
        <x:f>N1156/12*'Assumptions'!$AF$154</x:f>
        <x:v>538.2319945379276</x:v>
      </x:c>
      <x:c r="Y1156" s="10" t="n">
        <x:f>P1156/12</x:f>
        <x:v>0</x:v>
      </x:c>
      <x:c r="Z1156" s="10" t="n">
        <x:f>0</x:f>
        <x:v>0</x:v>
      </x:c>
      <x:c r="AA1156" s="10" t="n">
        <x:f>Z1156*'Assumptions'!$AC$154*'Assumptions'!$D$11*(1+'Assumptions'!$D$13)^(9-1)</x:f>
        <x:v>0</x:v>
      </x:c>
      <x:c r="AB1156" s="10" t="n">
        <x:f>F1156/1</x:f>
        <x:v>29.661434076978004</x:v>
      </x:c>
      <x:c r="AC1156" s="10" t="n">
        <x:f>AB1156/'Assumptions'!$AM$154</x:f>
        <x:v>148.30717038489001</x:v>
      </x:c>
      <x:c r="AD1156" s="10" t="n">
        <x:f>IF(AB1156=0,0,T1156/AB1156)</x:f>
        <x:v>8.710008987014117</x:v>
      </x:c>
      <x:c r="AE1156" s="10" t="n">
        <x:f>AA1156*'Assumptions'!$D$21</x:f>
        <x:v>0</x:v>
      </x:c>
    </x:row>
    <x:row r="1157" ht="16" customHeight="1">
      <x:c r="A1157" s="1"/>
      <x:c r="B1157" s="1"/>
      <x:c r="C1157" s="1" t="str">
        <x:v>DOT-126</x:v>
      </x:c>
      <x:c r="D1157" s="10" t="str">
        <x:v>Independent candy game</x:v>
      </x:c>
      <x:c r="E1157" s="10" t="n">
        <x:v>9</x:v>
      </x:c>
      <x:c r="F1157" s="21" t="n">
        <x:f>F1029*(1+'Assumptions'!$M$155)</x:f>
        <x:v>885.834874404028</x:v>
      </x:c>
      <x:c r="G1157" s="21" t="n">
        <x:f>H1029*'Assumptions'!$K$155</x:f>
        <x:v>283.78585225101557</x:v>
      </x:c>
      <x:c r="H1157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1157+G1157,NA())</x:f>
        <x:v>1169.6207266550437</x:v>
      </x:c>
      <x:c r="I1157" s="22" t="n">
        <x:f>'Assumptions'!$H$155*IF('Assumptions'!$O$155=1,1,'Assumptions'!$D$10)*(1+'Assumptions'!$N$155)^(9-1)</x:f>
        <x:v>5.846580311201306</x:v>
      </x:c>
      <x:c r="J1157" s="10" t="n">
        <x:f>H1157*I1157</x:f>
        <x:v>6838.281512034343</x:v>
      </x:c>
      <x:c r="K1157" s="10" t="n">
        <x:f>J1157*'Assumptions'!$T$155</x:f>
        <x:v>6838.281512034343</x:v>
      </x:c>
      <x:c r="L1157" s="10" t="n">
        <x:f>K1157*'Assumptions'!$U$155</x:f>
        <x:v>205.14844536103027</x:v>
      </x:c>
      <x:c r="M1157" s="10" t="n">
        <x:f>K1157*'Assumptions'!$V$155</x:f>
        <x:v>0</x:v>
      </x:c>
      <x:c r="N1157" s="10" t="n">
        <x:f>K1157-L1157-M1157</x:f>
        <x:v>6633.133066673313</x:v>
      </x:c>
      <x:c r="O1157" s="10" t="n">
        <x:f>H1157*'Assumptions'!$P$155*'Assumptions'!$Q$155*'Assumptions'!$D$11*(1+'Assumptions'!$D$13)^(9-1)</x:f>
        <x:v>1037.1483801682168</x:v>
      </x:c>
      <x:c r="P1157" s="10" t="n">
        <x:f>H1157*'Assumptions'!$R$155*'Assumptions'!$D$11*(1+'Assumptions'!$D$13)^(9-1)</x:f>
        <x:v>0</x:v>
      </x:c>
      <x:c r="Q1157" s="10" t="n">
        <x:f>J1157*'Assumptions'!$S$155</x:f>
        <x:v>0</x:v>
      </x:c>
      <x:c r="R1157" s="10" t="n">
        <x:f>H1157*'Assumptions'!$Y$155*'Assumptions'!$Z$155*'Assumptions'!$D$11*(1+'Assumptions'!$D$13)^(9-1)</x:f>
        <x:v>4444.921629292358</x:v>
      </x:c>
      <x:c r="S1157" s="10" t="n">
        <x:f>IF(I1157=0,0,J1157*'Assumptions'!$W$155+H1157*'Assumptions'!$X$155)</x:f>
        <x:v>549.196381845509</x:v>
      </x:c>
      <x:c r="T1157" s="10" t="n">
        <x:f>N1157*'Assumptions'!$AA$155</x:f>
        <x:v>331.65665333366564</x:v>
      </x:c>
      <x:c r="U1157" s="10" t="n">
        <x:f>'Assumptions'!$AE$155*'Assumptions'!$D$11*(1+'Assumptions'!$D$13)^(9-1)</x:f>
        <x:v>0</x:v>
      </x:c>
      <x:c r="V1157" s="10" t="n">
        <x:f>0</x:f>
        <x:v>0</x:v>
      </x:c>
      <x:c r="W1157" s="10" t="n">
        <x:f>H1157*('Assumptions'!$P$155+'Assumptions'!$Y$155)</x:f>
        <x:v>140.35448719860526</x:v>
      </x:c>
      <x:c r="X1157" s="10" t="n">
        <x:f>N1157/12*'Assumptions'!$AF$155</x:f>
        <x:v>0</x:v>
      </x:c>
      <x:c r="Y1157" s="10" t="n">
        <x:f>P1157/12</x:f>
        <x:v>0</x:v>
      </x:c>
      <x:c r="Z1157" s="10" t="n">
        <x:f>0</x:f>
        <x:v>0</x:v>
      </x:c>
      <x:c r="AA1157" s="10" t="n">
        <x:f>Z1157*'Assumptions'!$AC$155*'Assumptions'!$D$11*(1+'Assumptions'!$D$13)^(9-1)</x:f>
        <x:v>0</x:v>
      </x:c>
      <x:c r="AB1157" s="10" t="n">
        <x:f>F1157/1</x:f>
        <x:v>885.834874404028</x:v>
      </x:c>
      <x:c r="AC1157" s="10" t="n">
        <x:f>AB1157/'Assumptions'!$AM$155</x:f>
        <x:v>17716.69748808056</x:v>
      </x:c>
      <x:c r="AD1157" s="10" t="n">
        <x:f>IF(AB1157=0,0,T1157/AB1157)</x:f>
        <x:v>0.3744000861975519</x:v>
      </x:c>
      <x:c r="AE1157" s="10" t="n">
        <x:f>AA1157*'Assumptions'!$D$21</x:f>
        <x:v>0</x:v>
      </x:c>
    </x:row>
    <x:row r="1158" ht="16" customHeight="1">
      <x:c r="A1158" s="1"/>
      <x:c r="B1158" s="1"/>
      <x:c r="C1158" s="1" t="str">
        <x:v>DOT-127</x:v>
      </x:c>
      <x:c r="D1158" s="10" t="str">
        <x:v>Learn Anglais</x:v>
      </x:c>
      <x:c r="E1158" s="10" t="n">
        <x:v>9</x:v>
      </x:c>
      <x:c r="F1158" s="21" t="n">
        <x:f>F1030*(1+'Assumptions'!$M$156)</x:f>
        <x:v>210.04695615744004</x:v>
      </x:c>
      <x:c r="G1158" s="21" t="n">
        <x:f>H1030*'Assumptions'!$K$156</x:f>
        <x:v>413.7566041475999</x:v>
      </x:c>
      <x:c r="H1158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1158+G1158,NA())</x:f>
        <x:v>623.8035603050399</x:v>
      </x:c>
      <x:c r="I1158" s="22" t="n">
        <x:f>'Assumptions'!$H$156*IF('Assumptions'!$O$156=1,1,'Assumptions'!$D$10)*(1+'Assumptions'!$N$156)^(9-1)</x:f>
        <x:v>28.119825144054378</x:v>
      </x:c>
      <x:c r="J1158" s="10" t="n">
        <x:f>H1158*I1158</x:f>
        <x:v>17541.247040016304</x:v>
      </x:c>
      <x:c r="K1158" s="10" t="n">
        <x:f>J1158*'Assumptions'!$T$156</x:f>
        <x:v>5847.082346672101</x:v>
      </x:c>
      <x:c r="L1158" s="10" t="n">
        <x:f>K1158*'Assumptions'!$U$156</x:f>
        <x:v>175.41247040016304</x:v>
      </x:c>
      <x:c r="M1158" s="10" t="n">
        <x:f>K1158*'Assumptions'!$V$156</x:f>
        <x:v>0</x:v>
      </x:c>
      <x:c r="N1158" s="10" t="n">
        <x:f>K1158-L1158-M1158</x:f>
        <x:v>5671.669876271938</x:v>
      </x:c>
      <x:c r="O1158" s="10" t="n">
        <x:f>H1158*'Assumptions'!$P$156*'Assumptions'!$Q$156*'Assumptions'!$D$11*(1+'Assumptions'!$D$13)^(9-1)</x:f>
        <x:v>2765.7549040012514</x:v>
      </x:c>
      <x:c r="P1158" s="10" t="n">
        <x:f>H1158*'Assumptions'!$R$156*'Assumptions'!$D$11*(1+'Assumptions'!$D$13)^(9-1)</x:f>
        <x:v>0</x:v>
      </x:c>
      <x:c r="Q1158" s="10" t="n">
        <x:f>J1158*'Assumptions'!$S$156</x:f>
        <x:v>0</x:v>
      </x:c>
      <x:c r="R1158" s="10" t="n">
        <x:f>H1158*'Assumptions'!$Y$156*'Assumptions'!$Z$156*'Assumptions'!$D$11*(1+'Assumptions'!$D$13)^(9-1)</x:f>
        <x:v>3555.9705908587516</x:v>
      </x:c>
      <x:c r="S1158" s="10" t="n">
        <x:f>IF(I1158=0,0,J1158*'Assumptions'!$W$156+H1158*'Assumptions'!$X$156)</x:f>
        <x:v>695.8372322519848</x:v>
      </x:c>
      <x:c r="T1158" s="10" t="n">
        <x:f>N1158*'Assumptions'!$AA$156</x:f>
        <x:v>283.58349381359693</x:v>
      </x:c>
      <x:c r="U1158" s="10" t="n">
        <x:f>'Assumptions'!$AE$156*'Assumptions'!$D$11*(1+'Assumptions'!$D$13)^(9-1)</x:f>
        <x:v>0</x:v>
      </x:c>
      <x:c r="V1158" s="10" t="n">
        <x:f>0</x:f>
        <x:v>0</x:v>
      </x:c>
      <x:c r="W1158" s="10" t="n">
        <x:f>H1158*('Assumptions'!$P$156+'Assumptions'!$Y$156)</x:f>
        <x:v>155.95089007625998</x:v>
      </x:c>
      <x:c r="X1158" s="10" t="n">
        <x:f>N1158/12*'Assumptions'!$AF$156</x:f>
        <x:v>0</x:v>
      </x:c>
      <x:c r="Y1158" s="10" t="n">
        <x:f>P1158/12</x:f>
        <x:v>0</x:v>
      </x:c>
      <x:c r="Z1158" s="10" t="n">
        <x:f>0</x:f>
        <x:v>0</x:v>
      </x:c>
      <x:c r="AA1158" s="10" t="n">
        <x:f>Z1158*'Assumptions'!$AC$156*'Assumptions'!$D$11*(1+'Assumptions'!$D$13)^(9-1)</x:f>
        <x:v>0</x:v>
      </x:c>
      <x:c r="AB1158" s="10" t="n">
        <x:f>F1158/1</x:f>
        <x:v>210.04695615744004</x:v>
      </x:c>
      <x:c r="AC1158" s="10" t="n">
        <x:f>AB1158/'Assumptions'!$AM$156</x:f>
        <x:v>4200.939123148801</x:v>
      </x:c>
      <x:c r="AD1158" s="10" t="n">
        <x:f>IF(AB1158=0,0,T1158/AB1158)</x:f>
        <x:v>1.3500957071762458</x:v>
      </x:c>
      <x:c r="AE1158" s="10" t="n">
        <x:f>AA1158*'Assumptions'!$D$21</x:f>
        <x:v>0</x:v>
      </x:c>
    </x:row>
    <x:row r="1159" ht="16" customHeight="1">
      <x:c r="A1159" s="1"/>
      <x:c r="B1159" s="1"/>
      <x:c r="C1159" s="1" t="str">
        <x:v>DOT-128</x:v>
      </x:c>
      <x:c r="D1159" s="10" t="str">
        <x:v>Learn Anglais</x:v>
      </x:c>
      <x:c r="E1159" s="10" t="n">
        <x:v>9</x:v>
      </x:c>
      <x:c r="F1159" s="21" t="n">
        <x:f>F1031*(1+'Assumptions'!$M$157)</x:f>
        <x:v>84.01878246297602</x:v>
      </x:c>
      <x:c r="G1159" s="21" t="n">
        <x:f>H1031*'Assumptions'!$K$157</x:f>
        <x:v>165.50264165904</x:v>
      </x:c>
      <x:c r="H1159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1159+G1159,NA())</x:f>
        <x:v>249.52142412201601</x:v>
      </x:c>
      <x:c r="I1159" s="22" t="n">
        <x:f>'Assumptions'!$H$157*IF('Assumptions'!$O$157=1,1,'Assumptions'!$D$10)*(1+'Assumptions'!$N$157)^(9-1)</x:f>
        <x:v>193.32379786537385</x:v>
      </x:c>
      <x:c r="J1159" s="10" t="n">
        <x:f>H1159*I1159</x:f>
        <x:v>48238.42936004484</x:v>
      </x:c>
      <x:c r="K1159" s="10" t="n">
        <x:f>J1159*'Assumptions'!$T$157</x:f>
        <x:v>14471.528808013452</x:v>
      </x:c>
      <x:c r="L1159" s="10" t="n">
        <x:f>K1159*'Assumptions'!$U$157</x:f>
        <x:v>434.14586424040357</x:v>
      </x:c>
      <x:c r="M1159" s="10" t="n">
        <x:f>K1159*'Assumptions'!$V$157</x:f>
        <x:v>0</x:v>
      </x:c>
      <x:c r="N1159" s="10" t="n">
        <x:f>K1159-L1159-M1159</x:f>
        <x:v>14037.38294377305</x:v>
      </x:c>
      <x:c r="O1159" s="10" t="n">
        <x:f>H1159*'Assumptions'!$P$157*'Assumptions'!$Q$157*'Assumptions'!$D$11*(1+'Assumptions'!$D$13)^(9-1)</x:f>
        <x:v>1106.3019616005006</x:v>
      </x:c>
      <x:c r="P1159" s="10" t="n">
        <x:f>H1159*'Assumptions'!$R$157*'Assumptions'!$D$11*(1+'Assumptions'!$D$13)^(9-1)</x:f>
        <x:v>0</x:v>
      </x:c>
      <x:c r="Q1159" s="10" t="n">
        <x:f>J1159*'Assumptions'!$S$157</x:f>
        <x:v>0</x:v>
      </x:c>
      <x:c r="R1159" s="10" t="n">
        <x:f>H1159*'Assumptions'!$Y$157*'Assumptions'!$Z$157*'Assumptions'!$D$11*(1+'Assumptions'!$D$13)^(9-1)</x:f>
        <x:v>1422.3882363435007</x:v>
      </x:c>
      <x:c r="S1159" s="10" t="n">
        <x:f>IF(I1159=0,0,J1159*'Assumptions'!$W$157+H1159*'Assumptions'!$X$157)</x:f>
        <x:v>1473.7708786779053</x:v>
      </x:c>
      <x:c r="T1159" s="10" t="n">
        <x:f>N1159*'Assumptions'!$AA$157</x:f>
        <x:v>701.8691471886525</x:v>
      </x:c>
      <x:c r="U1159" s="10" t="n">
        <x:f>'Assumptions'!$AE$157*'Assumptions'!$D$11*(1+'Assumptions'!$D$13)^(9-1)</x:f>
        <x:v>0</x:v>
      </x:c>
      <x:c r="V1159" s="10" t="n">
        <x:f>0</x:f>
        <x:v>0</x:v>
      </x:c>
      <x:c r="W1159" s="10" t="n">
        <x:f>H1159*('Assumptions'!$P$157+'Assumptions'!$Y$157)</x:f>
        <x:v>62.380356030504004</x:v>
      </x:c>
      <x:c r="X1159" s="10" t="n">
        <x:f>N1159/12*'Assumptions'!$AF$157</x:f>
        <x:v>0</x:v>
      </x:c>
      <x:c r="Y1159" s="10" t="n">
        <x:f>P1159/12</x:f>
        <x:v>0</x:v>
      </x:c>
      <x:c r="Z1159" s="10" t="n">
        <x:f>0</x:f>
        <x:v>0</x:v>
      </x:c>
      <x:c r="AA1159" s="10" t="n">
        <x:f>Z1159*'Assumptions'!$AC$157*'Assumptions'!$D$11*(1+'Assumptions'!$D$13)^(9-1)</x:f>
        <x:v>0</x:v>
      </x:c>
      <x:c r="AB1159" s="10" t="n">
        <x:f>F1159/1</x:f>
        <x:v>84.01878246297602</x:v>
      </x:c>
      <x:c r="AC1159" s="10" t="n">
        <x:f>AB1159/'Assumptions'!$AM$157</x:f>
        <x:v>1680.3756492595203</x:v>
      </x:c>
      <x:c r="AD1159" s="10" t="n">
        <x:f>IF(AB1159=0,0,T1159/AB1159)</x:f>
        <x:v>8.353717188153022</x:v>
      </x:c>
      <x:c r="AE1159" s="10" t="n">
        <x:f>AA1159*'Assumptions'!$D$21</x:f>
        <x:v>0</x:v>
      </x:c>
    </x:row>
    <x:row r="1160" ht="16" customHeight="1">
      <x:c r="A1160" s="1"/>
      <x:c r="B1160" s="1"/>
      <x:c r="C1160" s="1" t="str">
        <x:v>DOT-001</x:v>
      </x:c>
      <x:c r="D1160" s="10" t="str">
        <x:v>ETV courses</x:v>
      </x:c>
      <x:c r="E1160" s="10" t="n">
        <x:v>10</x:v>
      </x:c>
      <x:c r="F1160" s="21" t="n">
        <x:f>F1032*(1+'Assumptions'!$M$30)</x:f>
        <x:v>364.96396825445953</x:v>
      </x:c>
      <x:c r="G1160" s="21" t="n">
        <x:f>H1032*'Assumptions'!$K$30</x:f>
        <x:v>116.96253042917621</x:v>
      </x:c>
      <x:c r="H1160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1160+G1160,NA())</x:f>
        <x:v>481.9264986836357</x:v>
      </x:c>
      <x:c r="I1160" s="22" t="n">
        <x:f>'Assumptions'!$H$30*IF('Assumptions'!$O$30=1,1,'Assumptions'!$D$10)*(1+'Assumptions'!$N$30)^(10-1)</x:f>
        <x:v>29</x:v>
      </x:c>
      <x:c r="J1160" s="10" t="n">
        <x:f>H1160*I1160</x:f>
        <x:v>13975.868461825436</x:v>
      </x:c>
      <x:c r="K1160" s="10" t="n">
        <x:f>J1160*'Assumptions'!$T$30</x:f>
        <x:v>13975.868461825436</x:v>
      </x:c>
      <x:c r="L1160" s="10" t="n">
        <x:f>K1160*'Assumptions'!$U$30</x:f>
        <x:v>419.27605385476306</x:v>
      </x:c>
      <x:c r="M1160" s="10" t="n">
        <x:f>K1160*'Assumptions'!$V$30</x:f>
        <x:v>0</x:v>
      </x:c>
      <x:c r="N1160" s="10" t="n">
        <x:f>K1160-L1160-M1160</x:f>
        <x:v>13556.592407970673</x:v>
      </x:c>
      <x:c r="O1160" s="10" t="n">
        <x:f>H1160*'Assumptions'!$P$30*'Assumptions'!$Q$30*'Assumptions'!$D$11*(1+'Assumptions'!$D$13)^(10-1)</x:f>
        <x:v>3301.2250533104207</x:v>
      </x:c>
      <x:c r="P1160" s="10" t="n">
        <x:f>H1160*'Assumptions'!$R$30*'Assumptions'!$D$11*(1+'Assumptions'!$D$13)^(10-1)</x:f>
        <x:v>0</x:v>
      </x:c>
      <x:c r="Q1160" s="10" t="n">
        <x:f>J1160*'Assumptions'!$S$30</x:f>
        <x:v>0</x:v>
      </x:c>
      <x:c r="R1160" s="10" t="n">
        <x:f>H1160*'Assumptions'!$Y$30*'Assumptions'!$Z$30*'Assumptions'!$D$11*(1+'Assumptions'!$D$13)^(10-1)</x:f>
        <x:v>1886.4143161773834</x:v>
      </x:c>
      <x:c r="S1160" s="10" t="n">
        <x:f>IF(I1160=0,0,J1160*'Assumptions'!$W$30+H1160*'Assumptions'!$X$30)</x:f>
        <x:v>549.8781349980284</x:v>
      </x:c>
      <x:c r="T1160" s="10" t="n">
        <x:f>N1160*'Assumptions'!$AA$30</x:f>
        <x:v>677.8296203985337</x:v>
      </x:c>
      <x:c r="U1160" s="10" t="n">
        <x:f>'Assumptions'!$AE$30*'Assumptions'!$D$11*(1+'Assumptions'!$D$13)^(10-1)</x:f>
        <x:v>0</x:v>
      </x:c>
      <x:c r="V1160" s="10" t="n">
        <x:f>0</x:f>
        <x:v>0</x:v>
      </x:c>
      <x:c r="W1160" s="10" t="n">
        <x:f>H1160*('Assumptions'!$P$30+'Assumptions'!$Y$30)</x:f>
        <x:v>120.48162467090893</x:v>
      </x:c>
      <x:c r="X1160" s="10" t="n">
        <x:f>N1160/12*'Assumptions'!$AF$30</x:f>
        <x:v>0</x:v>
      </x:c>
      <x:c r="Y1160" s="10" t="n">
        <x:f>P1160/12</x:f>
        <x:v>0</x:v>
      </x:c>
      <x:c r="Z1160" s="10" t="n">
        <x:f>0</x:f>
        <x:v>0</x:v>
      </x:c>
      <x:c r="AA1160" s="10" t="n">
        <x:f>Z1160*'Assumptions'!$AC$30*'Assumptions'!$D$11*(1+'Assumptions'!$D$13)^(10-1)</x:f>
        <x:v>0</x:v>
      </x:c>
      <x:c r="AB1160" s="10" t="n">
        <x:f>F1160/1</x:f>
        <x:v>364.96396825445953</x:v>
      </x:c>
      <x:c r="AC1160" s="10" t="n">
        <x:f>AB1160/'Assumptions'!$AM$30</x:f>
        <x:v>7299.27936508919</x:v>
      </x:c>
      <x:c r="AD1160" s="10" t="n">
        <x:f>IF(AB1160=0,0,T1160/AB1160)</x:f>
        <x:v>1.8572507955797395</x:v>
      </x:c>
      <x:c r="AE1160" s="10" t="n">
        <x:f>AA1160*'Assumptions'!$D$21</x:f>
        <x:v>0</x:v>
      </x:c>
    </x:row>
    <x:row r="1161" ht="16" customHeight="1">
      <x:c r="A1161" s="1"/>
      <x:c r="B1161" s="1"/>
      <x:c r="C1161" s="1" t="str">
        <x:v>DOT-002</x:v>
      </x:c>
      <x:c r="D1161" s="10" t="str">
        <x:v>ETV courses</x:v>
      </x:c>
      <x:c r="E1161" s="10" t="n">
        <x:v>10</x:v>
      </x:c>
      <x:c r="F1161" s="21" t="n">
        <x:f>F1033*(1+'Assumptions'!$M$31)</x:f>
        <x:v>577.8596164028943</x:v>
      </x:c>
      <x:c r="G1161" s="21" t="n">
        <x:f>H1033*'Assumptions'!$K$31</x:f>
        <x:v>185.19067317952903</x:v>
      </x:c>
      <x:c r="H1161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1161+G1161,NA())</x:f>
        <x:v>763.0502895824234</x:v>
      </x:c>
      <x:c r="I1161" s="22" t="n">
        <x:f>'Assumptions'!$H$31*IF('Assumptions'!$O$31=1,1,'Assumptions'!$D$10)*(1+'Assumptions'!$N$31)^(10-1)</x:f>
        <x:v>46.60861017627013</x:v>
      </x:c>
      <x:c r="J1161" s="10" t="n">
        <x:f>H1161*I1161</x:f>
        <x:v>35564.71349203721</x:v>
      </x:c>
      <x:c r="K1161" s="10" t="n">
        <x:f>J1161*'Assumptions'!$T$31</x:f>
        <x:v>35564.71349203721</x:v>
      </x:c>
      <x:c r="L1161" s="10" t="n">
        <x:f>K1161*'Assumptions'!$U$31</x:f>
        <x:v>1066.9414047611162</x:v>
      </x:c>
      <x:c r="M1161" s="10" t="n">
        <x:f>K1161*'Assumptions'!$V$31</x:f>
        <x:v>0</x:v>
      </x:c>
      <x:c r="N1161" s="10" t="n">
        <x:f>K1161-L1161-M1161</x:f>
        <x:v>34497.7720872761</x:v>
      </x:c>
      <x:c r="O1161" s="10" t="n">
        <x:f>H1161*'Assumptions'!$P$31*'Assumptions'!$Q$31*'Assumptions'!$D$11*(1+'Assumptions'!$D$13)^(10-1)</x:f>
        <x:v>5226.939667741501</x:v>
      </x:c>
      <x:c r="P1161" s="10" t="n">
        <x:f>H1161*'Assumptions'!$R$31*'Assumptions'!$D$11*(1+'Assumptions'!$D$13)^(10-1)</x:f>
        <x:v>0</x:v>
      </x:c>
      <x:c r="Q1161" s="10" t="n">
        <x:f>J1161*'Assumptions'!$S$31</x:f>
        <x:v>0</x:v>
      </x:c>
      <x:c r="R1161" s="10" t="n">
        <x:f>H1161*'Assumptions'!$Y$31*'Assumptions'!$Z$31*'Assumptions'!$D$11*(1+'Assumptions'!$D$13)^(10-1)</x:f>
        <x:v>2986.8226672808582</x:v>
      </x:c>
      <x:c r="S1161" s="10" t="n">
        <x:f>IF(I1161=0,0,J1161*'Assumptions'!$W$31+H1161*'Assumptions'!$X$31)</x:f>
        <x:v>1260.2917781438061</x:v>
      </x:c>
      <x:c r="T1161" s="10" t="n">
        <x:f>N1161*'Assumptions'!$AA$31</x:f>
        <x:v>1724.888604363805</x:v>
      </x:c>
      <x:c r="U1161" s="10" t="n">
        <x:f>'Assumptions'!$AE$31*'Assumptions'!$D$11*(1+'Assumptions'!$D$13)^(10-1)</x:f>
        <x:v>0</x:v>
      </x:c>
      <x:c r="V1161" s="10" t="n">
        <x:f>0</x:f>
        <x:v>0</x:v>
      </x:c>
      <x:c r="W1161" s="10" t="n">
        <x:f>H1161*('Assumptions'!$P$31+'Assumptions'!$Y$31)</x:f>
        <x:v>190.76257239560584</x:v>
      </x:c>
      <x:c r="X1161" s="10" t="n">
        <x:f>N1161/12*'Assumptions'!$AF$31</x:f>
        <x:v>0</x:v>
      </x:c>
      <x:c r="Y1161" s="10" t="n">
        <x:f>P1161/12</x:f>
        <x:v>0</x:v>
      </x:c>
      <x:c r="Z1161" s="10" t="n">
        <x:f>0</x:f>
        <x:v>0</x:v>
      </x:c>
      <x:c r="AA1161" s="10" t="n">
        <x:f>Z1161*'Assumptions'!$AC$31*'Assumptions'!$D$11*(1+'Assumptions'!$D$13)^(10-1)</x:f>
        <x:v>0</x:v>
      </x:c>
      <x:c r="AB1161" s="10" t="n">
        <x:f>F1161/1</x:f>
        <x:v>577.8596164028943</x:v>
      </x:c>
      <x:c r="AC1161" s="10" t="n">
        <x:f>AB1161/'Assumptions'!$AM$31</x:f>
        <x:v>11557.192328057885</x:v>
      </x:c>
      <x:c r="AD1161" s="10" t="n">
        <x:f>IF(AB1161=0,0,T1161/AB1161)</x:f>
        <x:v>2.9849613217497812</x:v>
      </x:c>
      <x:c r="AE1161" s="10" t="n">
        <x:f>AA1161*'Assumptions'!$D$21</x:f>
        <x:v>0</x:v>
      </x:c>
    </x:row>
    <x:row r="1162" ht="16" customHeight="1">
      <x:c r="A1162" s="1"/>
      <x:c r="B1162" s="1"/>
      <x:c r="C1162" s="1" t="str">
        <x:v>DOT-003</x:v>
      </x:c>
      <x:c r="D1162" s="10" t="str">
        <x:v>ETV services</x:v>
      </x:c>
      <x:c r="E1162" s="10" t="n">
        <x:v>10</x:v>
      </x:c>
      <x:c r="F1162" s="21" t="n">
        <x:f>F1034*(1+'Assumptions'!$M$32)</x:f>
        <x:v>10.183759033095784</x:v>
      </x:c>
      <x:c r="G1162" s="21" t="n">
        <x:f>H1034*'Assumptions'!$K$32</x:f>
        <x:v>9.579058639713004</x:v>
      </x:c>
      <x:c r="H1162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1162+G1162,NA())</x:f>
        <x:v>19.762817672808787</x:v>
      </x:c>
      <x:c r="I1162" s="22" t="n">
        <x:f>'Assumptions'!$H$32*IF('Assumptions'!$O$32=1,1,'Assumptions'!$D$10)*(1+'Assumptions'!$N$32)^(10-1)</x:f>
        <x:v>2091.4119950890445</x:v>
      </x:c>
      <x:c r="J1162" s="10" t="n">
        <x:f>H1162*I1162</x:f>
        <x:v>41332.193937670054</x:v>
      </x:c>
      <x:c r="K1162" s="10" t="n">
        <x:f>J1162*'Assumptions'!$T$32</x:f>
        <x:v>41332.193937670054</x:v>
      </x:c>
      <x:c r="L1162" s="10" t="n">
        <x:f>K1162*'Assumptions'!$U$32</x:f>
        <x:v>1239.9658181301015</x:v>
      </x:c>
      <x:c r="M1162" s="10" t="n">
        <x:f>K1162*'Assumptions'!$V$32</x:f>
        <x:v>0</x:v>
      </x:c>
      <x:c r="N1162" s="10" t="n">
        <x:f>K1162-L1162-M1162</x:f>
        <x:v>40092.228119539956</x:v>
      </x:c>
      <x:c r="O1162" s="10" t="n">
        <x:f>H1162*'Assumptions'!$P$32*'Assumptions'!$Q$32*'Assumptions'!$D$11*(1+'Assumptions'!$D$13)^(10-1)</x:f>
        <x:v>23207.39508274883</x:v>
      </x:c>
      <x:c r="P1162" s="10" t="n">
        <x:f>H1162*'Assumptions'!$R$32*'Assumptions'!$D$11*(1+'Assumptions'!$D$13)^(10-1)</x:f>
        <x:v>644.6498634096897</x:v>
      </x:c>
      <x:c r="Q1162" s="10" t="n">
        <x:f>J1162*'Assumptions'!$S$32</x:f>
        <x:v>0</x:v>
      </x:c>
      <x:c r="R1162" s="10" t="n">
        <x:f>H1162*'Assumptions'!$Y$32*'Assumptions'!$Z$32*'Assumptions'!$D$11*(1+'Assumptions'!$D$13)^(10-1)</x:f>
        <x:v>193.3949590229069</x:v>
      </x:c>
      <x:c r="S1162" s="10" t="n">
        <x:f>IF(I1162=0,0,J1162*'Assumptions'!$W$32+H1162*'Assumptions'!$X$32)</x:f>
        <x:v>1204.5624694942742</x:v>
      </x:c>
      <x:c r="T1162" s="10" t="n">
        <x:f>N1162*'Assumptions'!$AA$32</x:f>
        <x:v>1603.6891247815984</x:v>
      </x:c>
      <x:c r="U1162" s="10" t="n">
        <x:f>'Assumptions'!$AE$32*'Assumptions'!$D$11*(1+'Assumptions'!$D$13)^(10-1)</x:f>
        <x:v>0</x:v>
      </x:c>
      <x:c r="V1162" s="10" t="n">
        <x:f>0</x:f>
        <x:v>0</x:v>
      </x:c>
      <x:c r="W1162" s="10" t="n">
        <x:f>H1162*('Assumptions'!$P$32+'Assumptions'!$Y$32)</x:f>
        <x:v>400.19705787437795</x:v>
      </x:c>
      <x:c r="X1162" s="10" t="n">
        <x:f>N1162/12*'Assumptions'!$AF$32</x:f>
        <x:v>3341.019009961663</x:v>
      </x:c>
      <x:c r="Y1162" s="10" t="n">
        <x:f>P1162/12</x:f>
        <x:v>53.720821950807476</x:v>
      </x:c>
      <x:c r="Z1162" s="10" t="n">
        <x:f>0</x:f>
        <x:v>0</x:v>
      </x:c>
      <x:c r="AA1162" s="10" t="n">
        <x:f>Z1162*'Assumptions'!$AC$32*'Assumptions'!$D$11*(1+'Assumptions'!$D$13)^(10-1)</x:f>
        <x:v>0</x:v>
      </x:c>
      <x:c r="AB1162" s="10" t="n">
        <x:f>F1162/1</x:f>
        <x:v>10.183759033095784</x:v>
      </x:c>
      <x:c r="AC1162" s="10" t="n">
        <x:f>AB1162/'Assumptions'!$AM$32</x:f>
        <x:v>50.91879516547892</x:v>
      </x:c>
      <x:c r="AD1162" s="10" t="n">
        <x:f>IF(AB1162=0,0,T1162/AB1162)</x:f>
        <x:v>157.47516408919677</x:v>
      </x:c>
      <x:c r="AE1162" s="10" t="n">
        <x:f>AA1162*'Assumptions'!$D$21</x:f>
        <x:v>0</x:v>
      </x:c>
    </x:row>
    <x:row r="1163" ht="16" customHeight="1">
      <x:c r="A1163" s="1"/>
      <x:c r="B1163" s="1"/>
      <x:c r="C1163" s="1" t="str">
        <x:v>DOT-004</x:v>
      </x:c>
      <x:c r="D1163" s="10" t="str">
        <x:v>ETV services</x:v>
      </x:c>
      <x:c r="E1163" s="10" t="n">
        <x:v>10</x:v>
      </x:c>
      <x:c r="F1163" s="21" t="n">
        <x:f>F1035*(1+'Assumptions'!$M$33)</x:f>
        <x:v>6.789172688730524</x:v>
      </x:c>
      <x:c r="G1163" s="21" t="n">
        <x:f>H1035*'Assumptions'!$K$33</x:f>
        <x:v>6.386039093142004</x:v>
      </x:c>
      <x:c r="H1163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1163+G1163,NA())</x:f>
        <x:v>13.175211781872527</x:v>
      </x:c>
      <x:c r="I1163" s="22" t="n">
        <x:f>'Assumptions'!$H$33*IF('Assumptions'!$O$33=1,1,'Assumptions'!$D$10)*(1+'Assumptions'!$N$33)^(10-1)</x:f>
        <x:v>2987.7314215557776</x:v>
      </x:c>
      <x:c r="J1163" s="10" t="n">
        <x:f>H1163*I1163</x:f>
        <x:v>39363.994226352435</x:v>
      </x:c>
      <x:c r="K1163" s="10" t="n">
        <x:f>J1163*'Assumptions'!$T$33</x:f>
        <x:v>39363.994226352435</x:v>
      </x:c>
      <x:c r="L1163" s="10" t="n">
        <x:f>K1163*'Assumptions'!$U$33</x:f>
        <x:v>1180.919826790573</x:v>
      </x:c>
      <x:c r="M1163" s="10" t="n">
        <x:f>K1163*'Assumptions'!$V$33</x:f>
        <x:v>0</x:v>
      </x:c>
      <x:c r="N1163" s="10" t="n">
        <x:f>K1163-L1163-M1163</x:f>
        <x:v>38183.07439956186</x:v>
      </x:c>
      <x:c r="O1163" s="10" t="n">
        <x:f>H1163*'Assumptions'!$P$33*'Assumptions'!$Q$33*'Assumptions'!$D$11*(1+'Assumptions'!$D$13)^(10-1)</x:f>
        <x:v>23207.395082748833</x:v>
      </x:c>
      <x:c r="P1163" s="10" t="n">
        <x:f>H1163*'Assumptions'!$R$33*'Assumptions'!$D$11*(1+'Assumptions'!$D$13)^(10-1)</x:f>
        <x:v>429.76657560645987</x:v>
      </x:c>
      <x:c r="Q1163" s="10" t="n">
        <x:f>J1163*'Assumptions'!$S$33</x:f>
        <x:v>0</x:v>
      </x:c>
      <x:c r="R1163" s="10" t="n">
        <x:f>H1163*'Assumptions'!$Y$33*'Assumptions'!$Z$33*'Assumptions'!$D$11*(1+'Assumptions'!$D$13)^(10-1)</x:f>
        <x:v>128.92997268193798</x:v>
      </x:c>
      <x:c r="S1163" s="10" t="n">
        <x:f>IF(I1163=0,0,J1163*'Assumptions'!$W$33+H1163*'Assumptions'!$X$33)</x:f>
        <x:v>1145.5083960987824</x:v>
      </x:c>
      <x:c r="T1163" s="10" t="n">
        <x:f>N1163*'Assumptions'!$AA$33</x:f>
        <x:v>1527.3229759824744</x:v>
      </x:c>
      <x:c r="U1163" s="10" t="n">
        <x:f>'Assumptions'!$AE$33*'Assumptions'!$D$11*(1+'Assumptions'!$D$13)^(10-1)</x:f>
        <x:v>0</x:v>
      </x:c>
      <x:c r="V1163" s="10" t="n">
        <x:f>0</x:f>
        <x:v>0</x:v>
      </x:c>
      <x:c r="W1163" s="10" t="n">
        <x:f>H1163*('Assumptions'!$P$33+'Assumptions'!$Y$33)</x:f>
        <x:v>398.55015640164396</x:v>
      </x:c>
      <x:c r="X1163" s="10" t="n">
        <x:f>N1163/12*'Assumptions'!$AF$33</x:f>
        <x:v>3181.922866630155</x:v>
      </x:c>
      <x:c r="Y1163" s="10" t="n">
        <x:f>P1163/12</x:f>
        <x:v>35.81388130053832</x:v>
      </x:c>
      <x:c r="Z1163" s="10" t="n">
        <x:f>0</x:f>
        <x:v>0</x:v>
      </x:c>
      <x:c r="AA1163" s="10" t="n">
        <x:f>Z1163*'Assumptions'!$AC$33*'Assumptions'!$D$11*(1+'Assumptions'!$D$13)^(10-1)</x:f>
        <x:v>0</x:v>
      </x:c>
      <x:c r="AB1163" s="10" t="n">
        <x:f>F1163/1</x:f>
        <x:v>6.789172688730524</x:v>
      </x:c>
      <x:c r="AC1163" s="10" t="n">
        <x:f>AB1163/'Assumptions'!$AM$33</x:f>
        <x:v>33.94586344365262</x:v>
      </x:c>
      <x:c r="AD1163" s="10" t="n">
        <x:f>IF(AB1163=0,0,T1163/AB1163)</x:f>
        <x:v>224.96452012742387</x:v>
      </x:c>
      <x:c r="AE1163" s="10" t="n">
        <x:f>AA1163*'Assumptions'!$D$21</x:f>
        <x:v>0</x:v>
      </x:c>
    </x:row>
    <x:row r="1164" ht="16" customHeight="1">
      <x:c r="A1164" s="1"/>
      <x:c r="B1164" s="1"/>
      <x:c r="C1164" s="1" t="str">
        <x:v>DOT-005</x:v>
      </x:c>
      <x:c r="D1164" s="10" t="str">
        <x:v>ETV services</x:v>
      </x:c>
      <x:c r="E1164" s="10" t="n">
        <x:v>10</x:v>
      </x:c>
      <x:c r="F1164" s="21" t="n">
        <x:f>F1036*(1+'Assumptions'!$M$34)</x:f>
        <x:v>6.789172688730524</x:v>
      </x:c>
      <x:c r="G1164" s="21" t="n">
        <x:f>H1036*'Assumptions'!$K$34</x:f>
        <x:v>6.386039093142004</x:v>
      </x:c>
      <x:c r="H1164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1164+G1164,NA())</x:f>
        <x:v>13.175211781872527</x:v>
      </x:c>
      <x:c r="I1164" s="22" t="n">
        <x:f>'Assumptions'!$H$34*IF('Assumptions'!$O$34=1,1,'Assumptions'!$D$10)*(1+'Assumptions'!$N$34)^(10-1)</x:f>
        <x:v>1792.6388529334665</x:v>
      </x:c>
      <x:c r="J1164" s="10" t="n">
        <x:f>H1164*I1164</x:f>
        <x:v>23618.39653581146</x:v>
      </x:c>
      <x:c r="K1164" s="10" t="n">
        <x:f>J1164*'Assumptions'!$T$34</x:f>
        <x:v>23618.39653581146</x:v>
      </x:c>
      <x:c r="L1164" s="10" t="n">
        <x:f>K1164*'Assumptions'!$U$34</x:f>
        <x:v>708.5518960743437</x:v>
      </x:c>
      <x:c r="M1164" s="10" t="n">
        <x:f>K1164*'Assumptions'!$V$34</x:f>
        <x:v>0</x:v>
      </x:c>
      <x:c r="N1164" s="10" t="n">
        <x:f>K1164-L1164-M1164</x:f>
        <x:v>22909.844639737115</x:v>
      </x:c>
      <x:c r="O1164" s="10" t="n">
        <x:f>H1164*'Assumptions'!$P$34*'Assumptions'!$Q$34*'Assumptions'!$D$11*(1+'Assumptions'!$D$13)^(10-1)</x:f>
        <x:v>13924.4370496493</x:v>
      </x:c>
      <x:c r="P1164" s="10" t="n">
        <x:f>H1164*'Assumptions'!$R$34*'Assumptions'!$D$11*(1+'Assumptions'!$D$13)^(10-1)</x:f>
        <x:v>429.76657560645987</x:v>
      </x:c>
      <x:c r="Q1164" s="10" t="n">
        <x:f>J1164*'Assumptions'!$S$34</x:f>
        <x:v>0</x:v>
      </x:c>
      <x:c r="R1164" s="10" t="n">
        <x:f>H1164*'Assumptions'!$Y$34*'Assumptions'!$Z$34*'Assumptions'!$D$11*(1+'Assumptions'!$D$13)^(10-1)</x:f>
        <x:v>128.92997268193798</x:v>
      </x:c>
      <x:c r="S1164" s="10" t="n">
        <x:f>IF(I1164=0,0,J1164*'Assumptions'!$W$34+H1164*'Assumptions'!$X$34)</x:f>
        <x:v>688.8860630730941</x:v>
      </x:c>
      <x:c r="T1164" s="10" t="n">
        <x:f>N1164*'Assumptions'!$AA$34</x:f>
        <x:v>916.3937855894847</x:v>
      </x:c>
      <x:c r="U1164" s="10" t="n">
        <x:f>'Assumptions'!$AE$34*'Assumptions'!$D$11*(1+'Assumptions'!$D$13)^(10-1)</x:f>
        <x:v>0</x:v>
      </x:c>
      <x:c r="V1164" s="10" t="n">
        <x:f>0</x:f>
        <x:v>0</x:v>
      </x:c>
      <x:c r="W1164" s="10" t="n">
        <x:f>H1164*('Assumptions'!$P$34+'Assumptions'!$Y$34)</x:f>
        <x:v>240.4476150191736</x:v>
      </x:c>
      <x:c r="X1164" s="10" t="n">
        <x:f>N1164/12*'Assumptions'!$AF$34</x:f>
        <x:v>1909.153719978093</x:v>
      </x:c>
      <x:c r="Y1164" s="10" t="n">
        <x:f>P1164/12</x:f>
        <x:v>35.81388130053832</x:v>
      </x:c>
      <x:c r="Z1164" s="10" t="n">
        <x:f>0</x:f>
        <x:v>0</x:v>
      </x:c>
      <x:c r="AA1164" s="10" t="n">
        <x:f>Z1164*'Assumptions'!$AC$34*'Assumptions'!$D$11*(1+'Assumptions'!$D$13)^(10-1)</x:f>
        <x:v>0</x:v>
      </x:c>
      <x:c r="AB1164" s="10" t="n">
        <x:f>F1164/1</x:f>
        <x:v>6.789172688730524</x:v>
      </x:c>
      <x:c r="AC1164" s="10" t="n">
        <x:f>AB1164/'Assumptions'!$AM$34</x:f>
        <x:v>33.94586344365262</x:v>
      </x:c>
      <x:c r="AD1164" s="10" t="n">
        <x:f>IF(AB1164=0,0,T1164/AB1164)</x:f>
        <x:v>134.97871207645431</x:v>
      </x:c>
      <x:c r="AE1164" s="10" t="n">
        <x:f>AA1164*'Assumptions'!$D$21</x:f>
        <x:v>0</x:v>
      </x:c>
    </x:row>
    <x:row r="1165" ht="16" customHeight="1">
      <x:c r="A1165" s="1"/>
      <x:c r="B1165" s="1"/>
      <x:c r="C1165" s="1" t="str">
        <x:v>DOT-006</x:v>
      </x:c>
      <x:c r="D1165" s="10" t="str">
        <x:v>ETV services</x:v>
      </x:c>
      <x:c r="E1165" s="10" t="n">
        <x:v>10</x:v>
      </x:c>
      <x:c r="F1165" s="21" t="n">
        <x:f>F1037*(1+'Assumptions'!$M$35)</x:f>
        <x:v>10.183759033095784</x:v>
      </x:c>
      <x:c r="G1165" s="21" t="n">
        <x:f>H1037*'Assumptions'!$K$35</x:f>
        <x:v>9.579058639713004</x:v>
      </x:c>
      <x:c r="H1165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1165+G1165,NA())</x:f>
        <x:v>19.762817672808787</x:v>
      </x:c>
      <x:c r="I1165" s="22" t="n">
        <x:f>'Assumptions'!$H$35*IF('Assumptions'!$O$35=1,1,'Assumptions'!$D$10)*(1+'Assumptions'!$N$35)^(10-1)</x:f>
        <x:v>896.3194264667333</x:v>
      </x:c>
      <x:c r="J1165" s="10" t="n">
        <x:f>H1165*I1165</x:f>
        <x:v>17713.797401858592</x:v>
      </x:c>
      <x:c r="K1165" s="10" t="n">
        <x:f>J1165*'Assumptions'!$T$35</x:f>
        <x:v>17713.797401858592</x:v>
      </x:c>
      <x:c r="L1165" s="10" t="n">
        <x:f>K1165*'Assumptions'!$U$35</x:f>
        <x:v>531.4139220557578</x:v>
      </x:c>
      <x:c r="M1165" s="10" t="n">
        <x:f>K1165*'Assumptions'!$V$35</x:f>
        <x:v>0</x:v>
      </x:c>
      <x:c r="N1165" s="10" t="n">
        <x:f>K1165-L1165-M1165</x:f>
        <x:v>17182.383479802833</x:v>
      </x:c>
      <x:c r="O1165" s="10" t="n">
        <x:f>H1165*'Assumptions'!$P$35*'Assumptions'!$Q$35*'Assumptions'!$D$11*(1+'Assumptions'!$D$13)^(10-1)</x:f>
        <x:v>9282.958033099532</x:v>
      </x:c>
      <x:c r="P1165" s="10" t="n">
        <x:f>H1165*'Assumptions'!$R$35*'Assumptions'!$D$11*(1+'Assumptions'!$D$13)^(10-1)</x:f>
        <x:v>644.6498634096897</x:v>
      </x:c>
      <x:c r="Q1165" s="10" t="n">
        <x:f>J1165*'Assumptions'!$S$35</x:f>
        <x:v>0</x:v>
      </x:c>
      <x:c r="R1165" s="10" t="n">
        <x:f>H1165*'Assumptions'!$Y$35*'Assumptions'!$Z$35*'Assumptions'!$D$11*(1+'Assumptions'!$D$13)^(10-1)</x:f>
        <x:v>193.3949590229069</x:v>
      </x:c>
      <x:c r="S1165" s="10" t="n">
        <x:f>IF(I1165=0,0,J1165*'Assumptions'!$W$35+H1165*'Assumptions'!$X$35)</x:f>
        <x:v>519.6289699557418</x:v>
      </x:c>
      <x:c r="T1165" s="10" t="n">
        <x:f>N1165*'Assumptions'!$AA$35</x:f>
        <x:v>687.2953391921134</x:v>
      </x:c>
      <x:c r="U1165" s="10" t="n">
        <x:f>'Assumptions'!$AE$35*'Assumptions'!$D$11*(1+'Assumptions'!$D$13)^(10-1)</x:f>
        <x:v>0</x:v>
      </x:c>
      <x:c r="V1165" s="10" t="n">
        <x:f>0</x:f>
        <x:v>0</x:v>
      </x:c>
      <x:c r="W1165" s="10" t="n">
        <x:f>H1165*('Assumptions'!$P$35+'Assumptions'!$Y$35)</x:f>
        <x:v>163.04324580067248</x:v>
      </x:c>
      <x:c r="X1165" s="10" t="n">
        <x:f>N1165/12*'Assumptions'!$AF$35</x:f>
        <x:v>1431.8652899835695</x:v>
      </x:c>
      <x:c r="Y1165" s="10" t="n">
        <x:f>P1165/12</x:f>
        <x:v>53.720821950807476</x:v>
      </x:c>
      <x:c r="Z1165" s="10" t="n">
        <x:f>0</x:f>
        <x:v>0</x:v>
      </x:c>
      <x:c r="AA1165" s="10" t="n">
        <x:f>Z1165*'Assumptions'!$AC$35*'Assumptions'!$D$11*(1+'Assumptions'!$D$13)^(10-1)</x:f>
        <x:v>0</x:v>
      </x:c>
      <x:c r="AB1165" s="10" t="n">
        <x:f>F1165/1</x:f>
        <x:v>10.183759033095784</x:v>
      </x:c>
      <x:c r="AC1165" s="10" t="n">
        <x:f>AB1165/'Assumptions'!$AM$35</x:f>
        <x:v>50.91879516547892</x:v>
      </x:c>
      <x:c r="AD1165" s="10" t="n">
        <x:f>IF(AB1165=0,0,T1165/AB1165)</x:f>
        <x:v>67.48935603822716</x:v>
      </x:c>
      <x:c r="AE1165" s="10" t="n">
        <x:f>AA1165*'Assumptions'!$D$21</x:f>
        <x:v>0</x:v>
      </x:c>
    </x:row>
    <x:row r="1166" ht="16" customHeight="1">
      <x:c r="A1166" s="1"/>
      <x:c r="B1166" s="1"/>
      <x:c r="C1166" s="1" t="str">
        <x:v>DOT-007</x:v>
      </x:c>
      <x:c r="D1166" s="10" t="str">
        <x:v>BPA professional services</x:v>
      </x:c>
      <x:c r="E1166" s="10" t="n">
        <x:v>10</x:v>
      </x:c>
      <x:c r="F1166" s="21" t="n">
        <x:f>F1038*(1+'Assumptions'!$M$36)</x:f>
        <x:v>40.73503613238314</x:v>
      </x:c>
      <x:c r="G1166" s="21" t="n">
        <x:f>H1038*'Assumptions'!$K$36</x:f>
        <x:v>38.29279705885202</x:v>
      </x:c>
      <x:c r="H1166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1166+G1166,NA())</x:f>
        <x:v>79.02783319123515</x:v>
      </x:c>
      <x:c r="I1166" s="22" t="n">
        <x:f>'Assumptions'!$H$36*IF('Assumptions'!$O$36=1,1,'Assumptions'!$D$10)*(1+'Assumptions'!$N$36)^(10-1)</x:f>
        <x:v>250</x:v>
      </x:c>
      <x:c r="J1166" s="10" t="n">
        <x:f>H1166*I1166</x:f>
        <x:v>19756.958297808786</x:v>
      </x:c>
      <x:c r="K1166" s="10" t="n">
        <x:f>J1166*'Assumptions'!$T$36</x:f>
        <x:v>19756.958297808786</x:v>
      </x:c>
      <x:c r="L1166" s="10" t="n">
        <x:f>K1166*'Assumptions'!$U$36</x:f>
        <x:v>592.7087489342636</x:v>
      </x:c>
      <x:c r="M1166" s="10" t="n">
        <x:f>K1166*'Assumptions'!$V$36</x:f>
        <x:v>0</x:v>
      </x:c>
      <x:c r="N1166" s="10" t="n">
        <x:f>K1166-L1166-M1166</x:f>
        <x:v>19164.249548874523</x:v>
      </x:c>
      <x:c r="O1166" s="10" t="n">
        <x:f>H1166*'Assumptions'!$P$36*'Assumptions'!$Q$36*'Assumptions'!$D$11*(1+'Assumptions'!$D$13)^(10-1)</x:f>
        <x:v>5153.607608252237</x:v>
      </x:c>
      <x:c r="P1166" s="10" t="n">
        <x:f>H1166*'Assumptions'!$R$36*'Assumptions'!$D$11*(1+'Assumptions'!$D$13)^(10-1)</x:f>
        <x:v>1031.1339752405436</x:v>
      </x:c>
      <x:c r="Q1166" s="10" t="n">
        <x:f>J1166*'Assumptions'!$S$36</x:f>
        <x:v>0</x:v>
      </x:c>
      <x:c r="R1166" s="10" t="n">
        <x:f>H1166*'Assumptions'!$Y$36*'Assumptions'!$Z$36*'Assumptions'!$D$11*(1+'Assumptions'!$D$13)^(10-1)</x:f>
        <x:v>773.3504814304076</x:v>
      </x:c>
      <x:c r="S1166" s="10" t="n">
        <x:f>IF(I1166=0,0,J1166*'Assumptions'!$W$36+H1166*'Assumptions'!$X$36)</x:f>
        <x:v>596.6601405938253</x:v>
      </x:c>
      <x:c r="T1166" s="10" t="n">
        <x:f>N1166*'Assumptions'!$AA$36</x:f>
        <x:v>766.5699819549809</x:v>
      </x:c>
      <x:c r="U1166" s="10" t="n">
        <x:f>'Assumptions'!$AE$36*'Assumptions'!$D$11*(1+'Assumptions'!$D$13)^(10-1)</x:f>
        <x:v>0</x:v>
      </x:c>
      <x:c r="V1166" s="10" t="n">
        <x:f>0</x:f>
        <x:v>0</x:v>
      </x:c>
      <x:c r="W1166" s="10" t="n">
        <x:f>H1166*('Assumptions'!$P$36+'Assumptions'!$Y$36)</x:f>
        <x:v>85.58714334610767</x:v>
      </x:c>
      <x:c r="X1166" s="10" t="n">
        <x:f>N1166/12*'Assumptions'!$AF$36</x:f>
        <x:v>1597.0207957395435</x:v>
      </x:c>
      <x:c r="Y1166" s="10" t="n">
        <x:f>P1166/12</x:f>
        <x:v>85.9278312700453</x:v>
      </x:c>
      <x:c r="Z1166" s="10" t="n">
        <x:f>0</x:f>
        <x:v>0</x:v>
      </x:c>
      <x:c r="AA1166" s="10" t="n">
        <x:f>Z1166*'Assumptions'!$AC$36*'Assumptions'!$D$11*(1+'Assumptions'!$D$13)^(10-1)</x:f>
        <x:v>0</x:v>
      </x:c>
      <x:c r="AB1166" s="10" t="n">
        <x:f>F1166/1</x:f>
        <x:v>40.73503613238314</x:v>
      </x:c>
      <x:c r="AC1166" s="10" t="n">
        <x:f>AB1166/'Assumptions'!$AM$36</x:f>
        <x:v>203.67518066191568</x:v>
      </x:c>
      <x:c r="AD1166" s="10" t="n">
        <x:f>IF(AB1166=0,0,T1166/AB1166)</x:f>
        <x:v>18.81844364796281</x:v>
      </x:c>
      <x:c r="AE1166" s="10" t="n">
        <x:f>AA1166*'Assumptions'!$D$21</x:f>
        <x:v>0</x:v>
      </x:c>
    </x:row>
    <x:row r="1167" ht="16" customHeight="1">
      <x:c r="A1167" s="1"/>
      <x:c r="B1167" s="1"/>
      <x:c r="C1167" s="1" t="str">
        <x:v>DOT-008</x:v>
      </x:c>
      <x:c r="D1167" s="10" t="str">
        <x:v>BPA professional services</x:v>
      </x:c>
      <x:c r="E1167" s="10" t="n">
        <x:v>10</x:v>
      </x:c>
      <x:c r="F1167" s="21" t="n">
        <x:f>F1039*(1+'Assumptions'!$M$37)</x:f>
        <x:v>15.275638549643672</x:v>
      </x:c>
      <x:c r="G1167" s="21" t="n">
        <x:f>H1039*'Assumptions'!$K$37</x:f>
        <x:v>14.359798897069503</x:v>
      </x:c>
      <x:c r="H1167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1167+G1167,NA())</x:f>
        <x:v>29.635437446713176</x:v>
      </x:c>
      <x:c r="I1167" s="22" t="n">
        <x:f>'Assumptions'!$H$37*IF('Assumptions'!$O$37=1,1,'Assumptions'!$D$10)*(1+'Assumptions'!$N$37)^(10-1)</x:f>
        <x:v>600</x:v>
      </x:c>
      <x:c r="J1167" s="10" t="n">
        <x:f>H1167*I1167</x:f>
        <x:v>17781.262468027904</x:v>
      </x:c>
      <x:c r="K1167" s="10" t="n">
        <x:f>J1167*'Assumptions'!$T$37</x:f>
        <x:v>17781.262468027904</x:v>
      </x:c>
      <x:c r="L1167" s="10" t="n">
        <x:f>K1167*'Assumptions'!$U$37</x:f>
        <x:v>533.4378740408371</x:v>
      </x:c>
      <x:c r="M1167" s="10" t="n">
        <x:f>K1167*'Assumptions'!$V$37</x:f>
        <x:v>0</x:v>
      </x:c>
      <x:c r="N1167" s="10" t="n">
        <x:f>K1167-L1167-M1167</x:f>
        <x:v>17247.82459398707</x:v>
      </x:c>
      <x:c r="O1167" s="10" t="n">
        <x:f>H1167*'Assumptions'!$P$37*'Assumptions'!$Q$37*'Assumptions'!$D$11*(1+'Assumptions'!$D$13)^(10-1)</x:f>
        <x:v>9280.20577716489</x:v>
      </x:c>
      <x:c r="P1167" s="10" t="n">
        <x:f>H1167*'Assumptions'!$R$37*'Assumptions'!$D$11*(1+'Assumptions'!$D$13)^(10-1)</x:f>
        <x:v>386.6752407152038</x:v>
      </x:c>
      <x:c r="Q1167" s="10" t="n">
        <x:f>J1167*'Assumptions'!$S$37</x:f>
        <x:v>0</x:v>
      </x:c>
      <x:c r="R1167" s="10" t="n">
        <x:f>H1167*'Assumptions'!$Y$37*'Assumptions'!$Z$37*'Assumptions'!$D$11*(1+'Assumptions'!$D$13)^(10-1)</x:f>
        <x:v>290.00643053640283</x:v>
      </x:c>
      <x:c r="S1167" s="10" t="n">
        <x:f>IF(I1167=0,0,J1167*'Assumptions'!$W$37+H1167*'Assumptions'!$X$37)</x:f>
        <x:v>524.5472428068232</x:v>
      </x:c>
      <x:c r="T1167" s="10" t="n">
        <x:f>N1167*'Assumptions'!$AA$37</x:f>
        <x:v>689.9129837594827</x:v>
      </x:c>
      <x:c r="U1167" s="10" t="n">
        <x:f>'Assumptions'!$AE$37*'Assumptions'!$D$11*(1+'Assumptions'!$D$13)^(10-1)</x:f>
        <x:v>0</x:v>
      </x:c>
      <x:c r="V1167" s="10" t="n">
        <x:f>0</x:f>
        <x:v>0</x:v>
      </x:c>
      <x:c r="W1167" s="10" t="n">
        <x:f>H1167*('Assumptions'!$P$37+'Assumptions'!$Y$37)</x:f>
        <x:v>125.950609148531</x:v>
      </x:c>
      <x:c r="X1167" s="10" t="n">
        <x:f>N1167/12*'Assumptions'!$AF$37</x:f>
        <x:v>1437.318716165589</x:v>
      </x:c>
      <x:c r="Y1167" s="10" t="n">
        <x:f>P1167/12</x:f>
        <x:v>32.22293672626699</x:v>
      </x:c>
      <x:c r="Z1167" s="10" t="n">
        <x:f>0</x:f>
        <x:v>0</x:v>
      </x:c>
      <x:c r="AA1167" s="10" t="n">
        <x:f>Z1167*'Assumptions'!$AC$37*'Assumptions'!$D$11*(1+'Assumptions'!$D$13)^(10-1)</x:f>
        <x:v>0</x:v>
      </x:c>
      <x:c r="AB1167" s="10" t="n">
        <x:f>F1167/1</x:f>
        <x:v>15.275638549643672</x:v>
      </x:c>
      <x:c r="AC1167" s="10" t="n">
        <x:f>AB1167/'Assumptions'!$AM$37</x:f>
        <x:v>76.37819274821835</x:v>
      </x:c>
      <x:c r="AD1167" s="10" t="n">
        <x:f>IF(AB1167=0,0,T1167/AB1167)</x:f>
        <x:v>45.16426475511074</x:v>
      </x:c>
      <x:c r="AE1167" s="10" t="n">
        <x:f>AA1167*'Assumptions'!$D$21</x:f>
        <x:v>0</x:v>
      </x:c>
    </x:row>
    <x:row r="1168" ht="16" customHeight="1">
      <x:c r="A1168" s="1"/>
      <x:c r="B1168" s="1"/>
      <x:c r="C1168" s="1" t="str">
        <x:v>DOT-009</x:v>
      </x:c>
      <x:c r="D1168" s="10" t="str">
        <x:v>BPA professional services</x:v>
      </x:c>
      <x:c r="E1168" s="10" t="n">
        <x:v>10</x:v>
      </x:c>
      <x:c r="F1168" s="21" t="n">
        <x:f>F1040*(1+'Assumptions'!$M$38)</x:f>
        <x:v>10.183759033095784</x:v>
      </x:c>
      <x:c r="G1168" s="21" t="n">
        <x:f>H1040*'Assumptions'!$K$38</x:f>
        <x:v>9.573199264713004</x:v>
      </x:c>
      <x:c r="H1168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1168+G1168,NA())</x:f>
        <x:v>19.756958297808787</x:v>
      </x:c>
      <x:c r="I1168" s="22" t="n">
        <x:f>'Assumptions'!$H$38*IF('Assumptions'!$O$38=1,1,'Assumptions'!$D$10)*(1+'Assumptions'!$N$38)^(10-1)</x:f>
        <x:v>900</x:v>
      </x:c>
      <x:c r="J1168" s="10" t="n">
        <x:f>H1168*I1168</x:f>
        <x:v>17781.262468027908</x:v>
      </x:c>
      <x:c r="K1168" s="10" t="n">
        <x:f>J1168*'Assumptions'!$T$38</x:f>
        <x:v>17781.262468027908</x:v>
      </x:c>
      <x:c r="L1168" s="10" t="n">
        <x:f>K1168*'Assumptions'!$U$38</x:f>
        <x:v>533.4378740408372</x:v>
      </x:c>
      <x:c r="M1168" s="10" t="n">
        <x:f>K1168*'Assumptions'!$V$38</x:f>
        <x:v>0</x:v>
      </x:c>
      <x:c r="N1168" s="10" t="n">
        <x:f>K1168-L1168-M1168</x:f>
        <x:v>17247.824593987072</x:v>
      </x:c>
      <x:c r="O1168" s="10" t="n">
        <x:f>H1168*'Assumptions'!$P$38*'Assumptions'!$Q$38*'Assumptions'!$D$11*(1+'Assumptions'!$D$13)^(10-1)</x:f>
        <x:v>9280.205777164892</x:v>
      </x:c>
      <x:c r="P1168" s="10" t="n">
        <x:f>H1168*'Assumptions'!$R$38*'Assumptions'!$D$11*(1+'Assumptions'!$D$13)^(10-1)</x:f>
        <x:v>257.7834938101359</x:v>
      </x:c>
      <x:c r="Q1168" s="10" t="n">
        <x:f>J1168*'Assumptions'!$S$38</x:f>
        <x:v>0</x:v>
      </x:c>
      <x:c r="R1168" s="10" t="n">
        <x:f>H1168*'Assumptions'!$Y$38*'Assumptions'!$Z$38*'Assumptions'!$D$11*(1+'Assumptions'!$D$13)^(10-1)</x:f>
        <x:v>193.3376203576019</x:v>
      </x:c>
      <x:c r="S1168" s="10" t="n">
        <x:f>IF(I1168=0,0,J1168*'Assumptions'!$W$38+H1168*'Assumptions'!$X$38)</x:f>
        <x:v>521.5836990621519</x:v>
      </x:c>
      <x:c r="T1168" s="10" t="n">
        <x:f>N1168*'Assumptions'!$AA$38</x:f>
        <x:v>689.9129837594829</x:v>
      </x:c>
      <x:c r="U1168" s="10" t="n">
        <x:f>'Assumptions'!$AE$38*'Assumptions'!$D$11*(1+'Assumptions'!$D$13)^(10-1)</x:f>
        <x:v>0</x:v>
      </x:c>
      <x:c r="V1168" s="10" t="n">
        <x:f>0</x:f>
        <x:v>0</x:v>
      </x:c>
      <x:c r="W1168" s="10" t="n">
        <x:f>H1168*('Assumptions'!$P$38+'Assumptions'!$Y$38)</x:f>
        <x:v>123.48098936130492</x:v>
      </x:c>
      <x:c r="X1168" s="10" t="n">
        <x:f>N1168/12*'Assumptions'!$AF$38</x:f>
        <x:v>1437.3187161655894</x:v>
      </x:c>
      <x:c r="Y1168" s="10" t="n">
        <x:f>P1168/12</x:f>
        <x:v>21.481957817511326</x:v>
      </x:c>
      <x:c r="Z1168" s="10" t="n">
        <x:f>0</x:f>
        <x:v>0</x:v>
      </x:c>
      <x:c r="AA1168" s="10" t="n">
        <x:f>Z1168*'Assumptions'!$AC$38*'Assumptions'!$D$11*(1+'Assumptions'!$D$13)^(10-1)</x:f>
        <x:v>0</x:v>
      </x:c>
      <x:c r="AB1168" s="10" t="n">
        <x:f>F1168/1</x:f>
        <x:v>10.183759033095784</x:v>
      </x:c>
      <x:c r="AC1168" s="10" t="n">
        <x:f>AB1168/'Assumptions'!$AM$38</x:f>
        <x:v>50.91879516547892</x:v>
      </x:c>
      <x:c r="AD1168" s="10" t="n">
        <x:f>IF(AB1168=0,0,T1168/AB1168)</x:f>
        <x:v>67.74639713266612</x:v>
      </x:c>
      <x:c r="AE1168" s="10" t="n">
        <x:f>AA1168*'Assumptions'!$D$21</x:f>
        <x:v>0</x:v>
      </x:c>
    </x:row>
    <x:row r="1169" ht="16" customHeight="1">
      <x:c r="A1169" s="1"/>
      <x:c r="B1169" s="1"/>
      <x:c r="C1169" s="1" t="str">
        <x:v>DOT-010</x:v>
      </x:c>
      <x:c r="D1169" s="10" t="str">
        <x:v>BPA professional services</x:v>
      </x:c>
      <x:c r="E1169" s="10" t="n">
        <x:v>10</x:v>
      </x:c>
      <x:c r="F1169" s="21" t="n">
        <x:f>F1041*(1+'Assumptions'!$M$39)</x:f>
        <x:v>10.183759033095784</x:v>
      </x:c>
      <x:c r="G1169" s="21" t="n">
        <x:f>H1041*'Assumptions'!$K$39</x:f>
        <x:v>9.573199264713004</x:v>
      </x:c>
      <x:c r="H1169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1169+G1169,NA())</x:f>
        <x:v>19.756958297808787</x:v>
      </x:c>
      <x:c r="I1169" s="22" t="n">
        <x:f>'Assumptions'!$H$39*IF('Assumptions'!$O$39=1,1,'Assumptions'!$D$10)*(1+'Assumptions'!$N$39)^(10-1)</x:f>
        <x:v>1800</x:v>
      </x:c>
      <x:c r="J1169" s="10" t="n">
        <x:f>H1169*I1169</x:f>
        <x:v>35562.524936055815</x:v>
      </x:c>
      <x:c r="K1169" s="10" t="n">
        <x:f>J1169*'Assumptions'!$T$39</x:f>
        <x:v>35562.524936055815</x:v>
      </x:c>
      <x:c r="L1169" s="10" t="n">
        <x:f>K1169*'Assumptions'!$U$39</x:f>
        <x:v>1066.8757480816744</x:v>
      </x:c>
      <x:c r="M1169" s="10" t="n">
        <x:f>K1169*'Assumptions'!$V$39</x:f>
        <x:v>0</x:v>
      </x:c>
      <x:c r="N1169" s="10" t="n">
        <x:f>K1169-L1169-M1169</x:f>
        <x:v>34495.649187974144</x:v>
      </x:c>
      <x:c r="O1169" s="10" t="n">
        <x:f>H1169*'Assumptions'!$P$39*'Assumptions'!$Q$39*'Assumptions'!$D$11*(1+'Assumptions'!$D$13)^(10-1)</x:f>
        <x:v>18560.411554329785</x:v>
      </x:c>
      <x:c r="P1169" s="10" t="n">
        <x:f>H1169*'Assumptions'!$R$39*'Assumptions'!$D$11*(1+'Assumptions'!$D$13)^(10-1)</x:f>
        <x:v>257.7834938101359</x:v>
      </x:c>
      <x:c r="Q1169" s="10" t="n">
        <x:f>J1169*'Assumptions'!$S$39</x:f>
        <x:v>0</x:v>
      </x:c>
      <x:c r="R1169" s="10" t="n">
        <x:f>H1169*'Assumptions'!$Y$39*'Assumptions'!$Z$39*'Assumptions'!$D$11*(1+'Assumptions'!$D$13)^(10-1)</x:f>
        <x:v>193.3376203576019</x:v>
      </x:c>
      <x:c r="S1169" s="10" t="n">
        <x:f>IF(I1169=0,0,J1169*'Assumptions'!$W$39+H1169*'Assumptions'!$X$39)</x:f>
        <x:v>1037.2403106349614</x:v>
      </x:c>
      <x:c r="T1169" s="10" t="n">
        <x:f>N1169*'Assumptions'!$AA$39</x:f>
        <x:v>1379.8259675189659</x:v>
      </x:c>
      <x:c r="U1169" s="10" t="n">
        <x:f>'Assumptions'!$AE$39*'Assumptions'!$D$11*(1+'Assumptions'!$D$13)^(10-1)</x:f>
        <x:v>0</x:v>
      </x:c>
      <x:c r="V1169" s="10" t="n">
        <x:f>0</x:f>
        <x:v>0</x:v>
      </x:c>
      <x:c r="W1169" s="10" t="n">
        <x:f>H1169*('Assumptions'!$P$39+'Assumptions'!$Y$39)</x:f>
        <x:v>242.02273914815763</x:v>
      </x:c>
      <x:c r="X1169" s="10" t="n">
        <x:f>N1169/12*'Assumptions'!$AF$39</x:f>
        <x:v>2874.637432331179</x:v>
      </x:c>
      <x:c r="Y1169" s="10" t="n">
        <x:f>P1169/12</x:f>
        <x:v>21.481957817511326</x:v>
      </x:c>
      <x:c r="Z1169" s="10" t="n">
        <x:f>0</x:f>
        <x:v>0</x:v>
      </x:c>
      <x:c r="AA1169" s="10" t="n">
        <x:f>Z1169*'Assumptions'!$AC$39*'Assumptions'!$D$11*(1+'Assumptions'!$D$13)^(10-1)</x:f>
        <x:v>0</x:v>
      </x:c>
      <x:c r="AB1169" s="10" t="n">
        <x:f>F1169/1</x:f>
        <x:v>10.183759033095784</x:v>
      </x:c>
      <x:c r="AC1169" s="10" t="n">
        <x:f>AB1169/'Assumptions'!$AM$39</x:f>
        <x:v>50.91879516547892</x:v>
      </x:c>
      <x:c r="AD1169" s="10" t="n">
        <x:f>IF(AB1169=0,0,T1169/AB1169)</x:f>
        <x:v>135.49279426533224</x:v>
      </x:c>
      <x:c r="AE1169" s="10" t="n">
        <x:f>AA1169*'Assumptions'!$D$21</x:f>
        <x:v>0</x:v>
      </x:c>
    </x:row>
    <x:row r="1170" ht="16" customHeight="1">
      <x:c r="A1170" s="1"/>
      <x:c r="B1170" s="1"/>
      <x:c r="C1170" s="1" t="str">
        <x:v>DOT-011</x:v>
      </x:c>
      <x:c r="D1170" s="10" t="str">
        <x:v>BPA professional services</x:v>
      </x:c>
      <x:c r="E1170" s="10" t="n">
        <x:v>10</x:v>
      </x:c>
      <x:c r="F1170" s="21" t="n">
        <x:f>F1042*(1+'Assumptions'!$M$40)</x:f>
        <x:v>30.551277099287343</x:v>
      </x:c>
      <x:c r="G1170" s="21" t="n">
        <x:f>H1042*'Assumptions'!$K$40</x:f>
        <x:v>28.719597794139005</x:v>
      </x:c>
      <x:c r="H1170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1170+G1170,NA())</x:f>
        <x:v>59.27087489342635</x:v>
      </x:c>
      <x:c r="I1170" s="22" t="n">
        <x:f>'Assumptions'!$H$40*IF('Assumptions'!$O$40=1,1,'Assumptions'!$D$10)*(1+'Assumptions'!$N$40)^(10-1)</x:f>
        <x:v>600</x:v>
      </x:c>
      <x:c r="J1170" s="10" t="n">
        <x:f>H1170*I1170</x:f>
        <x:v>35562.52493605581</x:v>
      </x:c>
      <x:c r="K1170" s="10" t="n">
        <x:f>J1170*'Assumptions'!$T$40</x:f>
        <x:v>35562.52493605581</x:v>
      </x:c>
      <x:c r="L1170" s="10" t="n">
        <x:f>K1170*'Assumptions'!$U$40</x:f>
        <x:v>1066.8757480816741</x:v>
      </x:c>
      <x:c r="M1170" s="10" t="n">
        <x:f>K1170*'Assumptions'!$V$40</x:f>
        <x:v>0</x:v>
      </x:c>
      <x:c r="N1170" s="10" t="n">
        <x:f>K1170-L1170-M1170</x:f>
        <x:v>34495.64918797414</x:v>
      </x:c>
      <x:c r="O1170" s="10" t="n">
        <x:f>H1170*'Assumptions'!$P$40*'Assumptions'!$Q$40*'Assumptions'!$D$11*(1+'Assumptions'!$D$13)^(10-1)</x:f>
        <x:v>18560.41155432978</x:v>
      </x:c>
      <x:c r="P1170" s="10" t="n">
        <x:f>H1170*'Assumptions'!$R$40*'Assumptions'!$D$11*(1+'Assumptions'!$D$13)^(10-1)</x:f>
        <x:v>773.3504814304076</x:v>
      </x:c>
      <x:c r="Q1170" s="10" t="n">
        <x:f>J1170*'Assumptions'!$S$40</x:f>
        <x:v>0</x:v>
      </x:c>
      <x:c r="R1170" s="10" t="n">
        <x:f>H1170*'Assumptions'!$Y$40*'Assumptions'!$Z$40*'Assumptions'!$D$11*(1+'Assumptions'!$D$13)^(10-1)</x:f>
        <x:v>580.0128610728057</x:v>
      </x:c>
      <x:c r="S1170" s="10" t="n">
        <x:f>IF(I1170=0,0,J1170*'Assumptions'!$W$40+H1170*'Assumptions'!$X$40)</x:f>
        <x:v>1049.0944856136464</x:v>
      </x:c>
      <x:c r="T1170" s="10" t="n">
        <x:f>N1170*'Assumptions'!$AA$40</x:f>
        <x:v>1379.8259675189654</x:v>
      </x:c>
      <x:c r="U1170" s="10" t="n">
        <x:f>'Assumptions'!$AE$40*'Assumptions'!$D$11*(1+'Assumptions'!$D$13)^(10-1)</x:f>
        <x:v>0</x:v>
      </x:c>
      <x:c r="V1170" s="10" t="n">
        <x:f>0</x:f>
        <x:v>0</x:v>
      </x:c>
      <x:c r="W1170" s="10" t="n">
        <x:f>H1170*('Assumptions'!$P$40+'Assumptions'!$Y$40)</x:f>
        <x:v>251.901218297062</x:v>
      </x:c>
      <x:c r="X1170" s="10" t="n">
        <x:f>N1170/12*'Assumptions'!$AF$40</x:f>
        <x:v>2874.637432331178</x:v>
      </x:c>
      <x:c r="Y1170" s="10" t="n">
        <x:f>P1170/12</x:f>
        <x:v>64.44587345253397</x:v>
      </x:c>
      <x:c r="Z1170" s="10" t="n">
        <x:f>0</x:f>
        <x:v>0</x:v>
      </x:c>
      <x:c r="AA1170" s="10" t="n">
        <x:f>Z1170*'Assumptions'!$AC$40*'Assumptions'!$D$11*(1+'Assumptions'!$D$13)^(10-1)</x:f>
        <x:v>0</x:v>
      </x:c>
      <x:c r="AB1170" s="10" t="n">
        <x:f>F1170/12</x:f>
        <x:v>2.545939758273945</x:v>
      </x:c>
      <x:c r="AC1170" s="10" t="n">
        <x:f>AB1170/'Assumptions'!$AM$40</x:f>
        <x:v>12.729698791369724</x:v>
      </x:c>
      <x:c r="AD1170" s="10" t="n">
        <x:f>IF(AB1170=0,0,T1170/AB1170)</x:f>
        <x:v>541.971177061329</x:v>
      </x:c>
      <x:c r="AE1170" s="10" t="n">
        <x:f>AA1170*'Assumptions'!$D$21</x:f>
        <x:v>0</x:v>
      </x:c>
    </x:row>
    <x:row r="1171" ht="16" customHeight="1">
      <x:c r="A1171" s="1"/>
      <x:c r="B1171" s="1"/>
      <x:c r="C1171" s="1" t="str">
        <x:v>DOT-012</x:v>
      </x:c>
      <x:c r="D1171" s="10" t="str">
        <x:v>BPA professional services</x:v>
      </x:c>
      <x:c r="E1171" s="10" t="n">
        <x:v>10</x:v>
      </x:c>
      <x:c r="F1171" s="21" t="n">
        <x:f>F1043*(1+'Assumptions'!$M$41)</x:f>
        <x:v>20.36751806619157</x:v>
      </x:c>
      <x:c r="G1171" s="21" t="n">
        <x:f>H1043*'Assumptions'!$K$41</x:f>
        <x:v>19.14639852942601</x:v>
      </x:c>
      <x:c r="H1171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1171+G1171,NA())</x:f>
        <x:v>39.51391659561757</x:v>
      </x:c>
      <x:c r="I1171" s="22" t="n">
        <x:f>'Assumptions'!$H$41*IF('Assumptions'!$O$41=1,1,'Assumptions'!$D$10)*(1+'Assumptions'!$N$41)^(10-1)</x:f>
        <x:v>1080</x:v>
      </x:c>
      <x:c r="J1171" s="10" t="n">
        <x:f>H1171*I1171</x:f>
        <x:v>42675.02992326698</x:v>
      </x:c>
      <x:c r="K1171" s="10" t="n">
        <x:f>J1171*'Assumptions'!$T$41</x:f>
        <x:v>42675.02992326698</x:v>
      </x:c>
      <x:c r="L1171" s="10" t="n">
        <x:f>K1171*'Assumptions'!$U$41</x:f>
        <x:v>1280.2508976980093</x:v>
      </x:c>
      <x:c r="M1171" s="10" t="n">
        <x:f>K1171*'Assumptions'!$V$41</x:f>
        <x:v>0</x:v>
      </x:c>
      <x:c r="N1171" s="10" t="n">
        <x:f>K1171-L1171-M1171</x:f>
        <x:v>41394.77902556897</x:v>
      </x:c>
      <x:c r="O1171" s="10" t="n">
        <x:f>H1171*'Assumptions'!$P$41*'Assumptions'!$Q$41*'Assumptions'!$D$11*(1+'Assumptions'!$D$13)^(10-1)</x:f>
        <x:v>24747.215405773044</x:v>
      </x:c>
      <x:c r="P1171" s="10" t="n">
        <x:f>H1171*'Assumptions'!$R$41*'Assumptions'!$D$11*(1+'Assumptions'!$D$13)^(10-1)</x:f>
        <x:v>515.5669876202718</x:v>
      </x:c>
      <x:c r="Q1171" s="10" t="n">
        <x:f>J1171*'Assumptions'!$S$41</x:f>
        <x:v>0</x:v>
      </x:c>
      <x:c r="R1171" s="10" t="n">
        <x:f>H1171*'Assumptions'!$Y$41*'Assumptions'!$Z$41*'Assumptions'!$D$11*(1+'Assumptions'!$D$13)^(10-1)</x:f>
        <x:v>386.6752407152038</x:v>
      </x:c>
      <x:c r="S1171" s="10" t="n">
        <x:f>IF(I1171=0,0,J1171*'Assumptions'!$W$41+H1171*'Assumptions'!$X$41)</x:f>
        <x:v>1249.4300427534276</x:v>
      </x:c>
      <x:c r="T1171" s="10" t="n">
        <x:f>N1171*'Assumptions'!$AA$41</x:f>
        <x:v>1655.7911610227588</x:v>
      </x:c>
      <x:c r="U1171" s="10" t="n">
        <x:f>'Assumptions'!$AE$41*'Assumptions'!$D$11*(1+'Assumptions'!$D$13)^(10-1)</x:f>
        <x:v>0</x:v>
      </x:c>
      <x:c r="V1171" s="10" t="n">
        <x:f>0</x:f>
        <x:v>0</x:v>
      </x:c>
      <x:c r="W1171" s="10" t="n">
        <x:f>H1171*('Assumptions'!$P$41+'Assumptions'!$Y$41)</x:f>
        <x:v>325.98981191384496</x:v>
      </x:c>
      <x:c r="X1171" s="10" t="n">
        <x:f>N1171/12*'Assumptions'!$AF$41</x:f>
        <x:v>3449.564918797414</x:v>
      </x:c>
      <x:c r="Y1171" s="10" t="n">
        <x:f>P1171/12</x:f>
        <x:v>42.96391563502265</x:v>
      </x:c>
      <x:c r="Z1171" s="10" t="n">
        <x:f>0</x:f>
        <x:v>0</x:v>
      </x:c>
      <x:c r="AA1171" s="10" t="n">
        <x:f>Z1171*'Assumptions'!$AC$41*'Assumptions'!$D$11*(1+'Assumptions'!$D$13)^(10-1)</x:f>
        <x:v>0</x:v>
      </x:c>
      <x:c r="AB1171" s="10" t="n">
        <x:f>F1171/12</x:f>
        <x:v>1.6972931721826308</x:v>
      </x:c>
      <x:c r="AC1171" s="10" t="n">
        <x:f>AB1171/'Assumptions'!$AM$41</x:f>
        <x:v>8.486465860913153</x:v>
      </x:c>
      <x:c r="AD1171" s="10" t="n">
        <x:f>IF(AB1171=0,0,T1171/AB1171)</x:f>
        <x:v>975.548118710392</x:v>
      </x:c>
      <x:c r="AE1171" s="10" t="n">
        <x:f>AA1171*'Assumptions'!$D$21</x:f>
        <x:v>0</x:v>
      </x:c>
    </x:row>
    <x:row r="1172" ht="16" customHeight="1">
      <x:c r="A1172" s="1"/>
      <x:c r="B1172" s="1"/>
      <x:c r="C1172" s="1" t="str">
        <x:v>DOT-013</x:v>
      </x:c>
      <x:c r="D1172" s="10" t="str">
        <x:v>BPA professional services</x:v>
      </x:c>
      <x:c r="E1172" s="10" t="n">
        <x:v>10</x:v>
      </x:c>
      <x:c r="F1172" s="21" t="n">
        <x:f>F1044*(1+'Assumptions'!$M$42)</x:f>
        <x:v>15.275638549643672</x:v>
      </x:c>
      <x:c r="G1172" s="21" t="n">
        <x:f>H1044*'Assumptions'!$K$42</x:f>
        <x:v>14.359798897069503</x:v>
      </x:c>
      <x:c r="H1172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1172+G1172,NA())</x:f>
        <x:v>29.635437446713176</x:v>
      </x:c>
      <x:c r="I1172" s="22" t="n">
        <x:f>'Assumptions'!$H$42*IF('Assumptions'!$O$42=1,1,'Assumptions'!$D$10)*(1+'Assumptions'!$N$42)^(10-1)</x:f>
        <x:v>2160</x:v>
      </x:c>
      <x:c r="J1172" s="10" t="n">
        <x:f>H1172*I1172</x:f>
        <x:v>64012.54488490046</x:v>
      </x:c>
      <x:c r="K1172" s="10" t="n">
        <x:f>J1172*'Assumptions'!$T$42</x:f>
        <x:v>64012.54488490046</x:v>
      </x:c>
      <x:c r="L1172" s="10" t="n">
        <x:f>K1172*'Assumptions'!$U$42</x:f>
        <x:v>1920.3763465470138</x:v>
      </x:c>
      <x:c r="M1172" s="10" t="n">
        <x:f>K1172*'Assumptions'!$V$42</x:f>
        <x:v>0</x:v>
      </x:c>
      <x:c r="N1172" s="10" t="n">
        <x:f>K1172-L1172-M1172</x:f>
        <x:v>62092.16853835345</x:v>
      </x:c>
      <x:c r="O1172" s="10" t="n">
        <x:f>H1172*'Assumptions'!$P$42*'Assumptions'!$Q$42*'Assumptions'!$D$11*(1+'Assumptions'!$D$13)^(10-1)</x:f>
        <x:v>37120.82310865956</x:v>
      </x:c>
      <x:c r="P1172" s="10" t="n">
        <x:f>H1172*'Assumptions'!$R$42*'Assumptions'!$D$11*(1+'Assumptions'!$D$13)^(10-1)</x:f>
        <x:v>386.6752407152038</x:v>
      </x:c>
      <x:c r="Q1172" s="10" t="n">
        <x:f>J1172*'Assumptions'!$S$42</x:f>
        <x:v>0</x:v>
      </x:c>
      <x:c r="R1172" s="10" t="n">
        <x:f>H1172*'Assumptions'!$Y$42*'Assumptions'!$Z$42*'Assumptions'!$D$11*(1+'Assumptions'!$D$13)^(10-1)</x:f>
        <x:v>290.00643053640283</x:v>
      </x:c>
      <x:c r="S1172" s="10" t="n">
        <x:f>IF(I1172=0,0,J1172*'Assumptions'!$W$42+H1172*'Assumptions'!$X$42)</x:f>
        <x:v>1865.2544328961274</x:v>
      </x:c>
      <x:c r="T1172" s="10" t="n">
        <x:f>N1172*'Assumptions'!$AA$42</x:f>
        <x:v>2483.686741534138</x:v>
      </x:c>
      <x:c r="U1172" s="10" t="n">
        <x:f>'Assumptions'!$AE$42*'Assumptions'!$D$11*(1+'Assumptions'!$D$13)^(10-1)</x:f>
        <x:v>0</x:v>
      </x:c>
      <x:c r="V1172" s="10" t="n">
        <x:f>0</x:f>
        <x:v>0</x:v>
      </x:c>
      <x:c r="W1172" s="10" t="n">
        <x:f>H1172*('Assumptions'!$P$42+'Assumptions'!$Y$42)</x:f>
        <x:v>481.57585850908913</x:v>
      </x:c>
      <x:c r="X1172" s="10" t="n">
        <x:f>N1172/12*'Assumptions'!$AF$42</x:f>
        <x:v>5174.347378196121</x:v>
      </x:c>
      <x:c r="Y1172" s="10" t="n">
        <x:f>P1172/12</x:f>
        <x:v>32.22293672626699</x:v>
      </x:c>
      <x:c r="Z1172" s="10" t="n">
        <x:f>0</x:f>
        <x:v>0</x:v>
      </x:c>
      <x:c r="AA1172" s="10" t="n">
        <x:f>Z1172*'Assumptions'!$AC$42*'Assumptions'!$D$11*(1+'Assumptions'!$D$13)^(10-1)</x:f>
        <x:v>0</x:v>
      </x:c>
      <x:c r="AB1172" s="10" t="n">
        <x:f>F1172/12</x:f>
        <x:v>1.2729698791369726</x:v>
      </x:c>
      <x:c r="AC1172" s="10" t="n">
        <x:f>AB1172/'Assumptions'!$AM$42</x:f>
        <x:v>6.364849395684862</x:v>
      </x:c>
      <x:c r="AD1172" s="10" t="n">
        <x:f>IF(AB1172=0,0,T1172/AB1172)</x:f>
        <x:v>1951.0962374207845</x:v>
      </x:c>
      <x:c r="AE1172" s="10" t="n">
        <x:f>AA1172*'Assumptions'!$D$21</x:f>
        <x:v>0</x:v>
      </x:c>
    </x:row>
    <x:row r="1173" ht="16" customHeight="1">
      <x:c r="A1173" s="1"/>
      <x:c r="B1173" s="1"/>
      <x:c r="C1173" s="1" t="str">
        <x:v>DOT-014</x:v>
      </x:c>
      <x:c r="D1173" s="10" t="str">
        <x:v>BPA professional services</x:v>
      </x:c>
      <x:c r="E1173" s="10" t="n">
        <x:v>10</x:v>
      </x:c>
      <x:c r="F1173" s="21" t="n">
        <x:f>F1045*(1+'Assumptions'!$M$43)</x:f>
        <x:v>10.183759033095784</x:v>
      </x:c>
      <x:c r="G1173" s="21" t="n">
        <x:f>H1045*'Assumptions'!$K$43</x:f>
        <x:v>9.573199264713004</x:v>
      </x:c>
      <x:c r="H1173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1173+G1173,NA())</x:f>
        <x:v>19.756958297808787</x:v>
      </x:c>
      <x:c r="I1173" s="22" t="n">
        <x:f>'Assumptions'!$H$43*IF('Assumptions'!$O$43=1,1,'Assumptions'!$D$10)*(1+'Assumptions'!$N$43)^(10-1)</x:f>
        <x:v>3000</x:v>
      </x:c>
      <x:c r="J1173" s="10" t="n">
        <x:f>H1173*I1173</x:f>
        <x:v>59270.87489342636</x:v>
      </x:c>
      <x:c r="K1173" s="10" t="n">
        <x:f>J1173*'Assumptions'!$T$43</x:f>
        <x:v>59270.87489342636</x:v>
      </x:c>
      <x:c r="L1173" s="10" t="n">
        <x:f>K1173*'Assumptions'!$U$43</x:f>
        <x:v>1778.1262468027905</x:v>
      </x:c>
      <x:c r="M1173" s="10" t="n">
        <x:f>K1173*'Assumptions'!$V$43</x:f>
        <x:v>0</x:v>
      </x:c>
      <x:c r="N1173" s="10" t="n">
        <x:f>K1173-L1173-M1173</x:f>
        <x:v>57492.748646623564</x:v>
      </x:c>
      <x:c r="O1173" s="10" t="n">
        <x:f>H1173*'Assumptions'!$P$43*'Assumptions'!$Q$43*'Assumptions'!$D$11*(1+'Assumptions'!$D$13)^(10-1)</x:f>
        <x:v>30934.019257216303</x:v>
      </x:c>
      <x:c r="P1173" s="10" t="n">
        <x:f>H1173*'Assumptions'!$R$43*'Assumptions'!$D$11*(1+'Assumptions'!$D$13)^(10-1)</x:f>
        <x:v>257.7834938101359</x:v>
      </x:c>
      <x:c r="Q1173" s="10" t="n">
        <x:f>J1173*'Assumptions'!$S$43</x:f>
        <x:v>0</x:v>
      </x:c>
      <x:c r="R1173" s="10" t="n">
        <x:f>H1173*'Assumptions'!$Y$43*'Assumptions'!$Z$43*'Assumptions'!$D$11*(1+'Assumptions'!$D$13)^(10-1)</x:f>
        <x:v>193.3376203576019</x:v>
      </x:c>
      <x:c r="S1173" s="10" t="n">
        <x:f>IF(I1173=0,0,J1173*'Assumptions'!$W$43+H1173*'Assumptions'!$X$43)</x:f>
        <x:v>1724.7824593987073</x:v>
      </x:c>
      <x:c r="T1173" s="10" t="n">
        <x:f>N1173*'Assumptions'!$AA$43</x:f>
        <x:v>2299.7099458649427</x:v>
      </x:c>
      <x:c r="U1173" s="10" t="n">
        <x:f>'Assumptions'!$AE$43*'Assumptions'!$D$11*(1+'Assumptions'!$D$13)^(10-1)</x:f>
        <x:v>0</x:v>
      </x:c>
      <x:c r="V1173" s="10" t="n">
        <x:f>0</x:f>
        <x:v>0</x:v>
      </x:c>
      <x:c r="W1173" s="10" t="n">
        <x:f>H1173*('Assumptions'!$P$43+'Assumptions'!$Y$43)</x:f>
        <x:v>400.07840553062795</x:v>
      </x:c>
      <x:c r="X1173" s="10" t="n">
        <x:f>N1173/12*'Assumptions'!$AF$43</x:f>
        <x:v>4791.062387218631</x:v>
      </x:c>
      <x:c r="Y1173" s="10" t="n">
        <x:f>P1173/12</x:f>
        <x:v>21.481957817511326</x:v>
      </x:c>
      <x:c r="Z1173" s="10" t="n">
        <x:f>0</x:f>
        <x:v>0</x:v>
      </x:c>
      <x:c r="AA1173" s="10" t="n">
        <x:f>Z1173*'Assumptions'!$AC$43*'Assumptions'!$D$11*(1+'Assumptions'!$D$13)^(10-1)</x:f>
        <x:v>0</x:v>
      </x:c>
      <x:c r="AB1173" s="10" t="n">
        <x:f>F1173/12</x:f>
        <x:v>0.8486465860913154</x:v>
      </x:c>
      <x:c r="AC1173" s="10" t="n">
        <x:f>AB1173/'Assumptions'!$AM$43</x:f>
        <x:v>4.243232930456577</x:v>
      </x:c>
      <x:c r="AD1173" s="10" t="n">
        <x:f>IF(AB1173=0,0,T1173/AB1173)</x:f>
        <x:v>2709.8558853066443</x:v>
      </x:c>
      <x:c r="AE1173" s="10" t="n">
        <x:f>AA1173*'Assumptions'!$D$21</x:f>
        <x:v>0</x:v>
      </x:c>
    </x:row>
    <x:row r="1174" ht="16" customHeight="1">
      <x:c r="A1174" s="1"/>
      <x:c r="B1174" s="1"/>
      <x:c r="C1174" s="1" t="str">
        <x:v>DOT-015</x:v>
      </x:c>
      <x:c r="D1174" s="10" t="str">
        <x:v>BPA professional services</x:v>
      </x:c>
      <x:c r="E1174" s="10" t="n">
        <x:v>10</x:v>
      </x:c>
      <x:c r="F1174" s="21" t="n">
        <x:f>F1046*(1+'Assumptions'!$M$44)</x:f>
        <x:v>8.486465860913153</x:v>
      </x:c>
      <x:c r="G1174" s="21" t="n">
        <x:f>H1046*'Assumptions'!$K$44</x:f>
        <x:v>7.977666053927502</x:v>
      </x:c>
      <x:c r="H1174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1174+G1174,NA())</x:f>
        <x:v>16.464131914840657</x:v>
      </x:c>
      <x:c r="I1174" s="22" t="n">
        <x:f>'Assumptions'!$H$44*IF('Assumptions'!$O$44=1,1,'Assumptions'!$D$10)*(1+'Assumptions'!$N$44)^(10-1)</x:f>
        <x:v>1200</x:v>
      </x:c>
      <x:c r="J1174" s="10" t="n">
        <x:f>H1174*I1174</x:f>
        <x:v>19756.95829780879</x:v>
      </x:c>
      <x:c r="K1174" s="10" t="n">
        <x:f>J1174*'Assumptions'!$T$44</x:f>
        <x:v>19756.95829780879</x:v>
      </x:c>
      <x:c r="L1174" s="10" t="n">
        <x:f>K1174*'Assumptions'!$U$44</x:f>
        <x:v>592.7087489342637</x:v>
      </x:c>
      <x:c r="M1174" s="10" t="n">
        <x:f>K1174*'Assumptions'!$V$44</x:f>
        <x:v>0</x:v>
      </x:c>
      <x:c r="N1174" s="10" t="n">
        <x:f>K1174-L1174-M1174</x:f>
        <x:v>19164.249548874526</x:v>
      </x:c>
      <x:c r="O1174" s="10" t="n">
        <x:f>H1174*'Assumptions'!$P$44*'Assumptions'!$Q$44*'Assumptions'!$D$11*(1+'Assumptions'!$D$13)^(10-1)</x:f>
        <x:v>12889.174690506796</x:v>
      </x:c>
      <x:c r="P1174" s="10" t="n">
        <x:f>H1174*'Assumptions'!$R$44*'Assumptions'!$D$11*(1+'Assumptions'!$D$13)^(10-1)</x:f>
        <x:v>214.81957817511326</x:v>
      </x:c>
      <x:c r="Q1174" s="10" t="n">
        <x:f>J1174*'Assumptions'!$S$44</x:f>
        <x:v>0</x:v>
      </x:c>
      <x:c r="R1174" s="10" t="n">
        <x:f>H1174*'Assumptions'!$Y$44*'Assumptions'!$Z$44*'Assumptions'!$D$11*(1+'Assumptions'!$D$13)^(10-1)</x:f>
        <x:v>161.11468363133494</x:v>
      </x:c>
      <x:c r="S1174" s="10" t="n">
        <x:f>IF(I1174=0,0,J1174*'Assumptions'!$W$44+H1174*'Assumptions'!$X$44)</x:f>
        <x:v>577.8910302109072</x:v>
      </x:c>
      <x:c r="T1174" s="10" t="n">
        <x:f>N1174*'Assumptions'!$AA$44</x:f>
        <x:v>766.569981954981</x:v>
      </x:c>
      <x:c r="U1174" s="10" t="n">
        <x:f>'Assumptions'!$AE$44*'Assumptions'!$D$11*(1+'Assumptions'!$D$13)^(10-1)</x:f>
        <x:v>0</x:v>
      </x:c>
      <x:c r="V1174" s="10" t="n">
        <x:f>0</x:f>
        <x:v>0</x:v>
      </x:c>
      <x:c r="W1174" s="10" t="n">
        <x:f>H1174*('Assumptions'!$P$44+'Assumptions'!$Y$44)</x:f>
        <x:v>168.75735212711672</x:v>
      </x:c>
      <x:c r="X1174" s="10" t="n">
        <x:f>N1174/12*'Assumptions'!$AF$44</x:f>
        <x:v>1597.020795739544</x:v>
      </x:c>
      <x:c r="Y1174" s="10" t="n">
        <x:f>P1174/12</x:f>
        <x:v>17.901631514592772</x:v>
      </x:c>
      <x:c r="Z1174" s="10" t="n">
        <x:f>0</x:f>
        <x:v>0</x:v>
      </x:c>
      <x:c r="AA1174" s="10" t="n">
        <x:f>Z1174*'Assumptions'!$AC$44*'Assumptions'!$D$11*(1+'Assumptions'!$D$13)^(10-1)</x:f>
        <x:v>0</x:v>
      </x:c>
      <x:c r="AB1174" s="10" t="n">
        <x:f>F1174/1</x:f>
        <x:v>8.486465860913153</x:v>
      </x:c>
      <x:c r="AC1174" s="10" t="n">
        <x:f>AB1174/'Assumptions'!$AM$44</x:f>
        <x:v>42.43232930456576</x:v>
      </x:c>
      <x:c r="AD1174" s="10" t="n">
        <x:f>IF(AB1174=0,0,T1174/AB1174)</x:f>
        <x:v>90.3285295102215</x:v>
      </x:c>
      <x:c r="AE1174" s="10" t="n">
        <x:f>AA1174*'Assumptions'!$D$21</x:f>
        <x:v>0</x:v>
      </x:c>
    </x:row>
    <x:row r="1175" ht="16" customHeight="1">
      <x:c r="A1175" s="1"/>
      <x:c r="B1175" s="1"/>
      <x:c r="C1175" s="1" t="str">
        <x:v>DOT-016</x:v>
      </x:c>
      <x:c r="D1175" s="10" t="str">
        <x:v>BPA professional services</x:v>
      </x:c>
      <x:c r="E1175" s="10" t="n">
        <x:v>10</x:v>
      </x:c>
      <x:c r="F1175" s="21" t="n">
        <x:f>F1047*(1+'Assumptions'!$M$45)</x:f>
        <x:v>5.091879516547892</x:v>
      </x:c>
      <x:c r="G1175" s="21" t="n">
        <x:f>H1047*'Assumptions'!$K$45</x:f>
        <x:v>4.786599632356502</x:v>
      </x:c>
      <x:c r="H1175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1175+G1175,NA())</x:f>
        <x:v>9.878479148904393</x:v>
      </x:c>
      <x:c r="I1175" s="22" t="n">
        <x:f>'Assumptions'!$H$45*IF('Assumptions'!$O$45=1,1,'Assumptions'!$D$10)*(1+'Assumptions'!$N$45)^(10-1)</x:f>
        <x:v>1800</x:v>
      </x:c>
      <x:c r="J1175" s="10" t="n">
        <x:f>H1175*I1175</x:f>
        <x:v>17781.262468027908</x:v>
      </x:c>
      <x:c r="K1175" s="10" t="n">
        <x:f>J1175*'Assumptions'!$T$45</x:f>
        <x:v>17781.262468027908</x:v>
      </x:c>
      <x:c r="L1175" s="10" t="n">
        <x:f>K1175*'Assumptions'!$U$45</x:f>
        <x:v>533.4378740408372</x:v>
      </x:c>
      <x:c r="M1175" s="10" t="n">
        <x:f>K1175*'Assumptions'!$V$45</x:f>
        <x:v>0</x:v>
      </x:c>
      <x:c r="N1175" s="10" t="n">
        <x:f>K1175-L1175-M1175</x:f>
        <x:v>17247.824593987072</x:v>
      </x:c>
      <x:c r="O1175" s="10" t="n">
        <x:f>H1175*'Assumptions'!$P$45*'Assumptions'!$Q$45*'Assumptions'!$D$11*(1+'Assumptions'!$D$13)^(10-1)</x:f>
        <x:v>3866.752407152038</x:v>
      </x:c>
      <x:c r="P1175" s="10" t="n">
        <x:f>H1175*'Assumptions'!$R$45*'Assumptions'!$D$11*(1+'Assumptions'!$D$13)^(10-1)</x:f>
        <x:v>128.89174690506795</x:v>
      </x:c>
      <x:c r="Q1175" s="10" t="n">
        <x:f>J1175*'Assumptions'!$S$45</x:f>
        <x:v>0</x:v>
      </x:c>
      <x:c r="R1175" s="10" t="n">
        <x:f>H1175*'Assumptions'!$Y$45*'Assumptions'!$Z$45*'Assumptions'!$D$11*(1+'Assumptions'!$D$13)^(10-1)</x:f>
        <x:v>96.66881017880095</x:v>
      </x:c>
      <x:c r="S1175" s="10" t="n">
        <x:f>IF(I1175=0,0,J1175*'Assumptions'!$W$45+H1175*'Assumptions'!$X$45)</x:f>
        <x:v>518.6201553174807</x:v>
      </x:c>
      <x:c r="T1175" s="10" t="n">
        <x:f>N1175*'Assumptions'!$AA$45</x:f>
        <x:v>689.9129837594829</x:v>
      </x:c>
      <x:c r="U1175" s="10" t="n">
        <x:f>'Assumptions'!$AE$45*'Assumptions'!$D$11*(1+'Assumptions'!$D$13)^(10-1)</x:f>
        <x:v>0</x:v>
      </x:c>
      <x:c r="V1175" s="10" t="n">
        <x:f>0</x:f>
        <x:v>0</x:v>
      </x:c>
      <x:c r="W1175" s="10" t="n">
        <x:f>H1175*('Assumptions'!$P$45+'Assumptions'!$Y$45)</x:f>
        <x:v>51.862015531748064</x:v>
      </x:c>
      <x:c r="X1175" s="10" t="n">
        <x:f>N1175/12*'Assumptions'!$AF$45</x:f>
        <x:v>1437.3187161655894</x:v>
      </x:c>
      <x:c r="Y1175" s="10" t="n">
        <x:f>P1175/12</x:f>
        <x:v>10.740978908755663</x:v>
      </x:c>
      <x:c r="Z1175" s="10" t="n">
        <x:f>0</x:f>
        <x:v>0</x:v>
      </x:c>
      <x:c r="AA1175" s="10" t="n">
        <x:f>Z1175*'Assumptions'!$AC$45*'Assumptions'!$D$11*(1+'Assumptions'!$D$13)^(10-1)</x:f>
        <x:v>0</x:v>
      </x:c>
      <x:c r="AB1175" s="10" t="n">
        <x:f>F1175/1</x:f>
        <x:v>5.091879516547892</x:v>
      </x:c>
      <x:c r="AC1175" s="10" t="n">
        <x:f>AB1175/'Assumptions'!$AM$45</x:f>
        <x:v>25.45939758273946</x:v>
      </x:c>
      <x:c r="AD1175" s="10" t="n">
        <x:f>IF(AB1175=0,0,T1175/AB1175)</x:f>
        <x:v>135.49279426533224</x:v>
      </x:c>
      <x:c r="AE1175" s="10" t="n">
        <x:f>AA1175*'Assumptions'!$D$21</x:f>
        <x:v>0</x:v>
      </x:c>
    </x:row>
    <x:row r="1176" ht="16" customHeight="1">
      <x:c r="A1176" s="1"/>
      <x:c r="B1176" s="1"/>
      <x:c r="C1176" s="1" t="str">
        <x:v>DOT-017</x:v>
      </x:c>
      <x:c r="D1176" s="10" t="str">
        <x:v>BPA professional services</x:v>
      </x:c>
      <x:c r="E1176" s="10" t="n">
        <x:v>10</x:v>
      </x:c>
      <x:c r="F1176" s="21" t="n">
        <x:f>F1048*(1+'Assumptions'!$M$46)</x:f>
        <x:v>5.091879516547892</x:v>
      </x:c>
      <x:c r="G1176" s="21" t="n">
        <x:f>H1048*'Assumptions'!$K$46</x:f>
        <x:v>4.786599632356502</x:v>
      </x:c>
      <x:c r="H1176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1176+G1176,NA())</x:f>
        <x:v>9.878479148904393</x:v>
      </x:c>
      <x:c r="I1176" s="22" t="n">
        <x:f>'Assumptions'!$H$46*IF('Assumptions'!$O$46=1,1,'Assumptions'!$D$10)*(1+'Assumptions'!$N$46)^(10-1)</x:f>
        <x:v>1500</x:v>
      </x:c>
      <x:c r="J1176" s="10" t="n">
        <x:f>H1176*I1176</x:f>
        <x:v>14817.71872335659</x:v>
      </x:c>
      <x:c r="K1176" s="10" t="n">
        <x:f>J1176*'Assumptions'!$T$46</x:f>
        <x:v>14817.71872335659</x:v>
      </x:c>
      <x:c r="L1176" s="10" t="n">
        <x:f>K1176*'Assumptions'!$U$46</x:f>
        <x:v>444.53156170069764</x:v>
      </x:c>
      <x:c r="M1176" s="10" t="n">
        <x:f>K1176*'Assumptions'!$V$46</x:f>
        <x:v>0</x:v>
      </x:c>
      <x:c r="N1176" s="10" t="n">
        <x:f>K1176-L1176-M1176</x:f>
        <x:v>14373.187161655891</x:v>
      </x:c>
      <x:c r="O1176" s="10" t="n">
        <x:f>H1176*'Assumptions'!$P$46*'Assumptions'!$Q$46*'Assumptions'!$D$11*(1+'Assumptions'!$D$13)^(10-1)</x:f>
        <x:v>4640.102888582446</x:v>
      </x:c>
      <x:c r="P1176" s="10" t="n">
        <x:f>H1176*'Assumptions'!$R$46*'Assumptions'!$D$11*(1+'Assumptions'!$D$13)^(10-1)</x:f>
        <x:v>128.89174690506795</x:v>
      </x:c>
      <x:c r="Q1176" s="10" t="n">
        <x:f>J1176*'Assumptions'!$S$46</x:f>
        <x:v>0</x:v>
      </x:c>
      <x:c r="R1176" s="10" t="n">
        <x:f>H1176*'Assumptions'!$Y$46*'Assumptions'!$Z$46*'Assumptions'!$D$11*(1+'Assumptions'!$D$13)^(10-1)</x:f>
        <x:v>96.66881017880095</x:v>
      </x:c>
      <x:c r="S1176" s="10" t="n">
        <x:f>IF(I1176=0,0,J1176*'Assumptions'!$W$46+H1176*'Assumptions'!$X$46)</x:f>
        <x:v>432.67738672201244</x:v>
      </x:c>
      <x:c r="T1176" s="10" t="n">
        <x:f>N1176*'Assumptions'!$AA$46</x:f>
        <x:v>574.9274864662357</x:v>
      </x:c>
      <x:c r="U1176" s="10" t="n">
        <x:f>'Assumptions'!$AE$46*'Assumptions'!$D$11*(1+'Assumptions'!$D$13)^(10-1)</x:f>
        <x:v>0</x:v>
      </x:c>
      <x:c r="V1176" s="10" t="n">
        <x:f>0</x:f>
        <x:v>0</x:v>
      </x:c>
      <x:c r="W1176" s="10" t="n">
        <x:f>H1176*('Assumptions'!$P$46+'Assumptions'!$Y$46)</x:f>
        <x:v>61.74049468065246</x:v>
      </x:c>
      <x:c r="X1176" s="10" t="n">
        <x:f>N1176/12*'Assumptions'!$AF$46</x:f>
        <x:v>1197.7655968046577</x:v>
      </x:c>
      <x:c r="Y1176" s="10" t="n">
        <x:f>P1176/12</x:f>
        <x:v>10.740978908755663</x:v>
      </x:c>
      <x:c r="Z1176" s="10" t="n">
        <x:f>0</x:f>
        <x:v>0</x:v>
      </x:c>
      <x:c r="AA1176" s="10" t="n">
        <x:f>Z1176*'Assumptions'!$AC$46*'Assumptions'!$D$11*(1+'Assumptions'!$D$13)^(10-1)</x:f>
        <x:v>0</x:v>
      </x:c>
      <x:c r="AB1176" s="10" t="n">
        <x:f>F1176/1</x:f>
        <x:v>5.091879516547892</x:v>
      </x:c>
      <x:c r="AC1176" s="10" t="n">
        <x:f>AB1176/'Assumptions'!$AM$46</x:f>
        <x:v>25.45939758273946</x:v>
      </x:c>
      <x:c r="AD1176" s="10" t="n">
        <x:f>IF(AB1176=0,0,T1176/AB1176)</x:f>
        <x:v>112.91066188777685</x:v>
      </x:c>
      <x:c r="AE1176" s="10" t="n">
        <x:f>AA1176*'Assumptions'!$D$21</x:f>
        <x:v>0</x:v>
      </x:c>
    </x:row>
    <x:row r="1177" ht="16" customHeight="1">
      <x:c r="A1177" s="1"/>
      <x:c r="B1177" s="1"/>
      <x:c r="C1177" s="1" t="str">
        <x:v>DOT-018</x:v>
      </x:c>
      <x:c r="D1177" s="10" t="str">
        <x:v>BPA professional services</x:v>
      </x:c>
      <x:c r="E1177" s="10" t="n">
        <x:v>10</x:v>
      </x:c>
      <x:c r="F1177" s="21" t="n">
        <x:f>F1049*(1+'Assumptions'!$M$47)</x:f>
        <x:v>6.789172688730524</x:v>
      </x:c>
      <x:c r="G1177" s="21" t="n">
        <x:f>H1049*'Assumptions'!$K$47</x:f>
        <x:v>6.382132843142004</x:v>
      </x:c>
      <x:c r="H1177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1177+G1177,NA())</x:f>
        <x:v>13.171305531872527</x:v>
      </x:c>
      <x:c r="I1177" s="22" t="n">
        <x:f>'Assumptions'!$H$47*IF('Assumptions'!$O$47=1,1,'Assumptions'!$D$10)*(1+'Assumptions'!$N$47)^(10-1)</x:f>
        <x:v>1200</x:v>
      </x:c>
      <x:c r="J1177" s="10" t="n">
        <x:f>H1177*I1177</x:f>
        <x:v>15805.566638247032</x:v>
      </x:c>
      <x:c r="K1177" s="10" t="n">
        <x:f>J1177*'Assumptions'!$T$47</x:f>
        <x:v>15805.566638247032</x:v>
      </x:c>
      <x:c r="L1177" s="10" t="n">
        <x:f>K1177*'Assumptions'!$U$47</x:f>
        <x:v>474.16699914741093</x:v>
      </x:c>
      <x:c r="M1177" s="10" t="n">
        <x:f>K1177*'Assumptions'!$V$47</x:f>
        <x:v>0</x:v>
      </x:c>
      <x:c r="N1177" s="10" t="n">
        <x:f>K1177-L1177-M1177</x:f>
        <x:v>15331.399639099622</x:v>
      </x:c>
      <x:c r="O1177" s="10" t="n">
        <x:f>H1177*'Assumptions'!$P$47*'Assumptions'!$Q$47*'Assumptions'!$D$11*(1+'Assumptions'!$D$13)^(10-1)</x:f>
        <x:v>4124.535900962175</x:v>
      </x:c>
      <x:c r="P1177" s="10" t="n">
        <x:f>H1177*'Assumptions'!$R$47*'Assumptions'!$D$11*(1+'Assumptions'!$D$13)^(10-1)</x:f>
        <x:v>171.8556625400906</x:v>
      </x:c>
      <x:c r="Q1177" s="10" t="n">
        <x:f>J1177*'Assumptions'!$S$47</x:f>
        <x:v>0</x:v>
      </x:c>
      <x:c r="R1177" s="10" t="n">
        <x:f>H1177*'Assumptions'!$Y$47*'Assumptions'!$Z$47*'Assumptions'!$D$11*(1+'Assumptions'!$D$13)^(10-1)</x:f>
        <x:v>128.89174690506798</x:v>
      </x:c>
      <x:c r="S1177" s="10" t="n">
        <x:f>IF(I1177=0,0,J1177*'Assumptions'!$W$47+H1177*'Assumptions'!$X$47)</x:f>
        <x:v>462.3128241687257</x:v>
      </x:c>
      <x:c r="T1177" s="10" t="n">
        <x:f>N1177*'Assumptions'!$AA$47</x:f>
        <x:v>613.2559855639848</x:v>
      </x:c>
      <x:c r="U1177" s="10" t="n">
        <x:f>'Assumptions'!$AE$47*'Assumptions'!$D$11*(1+'Assumptions'!$D$13)^(10-1)</x:f>
        <x:v>0</x:v>
      </x:c>
      <x:c r="V1177" s="10" t="n">
        <x:f>0</x:f>
        <x:v>0</x:v>
      </x:c>
      <x:c r="W1177" s="10" t="n">
        <x:f>H1177*('Assumptions'!$P$47+'Assumptions'!$Y$47)</x:f>
        <x:v>55.97804851045824</x:v>
      </x:c>
      <x:c r="X1177" s="10" t="n">
        <x:f>N1177/12*'Assumptions'!$AF$47</x:f>
        <x:v>1277.6166365916351</x:v>
      </x:c>
      <x:c r="Y1177" s="10" t="n">
        <x:f>P1177/12</x:f>
        <x:v>14.321305211674217</x:v>
      </x:c>
      <x:c r="Z1177" s="10" t="n">
        <x:f>0</x:f>
        <x:v>0</x:v>
      </x:c>
      <x:c r="AA1177" s="10" t="n">
        <x:f>Z1177*'Assumptions'!$AC$47*'Assumptions'!$D$11*(1+'Assumptions'!$D$13)^(10-1)</x:f>
        <x:v>0</x:v>
      </x:c>
      <x:c r="AB1177" s="10" t="n">
        <x:f>F1177/1</x:f>
        <x:v>6.789172688730524</x:v>
      </x:c>
      <x:c r="AC1177" s="10" t="n">
        <x:f>AB1177/'Assumptions'!$AM$47</x:f>
        <x:v>33.94586344365262</x:v>
      </x:c>
      <x:c r="AD1177" s="10" t="n">
        <x:f>IF(AB1177=0,0,T1177/AB1177)</x:f>
        <x:v>90.32852951022149</x:v>
      </x:c>
      <x:c r="AE1177" s="10" t="n">
        <x:f>AA1177*'Assumptions'!$D$21</x:f>
        <x:v>0</x:v>
      </x:c>
    </x:row>
    <x:row r="1178" ht="16" customHeight="1">
      <x:c r="A1178" s="1"/>
      <x:c r="B1178" s="1"/>
      <x:c r="C1178" s="1" t="str">
        <x:v>DOT-019</x:v>
      </x:c>
      <x:c r="D1178" s="10" t="str">
        <x:v>BPA professional services</x:v>
      </x:c>
      <x:c r="E1178" s="10" t="n">
        <x:v>10</x:v>
      </x:c>
      <x:c r="F1178" s="21" t="n">
        <x:f>F1050*(1+'Assumptions'!$M$48)</x:f>
        <x:v>3.394586344365262</x:v>
      </x:c>
      <x:c r="G1178" s="21" t="n">
        <x:f>H1050*'Assumptions'!$K$48</x:f>
        <x:v>3.191066421571002</x:v>
      </x:c>
      <x:c r="H1178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1178+G1178,NA())</x:f>
        <x:v>6.585652765936263</x:v>
      </x:c>
      <x:c r="I1178" s="22" t="n">
        <x:f>'Assumptions'!$H$48*IF('Assumptions'!$O$48=1,1,'Assumptions'!$D$10)*(1+'Assumptions'!$N$48)^(10-1)</x:f>
        <x:v>3000</x:v>
      </x:c>
      <x:c r="J1178" s="10" t="n">
        <x:f>H1178*I1178</x:f>
        <x:v>19756.95829780879</x:v>
      </x:c>
      <x:c r="K1178" s="10" t="n">
        <x:f>J1178*'Assumptions'!$T$48</x:f>
        <x:v>19756.95829780879</x:v>
      </x:c>
      <x:c r="L1178" s="10" t="n">
        <x:f>K1178*'Assumptions'!$U$48</x:f>
        <x:v>592.7087489342637</x:v>
      </x:c>
      <x:c r="M1178" s="10" t="n">
        <x:f>K1178*'Assumptions'!$V$48</x:f>
        <x:v>0</x:v>
      </x:c>
      <x:c r="N1178" s="10" t="n">
        <x:f>K1178-L1178-M1178</x:f>
        <x:v>19164.249548874526</x:v>
      </x:c>
      <x:c r="O1178" s="10" t="n">
        <x:f>H1178*'Assumptions'!$P$48*'Assumptions'!$Q$48*'Assumptions'!$D$11*(1+'Assumptions'!$D$13)^(10-1)</x:f>
        <x:v>6186.803851443262</x:v>
      </x:c>
      <x:c r="P1178" s="10" t="n">
        <x:f>H1178*'Assumptions'!$R$48*'Assumptions'!$D$11*(1+'Assumptions'!$D$13)^(10-1)</x:f>
        <x:v>85.9278312700453</x:v>
      </x:c>
      <x:c r="Q1178" s="10" t="n">
        <x:f>J1178*'Assumptions'!$S$48</x:f>
        <x:v>0</x:v>
      </x:c>
      <x:c r="R1178" s="10" t="n">
        <x:f>H1178*'Assumptions'!$Y$48*'Assumptions'!$Z$48*'Assumptions'!$D$11*(1+'Assumptions'!$D$13)^(10-1)</x:f>
        <x:v>64.44587345253399</x:v>
      </x:c>
      <x:c r="S1178" s="10" t="n">
        <x:f>IF(I1178=0,0,J1178*'Assumptions'!$W$48+H1178*'Assumptions'!$X$48)</x:f>
        <x:v>574.9274864662358</x:v>
      </x:c>
      <x:c r="T1178" s="10" t="n">
        <x:f>N1178*'Assumptions'!$AA$48</x:f>
        <x:v>766.569981954981</x:v>
      </x:c>
      <x:c r="U1178" s="10" t="n">
        <x:f>'Assumptions'!$AE$48*'Assumptions'!$D$11*(1+'Assumptions'!$D$13)^(10-1)</x:f>
        <x:v>0</x:v>
      </x:c>
      <x:c r="V1178" s="10" t="n">
        <x:f>0</x:f>
        <x:v>0</x:v>
      </x:c>
      <x:c r="W1178" s="10" t="n">
        <x:f>H1178*('Assumptions'!$P$48+'Assumptions'!$Y$48)</x:f>
        <x:v>80.67424638271923</x:v>
      </x:c>
      <x:c r="X1178" s="10" t="n">
        <x:f>N1178/12*'Assumptions'!$AF$48</x:f>
        <x:v>1597.020795739544</x:v>
      </x:c>
      <x:c r="Y1178" s="10" t="n">
        <x:f>P1178/12</x:f>
        <x:v>7.160652605837108</x:v>
      </x:c>
      <x:c r="Z1178" s="10" t="n">
        <x:f>0</x:f>
        <x:v>0</x:v>
      </x:c>
      <x:c r="AA1178" s="10" t="n">
        <x:f>Z1178*'Assumptions'!$AC$48*'Assumptions'!$D$11*(1+'Assumptions'!$D$13)^(10-1)</x:f>
        <x:v>0</x:v>
      </x:c>
      <x:c r="AB1178" s="10" t="n">
        <x:f>F1178/1</x:f>
        <x:v>3.394586344365262</x:v>
      </x:c>
      <x:c r="AC1178" s="10" t="n">
        <x:f>AB1178/'Assumptions'!$AM$48</x:f>
        <x:v>16.97293172182631</x:v>
      </x:c>
      <x:c r="AD1178" s="10" t="n">
        <x:f>IF(AB1178=0,0,T1178/AB1178)</x:f>
        <x:v>225.82132377555368</x:v>
      </x:c>
      <x:c r="AE1178" s="10" t="n">
        <x:f>AA1178*'Assumptions'!$D$21</x:f>
        <x:v>0</x:v>
      </x:c>
    </x:row>
    <x:row r="1179" ht="16" customHeight="1">
      <x:c r="A1179" s="1"/>
      <x:c r="B1179" s="1"/>
      <x:c r="C1179" s="1" t="str">
        <x:v>DOT-020</x:v>
      </x:c>
      <x:c r="D1179" s="10" t="str">
        <x:v>BPA professional services</x:v>
      </x:c>
      <x:c r="E1179" s="10" t="n">
        <x:v>10</x:v>
      </x:c>
      <x:c r="F1179" s="21" t="n">
        <x:f>F1051*(1+'Assumptions'!$M$49)</x:f>
        <x:v>5.091879516547892</x:v>
      </x:c>
      <x:c r="G1179" s="21" t="n">
        <x:f>H1051*'Assumptions'!$K$49</x:f>
        <x:v>4.786599632356502</x:v>
      </x:c>
      <x:c r="H1179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1179+G1179,NA())</x:f>
        <x:v>9.878479148904393</x:v>
      </x:c>
      <x:c r="I1179" s="22" t="n">
        <x:f>'Assumptions'!$H$49*IF('Assumptions'!$O$49=1,1,'Assumptions'!$D$10)*(1+'Assumptions'!$N$49)^(10-1)</x:f>
        <x:v>1800</x:v>
      </x:c>
      <x:c r="J1179" s="10" t="n">
        <x:f>H1179*I1179</x:f>
        <x:v>17781.262468027908</x:v>
      </x:c>
      <x:c r="K1179" s="10" t="n">
        <x:f>J1179*'Assumptions'!$T$49</x:f>
        <x:v>17781.262468027908</x:v>
      </x:c>
      <x:c r="L1179" s="10" t="n">
        <x:f>K1179*'Assumptions'!$U$49</x:f>
        <x:v>533.4378740408372</x:v>
      </x:c>
      <x:c r="M1179" s="10" t="n">
        <x:f>K1179*'Assumptions'!$V$49</x:f>
        <x:v>0</x:v>
      </x:c>
      <x:c r="N1179" s="10" t="n">
        <x:f>K1179-L1179-M1179</x:f>
        <x:v>17247.824593987072</x:v>
      </x:c>
      <x:c r="O1179" s="10" t="n">
        <x:f>H1179*'Assumptions'!$P$49*'Assumptions'!$Q$49*'Assumptions'!$D$11*(1+'Assumptions'!$D$13)^(10-1)</x:f>
        <x:v>4640.102888582446</x:v>
      </x:c>
      <x:c r="P1179" s="10" t="n">
        <x:f>H1179*'Assumptions'!$R$49*'Assumptions'!$D$11*(1+'Assumptions'!$D$13)^(10-1)</x:f>
        <x:v>128.89174690506795</x:v>
      </x:c>
      <x:c r="Q1179" s="10" t="n">
        <x:f>J1179*'Assumptions'!$S$49</x:f>
        <x:v>0</x:v>
      </x:c>
      <x:c r="R1179" s="10" t="n">
        <x:f>H1179*'Assumptions'!$Y$49*'Assumptions'!$Z$49*'Assumptions'!$D$11*(1+'Assumptions'!$D$13)^(10-1)</x:f>
        <x:v>96.66881017880095</x:v>
      </x:c>
      <x:c r="S1179" s="10" t="n">
        <x:f>IF(I1179=0,0,J1179*'Assumptions'!$W$49+H1179*'Assumptions'!$X$49)</x:f>
        <x:v>518.6201553174807</x:v>
      </x:c>
      <x:c r="T1179" s="10" t="n">
        <x:f>N1179*'Assumptions'!$AA$49</x:f>
        <x:v>689.9129837594829</x:v>
      </x:c>
      <x:c r="U1179" s="10" t="n">
        <x:f>'Assumptions'!$AE$49*'Assumptions'!$D$11*(1+'Assumptions'!$D$13)^(10-1)</x:f>
        <x:v>0</x:v>
      </x:c>
      <x:c r="V1179" s="10" t="n">
        <x:f>0</x:f>
        <x:v>0</x:v>
      </x:c>
      <x:c r="W1179" s="10" t="n">
        <x:f>H1179*('Assumptions'!$P$49+'Assumptions'!$Y$49)</x:f>
        <x:v>61.74049468065246</x:v>
      </x:c>
      <x:c r="X1179" s="10" t="n">
        <x:f>N1179/12*'Assumptions'!$AF$49</x:f>
        <x:v>1437.3187161655894</x:v>
      </x:c>
      <x:c r="Y1179" s="10" t="n">
        <x:f>P1179/12</x:f>
        <x:v>10.740978908755663</x:v>
      </x:c>
      <x:c r="Z1179" s="10" t="n">
        <x:f>0</x:f>
        <x:v>0</x:v>
      </x:c>
      <x:c r="AA1179" s="10" t="n">
        <x:f>Z1179*'Assumptions'!$AC$49*'Assumptions'!$D$11*(1+'Assumptions'!$D$13)^(10-1)</x:f>
        <x:v>0</x:v>
      </x:c>
      <x:c r="AB1179" s="10" t="n">
        <x:f>F1179/1</x:f>
        <x:v>5.091879516547892</x:v>
      </x:c>
      <x:c r="AC1179" s="10" t="n">
        <x:f>AB1179/'Assumptions'!$AM$49</x:f>
        <x:v>25.45939758273946</x:v>
      </x:c>
      <x:c r="AD1179" s="10" t="n">
        <x:f>IF(AB1179=0,0,T1179/AB1179)</x:f>
        <x:v>135.49279426533224</x:v>
      </x:c>
      <x:c r="AE1179" s="10" t="n">
        <x:f>AA1179*'Assumptions'!$D$21</x:f>
        <x:v>0</x:v>
      </x:c>
    </x:row>
    <x:row r="1180" ht="16" customHeight="1">
      <x:c r="A1180" s="1"/>
      <x:c r="B1180" s="1"/>
      <x:c r="C1180" s="1" t="str">
        <x:v>DOT-021</x:v>
      </x:c>
      <x:c r="D1180" s="10" t="str">
        <x:v>BPA professional services</x:v>
      </x:c>
      <x:c r="E1180" s="10" t="n">
        <x:v>10</x:v>
      </x:c>
      <x:c r="F1180" s="21" t="n">
        <x:f>F1052*(1+'Assumptions'!$M$50)</x:f>
        <x:v>3.394586344365262</x:v>
      </x:c>
      <x:c r="G1180" s="21" t="n">
        <x:f>H1052*'Assumptions'!$K$50</x:f>
        <x:v>3.191066421571002</x:v>
      </x:c>
      <x:c r="H1180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1180+G1180,NA())</x:f>
        <x:v>6.585652765936263</x:v>
      </x:c>
      <x:c r="I1180" s="22" t="n">
        <x:f>'Assumptions'!$H$50*IF('Assumptions'!$O$50=1,1,'Assumptions'!$D$10)*(1+'Assumptions'!$N$50)^(10-1)</x:f>
        <x:v>4200</x:v>
      </x:c>
      <x:c r="J1180" s="10" t="n">
        <x:f>H1180*I1180</x:f>
        <x:v>27659.741616932308</x:v>
      </x:c>
      <x:c r="K1180" s="10" t="n">
        <x:f>J1180*'Assumptions'!$T$50</x:f>
        <x:v>27659.741616932308</x:v>
      </x:c>
      <x:c r="L1180" s="10" t="n">
        <x:f>K1180*'Assumptions'!$U$50</x:f>
        <x:v>829.7922485079692</x:v>
      </x:c>
      <x:c r="M1180" s="10" t="n">
        <x:f>K1180*'Assumptions'!$V$50</x:f>
        <x:v>0</x:v>
      </x:c>
      <x:c r="N1180" s="10" t="n">
        <x:f>K1180-L1180-M1180</x:f>
        <x:v>26829.94936842434</x:v>
      </x:c>
      <x:c r="O1180" s="10" t="n">
        <x:f>H1180*'Assumptions'!$P$50*'Assumptions'!$Q$50*'Assumptions'!$D$11*(1+'Assumptions'!$D$13)^(10-1)</x:f>
        <x:v>6186.803851443262</x:v>
      </x:c>
      <x:c r="P1180" s="10" t="n">
        <x:f>H1180*'Assumptions'!$R$50*'Assumptions'!$D$11*(1+'Assumptions'!$D$13)^(10-1)</x:f>
        <x:v>85.9278312700453</x:v>
      </x:c>
      <x:c r="Q1180" s="10" t="n">
        <x:f>J1180*'Assumptions'!$S$50</x:f>
        <x:v>0</x:v>
      </x:c>
      <x:c r="R1180" s="10" t="n">
        <x:f>H1180*'Assumptions'!$Y$50*'Assumptions'!$Z$50*'Assumptions'!$D$11*(1+'Assumptions'!$D$13)^(10-1)</x:f>
        <x:v>64.44587345253399</x:v>
      </x:c>
      <x:c r="S1180" s="10" t="n">
        <x:f>IF(I1180=0,0,J1180*'Assumptions'!$W$50+H1180*'Assumptions'!$X$50)</x:f>
        <x:v>804.1082027208179</x:v>
      </x:c>
      <x:c r="T1180" s="10" t="n">
        <x:f>N1180*'Assumptions'!$AA$50</x:f>
        <x:v>1073.1979747369735</x:v>
      </x:c>
      <x:c r="U1180" s="10" t="n">
        <x:f>'Assumptions'!$AE$50*'Assumptions'!$D$11*(1+'Assumptions'!$D$13)^(10-1)</x:f>
        <x:v>0</x:v>
      </x:c>
      <x:c r="V1180" s="10" t="n">
        <x:f>0</x:f>
        <x:v>0</x:v>
      </x:c>
      <x:c r="W1180" s="10" t="n">
        <x:f>H1180*('Assumptions'!$P$50+'Assumptions'!$Y$50)</x:f>
        <x:v>80.67424638271923</x:v>
      </x:c>
      <x:c r="X1180" s="10" t="n">
        <x:f>N1180/12*'Assumptions'!$AF$50</x:f>
        <x:v>2235.8291140353617</x:v>
      </x:c>
      <x:c r="Y1180" s="10" t="n">
        <x:f>P1180/12</x:f>
        <x:v>7.160652605837108</x:v>
      </x:c>
      <x:c r="Z1180" s="10" t="n">
        <x:f>0</x:f>
        <x:v>0</x:v>
      </x:c>
      <x:c r="AA1180" s="10" t="n">
        <x:f>Z1180*'Assumptions'!$AC$50*'Assumptions'!$D$11*(1+'Assumptions'!$D$13)^(10-1)</x:f>
        <x:v>0</x:v>
      </x:c>
      <x:c r="AB1180" s="10" t="n">
        <x:f>F1180/1</x:f>
        <x:v>3.394586344365262</x:v>
      </x:c>
      <x:c r="AC1180" s="10" t="n">
        <x:f>AB1180/'Assumptions'!$AM$50</x:f>
        <x:v>16.97293172182631</x:v>
      </x:c>
      <x:c r="AD1180" s="10" t="n">
        <x:f>IF(AB1180=0,0,T1180/AB1180)</x:f>
        <x:v>316.1498532857752</x:v>
      </x:c>
      <x:c r="AE1180" s="10" t="n">
        <x:f>AA1180*'Assumptions'!$D$21</x:f>
        <x:v>0</x:v>
      </x:c>
    </x:row>
    <x:row r="1181" ht="16" customHeight="1">
      <x:c r="A1181" s="1"/>
      <x:c r="B1181" s="1"/>
      <x:c r="C1181" s="1" t="str">
        <x:v>DOT-022</x:v>
      </x:c>
      <x:c r="D1181" s="10" t="str">
        <x:v>BPA professional services</x:v>
      </x:c>
      <x:c r="E1181" s="10" t="n">
        <x:v>10</x:v>
      </x:c>
      <x:c r="F1181" s="21" t="n">
        <x:f>F1053*(1+'Assumptions'!$M$51)</x:f>
        <x:v>13.578345377461048</x:v>
      </x:c>
      <x:c r="G1181" s="21" t="n">
        <x:f>H1053*'Assumptions'!$K$51</x:f>
        <x:v>12.764265686284007</x:v>
      </x:c>
      <x:c r="H1181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1181+G1181,NA())</x:f>
        <x:v>26.342611063745053</x:v>
      </x:c>
      <x:c r="I1181" s="22" t="n">
        <x:f>'Assumptions'!$H$51*IF('Assumptions'!$O$51=1,1,'Assumptions'!$D$10)*(1+'Assumptions'!$N$51)^(10-1)</x:f>
        <x:v>900</x:v>
      </x:c>
      <x:c r="J1181" s="10" t="n">
        <x:f>H1181*I1181</x:f>
        <x:v>23708.34995737055</x:v>
      </x:c>
      <x:c r="K1181" s="10" t="n">
        <x:f>J1181*'Assumptions'!$T$51</x:f>
        <x:v>23708.34995737055</x:v>
      </x:c>
      <x:c r="L1181" s="10" t="n">
        <x:f>K1181*'Assumptions'!$U$51</x:f>
        <x:v>711.2504987211164</x:v>
      </x:c>
      <x:c r="M1181" s="10" t="n">
        <x:f>K1181*'Assumptions'!$V$51</x:f>
        <x:v>0</x:v>
      </x:c>
      <x:c r="N1181" s="10" t="n">
        <x:f>K1181-L1181-M1181</x:f>
        <x:v>22997.09945864943</x:v>
      </x:c>
      <x:c r="O1181" s="10" t="n">
        <x:f>H1181*'Assumptions'!$P$51*'Assumptions'!$Q$51*'Assumptions'!$D$11*(1+'Assumptions'!$D$13)^(10-1)</x:f>
        <x:v>6186.803851443262</x:v>
      </x:c>
      <x:c r="P1181" s="10" t="n">
        <x:f>H1181*'Assumptions'!$R$51*'Assumptions'!$D$11*(1+'Assumptions'!$D$13)^(10-1)</x:f>
        <x:v>343.7113250801812</x:v>
      </x:c>
      <x:c r="Q1181" s="10" t="n">
        <x:f>J1181*'Assumptions'!$S$51</x:f>
        <x:v>0</x:v>
      </x:c>
      <x:c r="R1181" s="10" t="n">
        <x:f>H1181*'Assumptions'!$Y$51*'Assumptions'!$Z$51*'Assumptions'!$D$11*(1+'Assumptions'!$D$13)^(10-1)</x:f>
        <x:v>257.78349381013595</x:v>
      </x:c>
      <x:c r="S1181" s="10" t="n">
        <x:f>IF(I1181=0,0,J1181*'Assumptions'!$W$51+H1181*'Assumptions'!$X$51)</x:f>
        <x:v>695.4449320828694</x:v>
      </x:c>
      <x:c r="T1181" s="10" t="n">
        <x:f>N1181*'Assumptions'!$AA$51</x:f>
        <x:v>919.8839783459772</x:v>
      </x:c>
      <x:c r="U1181" s="10" t="n">
        <x:f>'Assumptions'!$AE$51*'Assumptions'!$D$11*(1+'Assumptions'!$D$13)^(10-1)</x:f>
        <x:v>0</x:v>
      </x:c>
      <x:c r="V1181" s="10" t="n">
        <x:f>0</x:f>
        <x:v>0</x:v>
      </x:c>
      <x:c r="W1181" s="10" t="n">
        <x:f>H1181*('Assumptions'!$P$51+'Assumptions'!$Y$51)</x:f>
        <x:v>85.61348595717142</x:v>
      </x:c>
      <x:c r="X1181" s="10" t="n">
        <x:f>N1181/12*'Assumptions'!$AF$51</x:f>
        <x:v>1916.4249548874525</x:v>
      </x:c>
      <x:c r="Y1181" s="10" t="n">
        <x:f>P1181/12</x:f>
        <x:v>28.642610423348433</x:v>
      </x:c>
      <x:c r="Z1181" s="10" t="n">
        <x:f>0</x:f>
        <x:v>0</x:v>
      </x:c>
      <x:c r="AA1181" s="10" t="n">
        <x:f>Z1181*'Assumptions'!$AC$51*'Assumptions'!$D$11*(1+'Assumptions'!$D$13)^(10-1)</x:f>
        <x:v>0</x:v>
      </x:c>
      <x:c r="AB1181" s="10" t="n">
        <x:f>F1181/1</x:f>
        <x:v>13.578345377461048</x:v>
      </x:c>
      <x:c r="AC1181" s="10" t="n">
        <x:f>AB1181/'Assumptions'!$AM$51</x:f>
        <x:v>67.89172688730524</x:v>
      </x:c>
      <x:c r="AD1181" s="10" t="n">
        <x:f>IF(AB1181=0,0,T1181/AB1181)</x:f>
        <x:v>67.7463971326661</x:v>
      </x:c>
      <x:c r="AE1181" s="10" t="n">
        <x:f>AA1181*'Assumptions'!$D$21</x:f>
        <x:v>0</x:v>
      </x:c>
    </x:row>
    <x:row r="1182" ht="16" customHeight="1">
      <x:c r="A1182" s="1"/>
      <x:c r="B1182" s="1"/>
      <x:c r="C1182" s="1" t="str">
        <x:v>DOT-023</x:v>
      </x:c>
      <x:c r="D1182" s="10" t="str">
        <x:v>BPA professional services</x:v>
      </x:c>
      <x:c r="E1182" s="10" t="n">
        <x:v>10</x:v>
      </x:c>
      <x:c r="F1182" s="21" t="n">
        <x:f>F1054*(1+'Assumptions'!$M$52)</x:f>
        <x:v>8.486465860913153</x:v>
      </x:c>
      <x:c r="G1182" s="21" t="n">
        <x:f>H1054*'Assumptions'!$K$52</x:f>
        <x:v>7.977666053927502</x:v>
      </x:c>
      <x:c r="H1182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1182+G1182,NA())</x:f>
        <x:v>16.464131914840657</x:v>
      </x:c>
      <x:c r="I1182" s="22" t="n">
        <x:f>'Assumptions'!$H$52*IF('Assumptions'!$O$52=1,1,'Assumptions'!$D$10)*(1+'Assumptions'!$N$52)^(10-1)</x:f>
        <x:v>1800</x:v>
      </x:c>
      <x:c r="J1182" s="10" t="n">
        <x:f>H1182*I1182</x:f>
        <x:v>29635.437446713182</x:v>
      </x:c>
      <x:c r="K1182" s="10" t="n">
        <x:f>J1182*'Assumptions'!$T$52</x:f>
        <x:v>29635.437446713182</x:v>
      </x:c>
      <x:c r="L1182" s="10" t="n">
        <x:f>K1182*'Assumptions'!$U$52</x:f>
        <x:v>889.0631234013954</x:v>
      </x:c>
      <x:c r="M1182" s="10" t="n">
        <x:f>K1182*'Assumptions'!$V$52</x:f>
        <x:v>0</x:v>
      </x:c>
      <x:c r="N1182" s="10" t="n">
        <x:f>K1182-L1182-M1182</x:f>
        <x:v>28746.374323311786</x:v>
      </x:c>
      <x:c r="O1182" s="10" t="n">
        <x:f>H1182*'Assumptions'!$P$52*'Assumptions'!$Q$52*'Assumptions'!$D$11*(1+'Assumptions'!$D$13)^(10-1)</x:f>
        <x:v>7733.504814304077</x:v>
      </x:c>
      <x:c r="P1182" s="10" t="n">
        <x:f>H1182*'Assumptions'!$R$52*'Assumptions'!$D$11*(1+'Assumptions'!$D$13)^(10-1)</x:f>
        <x:v>214.81957817511326</x:v>
      </x:c>
      <x:c r="Q1182" s="10" t="n">
        <x:f>J1182*'Assumptions'!$S$52</x:f>
        <x:v>0</x:v>
      </x:c>
      <x:c r="R1182" s="10" t="n">
        <x:f>H1182*'Assumptions'!$Y$52*'Assumptions'!$Z$52*'Assumptions'!$D$11*(1+'Assumptions'!$D$13)^(10-1)</x:f>
        <x:v>161.11468363133494</x:v>
      </x:c>
      <x:c r="S1182" s="10" t="n">
        <x:f>IF(I1182=0,0,J1182*'Assumptions'!$W$52+H1182*'Assumptions'!$X$52)</x:f>
        <x:v>864.3669255291346</x:v>
      </x:c>
      <x:c r="T1182" s="10" t="n">
        <x:f>N1182*'Assumptions'!$AA$52</x:f>
        <x:v>1149.8549729324714</x:v>
      </x:c>
      <x:c r="U1182" s="10" t="n">
        <x:f>'Assumptions'!$AE$52*'Assumptions'!$D$11*(1+'Assumptions'!$D$13)^(10-1)</x:f>
        <x:v>0</x:v>
      </x:c>
      <x:c r="V1182" s="10" t="n">
        <x:f>0</x:f>
        <x:v>0</x:v>
      </x:c>
      <x:c r="W1182" s="10" t="n">
        <x:f>H1182*('Assumptions'!$P$52+'Assumptions'!$Y$52)</x:f>
        <x:v>102.9008244677541</x:v>
      </x:c>
      <x:c r="X1182" s="10" t="n">
        <x:f>N1182/12*'Assumptions'!$AF$52</x:f>
        <x:v>2395.5311936093153</x:v>
      </x:c>
      <x:c r="Y1182" s="10" t="n">
        <x:f>P1182/12</x:f>
        <x:v>17.901631514592772</x:v>
      </x:c>
      <x:c r="Z1182" s="10" t="n">
        <x:f>0</x:f>
        <x:v>0</x:v>
      </x:c>
      <x:c r="AA1182" s="10" t="n">
        <x:f>Z1182*'Assumptions'!$AC$52*'Assumptions'!$D$11*(1+'Assumptions'!$D$13)^(10-1)</x:f>
        <x:v>0</x:v>
      </x:c>
      <x:c r="AB1182" s="10" t="n">
        <x:f>F1182/1</x:f>
        <x:v>8.486465860913153</x:v>
      </x:c>
      <x:c r="AC1182" s="10" t="n">
        <x:f>AB1182/'Assumptions'!$AM$52</x:f>
        <x:v>42.43232930456576</x:v>
      </x:c>
      <x:c r="AD1182" s="10" t="n">
        <x:f>IF(AB1182=0,0,T1182/AB1182)</x:f>
        <x:v>135.49279426533224</x:v>
      </x:c>
      <x:c r="AE1182" s="10" t="n">
        <x:f>AA1182*'Assumptions'!$D$21</x:f>
        <x:v>0</x:v>
      </x:c>
    </x:row>
    <x:row r="1183" ht="16" customHeight="1">
      <x:c r="A1183" s="1"/>
      <x:c r="B1183" s="1"/>
      <x:c r="C1183" s="1" t="str">
        <x:v>DOT-024</x:v>
      </x:c>
      <x:c r="D1183" s="10" t="str">
        <x:v>BPA professional services</x:v>
      </x:c>
      <x:c r="E1183" s="10" t="n">
        <x:v>10</x:v>
      </x:c>
      <x:c r="F1183" s="21" t="n">
        <x:f>F1055*(1+'Assumptions'!$M$53)</x:f>
        <x:v>42.432329304565776</x:v>
      </x:c>
      <x:c r="G1183" s="21" t="n">
        <x:f>H1055*'Assumptions'!$K$53</x:f>
        <x:v>39.86391620713752</x:v>
      </x:c>
      <x:c r="H1183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1183+G1183,NA())</x:f>
        <x:v>82.29624551170329</x:v>
      </x:c>
      <x:c r="I1183" s="22" t="n">
        <x:f>'Assumptions'!$H$53*IF('Assumptions'!$O$53=1,1,'Assumptions'!$D$10)*(1+'Assumptions'!$N$53)^(10-1)</x:f>
        <x:v>540</x:v>
      </x:c>
      <x:c r="J1183" s="10" t="n">
        <x:f>H1183*I1183</x:f>
        <x:v>44439.97257631978</x:v>
      </x:c>
      <x:c r="K1183" s="10" t="n">
        <x:f>J1183*'Assumptions'!$T$53</x:f>
        <x:v>44439.97257631978</x:v>
      </x:c>
      <x:c r="L1183" s="10" t="n">
        <x:f>K1183*'Assumptions'!$U$53</x:f>
        <x:v>1333.1991772895933</x:v>
      </x:c>
      <x:c r="M1183" s="10" t="n">
        <x:f>K1183*'Assumptions'!$V$53</x:f>
        <x:v>0</x:v>
      </x:c>
      <x:c r="N1183" s="10" t="n">
        <x:f>K1183-L1183-M1183</x:f>
        <x:v>43106.773399030186</x:v>
      </x:c>
      <x:c r="O1183" s="10" t="n">
        <x:f>H1183*'Assumptions'!$P$53*'Assumptions'!$Q$53*'Assumptions'!$D$11*(1+'Assumptions'!$D$13)^(10-1)</x:f>
        <x:v>12885.352112819797</x:v>
      </x:c>
      <x:c r="P1183" s="10" t="n">
        <x:f>H1183*'Assumptions'!$R$53*'Assumptions'!$D$11*(1+'Assumptions'!$D$13)^(10-1)</x:f>
        <x:v>1073.7793427349832</x:v>
      </x:c>
      <x:c r="Q1183" s="10" t="n">
        <x:f>J1183*'Assumptions'!$S$53</x:f>
        <x:v>0</x:v>
      </x:c>
      <x:c r="R1183" s="10" t="n">
        <x:f>H1183*'Assumptions'!$Y$53*'Assumptions'!$Z$53*'Assumptions'!$D$11*(1+'Assumptions'!$D$13)^(10-1)</x:f>
        <x:v>805.3345070512373</x:v>
      </x:c>
      <x:c r="S1183" s="10" t="n">
        <x:f>IF(I1183=0,0,J1183*'Assumptions'!$W$53+H1183*'Assumptions'!$X$53)</x:f>
        <x:v>1313.4480783667846</x:v>
      </x:c>
      <x:c r="T1183" s="10" t="n">
        <x:f>N1183*'Assumptions'!$AA$53</x:f>
        <x:v>1724.2709359612074</x:v>
      </x:c>
      <x:c r="U1183" s="10" t="n">
        <x:f>'Assumptions'!$AE$53*'Assumptions'!$D$11*(1+'Assumptions'!$D$13)^(10-1)</x:f>
        <x:v>0</x:v>
      </x:c>
      <x:c r="V1183" s="10" t="n">
        <x:f>0</x:f>
        <x:v>0</x:v>
      </x:c>
      <x:c r="W1183" s="10" t="n">
        <x:f>H1183*('Assumptions'!$P$53+'Assumptions'!$Y$53)</x:f>
        <x:v>185.1665524013324</x:v>
      </x:c>
      <x:c r="X1183" s="10" t="n">
        <x:f>N1183/12*'Assumptions'!$AF$53</x:f>
        <x:v>3592.2311165858487</x:v>
      </x:c>
      <x:c r="Y1183" s="10" t="n">
        <x:f>P1183/12</x:f>
        <x:v>89.48161189458193</x:v>
      </x:c>
      <x:c r="Z1183" s="10" t="n">
        <x:f>0</x:f>
        <x:v>0</x:v>
      </x:c>
      <x:c r="AA1183" s="10" t="n">
        <x:f>Z1183*'Assumptions'!$AC$53*'Assumptions'!$D$11*(1+'Assumptions'!$D$13)^(10-1)</x:f>
        <x:v>0</x:v>
      </x:c>
      <x:c r="AB1183" s="10" t="n">
        <x:f>F1183/1</x:f>
        <x:v>42.432329304565776</x:v>
      </x:c>
      <x:c r="AC1183" s="10" t="n">
        <x:f>AB1183/'Assumptions'!$AM$53</x:f>
        <x:v>212.16164652282887</x:v>
      </x:c>
      <x:c r="AD1183" s="10" t="n">
        <x:f>IF(AB1183=0,0,T1183/AB1183)</x:f>
        <x:v>40.63578323935362</x:v>
      </x:c>
      <x:c r="AE1183" s="10" t="n">
        <x:f>AA1183*'Assumptions'!$D$21</x:f>
        <x:v>0</x:v>
      </x:c>
    </x:row>
    <x:row r="1184" ht="16" customHeight="1">
      <x:c r="A1184" s="1"/>
      <x:c r="B1184" s="1"/>
      <x:c r="C1184" s="1" t="str">
        <x:v>DOT-025</x:v>
      </x:c>
      <x:c r="D1184" s="10" t="str">
        <x:v>BPA professional services</x:v>
      </x:c>
      <x:c r="E1184" s="10" t="n">
        <x:v>10</x:v>
      </x:c>
      <x:c r="F1184" s="21" t="n">
        <x:f>F1056*(1+'Assumptions'!$M$54)</x:f>
        <x:v>16.972931721826306</x:v>
      </x:c>
      <x:c r="G1184" s="21" t="n">
        <x:f>H1056*'Assumptions'!$K$54</x:f>
        <x:v>15.945566482855003</x:v>
      </x:c>
      <x:c r="H1184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1184+G1184,NA())</x:f>
        <x:v>32.91849820468131</x:v>
      </x:c>
      <x:c r="I1184" s="22" t="n">
        <x:f>'Assumptions'!$H$54*IF('Assumptions'!$O$54=1,1,'Assumptions'!$D$10)*(1+'Assumptions'!$N$54)^(10-1)</x:f>
        <x:v>1020</x:v>
      </x:c>
      <x:c r="J1184" s="10" t="n">
        <x:f>H1184*I1184</x:f>
        <x:v>33576.86816877494</x:v>
      </x:c>
      <x:c r="K1184" s="10" t="n">
        <x:f>J1184*'Assumptions'!$T$54</x:f>
        <x:v>33576.86816877494</x:v>
      </x:c>
      <x:c r="L1184" s="10" t="n">
        <x:f>K1184*'Assumptions'!$U$54</x:f>
        <x:v>1007.3060450632482</x:v>
      </x:c>
      <x:c r="M1184" s="10" t="n">
        <x:f>K1184*'Assumptions'!$V$54</x:f>
        <x:v>0</x:v>
      </x:c>
      <x:c r="N1184" s="10" t="n">
        <x:f>K1184-L1184-M1184</x:f>
        <x:v>32569.562123711694</x:v>
      </x:c>
      <x:c r="O1184" s="10" t="n">
        <x:f>H1184*'Assumptions'!$P$54*'Assumptions'!$Q$54*'Assumptions'!$D$11*(1+'Assumptions'!$D$13)^(10-1)</x:f>
        <x:v>12885.352112819797</x:v>
      </x:c>
      <x:c r="P1184" s="10" t="n">
        <x:f>H1184*'Assumptions'!$R$54*'Assumptions'!$D$11*(1+'Assumptions'!$D$13)^(10-1)</x:f>
        <x:v>429.51173709399325</x:v>
      </x:c>
      <x:c r="Q1184" s="10" t="n">
        <x:f>J1184*'Assumptions'!$S$54</x:f>
        <x:v>0</x:v>
      </x:c>
      <x:c r="R1184" s="10" t="n">
        <x:f>H1184*'Assumptions'!$Y$54*'Assumptions'!$Z$54*'Assumptions'!$D$11*(1+'Assumptions'!$D$13)^(10-1)</x:f>
        <x:v>322.1338028204949</x:v>
      </x:c>
      <x:c r="S1184" s="10" t="n">
        <x:f>IF(I1184=0,0,J1184*'Assumptions'!$W$54+H1184*'Assumptions'!$X$54)</x:f>
        <x:v>983.6047263558777</x:v>
      </x:c>
      <x:c r="T1184" s="10" t="n">
        <x:f>N1184*'Assumptions'!$AA$54</x:f>
        <x:v>1302.7824849484678</x:v>
      </x:c>
      <x:c r="U1184" s="10" t="n">
        <x:f>'Assumptions'!$AE$54*'Assumptions'!$D$11*(1+'Assumptions'!$D$13)^(10-1)</x:f>
        <x:v>0</x:v>
      </x:c>
      <x:c r="V1184" s="10" t="n">
        <x:f>0</x:f>
        <x:v>0</x:v>
      </x:c>
      <x:c r="W1184" s="10" t="n">
        <x:f>H1184*('Assumptions'!$P$54+'Assumptions'!$Y$54)</x:f>
        <x:v>172.82211557457688</x:v>
      </x:c>
      <x:c r="X1184" s="10" t="n">
        <x:f>N1184/12*'Assumptions'!$AF$54</x:f>
        <x:v>2714.1301769759743</x:v>
      </x:c>
      <x:c r="Y1184" s="10" t="n">
        <x:f>P1184/12</x:f>
        <x:v>35.79264475783277</x:v>
      </x:c>
      <x:c r="Z1184" s="10" t="n">
        <x:f>0</x:f>
        <x:v>0</x:v>
      </x:c>
      <x:c r="AA1184" s="10" t="n">
        <x:f>Z1184*'Assumptions'!$AC$54*'Assumptions'!$D$11*(1+'Assumptions'!$D$13)^(10-1)</x:f>
        <x:v>0</x:v>
      </x:c>
      <x:c r="AB1184" s="10" t="n">
        <x:f>F1184/1</x:f>
        <x:v>16.972931721826306</x:v>
      </x:c>
      <x:c r="AC1184" s="10" t="n">
        <x:f>AB1184/'Assumptions'!$AM$54</x:f>
        <x:v>84.86465860913152</x:v>
      </x:c>
      <x:c r="AD1184" s="10" t="n">
        <x:f>IF(AB1184=0,0,T1184/AB1184)</x:f>
        <x:v>76.7564794521124</x:v>
      </x:c>
      <x:c r="AE1184" s="10" t="n">
        <x:f>AA1184*'Assumptions'!$D$21</x:f>
        <x:v>0</x:v>
      </x:c>
    </x:row>
    <x:row r="1185" ht="16" customHeight="1">
      <x:c r="A1185" s="1"/>
      <x:c r="B1185" s="1"/>
      <x:c r="C1185" s="1" t="str">
        <x:v>DOT-026</x:v>
      </x:c>
      <x:c r="D1185" s="10" t="str">
        <x:v>BPA professional services</x:v>
      </x:c>
      <x:c r="E1185" s="10" t="n">
        <x:v>10</x:v>
      </x:c>
      <x:c r="F1185" s="21" t="n">
        <x:f>F1057*(1+'Assumptions'!$M$55)</x:f>
        <x:v>6.789172688730524</x:v>
      </x:c>
      <x:c r="G1185" s="21" t="n">
        <x:f>H1057*'Assumptions'!$K$55</x:f>
        <x:v>6.378226593142004</x:v>
      </x:c>
      <x:c r="H1185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1185+G1185,NA())</x:f>
        <x:v>13.167399281872527</x:v>
      </x:c>
      <x:c r="I1185" s="22" t="n">
        <x:f>'Assumptions'!$H$55*IF('Assumptions'!$O$55=1,1,'Assumptions'!$D$10)*(1+'Assumptions'!$N$55)^(10-1)</x:f>
        <x:v>1800</x:v>
      </x:c>
      <x:c r="J1185" s="10" t="n">
        <x:f>H1185*I1185</x:f>
        <x:v>23701.31870737055</x:v>
      </x:c>
      <x:c r="K1185" s="10" t="n">
        <x:f>J1185*'Assumptions'!$T$55</x:f>
        <x:v>23701.31870737055</x:v>
      </x:c>
      <x:c r="L1185" s="10" t="n">
        <x:f>K1185*'Assumptions'!$U$55</x:f>
        <x:v>711.0395612211164</x:v>
      </x:c>
      <x:c r="M1185" s="10" t="n">
        <x:f>K1185*'Assumptions'!$V$55</x:f>
        <x:v>0</x:v>
      </x:c>
      <x:c r="N1185" s="10" t="n">
        <x:f>K1185-L1185-M1185</x:f>
        <x:v>22990.27914614943</x:v>
      </x:c>
      <x:c r="O1185" s="10" t="n">
        <x:f>H1185*'Assumptions'!$P$55*'Assumptions'!$Q$55*'Assumptions'!$D$11*(1+'Assumptions'!$D$13)^(10-1)</x:f>
        <x:v>10308.281690255837</x:v>
      </x:c>
      <x:c r="P1185" s="10" t="n">
        <x:f>H1185*'Assumptions'!$R$55*'Assumptions'!$D$11*(1+'Assumptions'!$D$13)^(10-1)</x:f>
        <x:v>171.80469483759728</x:v>
      </x:c>
      <x:c r="Q1185" s="10" t="n">
        <x:f>J1185*'Assumptions'!$S$55</x:f>
        <x:v>0</x:v>
      </x:c>
      <x:c r="R1185" s="10" t="n">
        <x:f>H1185*'Assumptions'!$Y$55*'Assumptions'!$Z$55*'Assumptions'!$D$11*(1+'Assumptions'!$D$13)^(10-1)</x:f>
        <x:v>128.85352112819797</x:v>
      </x:c>
      <x:c r="S1185" s="10" t="n">
        <x:f>IF(I1185=0,0,J1185*'Assumptions'!$W$55+H1185*'Assumptions'!$X$55)</x:f>
        <x:v>691.2884622983078</x:v>
      </x:c>
      <x:c r="T1185" s="10" t="n">
        <x:f>N1185*'Assumptions'!$AA$55</x:f>
        <x:v>919.6111658459772</x:v>
      </x:c>
      <x:c r="U1185" s="10" t="n">
        <x:f>'Assumptions'!$AE$55*'Assumptions'!$D$11*(1+'Assumptions'!$D$13)^(10-1)</x:f>
        <x:v>0</x:v>
      </x:c>
      <x:c r="V1185" s="10" t="n">
        <x:f>0</x:f>
        <x:v>0</x:v>
      </x:c>
      <x:c r="W1185" s="10" t="n">
        <x:f>H1185*('Assumptions'!$P$55+'Assumptions'!$Y$55)</x:f>
        <x:v>134.9658426391934</x:v>
      </x:c>
      <x:c r="X1185" s="10" t="n">
        <x:f>N1185/12*'Assumptions'!$AF$55</x:f>
        <x:v>1915.8565955124525</x:v>
      </x:c>
      <x:c r="Y1185" s="10" t="n">
        <x:f>P1185/12</x:f>
        <x:v>14.317057903133106</x:v>
      </x:c>
      <x:c r="Z1185" s="10" t="n">
        <x:f>0</x:f>
        <x:v>0</x:v>
      </x:c>
      <x:c r="AA1185" s="10" t="n">
        <x:f>Z1185*'Assumptions'!$AC$55*'Assumptions'!$D$11*(1+'Assumptions'!$D$13)^(10-1)</x:f>
        <x:v>0</x:v>
      </x:c>
      <x:c r="AB1185" s="10" t="n">
        <x:f>F1185/1</x:f>
        <x:v>6.789172688730524</x:v>
      </x:c>
      <x:c r="AC1185" s="10" t="n">
        <x:f>AB1185/'Assumptions'!$AM$55</x:f>
        <x:v>33.94586344365262</x:v>
      </x:c>
      <x:c r="AD1185" s="10" t="n">
        <x:f>IF(AB1185=0,0,T1185/AB1185)</x:f>
        <x:v>135.45261079784538</x:v>
      </x:c>
      <x:c r="AE1185" s="10" t="n">
        <x:f>AA1185*'Assumptions'!$D$21</x:f>
        <x:v>0</x:v>
      </x:c>
    </x:row>
    <x:row r="1186" ht="16" customHeight="1">
      <x:c r="A1186" s="1"/>
      <x:c r="B1186" s="1"/>
      <x:c r="C1186" s="1" t="str">
        <x:v>DOT-027</x:v>
      </x:c>
      <x:c r="D1186" s="10" t="str">
        <x:v>BPA professional services</x:v>
      </x:c>
      <x:c r="E1186" s="10" t="n">
        <x:v>10</x:v>
      </x:c>
      <x:c r="F1186" s="21" t="n">
        <x:f>F1058*(1+'Assumptions'!$M$56)</x:f>
        <x:v>6.789172688730524</x:v>
      </x:c>
      <x:c r="G1186" s="21" t="n">
        <x:f>H1058*'Assumptions'!$K$56</x:f>
        <x:v>6.378226593142004</x:v>
      </x:c>
      <x:c r="H1186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1186+G1186,NA())</x:f>
        <x:v>13.167399281872527</x:v>
      </x:c>
      <x:c r="I1186" s="22" t="n">
        <x:f>'Assumptions'!$H$56*IF('Assumptions'!$O$56=1,1,'Assumptions'!$D$10)*(1+'Assumptions'!$N$56)^(10-1)</x:f>
        <x:v>1800</x:v>
      </x:c>
      <x:c r="J1186" s="10" t="n">
        <x:f>H1186*I1186</x:f>
        <x:v>23701.31870737055</x:v>
      </x:c>
      <x:c r="K1186" s="10" t="n">
        <x:f>J1186*'Assumptions'!$T$56</x:f>
        <x:v>23701.31870737055</x:v>
      </x:c>
      <x:c r="L1186" s="10" t="n">
        <x:f>K1186*'Assumptions'!$U$56</x:f>
        <x:v>711.0395612211164</x:v>
      </x:c>
      <x:c r="M1186" s="10" t="n">
        <x:f>K1186*'Assumptions'!$V$56</x:f>
        <x:v>0</x:v>
      </x:c>
      <x:c r="N1186" s="10" t="n">
        <x:f>K1186-L1186-M1186</x:f>
        <x:v>22990.27914614943</x:v>
      </x:c>
      <x:c r="O1186" s="10" t="n">
        <x:f>H1186*'Assumptions'!$P$56*'Assumptions'!$Q$56*'Assumptions'!$D$11*(1+'Assumptions'!$D$13)^(10-1)</x:f>
        <x:v>10308.281690255837</x:v>
      </x:c>
      <x:c r="P1186" s="10" t="n">
        <x:f>H1186*'Assumptions'!$R$56*'Assumptions'!$D$11*(1+'Assumptions'!$D$13)^(10-1)</x:f>
        <x:v>171.80469483759728</x:v>
      </x:c>
      <x:c r="Q1186" s="10" t="n">
        <x:f>J1186*'Assumptions'!$S$56</x:f>
        <x:v>0</x:v>
      </x:c>
      <x:c r="R1186" s="10" t="n">
        <x:f>H1186*'Assumptions'!$Y$56*'Assumptions'!$Z$56*'Assumptions'!$D$11*(1+'Assumptions'!$D$13)^(10-1)</x:f>
        <x:v>128.85352112819797</x:v>
      </x:c>
      <x:c r="S1186" s="10" t="n">
        <x:f>IF(I1186=0,0,J1186*'Assumptions'!$W$56+H1186*'Assumptions'!$X$56)</x:f>
        <x:v>691.2884622983078</x:v>
      </x:c>
      <x:c r="T1186" s="10" t="n">
        <x:f>N1186*'Assumptions'!$AA$56</x:f>
        <x:v>919.6111658459772</x:v>
      </x:c>
      <x:c r="U1186" s="10" t="n">
        <x:f>'Assumptions'!$AE$56*'Assumptions'!$D$11*(1+'Assumptions'!$D$13)^(10-1)</x:f>
        <x:v>0</x:v>
      </x:c>
      <x:c r="V1186" s="10" t="n">
        <x:f>0</x:f>
        <x:v>0</x:v>
      </x:c>
      <x:c r="W1186" s="10" t="n">
        <x:f>H1186*('Assumptions'!$P$56+'Assumptions'!$Y$56)</x:f>
        <x:v>134.9658426391934</x:v>
      </x:c>
      <x:c r="X1186" s="10" t="n">
        <x:f>N1186/12*'Assumptions'!$AF$56</x:f>
        <x:v>1915.8565955124525</x:v>
      </x:c>
      <x:c r="Y1186" s="10" t="n">
        <x:f>P1186/12</x:f>
        <x:v>14.317057903133106</x:v>
      </x:c>
      <x:c r="Z1186" s="10" t="n">
        <x:f>0</x:f>
        <x:v>0</x:v>
      </x:c>
      <x:c r="AA1186" s="10" t="n">
        <x:f>Z1186*'Assumptions'!$AC$56*'Assumptions'!$D$11*(1+'Assumptions'!$D$13)^(10-1)</x:f>
        <x:v>0</x:v>
      </x:c>
      <x:c r="AB1186" s="10" t="n">
        <x:f>F1186/1</x:f>
        <x:v>6.789172688730524</x:v>
      </x:c>
      <x:c r="AC1186" s="10" t="n">
        <x:f>AB1186/'Assumptions'!$AM$56</x:f>
        <x:v>33.94586344365262</x:v>
      </x:c>
      <x:c r="AD1186" s="10" t="n">
        <x:f>IF(AB1186=0,0,T1186/AB1186)</x:f>
        <x:v>135.45261079784538</x:v>
      </x:c>
      <x:c r="AE1186" s="10" t="n">
        <x:f>AA1186*'Assumptions'!$D$21</x:f>
        <x:v>0</x:v>
      </x:c>
    </x:row>
    <x:row r="1187" ht="16" customHeight="1">
      <x:c r="A1187" s="1"/>
      <x:c r="B1187" s="1"/>
      <x:c r="C1187" s="1" t="str">
        <x:v>DOT-028</x:v>
      </x:c>
      <x:c r="D1187" s="10" t="str">
        <x:v>BPA professional services</x:v>
      </x:c>
      <x:c r="E1187" s="10" t="n">
        <x:v>10</x:v>
      </x:c>
      <x:c r="F1187" s="21" t="n">
        <x:f>F1059*(1+'Assumptions'!$M$57)</x:f>
        <x:v>3.394586344365262</x:v>
      </x:c>
      <x:c r="G1187" s="21" t="n">
        <x:f>H1059*'Assumptions'!$K$57</x:f>
        <x:v>3.189113296571002</x:v>
      </x:c>
      <x:c r="H1187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1187+G1187,NA())</x:f>
        <x:v>6.583699640936263</x:v>
      </x:c>
      <x:c r="I1187" s="22" t="n">
        <x:f>'Assumptions'!$H$57*IF('Assumptions'!$O$57=1,1,'Assumptions'!$D$10)*(1+'Assumptions'!$N$57)^(10-1)</x:f>
        <x:v>1800</x:v>
      </x:c>
      <x:c r="J1187" s="10" t="n">
        <x:f>H1187*I1187</x:f>
        <x:v>11850.659353685274</x:v>
      </x:c>
      <x:c r="K1187" s="10" t="n">
        <x:f>J1187*'Assumptions'!$T$57</x:f>
        <x:v>11850.659353685274</x:v>
      </x:c>
      <x:c r="L1187" s="10" t="n">
        <x:f>K1187*'Assumptions'!$U$57</x:f>
        <x:v>355.5197806105582</x:v>
      </x:c>
      <x:c r="M1187" s="10" t="n">
        <x:f>K1187*'Assumptions'!$V$57</x:f>
        <x:v>0</x:v>
      </x:c>
      <x:c r="N1187" s="10" t="n">
        <x:f>K1187-L1187-M1187</x:f>
        <x:v>11495.139573074715</x:v>
      </x:c>
      <x:c r="O1187" s="10" t="n">
        <x:f>H1187*'Assumptions'!$P$57*'Assumptions'!$Q$57*'Assumptions'!$D$11*(1+'Assumptions'!$D$13)^(10-1)</x:f>
        <x:v>6184.969014153502</x:v>
      </x:c>
      <x:c r="P1187" s="10" t="n">
        <x:f>H1187*'Assumptions'!$R$57*'Assumptions'!$D$11*(1+'Assumptions'!$D$13)^(10-1)</x:f>
        <x:v>85.90234741879864</x:v>
      </x:c>
      <x:c r="Q1187" s="10" t="n">
        <x:f>J1187*'Assumptions'!$S$57</x:f>
        <x:v>0</x:v>
      </x:c>
      <x:c r="R1187" s="10" t="n">
        <x:f>H1187*'Assumptions'!$Y$57*'Assumptions'!$Z$57*'Assumptions'!$D$11*(1+'Assumptions'!$D$13)^(10-1)</x:f>
        <x:v>64.42676056409898</x:v>
      </x:c>
      <x:c r="S1187" s="10" t="n">
        <x:f>IF(I1187=0,0,J1187*'Assumptions'!$W$57+H1187*'Assumptions'!$X$57)</x:f>
        <x:v>345.6442311491539</x:v>
      </x:c>
      <x:c r="T1187" s="10" t="n">
        <x:f>N1187*'Assumptions'!$AA$57</x:f>
        <x:v>459.8055829229886</x:v>
      </x:c>
      <x:c r="U1187" s="10" t="n">
        <x:f>'Assumptions'!$AE$57*'Assumptions'!$D$11*(1+'Assumptions'!$D$13)^(10-1)</x:f>
        <x:v>0</x:v>
      </x:c>
      <x:c r="V1187" s="10" t="n">
        <x:f>0</x:f>
        <x:v>0</x:v>
      </x:c>
      <x:c r="W1187" s="10" t="n">
        <x:f>H1187*('Assumptions'!$P$57+'Assumptions'!$Y$57)</x:f>
        <x:v>80.65032060146923</x:v>
      </x:c>
      <x:c r="X1187" s="10" t="n">
        <x:f>N1187/12*'Assumptions'!$AF$57</x:f>
        <x:v>957.9282977562262</x:v>
      </x:c>
      <x:c r="Y1187" s="10" t="n">
        <x:f>P1187/12</x:f>
        <x:v>7.158528951566553</x:v>
      </x:c>
      <x:c r="Z1187" s="10" t="n">
        <x:f>0</x:f>
        <x:v>0</x:v>
      </x:c>
      <x:c r="AA1187" s="10" t="n">
        <x:f>Z1187*'Assumptions'!$AC$57*'Assumptions'!$D$11*(1+'Assumptions'!$D$13)^(10-1)</x:f>
        <x:v>0</x:v>
      </x:c>
      <x:c r="AB1187" s="10" t="n">
        <x:f>F1187/1</x:f>
        <x:v>3.394586344365262</x:v>
      </x:c>
      <x:c r="AC1187" s="10" t="n">
        <x:f>AB1187/'Assumptions'!$AM$57</x:f>
        <x:v>16.97293172182631</x:v>
      </x:c>
      <x:c r="AD1187" s="10" t="n">
        <x:f>IF(AB1187=0,0,T1187/AB1187)</x:f>
        <x:v>135.45261079784538</x:v>
      </x:c>
      <x:c r="AE1187" s="10" t="n">
        <x:f>AA1187*'Assumptions'!$D$21</x:f>
        <x:v>0</x:v>
      </x:c>
    </x:row>
    <x:row r="1188" ht="16" customHeight="1">
      <x:c r="A1188" s="1"/>
      <x:c r="B1188" s="1"/>
      <x:c r="C1188" s="1" t="str">
        <x:v>DOT-029</x:v>
      </x:c>
      <x:c r="D1188" s="10" t="str">
        <x:v>BPA professional services</x:v>
      </x:c>
      <x:c r="E1188" s="10" t="n">
        <x:v>10</x:v>
      </x:c>
      <x:c r="F1188" s="21" t="n">
        <x:f>F1060*(1+'Assumptions'!$M$58)</x:f>
        <x:v>33.94586344365261</x:v>
      </x:c>
      <x:c r="G1188" s="21" t="n">
        <x:f>H1060*'Assumptions'!$K$58</x:f>
        <x:v>31.891132965710007</x:v>
      </x:c>
      <x:c r="H1188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1188+G1188,NA())</x:f>
        <x:v>65.83699640936263</x:v>
      </x:c>
      <x:c r="I1188" s="22" t="n">
        <x:f>'Assumptions'!$H$58*IF('Assumptions'!$O$58=1,1,'Assumptions'!$D$10)*(1+'Assumptions'!$N$58)^(10-1)</x:f>
        <x:v>180</x:v>
      </x:c>
      <x:c r="J1188" s="10" t="n">
        <x:f>H1188*I1188</x:f>
        <x:v>11850.659353685272</x:v>
      </x:c>
      <x:c r="K1188" s="10" t="n">
        <x:f>J1188*'Assumptions'!$T$58</x:f>
        <x:v>11850.659353685272</x:v>
      </x:c>
      <x:c r="L1188" s="10" t="n">
        <x:f>K1188*'Assumptions'!$U$58</x:f>
        <x:v>355.51978061055814</x:v>
      </x:c>
      <x:c r="M1188" s="10" t="n">
        <x:f>K1188*'Assumptions'!$V$58</x:f>
        <x:v>0</x:v>
      </x:c>
      <x:c r="N1188" s="10" t="n">
        <x:f>K1188-L1188-M1188</x:f>
        <x:v>11495.139573074714</x:v>
      </x:c>
      <x:c r="O1188" s="10" t="n">
        <x:f>H1188*'Assumptions'!$P$58*'Assumptions'!$Q$58*'Assumptions'!$D$11*(1+'Assumptions'!$D$13)^(10-1)</x:f>
        <x:v>5154.1408451279185</x:v>
      </x:c>
      <x:c r="P1188" s="10" t="n">
        <x:f>H1188*'Assumptions'!$R$58*'Assumptions'!$D$11*(1+'Assumptions'!$D$13)^(10-1)</x:f>
        <x:v>859.0234741879865</x:v>
      </x:c>
      <x:c r="Q1188" s="10" t="n">
        <x:f>J1188*'Assumptions'!$S$58</x:f>
        <x:v>0</x:v>
      </x:c>
      <x:c r="R1188" s="10" t="n">
        <x:f>H1188*'Assumptions'!$Y$58*'Assumptions'!$Z$58*'Assumptions'!$D$11*(1+'Assumptions'!$D$13)^(10-1)</x:f>
        <x:v>644.2676056409898</x:v>
      </x:c>
      <x:c r="S1188" s="10" t="n">
        <x:f>IF(I1188=0,0,J1188*'Assumptions'!$W$58+H1188*'Assumptions'!$X$58)</x:f>
        <x:v>363.42022017968173</x:v>
      </x:c>
      <x:c r="T1188" s="10" t="n">
        <x:f>N1188*'Assumptions'!$AA$58</x:f>
        <x:v>459.80558292298855</x:v>
      </x:c>
      <x:c r="U1188" s="10" t="n">
        <x:f>'Assumptions'!$AE$58*'Assumptions'!$D$11*(1+'Assumptions'!$D$13)^(10-1)</x:f>
        <x:v>0</x:v>
      </x:c>
      <x:c r="V1188" s="10" t="n">
        <x:f>0</x:f>
        <x:v>0</x:v>
      </x:c>
      <x:c r="W1188" s="10" t="n">
        <x:f>H1188*('Assumptions'!$P$58+'Assumptions'!$Y$58)</x:f>
        <x:v>82.29624551170329</x:v>
      </x:c>
      <x:c r="X1188" s="10" t="n">
        <x:f>N1188/12*'Assumptions'!$AF$58</x:f>
        <x:v>957.9282977562261</x:v>
      </x:c>
      <x:c r="Y1188" s="10" t="n">
        <x:f>P1188/12</x:f>
        <x:v>71.58528951566554</x:v>
      </x:c>
      <x:c r="Z1188" s="10" t="n">
        <x:f>0</x:f>
        <x:v>0</x:v>
      </x:c>
      <x:c r="AA1188" s="10" t="n">
        <x:f>Z1188*'Assumptions'!$AC$58*'Assumptions'!$D$11*(1+'Assumptions'!$D$13)^(10-1)</x:f>
        <x:v>0</x:v>
      </x:c>
      <x:c r="AB1188" s="10" t="n">
        <x:f>F1188/1</x:f>
        <x:v>33.94586344365261</x:v>
      </x:c>
      <x:c r="AC1188" s="10" t="n">
        <x:f>AB1188/'Assumptions'!$AM$58</x:f>
        <x:v>169.72931721826305</x:v>
      </x:c>
      <x:c r="AD1188" s="10" t="n">
        <x:f>IF(AB1188=0,0,T1188/AB1188)</x:f>
        <x:v>13.54526107978454</x:v>
      </x:c>
      <x:c r="AE1188" s="10" t="n">
        <x:f>AA1188*'Assumptions'!$D$21</x:f>
        <x:v>0</x:v>
      </x:c>
    </x:row>
    <x:row r="1189" ht="16" customHeight="1">
      <x:c r="A1189" s="1"/>
      <x:c r="B1189" s="1"/>
      <x:c r="C1189" s="1" t="str">
        <x:v>DOT-030</x:v>
      </x:c>
      <x:c r="D1189" s="10" t="str">
        <x:v>BPA professional services</x:v>
      </x:c>
      <x:c r="E1189" s="10" t="n">
        <x:v>10</x:v>
      </x:c>
      <x:c r="F1189" s="21" t="n">
        <x:f>F1061*(1+'Assumptions'!$M$59)</x:f>
        <x:v>6.789172688730524</x:v>
      </x:c>
      <x:c r="G1189" s="21" t="n">
        <x:f>H1061*'Assumptions'!$K$59</x:f>
        <x:v>6.378226593142004</x:v>
      </x:c>
      <x:c r="H1189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1189+G1189,NA())</x:f>
        <x:v>13.167399281872527</x:v>
      </x:c>
      <x:c r="I1189" s="22" t="n">
        <x:f>'Assumptions'!$H$59*IF('Assumptions'!$O$59=1,1,'Assumptions'!$D$10)*(1+'Assumptions'!$N$59)^(10-1)</x:f>
        <x:v>597.5462843111555</x:v>
      </x:c>
      <x:c r="J1189" s="10" t="n">
        <x:f>H1189*I1189</x:f>
        <x:v>7868.130514924306</x:v>
      </x:c>
      <x:c r="K1189" s="10" t="n">
        <x:f>J1189*'Assumptions'!$T$59</x:f>
        <x:v>7868.130514924306</x:v>
      </x:c>
      <x:c r="L1189" s="10" t="n">
        <x:f>K1189*'Assumptions'!$U$59</x:f>
        <x:v>236.04391544772918</x:v>
      </x:c>
      <x:c r="M1189" s="10" t="n">
        <x:f>K1189*'Assumptions'!$V$59</x:f>
        <x:v>0</x:v>
      </x:c>
      <x:c r="N1189" s="10" t="n">
        <x:f>K1189-L1189-M1189</x:f>
        <x:v>7632.086599476577</x:v>
      </x:c>
      <x:c r="O1189" s="10" t="n">
        <x:f>H1189*'Assumptions'!$P$59*'Assumptions'!$Q$59*'Assumptions'!$D$11*(1+'Assumptions'!$D$13)^(10-1)</x:f>
        <x:v>3092.484507076751</x:v>
      </x:c>
      <x:c r="P1189" s="10" t="n">
        <x:f>H1189*'Assumptions'!$R$59*'Assumptions'!$D$11*(1+'Assumptions'!$D$13)^(10-1)</x:f>
        <x:v>171.80469483759728</x:v>
      </x:c>
      <x:c r="Q1189" s="10" t="n">
        <x:f>J1189*'Assumptions'!$S$59</x:f>
        <x:v>0</x:v>
      </x:c>
      <x:c r="R1189" s="10" t="n">
        <x:f>H1189*'Assumptions'!$Y$59*'Assumptions'!$Z$59*'Assumptions'!$D$11*(1+'Assumptions'!$D$13)^(10-1)</x:f>
        <x:v>128.85352112819797</x:v>
      </x:c>
      <x:c r="S1189" s="10" t="n">
        <x:f>IF(I1189=0,0,J1189*'Assumptions'!$W$59+H1189*'Assumptions'!$X$59)</x:f>
        <x:v>232.12600471736667</x:v>
      </x:c>
      <x:c r="T1189" s="10" t="n">
        <x:f>N1189*'Assumptions'!$AA$59</x:f>
        <x:v>305.2834639790631</x:v>
      </x:c>
      <x:c r="U1189" s="10" t="n">
        <x:f>'Assumptions'!$AE$59*'Assumptions'!$D$11*(1+'Assumptions'!$D$13)^(10-1)</x:f>
        <x:v>0</x:v>
      </x:c>
      <x:c r="V1189" s="10" t="n">
        <x:f>0</x:f>
        <x:v>0</x:v>
      </x:c>
      <x:c r="W1189" s="10" t="n">
        <x:f>H1189*('Assumptions'!$P$59+'Assumptions'!$Y$59)</x:f>
        <x:v>42.79404766608571</x:v>
      </x:c>
      <x:c r="X1189" s="10" t="n">
        <x:f>N1189/12*'Assumptions'!$AF$59</x:f>
        <x:v>636.0072166230481</x:v>
      </x:c>
      <x:c r="Y1189" s="10" t="n">
        <x:f>P1189/12</x:f>
        <x:v>14.317057903133106</x:v>
      </x:c>
      <x:c r="Z1189" s="10" t="n">
        <x:f>0</x:f>
        <x:v>0</x:v>
      </x:c>
      <x:c r="AA1189" s="10" t="n">
        <x:f>Z1189*'Assumptions'!$AC$59*'Assumptions'!$D$11*(1+'Assumptions'!$D$13)^(10-1)</x:f>
        <x:v>0</x:v>
      </x:c>
      <x:c r="AB1189" s="10" t="n">
        <x:f>F1189/1</x:f>
        <x:v>6.789172688730524</x:v>
      </x:c>
      <x:c r="AC1189" s="10" t="n">
        <x:f>AB1189/'Assumptions'!$AM$59</x:f>
        <x:v>33.94586344365262</x:v>
      </x:c>
      <x:c r="AD1189" s="10" t="n">
        <x:f>IF(AB1189=0,0,T1189/AB1189)</x:f>
        <x:v>44.966224601387566</x:v>
      </x:c>
      <x:c r="AE1189" s="10" t="n">
        <x:f>AA1189*'Assumptions'!$D$21</x:f>
        <x:v>0</x:v>
      </x:c>
    </x:row>
    <x:row r="1190" ht="16" customHeight="1">
      <x:c r="A1190" s="1"/>
      <x:c r="B1190" s="1"/>
      <x:c r="C1190" s="1" t="str">
        <x:v>DOT-031</x:v>
      </x:c>
      <x:c r="D1190" s="10" t="str">
        <x:v>BPA professional services</x:v>
      </x:c>
      <x:c r="E1190" s="10" t="n">
        <x:v>10</x:v>
      </x:c>
      <x:c r="F1190" s="21" t="n">
        <x:f>F1062*(1+'Assumptions'!$M$60)</x:f>
        <x:v>3.394586344365262</x:v>
      </x:c>
      <x:c r="G1190" s="21" t="n">
        <x:f>H1062*'Assumptions'!$K$60</x:f>
        <x:v>3.191066421571002</x:v>
      </x:c>
      <x:c r="H1190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1190+G1190,NA())</x:f>
        <x:v>6.585652765936263</x:v>
      </x:c>
      <x:c r="I1190" s="22" t="n">
        <x:f>'Assumptions'!$H$60*IF('Assumptions'!$O$60=1,1,'Assumptions'!$D$10)*(1+'Assumptions'!$N$60)^(10-1)</x:f>
        <x:v>5975.462843111555</x:v>
      </x:c>
      <x:c r="J1190" s="10" t="n">
        <x:f>H1190*I1190</x:f>
        <x:v>39352.32340048698</x:v>
      </x:c>
      <x:c r="K1190" s="10" t="n">
        <x:f>J1190*'Assumptions'!$T$60</x:f>
        <x:v>39352.32340048698</x:v>
      </x:c>
      <x:c r="L1190" s="10" t="n">
        <x:f>K1190*'Assumptions'!$U$60</x:f>
        <x:v>1180.5697020146094</x:v>
      </x:c>
      <x:c r="M1190" s="10" t="n">
        <x:f>K1190*'Assumptions'!$V$60</x:f>
        <x:v>0</x:v>
      </x:c>
      <x:c r="N1190" s="10" t="n">
        <x:f>K1190-L1190-M1190</x:f>
        <x:v>38171.75369847237</x:v>
      </x:c>
      <x:c r="O1190" s="10" t="n">
        <x:f>H1190*'Assumptions'!$P$60*'Assumptions'!$Q$60*'Assumptions'!$D$11*(1+'Assumptions'!$D$13)^(10-1)</x:f>
        <x:v>20622.679504810872</x:v>
      </x:c>
      <x:c r="P1190" s="10" t="n">
        <x:f>H1190*'Assumptions'!$R$60*'Assumptions'!$D$11*(1+'Assumptions'!$D$13)^(10-1)</x:f>
        <x:v>85.9278312700453</x:v>
      </x:c>
      <x:c r="Q1190" s="10" t="n">
        <x:f>J1190*'Assumptions'!$S$60</x:f>
        <x:v>0</x:v>
      </x:c>
      <x:c r="R1190" s="10" t="n">
        <x:f>H1190*'Assumptions'!$Y$60*'Assumptions'!$Z$60*'Assumptions'!$D$11*(1+'Assumptions'!$D$13)^(10-1)</x:f>
        <x:v>64.44587345253399</x:v>
      </x:c>
      <x:c r="S1190" s="10" t="n">
        <x:f>IF(I1190=0,0,J1190*'Assumptions'!$W$60+H1190*'Assumptions'!$X$60)</x:f>
        <x:v>1143.1930744439035</x:v>
      </x:c>
      <x:c r="T1190" s="10" t="n">
        <x:f>N1190*'Assumptions'!$AA$60</x:f>
        <x:v>1526.870147938895</x:v>
      </x:c>
      <x:c r="U1190" s="10" t="n">
        <x:f>'Assumptions'!$AE$60*'Assumptions'!$D$11*(1+'Assumptions'!$D$13)^(10-1)</x:f>
        <x:v>0</x:v>
      </x:c>
      <x:c r="V1190" s="10" t="n">
        <x:f>0</x:f>
        <x:v>0</x:v>
      </x:c>
      <x:c r="W1190" s="10" t="n">
        <x:f>H1190*('Assumptions'!$P$60+'Assumptions'!$Y$60)</x:f>
        <x:v>265.0725238289346</x:v>
      </x:c>
      <x:c r="X1190" s="10" t="n">
        <x:f>N1190/12*'Assumptions'!$AF$60</x:f>
        <x:v>3180.9794748726977</x:v>
      </x:c>
      <x:c r="Y1190" s="10" t="n">
        <x:f>P1190/12</x:f>
        <x:v>7.160652605837108</x:v>
      </x:c>
      <x:c r="Z1190" s="10" t="n">
        <x:f>0</x:f>
        <x:v>0</x:v>
      </x:c>
      <x:c r="AA1190" s="10" t="n">
        <x:f>Z1190*'Assumptions'!$AC$60*'Assumptions'!$D$11*(1+'Assumptions'!$D$13)^(10-1)</x:f>
        <x:v>0</x:v>
      </x:c>
      <x:c r="AB1190" s="10" t="n">
        <x:f>F1190/1</x:f>
        <x:v>3.394586344365262</x:v>
      </x:c>
      <x:c r="AC1190" s="10" t="n">
        <x:f>AB1190/'Assumptions'!$AM$60</x:f>
        <x:v>16.97293172182631</x:v>
      </x:c>
      <x:c r="AD1190" s="10" t="n">
        <x:f>IF(AB1190=0,0,T1190/AB1190)</x:f>
        <x:v>449.79564313436174</x:v>
      </x:c>
      <x:c r="AE1190" s="10" t="n">
        <x:f>AA1190*'Assumptions'!$D$21</x:f>
        <x:v>0</x:v>
      </x:c>
    </x:row>
    <x:row r="1191" ht="16" customHeight="1">
      <x:c r="A1191" s="1"/>
      <x:c r="B1191" s="1"/>
      <x:c r="C1191" s="1" t="str">
        <x:v>DOT-032</x:v>
      </x:c>
      <x:c r="D1191" s="10" t="str">
        <x:v>BPA professional services</x:v>
      </x:c>
      <x:c r="E1191" s="10" t="n">
        <x:v>10</x:v>
      </x:c>
      <x:c r="F1191" s="21" t="n">
        <x:f>F1063*(1+'Assumptions'!$M$61)</x:f>
        <x:v>1.697293172182631</x:v>
      </x:c>
      <x:c r="G1191" s="21" t="n">
        <x:f>H1063*'Assumptions'!$K$61</x:f>
        <x:v>1.595533210785501</x:v>
      </x:c>
      <x:c r="H1191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1191+G1191,NA())</x:f>
        <x:v>3.2928263829681317</x:v>
      </x:c>
      <x:c r="I1191" s="22" t="n">
        <x:f>'Assumptions'!$H$61*IF('Assumptions'!$O$61=1,1,'Assumptions'!$D$10)*(1+'Assumptions'!$N$61)^(10-1)</x:f>
        <x:v>8963.194264667332</x:v>
      </x:c>
      <x:c r="J1191" s="10" t="n">
        <x:f>H1191*I1191</x:f>
        <x:v>29514.242550365234</x:v>
      </x:c>
      <x:c r="K1191" s="10" t="n">
        <x:f>J1191*'Assumptions'!$T$61</x:f>
        <x:v>29514.242550365234</x:v>
      </x:c>
      <x:c r="L1191" s="10" t="n">
        <x:f>K1191*'Assumptions'!$U$61</x:f>
        <x:v>885.427276510957</x:v>
      </x:c>
      <x:c r="M1191" s="10" t="n">
        <x:f>K1191*'Assumptions'!$V$61</x:f>
        <x:v>0</x:v>
      </x:c>
      <x:c r="N1191" s="10" t="n">
        <x:f>K1191-L1191-M1191</x:f>
        <x:v>28628.815273854278</x:v>
      </x:c>
      <x:c r="O1191" s="10" t="n">
        <x:f>H1191*'Assumptions'!$P$61*'Assumptions'!$Q$61*'Assumptions'!$D$11*(1+'Assumptions'!$D$13)^(10-1)</x:f>
        <x:v>15467.009628608157</x:v>
      </x:c>
      <x:c r="P1191" s="10" t="n">
        <x:f>H1191*'Assumptions'!$R$61*'Assumptions'!$D$11*(1+'Assumptions'!$D$13)^(10-1)</x:f>
        <x:v>42.96391563502265</x:v>
      </x:c>
      <x:c r="Q1191" s="10" t="n">
        <x:f>J1191*'Assumptions'!$S$61</x:f>
        <x:v>0</x:v>
      </x:c>
      <x:c r="R1191" s="10" t="n">
        <x:f>H1191*'Assumptions'!$Y$61*'Assumptions'!$Z$61*'Assumptions'!$D$11*(1+'Assumptions'!$D$13)^(10-1)</x:f>
        <x:v>32.222936726266994</x:v>
      </x:c>
      <x:c r="S1191" s="10" t="n">
        <x:f>IF(I1191=0,0,J1191*'Assumptions'!$W$61+H1191*'Assumptions'!$X$61)</x:f>
        <x:v>856.9008818754824</x:v>
      </x:c>
      <x:c r="T1191" s="10" t="n">
        <x:f>N1191*'Assumptions'!$AA$61</x:f>
        <x:v>1145.1526109541712</x:v>
      </x:c>
      <x:c r="U1191" s="10" t="n">
        <x:f>'Assumptions'!$AE$61*'Assumptions'!$D$11*(1+'Assumptions'!$D$13)^(10-1)</x:f>
        <x:v>0</x:v>
      </x:c>
      <x:c r="V1191" s="10" t="n">
        <x:f>0</x:f>
        <x:v>0</x:v>
      </x:c>
      <x:c r="W1191" s="10" t="n">
        <x:f>H1191*('Assumptions'!$P$61+'Assumptions'!$Y$61)</x:f>
        <x:v>198.39278957382993</x:v>
      </x:c>
      <x:c r="X1191" s="10" t="n">
        <x:f>N1191/12*'Assumptions'!$AF$61</x:f>
        <x:v>2385.734606154523</x:v>
      </x:c>
      <x:c r="Y1191" s="10" t="n">
        <x:f>P1191/12</x:f>
        <x:v>3.580326302918554</x:v>
      </x:c>
      <x:c r="Z1191" s="10" t="n">
        <x:f>0</x:f>
        <x:v>0</x:v>
      </x:c>
      <x:c r="AA1191" s="10" t="n">
        <x:f>Z1191*'Assumptions'!$AC$61*'Assumptions'!$D$11*(1+'Assumptions'!$D$13)^(10-1)</x:f>
        <x:v>0</x:v>
      </x:c>
      <x:c r="AB1191" s="10" t="n">
        <x:f>F1191/1</x:f>
        <x:v>1.697293172182631</x:v>
      </x:c>
      <x:c r="AC1191" s="10" t="n">
        <x:f>AB1191/'Assumptions'!$AM$61</x:f>
        <x:v>8.486465860913155</x:v>
      </x:c>
      <x:c r="AD1191" s="10" t="n">
        <x:f>IF(AB1191=0,0,T1191/AB1191)</x:f>
        <x:v>674.6934647015427</x:v>
      </x:c>
      <x:c r="AE1191" s="10" t="n">
        <x:f>AA1191*'Assumptions'!$D$21</x:f>
        <x:v>0</x:v>
      </x:c>
    </x:row>
    <x:row r="1192" ht="16" customHeight="1">
      <x:c r="A1192" s="1"/>
      <x:c r="B1192" s="1"/>
      <x:c r="C1192" s="1" t="str">
        <x:v>DOT-033</x:v>
      </x:c>
      <x:c r="D1192" s="10" t="str">
        <x:v>CornerFlow</x:v>
      </x:c>
      <x:c r="E1192" s="10" t="n">
        <x:v>10</x:v>
      </x:c>
      <x:c r="F1192" s="21" t="n">
        <x:f>F1064*(1+'Assumptions'!$M$62)</x:f>
        <x:v>86.5393459368653</x:v>
      </x:c>
      <x:c r="G1192" s="21" t="n">
        <x:f>H1064*'Assumptions'!$K$62</x:f>
        <x:v>173.4543886754112</x:v>
      </x:c>
      <x:c r="H1192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1192+G1192,NA())</x:f>
        <x:v>259.9937346122765</x:v>
      </x:c>
      <x:c r="I1192" s="22" t="n">
        <x:f>'Assumptions'!$H$62*IF('Assumptions'!$O$62=1,1,'Assumptions'!$D$10)*(1+'Assumptions'!$N$62)^(10-1)</x:f>
        <x:v>58.55953586249324</x:v>
      </x:c>
      <x:c r="J1192" s="10" t="n">
        <x:f>H1192*I1192</x:f>
        <x:v>15225.112426051157</x:v>
      </x:c>
      <x:c r="K1192" s="10" t="n">
        <x:f>J1192*'Assumptions'!$T$62</x:f>
        <x:v>15225.112426051157</x:v>
      </x:c>
      <x:c r="L1192" s="10" t="n">
        <x:f>K1192*'Assumptions'!$U$62</x:f>
        <x:v>456.75337278153467</x:v>
      </x:c>
      <x:c r="M1192" s="10" t="n">
        <x:f>K1192*'Assumptions'!$V$62</x:f>
        <x:v>0</x:v>
      </x:c>
      <x:c r="N1192" s="10" t="n">
        <x:f>K1192-L1192-M1192</x:f>
        <x:v>14768.359053269622</x:v>
      </x:c>
      <x:c r="O1192" s="10" t="n">
        <x:f>H1192*'Assumptions'!$P$62*'Assumptions'!$Q$62*'Assumptions'!$D$11*(1+'Assumptions'!$D$13)^(10-1)</x:f>
        <x:v>1780.9724776500077</x:v>
      </x:c>
      <x:c r="P1192" s="10" t="n">
        <x:f>H1192*'Assumptions'!$R$62*'Assumptions'!$D$11*(1+'Assumptions'!$D$13)^(10-1)</x:f>
        <x:v>0</x:v>
      </x:c>
      <x:c r="Q1192" s="10" t="n">
        <x:f>J1192*'Assumptions'!$S$62</x:f>
        <x:v>0</x:v>
      </x:c>
      <x:c r="R1192" s="10" t="n">
        <x:f>H1192*'Assumptions'!$Y$62*'Assumptions'!$Z$62*'Assumptions'!$D$11*(1+'Assumptions'!$D$13)^(10-1)</x:f>
        <x:v>1526.5478379857207</x:v>
      </x:c>
      <x:c r="S1192" s="10" t="n">
        <x:f>IF(I1192=0,0,J1192*'Assumptions'!$W$62+H1192*'Assumptions'!$X$62)</x:f>
        <x:v>519.5263807391665</x:v>
      </x:c>
      <x:c r="T1192" s="10" t="n">
        <x:f>N1192*'Assumptions'!$AA$62</x:f>
        <x:v>738.4179526634812</x:v>
      </x:c>
      <x:c r="U1192" s="10" t="n">
        <x:f>'Assumptions'!$AE$62*'Assumptions'!$D$11*(1+'Assumptions'!$D$13)^(10-1)</x:f>
        <x:v>156.5727820595094</x:v>
      </x:c>
      <x:c r="V1192" s="10" t="n">
        <x:f>0</x:f>
        <x:v>0</x:v>
      </x:c>
      <x:c r="W1192" s="10" t="n">
        <x:f>H1192*('Assumptions'!$P$62+'Assumptions'!$Y$62)</x:f>
        <x:v>77.99812038368295</x:v>
      </x:c>
      <x:c r="X1192" s="10" t="n">
        <x:f>N1192/12*'Assumptions'!$AF$62</x:f>
        <x:v>0</x:v>
      </x:c>
      <x:c r="Y1192" s="10" t="n">
        <x:f>P1192/12</x:f>
        <x:v>0</x:v>
      </x:c>
      <x:c r="Z1192" s="10" t="n">
        <x:f>0</x:f>
        <x:v>0</x:v>
      </x:c>
      <x:c r="AA1192" s="10" t="n">
        <x:f>Z1192*'Assumptions'!$AC$62*'Assumptions'!$D$11*(1+'Assumptions'!$D$13)^(10-1)</x:f>
        <x:v>0</x:v>
      </x:c>
      <x:c r="AB1192" s="10" t="n">
        <x:f>F1192/12</x:f>
        <x:v>7.211612161405442</x:v>
      </x:c>
      <x:c r="AC1192" s="10" t="n">
        <x:f>AB1192/'Assumptions'!$AM$62</x:f>
        <x:v>144.2322432281088</x:v>
      </x:c>
      <x:c r="AD1192" s="10" t="n">
        <x:f>IF(AB1192=0,0,T1192/AB1192)</x:f>
        <x:v>102.39290967632596</x:v>
      </x:c>
      <x:c r="AE1192" s="10" t="n">
        <x:f>AA1192*'Assumptions'!$D$21</x:f>
        <x:v>0</x:v>
      </x:c>
    </x:row>
    <x:row r="1193" ht="16" customHeight="1">
      <x:c r="A1193" s="1"/>
      <x:c r="B1193" s="1"/>
      <x:c r="C1193" s="1" t="str">
        <x:v>DOT-034</x:v>
      </x:c>
      <x:c r="D1193" s="10" t="str">
        <x:v>CornerFlow</x:v>
      </x:c>
      <x:c r="E1193" s="10" t="n">
        <x:v>10</x:v>
      </x:c>
      <x:c r="F1193" s="21" t="n">
        <x:f>F1065*(1+'Assumptions'!$M$63)</x:f>
        <x:v>16.972931721826306</x:v>
      </x:c>
      <x:c r="G1193" s="21" t="n">
        <x:f>H1065*'Assumptions'!$K$63</x:f>
        <x:v>15.945566482855003</x:v>
      </x:c>
      <x:c r="H1193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1193+G1193,NA())</x:f>
        <x:v>32.91849820468131</x:v>
      </x:c>
      <x:c r="I1193" s="22" t="n">
        <x:f>'Assumptions'!$H$63*IF('Assumptions'!$O$63=1,1,'Assumptions'!$D$10)*(1+'Assumptions'!$N$63)^(10-1)</x:f>
        <x:v>237.8234211558399</x:v>
      </x:c>
      <x:c r="J1193" s="10" t="n">
        <x:f>H1193*I1193</x:f>
        <x:v>7828.789862349683</x:v>
      </x:c>
      <x:c r="K1193" s="10" t="n">
        <x:f>J1193*'Assumptions'!$T$63</x:f>
        <x:v>7828.789862349683</x:v>
      </x:c>
      <x:c r="L1193" s="10" t="n">
        <x:f>K1193*'Assumptions'!$U$63</x:f>
        <x:v>234.8636958704905</x:v>
      </x:c>
      <x:c r="M1193" s="10" t="n">
        <x:f>K1193*'Assumptions'!$V$63</x:f>
        <x:v>0</x:v>
      </x:c>
      <x:c r="N1193" s="10" t="n">
        <x:f>K1193-L1193-M1193</x:f>
        <x:v>7593.926166479193</x:v>
      </x:c>
      <x:c r="O1193" s="10" t="n">
        <x:f>H1193*'Assumptions'!$P$63*'Assumptions'!$Q$63*'Assumptions'!$D$11*(1+'Assumptions'!$D$13)^(10-1)</x:f>
        <x:v>3436.093896751946</x:v>
      </x:c>
      <x:c r="P1193" s="10" t="n">
        <x:f>H1193*'Assumptions'!$R$63*'Assumptions'!$D$11*(1+'Assumptions'!$D$13)^(10-1)</x:f>
        <x:v>0</x:v>
      </x:c>
      <x:c r="Q1193" s="10" t="n">
        <x:f>J1193*'Assumptions'!$S$63</x:f>
        <x:v>0</x:v>
      </x:c>
      <x:c r="R1193" s="10" t="n">
        <x:f>H1193*'Assumptions'!$Y$63*'Assumptions'!$Z$63*'Assumptions'!$D$11*(1+'Assumptions'!$D$13)^(10-1)</x:f>
        <x:v>322.1338028204949</x:v>
      </x:c>
      <x:c r="S1193" s="10" t="n">
        <x:f>IF(I1193=0,0,J1193*'Assumptions'!$W$63+H1193*'Assumptions'!$X$63)</x:f>
        <x:v>236.9104554695452</x:v>
      </x:c>
      <x:c r="T1193" s="10" t="n">
        <x:f>N1193*'Assumptions'!$AA$63</x:f>
        <x:v>303.7570466591677</x:v>
      </x:c>
      <x:c r="U1193" s="10" t="n">
        <x:f>'Assumptions'!$AE$63*'Assumptions'!$D$11*(1+'Assumptions'!$D$13)^(10-1)</x:f>
        <x:v>0</x:v>
      </x:c>
      <x:c r="V1193" s="10" t="n">
        <x:f>0</x:f>
        <x:v>0</x:v>
      </x:c>
      <x:c r="W1193" s="10" t="n">
        <x:f>H1193*('Assumptions'!$P$63+'Assumptions'!$Y$63)</x:f>
        <x:v>74.06662096053296</x:v>
      </x:c>
      <x:c r="X1193" s="10" t="n">
        <x:f>N1193/12*'Assumptions'!$AF$63</x:f>
        <x:v>632.8271805399328</x:v>
      </x:c>
      <x:c r="Y1193" s="10" t="n">
        <x:f>P1193/12</x:f>
        <x:v>0</x:v>
      </x:c>
      <x:c r="Z1193" s="10" t="n">
        <x:f>0</x:f>
        <x:v>0</x:v>
      </x:c>
      <x:c r="AA1193" s="10" t="n">
        <x:f>Z1193*'Assumptions'!$AC$63*'Assumptions'!$D$11*(1+'Assumptions'!$D$13)^(10-1)</x:f>
        <x:v>0</x:v>
      </x:c>
      <x:c r="AB1193" s="10" t="n">
        <x:f>F1193/1</x:f>
        <x:v>16.972931721826306</x:v>
      </x:c>
      <x:c r="AC1193" s="10" t="n">
        <x:f>AB1193/'Assumptions'!$AM$63</x:f>
        <x:v>84.86465860913152</x:v>
      </x:c>
      <x:c r="AD1193" s="10" t="n">
        <x:f>IF(AB1193=0,0,T1193/AB1193)</x:f>
        <x:v>17.896557391352253</x:v>
      </x:c>
      <x:c r="AE1193" s="10" t="n">
        <x:f>AA1193*'Assumptions'!$D$21</x:f>
        <x:v>0</x:v>
      </x:c>
    </x:row>
    <x:row r="1194" ht="16" customHeight="1">
      <x:c r="A1194" s="1"/>
      <x:c r="B1194" s="1"/>
      <x:c r="C1194" s="1" t="str">
        <x:v>DOT-035</x:v>
      </x:c>
      <x:c r="D1194" s="10" t="str">
        <x:v>Spindle</x:v>
      </x:c>
      <x:c r="E1194" s="10" t="n">
        <x:v>10</x:v>
      </x:c>
      <x:c r="F1194" s="21" t="n">
        <x:f>F1066*(1+'Assumptions'!$M$64)</x:f>
        <x:v>86.5393459368653</x:v>
      </x:c>
      <x:c r="G1194" s="21" t="n">
        <x:f>H1066*'Assumptions'!$K$64</x:f>
        <x:v>173.4543886754112</x:v>
      </x:c>
      <x:c r="H1194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1194+G1194,NA())</x:f>
        <x:v>259.9937346122765</x:v>
      </x:c>
      <x:c r="I1194" s="22" t="n">
        <x:f>'Assumptions'!$H$64*IF('Assumptions'!$O$64=1,1,'Assumptions'!$D$10)*(1+'Assumptions'!$N$64)^(10-1)</x:f>
        <x:v>58.55953586249324</x:v>
      </x:c>
      <x:c r="J1194" s="10" t="n">
        <x:f>H1194*I1194</x:f>
        <x:v>15225.112426051157</x:v>
      </x:c>
      <x:c r="K1194" s="10" t="n">
        <x:f>J1194*'Assumptions'!$T$64</x:f>
        <x:v>15225.112426051157</x:v>
      </x:c>
      <x:c r="L1194" s="10" t="n">
        <x:f>K1194*'Assumptions'!$U$64</x:f>
        <x:v>456.75337278153467</x:v>
      </x:c>
      <x:c r="M1194" s="10" t="n">
        <x:f>K1194*'Assumptions'!$V$64</x:f>
        <x:v>0</x:v>
      </x:c>
      <x:c r="N1194" s="10" t="n">
        <x:f>K1194-L1194-M1194</x:f>
        <x:v>14768.359053269622</x:v>
      </x:c>
      <x:c r="O1194" s="10" t="n">
        <x:f>H1194*'Assumptions'!$P$64*'Assumptions'!$Q$64*'Assumptions'!$D$11*(1+'Assumptions'!$D$13)^(10-1)</x:f>
        <x:v>1780.9724776500077</x:v>
      </x:c>
      <x:c r="P1194" s="10" t="n">
        <x:f>H1194*'Assumptions'!$R$64*'Assumptions'!$D$11*(1+'Assumptions'!$D$13)^(10-1)</x:f>
        <x:v>0</x:v>
      </x:c>
      <x:c r="Q1194" s="10" t="n">
        <x:f>J1194*'Assumptions'!$S$64</x:f>
        <x:v>0</x:v>
      </x:c>
      <x:c r="R1194" s="10" t="n">
        <x:f>H1194*'Assumptions'!$Y$64*'Assumptions'!$Z$64*'Assumptions'!$D$11*(1+'Assumptions'!$D$13)^(10-1)</x:f>
        <x:v>1526.5478379857207</x:v>
      </x:c>
      <x:c r="S1194" s="10" t="n">
        <x:f>IF(I1194=0,0,J1194*'Assumptions'!$W$64+H1194*'Assumptions'!$X$64)</x:f>
        <x:v>519.5263807391665</x:v>
      </x:c>
      <x:c r="T1194" s="10" t="n">
        <x:f>N1194*'Assumptions'!$AA$64</x:f>
        <x:v>738.4179526634812</x:v>
      </x:c>
      <x:c r="U1194" s="10" t="n">
        <x:f>'Assumptions'!$AE$64*'Assumptions'!$D$11*(1+'Assumptions'!$D$13)^(10-1)</x:f>
        <x:v>156.5727820595094</x:v>
      </x:c>
      <x:c r="V1194" s="10" t="n">
        <x:f>0</x:f>
        <x:v>0</x:v>
      </x:c>
      <x:c r="W1194" s="10" t="n">
        <x:f>H1194*('Assumptions'!$P$64+'Assumptions'!$Y$64)</x:f>
        <x:v>77.99812038368295</x:v>
      </x:c>
      <x:c r="X1194" s="10" t="n">
        <x:f>N1194/12*'Assumptions'!$AF$64</x:f>
        <x:v>0</x:v>
      </x:c>
      <x:c r="Y1194" s="10" t="n">
        <x:f>P1194/12</x:f>
        <x:v>0</x:v>
      </x:c>
      <x:c r="Z1194" s="10" t="n">
        <x:f>0</x:f>
        <x:v>0</x:v>
      </x:c>
      <x:c r="AA1194" s="10" t="n">
        <x:f>Z1194*'Assumptions'!$AC$64*'Assumptions'!$D$11*(1+'Assumptions'!$D$13)^(10-1)</x:f>
        <x:v>0</x:v>
      </x:c>
      <x:c r="AB1194" s="10" t="n">
        <x:f>F1194/12</x:f>
        <x:v>7.211612161405442</x:v>
      </x:c>
      <x:c r="AC1194" s="10" t="n">
        <x:f>AB1194/'Assumptions'!$AM$64</x:f>
        <x:v>144.2322432281088</x:v>
      </x:c>
      <x:c r="AD1194" s="10" t="n">
        <x:f>IF(AB1194=0,0,T1194/AB1194)</x:f>
        <x:v>102.39290967632596</x:v>
      </x:c>
      <x:c r="AE1194" s="10" t="n">
        <x:f>AA1194*'Assumptions'!$D$21</x:f>
        <x:v>0</x:v>
      </x:c>
    </x:row>
    <x:row r="1195" ht="16" customHeight="1">
      <x:c r="A1195" s="1"/>
      <x:c r="B1195" s="1"/>
      <x:c r="C1195" s="1" t="str">
        <x:v>DOT-036</x:v>
      </x:c>
      <x:c r="D1195" s="10" t="str">
        <x:v>Spindle</x:v>
      </x:c>
      <x:c r="E1195" s="10" t="n">
        <x:v>10</x:v>
      </x:c>
      <x:c r="F1195" s="21" t="n">
        <x:f>F1067*(1+'Assumptions'!$M$65)</x:f>
        <x:v>16.972931721826306</x:v>
      </x:c>
      <x:c r="G1195" s="21" t="n">
        <x:f>H1067*'Assumptions'!$K$65</x:f>
        <x:v>15.945566482855003</x:v>
      </x:c>
      <x:c r="H1195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1195+G1195,NA())</x:f>
        <x:v>32.91849820468131</x:v>
      </x:c>
      <x:c r="I1195" s="22" t="n">
        <x:f>'Assumptions'!$H$65*IF('Assumptions'!$O$65=1,1,'Assumptions'!$D$10)*(1+'Assumptions'!$N$65)^(10-1)</x:f>
        <x:v>237.8234211558399</x:v>
      </x:c>
      <x:c r="J1195" s="10" t="n">
        <x:f>H1195*I1195</x:f>
        <x:v>7828.789862349683</x:v>
      </x:c>
      <x:c r="K1195" s="10" t="n">
        <x:f>J1195*'Assumptions'!$T$65</x:f>
        <x:v>7828.789862349683</x:v>
      </x:c>
      <x:c r="L1195" s="10" t="n">
        <x:f>K1195*'Assumptions'!$U$65</x:f>
        <x:v>234.8636958704905</x:v>
      </x:c>
      <x:c r="M1195" s="10" t="n">
        <x:f>K1195*'Assumptions'!$V$65</x:f>
        <x:v>0</x:v>
      </x:c>
      <x:c r="N1195" s="10" t="n">
        <x:f>K1195-L1195-M1195</x:f>
        <x:v>7593.926166479193</x:v>
      </x:c>
      <x:c r="O1195" s="10" t="n">
        <x:f>H1195*'Assumptions'!$P$65*'Assumptions'!$Q$65*'Assumptions'!$D$11*(1+'Assumptions'!$D$13)^(10-1)</x:f>
        <x:v>3436.093896751946</x:v>
      </x:c>
      <x:c r="P1195" s="10" t="n">
        <x:f>H1195*'Assumptions'!$R$65*'Assumptions'!$D$11*(1+'Assumptions'!$D$13)^(10-1)</x:f>
        <x:v>0</x:v>
      </x:c>
      <x:c r="Q1195" s="10" t="n">
        <x:f>J1195*'Assumptions'!$S$65</x:f>
        <x:v>0</x:v>
      </x:c>
      <x:c r="R1195" s="10" t="n">
        <x:f>H1195*'Assumptions'!$Y$65*'Assumptions'!$Z$65*'Assumptions'!$D$11*(1+'Assumptions'!$D$13)^(10-1)</x:f>
        <x:v>322.1338028204949</x:v>
      </x:c>
      <x:c r="S1195" s="10" t="n">
        <x:f>IF(I1195=0,0,J1195*'Assumptions'!$W$65+H1195*'Assumptions'!$X$65)</x:f>
        <x:v>236.9104554695452</x:v>
      </x:c>
      <x:c r="T1195" s="10" t="n">
        <x:f>N1195*'Assumptions'!$AA$65</x:f>
        <x:v>303.7570466591677</x:v>
      </x:c>
      <x:c r="U1195" s="10" t="n">
        <x:f>'Assumptions'!$AE$65*'Assumptions'!$D$11*(1+'Assumptions'!$D$13)^(10-1)</x:f>
        <x:v>0</x:v>
      </x:c>
      <x:c r="V1195" s="10" t="n">
        <x:f>0</x:f>
        <x:v>0</x:v>
      </x:c>
      <x:c r="W1195" s="10" t="n">
        <x:f>H1195*('Assumptions'!$P$65+'Assumptions'!$Y$65)</x:f>
        <x:v>74.06662096053296</x:v>
      </x:c>
      <x:c r="X1195" s="10" t="n">
        <x:f>N1195/12*'Assumptions'!$AF$65</x:f>
        <x:v>632.8271805399328</x:v>
      </x:c>
      <x:c r="Y1195" s="10" t="n">
        <x:f>P1195/12</x:f>
        <x:v>0</x:v>
      </x:c>
      <x:c r="Z1195" s="10" t="n">
        <x:f>0</x:f>
        <x:v>0</x:v>
      </x:c>
      <x:c r="AA1195" s="10" t="n">
        <x:f>Z1195*'Assumptions'!$AC$65*'Assumptions'!$D$11*(1+'Assumptions'!$D$13)^(10-1)</x:f>
        <x:v>0</x:v>
      </x:c>
      <x:c r="AB1195" s="10" t="n">
        <x:f>F1195/1</x:f>
        <x:v>16.972931721826306</x:v>
      </x:c>
      <x:c r="AC1195" s="10" t="n">
        <x:f>AB1195/'Assumptions'!$AM$65</x:f>
        <x:v>84.86465860913152</x:v>
      </x:c>
      <x:c r="AD1195" s="10" t="n">
        <x:f>IF(AB1195=0,0,T1195/AB1195)</x:f>
        <x:v>17.896557391352253</x:v>
      </x:c>
      <x:c r="AE1195" s="10" t="n">
        <x:f>AA1195*'Assumptions'!$D$21</x:f>
        <x:v>0</x:v>
      </x:c>
    </x:row>
    <x:row r="1196" ht="16" customHeight="1">
      <x:c r="A1196" s="1"/>
      <x:c r="B1196" s="1"/>
      <x:c r="C1196" s="1" t="str">
        <x:v>DOT-037</x:v>
      </x:c>
      <x:c r="D1196" s="10" t="str">
        <x:v>Maison Contour</x:v>
      </x:c>
      <x:c r="E1196" s="10" t="n">
        <x:v>10</x:v>
      </x:c>
      <x:c r="F1196" s="21" t="n">
        <x:f>F1068*(1+'Assumptions'!$M$66)</x:f>
        <x:v>86.5393459368653</x:v>
      </x:c>
      <x:c r="G1196" s="21" t="n">
        <x:f>H1068*'Assumptions'!$K$66</x:f>
        <x:v>173.4543886754112</x:v>
      </x:c>
      <x:c r="H1196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1196+G1196,NA())</x:f>
        <x:v>259.9937346122765</x:v>
      </x:c>
      <x:c r="I1196" s="22" t="n">
        <x:f>'Assumptions'!$H$66*IF('Assumptions'!$O$66=1,1,'Assumptions'!$D$10)*(1+'Assumptions'!$N$66)^(10-1)</x:f>
        <x:v>94.41231292116257</x:v>
      </x:c>
      <x:c r="J1196" s="10" t="n">
        <x:f>H1196*I1196</x:f>
        <x:v>24546.609829755944</x:v>
      </x:c>
      <x:c r="K1196" s="10" t="n">
        <x:f>J1196*'Assumptions'!$T$66</x:f>
        <x:v>24546.609829755944</x:v>
      </x:c>
      <x:c r="L1196" s="10" t="n">
        <x:f>K1196*'Assumptions'!$U$66</x:f>
        <x:v>736.3982948926783</x:v>
      </x:c>
      <x:c r="M1196" s="10" t="n">
        <x:f>K1196*'Assumptions'!$V$66</x:f>
        <x:v>0</x:v>
      </x:c>
      <x:c r="N1196" s="10" t="n">
        <x:f>K1196-L1196-M1196</x:f>
        <x:v>23810.211534863265</x:v>
      </x:c>
      <x:c r="O1196" s="10" t="n">
        <x:f>H1196*'Assumptions'!$P$66*'Assumptions'!$Q$66*'Assumptions'!$D$11*(1+'Assumptions'!$D$13)^(10-1)</x:f>
        <x:v>1780.9724776500077</x:v>
      </x:c>
      <x:c r="P1196" s="10" t="n">
        <x:f>H1196*'Assumptions'!$R$66*'Assumptions'!$D$11*(1+'Assumptions'!$D$13)^(10-1)</x:f>
        <x:v>0</x:v>
      </x:c>
      <x:c r="Q1196" s="10" t="n">
        <x:f>J1196*'Assumptions'!$S$66</x:f>
        <x:v>0</x:v>
      </x:c>
      <x:c r="R1196" s="10" t="n">
        <x:f>H1196*'Assumptions'!$Y$66*'Assumptions'!$Z$66*'Assumptions'!$D$11*(1+'Assumptions'!$D$13)^(10-1)</x:f>
        <x:v>1526.5478379857207</x:v>
      </x:c>
      <x:c r="S1196" s="10" t="n">
        <x:f>IF(I1196=0,0,J1196*'Assumptions'!$W$66+H1196*'Assumptions'!$X$66)</x:f>
        <x:v>789.8498054466054</x:v>
      </x:c>
      <x:c r="T1196" s="10" t="n">
        <x:f>N1196*'Assumptions'!$AA$66</x:f>
        <x:v>1190.5105767431633</x:v>
      </x:c>
      <x:c r="U1196" s="10" t="n">
        <x:f>'Assumptions'!$AE$66*'Assumptions'!$D$11*(1+'Assumptions'!$D$13)^(10-1)</x:f>
        <x:v>156.5727820595094</x:v>
      </x:c>
      <x:c r="V1196" s="10" t="n">
        <x:f>0</x:f>
        <x:v>0</x:v>
      </x:c>
      <x:c r="W1196" s="10" t="n">
        <x:f>H1196*('Assumptions'!$P$66+'Assumptions'!$Y$66)</x:f>
        <x:v>77.99812038368295</x:v>
      </x:c>
      <x:c r="X1196" s="10" t="n">
        <x:f>N1196/12*'Assumptions'!$AF$66</x:f>
        <x:v>0</x:v>
      </x:c>
      <x:c r="Y1196" s="10" t="n">
        <x:f>P1196/12</x:f>
        <x:v>0</x:v>
      </x:c>
      <x:c r="Z1196" s="10" t="n">
        <x:f>0</x:f>
        <x:v>0</x:v>
      </x:c>
      <x:c r="AA1196" s="10" t="n">
        <x:f>Z1196*'Assumptions'!$AC$66*'Assumptions'!$D$11*(1+'Assumptions'!$D$13)^(10-1)</x:f>
        <x:v>0</x:v>
      </x:c>
      <x:c r="AB1196" s="10" t="n">
        <x:f>F1196/12</x:f>
        <x:v>7.211612161405442</x:v>
      </x:c>
      <x:c r="AC1196" s="10" t="n">
        <x:f>AB1196/'Assumptions'!$AM$66</x:f>
        <x:v>144.2322432281088</x:v>
      </x:c>
      <x:c r="AD1196" s="10" t="n">
        <x:f>IF(AB1196=0,0,T1196/AB1196)</x:f>
        <x:v>165.082446212852</x:v>
      </x:c>
      <x:c r="AE1196" s="10" t="n">
        <x:f>AA1196*'Assumptions'!$D$21</x:f>
        <x:v>0</x:v>
      </x:c>
    </x:row>
    <x:row r="1197" ht="16" customHeight="1">
      <x:c r="A1197" s="1"/>
      <x:c r="B1197" s="1"/>
      <x:c r="C1197" s="1" t="str">
        <x:v>DOT-038</x:v>
      </x:c>
      <x:c r="D1197" s="10" t="str">
        <x:v>Maison Contour</x:v>
      </x:c>
      <x:c r="E1197" s="10" t="n">
        <x:v>10</x:v>
      </x:c>
      <x:c r="F1197" s="21" t="n">
        <x:f>F1069*(1+'Assumptions'!$M$67)</x:f>
        <x:v>16.972931721826306</x:v>
      </x:c>
      <x:c r="G1197" s="21" t="n">
        <x:f>H1069*'Assumptions'!$K$67</x:f>
        <x:v>15.945566482855003</x:v>
      </x:c>
      <x:c r="H1197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1197+G1197,NA())</x:f>
        <x:v>32.91849820468131</x:v>
      </x:c>
      <x:c r="I1197" s="22" t="n">
        <x:f>'Assumptions'!$H$67*IF('Assumptions'!$O$67=1,1,'Assumptions'!$D$10)*(1+'Assumptions'!$N$67)^(10-1)</x:f>
        <x:v>237.8234211558399</x:v>
      </x:c>
      <x:c r="J1197" s="10" t="n">
        <x:f>H1197*I1197</x:f>
        <x:v>7828.789862349683</x:v>
      </x:c>
      <x:c r="K1197" s="10" t="n">
        <x:f>J1197*'Assumptions'!$T$67</x:f>
        <x:v>7828.789862349683</x:v>
      </x:c>
      <x:c r="L1197" s="10" t="n">
        <x:f>K1197*'Assumptions'!$U$67</x:f>
        <x:v>234.8636958704905</x:v>
      </x:c>
      <x:c r="M1197" s="10" t="n">
        <x:f>K1197*'Assumptions'!$V$67</x:f>
        <x:v>0</x:v>
      </x:c>
      <x:c r="N1197" s="10" t="n">
        <x:f>K1197-L1197-M1197</x:f>
        <x:v>7593.926166479193</x:v>
      </x:c>
      <x:c r="O1197" s="10" t="n">
        <x:f>H1197*'Assumptions'!$P$67*'Assumptions'!$Q$67*'Assumptions'!$D$11*(1+'Assumptions'!$D$13)^(10-1)</x:f>
        <x:v>3436.093896751946</x:v>
      </x:c>
      <x:c r="P1197" s="10" t="n">
        <x:f>H1197*'Assumptions'!$R$67*'Assumptions'!$D$11*(1+'Assumptions'!$D$13)^(10-1)</x:f>
        <x:v>0</x:v>
      </x:c>
      <x:c r="Q1197" s="10" t="n">
        <x:f>J1197*'Assumptions'!$S$67</x:f>
        <x:v>0</x:v>
      </x:c>
      <x:c r="R1197" s="10" t="n">
        <x:f>H1197*'Assumptions'!$Y$67*'Assumptions'!$Z$67*'Assumptions'!$D$11*(1+'Assumptions'!$D$13)^(10-1)</x:f>
        <x:v>322.1338028204949</x:v>
      </x:c>
      <x:c r="S1197" s="10" t="n">
        <x:f>IF(I1197=0,0,J1197*'Assumptions'!$W$67+H1197*'Assumptions'!$X$67)</x:f>
        <x:v>236.9104554695452</x:v>
      </x:c>
      <x:c r="T1197" s="10" t="n">
        <x:f>N1197*'Assumptions'!$AA$67</x:f>
        <x:v>303.7570466591677</x:v>
      </x:c>
      <x:c r="U1197" s="10" t="n">
        <x:f>'Assumptions'!$AE$67*'Assumptions'!$D$11*(1+'Assumptions'!$D$13)^(10-1)</x:f>
        <x:v>0</x:v>
      </x:c>
      <x:c r="V1197" s="10" t="n">
        <x:f>0</x:f>
        <x:v>0</x:v>
      </x:c>
      <x:c r="W1197" s="10" t="n">
        <x:f>H1197*('Assumptions'!$P$67+'Assumptions'!$Y$67)</x:f>
        <x:v>74.06662096053296</x:v>
      </x:c>
      <x:c r="X1197" s="10" t="n">
        <x:f>N1197/12*'Assumptions'!$AF$67</x:f>
        <x:v>632.8271805399328</x:v>
      </x:c>
      <x:c r="Y1197" s="10" t="n">
        <x:f>P1197/12</x:f>
        <x:v>0</x:v>
      </x:c>
      <x:c r="Z1197" s="10" t="n">
        <x:f>0</x:f>
        <x:v>0</x:v>
      </x:c>
      <x:c r="AA1197" s="10" t="n">
        <x:f>Z1197*'Assumptions'!$AC$67*'Assumptions'!$D$11*(1+'Assumptions'!$D$13)^(10-1)</x:f>
        <x:v>0</x:v>
      </x:c>
      <x:c r="AB1197" s="10" t="n">
        <x:f>F1197/1</x:f>
        <x:v>16.972931721826306</x:v>
      </x:c>
      <x:c r="AC1197" s="10" t="n">
        <x:f>AB1197/'Assumptions'!$AM$67</x:f>
        <x:v>84.86465860913152</x:v>
      </x:c>
      <x:c r="AD1197" s="10" t="n">
        <x:f>IF(AB1197=0,0,T1197/AB1197)</x:f>
        <x:v>17.896557391352253</x:v>
      </x:c>
      <x:c r="AE1197" s="10" t="n">
        <x:f>AA1197*'Assumptions'!$D$21</x:f>
        <x:v>0</x:v>
      </x:c>
    </x:row>
    <x:row r="1198" ht="16" customHeight="1">
      <x:c r="A1198" s="1"/>
      <x:c r="B1198" s="1"/>
      <x:c r="C1198" s="1" t="str">
        <x:v>DOT-039</x:v>
      </x:c>
      <x:c r="D1198" s="10" t="str">
        <x:v>DishLoom US</x:v>
      </x:c>
      <x:c r="E1198" s="10" t="n">
        <x:v>10</x:v>
      </x:c>
      <x:c r="F1198" s="21" t="n">
        <x:f>F1070*(1+'Assumptions'!$M$68)</x:f>
        <x:v>86.5393459368653</x:v>
      </x:c>
      <x:c r="G1198" s="21" t="n">
        <x:f>H1070*'Assumptions'!$K$68</x:f>
        <x:v>173.4543886754112</x:v>
      </x:c>
      <x:c r="H1198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1198+G1198,NA())</x:f>
        <x:v>259.9937346122765</x:v>
      </x:c>
      <x:c r="I1198" s="22" t="n">
        <x:f>'Assumptions'!$H$68*IF('Assumptions'!$O$68=1,1,'Assumptions'!$D$10)*(1+'Assumptions'!$N$68)^(10-1)</x:f>
        <x:v>46.60861017627013</x:v>
      </x:c>
      <x:c r="J1198" s="10" t="n">
        <x:f>H1198*I1198</x:f>
        <x:v>12117.946624816228</x:v>
      </x:c>
      <x:c r="K1198" s="10" t="n">
        <x:f>J1198*'Assumptions'!$T$68</x:f>
        <x:v>12117.946624816228</x:v>
      </x:c>
      <x:c r="L1198" s="10" t="n">
        <x:f>K1198*'Assumptions'!$U$68</x:f>
        <x:v>363.5383987444868</x:v>
      </x:c>
      <x:c r="M1198" s="10" t="n">
        <x:f>K1198*'Assumptions'!$V$68</x:f>
        <x:v>0</x:v>
      </x:c>
      <x:c r="N1198" s="10" t="n">
        <x:f>K1198-L1198-M1198</x:f>
        <x:v>11754.40822607174</x:v>
      </x:c>
      <x:c r="O1198" s="10" t="n">
        <x:f>H1198*'Assumptions'!$P$68*'Assumptions'!$Q$68*'Assumptions'!$D$11*(1+'Assumptions'!$D$13)^(10-1)</x:f>
        <x:v>1780.9724776500077</x:v>
      </x:c>
      <x:c r="P1198" s="10" t="n">
        <x:f>H1198*'Assumptions'!$R$68*'Assumptions'!$D$11*(1+'Assumptions'!$D$13)^(10-1)</x:f>
        <x:v>0</x:v>
      </x:c>
      <x:c r="Q1198" s="10" t="n">
        <x:f>J1198*'Assumptions'!$S$68</x:f>
        <x:v>0</x:v>
      </x:c>
      <x:c r="R1198" s="10" t="n">
        <x:f>H1198*'Assumptions'!$Y$68*'Assumptions'!$Z$68*'Assumptions'!$D$11*(1+'Assumptions'!$D$13)^(10-1)</x:f>
        <x:v>1526.5478379857207</x:v>
      </x:c>
      <x:c r="S1198" s="10" t="n">
        <x:f>IF(I1198=0,0,J1198*'Assumptions'!$W$68+H1198*'Assumptions'!$X$68)</x:f>
        <x:v>429.4185725033536</x:v>
      </x:c>
      <x:c r="T1198" s="10" t="n">
        <x:f>N1198*'Assumptions'!$AA$68</x:f>
        <x:v>587.7204113035871</x:v>
      </x:c>
      <x:c r="U1198" s="10" t="n">
        <x:f>'Assumptions'!$AE$68*'Assumptions'!$D$11*(1+'Assumptions'!$D$13)^(10-1)</x:f>
        <x:v>156.5727820595094</x:v>
      </x:c>
      <x:c r="V1198" s="10" t="n">
        <x:f>0</x:f>
        <x:v>0</x:v>
      </x:c>
      <x:c r="W1198" s="10" t="n">
        <x:f>H1198*('Assumptions'!$P$68+'Assumptions'!$Y$68)</x:f>
        <x:v>77.99812038368295</x:v>
      </x:c>
      <x:c r="X1198" s="10" t="n">
        <x:f>N1198/12*'Assumptions'!$AF$68</x:f>
        <x:v>0</x:v>
      </x:c>
      <x:c r="Y1198" s="10" t="n">
        <x:f>P1198/12</x:f>
        <x:v>0</x:v>
      </x:c>
      <x:c r="Z1198" s="10" t="n">
        <x:f>0</x:f>
        <x:v>0</x:v>
      </x:c>
      <x:c r="AA1198" s="10" t="n">
        <x:f>Z1198*'Assumptions'!$AC$68*'Assumptions'!$D$11*(1+'Assumptions'!$D$13)^(10-1)</x:f>
        <x:v>0</x:v>
      </x:c>
      <x:c r="AB1198" s="10" t="n">
        <x:f>F1198/12</x:f>
        <x:v>7.211612161405442</x:v>
      </x:c>
      <x:c r="AC1198" s="10" t="n">
        <x:f>AB1198/'Assumptions'!$AM$68</x:f>
        <x:v>144.2322432281088</x:v>
      </x:c>
      <x:c r="AD1198" s="10" t="n">
        <x:f>IF(AB1198=0,0,T1198/AB1198)</x:f>
        <x:v>81.49639749748393</x:v>
      </x:c>
      <x:c r="AE1198" s="10" t="n">
        <x:f>AA1198*'Assumptions'!$D$21</x:f>
        <x:v>0</x:v>
      </x:c>
    </x:row>
    <x:row r="1199" ht="16" customHeight="1">
      <x:c r="A1199" s="1"/>
      <x:c r="B1199" s="1"/>
      <x:c r="C1199" s="1" t="str">
        <x:v>DOT-040</x:v>
      </x:c>
      <x:c r="D1199" s="10" t="str">
        <x:v>DishLoom US</x:v>
      </x:c>
      <x:c r="E1199" s="10" t="n">
        <x:v>10</x:v>
      </x:c>
      <x:c r="F1199" s="21" t="n">
        <x:f>F1071*(1+'Assumptions'!$M$69)</x:f>
        <x:v>173.0786918737306</x:v>
      </x:c>
      <x:c r="G1199" s="21" t="n">
        <x:f>H1071*'Assumptions'!$K$69</x:f>
        <x:v>346.9087773508224</x:v>
      </x:c>
      <x:c r="H1199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1199+G1199,NA())</x:f>
        <x:v>519.987469224553</x:v>
      </x:c>
      <x:c r="I1199" s="22" t="n">
        <x:f>'Assumptions'!$H$69*IF('Assumptions'!$O$69=1,1,'Assumptions'!$D$10)*(1+'Assumptions'!$N$69)^(10-1)</x:f>
        <x:v>10.7558331176008</x:v>
      </x:c>
      <x:c r="J1199" s="10" t="n">
        <x:f>H1199*I1199</x:f>
        <x:v>5592.898442222874</x:v>
      </x:c>
      <x:c r="K1199" s="10" t="n">
        <x:f>J1199*'Assumptions'!$T$69</x:f>
        <x:v>5592.898442222874</x:v>
      </x:c>
      <x:c r="L1199" s="10" t="n">
        <x:f>K1199*'Assumptions'!$U$69</x:f>
        <x:v>167.78695326668623</x:v>
      </x:c>
      <x:c r="M1199" s="10" t="n">
        <x:f>K1199*'Assumptions'!$V$69</x:f>
        <x:v>0</x:v>
      </x:c>
      <x:c r="N1199" s="10" t="n">
        <x:f>K1199-L1199-M1199</x:f>
        <x:v>5425.111488956188</x:v>
      </x:c>
      <x:c r="O1199" s="10" t="n">
        <x:f>H1199*'Assumptions'!$P$69*'Assumptions'!$Q$69*'Assumptions'!$D$11*(1+'Assumptions'!$D$13)^(10-1)</x:f>
        <x:v>1187.3149851000053</x:v>
      </x:c>
      <x:c r="P1199" s="10" t="n">
        <x:f>H1199*'Assumptions'!$R$69*'Assumptions'!$D$11*(1+'Assumptions'!$D$13)^(10-1)</x:f>
        <x:v>0</x:v>
      </x:c>
      <x:c r="Q1199" s="10" t="n">
        <x:f>J1199*'Assumptions'!$S$69</x:f>
        <x:v>0</x:v>
      </x:c>
      <x:c r="R1199" s="10" t="n">
        <x:f>H1199*'Assumptions'!$Y$69*'Assumptions'!$Z$69*'Assumptions'!$D$11*(1+'Assumptions'!$D$13)^(10-1)</x:f>
        <x:v>3053.0956759714413</x:v>
      </x:c>
      <x:c r="S1199" s="10" t="n">
        <x:f>IF(I1199=0,0,J1199*'Assumptions'!$W$69+H1199*'Assumptions'!$X$69)</x:f>
        <x:v>318.1902955918292</x:v>
      </x:c>
      <x:c r="T1199" s="10" t="n">
        <x:f>N1199*'Assumptions'!$AA$69</x:f>
        <x:v>271.2555744478094</x:v>
      </x:c>
      <x:c r="U1199" s="10" t="n">
        <x:f>'Assumptions'!$AE$69*'Assumptions'!$D$11*(1+'Assumptions'!$D$13)^(10-1)</x:f>
        <x:v>0</x:v>
      </x:c>
      <x:c r="V1199" s="10" t="n">
        <x:f>0</x:f>
        <x:v>0</x:v>
      </x:c>
      <x:c r="W1199" s="10" t="n">
        <x:f>H1199*('Assumptions'!$P$69+'Assumptions'!$Y$69)</x:f>
        <x:v>103.99749384491061</x:v>
      </x:c>
      <x:c r="X1199" s="10" t="n">
        <x:f>N1199/12*'Assumptions'!$AF$69</x:f>
        <x:v>0</x:v>
      </x:c>
      <x:c r="Y1199" s="10" t="n">
        <x:f>P1199/12</x:f>
        <x:v>0</x:v>
      </x:c>
      <x:c r="Z1199" s="10" t="n">
        <x:f>0</x:f>
        <x:v>0</x:v>
      </x:c>
      <x:c r="AA1199" s="10" t="n">
        <x:f>Z1199*'Assumptions'!$AC$69*'Assumptions'!$D$11*(1+'Assumptions'!$D$13)^(10-1)</x:f>
        <x:v>0</x:v>
      </x:c>
      <x:c r="AB1199" s="10" t="n">
        <x:f>F1199/1</x:f>
        <x:v>173.0786918737306</x:v>
      </x:c>
      <x:c r="AC1199" s="10" t="n">
        <x:f>AB1199/'Assumptions'!$AM$69</x:f>
        <x:v>3461.573837474612</x:v>
      </x:c>
      <x:c r="AD1199" s="10" t="n">
        <x:f>IF(AB1199=0,0,T1199/AB1199)</x:f>
        <x:v>1.5672384134131523</x:v>
      </x:c>
      <x:c r="AE1199" s="10" t="n">
        <x:f>AA1199*'Assumptions'!$D$21</x:f>
        <x:v>0</x:v>
      </x:c>
    </x:row>
    <x:row r="1200" ht="16" customHeight="1">
      <x:c r="A1200" s="1"/>
      <x:c r="B1200" s="1"/>
      <x:c r="C1200" s="1" t="str">
        <x:v>DOT-041</x:v>
      </x:c>
      <x:c r="D1200" s="10" t="str">
        <x:v>DishLoom US</x:v>
      </x:c>
      <x:c r="E1200" s="10" t="n">
        <x:v>10</x:v>
      </x:c>
      <x:c r="F1200" s="21" t="n">
        <x:f>F1072*(1+'Assumptions'!$M$70)</x:f>
        <x:v>216.34836484216325</x:v>
      </x:c>
      <x:c r="G1200" s="21" t="n">
        <x:f>H1072*'Assumptions'!$K$70</x:f>
        <x:v>433.635971688528</x:v>
      </x:c>
      <x:c r="H1200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1200+G1200,NA())</x:f>
        <x:v>649.9843365306913</x:v>
      </x:c>
      <x:c r="I1200" s="22" t="n">
        <x:f>'Assumptions'!$H$70*IF('Assumptions'!$O$70=1,1,'Assumptions'!$D$10)*(1+'Assumptions'!$N$70)^(10-1)</x:f>
        <x:v>119.50925686223111</x:v>
      </x:c>
      <x:c r="J1200" s="10" t="n">
        <x:f>H1200*I1200</x:f>
        <x:v>77679.14503087326</x:v>
      </x:c>
      <x:c r="K1200" s="10" t="n">
        <x:f>J1200*'Assumptions'!$T$70</x:f>
        <x:v>11651.871754630989</x:v>
      </x:c>
      <x:c r="L1200" s="10" t="n">
        <x:f>K1200*'Assumptions'!$U$70</x:f>
        <x:v>349.55615263892963</x:v>
      </x:c>
      <x:c r="M1200" s="10" t="n">
        <x:f>K1200*'Assumptions'!$V$70</x:f>
        <x:v>0</x:v>
      </x:c>
      <x:c r="N1200" s="10" t="n">
        <x:f>K1200-L1200-M1200</x:f>
        <x:v>11302.315601992059</x:v>
      </x:c>
      <x:c r="O1200" s="10" t="n">
        <x:f>H1200*'Assumptions'!$P$70*'Assumptions'!$Q$70*'Assumptions'!$D$11*(1+'Assumptions'!$D$13)^(10-1)</x:f>
        <x:v>2968.2874627500128</x:v>
      </x:c>
      <x:c r="P1200" s="10" t="n">
        <x:f>H1200*'Assumptions'!$R$70*'Assumptions'!$D$11*(1+'Assumptions'!$D$13)^(10-1)</x:f>
        <x:v>0</x:v>
      </x:c>
      <x:c r="Q1200" s="10" t="n">
        <x:f>J1200*'Assumptions'!$S$70</x:f>
        <x:v>0</x:v>
      </x:c>
      <x:c r="R1200" s="10" t="n">
        <x:f>H1200*'Assumptions'!$Y$70*'Assumptions'!$Z$70*'Assumptions'!$D$11*(1+'Assumptions'!$D$13)^(10-1)</x:f>
        <x:v>3816.3695949643025</x:v>
      </x:c>
      <x:c r="S1200" s="10" t="n">
        <x:f>IF(I1200=0,0,J1200*'Assumptions'!$W$70+H1200*'Assumptions'!$X$70)</x:f>
        <x:v>2447.690506854532</x:v>
      </x:c>
      <x:c r="T1200" s="10" t="n">
        <x:f>N1200*'Assumptions'!$AA$70</x:f>
        <x:v>565.115780099603</x:v>
      </x:c>
      <x:c r="U1200" s="10" t="n">
        <x:f>'Assumptions'!$AE$70*'Assumptions'!$D$11*(1+'Assumptions'!$D$13)^(10-1)</x:f>
        <x:v>0</x:v>
      </x:c>
      <x:c r="V1200" s="10" t="n">
        <x:f>0</x:f>
        <x:v>0</x:v>
      </x:c>
      <x:c r="W1200" s="10" t="n">
        <x:f>H1200*('Assumptions'!$P$70+'Assumptions'!$Y$70)</x:f>
        <x:v>162.49608413267282</x:v>
      </x:c>
      <x:c r="X1200" s="10" t="n">
        <x:f>N1200/12*'Assumptions'!$AF$70</x:f>
        <x:v>0</x:v>
      </x:c>
      <x:c r="Y1200" s="10" t="n">
        <x:f>P1200/12</x:f>
        <x:v>0</x:v>
      </x:c>
      <x:c r="Z1200" s="10" t="n">
        <x:f>0</x:f>
        <x:v>0</x:v>
      </x:c>
      <x:c r="AA1200" s="10" t="n">
        <x:f>Z1200*'Assumptions'!$AC$70*'Assumptions'!$D$11*(1+'Assumptions'!$D$13)^(10-1)</x:f>
        <x:v>0</x:v>
      </x:c>
      <x:c r="AB1200" s="10" t="n">
        <x:f>F1200/1</x:f>
        <x:v>216.34836484216325</x:v>
      </x:c>
      <x:c r="AC1200" s="10" t="n">
        <x:f>AB1200/'Assumptions'!$AM$70</x:f>
        <x:v>4326.967296843265</x:v>
      </x:c>
      <x:c r="AD1200" s="10" t="n">
        <x:f>IF(AB1200=0,0,T1200/AB1200)</x:f>
        <x:v>2.612064022355254</x:v>
      </x:c>
      <x:c r="AE1200" s="10" t="n">
        <x:f>AA1200*'Assumptions'!$D$21</x:f>
        <x:v>0</x:v>
      </x:c>
    </x:row>
    <x:row r="1201" ht="16" customHeight="1">
      <x:c r="A1201" s="1"/>
      <x:c r="B1201" s="1"/>
      <x:c r="C1201" s="1" t="str">
        <x:v>DOT-042</x:v>
      </x:c>
      <x:c r="D1201" s="10" t="str">
        <x:v>Is Makes Travel Easy</x:v>
      </x:c>
      <x:c r="E1201" s="10" t="n">
        <x:v>10</x:v>
      </x:c>
      <x:c r="F1201" s="21" t="n">
        <x:f>F1073*(1+'Assumptions'!$M$71)</x:f>
        <x:v>259.6180378105958</x:v>
      </x:c>
      <x:c r="G1201" s="21" t="n">
        <x:f>H1073*'Assumptions'!$K$71</x:f>
        <x:v>523.9949906562334</x:v>
      </x:c>
      <x:c r="H1201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1201+G1201,NA())</x:f>
        <x:v>783.6130284668293</x:v>
      </x:c>
      <x:c r="I1201" s="22" t="n">
        <x:f>'Assumptions'!$H$71*IF('Assumptions'!$O$71=1,1,'Assumptions'!$D$10)*(1+'Assumptions'!$N$71)^(10-1)</x:f>
        <x:v>34.65768449004702</x:v>
      </x:c>
      <x:c r="J1201" s="10" t="n">
        <x:f>H1201*I1201</x:f>
        <x:v>27158.213102893602</x:v>
      </x:c>
      <x:c r="K1201" s="10" t="n">
        <x:f>J1201*'Assumptions'!$T$71</x:f>
        <x:v>27158.213102893602</x:v>
      </x:c>
      <x:c r="L1201" s="10" t="n">
        <x:f>K1201*'Assumptions'!$U$71</x:f>
        <x:v>814.746393086808</x:v>
      </x:c>
      <x:c r="M1201" s="10" t="n">
        <x:f>K1201*'Assumptions'!$V$71</x:f>
        <x:v>0</x:v>
      </x:c>
      <x:c r="N1201" s="10" t="n">
        <x:f>K1201-L1201-M1201</x:f>
        <x:v>26343.466709806795</x:v>
      </x:c>
      <x:c r="O1201" s="10" t="n">
        <x:f>H1201*'Assumptions'!$P$71*'Assumptions'!$Q$71*'Assumptions'!$D$11*(1+'Assumptions'!$D$13)^(10-1)</x:f>
        <x:v>3578.5304311495956</x:v>
      </x:c>
      <x:c r="P1201" s="10" t="n">
        <x:f>H1201*'Assumptions'!$R$71*'Assumptions'!$D$11*(1+'Assumptions'!$D$13)^(10-1)</x:f>
        <x:v>0</x:v>
      </x:c>
      <x:c r="Q1201" s="10" t="n">
        <x:f>J1201*'Assumptions'!$S$71</x:f>
        <x:v>0</x:v>
      </x:c>
      <x:c r="R1201" s="10" t="n">
        <x:f>H1201*'Assumptions'!$Y$71*'Assumptions'!$Z$71*'Assumptions'!$D$11*(1+'Assumptions'!$D$13)^(10-1)</x:f>
        <x:v>4600.967697192336</x:v>
      </x:c>
      <x:c r="S1201" s="10" t="n">
        <x:f>IF(I1201=0,0,J1201*'Assumptions'!$W$71+H1201*'Assumptions'!$X$71)</x:f>
        <x:v>1022.6720885239633</x:v>
      </x:c>
      <x:c r="T1201" s="10" t="n">
        <x:f>N1201*'Assumptions'!$AA$71</x:f>
        <x:v>1317.17333549034</x:v>
      </x:c>
      <x:c r="U1201" s="10" t="n">
        <x:f>'Assumptions'!$AE$71*'Assumptions'!$D$11*(1+'Assumptions'!$D$13)^(10-1)</x:f>
        <x:v>313.1455641190188</x:v>
      </x:c>
      <x:c r="V1201" s="10" t="n">
        <x:f>0</x:f>
        <x:v>0</x:v>
      </x:c>
      <x:c r="W1201" s="10" t="n">
        <x:f>H1201*('Assumptions'!$P$71+'Assumptions'!$Y$71)</x:f>
        <x:v>195.90325711670732</x:v>
      </x:c>
      <x:c r="X1201" s="10" t="n">
        <x:f>N1201/12*'Assumptions'!$AF$71</x:f>
        <x:v>0</x:v>
      </x:c>
      <x:c r="Y1201" s="10" t="n">
        <x:f>P1201/12</x:f>
        <x:v>0</x:v>
      </x:c>
      <x:c r="Z1201" s="10" t="n">
        <x:f>0</x:f>
        <x:v>0</x:v>
      </x:c>
      <x:c r="AA1201" s="10" t="n">
        <x:f>Z1201*'Assumptions'!$AC$71*'Assumptions'!$D$11*(1+'Assumptions'!$D$13)^(10-1)</x:f>
        <x:v>0</x:v>
      </x:c>
      <x:c r="AB1201" s="10" t="n">
        <x:f>F1201/1</x:f>
        <x:v>259.6180378105958</x:v>
      </x:c>
      <x:c r="AC1201" s="10" t="n">
        <x:f>AB1201/'Assumptions'!$AM$71</x:f>
        <x:v>5192.360756211916</x:v>
      </x:c>
      <x:c r="AD1201" s="10" t="n">
        <x:f>IF(AB1201=0,0,T1201/AB1201)</x:f>
        <x:v>5.073504701746814</x:v>
      </x:c>
      <x:c r="AE1201" s="10" t="n">
        <x:f>AA1201*'Assumptions'!$D$21</x:f>
        <x:v>0</x:v>
      </x:c>
    </x:row>
    <x:row r="1202" ht="16" customHeight="1">
      <x:c r="A1202" s="1"/>
      <x:c r="B1202" s="1"/>
      <x:c r="C1202" s="1" t="str">
        <x:v>DOT-043</x:v>
      </x:c>
      <x:c r="D1202" s="10" t="str">
        <x:v>Is Makes Travel Easy</x:v>
      </x:c>
      <x:c r="E1202" s="10" t="n">
        <x:v>10</x:v>
      </x:c>
      <x:c r="F1202" s="21" t="n">
        <x:f>F1074*(1+'Assumptions'!$M$72)</x:f>
        <x:v>129.8090189052979</x:v>
      </x:c>
      <x:c r="G1202" s="21" t="n">
        <x:f>H1074*'Assumptions'!$K$72</x:f>
        <x:v>261.9974953281167</x:v>
      </x:c>
      <x:c r="H1202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1202+G1202,NA())</x:f>
        <x:v>391.80651423341465</x:v>
      </x:c>
      <x:c r="I1202" s="22" t="n">
        <x:f>'Assumptions'!$H$72*IF('Assumptions'!$O$72=1,1,'Assumptions'!$D$10)*(1+'Assumptions'!$N$72)^(10-1)</x:f>
        <x:v>22.70675880382391</x:v>
      </x:c>
      <x:c r="J1202" s="10" t="n">
        <x:f>H1202*I1202</x:f>
        <x:v>8896.656016465146</x:v>
      </x:c>
      <x:c r="K1202" s="10" t="n">
        <x:f>J1202*'Assumptions'!$T$72</x:f>
        <x:v>8896.656016465146</x:v>
      </x:c>
      <x:c r="L1202" s="10" t="n">
        <x:f>K1202*'Assumptions'!$U$72</x:f>
        <x:v>266.89968049395435</x:v>
      </x:c>
      <x:c r="M1202" s="10" t="n">
        <x:f>K1202*'Assumptions'!$V$72</x:f>
        <x:v>0</x:v>
      </x:c>
      <x:c r="N1202" s="10" t="n">
        <x:f>K1202-L1202-M1202</x:f>
        <x:v>8629.756335971191</x:v>
      </x:c>
      <x:c r="O1202" s="10" t="n">
        <x:f>H1202*'Assumptions'!$P$72*'Assumptions'!$Q$72*'Assumptions'!$D$11*(1+'Assumptions'!$D$13)^(10-1)</x:f>
        <x:v>1789.2652155747978</x:v>
      </x:c>
      <x:c r="P1202" s="10" t="n">
        <x:f>H1202*'Assumptions'!$R$72*'Assumptions'!$D$11*(1+'Assumptions'!$D$13)^(10-1)</x:f>
        <x:v>0</x:v>
      </x:c>
      <x:c r="Q1202" s="10" t="n">
        <x:f>J1202*'Assumptions'!$S$72</x:f>
        <x:v>0</x:v>
      </x:c>
      <x:c r="R1202" s="10" t="n">
        <x:f>H1202*'Assumptions'!$Y$72*'Assumptions'!$Z$72*'Assumptions'!$D$11*(1+'Assumptions'!$D$13)^(10-1)</x:f>
        <x:v>2300.483848596168</x:v>
      </x:c>
      <x:c r="S1202" s="10" t="n">
        <x:f>IF(I1202=0,0,J1202*'Assumptions'!$W$72+H1202*'Assumptions'!$X$72)</x:f>
        <x:v>375.54497874751365</x:v>
      </x:c>
      <x:c r="T1202" s="10" t="n">
        <x:f>N1202*'Assumptions'!$AA$72</x:f>
        <x:v>431.4878167985596</x:v>
      </x:c>
      <x:c r="U1202" s="10" t="n">
        <x:f>'Assumptions'!$AE$72*'Assumptions'!$D$11*(1+'Assumptions'!$D$13)^(10-1)</x:f>
        <x:v>0</x:v>
      </x:c>
      <x:c r="V1202" s="10" t="n">
        <x:f>0</x:f>
        <x:v>0</x:v>
      </x:c>
      <x:c r="W1202" s="10" t="n">
        <x:f>H1202*('Assumptions'!$P$72+'Assumptions'!$Y$72)</x:f>
        <x:v>97.95162855835366</x:v>
      </x:c>
      <x:c r="X1202" s="10" t="n">
        <x:f>N1202/12*'Assumptions'!$AF$72</x:f>
        <x:v>0</x:v>
      </x:c>
      <x:c r="Y1202" s="10" t="n">
        <x:f>P1202/12</x:f>
        <x:v>0</x:v>
      </x:c>
      <x:c r="Z1202" s="10" t="n">
        <x:f>0</x:f>
        <x:v>0</x:v>
      </x:c>
      <x:c r="AA1202" s="10" t="n">
        <x:f>Z1202*'Assumptions'!$AC$72*'Assumptions'!$D$11*(1+'Assumptions'!$D$13)^(10-1)</x:f>
        <x:v>0</x:v>
      </x:c>
      <x:c r="AB1202" s="10" t="n">
        <x:f>F1202/12</x:f>
        <x:v>10.81741824210816</x:v>
      </x:c>
      <x:c r="AC1202" s="10" t="n">
        <x:f>AB1202/'Assumptions'!$AM$72</x:f>
        <x:v>216.34836484216316</x:v>
      </x:c>
      <x:c r="AD1202" s="10" t="n">
        <x:f>IF(AB1202=0,0,T1202/AB1202)</x:f>
        <x:v>39.88824386200943</x:v>
      </x:c>
      <x:c r="AE1202" s="10" t="n">
        <x:f>AA1202*'Assumptions'!$D$21</x:f>
        <x:v>0</x:v>
      </x:c>
    </x:row>
    <x:row r="1203" ht="16" customHeight="1">
      <x:c r="A1203" s="1"/>
      <x:c r="B1203" s="1"/>
      <x:c r="C1203" s="1" t="str">
        <x:v>DOT-044</x:v>
      </x:c>
      <x:c r="D1203" s="10" t="str">
        <x:v>Is Makes Travel Easy</x:v>
      </x:c>
      <x:c r="E1203" s="10" t="n">
        <x:v>10</x:v>
      </x:c>
      <x:c r="F1203" s="21" t="n">
        <x:f>F1075*(1+'Assumptions'!$M$73)</x:f>
        <x:v>52.955546972098084</x:v>
      </x:c>
      <x:c r="G1203" s="21" t="n">
        <x:f>H1075*'Assumptions'!$K$73</x:f>
        <x:v>27.2442367442833</x:v>
      </x:c>
      <x:c r="H1203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1203+G1203,NA())</x:f>
        <x:v>80.19978371638138</x:v>
      </x:c>
      <x:c r="I1203" s="22" t="n">
        <x:f>'Assumptions'!$H$73*IF('Assumptions'!$O$73=1,1,'Assumptions'!$D$10)*(1+'Assumptions'!$N$73)^(10-1)</x:f>
        <x:v>58.55953586249324</x:v>
      </x:c>
      <x:c r="J1203" s="10" t="n">
        <x:f>H1203*I1203</x:f>
        <x:v>4696.462110703636</x:v>
      </x:c>
      <x:c r="K1203" s="10" t="n">
        <x:f>J1203*'Assumptions'!$T$73</x:f>
        <x:v>4696.462110703636</x:v>
      </x:c>
      <x:c r="L1203" s="10" t="n">
        <x:f>K1203*'Assumptions'!$U$73</x:f>
        <x:v>140.89386332110908</x:v>
      </x:c>
      <x:c r="M1203" s="10" t="n">
        <x:f>K1203*'Assumptions'!$V$73</x:f>
        <x:v>0</x:v>
      </x:c>
      <x:c r="N1203" s="10" t="n">
        <x:f>K1203-L1203-M1203</x:f>
        <x:v>4555.568247382527</x:v>
      </x:c>
      <x:c r="O1203" s="10" t="n">
        <x:f>H1203*'Assumptions'!$P$73*'Assumptions'!$Q$73*'Assumptions'!$D$11*(1+'Assumptions'!$D$13)^(10-1)</x:f>
        <x:v>915.6221124928479</x:v>
      </x:c>
      <x:c r="P1203" s="10" t="n">
        <x:f>H1203*'Assumptions'!$R$73*'Assumptions'!$D$11*(1+'Assumptions'!$D$13)^(10-1)</x:f>
        <x:v>0</x:v>
      </x:c>
      <x:c r="Q1203" s="10" t="n">
        <x:f>J1203*'Assumptions'!$S$73</x:f>
        <x:v>0</x:v>
      </x:c>
      <x:c r="R1203" s="10" t="n">
        <x:f>H1203*'Assumptions'!$Y$73*'Assumptions'!$Z$73*'Assumptions'!$D$11*(1+'Assumptions'!$D$13)^(10-1)</x:f>
        <x:v>1569.6379071305964</x:v>
      </x:c>
      <x:c r="S1203" s="10" t="n">
        <x:f>IF(I1203=0,0,J1203*'Assumptions'!$W$73+H1203*'Assumptions'!$X$73)</x:f>
        <x:v>160.2573363253199</x:v>
      </x:c>
      <x:c r="T1203" s="10" t="n">
        <x:f>N1203*'Assumptions'!$AA$73</x:f>
        <x:v>364.4454597906022</x:v>
      </x:c>
      <x:c r="U1203" s="10" t="n">
        <x:f>'Assumptions'!$AE$73*'Assumptions'!$D$11*(1+'Assumptions'!$D$13)^(10-1)</x:f>
        <x:v>0</x:v>
      </x:c>
      <x:c r="V1203" s="10" t="n">
        <x:f>0</x:f>
        <x:v>0</x:v>
      </x:c>
      <x:c r="W1203" s="10" t="n">
        <x:f>H1203*('Assumptions'!$P$73+'Assumptions'!$Y$73)</x:f>
        <x:v>60.14983778728603</x:v>
      </x:c>
      <x:c r="X1203" s="10" t="n">
        <x:f>N1203/12*'Assumptions'!$AF$73</x:f>
        <x:v>379.6306872818773</x:v>
      </x:c>
      <x:c r="Y1203" s="10" t="n">
        <x:f>P1203/12</x:f>
        <x:v>0</x:v>
      </x:c>
      <x:c r="Z1203" s="10" t="n">
        <x:f>0</x:f>
        <x:v>0</x:v>
      </x:c>
      <x:c r="AA1203" s="10" t="n">
        <x:f>Z1203*'Assumptions'!$AC$73*'Assumptions'!$D$11*(1+'Assumptions'!$D$13)^(10-1)</x:f>
        <x:v>0</x:v>
      </x:c>
      <x:c r="AB1203" s="10" t="n">
        <x:f>F1203/1</x:f>
        <x:v>52.955546972098084</x:v>
      </x:c>
      <x:c r="AC1203" s="10" t="n">
        <x:f>AB1203/'Assumptions'!$AM$73</x:f>
        <x:v>529.5554697209808</x:v>
      </x:c>
      <x:c r="AD1203" s="10" t="n">
        <x:f>IF(AB1203=0,0,T1203/AB1203)</x:f>
        <x:v>6.882101699046296</x:v>
      </x:c>
      <x:c r="AE1203" s="10" t="n">
        <x:f>AA1203*'Assumptions'!$D$21</x:f>
        <x:v>0</x:v>
      </x:c>
    </x:row>
    <x:row r="1204" ht="16" customHeight="1">
      <x:c r="A1204" s="1"/>
      <x:c r="B1204" s="1"/>
      <x:c r="C1204" s="1" t="str">
        <x:v>DOT-045</x:v>
      </x:c>
      <x:c r="D1204" s="10" t="str">
        <x:v>Is Makes Travel Easy</x:v>
      </x:c>
      <x:c r="E1204" s="10" t="n">
        <x:v>10</x:v>
      </x:c>
      <x:c r="F1204" s="21" t="n">
        <x:f>F1076*(1+'Assumptions'!$M$74)</x:f>
        <x:v>173.0786918737306</x:v>
      </x:c>
      <x:c r="G1204" s="21" t="n">
        <x:f>H1076*'Assumptions'!$K$74</x:f>
        <x:v>349.3299937708224</x:v>
      </x:c>
      <x:c r="H1204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1204+G1204,NA())</x:f>
        <x:v>522.408685644553</x:v>
      </x:c>
      <x:c r="I1204" s="22" t="n">
        <x:f>'Assumptions'!$H$74*IF('Assumptions'!$O$74=1,1,'Assumptions'!$D$10)*(1+'Assumptions'!$N$74)^(10-1)</x:f>
        <x:v>179.26388529334665</x:v>
      </x:c>
      <x:c r="J1204" s="10" t="n">
        <x:f>H1204*I1204</x:f>
        <x:v>93649.01069963313</x:v>
      </x:c>
      <x:c r="K1204" s="10" t="n">
        <x:f>J1204*'Assumptions'!$T$74</x:f>
        <x:v>9364.901069963313</x:v>
      </x:c>
      <x:c r="L1204" s="10" t="n">
        <x:f>K1204*'Assumptions'!$U$74</x:f>
        <x:v>280.94703209889934</x:v>
      </x:c>
      <x:c r="M1204" s="10" t="n">
        <x:f>K1204*'Assumptions'!$V$74</x:f>
        <x:v>0</x:v>
      </x:c>
      <x:c r="N1204" s="10" t="n">
        <x:f>K1204-L1204-M1204</x:f>
        <x:v>9083.954037864414</x:v>
      </x:c>
      <x:c r="O1204" s="10" t="n">
        <x:f>H1204*'Assumptions'!$P$74*'Assumptions'!$Q$74*'Assumptions'!$D$11*(1+'Assumptions'!$D$13)^(10-1)</x:f>
        <x:v>2385.686954099731</x:v>
      </x:c>
      <x:c r="P1204" s="10" t="n">
        <x:f>H1204*'Assumptions'!$R$74*'Assumptions'!$D$11*(1+'Assumptions'!$D$13)^(10-1)</x:f>
        <x:v>0</x:v>
      </x:c>
      <x:c r="Q1204" s="10" t="n">
        <x:f>J1204*'Assumptions'!$S$74</x:f>
        <x:v>0</x:v>
      </x:c>
      <x:c r="R1204" s="10" t="n">
        <x:f>H1204*'Assumptions'!$Y$74*'Assumptions'!$Z$74*'Assumptions'!$D$11*(1+'Assumptions'!$D$13)^(10-1)</x:f>
        <x:v>3067.3117981282253</x:v>
      </x:c>
      <x:c r="S1204" s="10" t="n">
        <x:f>IF(I1204=0,0,J1204*'Assumptions'!$W$74+H1204*'Assumptions'!$X$74)</x:f>
        <x:v>2872.543915982727</x:v>
      </x:c>
      <x:c r="T1204" s="10" t="n">
        <x:f>N1204*'Assumptions'!$AA$74</x:f>
        <x:v>454.1977018932207</x:v>
      </x:c>
      <x:c r="U1204" s="10" t="n">
        <x:f>'Assumptions'!$AE$74*'Assumptions'!$D$11*(1+'Assumptions'!$D$13)^(10-1)</x:f>
        <x:v>0</x:v>
      </x:c>
      <x:c r="V1204" s="10" t="n">
        <x:f>0</x:f>
        <x:v>0</x:v>
      </x:c>
      <x:c r="W1204" s="10" t="n">
        <x:f>H1204*('Assumptions'!$P$74+'Assumptions'!$Y$74)</x:f>
        <x:v>130.60217141113824</x:v>
      </x:c>
      <x:c r="X1204" s="10" t="n">
        <x:f>N1204/12*'Assumptions'!$AF$74</x:f>
        <x:v>0</x:v>
      </x:c>
      <x:c r="Y1204" s="10" t="n">
        <x:f>P1204/12</x:f>
        <x:v>0</x:v>
      </x:c>
      <x:c r="Z1204" s="10" t="n">
        <x:f>0</x:f>
        <x:v>0</x:v>
      </x:c>
      <x:c r="AA1204" s="10" t="n">
        <x:f>Z1204*'Assumptions'!$AC$74*'Assumptions'!$D$11*(1+'Assumptions'!$D$13)^(10-1)</x:f>
        <x:v>0</x:v>
      </x:c>
      <x:c r="AB1204" s="10" t="n">
        <x:f>F1204/1</x:f>
        <x:v>173.0786918737306</x:v>
      </x:c>
      <x:c r="AC1204" s="10" t="n">
        <x:f>AB1204/'Assumptions'!$AM$74</x:f>
        <x:v>3461.573837474612</x:v>
      </x:c>
      <x:c r="AD1204" s="10" t="n">
        <x:f>IF(AB1204=0,0,T1204/AB1204)</x:f>
        <x:v>2.624226569869041</x:v>
      </x:c>
      <x:c r="AE1204" s="10" t="n">
        <x:f>AA1204*'Assumptions'!$D$21</x:f>
        <x:v>0</x:v>
      </x:c>
    </x:row>
    <x:row r="1205" ht="16" customHeight="1">
      <x:c r="A1205" s="1"/>
      <x:c r="B1205" s="1"/>
      <x:c r="C1205" s="1" t="str">
        <x:v>DOT-046</x:v>
      </x:c>
      <x:c r="D1205" s="10" t="str">
        <x:v>Turbo Tax - Made Easy!</x:v>
      </x:c>
      <x:c r="E1205" s="10" t="n">
        <x:v>10</x:v>
      </x:c>
      <x:c r="F1205" s="21" t="n">
        <x:f>F1077*(1+'Assumptions'!$M$75)</x:f>
        <x:v>456.2049603180744</x:v>
      </x:c>
      <x:c r="G1205" s="21" t="n">
        <x:f>H1077*'Assumptions'!$K$75</x:f>
        <x:v>146.20297230160702</x:v>
      </x:c>
      <x:c r="H1205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1205+G1205,NA())</x:f>
        <x:v>602.4079326196814</x:v>
      </x:c>
      <x:c r="I1205" s="22" t="n">
        <x:f>'Assumptions'!$H$75*IF('Assumptions'!$O$75=1,1,'Assumptions'!$D$10)*(1+'Assumptions'!$N$75)^(10-1)</x:f>
        <x:v>149</x:v>
      </x:c>
      <x:c r="J1205" s="10" t="n">
        <x:f>H1205*I1205</x:f>
        <x:v>89758.78196033253</x:v>
      </x:c>
      <x:c r="K1205" s="10" t="n">
        <x:f>J1205*'Assumptions'!$T$75</x:f>
        <x:v>89758.78196033253</x:v>
      </x:c>
      <x:c r="L1205" s="10" t="n">
        <x:f>K1205*'Assumptions'!$U$75</x:f>
        <x:v>2692.763458809976</x:v>
      </x:c>
      <x:c r="M1205" s="10" t="n">
        <x:f>K1205*'Assumptions'!$V$75</x:f>
        <x:v>0</x:v>
      </x:c>
      <x:c r="N1205" s="10" t="n">
        <x:f>K1205-L1205-M1205</x:f>
        <x:v>87066.01850152256</x:v>
      </x:c>
      <x:c r="O1205" s="10" t="n">
        <x:f>H1205*'Assumptions'!$P$75*'Assumptions'!$Q$75*'Assumptions'!$D$11*(1+'Assumptions'!$D$13)^(10-1)</x:f>
        <x:v>4126.530010092919</x:v>
      </x:c>
      <x:c r="P1205" s="10" t="n">
        <x:f>H1205*'Assumptions'!$R$75*'Assumptions'!$D$11*(1+'Assumptions'!$D$13)^(10-1)</x:f>
        <x:v>0</x:v>
      </x:c>
      <x:c r="Q1205" s="10" t="n">
        <x:f>J1205*'Assumptions'!$S$75</x:f>
        <x:v>0</x:v>
      </x:c>
      <x:c r="R1205" s="10" t="n">
        <x:f>H1205*'Assumptions'!$Y$75*'Assumptions'!$Z$75*'Assumptions'!$D$11*(1+'Assumptions'!$D$13)^(10-1)</x:f>
        <x:v>2358.017148624525</x:v>
      </x:c>
      <x:c r="S1205" s="10" t="n">
        <x:f>IF(I1205=0,0,J1205*'Assumptions'!$W$75+H1205*'Assumptions'!$X$75)</x:f>
        <x:v>2783.7270566355483</x:v>
      </x:c>
      <x:c r="T1205" s="10" t="n">
        <x:f>N1205*'Assumptions'!$AA$75</x:f>
        <x:v>4353.300925076128</x:v>
      </x:c>
      <x:c r="U1205" s="10" t="n">
        <x:f>'Assumptions'!$AE$75*'Assumptions'!$D$11*(1+'Assumptions'!$D$13)^(10-1)</x:f>
        <x:v>0</x:v>
      </x:c>
      <x:c r="V1205" s="10" t="n">
        <x:f>0</x:f>
        <x:v>0</x:v>
      </x:c>
      <x:c r="W1205" s="10" t="n">
        <x:f>H1205*('Assumptions'!$P$75+'Assumptions'!$Y$75)</x:f>
        <x:v>150.60198315492036</x:v>
      </x:c>
      <x:c r="X1205" s="10" t="n">
        <x:f>N1205/12*'Assumptions'!$AF$75</x:f>
        <x:v>0</x:v>
      </x:c>
      <x:c r="Y1205" s="10" t="n">
        <x:f>P1205/12</x:f>
        <x:v>0</x:v>
      </x:c>
      <x:c r="Z1205" s="10" t="n">
        <x:f>0</x:f>
        <x:v>0</x:v>
      </x:c>
      <x:c r="AA1205" s="10" t="n">
        <x:f>Z1205*'Assumptions'!$AC$75*'Assumptions'!$D$11*(1+'Assumptions'!$D$13)^(10-1)</x:f>
        <x:v>0</x:v>
      </x:c>
      <x:c r="AB1205" s="10" t="n">
        <x:f>F1205/1</x:f>
        <x:v>456.2049603180744</x:v>
      </x:c>
      <x:c r="AC1205" s="10" t="n">
        <x:f>AB1205/'Assumptions'!$AM$75</x:f>
        <x:v>9124.099206361489</x:v>
      </x:c>
      <x:c r="AD1205" s="10" t="n">
        <x:f>IF(AB1205=0,0,T1205/AB1205)</x:f>
        <x:v>9.54242348009747</x:v>
      </x:c>
      <x:c r="AE1205" s="10" t="n">
        <x:f>AA1205*'Assumptions'!$D$21</x:f>
        <x:v>0</x:v>
      </x:c>
    </x:row>
    <x:row r="1206" ht="16" customHeight="1">
      <x:c r="A1206" s="1"/>
      <x:c r="B1206" s="1"/>
      <x:c r="C1206" s="1" t="str">
        <x:v>DOT-047</x:v>
      </x:c>
      <x:c r="D1206" s="10" t="str">
        <x:v>LavaLearning adult</x:v>
      </x:c>
      <x:c r="E1206" s="10" t="n">
        <x:v>10</x:v>
      </x:c>
      <x:c r="F1206" s="21" t="n">
        <x:f>F1078*(1+'Assumptions'!$M$76)</x:f>
        <x:v>304.13664021204966</x:v>
      </x:c>
      <x:c r="G1206" s="21" t="n">
        <x:f>H1078*'Assumptions'!$K$76</x:f>
        <x:v>97.46858462278358</x:v>
      </x:c>
      <x:c r="H1206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1206+G1206,NA())</x:f>
        <x:v>401.6052248348332</x:v>
      </x:c>
      <x:c r="I1206" s="22" t="n">
        <x:f>'Assumptions'!$H$76*IF('Assumptions'!$O$76=1,1,'Assumptions'!$D$10)*(1+'Assumptions'!$N$76)^(10-1)</x:f>
        <x:v>79</x:v>
      </x:c>
      <x:c r="J1206" s="10" t="n">
        <x:f>H1206*I1206</x:f>
        <x:v>31726.812761951824</x:v>
      </x:c>
      <x:c r="K1206" s="10" t="n">
        <x:f>J1206*'Assumptions'!$T$76</x:f>
        <x:v>31726.812761951824</x:v>
      </x:c>
      <x:c r="L1206" s="10" t="n">
        <x:f>K1206*'Assumptions'!$U$76</x:f>
        <x:v>951.8043828585546</x:v>
      </x:c>
      <x:c r="M1206" s="10" t="n">
        <x:f>K1206*'Assumptions'!$V$76</x:f>
        <x:v>0</x:v>
      </x:c>
      <x:c r="N1206" s="10" t="n">
        <x:f>K1206-L1206-M1206</x:f>
        <x:v>30775.00837909327</x:v>
      </x:c>
      <x:c r="O1206" s="10" t="n">
        <x:f>H1206*'Assumptions'!$P$76*'Assumptions'!$Q$76*'Assumptions'!$D$11*(1+'Assumptions'!$D$13)^(10-1)</x:f>
        <x:v>2751.0195712135765</x:v>
      </x:c>
      <x:c r="P1206" s="10" t="n">
        <x:f>H1206*'Assumptions'!$R$76*'Assumptions'!$D$11*(1+'Assumptions'!$D$13)^(10-1)</x:f>
        <x:v>0</x:v>
      </x:c>
      <x:c r="Q1206" s="10" t="n">
        <x:f>J1206*'Assumptions'!$S$76</x:f>
        <x:v>0</x:v>
      </x:c>
      <x:c r="R1206" s="10" t="n">
        <x:f>H1206*'Assumptions'!$Y$76*'Assumptions'!$Z$76*'Assumptions'!$D$11*(1+'Assumptions'!$D$13)^(10-1)</x:f>
        <x:v>1572.0111835506154</x:v>
      </x:c>
      <x:c r="S1206" s="10" t="n">
        <x:f>IF(I1206=0,0,J1206*'Assumptions'!$W$76+H1206*'Assumptions'!$X$76)</x:f>
        <x:v>1040.5591375470528</x:v>
      </x:c>
      <x:c r="T1206" s="10" t="n">
        <x:f>N1206*'Assumptions'!$AA$76</x:f>
        <x:v>1538.7504189546635</x:v>
      </x:c>
      <x:c r="U1206" s="10" t="n">
        <x:f>'Assumptions'!$AE$76*'Assumptions'!$D$11*(1+'Assumptions'!$D$13)^(10-1)</x:f>
        <x:v>0</x:v>
      </x:c>
      <x:c r="V1206" s="10" t="n">
        <x:f>0</x:f>
        <x:v>0</x:v>
      </x:c>
      <x:c r="W1206" s="10" t="n">
        <x:f>H1206*('Assumptions'!$P$76+'Assumptions'!$Y$76)</x:f>
        <x:v>100.4013062087083</x:v>
      </x:c>
      <x:c r="X1206" s="10" t="n">
        <x:f>N1206/12*'Assumptions'!$AF$76</x:f>
        <x:v>0</x:v>
      </x:c>
      <x:c r="Y1206" s="10" t="n">
        <x:f>P1206/12</x:f>
        <x:v>0</x:v>
      </x:c>
      <x:c r="Z1206" s="10" t="n">
        <x:f>0</x:f>
        <x:v>0</x:v>
      </x:c>
      <x:c r="AA1206" s="10" t="n">
        <x:f>Z1206*'Assumptions'!$AC$76*'Assumptions'!$D$11*(1+'Assumptions'!$D$13)^(10-1)</x:f>
        <x:v>0</x:v>
      </x:c>
      <x:c r="AB1206" s="10" t="n">
        <x:f>F1206/1</x:f>
        <x:v>304.13664021204966</x:v>
      </x:c>
      <x:c r="AC1206" s="10" t="n">
        <x:f>AB1206/'Assumptions'!$AM$76</x:f>
        <x:v>6082.732804240993</x:v>
      </x:c>
      <x:c r="AD1206" s="10" t="n">
        <x:f>IF(AB1206=0,0,T1206/AB1206)</x:f>
        <x:v>5.05940493681333</x:v>
      </x:c>
      <x:c r="AE1206" s="10" t="n">
        <x:f>AA1206*'Assumptions'!$D$21</x:f>
        <x:v>0</x:v>
      </x:c>
    </x:row>
    <x:row r="1207" ht="16" customHeight="1">
      <x:c r="A1207" s="1"/>
      <x:c r="B1207" s="1"/>
      <x:c r="C1207" s="1" t="str">
        <x:v>DOT-048</x:v>
      </x:c>
      <x:c r="D1207" s="10" t="str">
        <x:v>Turbo Tax - Made Easy!</x:v>
      </x:c>
      <x:c r="E1207" s="10" t="n">
        <x:v>10</x:v>
      </x:c>
      <x:c r="F1207" s="21" t="n">
        <x:f>F1079*(1+'Assumptions'!$M$77)</x:f>
        <x:v>912.4099206361489</x:v>
      </x:c>
      <x:c r="G1207" s="21" t="n">
        <x:f>H1079*'Assumptions'!$K$77</x:f>
        <x:v>292.40594460321404</x:v>
      </x:c>
      <x:c r="H1207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1207+G1207,NA())</x:f>
        <x:v>1204.815865239363</x:v>
      </x:c>
      <x:c r="I1207" s="22" t="n">
        <x:f>'Assumptions'!$H$77*IF('Assumptions'!$O$77=1,1,'Assumptions'!$D$10)*(1+'Assumptions'!$N$77)^(10-1)</x:f>
        <x:v>22.70675880382391</x:v>
      </x:c>
      <x:c r="J1207" s="10" t="n">
        <x:f>H1207*I1207</x:f>
        <x:v>27357.463255010625</x:v>
      </x:c>
      <x:c r="K1207" s="10" t="n">
        <x:f>J1207*'Assumptions'!$T$77</x:f>
        <x:v>27357.463255010625</x:v>
      </x:c>
      <x:c r="L1207" s="10" t="n">
        <x:f>K1207*'Assumptions'!$U$77</x:f>
        <x:v>820.7238976503187</x:v>
      </x:c>
      <x:c r="M1207" s="10" t="n">
        <x:f>K1207*'Assumptions'!$V$77</x:f>
        <x:v>0</x:v>
      </x:c>
      <x:c r="N1207" s="10" t="n">
        <x:f>K1207-L1207-M1207</x:f>
        <x:v>26536.739357360308</x:v>
      </x:c>
      <x:c r="O1207" s="10" t="n">
        <x:f>H1207*'Assumptions'!$P$77*'Assumptions'!$Q$77*'Assumptions'!$D$11*(1+'Assumptions'!$D$13)^(10-1)</x:f>
        <x:v>8253.060020185838</x:v>
      </x:c>
      <x:c r="P1207" s="10" t="n">
        <x:f>H1207*'Assumptions'!$R$77*'Assumptions'!$D$11*(1+'Assumptions'!$D$13)^(10-1)</x:f>
        <x:v>0</x:v>
      </x:c>
      <x:c r="Q1207" s="10" t="n">
        <x:f>J1207*'Assumptions'!$S$77</x:f>
        <x:v>0</x:v>
      </x:c>
      <x:c r="R1207" s="10" t="n">
        <x:f>H1207*'Assumptions'!$Y$77*'Assumptions'!$Z$77*'Assumptions'!$D$11*(1+'Assumptions'!$D$13)^(10-1)</x:f>
        <x:v>4716.03429724905</x:v>
      </x:c>
      <x:c r="S1207" s="10" t="n">
        <x:f>IF(I1207=0,0,J1207*'Assumptions'!$W$77+H1207*'Assumptions'!$X$77)</x:f>
        <x:v>1154.811193967117</x:v>
      </x:c>
      <x:c r="T1207" s="10" t="n">
        <x:f>N1207*'Assumptions'!$AA$77</x:f>
        <x:v>1326.8369678680156</x:v>
      </x:c>
      <x:c r="U1207" s="10" t="n">
        <x:f>'Assumptions'!$AE$77*'Assumptions'!$D$11*(1+'Assumptions'!$D$13)^(10-1)</x:f>
        <x:v>0</x:v>
      </x:c>
      <x:c r="V1207" s="10" t="n">
        <x:f>0</x:f>
        <x:v>0</x:v>
      </x:c>
      <x:c r="W1207" s="10" t="n">
        <x:f>H1207*('Assumptions'!$P$77+'Assumptions'!$Y$77)</x:f>
        <x:v>301.2039663098407</x:v>
      </x:c>
      <x:c r="X1207" s="10" t="n">
        <x:f>N1207/12*'Assumptions'!$AF$77</x:f>
        <x:v>0</x:v>
      </x:c>
      <x:c r="Y1207" s="10" t="n">
        <x:f>P1207/12</x:f>
        <x:v>0</x:v>
      </x:c>
      <x:c r="Z1207" s="10" t="n">
        <x:f>0</x:f>
        <x:v>0</x:v>
      </x:c>
      <x:c r="AA1207" s="10" t="n">
        <x:f>Z1207*'Assumptions'!$AC$77*'Assumptions'!$D$11*(1+'Assumptions'!$D$13)^(10-1)</x:f>
        <x:v>0</x:v>
      </x:c>
      <x:c r="AB1207" s="10" t="n">
        <x:f>F1207/1</x:f>
        <x:v>912.4099206361489</x:v>
      </x:c>
      <x:c r="AC1207" s="10" t="n">
        <x:f>AB1207/'Assumptions'!$AM$77</x:f>
        <x:v>18248.198412722977</x:v>
      </x:c>
      <x:c r="AD1207" s="10" t="n">
        <x:f>IF(AB1207=0,0,T1207/AB1207)</x:f>
        <x:v>1.4542114655471092</x:v>
      </x:c>
      <x:c r="AE1207" s="10" t="n">
        <x:f>AA1207*'Assumptions'!$D$21</x:f>
        <x:v>0</x:v>
      </x:c>
    </x:row>
    <x:row r="1208" ht="16" customHeight="1">
      <x:c r="A1208" s="1"/>
      <x:c r="B1208" s="1"/>
      <x:c r="C1208" s="1" t="str">
        <x:v>DOT-049</x:v>
      </x:c>
      <x:c r="D1208" s="10" t="str">
        <x:v>Turbo Tax - Made Easy!</x:v>
      </x:c>
      <x:c r="E1208" s="10" t="n">
        <x:v>10</x:v>
      </x:c>
      <x:c r="F1208" s="21" t="n">
        <x:f>F1080*(1+'Assumptions'!$M$78)</x:f>
        <x:v>304.13664021204966</x:v>
      </x:c>
      <x:c r="G1208" s="21" t="n">
        <x:f>H1080*'Assumptions'!$K$78</x:f>
        <x:v>97.4683938879203</x:v>
      </x:c>
      <x:c r="H1208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1208+G1208,NA())</x:f>
        <x:v>401.60503409996994</x:v>
      </x:c>
      <x:c r="I1208" s="22" t="n">
        <x:f>'Assumptions'!$H$78*IF('Assumptions'!$O$78=1,1,'Assumptions'!$D$10)*(1+'Assumptions'!$N$78)^(10-1)</x:f>
        <x:v>22.70675880382391</x:v>
      </x:c>
      <x:c r="J1208" s="10" t="n">
        <x:f>H1208*I1208</x:f>
        <x:v>9119.148643709494</x:v>
      </x:c>
      <x:c r="K1208" s="10" t="n">
        <x:f>J1208*'Assumptions'!$T$78</x:f>
        <x:v>9119.148643709494</x:v>
      </x:c>
      <x:c r="L1208" s="10" t="n">
        <x:f>K1208*'Assumptions'!$U$78</x:f>
        <x:v>273.5744593112848</x:v>
      </x:c>
      <x:c r="M1208" s="10" t="n">
        <x:f>K1208*'Assumptions'!$V$78</x:f>
        <x:v>0</x:v>
      </x:c>
      <x:c r="N1208" s="10" t="n">
        <x:f>K1208-L1208-M1208</x:f>
        <x:v>8845.574184398209</x:v>
      </x:c>
      <x:c r="O1208" s="10" t="n">
        <x:f>H1208*'Assumptions'!$P$78*'Assumptions'!$Q$78*'Assumptions'!$D$11*(1+'Assumptions'!$D$13)^(10-1)</x:f>
        <x:v>2751.0182646684684</x:v>
      </x:c>
      <x:c r="P1208" s="10" t="n">
        <x:f>H1208*'Assumptions'!$R$78*'Assumptions'!$D$11*(1+'Assumptions'!$D$13)^(10-1)</x:f>
        <x:v>0</x:v>
      </x:c>
      <x:c r="Q1208" s="10" t="n">
        <x:f>J1208*'Assumptions'!$S$78</x:f>
        <x:v>0</x:v>
      </x:c>
      <x:c r="R1208" s="10" t="n">
        <x:f>H1208*'Assumptions'!$Y$78*'Assumptions'!$Z$78*'Assumptions'!$D$11*(1+'Assumptions'!$D$13)^(10-1)</x:f>
        <x:v>1572.010436953411</x:v>
      </x:c>
      <x:c r="S1208" s="10" t="n">
        <x:f>IF(I1208=0,0,J1208*'Assumptions'!$W$78+H1208*'Assumptions'!$X$78)</x:f>
        <x:v>384.9368208975663</x:v>
      </x:c>
      <x:c r="T1208" s="10" t="n">
        <x:f>N1208*'Assumptions'!$AA$78</x:f>
        <x:v>442.27870921991047</x:v>
      </x:c>
      <x:c r="U1208" s="10" t="n">
        <x:f>'Assumptions'!$AE$78*'Assumptions'!$D$11*(1+'Assumptions'!$D$13)^(10-1)</x:f>
        <x:v>0</x:v>
      </x:c>
      <x:c r="V1208" s="10" t="n">
        <x:f>0</x:f>
        <x:v>0</x:v>
      </x:c>
      <x:c r="W1208" s="10" t="n">
        <x:f>H1208*('Assumptions'!$P$78+'Assumptions'!$Y$78)</x:f>
        <x:v>100.40125852499249</x:v>
      </x:c>
      <x:c r="X1208" s="10" t="n">
        <x:f>N1208/12*'Assumptions'!$AF$78</x:f>
        <x:v>0</x:v>
      </x:c>
      <x:c r="Y1208" s="10" t="n">
        <x:f>P1208/12</x:f>
        <x:v>0</x:v>
      </x:c>
      <x:c r="Z1208" s="10" t="n">
        <x:f>0</x:f>
        <x:v>0</x:v>
      </x:c>
      <x:c r="AA1208" s="10" t="n">
        <x:f>Z1208*'Assumptions'!$AC$78*'Assumptions'!$D$11*(1+'Assumptions'!$D$13)^(10-1)</x:f>
        <x:v>0</x:v>
      </x:c>
      <x:c r="AB1208" s="10" t="n">
        <x:f>F1208/1</x:f>
        <x:v>304.13664021204966</x:v>
      </x:c>
      <x:c r="AC1208" s="10" t="n">
        <x:f>AB1208/'Assumptions'!$AM$78</x:f>
        <x:v>6082.732804240993</x:v>
      </x:c>
      <x:c r="AD1208" s="10" t="n">
        <x:f>IF(AB1208=0,0,T1208/AB1208)</x:f>
        <x:v>1.4542105446800018</x:v>
      </x:c>
      <x:c r="AE1208" s="10" t="n">
        <x:f>AA1208*'Assumptions'!$D$21</x:f>
        <x:v>0</x:v>
      </x:c>
    </x:row>
    <x:row r="1209" ht="16" customHeight="1">
      <x:c r="A1209" s="1"/>
      <x:c r="B1209" s="1"/>
      <x:c r="C1209" s="1" t="str">
        <x:v>DOT-050</x:v>
      </x:c>
      <x:c r="D1209" s="10" t="str">
        <x:v>LavaLearning adult</x:v>
      </x:c>
      <x:c r="E1209" s="10" t="n">
        <x:v>10</x:v>
      </x:c>
      <x:c r="F1209" s="21" t="n">
        <x:f>F1081*(1+'Assumptions'!$M$79)</x:f>
        <x:v>912.4099206361489</x:v>
      </x:c>
      <x:c r="G1209" s="21" t="n">
        <x:f>H1081*'Assumptions'!$K$79</x:f>
        <x:v>292.40575386835076</x:v>
      </x:c>
      <x:c r="H1209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1209+G1209,NA())</x:f>
        <x:v>1204.8156745044996</x:v>
      </x:c>
      <x:c r="I1209" s="22" t="n">
        <x:f>'Assumptions'!$H$79*IF('Assumptions'!$O$79=1,1,'Assumptions'!$D$10)*(1+'Assumptions'!$N$79)^(10-1)</x:f>
        <x:v>22.70675880382391</x:v>
      </x:c>
      <x:c r="J1209" s="10" t="n">
        <x:f>H1209*I1209</x:f>
        <x:v>27357.45892404009</x:v>
      </x:c>
      <x:c r="K1209" s="10" t="n">
        <x:f>J1209*'Assumptions'!$T$79</x:f>
        <x:v>27357.45892404009</x:v>
      </x:c>
      <x:c r="L1209" s="10" t="n">
        <x:f>K1209*'Assumptions'!$U$79</x:f>
        <x:v>820.7237677212026</x:v>
      </x:c>
      <x:c r="M1209" s="10" t="n">
        <x:f>K1209*'Assumptions'!$V$79</x:f>
        <x:v>0</x:v>
      </x:c>
      <x:c r="N1209" s="10" t="n">
        <x:f>K1209-L1209-M1209</x:f>
        <x:v>26536.735156318886</x:v>
      </x:c>
      <x:c r="O1209" s="10" t="n">
        <x:f>H1209*'Assumptions'!$P$79*'Assumptions'!$Q$79*'Assumptions'!$D$11*(1+'Assumptions'!$D$13)^(10-1)</x:f>
        <x:v>8253.058713640728</x:v>
      </x:c>
      <x:c r="P1209" s="10" t="n">
        <x:f>H1209*'Assumptions'!$R$79*'Assumptions'!$D$11*(1+'Assumptions'!$D$13)^(10-1)</x:f>
        <x:v>0</x:v>
      </x:c>
      <x:c r="Q1209" s="10" t="n">
        <x:f>J1209*'Assumptions'!$S$79</x:f>
        <x:v>0</x:v>
      </x:c>
      <x:c r="R1209" s="10" t="n">
        <x:f>H1209*'Assumptions'!$Y$79*'Assumptions'!$Z$79*'Assumptions'!$D$11*(1+'Assumptions'!$D$13)^(10-1)</x:f>
        <x:v>4716.033550651846</x:v>
      </x:c>
      <x:c r="S1209" s="10" t="n">
        <x:f>IF(I1209=0,0,J1209*'Assumptions'!$W$79+H1209*'Assumptions'!$X$79)</x:f>
        <x:v>1154.8110111485125</x:v>
      </x:c>
      <x:c r="T1209" s="10" t="n">
        <x:f>N1209*'Assumptions'!$AA$79</x:f>
        <x:v>1326.8367578159443</x:v>
      </x:c>
      <x:c r="U1209" s="10" t="n">
        <x:f>'Assumptions'!$AE$79*'Assumptions'!$D$11*(1+'Assumptions'!$D$13)^(10-1)</x:f>
        <x:v>0</x:v>
      </x:c>
      <x:c r="V1209" s="10" t="n">
        <x:f>0</x:f>
        <x:v>0</x:v>
      </x:c>
      <x:c r="W1209" s="10" t="n">
        <x:f>H1209*('Assumptions'!$P$79+'Assumptions'!$Y$79)</x:f>
        <x:v>301.2039186261249</x:v>
      </x:c>
      <x:c r="X1209" s="10" t="n">
        <x:f>N1209/12*'Assumptions'!$AF$79</x:f>
        <x:v>0</x:v>
      </x:c>
      <x:c r="Y1209" s="10" t="n">
        <x:f>P1209/12</x:f>
        <x:v>0</x:v>
      </x:c>
      <x:c r="Z1209" s="10" t="n">
        <x:f>0</x:f>
        <x:v>0</x:v>
      </x:c>
      <x:c r="AA1209" s="10" t="n">
        <x:f>Z1209*'Assumptions'!$AC$79*'Assumptions'!$D$11*(1+'Assumptions'!$D$13)^(10-1)</x:f>
        <x:v>0</x:v>
      </x:c>
      <x:c r="AB1209" s="10" t="n">
        <x:f>F1209/1</x:f>
        <x:v>912.4099206361489</x:v>
      </x:c>
      <x:c r="AC1209" s="10" t="n">
        <x:f>AB1209/'Assumptions'!$AM$79</x:f>
        <x:v>18248.198412722977</x:v>
      </x:c>
      <x:c r="AD1209" s="10" t="n">
        <x:f>IF(AB1209=0,0,T1209/AB1209)</x:f>
        <x:v>1.4542112353303323</x:v>
      </x:c>
      <x:c r="AE1209" s="10" t="n">
        <x:f>AA1209*'Assumptions'!$D$21</x:f>
        <x:v>0</x:v>
      </x:c>
    </x:row>
    <x:row r="1210" ht="16" customHeight="1">
      <x:c r="A1210" s="1"/>
      <x:c r="B1210" s="1"/>
      <x:c r="C1210" s="1" t="str">
        <x:v>DOT-051</x:v>
      </x:c>
      <x:c r="D1210" s="10" t="str">
        <x:v>LavaLearning adult</x:v>
      </x:c>
      <x:c r="E1210" s="10" t="n">
        <x:v>10</x:v>
      </x:c>
      <x:c r="F1210" s="21" t="n">
        <x:f>F1082*(1+'Assumptions'!$M$80)</x:f>
        <x:v>182.48198412722977</x:v>
      </x:c>
      <x:c r="G1210" s="21" t="n">
        <x:f>H1082*'Assumptions'!$K$80</x:f>
        <x:v>58.48103633275217</x:v>
      </x:c>
      <x:c r="H1210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1210+G1210,NA())</x:f>
        <x:v>240.96302045998192</x:v>
      </x:c>
      <x:c r="I1210" s="22" t="n">
        <x:f>'Assumptions'!$H$80*IF('Assumptions'!$O$80=1,1,'Assumptions'!$D$10)*(1+'Assumptions'!$N$80)^(10-1)</x:f>
        <x:v>34.65768449004702</x:v>
      </x:c>
      <x:c r="J1210" s="10" t="n">
        <x:f>H1210*I1210</x:f>
        <x:v>8351.220336870798</x:v>
      </x:c>
      <x:c r="K1210" s="10" t="n">
        <x:f>J1210*'Assumptions'!$T$80</x:f>
        <x:v>8351.220336870798</x:v>
      </x:c>
      <x:c r="L1210" s="10" t="n">
        <x:f>K1210*'Assumptions'!$U$80</x:f>
        <x:v>250.53661010612393</x:v>
      </x:c>
      <x:c r="M1210" s="10" t="n">
        <x:f>K1210*'Assumptions'!$V$80</x:f>
        <x:v>0</x:v>
      </x:c>
      <x:c r="N1210" s="10" t="n">
        <x:f>K1210-L1210-M1210</x:f>
        <x:v>8100.683726764674</x:v>
      </x:c>
      <x:c r="O1210" s="10" t="n">
        <x:f>H1210*'Assumptions'!$P$80*'Assumptions'!$Q$80*'Assumptions'!$D$11*(1+'Assumptions'!$D$13)^(10-1)</x:f>
        <x:v>1650.6109588010809</x:v>
      </x:c>
      <x:c r="P1210" s="10" t="n">
        <x:f>H1210*'Assumptions'!$R$80*'Assumptions'!$D$11*(1+'Assumptions'!$D$13)^(10-1)</x:f>
        <x:v>0</x:v>
      </x:c>
      <x:c r="Q1210" s="10" t="n">
        <x:f>J1210*'Assumptions'!$S$80</x:f>
        <x:v>0</x:v>
      </x:c>
      <x:c r="R1210" s="10" t="n">
        <x:f>H1210*'Assumptions'!$Y$80*'Assumptions'!$Z$80*'Assumptions'!$D$11*(1+'Assumptions'!$D$13)^(10-1)</x:f>
        <x:v>943.2062621720463</x:v>
      </x:c>
      <x:c r="S1210" s="10" t="n">
        <x:f>IF(I1210=0,0,J1210*'Assumptions'!$W$80+H1210*'Assumptions'!$X$80)</x:f>
        <x:v>314.4742959072477</x:v>
      </x:c>
      <x:c r="T1210" s="10" t="n">
        <x:f>N1210*'Assumptions'!$AA$80</x:f>
        <x:v>405.0341863382337</x:v>
      </x:c>
      <x:c r="U1210" s="10" t="n">
        <x:f>'Assumptions'!$AE$80*'Assumptions'!$D$11*(1+'Assumptions'!$D$13)^(10-1)</x:f>
        <x:v>0</x:v>
      </x:c>
      <x:c r="V1210" s="10" t="n">
        <x:f>0</x:f>
        <x:v>0</x:v>
      </x:c>
      <x:c r="W1210" s="10" t="n">
        <x:f>H1210*('Assumptions'!$P$80+'Assumptions'!$Y$80)</x:f>
        <x:v>60.24075511499548</x:v>
      </x:c>
      <x:c r="X1210" s="10" t="n">
        <x:f>N1210/12*'Assumptions'!$AF$80</x:f>
        <x:v>0</x:v>
      </x:c>
      <x:c r="Y1210" s="10" t="n">
        <x:f>P1210/12</x:f>
        <x:v>0</x:v>
      </x:c>
      <x:c r="Z1210" s="10" t="n">
        <x:f>0</x:f>
        <x:v>0</x:v>
      </x:c>
      <x:c r="AA1210" s="10" t="n">
        <x:f>Z1210*'Assumptions'!$AC$80*'Assumptions'!$D$11*(1+'Assumptions'!$D$13)^(10-1)</x:f>
        <x:v>0</x:v>
      </x:c>
      <x:c r="AB1210" s="10" t="n">
        <x:f>F1210/1</x:f>
        <x:v>182.48198412722977</x:v>
      </x:c>
      <x:c r="AC1210" s="10" t="n">
        <x:f>AB1210/'Assumptions'!$AM$80</x:f>
        <x:v>3649.639682544595</x:v>
      </x:c>
      <x:c r="AD1210" s="10" t="n">
        <x:f>IF(AB1210=0,0,T1210/AB1210)</x:f>
        <x:v>2.2195845155642133</x:v>
      </x:c>
      <x:c r="AE1210" s="10" t="n">
        <x:f>AA1210*'Assumptions'!$D$21</x:f>
        <x:v>0</x:v>
      </x:c>
    </x:row>
    <x:row r="1211" ht="16" customHeight="1">
      <x:c r="A1211" s="1"/>
      <x:c r="B1211" s="1"/>
      <x:c r="C1211" s="1" t="str">
        <x:v>DOT-052</x:v>
      </x:c>
      <x:c r="D1211" s="10" t="str">
        <x:v>LavaLearning Model Life</x:v>
      </x:c>
      <x:c r="E1211" s="10" t="n">
        <x:v>10</x:v>
      </x:c>
      <x:c r="F1211" s="21" t="n">
        <x:f>F1083*(1+'Assumptions'!$M$81)</x:f>
        <x:v>0</x:v>
      </x:c>
      <x:c r="G1211" s="21" t="n">
        <x:f>H1083*'Assumptions'!$K$81</x:f>
        <x:v>0</x:v>
      </x:c>
      <x:c r="H1211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1211+G1211,NA())</x:f>
        <x:v>0</x:v>
      </x:c>
      <x:c r="I1211" s="22" t="n">
        <x:f>'Assumptions'!$H$81*IF('Assumptions'!$O$81=1,1,'Assumptions'!$D$10)*(1+'Assumptions'!$N$81)^(10-1)</x:f>
        <x:v>0</x:v>
      </x:c>
      <x:c r="J1211" s="10" t="n">
        <x:f>H1211*I1211</x:f>
        <x:v>0</x:v>
      </x:c>
      <x:c r="K1211" s="10" t="n">
        <x:f>J1211*'Assumptions'!$T$81</x:f>
        <x:v>0</x:v>
      </x:c>
      <x:c r="L1211" s="10" t="n">
        <x:f>K1211*'Assumptions'!$U$81</x:f>
        <x:v>0</x:v>
      </x:c>
      <x:c r="M1211" s="10" t="n">
        <x:f>K1211*'Assumptions'!$V$81</x:f>
        <x:v>0</x:v>
      </x:c>
      <x:c r="N1211" s="10" t="n">
        <x:f>K1211-L1211-M1211</x:f>
        <x:v>0</x:v>
      </x:c>
      <x:c r="O1211" s="10" t="n">
        <x:f>H1211*'Assumptions'!$P$81*'Assumptions'!$Q$81*'Assumptions'!$D$11*(1+'Assumptions'!$D$13)^(10-1)</x:f>
        <x:v>0</x:v>
      </x:c>
      <x:c r="P1211" s="10" t="n">
        <x:f>H1211*'Assumptions'!$R$81*'Assumptions'!$D$11*(1+'Assumptions'!$D$13)^(10-1)</x:f>
        <x:v>0</x:v>
      </x:c>
      <x:c r="Q1211" s="10" t="n">
        <x:f>J1211*'Assumptions'!$S$81</x:f>
        <x:v>0</x:v>
      </x:c>
      <x:c r="R1211" s="10" t="n">
        <x:f>H1211*'Assumptions'!$Y$81*'Assumptions'!$Z$81*'Assumptions'!$D$11*(1+'Assumptions'!$D$13)^(10-1)</x:f>
        <x:v>0</x:v>
      </x:c>
      <x:c r="S1211" s="10" t="n">
        <x:f>IF(I1211=0,0,J1211*'Assumptions'!$W$81+H1211*'Assumptions'!$X$81)</x:f>
        <x:v>0</x:v>
      </x:c>
      <x:c r="T1211" s="10" t="n">
        <x:f>N1211*'Assumptions'!$AA$81</x:f>
        <x:v>0</x:v>
      </x:c>
      <x:c r="U1211" s="10" t="n">
        <x:f>'Assumptions'!$AE$81*'Assumptions'!$D$11*(1+'Assumptions'!$D$13)^(10-1)</x:f>
        <x:v>0</x:v>
      </x:c>
      <x:c r="V1211" s="10" t="n">
        <x:f>0</x:f>
        <x:v>0</x:v>
      </x:c>
      <x:c r="W1211" s="10" t="n">
        <x:f>H1211*('Assumptions'!$P$81+'Assumptions'!$Y$81)</x:f>
        <x:v>0</x:v>
      </x:c>
      <x:c r="X1211" s="10" t="n">
        <x:f>N1211/12*'Assumptions'!$AF$81</x:f>
        <x:v>0</x:v>
      </x:c>
      <x:c r="Y1211" s="10" t="n">
        <x:f>P1211/12</x:f>
        <x:v>0</x:v>
      </x:c>
      <x:c r="Z1211" s="10" t="n">
        <x:f>0</x:f>
        <x:v>0</x:v>
      </x:c>
      <x:c r="AA1211" s="10" t="n">
        <x:f>Z1211*'Assumptions'!$AC$81*'Assumptions'!$D$11*(1+'Assumptions'!$D$13)^(10-1)</x:f>
        <x:v>0</x:v>
      </x:c>
      <x:c r="AB1211" s="10" t="n">
        <x:f>F1211/1</x:f>
        <x:v>0</x:v>
      </x:c>
      <x:c r="AC1211" s="10" t="n">
        <x:f>AB1211/'Assumptions'!$AM$81</x:f>
        <x:v>0</x:v>
      </x:c>
      <x:c r="AD1211" s="10" t="n">
        <x:f>IF(AB1211=0,0,T1211/AB1211)</x:f>
        <x:v>0</x:v>
      </x:c>
      <x:c r="AE1211" s="10" t="n">
        <x:f>AA1211*'Assumptions'!$D$21</x:f>
        <x:v>0</x:v>
      </x:c>
    </x:row>
    <x:row r="1212" ht="16" customHeight="1">
      <x:c r="A1212" s="1"/>
      <x:c r="B1212" s="1"/>
      <x:c r="C1212" s="1" t="str">
        <x:v>DOT-053</x:v>
      </x:c>
      <x:c r="D1212" s="10" t="str">
        <x:v>LavaLearning Kids</x:v>
      </x:c>
      <x:c r="E1212" s="10" t="n">
        <x:v>10</x:v>
      </x:c>
      <x:c r="F1212" s="21" t="n">
        <x:f>F1084*(1+'Assumptions'!$M$82)</x:f>
        <x:v>912.4099206361489</x:v>
      </x:c>
      <x:c r="G1212" s="21" t="n">
        <x:f>H1084*'Assumptions'!$K$82</x:f>
        <x:v>292.4051816637609</x:v>
      </x:c>
      <x:c r="H1212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1212+G1212,NA())</x:f>
        <x:v>1204.8151022999098</x:v>
      </x:c>
      <x:c r="I1212" s="22" t="n">
        <x:f>'Assumptions'!$H$82*IF('Assumptions'!$O$82=1,1,'Assumptions'!$D$10)*(1+'Assumptions'!$N$82)^(10-1)</x:f>
        <x:v>22.70675880382391</x:v>
      </x:c>
      <x:c r="J1212" s="10" t="n">
        <x:f>H1212*I1212</x:f>
        <x:v>27357.44593112848</x:v>
      </x:c>
      <x:c r="K1212" s="10" t="n">
        <x:f>J1212*'Assumptions'!$T$82</x:f>
        <x:v>27357.44593112848</x:v>
      </x:c>
      <x:c r="L1212" s="10" t="n">
        <x:f>K1212*'Assumptions'!$U$82</x:f>
        <x:v>820.7233779338544</x:v>
      </x:c>
      <x:c r="M1212" s="10" t="n">
        <x:f>K1212*'Assumptions'!$V$82</x:f>
        <x:v>0</x:v>
      </x:c>
      <x:c r="N1212" s="10" t="n">
        <x:f>K1212-L1212-M1212</x:f>
        <x:v>26536.722553194628</x:v>
      </x:c>
      <x:c r="O1212" s="10" t="n">
        <x:f>H1212*'Assumptions'!$P$82*'Assumptions'!$Q$82*'Assumptions'!$D$11*(1+'Assumptions'!$D$13)^(10-1)</x:f>
        <x:v>8253.054794005406</x:v>
      </x:c>
      <x:c r="P1212" s="10" t="n">
        <x:f>H1212*'Assumptions'!$R$82*'Assumptions'!$D$11*(1+'Assumptions'!$D$13)^(10-1)</x:f>
        <x:v>0</x:v>
      </x:c>
      <x:c r="Q1212" s="10" t="n">
        <x:f>J1212*'Assumptions'!$S$82</x:f>
        <x:v>0</x:v>
      </x:c>
      <x:c r="R1212" s="10" t="n">
        <x:f>H1212*'Assumptions'!$Y$82*'Assumptions'!$Z$82*'Assumptions'!$D$11*(1+'Assumptions'!$D$13)^(10-1)</x:f>
        <x:v>4716.031310860232</x:v>
      </x:c>
      <x:c r="S1212" s="10" t="n">
        <x:f>IF(I1212=0,0,J1212*'Assumptions'!$W$82+H1212*'Assumptions'!$X$82)</x:f>
        <x:v>1154.8104626926988</x:v>
      </x:c>
      <x:c r="T1212" s="10" t="n">
        <x:f>N1212*'Assumptions'!$AA$82</x:f>
        <x:v>1326.8361276597316</x:v>
      </x:c>
      <x:c r="U1212" s="10" t="n">
        <x:f>'Assumptions'!$AE$82*'Assumptions'!$D$11*(1+'Assumptions'!$D$13)^(10-1)</x:f>
        <x:v>313.1455641190188</x:v>
      </x:c>
      <x:c r="V1212" s="10" t="n">
        <x:f>0</x:f>
        <x:v>0</x:v>
      </x:c>
      <x:c r="W1212" s="10" t="n">
        <x:f>H1212*('Assumptions'!$P$82+'Assumptions'!$Y$82)</x:f>
        <x:v>301.20377557497744</x:v>
      </x:c>
      <x:c r="X1212" s="10" t="n">
        <x:f>N1212/12*'Assumptions'!$AF$82</x:f>
        <x:v>0</x:v>
      </x:c>
      <x:c r="Y1212" s="10" t="n">
        <x:f>P1212/12</x:f>
        <x:v>0</x:v>
      </x:c>
      <x:c r="Z1212" s="10" t="n">
        <x:f>0</x:f>
        <x:v>0</x:v>
      </x:c>
      <x:c r="AA1212" s="10" t="n">
        <x:f>Z1212*'Assumptions'!$AC$82*'Assumptions'!$D$11*(1+'Assumptions'!$D$13)^(10-1)</x:f>
        <x:v>0</x:v>
      </x:c>
      <x:c r="AB1212" s="10" t="n">
        <x:f>F1212/1</x:f>
        <x:v>912.4099206361489</x:v>
      </x:c>
      <x:c r="AC1212" s="10" t="n">
        <x:f>AB1212/'Assumptions'!$AM$82</x:f>
        <x:v>18248.198412722977</x:v>
      </x:c>
      <x:c r="AD1212" s="10" t="n">
        <x:f>IF(AB1212=0,0,T1212/AB1212)</x:f>
        <x:v>1.4542105446800022</x:v>
      </x:c>
      <x:c r="AE1212" s="10" t="n">
        <x:f>AA1212*'Assumptions'!$D$21</x:f>
        <x:v>0</x:v>
      </x:c>
    </x:row>
    <x:row r="1213" ht="16" customHeight="1">
      <x:c r="A1213" s="1"/>
      <x:c r="B1213" s="1"/>
      <x:c r="C1213" s="1" t="str">
        <x:v>DOT-054</x:v>
      </x:c>
      <x:c r="D1213" s="10" t="str">
        <x:v>VraiSkill adult</x:v>
      </x:c>
      <x:c r="E1213" s="10" t="n">
        <x:v>10</x:v>
      </x:c>
      <x:c r="F1213" s="21" t="n">
        <x:f>F1085*(1+'Assumptions'!$M$83)</x:f>
        <x:v>1824.8198412722977</x:v>
      </x:c>
      <x:c r="G1213" s="21" t="n">
        <x:f>H1085*'Assumptions'!$K$83</x:f>
        <x:v>584.8115077367015</x:v>
      </x:c>
      <x:c r="H1213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1213+G1213,NA())</x:f>
        <x:v>2409.631349008999</x:v>
      </x:c>
      <x:c r="I1213" s="22" t="n">
        <x:f>'Assumptions'!$H$83*IF('Assumptions'!$O$83=1,1,'Assumptions'!$D$10)*(1+'Assumptions'!$N$83)^(10-1)</x:f>
        <x:v>11.938974760536889</x:v>
      </x:c>
      <x:c r="J1213" s="10" t="n">
        <x:f>H1213*I1213</x:f>
        <x:v>28768.527858016896</x:v>
      </x:c>
      <x:c r="K1213" s="10" t="n">
        <x:f>J1213*'Assumptions'!$T$83</x:f>
        <x:v>28768.527858016896</x:v>
      </x:c>
      <x:c r="L1213" s="10" t="n">
        <x:f>K1213*'Assumptions'!$U$83</x:f>
        <x:v>863.0558357405068</x:v>
      </x:c>
      <x:c r="M1213" s="10" t="n">
        <x:f>K1213*'Assumptions'!$V$83</x:f>
        <x:v>0</x:v>
      </x:c>
      <x:c r="N1213" s="10" t="n">
        <x:f>K1213-L1213-M1213</x:f>
        <x:v>27905.47202227639</x:v>
      </x:c>
      <x:c r="O1213" s="10" t="n">
        <x:f>H1213*'Assumptions'!$P$83*'Assumptions'!$Q$83*'Assumptions'!$D$11*(1+'Assumptions'!$D$13)^(10-1)</x:f>
        <x:v>16506.117427281457</x:v>
      </x:c>
      <x:c r="P1213" s="10" t="n">
        <x:f>H1213*'Assumptions'!$R$83*'Assumptions'!$D$11*(1+'Assumptions'!$D$13)^(10-1)</x:f>
        <x:v>0</x:v>
      </x:c>
      <x:c r="Q1213" s="10" t="n">
        <x:f>J1213*'Assumptions'!$S$83</x:f>
        <x:v>0</x:v>
      </x:c>
      <x:c r="R1213" s="10" t="n">
        <x:f>H1213*'Assumptions'!$Y$83*'Assumptions'!$Z$83*'Assumptions'!$D$11*(1+'Assumptions'!$D$13)^(10-1)</x:f>
        <x:v>9432.067101303692</x:v>
      </x:c>
      <x:c r="S1213" s="10" t="n">
        <x:f>IF(I1213=0,0,J1213*'Assumptions'!$W$83+H1213*'Assumptions'!$X$83)</x:f>
        <x:v>1557.1767125851898</x:v>
      </x:c>
      <x:c r="T1213" s="10" t="n">
        <x:f>N1213*'Assumptions'!$AA$83</x:f>
        <x:v>1395.2736011138195</x:v>
      </x:c>
      <x:c r="U1213" s="10" t="n">
        <x:f>'Assumptions'!$AE$83*'Assumptions'!$D$11*(1+'Assumptions'!$D$13)^(10-1)</x:f>
        <x:v>313.1455641190188</x:v>
      </x:c>
      <x:c r="V1213" s="10" t="n">
        <x:f>0</x:f>
        <x:v>0</x:v>
      </x:c>
      <x:c r="W1213" s="10" t="n">
        <x:f>H1213*('Assumptions'!$P$83+'Assumptions'!$Y$83)</x:f>
        <x:v>602.4078372522498</x:v>
      </x:c>
      <x:c r="X1213" s="10" t="n">
        <x:f>N1213/12*'Assumptions'!$AF$83</x:f>
        <x:v>0</x:v>
      </x:c>
      <x:c r="Y1213" s="10" t="n">
        <x:f>P1213/12</x:f>
        <x:v>0</x:v>
      </x:c>
      <x:c r="Z1213" s="10" t="n">
        <x:f>0</x:f>
        <x:v>0</x:v>
      </x:c>
      <x:c r="AA1213" s="10" t="n">
        <x:f>Z1213*'Assumptions'!$AC$83*'Assumptions'!$D$11*(1+'Assumptions'!$D$13)^(10-1)</x:f>
        <x:v>0</x:v>
      </x:c>
      <x:c r="AB1213" s="10" t="n">
        <x:f>F1213/1</x:f>
        <x:v>1824.8198412722977</x:v>
      </x:c>
      <x:c r="AC1213" s="10" t="n">
        <x:f>AB1213/'Assumptions'!$AM$83</x:f>
        <x:v>36496.396825445954</x:v>
      </x:c>
      <x:c r="AD1213" s="10" t="n">
        <x:f>IF(AB1213=0,0,T1213/AB1213)</x:f>
        <x:v>0.764608960050001</x:v>
      </x:c>
      <x:c r="AE1213" s="10" t="n">
        <x:f>AA1213*'Assumptions'!$D$21</x:f>
        <x:v>0</x:v>
      </x:c>
    </x:row>
    <x:row r="1214" ht="16" customHeight="1">
      <x:c r="A1214" s="1"/>
      <x:c r="B1214" s="1"/>
      <x:c r="C1214" s="1" t="str">
        <x:v>DOT-055</x:v>
      </x:c>
      <x:c r="D1214" s="10" t="str">
        <x:v>VraiSkill adult</x:v>
      </x:c>
      <x:c r="E1214" s="10" t="n">
        <x:v>10</x:v>
      </x:c>
      <x:c r="F1214" s="21" t="n">
        <x:f>F1086*(1+'Assumptions'!$M$84)</x:f>
        <x:v>608.2732804240993</x:v>
      </x:c>
      <x:c r="G1214" s="21" t="n">
        <x:f>H1086*'Assumptions'!$K$84</x:f>
        <x:v>194.93716924556716</x:v>
      </x:c>
      <x:c r="H1214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1214+G1214,NA())</x:f>
        <x:v>803.2104496696664</x:v>
      </x:c>
      <x:c r="I1214" s="22" t="n">
        <x:f>'Assumptions'!$H$84*IF('Assumptions'!$O$84=1,1,'Assumptions'!$D$10)*(1+'Assumptions'!$N$84)^(10-1)</x:f>
        <x:v>28.682221646935467</x:v>
      </x:c>
      <x:c r="J1214" s="10" t="n">
        <x:f>H1214*I1214</x:f>
        <x:v>23037.860146560077</x:v>
      </x:c>
      <x:c r="K1214" s="10" t="n">
        <x:f>J1214*'Assumptions'!$T$84</x:f>
        <x:v>23037.860146560077</x:v>
      </x:c>
      <x:c r="L1214" s="10" t="n">
        <x:f>K1214*'Assumptions'!$U$84</x:f>
        <x:v>691.1358043968023</x:v>
      </x:c>
      <x:c r="M1214" s="10" t="n">
        <x:f>K1214*'Assumptions'!$V$84</x:f>
        <x:v>0</x:v>
      </x:c>
      <x:c r="N1214" s="10" t="n">
        <x:f>K1214-L1214-M1214</x:f>
        <x:v>22346.724342163274</x:v>
      </x:c>
      <x:c r="O1214" s="10" t="n">
        <x:f>H1214*'Assumptions'!$P$84*'Assumptions'!$Q$84*'Assumptions'!$D$11*(1+'Assumptions'!$D$13)^(10-1)</x:f>
        <x:v>5502.039142427153</x:v>
      </x:c>
      <x:c r="P1214" s="10" t="n">
        <x:f>H1214*'Assumptions'!$R$84*'Assumptions'!$D$11*(1+'Assumptions'!$D$13)^(10-1)</x:f>
        <x:v>0</x:v>
      </x:c>
      <x:c r="Q1214" s="10" t="n">
        <x:f>J1214*'Assumptions'!$S$84</x:f>
        <x:v>0</x:v>
      </x:c>
      <x:c r="R1214" s="10" t="n">
        <x:f>H1214*'Assumptions'!$Y$84*'Assumptions'!$Z$84*'Assumptions'!$D$11*(1+'Assumptions'!$D$13)^(10-1)</x:f>
        <x:v>3144.022367101231</x:v>
      </x:c>
      <x:c r="S1214" s="10" t="n">
        <x:f>IF(I1214=0,0,J1214*'Assumptions'!$W$84+H1214*'Assumptions'!$X$84)</x:f>
        <x:v>909.0610791511422</x:v>
      </x:c>
      <x:c r="T1214" s="10" t="n">
        <x:f>N1214*'Assumptions'!$AA$84</x:f>
        <x:v>1117.3362171081637</x:v>
      </x:c>
      <x:c r="U1214" s="10" t="n">
        <x:f>'Assumptions'!$AE$84*'Assumptions'!$D$11*(1+'Assumptions'!$D$13)^(10-1)</x:f>
        <x:v>0</x:v>
      </x:c>
      <x:c r="V1214" s="10" t="n">
        <x:f>0</x:f>
        <x:v>0</x:v>
      </x:c>
      <x:c r="W1214" s="10" t="n">
        <x:f>H1214*('Assumptions'!$P$84+'Assumptions'!$Y$84)</x:f>
        <x:v>200.8026124174166</x:v>
      </x:c>
      <x:c r="X1214" s="10" t="n">
        <x:f>N1214/12*'Assumptions'!$AF$84</x:f>
        <x:v>0</x:v>
      </x:c>
      <x:c r="Y1214" s="10" t="n">
        <x:f>P1214/12</x:f>
        <x:v>0</x:v>
      </x:c>
      <x:c r="Z1214" s="10" t="n">
        <x:f>0</x:f>
        <x:v>0</x:v>
      </x:c>
      <x:c r="AA1214" s="10" t="n">
        <x:f>Z1214*'Assumptions'!$AC$84*'Assumptions'!$D$11*(1+'Assumptions'!$D$13)^(10-1)</x:f>
        <x:v>0</x:v>
      </x:c>
      <x:c r="AB1214" s="10" t="n">
        <x:f>F1214/1</x:f>
        <x:v>608.2732804240993</x:v>
      </x:c>
      <x:c r="AC1214" s="10" t="n">
        <x:f>AB1214/'Assumptions'!$AM$84</x:f>
        <x:v>12165.465608481985</x:v>
      </x:c>
      <x:c r="AD1214" s="10" t="n">
        <x:f>IF(AB1214=0,0,T1214/AB1214)</x:f>
        <x:v>1.8368984025225248</x:v>
      </x:c>
      <x:c r="AE1214" s="10" t="n">
        <x:f>AA1214*'Assumptions'!$D$21</x:f>
        <x:v>0</x:v>
      </x:c>
    </x:row>
    <x:row r="1215" ht="16" customHeight="1">
      <x:c r="A1215" s="1"/>
      <x:c r="B1215" s="1"/>
      <x:c r="C1215" s="1" t="str">
        <x:v>DOT-056</x:v>
      </x:c>
      <x:c r="D1215" s="10" t="str">
        <x:v>VraiSkill teen</x:v>
      </x:c>
      <x:c r="E1215" s="10" t="n">
        <x:v>10</x:v>
      </x:c>
      <x:c r="F1215" s="21" t="n">
        <x:f>F1087*(1+'Assumptions'!$M$85)</x:f>
        <x:v>608.2732804240993</x:v>
      </x:c>
      <x:c r="G1215" s="21" t="n">
        <x:f>H1087*'Assumptions'!$K$85</x:f>
        <x:v>194.9367877758406</x:v>
      </x:c>
      <x:c r="H1215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1215+G1215,NA())</x:f>
        <x:v>803.2100681999399</x:v>
      </x:c>
      <x:c r="I1215" s="22" t="n">
        <x:f>'Assumptions'!$H$85*IF('Assumptions'!$O$85=1,1,'Assumptions'!$D$10)*(1+'Assumptions'!$N$85)^(10-1)</x:f>
        <x:v>28.682221646935467</x:v>
      </x:c>
      <x:c r="J1215" s="10" t="n">
        <x:f>H1215*I1215</x:f>
        <x:v>23037.84920516083</x:v>
      </x:c>
      <x:c r="K1215" s="10" t="n">
        <x:f>J1215*'Assumptions'!$T$85</x:f>
        <x:v>23037.84920516083</x:v>
      </x:c>
      <x:c r="L1215" s="10" t="n">
        <x:f>K1215*'Assumptions'!$U$85</x:f>
        <x:v>691.1354761548249</x:v>
      </x:c>
      <x:c r="M1215" s="10" t="n">
        <x:f>K1215*'Assumptions'!$V$85</x:f>
        <x:v>0</x:v>
      </x:c>
      <x:c r="N1215" s="10" t="n">
        <x:f>K1215-L1215-M1215</x:f>
        <x:v>22346.713729006005</x:v>
      </x:c>
      <x:c r="O1215" s="10" t="n">
        <x:f>H1215*'Assumptions'!$P$85*'Assumptions'!$Q$85*'Assumptions'!$D$11*(1+'Assumptions'!$D$13)^(10-1)</x:f>
        <x:v>5502.036529336937</x:v>
      </x:c>
      <x:c r="P1215" s="10" t="n">
        <x:f>H1215*'Assumptions'!$R$85*'Assumptions'!$D$11*(1+'Assumptions'!$D$13)^(10-1)</x:f>
        <x:v>0</x:v>
      </x:c>
      <x:c r="Q1215" s="10" t="n">
        <x:f>J1215*'Assumptions'!$S$85</x:f>
        <x:v>0</x:v>
      </x:c>
      <x:c r="R1215" s="10" t="n">
        <x:f>H1215*'Assumptions'!$Y$85*'Assumptions'!$Z$85*'Assumptions'!$D$11*(1+'Assumptions'!$D$13)^(10-1)</x:f>
        <x:v>3144.020873906822</x:v>
      </x:c>
      <x:c r="S1215" s="10" t="n">
        <x:f>IF(I1215=0,0,J1215*'Assumptions'!$W$85+H1215*'Assumptions'!$X$85)</x:f>
        <x:v>909.0606474096461</x:v>
      </x:c>
      <x:c r="T1215" s="10" t="n">
        <x:f>N1215*'Assumptions'!$AA$85</x:f>
        <x:v>1117.3356864503003</x:v>
      </x:c>
      <x:c r="U1215" s="10" t="n">
        <x:f>'Assumptions'!$AE$85*'Assumptions'!$D$11*(1+'Assumptions'!$D$13)^(10-1)</x:f>
        <x:v>313.1455641190188</x:v>
      </x:c>
      <x:c r="V1215" s="10" t="n">
        <x:f>0</x:f>
        <x:v>0</x:v>
      </x:c>
      <x:c r="W1215" s="10" t="n">
        <x:f>H1215*('Assumptions'!$P$85+'Assumptions'!$Y$85)</x:f>
        <x:v>200.80251704998497</x:v>
      </x:c>
      <x:c r="X1215" s="10" t="n">
        <x:f>N1215/12*'Assumptions'!$AF$85</x:f>
        <x:v>0</x:v>
      </x:c>
      <x:c r="Y1215" s="10" t="n">
        <x:f>P1215/12</x:f>
        <x:v>0</x:v>
      </x:c>
      <x:c r="Z1215" s="10" t="n">
        <x:f>0</x:f>
        <x:v>0</x:v>
      </x:c>
      <x:c r="AA1215" s="10" t="n">
        <x:f>Z1215*'Assumptions'!$AC$85*'Assumptions'!$D$11*(1+'Assumptions'!$D$13)^(10-1)</x:f>
        <x:v>0</x:v>
      </x:c>
      <x:c r="AB1215" s="10" t="n">
        <x:f>F1215/1</x:f>
        <x:v>608.2732804240993</x:v>
      </x:c>
      <x:c r="AC1215" s="10" t="n">
        <x:f>AB1215/'Assumptions'!$AM$85</x:f>
        <x:v>12165.465608481985</x:v>
      </x:c>
      <x:c r="AD1215" s="10" t="n">
        <x:f>IF(AB1215=0,0,T1215/AB1215)</x:f>
        <x:v>1.8368975301221078</x:v>
      </x:c>
      <x:c r="AE1215" s="10" t="n">
        <x:f>AA1215*'Assumptions'!$D$21</x:f>
        <x:v>0</x:v>
      </x:c>
    </x:row>
    <x:row r="1216" ht="16" customHeight="1">
      <x:c r="A1216" s="1"/>
      <x:c r="B1216" s="1"/>
      <x:c r="C1216" s="1" t="str">
        <x:v>DOT-057</x:v>
      </x:c>
      <x:c r="D1216" s="10" t="str">
        <x:v>VraiSkill Model Life</x:v>
      </x:c>
      <x:c r="E1216" s="10" t="n">
        <x:v>10</x:v>
      </x:c>
      <x:c r="F1216" s="21" t="n">
        <x:f>F1088*(1+'Assumptions'!$M$86)</x:f>
        <x:v>0</x:v>
      </x:c>
      <x:c r="G1216" s="21" t="n">
        <x:f>H1088*'Assumptions'!$K$86</x:f>
        <x:v>0</x:v>
      </x:c>
      <x:c r="H1216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1216+G1216,NA())</x:f>
        <x:v>0</x:v>
      </x:c>
      <x:c r="I1216" s="22" t="n">
        <x:f>'Assumptions'!$H$86*IF('Assumptions'!$O$86=1,1,'Assumptions'!$D$10)*(1+'Assumptions'!$N$86)^(10-1)</x:f>
        <x:v>0</x:v>
      </x:c>
      <x:c r="J1216" s="10" t="n">
        <x:f>H1216*I1216</x:f>
        <x:v>0</x:v>
      </x:c>
      <x:c r="K1216" s="10" t="n">
        <x:f>J1216*'Assumptions'!$T$86</x:f>
        <x:v>0</x:v>
      </x:c>
      <x:c r="L1216" s="10" t="n">
        <x:f>K1216*'Assumptions'!$U$86</x:f>
        <x:v>0</x:v>
      </x:c>
      <x:c r="M1216" s="10" t="n">
        <x:f>K1216*'Assumptions'!$V$86</x:f>
        <x:v>0</x:v>
      </x:c>
      <x:c r="N1216" s="10" t="n">
        <x:f>K1216-L1216-M1216</x:f>
        <x:v>0</x:v>
      </x:c>
      <x:c r="O1216" s="10" t="n">
        <x:f>H1216*'Assumptions'!$P$86*'Assumptions'!$Q$86*'Assumptions'!$D$11*(1+'Assumptions'!$D$13)^(10-1)</x:f>
        <x:v>0</x:v>
      </x:c>
      <x:c r="P1216" s="10" t="n">
        <x:f>H1216*'Assumptions'!$R$86*'Assumptions'!$D$11*(1+'Assumptions'!$D$13)^(10-1)</x:f>
        <x:v>0</x:v>
      </x:c>
      <x:c r="Q1216" s="10" t="n">
        <x:f>J1216*'Assumptions'!$S$86</x:f>
        <x:v>0</x:v>
      </x:c>
      <x:c r="R1216" s="10" t="n">
        <x:f>H1216*'Assumptions'!$Y$86*'Assumptions'!$Z$86*'Assumptions'!$D$11*(1+'Assumptions'!$D$13)^(10-1)</x:f>
        <x:v>0</x:v>
      </x:c>
      <x:c r="S1216" s="10" t="n">
        <x:f>IF(I1216=0,0,J1216*'Assumptions'!$W$86+H1216*'Assumptions'!$X$86)</x:f>
        <x:v>0</x:v>
      </x:c>
      <x:c r="T1216" s="10" t="n">
        <x:f>N1216*'Assumptions'!$AA$86</x:f>
        <x:v>0</x:v>
      </x:c>
      <x:c r="U1216" s="10" t="n">
        <x:f>'Assumptions'!$AE$86*'Assumptions'!$D$11*(1+'Assumptions'!$D$13)^(10-1)</x:f>
        <x:v>0</x:v>
      </x:c>
      <x:c r="V1216" s="10" t="n">
        <x:f>0</x:f>
        <x:v>0</x:v>
      </x:c>
      <x:c r="W1216" s="10" t="n">
        <x:f>H1216*('Assumptions'!$P$86+'Assumptions'!$Y$86)</x:f>
        <x:v>0</x:v>
      </x:c>
      <x:c r="X1216" s="10" t="n">
        <x:f>N1216/12*'Assumptions'!$AF$86</x:f>
        <x:v>0</x:v>
      </x:c>
      <x:c r="Y1216" s="10" t="n">
        <x:f>P1216/12</x:f>
        <x:v>0</x:v>
      </x:c>
      <x:c r="Z1216" s="10" t="n">
        <x:f>0</x:f>
        <x:v>0</x:v>
      </x:c>
      <x:c r="AA1216" s="10" t="n">
        <x:f>Z1216*'Assumptions'!$AC$86*'Assumptions'!$D$11*(1+'Assumptions'!$D$13)^(10-1)</x:f>
        <x:v>0</x:v>
      </x:c>
      <x:c r="AB1216" s="10" t="n">
        <x:f>F1216/1</x:f>
        <x:v>0</x:v>
      </x:c>
      <x:c r="AC1216" s="10" t="n">
        <x:f>AB1216/'Assumptions'!$AM$86</x:f>
        <x:v>0</x:v>
      </x:c>
      <x:c r="AD1216" s="10" t="n">
        <x:f>IF(AB1216=0,0,T1216/AB1216)</x:f>
        <x:v>0</x:v>
      </x:c>
      <x:c r="AE1216" s="10" t="n">
        <x:f>AA1216*'Assumptions'!$D$21</x:f>
        <x:v>0</x:v>
      </x:c>
    </x:row>
    <x:row r="1217" ht="16" customHeight="1">
      <x:c r="A1217" s="1"/>
      <x:c r="B1217" s="1"/>
      <x:c r="C1217" s="1" t="str">
        <x:v>DOT-058</x:v>
      </x:c>
      <x:c r="D1217" s="10" t="str">
        <x:v>Model Life</x:v>
      </x:c>
      <x:c r="E1217" s="10" t="n">
        <x:v>10</x:v>
      </x:c>
      <x:c r="F1217" s="21" t="n">
        <x:f>F1089*(1+'Assumptions'!$M$87)</x:f>
        <x:v>346.1573837474612</x:v>
      </x:c>
      <x:c r="G1217" s="21" t="n">
        <x:f>H1089*'Assumptions'!$K$87</x:f>
        <x:v>693.8175547016448</x:v>
      </x:c>
      <x:c r="H1217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1217+G1217,NA())</x:f>
        <x:v>1039.974938449106</x:v>
      </x:c>
      <x:c r="I1217" s="22" t="n">
        <x:f>'Assumptions'!$H$87*IF('Assumptions'!$O$87=1,1,'Assumptions'!$D$10)*(1+'Assumptions'!$N$87)^(10-1)</x:f>
        <x:v>17.926388529334666</x:v>
      </x:c>
      <x:c r="J1217" s="10" t="n">
        <x:f>H1217*I1217</x:f>
        <x:v>18642.99480740958</x:v>
      </x:c>
      <x:c r="K1217" s="10" t="n">
        <x:f>J1217*'Assumptions'!$T$87</x:f>
        <x:v>18642.99480740958</x:v>
      </x:c>
      <x:c r="L1217" s="10" t="n">
        <x:f>K1217*'Assumptions'!$U$87</x:f>
        <x:v>559.2898442222875</x:v>
      </x:c>
      <x:c r="M1217" s="10" t="n">
        <x:f>K1217*'Assumptions'!$V$87</x:f>
        <x:v>0</x:v>
      </x:c>
      <x:c r="N1217" s="10" t="n">
        <x:f>K1217-L1217-M1217</x:f>
        <x:v>18083.704963187294</x:v>
      </x:c>
      <x:c r="O1217" s="10" t="n">
        <x:f>H1217*'Assumptions'!$P$87*'Assumptions'!$Q$87*'Assumptions'!$D$11*(1+'Assumptions'!$D$13)^(10-1)</x:f>
        <x:v>4749.259940400021</x:v>
      </x:c>
      <x:c r="P1217" s="10" t="n">
        <x:f>H1217*'Assumptions'!$R$87*'Assumptions'!$D$11*(1+'Assumptions'!$D$13)^(10-1)</x:f>
        <x:v>0</x:v>
      </x:c>
      <x:c r="Q1217" s="10" t="n">
        <x:f>J1217*'Assumptions'!$S$87</x:f>
        <x:v>0</x:v>
      </x:c>
      <x:c r="R1217" s="10" t="n">
        <x:f>H1217*'Assumptions'!$Y$87*'Assumptions'!$Z$87*'Assumptions'!$D$11*(1+'Assumptions'!$D$13)^(10-1)</x:f>
        <x:v>6106.191351942883</x:v>
      </x:c>
      <x:c r="S1217" s="10" t="n">
        <x:f>IF(I1217=0,0,J1217*'Assumptions'!$W$87+H1217*'Assumptions'!$X$87)</x:f>
        <x:v>852.6393309496098</x:v>
      </x:c>
      <x:c r="T1217" s="10" t="n">
        <x:f>N1217*'Assumptions'!$AA$87</x:f>
        <x:v>904.1852481593647</x:v>
      </x:c>
      <x:c r="U1217" s="10" t="n">
        <x:f>'Assumptions'!$AE$87*'Assumptions'!$D$11*(1+'Assumptions'!$D$13)^(10-1)</x:f>
        <x:v>78.2863910297547</x:v>
      </x:c>
      <x:c r="V1217" s="10" t="n">
        <x:f>0</x:f>
        <x:v>0</x:v>
      </x:c>
      <x:c r="W1217" s="10" t="n">
        <x:f>H1217*('Assumptions'!$P$87+'Assumptions'!$Y$87)</x:f>
        <x:v>259.9937346122765</x:v>
      </x:c>
      <x:c r="X1217" s="10" t="n">
        <x:f>N1217/12*'Assumptions'!$AF$87</x:f>
        <x:v>0</x:v>
      </x:c>
      <x:c r="Y1217" s="10" t="n">
        <x:f>P1217/12</x:f>
        <x:v>0</x:v>
      </x:c>
      <x:c r="Z1217" s="10" t="n">
        <x:f>0</x:f>
        <x:v>0</x:v>
      </x:c>
      <x:c r="AA1217" s="10" t="n">
        <x:f>Z1217*'Assumptions'!$AC$87*'Assumptions'!$D$11*(1+'Assumptions'!$D$13)^(10-1)</x:f>
        <x:v>0</x:v>
      </x:c>
      <x:c r="AB1217" s="10" t="n">
        <x:f>F1217/12</x:f>
        <x:v>28.846448645621766</x:v>
      </x:c>
      <x:c r="AC1217" s="10" t="n">
        <x:f>AB1217/'Assumptions'!$AM$87</x:f>
        <x:v>576.9289729124353</x:v>
      </x:c>
      <x:c r="AD1217" s="10" t="n">
        <x:f>IF(AB1217=0,0,T1217/AB1217)</x:f>
        <x:v>31.34476826826305</x:v>
      </x:c>
      <x:c r="AE1217" s="10" t="n">
        <x:f>AA1217*'Assumptions'!$D$21</x:f>
        <x:v>0</x:v>
      </x:c>
    </x:row>
    <x:row r="1218" ht="16" customHeight="1">
      <x:c r="A1218" s="1"/>
      <x:c r="B1218" s="1"/>
      <x:c r="C1218" s="1" t="str">
        <x:v>DOT-059</x:v>
      </x:c>
      <x:c r="D1218" s="10" t="str">
        <x:v>Model Life</x:v>
      </x:c>
      <x:c r="E1218" s="10" t="n">
        <x:v>10</x:v>
      </x:c>
      <x:c r="F1218" s="21" t="n">
        <x:f>F1090*(1+'Assumptions'!$M$88)</x:f>
        <x:v>86.5393459368653</x:v>
      </x:c>
      <x:c r="G1218" s="21" t="n">
        <x:f>H1090*'Assumptions'!$K$88</x:f>
        <x:v>173.4543886754112</x:v>
      </x:c>
      <x:c r="H1218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1218+G1218,NA())</x:f>
        <x:v>259.9937346122765</x:v>
      </x:c>
      <x:c r="I1218" s="22" t="n">
        <x:f>'Assumptions'!$H$88*IF('Assumptions'!$O$88=1,1,'Assumptions'!$D$10)*(1+'Assumptions'!$N$88)^(10-1)</x:f>
        <x:v>94.41231292116257</x:v>
      </x:c>
      <x:c r="J1218" s="10" t="n">
        <x:f>H1218*I1218</x:f>
        <x:v>24546.609829755944</x:v>
      </x:c>
      <x:c r="K1218" s="10" t="n">
        <x:f>J1218*'Assumptions'!$T$88</x:f>
        <x:v>24546.609829755944</x:v>
      </x:c>
      <x:c r="L1218" s="10" t="n">
        <x:f>K1218*'Assumptions'!$U$88</x:f>
        <x:v>736.3982948926783</x:v>
      </x:c>
      <x:c r="M1218" s="10" t="n">
        <x:f>K1218*'Assumptions'!$V$88</x:f>
        <x:v>0</x:v>
      </x:c>
      <x:c r="N1218" s="10" t="n">
        <x:f>K1218-L1218-M1218</x:f>
        <x:v>23810.211534863265</x:v>
      </x:c>
      <x:c r="O1218" s="10" t="n">
        <x:f>H1218*'Assumptions'!$P$88*'Assumptions'!$Q$88*'Assumptions'!$D$11*(1+'Assumptions'!$D$13)^(10-1)</x:f>
        <x:v>1187.3149851000053</x:v>
      </x:c>
      <x:c r="P1218" s="10" t="n">
        <x:f>H1218*'Assumptions'!$R$88*'Assumptions'!$D$11*(1+'Assumptions'!$D$13)^(10-1)</x:f>
        <x:v>0</x:v>
      </x:c>
      <x:c r="Q1218" s="10" t="n">
        <x:f>J1218*'Assumptions'!$S$88</x:f>
        <x:v>0</x:v>
      </x:c>
      <x:c r="R1218" s="10" t="n">
        <x:f>H1218*'Assumptions'!$Y$88*'Assumptions'!$Z$88*'Assumptions'!$D$11*(1+'Assumptions'!$D$13)^(10-1)</x:f>
        <x:v>1526.5478379857207</x:v>
      </x:c>
      <x:c r="S1218" s="10" t="n">
        <x:f>IF(I1218=0,0,J1218*'Assumptions'!$W$88+H1218*'Assumptions'!$X$88)</x:f>
        <x:v>789.8498054466054</x:v>
      </x:c>
      <x:c r="T1218" s="10" t="n">
        <x:f>N1218*'Assumptions'!$AA$88</x:f>
        <x:v>1190.5105767431633</x:v>
      </x:c>
      <x:c r="U1218" s="10" t="n">
        <x:f>'Assumptions'!$AE$88*'Assumptions'!$D$11*(1+'Assumptions'!$D$13)^(10-1)</x:f>
        <x:v>78.2863910297547</x:v>
      </x:c>
      <x:c r="V1218" s="10" t="n">
        <x:f>0</x:f>
        <x:v>0</x:v>
      </x:c>
      <x:c r="W1218" s="10" t="n">
        <x:f>H1218*('Assumptions'!$P$88+'Assumptions'!$Y$88)</x:f>
        <x:v>64.99843365306913</x:v>
      </x:c>
      <x:c r="X1218" s="10" t="n">
        <x:f>N1218/12*'Assumptions'!$AF$88</x:f>
        <x:v>0</x:v>
      </x:c>
      <x:c r="Y1218" s="10" t="n">
        <x:f>P1218/12</x:f>
        <x:v>0</x:v>
      </x:c>
      <x:c r="Z1218" s="10" t="n">
        <x:f>0</x:f>
        <x:v>0</x:v>
      </x:c>
      <x:c r="AA1218" s="10" t="n">
        <x:f>Z1218*'Assumptions'!$AC$88*'Assumptions'!$D$11*(1+'Assumptions'!$D$13)^(10-1)</x:f>
        <x:v>0</x:v>
      </x:c>
      <x:c r="AB1218" s="10" t="n">
        <x:f>F1218/12</x:f>
        <x:v>7.211612161405442</x:v>
      </x:c>
      <x:c r="AC1218" s="10" t="n">
        <x:f>AB1218/'Assumptions'!$AM$88</x:f>
        <x:v>144.2322432281088</x:v>
      </x:c>
      <x:c r="AD1218" s="10" t="n">
        <x:f>IF(AB1218=0,0,T1218/AB1218)</x:f>
        <x:v>165.082446212852</x:v>
      </x:c>
      <x:c r="AE1218" s="10" t="n">
        <x:f>AA1218*'Assumptions'!$D$21</x:f>
        <x:v>0</x:v>
      </x:c>
    </x:row>
    <x:row r="1219" ht="16" customHeight="1">
      <x:c r="A1219" s="1"/>
      <x:c r="B1219" s="1"/>
      <x:c r="C1219" s="1" t="str">
        <x:v>DOT-060</x:v>
      </x:c>
      <x:c r="D1219" s="10" t="str">
        <x:v>Model Life</x:v>
      </x:c>
      <x:c r="E1219" s="10" t="n">
        <x:v>10</x:v>
      </x:c>
      <x:c r="F1219" s="21" t="n">
        <x:f>F1091*(1+'Assumptions'!$M$89)</x:f>
        <x:v>86.5393459368653</x:v>
      </x:c>
      <x:c r="G1219" s="21" t="n">
        <x:f>H1091*'Assumptions'!$K$89</x:f>
        <x:v>173.4543886754112</x:v>
      </x:c>
      <x:c r="H1219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1219+G1219,NA())</x:f>
        <x:v>259.9937346122765</x:v>
      </x:c>
      <x:c r="I1219" s="22" t="n">
        <x:f>'Assumptions'!$H$89*IF('Assumptions'!$O$89=1,1,'Assumptions'!$D$10)*(1+'Assumptions'!$N$89)^(10-1)</x:f>
        <x:v>70.51046154871635</x:v>
      </x:c>
      <x:c r="J1219" s="10" t="n">
        <x:f>H1219*I1219</x:f>
        <x:v>18332.278227286086</x:v>
      </x:c>
      <x:c r="K1219" s="10" t="n">
        <x:f>J1219*'Assumptions'!$T$89</x:f>
        <x:v>18332.278227286086</x:v>
      </x:c>
      <x:c r="L1219" s="10" t="n">
        <x:f>K1219*'Assumptions'!$U$89</x:f>
        <x:v>549.9683468185825</x:v>
      </x:c>
      <x:c r="M1219" s="10" t="n">
        <x:f>K1219*'Assumptions'!$V$89</x:f>
        <x:v>0</x:v>
      </x:c>
      <x:c r="N1219" s="10" t="n">
        <x:f>K1219-L1219-M1219</x:f>
        <x:v>17782.309880467503</x:v>
      </x:c>
      <x:c r="O1219" s="10" t="n">
        <x:f>H1219*'Assumptions'!$P$89*'Assumptions'!$Q$89*'Assumptions'!$D$11*(1+'Assumptions'!$D$13)^(10-1)</x:f>
        <x:v>1187.3149851000053</x:v>
      </x:c>
      <x:c r="P1219" s="10" t="n">
        <x:f>H1219*'Assumptions'!$R$89*'Assumptions'!$D$11*(1+'Assumptions'!$D$13)^(10-1)</x:f>
        <x:v>0</x:v>
      </x:c>
      <x:c r="Q1219" s="10" t="n">
        <x:f>J1219*'Assumptions'!$S$89</x:f>
        <x:v>0</x:v>
      </x:c>
      <x:c r="R1219" s="10" t="n">
        <x:f>H1219*'Assumptions'!$Y$89*'Assumptions'!$Z$89*'Assumptions'!$D$11*(1+'Assumptions'!$D$13)^(10-1)</x:f>
        <x:v>1526.5478379857207</x:v>
      </x:c>
      <x:c r="S1219" s="10" t="n">
        <x:f>IF(I1219=0,0,J1219*'Assumptions'!$W$89+H1219*'Assumptions'!$X$89)</x:f>
        <x:v>609.6341889749795</x:v>
      </x:c>
      <x:c r="T1219" s="10" t="n">
        <x:f>N1219*'Assumptions'!$AA$89</x:f>
        <x:v>889.1154940233752</x:v>
      </x:c>
      <x:c r="U1219" s="10" t="n">
        <x:f>'Assumptions'!$AE$89*'Assumptions'!$D$11*(1+'Assumptions'!$D$13)^(10-1)</x:f>
        <x:v>78.2863910297547</x:v>
      </x:c>
      <x:c r="V1219" s="10" t="n">
        <x:f>0</x:f>
        <x:v>0</x:v>
      </x:c>
      <x:c r="W1219" s="10" t="n">
        <x:f>H1219*('Assumptions'!$P$89+'Assumptions'!$Y$89)</x:f>
        <x:v>64.99843365306913</x:v>
      </x:c>
      <x:c r="X1219" s="10" t="n">
        <x:f>N1219/12*'Assumptions'!$AF$89</x:f>
        <x:v>0</x:v>
      </x:c>
      <x:c r="Y1219" s="10" t="n">
        <x:f>P1219/12</x:f>
        <x:v>0</x:v>
      </x:c>
      <x:c r="Z1219" s="10" t="n">
        <x:f>0</x:f>
        <x:v>0</x:v>
      </x:c>
      <x:c r="AA1219" s="10" t="n">
        <x:f>Z1219*'Assumptions'!$AC$89*'Assumptions'!$D$11*(1+'Assumptions'!$D$13)^(10-1)</x:f>
        <x:v>0</x:v>
      </x:c>
      <x:c r="AB1219" s="10" t="n">
        <x:f>F1219/12</x:f>
        <x:v>7.211612161405442</x:v>
      </x:c>
      <x:c r="AC1219" s="10" t="n">
        <x:f>AB1219/'Assumptions'!$AM$89</x:f>
        <x:v>144.2322432281088</x:v>
      </x:c>
      <x:c r="AD1219" s="10" t="n">
        <x:f>IF(AB1219=0,0,T1219/AB1219)</x:f>
        <x:v>123.28942185516797</x:v>
      </x:c>
      <x:c r="AE1219" s="10" t="n">
        <x:f>AA1219*'Assumptions'!$D$21</x:f>
        <x:v>0</x:v>
      </x:c>
    </x:row>
    <x:row r="1220" ht="16" customHeight="1">
      <x:c r="A1220" s="1"/>
      <x:c r="B1220" s="1"/>
      <x:c r="C1220" s="1" t="str">
        <x:v>DOT-061</x:v>
      </x:c>
      <x:c r="D1220" s="10" t="str">
        <x:v>Model Life</x:v>
      </x:c>
      <x:c r="E1220" s="10" t="n">
        <x:v>10</x:v>
      </x:c>
      <x:c r="F1220" s="21" t="n">
        <x:f>F1092*(1+'Assumptions'!$M$90)</x:f>
        <x:v>43.26967296843265</x:v>
      </x:c>
      <x:c r="G1220" s="21" t="n">
        <x:f>H1092*'Assumptions'!$K$90</x:f>
        <x:v>86.7271943377056</x:v>
      </x:c>
      <x:c r="H1220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1220+G1220,NA())</x:f>
        <x:v>129.99686730613826</x:v>
      </x:c>
      <x:c r="I1220" s="22" t="n">
        <x:f>'Assumptions'!$H$90*IF('Assumptions'!$O$90=1,1,'Assumptions'!$D$10)*(1+'Assumptions'!$N$90)^(10-1)</x:f>
        <x:v>118.3141642936088</x:v>
      </x:c>
      <x:c r="J1220" s="10" t="n">
        <x:f>H1220*I1220</x:f>
        <x:v>15380.470716112904</x:v>
      </x:c>
      <x:c r="K1220" s="10" t="n">
        <x:f>J1220*'Assumptions'!$T$90</x:f>
        <x:v>15380.470716112904</x:v>
      </x:c>
      <x:c r="L1220" s="10" t="n">
        <x:f>K1220*'Assumptions'!$U$90</x:f>
        <x:v>461.41412148338713</x:v>
      </x:c>
      <x:c r="M1220" s="10" t="n">
        <x:f>K1220*'Assumptions'!$V$90</x:f>
        <x:v>0</x:v>
      </x:c>
      <x:c r="N1220" s="10" t="n">
        <x:f>K1220-L1220-M1220</x:f>
        <x:v>14919.056594629517</x:v>
      </x:c>
      <x:c r="O1220" s="10" t="n">
        <x:f>H1220*'Assumptions'!$P$90*'Assumptions'!$Q$90*'Assumptions'!$D$11*(1+'Assumptions'!$D$13)^(10-1)</x:f>
        <x:v>593.6574925500026</x:v>
      </x:c>
      <x:c r="P1220" s="10" t="n">
        <x:f>H1220*'Assumptions'!$R$90*'Assumptions'!$D$11*(1+'Assumptions'!$D$13)^(10-1)</x:f>
        <x:v>0</x:v>
      </x:c>
      <x:c r="Q1220" s="10" t="n">
        <x:f>J1220*'Assumptions'!$S$90</x:f>
        <x:v>0</x:v>
      </x:c>
      <x:c r="R1220" s="10" t="n">
        <x:f>H1220*'Assumptions'!$Y$90*'Assumptions'!$Z$90*'Assumptions'!$D$11*(1+'Assumptions'!$D$13)^(10-1)</x:f>
        <x:v>763.2739189928603</x:v>
      </x:c>
      <x:c r="S1220" s="10" t="n">
        <x:f>IF(I1220=0,0,J1220*'Assumptions'!$W$90+H1220*'Assumptions'!$X$90)</x:f>
        <x:v>485.0327109591157</x:v>
      </x:c>
      <x:c r="T1220" s="10" t="n">
        <x:f>N1220*'Assumptions'!$AA$90</x:f>
        <x:v>745.952829731476</x:v>
      </x:c>
      <x:c r="U1220" s="10" t="n">
        <x:f>'Assumptions'!$AE$90*'Assumptions'!$D$11*(1+'Assumptions'!$D$13)^(10-1)</x:f>
        <x:v>78.2863910297547</x:v>
      </x:c>
      <x:c r="V1220" s="10" t="n">
        <x:f>0</x:f>
        <x:v>0</x:v>
      </x:c>
      <x:c r="W1220" s="10" t="n">
        <x:f>H1220*('Assumptions'!$P$90+'Assumptions'!$Y$90)</x:f>
        <x:v>32.499216826534564</x:v>
      </x:c>
      <x:c r="X1220" s="10" t="n">
        <x:f>N1220/12*'Assumptions'!$AF$90</x:f>
        <x:v>0</x:v>
      </x:c>
      <x:c r="Y1220" s="10" t="n">
        <x:f>P1220/12</x:f>
        <x:v>0</x:v>
      </x:c>
      <x:c r="Z1220" s="10" t="n">
        <x:f>0</x:f>
        <x:v>0</x:v>
      </x:c>
      <x:c r="AA1220" s="10" t="n">
        <x:f>Z1220*'Assumptions'!$AC$90*'Assumptions'!$D$11*(1+'Assumptions'!$D$13)^(10-1)</x:f>
        <x:v>0</x:v>
      </x:c>
      <x:c r="AB1220" s="10" t="n">
        <x:f>F1220/12</x:f>
        <x:v>3.605806080702721</x:v>
      </x:c>
      <x:c r="AC1220" s="10" t="n">
        <x:f>AB1220/'Assumptions'!$AM$90</x:f>
        <x:v>72.1161216140544</x:v>
      </x:c>
      <x:c r="AD1220" s="10" t="n">
        <x:f>IF(AB1220=0,0,T1220/AB1220)</x:f>
        <x:v>206.87547057053612</x:v>
      </x:c>
      <x:c r="AE1220" s="10" t="n">
        <x:f>AA1220*'Assumptions'!$D$21</x:f>
        <x:v>0</x:v>
      </x:c>
    </x:row>
    <x:row r="1221" ht="16" customHeight="1">
      <x:c r="A1221" s="1"/>
      <x:c r="B1221" s="1"/>
      <x:c r="C1221" s="1" t="str">
        <x:v>DOT-062</x:v>
      </x:c>
      <x:c r="D1221" s="10" t="str">
        <x:v>Model Life</x:v>
      </x:c>
      <x:c r="E1221" s="10" t="n">
        <x:v>10</x:v>
      </x:c>
      <x:c r="F1221" s="21" t="n">
        <x:f>F1093*(1+'Assumptions'!$M$91)</x:f>
        <x:v>43.26967296843265</x:v>
      </x:c>
      <x:c r="G1221" s="21" t="n">
        <x:f>H1093*'Assumptions'!$K$91</x:f>
        <x:v>86.7271943377056</x:v>
      </x:c>
      <x:c r="H1221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1221+G1221,NA())</x:f>
        <x:v>129.99686730613826</x:v>
      </x:c>
      <x:c r="I1221" s="22" t="n">
        <x:f>'Assumptions'!$H$91*IF('Assumptions'!$O$91=1,1,'Assumptions'!$D$10)*(1+'Assumptions'!$N$91)^(10-1)</x:f>
        <x:v>58.55953586249324</x:v>
      </x:c>
      <x:c r="J1221" s="10" t="n">
        <x:f>H1221*I1221</x:f>
        <x:v>7612.5562130255785</x:v>
      </x:c>
      <x:c r="K1221" s="10" t="n">
        <x:f>J1221*'Assumptions'!$T$91</x:f>
        <x:v>7612.5562130255785</x:v>
      </x:c>
      <x:c r="L1221" s="10" t="n">
        <x:f>K1221*'Assumptions'!$U$91</x:f>
        <x:v>228.37668639076733</x:v>
      </x:c>
      <x:c r="M1221" s="10" t="n">
        <x:f>K1221*'Assumptions'!$V$91</x:f>
        <x:v>0</x:v>
      </x:c>
      <x:c r="N1221" s="10" t="n">
        <x:f>K1221-L1221-M1221</x:f>
        <x:v>7384.179526634811</x:v>
      </x:c>
      <x:c r="O1221" s="10" t="n">
        <x:f>H1221*'Assumptions'!$P$91*'Assumptions'!$Q$91*'Assumptions'!$D$11*(1+'Assumptions'!$D$13)^(10-1)</x:f>
        <x:v>593.6574925500026</x:v>
      </x:c>
      <x:c r="P1221" s="10" t="n">
        <x:f>H1221*'Assumptions'!$R$91*'Assumptions'!$D$11*(1+'Assumptions'!$D$13)^(10-1)</x:f>
        <x:v>0</x:v>
      </x:c>
      <x:c r="Q1221" s="10" t="n">
        <x:f>J1221*'Assumptions'!$S$91</x:f>
        <x:v>0</x:v>
      </x:c>
      <x:c r="R1221" s="10" t="n">
        <x:f>H1221*'Assumptions'!$Y$91*'Assumptions'!$Z$91*'Assumptions'!$D$11*(1+'Assumptions'!$D$13)^(10-1)</x:f>
        <x:v>763.2739189928603</x:v>
      </x:c>
      <x:c r="S1221" s="10" t="n">
        <x:f>IF(I1221=0,0,J1221*'Assumptions'!$W$91+H1221*'Assumptions'!$X$91)</x:f>
        <x:v>259.76319036958324</x:v>
      </x:c>
      <x:c r="T1221" s="10" t="n">
        <x:f>N1221*'Assumptions'!$AA$91</x:f>
        <x:v>369.2089763317406</x:v>
      </x:c>
      <x:c r="U1221" s="10" t="n">
        <x:f>'Assumptions'!$AE$91*'Assumptions'!$D$11*(1+'Assumptions'!$D$13)^(10-1)</x:f>
        <x:v>78.2863910297547</x:v>
      </x:c>
      <x:c r="V1221" s="10" t="n">
        <x:f>0</x:f>
        <x:v>0</x:v>
      </x:c>
      <x:c r="W1221" s="10" t="n">
        <x:f>H1221*('Assumptions'!$P$91+'Assumptions'!$Y$91)</x:f>
        <x:v>32.499216826534564</x:v>
      </x:c>
      <x:c r="X1221" s="10" t="n">
        <x:f>N1221/12*'Assumptions'!$AF$91</x:f>
        <x:v>0</x:v>
      </x:c>
      <x:c r="Y1221" s="10" t="n">
        <x:f>P1221/12</x:f>
        <x:v>0</x:v>
      </x:c>
      <x:c r="Z1221" s="10" t="n">
        <x:f>0</x:f>
        <x:v>0</x:v>
      </x:c>
      <x:c r="AA1221" s="10" t="n">
        <x:f>Z1221*'Assumptions'!$AC$91*'Assumptions'!$D$11*(1+'Assumptions'!$D$13)^(10-1)</x:f>
        <x:v>0</x:v>
      </x:c>
      <x:c r="AB1221" s="10" t="n">
        <x:f>F1221/12</x:f>
        <x:v>3.605806080702721</x:v>
      </x:c>
      <x:c r="AC1221" s="10" t="n">
        <x:f>AB1221/'Assumptions'!$AM$91</x:f>
        <x:v>72.1161216140544</x:v>
      </x:c>
      <x:c r="AD1221" s="10" t="n">
        <x:f>IF(AB1221=0,0,T1221/AB1221)</x:f>
        <x:v>102.39290967632596</x:v>
      </x:c>
      <x:c r="AE1221" s="10" t="n">
        <x:f>AA1221*'Assumptions'!$D$21</x:f>
        <x:v>0</x:v>
      </x:c>
    </x:row>
    <x:row r="1222" ht="16" customHeight="1">
      <x:c r="A1222" s="1"/>
      <x:c r="B1222" s="1"/>
      <x:c r="C1222" s="1" t="str">
        <x:v>DOT-063</x:v>
      </x:c>
      <x:c r="D1222" s="10" t="str">
        <x:v>S’otality cleaning</x:v>
      </x:c>
      <x:c r="E1222" s="10" t="n">
        <x:v>10</x:v>
      </x:c>
      <x:c r="F1222" s="21" t="n">
        <x:f>F1094*(1+'Assumptions'!$M$92)</x:f>
        <x:v>81.47007226476627</x:v>
      </x:c>
      <x:c r="G1222" s="21" t="n">
        <x:f>H1094*'Assumptions'!$K$92</x:f>
        <x:v>112.45443107158083</x:v>
      </x:c>
      <x:c r="H1222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1222+G1222,NA())</x:f>
        <x:v>193.9245033363471</x:v>
      </x:c>
      <x:c r="I1222" s="22" t="n">
        <x:f>'Assumptions'!$H$92*IF('Assumptions'!$O$92=1,1,'Assumptions'!$D$10)*(1+'Assumptions'!$N$92)^(10-1)</x:f>
        <x:v>178.06879272472435</x:v>
      </x:c>
      <x:c r="J1222" s="10" t="n">
        <x:f>H1222*I1222</x:f>
        <x:v>34531.90218884511</x:v>
      </x:c>
      <x:c r="K1222" s="10" t="n">
        <x:f>J1222*'Assumptions'!$T$92</x:f>
        <x:v>34531.90218884511</x:v>
      </x:c>
      <x:c r="L1222" s="10" t="n">
        <x:f>K1222*'Assumptions'!$U$92</x:f>
        <x:v>1035.9570656653532</x:v>
      </x:c>
      <x:c r="M1222" s="10" t="n">
        <x:f>K1222*'Assumptions'!$V$92</x:f>
        <x:v>0</x:v>
      </x:c>
      <x:c r="N1222" s="10" t="n">
        <x:f>K1222-L1222-M1222</x:f>
        <x:v>33495.94512317976</x:v>
      </x:c>
      <x:c r="O1222" s="10" t="n">
        <x:f>H1222*'Assumptions'!$P$92*'Assumptions'!$Q$92*'Assumptions'!$D$11*(1+'Assumptions'!$D$13)^(10-1)</x:f>
        <x:v>885.5962207423472</x:v>
      </x:c>
      <x:c r="P1222" s="10" t="n">
        <x:f>H1222*'Assumptions'!$R$92*'Assumptions'!$D$11*(1+'Assumptions'!$D$13)^(10-1)</x:f>
        <x:v>2024.219933125365</x:v>
      </x:c>
      <x:c r="Q1222" s="10" t="n">
        <x:f>J1222*'Assumptions'!$S$92</x:f>
        <x:v>22445.736422749324</x:v>
      </x:c>
      <x:c r="R1222" s="10" t="n">
        <x:f>H1222*'Assumptions'!$Y$92*'Assumptions'!$Z$92*'Assumptions'!$D$11*(1+'Assumptions'!$D$13)^(10-1)</x:f>
        <x:v>1518.164949844024</x:v>
      </x:c>
      <x:c r="S1222" s="10" t="n">
        <x:f>IF(I1222=0,0,J1222*'Assumptions'!$W$92+H1222*'Assumptions'!$X$92)</x:f>
        <x:v>1059.6025144774123</x:v>
      </x:c>
      <x:c r="T1222" s="10" t="n">
        <x:f>N1222*'Assumptions'!$AA$92</x:f>
        <x:v>1339.8378049271903</x:v>
      </x:c>
      <x:c r="U1222" s="10" t="n">
        <x:f>'Assumptions'!$AE$92*'Assumptions'!$D$11*(1+'Assumptions'!$D$13)^(10-1)</x:f>
        <x:v>0</x:v>
      </x:c>
      <x:c r="V1222" s="10" t="n">
        <x:f>0</x:f>
        <x:v>0</x:v>
      </x:c>
      <x:c r="W1222" s="10" t="n">
        <x:f>H1222*('Assumptions'!$P$92+'Assumptions'!$Y$92)</x:f>
        <x:v>58.17735100090414</x:v>
      </x:c>
      <x:c r="X1222" s="10" t="n">
        <x:f>N1222/12*'Assumptions'!$AF$92</x:f>
        <x:v>0</x:v>
      </x:c>
      <x:c r="Y1222" s="10" t="n">
        <x:f>P1222/12</x:f>
        <x:v>168.68499442711376</x:v>
      </x:c>
      <x:c r="Z1222" s="10" t="n">
        <x:f>0</x:f>
        <x:v>0</x:v>
      </x:c>
      <x:c r="AA1222" s="10" t="n">
        <x:f>Z1222*'Assumptions'!$AC$92*'Assumptions'!$D$11*(1+'Assumptions'!$D$13)^(10-1)</x:f>
        <x:v>0</x:v>
      </x:c>
      <x:c r="AB1222" s="10" t="n">
        <x:f>F1222/1</x:f>
        <x:v>81.47007226476627</x:v>
      </x:c>
      <x:c r="AC1222" s="10" t="n">
        <x:f>AB1222/'Assumptions'!$AM$92</x:f>
        <x:v>543.1338150984418</x:v>
      </x:c>
      <x:c r="AD1222" s="10" t="n">
        <x:f>IF(AB1222=0,0,T1222/AB1222)</x:f>
        <x:v>16.445766742085436</x:v>
      </x:c>
      <x:c r="AE1222" s="10" t="n">
        <x:f>AA1222*'Assumptions'!$D$21</x:f>
        <x:v>0</x:v>
      </x:c>
    </x:row>
    <x:row r="1223" ht="16" customHeight="1">
      <x:c r="A1223" s="1"/>
      <x:c r="B1223" s="1"/>
      <x:c r="C1223" s="1" t="str">
        <x:v>DOT-064</x:v>
      </x:c>
      <x:c r="D1223" s="10" t="str">
        <x:v>S’otality cleaning</x:v>
      </x:c>
      <x:c r="E1223" s="10" t="n">
        <x:v>10</x:v>
      </x:c>
      <x:c r="F1223" s="21" t="n">
        <x:f>F1095*(1+'Assumptions'!$M$93)</x:f>
        <x:v>122.20510839714937</x:v>
      </x:c>
      <x:c r="G1223" s="21" t="n">
        <x:f>H1095*'Assumptions'!$K$93</x:f>
        <x:v>168.6816466073712</x:v>
      </x:c>
      <x:c r="H1223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1223+G1223,NA())</x:f>
        <x:v>290.8867550045206</x:v>
      </x:c>
      <x:c r="I1223" s="22" t="n">
        <x:f>'Assumptions'!$H$93*IF('Assumptions'!$O$93=1,1,'Assumptions'!$D$10)*(1+'Assumptions'!$N$93)^(10-1)</x:f>
        <x:v>166.11786703850123</x:v>
      </x:c>
      <x:c r="J1223" s="10" t="n">
        <x:f>H1223*I1223</x:f>
        <x:v>48321.487291102036</x:v>
      </x:c>
      <x:c r="K1223" s="10" t="n">
        <x:f>J1223*'Assumptions'!$T$93</x:f>
        <x:v>48321.487291102036</x:v>
      </x:c>
      <x:c r="L1223" s="10" t="n">
        <x:f>K1223*'Assumptions'!$U$93</x:f>
        <x:v>1449.644618733061</x:v>
      </x:c>
      <x:c r="M1223" s="10" t="n">
        <x:f>K1223*'Assumptions'!$V$93</x:f>
        <x:v>0</x:v>
      </x:c>
      <x:c r="N1223" s="10" t="n">
        <x:f>K1223-L1223-M1223</x:f>
        <x:v>46871.84267236898</x:v>
      </x:c>
      <x:c r="O1223" s="10" t="n">
        <x:f>H1223*'Assumptions'!$P$93*'Assumptions'!$Q$93*'Assumptions'!$D$11*(1+'Assumptions'!$D$13)^(10-1)</x:f>
        <x:v>1328.3943311135204</x:v>
      </x:c>
      <x:c r="P1223" s="10" t="n">
        <x:f>H1223*'Assumptions'!$R$93*'Assumptions'!$D$11*(1+'Assumptions'!$D$13)^(10-1)</x:f>
        <x:v>3036.3298996880467</x:v>
      </x:c>
      <x:c r="Q1223" s="10" t="n">
        <x:f>J1223*'Assumptions'!$S$93</x:f>
        <x:v>31408.966739216325</x:v>
      </x:c>
      <x:c r="R1223" s="10" t="n">
        <x:f>H1223*'Assumptions'!$Y$93*'Assumptions'!$Z$93*'Assumptions'!$D$11*(1+'Assumptions'!$D$13)^(10-1)</x:f>
        <x:v>2277.2474247660352</x:v>
      </x:c>
      <x:c r="S1223" s="10" t="n">
        <x:f>IF(I1223=0,0,J1223*'Assumptions'!$W$93+H1223*'Assumptions'!$X$93)</x:f>
        <x:v>1488.5891579433153</x:v>
      </x:c>
      <x:c r="T1223" s="10" t="n">
        <x:f>N1223*'Assumptions'!$AA$93</x:f>
        <x:v>1874.8737068947592</x:v>
      </x:c>
      <x:c r="U1223" s="10" t="n">
        <x:f>'Assumptions'!$AE$93*'Assumptions'!$D$11*(1+'Assumptions'!$D$13)^(10-1)</x:f>
        <x:v>0</x:v>
      </x:c>
      <x:c r="V1223" s="10" t="n">
        <x:f>0</x:f>
        <x:v>0</x:v>
      </x:c>
      <x:c r="W1223" s="10" t="n">
        <x:f>H1223*('Assumptions'!$P$93+'Assumptions'!$Y$93)</x:f>
        <x:v>87.2660265013562</x:v>
      </x:c>
      <x:c r="X1223" s="10" t="n">
        <x:f>N1223/12*'Assumptions'!$AF$93</x:f>
        <x:v>0</x:v>
      </x:c>
      <x:c r="Y1223" s="10" t="n">
        <x:f>P1223/12</x:f>
        <x:v>253.02749164067055</x:v>
      </x:c>
      <x:c r="Z1223" s="10" t="n">
        <x:f>0</x:f>
        <x:v>0</x:v>
      </x:c>
      <x:c r="AA1223" s="10" t="n">
        <x:f>Z1223*'Assumptions'!$AC$93*'Assumptions'!$D$11*(1+'Assumptions'!$D$13)^(10-1)</x:f>
        <x:v>0</x:v>
      </x:c>
      <x:c r="AB1223" s="10" t="n">
        <x:f>F1223/1</x:f>
        <x:v>122.20510839714937</x:v>
      </x:c>
      <x:c r="AC1223" s="10" t="n">
        <x:f>AB1223/'Assumptions'!$AM$93</x:f>
        <x:v>814.7007226476625</x:v>
      </x:c>
      <x:c r="AD1223" s="10" t="n">
        <x:f>IF(AB1223=0,0,T1223/AB1223)</x:f>
        <x:v>15.342024007717287</x:v>
      </x:c>
      <x:c r="AE1223" s="10" t="n">
        <x:f>AA1223*'Assumptions'!$D$21</x:f>
        <x:v>0</x:v>
      </x:c>
    </x:row>
    <x:row r="1224" ht="16" customHeight="1">
      <x:c r="A1224" s="1"/>
      <x:c r="B1224" s="1"/>
      <x:c r="C1224" s="1" t="str">
        <x:v>DOT-065</x:v>
      </x:c>
      <x:c r="D1224" s="10" t="str">
        <x:v>S’otality cleaning</x:v>
      </x:c>
      <x:c r="E1224" s="10" t="n">
        <x:v>10</x:v>
      </x:c>
      <x:c r="F1224" s="21" t="n">
        <x:f>F1096*(1+'Assumptions'!$M$94)</x:f>
        <x:v>81.47007226476627</x:v>
      </x:c>
      <x:c r="G1224" s="21" t="n">
        <x:f>H1096*'Assumptions'!$K$94</x:f>
        <x:v>112.45443107158083</x:v>
      </x:c>
      <x:c r="H1224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1224+G1224,NA())</x:f>
        <x:v>193.9245033363471</x:v>
      </x:c>
      <x:c r="I1224" s="22" t="n">
        <x:f>'Assumptions'!$H$94*IF('Assumptions'!$O$94=1,1,'Assumptions'!$D$10)*(1+'Assumptions'!$N$94)^(10-1)</x:f>
        <x:v>190.01971841094746</x:v>
      </x:c>
      <x:c r="J1224" s="10" t="n">
        <x:f>H1224*I1224</x:f>
        <x:v>36849.479516955515</x:v>
      </x:c>
      <x:c r="K1224" s="10" t="n">
        <x:f>J1224*'Assumptions'!$T$94</x:f>
        <x:v>36849.479516955515</x:v>
      </x:c>
      <x:c r="L1224" s="10" t="n">
        <x:f>K1224*'Assumptions'!$U$94</x:f>
        <x:v>1105.4843855086654</x:v>
      </x:c>
      <x:c r="M1224" s="10" t="n">
        <x:f>K1224*'Assumptions'!$V$94</x:f>
        <x:v>0</x:v>
      </x:c>
      <x:c r="N1224" s="10" t="n">
        <x:f>K1224-L1224-M1224</x:f>
        <x:v>35743.99513144685</x:v>
      </x:c>
      <x:c r="O1224" s="10" t="n">
        <x:f>H1224*'Assumptions'!$P$94*'Assumptions'!$Q$94*'Assumptions'!$D$11*(1+'Assumptions'!$D$13)^(10-1)</x:f>
        <x:v>885.5962207423472</x:v>
      </x:c>
      <x:c r="P1224" s="10" t="n">
        <x:f>H1224*'Assumptions'!$R$94*'Assumptions'!$D$11*(1+'Assumptions'!$D$13)^(10-1)</x:f>
        <x:v>2024.219933125365</x:v>
      </x:c>
      <x:c r="Q1224" s="10" t="n">
        <x:f>J1224*'Assumptions'!$S$94</x:f>
        <x:v>23952.161686021085</x:v>
      </x:c>
      <x:c r="R1224" s="10" t="n">
        <x:f>H1224*'Assumptions'!$Y$94*'Assumptions'!$Z$94*'Assumptions'!$D$11*(1+'Assumptions'!$D$13)^(10-1)</x:f>
        <x:v>1518.164949844024</x:v>
      </x:c>
      <x:c r="S1224" s="10" t="n">
        <x:f>IF(I1224=0,0,J1224*'Assumptions'!$W$94+H1224*'Assumptions'!$X$94)</x:f>
        <x:v>1126.812256992614</x:v>
      </x:c>
      <x:c r="T1224" s="10" t="n">
        <x:f>N1224*'Assumptions'!$AA$94</x:f>
        <x:v>1429.759805257874</x:v>
      </x:c>
      <x:c r="U1224" s="10" t="n">
        <x:f>'Assumptions'!$AE$94*'Assumptions'!$D$11*(1+'Assumptions'!$D$13)^(10-1)</x:f>
        <x:v>0</x:v>
      </x:c>
      <x:c r="V1224" s="10" t="n">
        <x:f>0</x:f>
        <x:v>0</x:v>
      </x:c>
      <x:c r="W1224" s="10" t="n">
        <x:f>H1224*('Assumptions'!$P$94+'Assumptions'!$Y$94)</x:f>
        <x:v>58.17735100090414</x:v>
      </x:c>
      <x:c r="X1224" s="10" t="n">
        <x:f>N1224/12*'Assumptions'!$AF$94</x:f>
        <x:v>0</x:v>
      </x:c>
      <x:c r="Y1224" s="10" t="n">
        <x:f>P1224/12</x:f>
        <x:v>168.68499442711376</x:v>
      </x:c>
      <x:c r="Z1224" s="10" t="n">
        <x:f>0</x:f>
        <x:v>0</x:v>
      </x:c>
      <x:c r="AA1224" s="10" t="n">
        <x:f>Z1224*'Assumptions'!$AC$94*'Assumptions'!$D$11*(1+'Assumptions'!$D$13)^(10-1)</x:f>
        <x:v>0</x:v>
      </x:c>
      <x:c r="AB1224" s="10" t="n">
        <x:f>F1224/1</x:f>
        <x:v>81.47007226476627</x:v>
      </x:c>
      <x:c r="AC1224" s="10" t="n">
        <x:f>AB1224/'Assumptions'!$AM$94</x:f>
        <x:v>543.1338150984418</x:v>
      </x:c>
      <x:c r="AD1224" s="10" t="n">
        <x:f>IF(AB1224=0,0,T1224/AB1224)</x:f>
        <x:v>17.549509476453583</x:v>
      </x:c>
      <x:c r="AE1224" s="10" t="n">
        <x:f>AA1224*'Assumptions'!$D$21</x:f>
        <x:v>0</x:v>
      </x:c>
    </x:row>
    <x:row r="1225" ht="16" customHeight="1">
      <x:c r="A1225" s="1"/>
      <x:c r="B1225" s="1"/>
      <x:c r="C1225" s="1" t="str">
        <x:v>DOT-066</x:v>
      </x:c>
      <x:c r="D1225" s="10" t="str">
        <x:v>S’otality cleaning</x:v>
      </x:c>
      <x:c r="E1225" s="10" t="n">
        <x:v>10</x:v>
      </x:c>
      <x:c r="F1225" s="21" t="n">
        <x:f>F1097*(1+'Assumptions'!$M$95)</x:f>
        <x:v>122.20510839714937</x:v>
      </x:c>
      <x:c r="G1225" s="21" t="n">
        <x:f>H1097*'Assumptions'!$K$95</x:f>
        <x:v>168.6816466073712</x:v>
      </x:c>
      <x:c r="H1225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1225+G1225,NA())</x:f>
        <x:v>290.8867550045206</x:v>
      </x:c>
      <x:c r="I1225" s="22" t="n">
        <x:f>'Assumptions'!$H$95*IF('Assumptions'!$O$95=1,1,'Assumptions'!$D$10)*(1+'Assumptions'!$N$95)^(10-1)</x:f>
        <x:v>178.06879272472435</x:v>
      </x:c>
      <x:c r="J1225" s="10" t="n">
        <x:f>H1225*I1225</x:f>
        <x:v>51797.85328326765</x:v>
      </x:c>
      <x:c r="K1225" s="10" t="n">
        <x:f>J1225*'Assumptions'!$T$95</x:f>
        <x:v>51797.85328326765</x:v>
      </x:c>
      <x:c r="L1225" s="10" t="n">
        <x:f>K1225*'Assumptions'!$U$95</x:f>
        <x:v>1553.9355984980295</x:v>
      </x:c>
      <x:c r="M1225" s="10" t="n">
        <x:f>K1225*'Assumptions'!$V$95</x:f>
        <x:v>0</x:v>
      </x:c>
      <x:c r="N1225" s="10" t="n">
        <x:f>K1225-L1225-M1225</x:f>
        <x:v>50243.91768476962</x:v>
      </x:c>
      <x:c r="O1225" s="10" t="n">
        <x:f>H1225*'Assumptions'!$P$95*'Assumptions'!$Q$95*'Assumptions'!$D$11*(1+'Assumptions'!$D$13)^(10-1)</x:f>
        <x:v>1328.3943311135204</x:v>
      </x:c>
      <x:c r="P1225" s="10" t="n">
        <x:f>H1225*'Assumptions'!$R$95*'Assumptions'!$D$11*(1+'Assumptions'!$D$13)^(10-1)</x:f>
        <x:v>3036.3298996880467</x:v>
      </x:c>
      <x:c r="Q1225" s="10" t="n">
        <x:f>J1225*'Assumptions'!$S$95</x:f>
        <x:v>33668.60463412397</x:v>
      </x:c>
      <x:c r="R1225" s="10" t="n">
        <x:f>H1225*'Assumptions'!$Y$95*'Assumptions'!$Z$95*'Assumptions'!$D$11*(1+'Assumptions'!$D$13)^(10-1)</x:f>
        <x:v>2277.2474247660352</x:v>
      </x:c>
      <x:c r="S1225" s="10" t="n">
        <x:f>IF(I1225=0,0,J1225*'Assumptions'!$W$95+H1225*'Assumptions'!$X$95)</x:f>
        <x:v>1589.4037717161182</x:v>
      </x:c>
      <x:c r="T1225" s="10" t="n">
        <x:f>N1225*'Assumptions'!$AA$95</x:f>
        <x:v>2009.7567073907849</x:v>
      </x:c>
      <x:c r="U1225" s="10" t="n">
        <x:f>'Assumptions'!$AE$95*'Assumptions'!$D$11*(1+'Assumptions'!$D$13)^(10-1)</x:f>
        <x:v>0</x:v>
      </x:c>
      <x:c r="V1225" s="10" t="n">
        <x:f>0</x:f>
        <x:v>0</x:v>
      </x:c>
      <x:c r="W1225" s="10" t="n">
        <x:f>H1225*('Assumptions'!$P$95+'Assumptions'!$Y$95)</x:f>
        <x:v>87.2660265013562</x:v>
      </x:c>
      <x:c r="X1225" s="10" t="n">
        <x:f>N1225/12*'Assumptions'!$AF$95</x:f>
        <x:v>0</x:v>
      </x:c>
      <x:c r="Y1225" s="10" t="n">
        <x:f>P1225/12</x:f>
        <x:v>253.02749164067055</x:v>
      </x:c>
      <x:c r="Z1225" s="10" t="n">
        <x:f>0</x:f>
        <x:v>0</x:v>
      </x:c>
      <x:c r="AA1225" s="10" t="n">
        <x:f>Z1225*'Assumptions'!$AC$95*'Assumptions'!$D$11*(1+'Assumptions'!$D$13)^(10-1)</x:f>
        <x:v>0</x:v>
      </x:c>
      <x:c r="AB1225" s="10" t="n">
        <x:f>F1225/1</x:f>
        <x:v>122.20510839714937</x:v>
      </x:c>
      <x:c r="AC1225" s="10" t="n">
        <x:f>AB1225/'Assumptions'!$AM$95</x:f>
        <x:v>814.7007226476625</x:v>
      </x:c>
      <x:c r="AD1225" s="10" t="n">
        <x:f>IF(AB1225=0,0,T1225/AB1225)</x:f>
        <x:v>16.445766742085436</x:v>
      </x:c>
      <x:c r="AE1225" s="10" t="n">
        <x:f>AA1225*'Assumptions'!$D$21</x:f>
        <x:v>0</x:v>
      </x:c>
    </x:row>
    <x:row r="1226" ht="16" customHeight="1">
      <x:c r="A1226" s="1"/>
      <x:c r="B1226" s="1"/>
      <x:c r="C1226" s="1" t="str">
        <x:v>DOT-067</x:v>
      </x:c>
      <x:c r="D1226" s="10" t="str">
        <x:v>S’otality cleaning</x:v>
      </x:c>
      <x:c r="E1226" s="10" t="n">
        <x:v>10</x:v>
      </x:c>
      <x:c r="F1226" s="21" t="n">
        <x:f>F1098*(1+'Assumptions'!$M$96)</x:f>
        <x:v>54.31338150984419</x:v>
      </x:c>
      <x:c r="G1226" s="21" t="n">
        <x:f>H1098*'Assumptions'!$K$96</x:f>
        <x:v>74.96962071438723</x:v>
      </x:c>
      <x:c r="H1226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1226+G1226,NA())</x:f>
        <x:v>129.28300222423144</x:v>
      </x:c>
      <x:c r="I1226" s="22" t="n">
        <x:f>'Assumptions'!$H$96*IF('Assumptions'!$O$96=1,1,'Assumptions'!$D$10)*(1+'Assumptions'!$N$96)^(10-1)</x:f>
        <x:v>237.8234211558399</x:v>
      </x:c>
      <x:c r="J1226" s="10" t="n">
        <x:f>H1226*I1226</x:f>
        <x:v>30746.52588626478</x:v>
      </x:c>
      <x:c r="K1226" s="10" t="n">
        <x:f>J1226*'Assumptions'!$T$96</x:f>
        <x:v>30746.52588626478</x:v>
      </x:c>
      <x:c r="L1226" s="10" t="n">
        <x:f>K1226*'Assumptions'!$U$96</x:f>
        <x:v>922.3957765879434</x:v>
      </x:c>
      <x:c r="M1226" s="10" t="n">
        <x:f>K1226*'Assumptions'!$V$96</x:f>
        <x:v>0</x:v>
      </x:c>
      <x:c r="N1226" s="10" t="n">
        <x:f>K1226-L1226-M1226</x:f>
        <x:v>29824.130109676837</x:v>
      </x:c>
      <x:c r="O1226" s="10" t="n">
        <x:f>H1226*'Assumptions'!$P$96*'Assumptions'!$Q$96*'Assumptions'!$D$11*(1+'Assumptions'!$D$13)^(10-1)</x:f>
        <x:v>590.3974804948983</x:v>
      </x:c>
      <x:c r="P1226" s="10" t="n">
        <x:f>H1226*'Assumptions'!$R$96*'Assumptions'!$D$11*(1+'Assumptions'!$D$13)^(10-1)</x:f>
        <x:v>1349.4799554169103</x:v>
      </x:c>
      <x:c r="Q1226" s="10" t="n">
        <x:f>J1226*'Assumptions'!$S$96</x:f>
        <x:v>19985.241826072106</x:v>
      </x:c>
      <x:c r="R1226" s="10" t="n">
        <x:f>H1226*'Assumptions'!$Y$96*'Assumptions'!$Z$96*'Assumptions'!$D$11*(1+'Assumptions'!$D$13)^(10-1)</x:f>
        <x:v>1012.109966562683</x:v>
      </x:c>
      <x:c r="S1226" s="10" t="n">
        <x:f>IF(I1226=0,0,J1226*'Assumptions'!$W$96+H1226*'Assumptions'!$X$96)</x:f>
        <x:v>930.434151368948</x:v>
      </x:c>
      <x:c r="T1226" s="10" t="n">
        <x:f>N1226*'Assumptions'!$AA$96</x:f>
        <x:v>1192.9652043870735</x:v>
      </x:c>
      <x:c r="U1226" s="10" t="n">
        <x:f>'Assumptions'!$AE$96*'Assumptions'!$D$11*(1+'Assumptions'!$D$13)^(10-1)</x:f>
        <x:v>0</x:v>
      </x:c>
      <x:c r="V1226" s="10" t="n">
        <x:f>0</x:f>
        <x:v>0</x:v>
      </x:c>
      <x:c r="W1226" s="10" t="n">
        <x:f>H1226*('Assumptions'!$P$96+'Assumptions'!$Y$96)</x:f>
        <x:v>38.78490066726944</x:v>
      </x:c>
      <x:c r="X1226" s="10" t="n">
        <x:f>N1226/12*'Assumptions'!$AF$96</x:f>
        <x:v>0</x:v>
      </x:c>
      <x:c r="Y1226" s="10" t="n">
        <x:f>P1226/12</x:f>
        <x:v>112.4566629514092</x:v>
      </x:c>
      <x:c r="Z1226" s="10" t="n">
        <x:f>0</x:f>
        <x:v>0</x:v>
      </x:c>
      <x:c r="AA1226" s="10" t="n">
        <x:f>Z1226*'Assumptions'!$AC$96*'Assumptions'!$D$11*(1+'Assumptions'!$D$13)^(10-1)</x:f>
        <x:v>0</x:v>
      </x:c>
      <x:c r="AB1226" s="10" t="n">
        <x:f>F1226/1</x:f>
        <x:v>54.31338150984419</x:v>
      </x:c>
      <x:c r="AC1226" s="10" t="n">
        <x:f>AB1226/'Assumptions'!$AM$96</x:f>
        <x:v>362.089210065628</x:v>
      </x:c>
      <x:c r="AD1226" s="10" t="n">
        <x:f>IF(AB1226=0,0,T1226/AB1226)</x:f>
        <x:v>21.96448041392619</x:v>
      </x:c>
      <x:c r="AE1226" s="10" t="n">
        <x:f>AA1226*'Assumptions'!$D$21</x:f>
        <x:v>0</x:v>
      </x:c>
    </x:row>
    <x:row r="1227" ht="16" customHeight="1">
      <x:c r="A1227" s="1"/>
      <x:c r="B1227" s="1"/>
      <x:c r="C1227" s="1" t="str">
        <x:v>DOT-068</x:v>
      </x:c>
      <x:c r="D1227" s="10" t="str">
        <x:v>S’otality cleaning</x:v>
      </x:c>
      <x:c r="E1227" s="10" t="n">
        <x:v>10</x:v>
      </x:c>
      <x:c r="F1227" s="21" t="n">
        <x:f>F1099*(1+'Assumptions'!$M$97)</x:f>
        <x:v>81.47007226476627</x:v>
      </x:c>
      <x:c r="G1227" s="21" t="n">
        <x:f>H1099*'Assumptions'!$K$97</x:f>
        <x:v>112.45443107158083</x:v>
      </x:c>
      <x:c r="H1227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1227+G1227,NA())</x:f>
        <x:v>193.9245033363471</x:v>
      </x:c>
      <x:c r="I1227" s="22" t="n">
        <x:f>'Assumptions'!$H$97*IF('Assumptions'!$O$97=1,1,'Assumptions'!$D$10)*(1+'Assumptions'!$N$97)^(10-1)</x:f>
        <x:v>225.87249546961678</x:v>
      </x:c>
      <x:c r="J1227" s="10" t="n">
        <x:f>H1227*I1227</x:f>
        <x:v>43802.21150128674</x:v>
      </x:c>
      <x:c r="K1227" s="10" t="n">
        <x:f>J1227*'Assumptions'!$T$97</x:f>
        <x:v>43802.21150128674</x:v>
      </x:c>
      <x:c r="L1227" s="10" t="n">
        <x:f>K1227*'Assumptions'!$U$97</x:f>
        <x:v>1314.0663450386023</x:v>
      </x:c>
      <x:c r="M1227" s="10" t="n">
        <x:f>K1227*'Assumptions'!$V$97</x:f>
        <x:v>0</x:v>
      </x:c>
      <x:c r="N1227" s="10" t="n">
        <x:f>K1227-L1227-M1227</x:f>
        <x:v>42488.14515624814</x:v>
      </x:c>
      <x:c r="O1227" s="10" t="n">
        <x:f>H1227*'Assumptions'!$P$97*'Assumptions'!$Q$97*'Assumptions'!$D$11*(1+'Assumptions'!$D$13)^(10-1)</x:f>
        <x:v>885.5962207423472</x:v>
      </x:c>
      <x:c r="P1227" s="10" t="n">
        <x:f>H1227*'Assumptions'!$R$97*'Assumptions'!$D$11*(1+'Assumptions'!$D$13)^(10-1)</x:f>
        <x:v>2024.219933125365</x:v>
      </x:c>
      <x:c r="Q1227" s="10" t="n">
        <x:f>J1227*'Assumptions'!$S$97</x:f>
        <x:v>28471.437475836385</x:v>
      </x:c>
      <x:c r="R1227" s="10" t="n">
        <x:f>H1227*'Assumptions'!$Y$97*'Assumptions'!$Z$97*'Assumptions'!$D$11*(1+'Assumptions'!$D$13)^(10-1)</x:f>
        <x:v>1518.164949844024</x:v>
      </x:c>
      <x:c r="S1227" s="10" t="n">
        <x:f>IF(I1227=0,0,J1227*'Assumptions'!$W$97+H1227*'Assumptions'!$X$97)</x:f>
        <x:v>1328.4414845382198</x:v>
      </x:c>
      <x:c r="T1227" s="10" t="n">
        <x:f>N1227*'Assumptions'!$AA$97</x:f>
        <x:v>1699.5258062499256</x:v>
      </x:c>
      <x:c r="U1227" s="10" t="n">
        <x:f>'Assumptions'!$AE$97*'Assumptions'!$D$11*(1+'Assumptions'!$D$13)^(10-1)</x:f>
        <x:v>0</x:v>
      </x:c>
      <x:c r="V1227" s="10" t="n">
        <x:f>0</x:f>
        <x:v>0</x:v>
      </x:c>
      <x:c r="W1227" s="10" t="n">
        <x:f>H1227*('Assumptions'!$P$97+'Assumptions'!$Y$97)</x:f>
        <x:v>58.17735100090414</x:v>
      </x:c>
      <x:c r="X1227" s="10" t="n">
        <x:f>N1227/12*'Assumptions'!$AF$97</x:f>
        <x:v>0</x:v>
      </x:c>
      <x:c r="Y1227" s="10" t="n">
        <x:f>P1227/12</x:f>
        <x:v>168.68499442711376</x:v>
      </x:c>
      <x:c r="Z1227" s="10" t="n">
        <x:f>0</x:f>
        <x:v>0</x:v>
      </x:c>
      <x:c r="AA1227" s="10" t="n">
        <x:f>Z1227*'Assumptions'!$AC$97*'Assumptions'!$D$11*(1+'Assumptions'!$D$13)^(10-1)</x:f>
        <x:v>0</x:v>
      </x:c>
      <x:c r="AB1227" s="10" t="n">
        <x:f>F1227/1</x:f>
        <x:v>81.47007226476627</x:v>
      </x:c>
      <x:c r="AC1227" s="10" t="n">
        <x:f>AB1227/'Assumptions'!$AM$97</x:f>
        <x:v>543.1338150984418</x:v>
      </x:c>
      <x:c r="AD1227" s="10" t="n">
        <x:f>IF(AB1227=0,0,T1227/AB1227)</x:f>
        <x:v>20.86073767955803</x:v>
      </x:c>
      <x:c r="AE1227" s="10" t="n">
        <x:f>AA1227*'Assumptions'!$D$21</x:f>
        <x:v>0</x:v>
      </x:c>
    </x:row>
    <x:row r="1228" ht="16" customHeight="1">
      <x:c r="A1228" s="1"/>
      <x:c r="B1228" s="1"/>
      <x:c r="C1228" s="1" t="str">
        <x:v>DOT-069</x:v>
      </x:c>
      <x:c r="D1228" s="10" t="str">
        <x:v>S’otality cleaning</x:v>
      </x:c>
      <x:c r="E1228" s="10" t="n">
        <x:v>10</x:v>
      </x:c>
      <x:c r="F1228" s="21" t="n">
        <x:f>F1100*(1+'Assumptions'!$M$98)</x:f>
        <x:v>27.156690754922096</x:v>
      </x:c>
      <x:c r="G1228" s="21" t="n">
        <x:f>H1100*'Assumptions'!$K$98</x:f>
        <x:v>37.484810357193616</x:v>
      </x:c>
      <x:c r="H1228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1228+G1228,NA())</x:f>
        <x:v>64.64150111211572</x:v>
      </x:c>
      <x:c r="I1228" s="22" t="n">
        <x:f>'Assumptions'!$H$98*IF('Assumptions'!$O$98=1,1,'Assumptions'!$D$10)*(1+'Assumptions'!$N$98)^(10-1)</x:f>
        <x:v>357.332678018071</x:v>
      </x:c>
      <x:c r="J1228" s="10" t="n">
        <x:f>H1228*I1228</x:f>
        <x:v>23098.520703500428</x:v>
      </x:c>
      <x:c r="K1228" s="10" t="n">
        <x:f>J1228*'Assumptions'!$T$98</x:f>
        <x:v>23098.520703500428</x:v>
      </x:c>
      <x:c r="L1228" s="10" t="n">
        <x:f>K1228*'Assumptions'!$U$98</x:f>
        <x:v>692.9556211050128</x:v>
      </x:c>
      <x:c r="M1228" s="10" t="n">
        <x:f>K1228*'Assumptions'!$V$98</x:f>
        <x:v>0</x:v>
      </x:c>
      <x:c r="N1228" s="10" t="n">
        <x:f>K1228-L1228-M1228</x:f>
        <x:v>22405.565082395417</x:v>
      </x:c>
      <x:c r="O1228" s="10" t="n">
        <x:f>H1228*'Assumptions'!$P$98*'Assumptions'!$Q$98*'Assumptions'!$D$11*(1+'Assumptions'!$D$13)^(10-1)</x:f>
        <x:v>295.19874024744917</x:v>
      </x:c>
      <x:c r="P1228" s="10" t="n">
        <x:f>H1228*'Assumptions'!$R$98*'Assumptions'!$D$11*(1+'Assumptions'!$D$13)^(10-1)</x:f>
        <x:v>674.7399777084552</x:v>
      </x:c>
      <x:c r="Q1228" s="10" t="n">
        <x:f>J1228*'Assumptions'!$S$98</x:f>
        <x:v>15014.03845727528</x:v>
      </x:c>
      <x:c r="R1228" s="10" t="n">
        <x:f>H1228*'Assumptions'!$Y$98*'Assumptions'!$Z$98*'Assumptions'!$D$11*(1+'Assumptions'!$D$13)^(10-1)</x:f>
        <x:v>506.0549832813415</x:v>
      </x:c>
      <x:c r="S1228" s="10" t="n">
        <x:f>IF(I1228=0,0,J1228*'Assumptions'!$W$98+H1228*'Assumptions'!$X$98)</x:f>
        <x:v>689.2495507351472</x:v>
      </x:c>
      <x:c r="T1228" s="10" t="n">
        <x:f>N1228*'Assumptions'!$AA$98</x:f>
        <x:v>896.2226032958167</x:v>
      </x:c>
      <x:c r="U1228" s="10" t="n">
        <x:f>'Assumptions'!$AE$98*'Assumptions'!$D$11*(1+'Assumptions'!$D$13)^(10-1)</x:f>
        <x:v>0</x:v>
      </x:c>
      <x:c r="V1228" s="10" t="n">
        <x:f>0</x:f>
        <x:v>0</x:v>
      </x:c>
      <x:c r="W1228" s="10" t="n">
        <x:f>H1228*('Assumptions'!$P$98+'Assumptions'!$Y$98)</x:f>
        <x:v>19.39245033363472</x:v>
      </x:c>
      <x:c r="X1228" s="10" t="n">
        <x:f>N1228/12*'Assumptions'!$AF$98</x:f>
        <x:v>0</x:v>
      </x:c>
      <x:c r="Y1228" s="10" t="n">
        <x:f>P1228/12</x:f>
        <x:v>56.2283314757046</x:v>
      </x:c>
      <x:c r="Z1228" s="10" t="n">
        <x:f>0</x:f>
        <x:v>0</x:v>
      </x:c>
      <x:c r="AA1228" s="10" t="n">
        <x:f>Z1228*'Assumptions'!$AC$98*'Assumptions'!$D$11*(1+'Assumptions'!$D$13)^(10-1)</x:f>
        <x:v>0</x:v>
      </x:c>
      <x:c r="AB1228" s="10" t="n">
        <x:f>F1228/1</x:f>
        <x:v>27.156690754922096</x:v>
      </x:c>
      <x:c r="AC1228" s="10" t="n">
        <x:f>AB1228/'Assumptions'!$AM$98</x:f>
        <x:v>181.044605032814</x:v>
      </x:c>
      <x:c r="AD1228" s="10" t="n">
        <x:f>IF(AB1228=0,0,T1228/AB1228)</x:f>
        <x:v>33.0019077576077</x:v>
      </x:c>
      <x:c r="AE1228" s="10" t="n">
        <x:f>AA1228*'Assumptions'!$D$21</x:f>
        <x:v>0</x:v>
      </x:c>
    </x:row>
    <x:row r="1229" ht="16" customHeight="1">
      <x:c r="A1229" s="1"/>
      <x:c r="B1229" s="1"/>
      <x:c r="C1229" s="1" t="str">
        <x:v>DOT-070</x:v>
      </x:c>
      <x:c r="D1229" s="10" t="str">
        <x:v>S’otality laundry</x:v>
      </x:c>
      <x:c r="E1229" s="10" t="n">
        <x:v>10</x:v>
      </x:c>
      <x:c r="F1229" s="21" t="n">
        <x:f>F1101*(1+'Assumptions'!$M$99)</x:f>
        <x:v>244.41021679429875</x:v>
      </x:c>
      <x:c r="G1229" s="21" t="n">
        <x:f>H1101*'Assumptions'!$K$99</x:f>
        <x:v>337.3632932147424</x:v>
      </x:c>
      <x:c r="H1229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1229+G1229,NA())</x:f>
        <x:v>581.7735100090412</x:v>
      </x:c>
      <x:c r="I1229" s="22" t="n">
        <x:f>'Assumptions'!$H$99*IF('Assumptions'!$O$99=1,1,'Assumptions'!$D$10)*(1+'Assumptions'!$N$99)^(10-1)</x:f>
        <x:v>71.70555411733866</x:v>
      </x:c>
      <x:c r="J1229" s="10" t="n">
        <x:f>H1229*I1229</x:f>
        <x:v>41716.391905987366</x:v>
      </x:c>
      <x:c r="K1229" s="10" t="n">
        <x:f>J1229*'Assumptions'!$T$99</x:f>
        <x:v>41716.391905987366</x:v>
      </x:c>
      <x:c r="L1229" s="10" t="n">
        <x:f>K1229*'Assumptions'!$U$99</x:f>
        <x:v>1251.491757179621</x:v>
      </x:c>
      <x:c r="M1229" s="10" t="n">
        <x:f>K1229*'Assumptions'!$V$99</x:f>
        <x:v>0</x:v>
      </x:c>
      <x:c r="N1229" s="10" t="n">
        <x:f>K1229-L1229-M1229</x:f>
        <x:v>40464.90014880775</x:v>
      </x:c>
      <x:c r="O1229" s="10" t="n">
        <x:f>H1229*'Assumptions'!$P$99*'Assumptions'!$Q$99*'Assumptions'!$D$11*(1+'Assumptions'!$D$13)^(10-1)</x:f>
        <x:v>2656.7886622270407</x:v>
      </x:c>
      <x:c r="P1229" s="10" t="n">
        <x:f>H1229*'Assumptions'!$R$99*'Assumptions'!$D$11*(1+'Assumptions'!$D$13)^(10-1)</x:f>
        <x:v>0</x:v>
      </x:c>
      <x:c r="Q1229" s="10" t="n">
        <x:f>J1229*'Assumptions'!$S$99</x:f>
        <x:v>27115.65473889179</x:v>
      </x:c>
      <x:c r="R1229" s="10" t="n">
        <x:f>H1229*'Assumptions'!$Y$99*'Assumptions'!$Z$99*'Assumptions'!$D$11*(1+'Assumptions'!$D$13)^(10-1)</x:f>
        <x:v>4554.4948495320705</x:v>
      </x:c>
      <x:c r="S1229" s="10" t="n">
        <x:f>IF(I1229=0,0,J1229*'Assumptions'!$W$99+H1229*'Assumptions'!$X$99)</x:f>
        <x:v>1384.307418276346</x:v>
      </x:c>
      <x:c r="T1229" s="10" t="n">
        <x:f>N1229*'Assumptions'!$AA$99</x:f>
        <x:v>1618.59600595231</x:v>
      </x:c>
      <x:c r="U1229" s="10" t="n">
        <x:f>'Assumptions'!$AE$99*'Assumptions'!$D$11*(1+'Assumptions'!$D$13)^(10-1)</x:f>
        <x:v>0</x:v>
      </x:c>
      <x:c r="V1229" s="10" t="n">
        <x:f>0</x:f>
        <x:v>0</x:v>
      </x:c>
      <x:c r="W1229" s="10" t="n">
        <x:f>H1229*('Assumptions'!$P$99+'Assumptions'!$Y$99)</x:f>
        <x:v>174.5320530027124</x:v>
      </x:c>
      <x:c r="X1229" s="10" t="n">
        <x:f>N1229/12*'Assumptions'!$AF$99</x:f>
        <x:v>0</x:v>
      </x:c>
      <x:c r="Y1229" s="10" t="n">
        <x:f>P1229/12</x:f>
        <x:v>0</x:v>
      </x:c>
      <x:c r="Z1229" s="10" t="n">
        <x:f>0</x:f>
        <x:v>0</x:v>
      </x:c>
      <x:c r="AA1229" s="10" t="n">
        <x:f>Z1229*'Assumptions'!$AC$99*'Assumptions'!$D$11*(1+'Assumptions'!$D$13)^(10-1)</x:f>
        <x:v>0</x:v>
      </x:c>
      <x:c r="AB1229" s="10" t="n">
        <x:f>F1229/1</x:f>
        <x:v>244.41021679429875</x:v>
      </x:c>
      <x:c r="AC1229" s="10" t="n">
        <x:f>AB1229/'Assumptions'!$AM$99</x:f>
        <x:v>1629.401445295325</x:v>
      </x:c>
      <x:c r="AD1229" s="10" t="n">
        <x:f>IF(AB1229=0,0,T1229/AB1229)</x:f>
        <x:v>6.622456406208901</x:v>
      </x:c>
      <x:c r="AE1229" s="10" t="n">
        <x:f>AA1229*'Assumptions'!$D$21</x:f>
        <x:v>0</x:v>
      </x:c>
    </x:row>
    <x:row r="1230" ht="16" customHeight="1">
      <x:c r="A1230" s="1"/>
      <x:c r="B1230" s="1"/>
      <x:c r="C1230" s="1" t="str">
        <x:v>DOT-071</x:v>
      </x:c>
      <x:c r="D1230" s="10" t="str">
        <x:v>S’otality Personal Chef</x:v>
      </x:c>
      <x:c r="E1230" s="10" t="n">
        <x:v>10</x:v>
      </x:c>
      <x:c r="F1230" s="21" t="n">
        <x:f>F1102*(1+'Assumptions'!$M$100)</x:f>
        <x:v>40.73503613238314</x:v>
      </x:c>
      <x:c r="G1230" s="21" t="n">
        <x:f>H1102*'Assumptions'!$K$100</x:f>
        <x:v>56.07605009579042</x:v>
      </x:c>
      <x:c r="H1230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1230+G1230,NA())</x:f>
        <x:v>96.81108622817356</x:v>
      </x:c>
      <x:c r="I1230" s="22" t="n">
        <x:f>'Assumptions'!$H$100*IF('Assumptions'!$O$100=1,1,'Assumptions'!$D$10)*(1+'Assumptions'!$N$100)^(10-1)</x:f>
        <x:v>776.8101696045022</x:v>
      </x:c>
      <x:c r="J1230" s="10" t="n">
        <x:f>H1230*I1230</x:f>
        <x:v>75203.8363125036</x:v>
      </x:c>
      <x:c r="K1230" s="10" t="n">
        <x:f>J1230*'Assumptions'!$T$100</x:f>
        <x:v>75203.8363125036</x:v>
      </x:c>
      <x:c r="L1230" s="10" t="n">
        <x:f>K1230*'Assumptions'!$U$100</x:f>
        <x:v>2256.115089375108</x:v>
      </x:c>
      <x:c r="M1230" s="10" t="n">
        <x:f>K1230*'Assumptions'!$V$100</x:f>
        <x:v>0</x:v>
      </x:c>
      <x:c r="N1230" s="10" t="n">
        <x:f>K1230-L1230-M1230</x:f>
        <x:v>72947.7212231285</x:v>
      </x:c>
      <x:c r="O1230" s="10" t="n">
        <x:f>H1230*'Assumptions'!$P$100*'Assumptions'!$Q$100*'Assumptions'!$D$11*(1+'Assumptions'!$D$13)^(10-1)</x:f>
        <x:v>2526.330184158032</x:v>
      </x:c>
      <x:c r="P1230" s="10" t="n">
        <x:f>H1230*'Assumptions'!$R$100*'Assumptions'!$D$11*(1+'Assumptions'!$D$13)^(10-1)</x:f>
        <x:v>12631.65092079016</x:v>
      </x:c>
      <x:c r="Q1230" s="10" t="n">
        <x:f>J1230*'Assumptions'!$S$100</x:f>
        <x:v>37601.9181562518</x:v>
      </x:c>
      <x:c r="R1230" s="10" t="n">
        <x:f>H1230*'Assumptions'!$Y$100*'Assumptions'!$Z$100*'Assumptions'!$D$11*(1+'Assumptions'!$D$13)^(10-1)</x:f>
        <x:v>757.8990552474095</x:v>
      </x:c>
      <x:c r="S1230" s="10" t="n">
        <x:f>IF(I1230=0,0,J1230*'Assumptions'!$W$100+H1230*'Assumptions'!$X$100)</x:f>
        <x:v>2209.9545789310564</x:v>
      </x:c>
      <x:c r="T1230" s="10" t="n">
        <x:f>N1230*'Assumptions'!$AA$100</x:f>
        <x:v>2917.90884892514</x:v>
      </x:c>
      <x:c r="U1230" s="10" t="n">
        <x:f>'Assumptions'!$AE$100*'Assumptions'!$D$11*(1+'Assumptions'!$D$13)^(10-1)</x:f>
        <x:v>0</x:v>
      </x:c>
      <x:c r="V1230" s="10" t="n">
        <x:f>0</x:f>
        <x:v>0</x:v>
      </x:c>
      <x:c r="W1230" s="10" t="n">
        <x:f>H1230*('Assumptions'!$P$100+'Assumptions'!$Y$100)</x:f>
        <x:v>67.76776035972149</x:v>
      </x:c>
      <x:c r="X1230" s="10" t="n">
        <x:f>N1230/12*'Assumptions'!$AF$100</x:f>
        <x:v>0</x:v>
      </x:c>
      <x:c r="Y1230" s="10" t="n">
        <x:f>P1230/12</x:f>
        <x:v>1052.6375767325133</x:v>
      </x:c>
      <x:c r="Z1230" s="10" t="n">
        <x:f>0</x:f>
        <x:v>0</x:v>
      </x:c>
      <x:c r="AA1230" s="10" t="n">
        <x:f>Z1230*'Assumptions'!$AC$100*'Assumptions'!$D$11*(1+'Assumptions'!$D$13)^(10-1)</x:f>
        <x:v>0</x:v>
      </x:c>
      <x:c r="AB1230" s="10" t="n">
        <x:f>F1230/1</x:f>
        <x:v>40.73503613238314</x:v>
      </x:c>
      <x:c r="AC1230" s="10" t="n">
        <x:f>AB1230/'Assumptions'!$AM$100</x:f>
        <x:v>271.5669075492209</x:v>
      </x:c>
      <x:c r="AD1230" s="10" t="n">
        <x:f>IF(AB1230=0,0,T1230/AB1230)</x:f>
        <x:v>71.63142900971897</x:v>
      </x:c>
      <x:c r="AE1230" s="10" t="n">
        <x:f>AA1230*'Assumptions'!$D$21</x:f>
        <x:v>0</x:v>
      </x:c>
    </x:row>
    <x:row r="1231" ht="16" customHeight="1">
      <x:c r="A1231" s="1"/>
      <x:c r="B1231" s="1"/>
      <x:c r="C1231" s="1" t="str">
        <x:v>DOT-072</x:v>
      </x:c>
      <x:c r="D1231" s="10" t="str">
        <x:v>S’otality interiors</x:v>
      </x:c>
      <x:c r="E1231" s="10" t="n">
        <x:v>10</x:v>
      </x:c>
      <x:c r="F1231" s="21" t="n">
        <x:f>F1103*(1+'Assumptions'!$M$101)</x:f>
        <x:v>15.275638549643672</x:v>
      </x:c>
      <x:c r="G1231" s="21" t="n">
        <x:f>H1103*'Assumptions'!$K$101</x:f>
        <x:v>14.359798897069503</x:v>
      </x:c>
      <x:c r="H1231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1231+G1231,NA())</x:f>
        <x:v>29.635437446713176</x:v>
      </x:c>
      <x:c r="I1231" s="22" t="n">
        <x:f>'Assumptions'!$H$101*IF('Assumptions'!$O$101=1,1,'Assumptions'!$D$10)*(1+'Assumptions'!$N$101)^(10-1)</x:f>
        <x:v>1792.6388529334665</x:v>
      </x:c>
      <x:c r="J1231" s="10" t="n">
        <x:f>H1231*I1231</x:f>
        <x:v>53125.63659065741</x:v>
      </x:c>
      <x:c r="K1231" s="10" t="n">
        <x:f>J1231*'Assumptions'!$T$101</x:f>
        <x:v>53125.63659065741</x:v>
      </x:c>
      <x:c r="L1231" s="10" t="n">
        <x:f>K1231*'Assumptions'!$U$101</x:f>
        <x:v>1593.7690977197221</x:v>
      </x:c>
      <x:c r="M1231" s="10" t="n">
        <x:f>K1231*'Assumptions'!$V$101</x:f>
        <x:v>0</x:v>
      </x:c>
      <x:c r="N1231" s="10" t="n">
        <x:f>K1231-L1231-M1231</x:f>
        <x:v>51531.86749293769</x:v>
      </x:c>
      <x:c r="O1231" s="10" t="n">
        <x:f>H1231*'Assumptions'!$P$101*'Assumptions'!$Q$101*'Assumptions'!$D$11*(1+'Assumptions'!$D$13)^(10-1)</x:f>
        <x:v>21267.13823933621</x:v>
      </x:c>
      <x:c r="P1231" s="10" t="n">
        <x:f>H1231*'Assumptions'!$R$101*'Assumptions'!$D$11*(1+'Assumptions'!$D$13)^(10-1)</x:f>
        <x:v>1933.376203576019</x:v>
      </x:c>
      <x:c r="Q1231" s="10" t="n">
        <x:f>J1231*'Assumptions'!$S$101</x:f>
        <x:v>0</x:v>
      </x:c>
      <x:c r="R1231" s="10" t="n">
        <x:f>H1231*'Assumptions'!$Y$101*'Assumptions'!$Z$101*'Assumptions'!$D$11*(1+'Assumptions'!$D$13)^(10-1)</x:f>
        <x:v>290.00643053640283</x:v>
      </x:c>
      <x:c r="S1231" s="10" t="n">
        <x:f>IF(I1231=0,0,J1231*'Assumptions'!$W$101+H1231*'Assumptions'!$X$101)</x:f>
        <x:v>1549.5340923630788</x:v>
      </x:c>
      <x:c r="T1231" s="10" t="n">
        <x:f>N1231*'Assumptions'!$AA$101</x:f>
        <x:v>2061.2746997175077</x:v>
      </x:c>
      <x:c r="U1231" s="10" t="n">
        <x:f>'Assumptions'!$AE$101*'Assumptions'!$D$11*(1+'Assumptions'!$D$13)^(10-1)</x:f>
        <x:v>0</x:v>
      </x:c>
      <x:c r="V1231" s="10" t="n">
        <x:f>0</x:f>
        <x:v>0</x:v>
      </x:c>
      <x:c r="W1231" s="10" t="n">
        <x:f>H1231*('Assumptions'!$P$101+'Assumptions'!$Y$101)</x:f>
        <x:v>303.76323382881003</x:v>
      </x:c>
      <x:c r="X1231" s="10" t="n">
        <x:f>N1231/12*'Assumptions'!$AF$101</x:f>
        <x:v>4294.322291078141</x:v>
      </x:c>
      <x:c r="Y1231" s="10" t="n">
        <x:f>P1231/12</x:f>
        <x:v>161.1146836313349</x:v>
      </x:c>
      <x:c r="Z1231" s="10" t="n">
        <x:f>0</x:f>
        <x:v>0</x:v>
      </x:c>
      <x:c r="AA1231" s="10" t="n">
        <x:f>Z1231*'Assumptions'!$AC$101*'Assumptions'!$D$11*(1+'Assumptions'!$D$13)^(10-1)</x:f>
        <x:v>0</x:v>
      </x:c>
      <x:c r="AB1231" s="10" t="n">
        <x:f>F1231/1</x:f>
        <x:v>15.275638549643672</x:v>
      </x:c>
      <x:c r="AC1231" s="10" t="n">
        <x:f>AB1231/'Assumptions'!$AM$101</x:f>
        <x:v>76.37819274821835</x:v>
      </x:c>
      <x:c r="AD1231" s="10" t="n">
        <x:f>IF(AB1231=0,0,T1231/AB1231)</x:f>
        <x:v>134.93869294030856</x:v>
      </x:c>
      <x:c r="AE1231" s="10" t="n">
        <x:f>AA1231*'Assumptions'!$D$21</x:f>
        <x:v>0</x:v>
      </x:c>
    </x:row>
    <x:row r="1232" ht="16" customHeight="1">
      <x:c r="A1232" s="1"/>
      <x:c r="B1232" s="1"/>
      <x:c r="C1232" s="1" t="str">
        <x:v>DOT-073</x:v>
      </x:c>
      <x:c r="D1232" s="10" t="str">
        <x:v>S’otality interiors</x:v>
      </x:c>
      <x:c r="E1232" s="10" t="n">
        <x:v>10</x:v>
      </x:c>
      <x:c r="F1232" s="21" t="n">
        <x:f>F1104*(1+'Assumptions'!$M$102)</x:f>
        <x:v>40.73503613238314</x:v>
      </x:c>
      <x:c r="G1232" s="21" t="n">
        <x:f>H1104*'Assumptions'!$K$102</x:f>
        <x:v>56.227215535790414</x:v>
      </x:c>
      <x:c r="H1232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1232+G1232,NA())</x:f>
        <x:v>96.96225166817355</x:v>
      </x:c>
      <x:c r="I1232" s="22" t="n">
        <x:f>'Assumptions'!$H$102*IF('Assumptions'!$O$102=1,1,'Assumptions'!$D$10)*(1+'Assumptions'!$N$102)^(10-1)</x:f>
        <x:v>358.5277705866933</x:v>
      </x:c>
      <x:c r="J1232" s="10" t="n">
        <x:f>H1232*I1232</x:f>
        <x:v>34763.659921656144</x:v>
      </x:c>
      <x:c r="K1232" s="10" t="n">
        <x:f>J1232*'Assumptions'!$T$102</x:f>
        <x:v>34763.659921656144</x:v>
      </x:c>
      <x:c r="L1232" s="10" t="n">
        <x:f>K1232*'Assumptions'!$U$102</x:f>
        <x:v>1042.9097976496844</x:v>
      </x:c>
      <x:c r="M1232" s="10" t="n">
        <x:f>K1232*'Assumptions'!$V$102</x:f>
        <x:v>0</x:v>
      </x:c>
      <x:c r="N1232" s="10" t="n">
        <x:f>K1232-L1232-M1232</x:f>
        <x:v>33720.75012400646</x:v>
      </x:c>
      <x:c r="O1232" s="10" t="n">
        <x:f>H1232*'Assumptions'!$P$102*'Assumptions'!$Q$102*'Assumptions'!$D$11*(1+'Assumptions'!$D$13)^(10-1)</x:f>
        <x:v>1106.995275927934</x:v>
      </x:c>
      <x:c r="P1232" s="10" t="n">
        <x:f>H1232*'Assumptions'!$R$102*'Assumptions'!$D$11*(1+'Assumptions'!$D$13)^(10-1)</x:f>
        <x:v>0</x:v>
      </x:c>
      <x:c r="Q1232" s="10" t="n">
        <x:f>J1232*'Assumptions'!$S$102</x:f>
        <x:v>20858.195952993687</x:v>
      </x:c>
      <x:c r="R1232" s="10" t="n">
        <x:f>H1232*'Assumptions'!$Y$102*'Assumptions'!$Z$102*'Assumptions'!$D$11*(1+'Assumptions'!$D$13)^(10-1)</x:f>
        <x:v>759.082474922012</x:v>
      </x:c>
      <x:c r="S1232" s="10" t="n">
        <x:f>IF(I1232=0,0,J1232*'Assumptions'!$W$102+H1232*'Assumptions'!$X$102)</x:f>
        <x:v>1037.2348132284803</x:v>
      </x:c>
      <x:c r="T1232" s="10" t="n">
        <x:f>N1232*'Assumptions'!$AA$102</x:f>
        <x:v>1348.8300049602583</x:v>
      </x:c>
      <x:c r="U1232" s="10" t="n">
        <x:f>'Assumptions'!$AE$102*'Assumptions'!$D$11*(1+'Assumptions'!$D$13)^(10-1)</x:f>
        <x:v>0</x:v>
      </x:c>
      <x:c r="V1232" s="10" t="n">
        <x:f>0</x:f>
        <x:v>0</x:v>
      </x:c>
      <x:c r="W1232" s="10" t="n">
        <x:f>H1232*('Assumptions'!$P$102+'Assumptions'!$Y$102)</x:f>
        <x:v>43.6330132506781</x:v>
      </x:c>
      <x:c r="X1232" s="10" t="n">
        <x:f>N1232/12*'Assumptions'!$AF$102</x:f>
        <x:v>0</x:v>
      </x:c>
      <x:c r="Y1232" s="10" t="n">
        <x:f>P1232/12</x:f>
        <x:v>0</x:v>
      </x:c>
      <x:c r="Z1232" s="10" t="n">
        <x:f>0</x:f>
        <x:v>0</x:v>
      </x:c>
      <x:c r="AA1232" s="10" t="n">
        <x:f>Z1232*'Assumptions'!$AC$102*'Assumptions'!$D$11*(1+'Assumptions'!$D$13)^(10-1)</x:f>
        <x:v>0</x:v>
      </x:c>
      <x:c r="AB1232" s="10" t="n">
        <x:f>F1232/1</x:f>
        <x:v>40.73503613238314</x:v>
      </x:c>
      <x:c r="AC1232" s="10" t="n">
        <x:f>AB1232/'Assumptions'!$AM$102</x:f>
        <x:v>271.5669075492209</x:v>
      </x:c>
      <x:c r="AD1232" s="10" t="n">
        <x:f>IF(AB1232=0,0,T1232/AB1232)</x:f>
        <x:v>33.112282031044494</x:v>
      </x:c>
      <x:c r="AE1232" s="10" t="n">
        <x:f>AA1232*'Assumptions'!$D$21</x:f>
        <x:v>0</x:v>
      </x:c>
    </x:row>
    <x:row r="1233" ht="16" customHeight="1">
      <x:c r="A1233" s="1"/>
      <x:c r="B1233" s="1"/>
      <x:c r="C1233" s="1" t="str">
        <x:v>DOT-074</x:v>
      </x:c>
      <x:c r="D1233" s="10" t="str">
        <x:v>S’otality interiors</x:v>
      </x:c>
      <x:c r="E1233" s="10" t="n">
        <x:v>10</x:v>
      </x:c>
      <x:c r="F1233" s="21" t="n">
        <x:f>F1105*(1+'Assumptions'!$M$103)</x:f>
        <x:v>17.307869187373058</x:v>
      </x:c>
      <x:c r="G1233" s="21" t="n">
        <x:f>H1105*'Assumptions'!$K$103</x:f>
        <x:v>34.93299937708224</x:v>
      </x:c>
      <x:c r="H1233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1233+G1233,NA())</x:f>
        <x:v>52.2408685644553</x:v>
      </x:c>
      <x:c r="I1233" s="22" t="n">
        <x:f>'Assumptions'!$H$103*IF('Assumptions'!$O$103=1,1,'Assumptions'!$D$10)*(1+'Assumptions'!$N$103)^(10-1)</x:f>
        <x:v>1792.6388529334665</x:v>
      </x:c>
      <x:c r="J1233" s="10" t="n">
        <x:f>H1233*I1233</x:f>
        <x:v>93649.01069963313</x:v>
      </x:c>
      <x:c r="K1233" s="10" t="n">
        <x:f>J1233*'Assumptions'!$T$103</x:f>
        <x:v>9364.901069963313</x:v>
      </x:c>
      <x:c r="L1233" s="10" t="n">
        <x:f>K1233*'Assumptions'!$U$103</x:f>
        <x:v>280.94703209889934</x:v>
      </x:c>
      <x:c r="M1233" s="10" t="n">
        <x:f>K1233*'Assumptions'!$V$103</x:f>
        <x:v>0</x:v>
      </x:c>
      <x:c r="N1233" s="10" t="n">
        <x:f>K1233-L1233-M1233</x:f>
        <x:v>9083.954037864414</x:v>
      </x:c>
      <x:c r="O1233" s="10" t="n">
        <x:f>H1233*'Assumptions'!$P$103*'Assumptions'!$Q$103*'Assumptions'!$D$11*(1+'Assumptions'!$D$13)^(10-1)</x:f>
        <x:v>2726.499376113978</x:v>
      </x:c>
      <x:c r="P1233" s="10" t="n">
        <x:f>H1233*'Assumptions'!$R$103*'Assumptions'!$D$11*(1+'Assumptions'!$D$13)^(10-1)</x:f>
        <x:v>0</x:v>
      </x:c>
      <x:c r="Q1233" s="10" t="n">
        <x:f>J1233*'Assumptions'!$S$103</x:f>
        <x:v>0</x:v>
      </x:c>
      <x:c r="R1233" s="10" t="n">
        <x:f>H1233*'Assumptions'!$Y$103*'Assumptions'!$Z$103*'Assumptions'!$D$11*(1+'Assumptions'!$D$13)^(10-1)</x:f>
        <x:v>306.7311798128225</x:v>
      </x:c>
      <x:c r="S1233" s="10" t="n">
        <x:f>IF(I1233=0,0,J1233*'Assumptions'!$W$103+H1233*'Assumptions'!$X$103)</x:f>
        <x:v>2731.4935708586977</x:v>
      </x:c>
      <x:c r="T1233" s="10" t="n">
        <x:f>N1233*'Assumptions'!$AA$103</x:f>
        <x:v>454.1977018932207</x:v>
      </x:c>
      <x:c r="U1233" s="10" t="n">
        <x:f>'Assumptions'!$AE$103*'Assumptions'!$D$11*(1+'Assumptions'!$D$13)^(10-1)</x:f>
        <x:v>0</x:v>
      </x:c>
      <x:c r="V1233" s="10" t="n">
        <x:f>0</x:f>
        <x:v>0</x:v>
      </x:c>
      <x:c r="W1233" s="10" t="n">
        <x:f>H1233*('Assumptions'!$P$103+'Assumptions'!$Y$103)</x:f>
        <x:v>60.07699884912359</x:v>
      </x:c>
      <x:c r="X1233" s="10" t="n">
        <x:f>N1233/12*'Assumptions'!$AF$103</x:f>
        <x:v>0</x:v>
      </x:c>
      <x:c r="Y1233" s="10" t="n">
        <x:f>P1233/12</x:f>
        <x:v>0</x:v>
      </x:c>
      <x:c r="Z1233" s="10" t="n">
        <x:f>0</x:f>
        <x:v>0</x:v>
      </x:c>
      <x:c r="AA1233" s="10" t="n">
        <x:f>Z1233*'Assumptions'!$AC$103*'Assumptions'!$D$11*(1+'Assumptions'!$D$13)^(10-1)</x:f>
        <x:v>0</x:v>
      </x:c>
      <x:c r="AB1233" s="10" t="n">
        <x:f>F1233/1</x:f>
        <x:v>17.307869187373058</x:v>
      </x:c>
      <x:c r="AC1233" s="10" t="n">
        <x:f>AB1233/'Assumptions'!$AM$103</x:f>
        <x:v>346.15738374746115</x:v>
      </x:c>
      <x:c r="AD1233" s="10" t="n">
        <x:f>IF(AB1233=0,0,T1233/AB1233)</x:f>
        <x:v>26.242265698690414</x:v>
      </x:c>
      <x:c r="AE1233" s="10" t="n">
        <x:f>AA1233*'Assumptions'!$D$21</x:f>
        <x:v>0</x:v>
      </x:c>
    </x:row>
    <x:row r="1234" ht="16" customHeight="1">
      <x:c r="A1234" s="1"/>
      <x:c r="B1234" s="1"/>
      <x:c r="C1234" s="1" t="str">
        <x:v>DOT-075</x:v>
      </x:c>
      <x:c r="D1234" s="10" t="str">
        <x:v>S’otality concierge</x:v>
      </x:c>
      <x:c r="E1234" s="10" t="n">
        <x:v>10</x:v>
      </x:c>
      <x:c r="F1234" s="21" t="n">
        <x:f>F1106*(1+'Assumptions'!$M$104)</x:f>
        <x:v>203.67518066191565</x:v>
      </x:c>
      <x:c r="G1234" s="21" t="n">
        <x:f>H1106*'Assumptions'!$K$104</x:f>
        <x:v>191.46398529426006</x:v>
      </x:c>
      <x:c r="H1234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1234+G1234,NA())</x:f>
        <x:v>395.1391659561757</x:v>
      </x:c>
      <x:c r="I1234" s="22" t="n">
        <x:f>'Assumptions'!$H$104*IF('Assumptions'!$O$104=1,1,'Assumptions'!$D$10)*(1+'Assumptions'!$N$104)^(10-1)</x:f>
        <x:v>89.63194264667332</x:v>
      </x:c>
      <x:c r="J1234" s="10" t="n">
        <x:f>H1234*I1234</x:f>
        <x:v>35417.09106043827</x:v>
      </x:c>
      <x:c r="K1234" s="10" t="n">
        <x:f>J1234*'Assumptions'!$T$104</x:f>
        <x:v>35417.09106043827</x:v>
      </x:c>
      <x:c r="L1234" s="10" t="n">
        <x:f>K1234*'Assumptions'!$U$104</x:f>
        <x:v>1062.512731813148</x:v>
      </x:c>
      <x:c r="M1234" s="10" t="n">
        <x:f>K1234*'Assumptions'!$V$104</x:f>
        <x:v>0</x:v>
      </x:c>
      <x:c r="N1234" s="10" t="n">
        <x:f>K1234-L1234-M1234</x:f>
        <x:v>34354.578328625124</x:v>
      </x:c>
      <x:c r="O1234" s="10" t="n">
        <x:f>H1234*'Assumptions'!$P$104*'Assumptions'!$Q$104*'Assumptions'!$D$11*(1+'Assumptions'!$D$13)^(10-1)</x:f>
        <x:v>13533.633425032132</x:v>
      </x:c>
      <x:c r="P1234" s="10" t="n">
        <x:f>H1234*'Assumptions'!$R$104*'Assumptions'!$D$11*(1+'Assumptions'!$D$13)^(10-1)</x:f>
        <x:v>0</x:v>
      </x:c>
      <x:c r="Q1234" s="10" t="n">
        <x:f>J1234*'Assumptions'!$S$104</x:f>
        <x:v>0</x:v>
      </x:c>
      <x:c r="R1234" s="10" t="n">
        <x:f>H1234*'Assumptions'!$Y$104*'Assumptions'!$Z$104*'Assumptions'!$D$11*(1+'Assumptions'!$D$13)^(10-1)</x:f>
        <x:v>3866.752407152038</x:v>
      </x:c>
      <x:c r="S1234" s="10" t="n">
        <x:f>IF(I1234=0,0,J1234*'Assumptions'!$W$104+H1234*'Assumptions'!$X$104)</x:f>
        <x:v>1145.6373905395626</x:v>
      </x:c>
      <x:c r="T1234" s="10" t="n">
        <x:f>N1234*'Assumptions'!$AA$104</x:f>
        <x:v>1374.183133145005</x:v>
      </x:c>
      <x:c r="U1234" s="10" t="n">
        <x:f>'Assumptions'!$AE$104*'Assumptions'!$D$11*(1+'Assumptions'!$D$13)^(10-1)</x:f>
        <x:v>0</x:v>
      </x:c>
      <x:c r="V1234" s="10" t="n">
        <x:f>0</x:f>
        <x:v>0</x:v>
      </x:c>
      <x:c r="W1234" s="10" t="n">
        <x:f>H1234*('Assumptions'!$P$104+'Assumptions'!$Y$104)</x:f>
        <x:v>395.1391659561757</x:v>
      </x:c>
      <x:c r="X1234" s="10" t="n">
        <x:f>N1234/12*'Assumptions'!$AF$104</x:f>
        <x:v>2862.881527385427</x:v>
      </x:c>
      <x:c r="Y1234" s="10" t="n">
        <x:f>P1234/12</x:f>
        <x:v>0</x:v>
      </x:c>
      <x:c r="Z1234" s="10" t="n">
        <x:f>0</x:f>
        <x:v>0</x:v>
      </x:c>
      <x:c r="AA1234" s="10" t="n">
        <x:f>Z1234*'Assumptions'!$AC$104*'Assumptions'!$D$11*(1+'Assumptions'!$D$13)^(10-1)</x:f>
        <x:v>0</x:v>
      </x:c>
      <x:c r="AB1234" s="10" t="n">
        <x:f>F1234/1</x:f>
        <x:v>203.67518066191565</x:v>
      </x:c>
      <x:c r="AC1234" s="10" t="n">
        <x:f>AB1234/'Assumptions'!$AM$104</x:f>
        <x:v>1018.3759033095782</x:v>
      </x:c>
      <x:c r="AD1234" s="10" t="n">
        <x:f>IF(AB1234=0,0,T1234/AB1234)</x:f>
        <x:v>6.746934647015427</x:v>
      </x:c>
      <x:c r="AE1234" s="10" t="n">
        <x:f>AA1234*'Assumptions'!$D$21</x:f>
        <x:v>0</x:v>
      </x:c>
    </x:row>
    <x:row r="1235" ht="16" customHeight="1">
      <x:c r="A1235" s="1"/>
      <x:c r="B1235" s="1"/>
      <x:c r="C1235" s="1" t="str">
        <x:v>DOT-076</x:v>
      </x:c>
      <x:c r="D1235" s="10" t="str">
        <x:v>S’otality administration</x:v>
      </x:c>
      <x:c r="E1235" s="10" t="n">
        <x:v>10</x:v>
      </x:c>
      <x:c r="F1235" s="21" t="n">
        <x:f>F1107*(1+'Assumptions'!$M$105)</x:f>
        <x:v>407.3503613238313</x:v>
      </x:c>
      <x:c r="G1235" s="21" t="n">
        <x:f>H1107*'Assumptions'!$K$105</x:f>
        <x:v>382.9279705885201</x:v>
      </x:c>
      <x:c r="H1235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1235+G1235,NA())</x:f>
        <x:v>790.2783319123514</x:v>
      </x:c>
      <x:c r="I1235" s="22" t="n">
        <x:f>'Assumptions'!$H$105*IF('Assumptions'!$O$105=1,1,'Assumptions'!$D$10)*(1+'Assumptions'!$N$105)^(10-1)</x:f>
        <x:v>71.70555411733866</x:v>
      </x:c>
      <x:c r="J1235" s="10" t="n">
        <x:f>H1235*I1235</x:f>
        <x:v>56667.34569670124</x:v>
      </x:c>
      <x:c r="K1235" s="10" t="n">
        <x:f>J1235*'Assumptions'!$T$105</x:f>
        <x:v>56667.34569670124</x:v>
      </x:c>
      <x:c r="L1235" s="10" t="n">
        <x:f>K1235*'Assumptions'!$U$105</x:f>
        <x:v>1700.020370901037</x:v>
      </x:c>
      <x:c r="M1235" s="10" t="n">
        <x:f>K1235*'Assumptions'!$V$105</x:f>
        <x:v>0</x:v>
      </x:c>
      <x:c r="N1235" s="10" t="n">
        <x:f>K1235-L1235-M1235</x:f>
        <x:v>54967.3253258002</x:v>
      </x:c>
      <x:c r="O1235" s="10" t="n">
        <x:f>H1235*'Assumptions'!$P$105*'Assumptions'!$Q$105*'Assumptions'!$D$11*(1+'Assumptions'!$D$13)^(10-1)</x:f>
        <x:v>30934.019257216303</x:v>
      </x:c>
      <x:c r="P1235" s="10" t="n">
        <x:f>H1235*'Assumptions'!$R$105*'Assumptions'!$D$11*(1+'Assumptions'!$D$13)^(10-1)</x:f>
        <x:v>0</x:v>
      </x:c>
      <x:c r="Q1235" s="10" t="n">
        <x:f>J1235*'Assumptions'!$S$105</x:f>
        <x:v>0</x:v>
      </x:c>
      <x:c r="R1235" s="10" t="n">
        <x:f>H1235*'Assumptions'!$Y$105*'Assumptions'!$Z$105*'Assumptions'!$D$11*(1+'Assumptions'!$D$13)^(10-1)</x:f>
        <x:v>7733.504814304076</x:v>
      </x:c>
      <x:c r="S1235" s="10" t="n">
        <x:f>IF(I1235=0,0,J1235*'Assumptions'!$W$105+H1235*'Assumptions'!$X$105)</x:f>
        <x:v>1880.4365247780415</x:v>
      </x:c>
      <x:c r="T1235" s="10" t="n">
        <x:f>N1235*'Assumptions'!$AA$105</x:f>
        <x:v>2198.693013032008</x:v>
      </x:c>
      <x:c r="U1235" s="10" t="n">
        <x:f>'Assumptions'!$AE$105*'Assumptions'!$D$11*(1+'Assumptions'!$D$13)^(10-1)</x:f>
        <x:v>0</x:v>
      </x:c>
      <x:c r="V1235" s="10" t="n">
        <x:f>0</x:f>
        <x:v>0</x:v>
      </x:c>
      <x:c r="W1235" s="10" t="n">
        <x:f>H1235*('Assumptions'!$P$105+'Assumptions'!$Y$105)</x:f>
        <x:v>987.8479148904393</x:v>
      </x:c>
      <x:c r="X1235" s="10" t="n">
        <x:f>N1235/12*'Assumptions'!$AF$105</x:f>
        <x:v>4580.610443816683</x:v>
      </x:c>
      <x:c r="Y1235" s="10" t="n">
        <x:f>P1235/12</x:f>
        <x:v>0</x:v>
      </x:c>
      <x:c r="Z1235" s="10" t="n">
        <x:f>0</x:f>
        <x:v>0</x:v>
      </x:c>
      <x:c r="AA1235" s="10" t="n">
        <x:f>Z1235*'Assumptions'!$AC$105*'Assumptions'!$D$11*(1+'Assumptions'!$D$13)^(10-1)</x:f>
        <x:v>0</x:v>
      </x:c>
      <x:c r="AB1235" s="10" t="n">
        <x:f>F1235/1</x:f>
        <x:v>407.3503613238313</x:v>
      </x:c>
      <x:c r="AC1235" s="10" t="n">
        <x:f>AB1235/'Assumptions'!$AM$105</x:f>
        <x:v>2036.7518066191565</x:v>
      </x:c>
      <x:c r="AD1235" s="10" t="n">
        <x:f>IF(AB1235=0,0,T1235/AB1235)</x:f>
        <x:v>5.3975477176123405</x:v>
      </x:c>
      <x:c r="AE1235" s="10" t="n">
        <x:f>AA1235*'Assumptions'!$D$21</x:f>
        <x:v>0</x:v>
      </x:c>
    </x:row>
    <x:row r="1236" ht="16" customHeight="1">
      <x:c r="A1236" s="1"/>
      <x:c r="B1236" s="1"/>
      <x:c r="C1236" s="1" t="str">
        <x:v>DOT-077</x:v>
      </x:c>
      <x:c r="D1236" s="10" t="str">
        <x:v>S’otality bike tours</x:v>
      </x:c>
      <x:c r="E1236" s="10" t="n">
        <x:v>10</x:v>
      </x:c>
      <x:c r="F1236" s="21" t="n">
        <x:f>F1108*(1+'Assumptions'!$M$106)</x:f>
        <x:v>162.94014452953255</x:v>
      </x:c>
      <x:c r="G1236" s="21" t="n">
        <x:f>H1108*'Assumptions'!$K$106</x:f>
        <x:v>224.30420038316169</x:v>
      </x:c>
      <x:c r="H1236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1236+G1236,NA())</x:f>
        <x:v>387.24434491269426</x:v>
      </x:c>
      <x:c r="I1236" s="22" t="n">
        <x:f>'Assumptions'!$H$106*IF('Assumptions'!$O$106=1,1,'Assumptions'!$D$10)*(1+'Assumptions'!$N$106)^(10-1)</x:f>
        <x:v>77.68101696045022</x:v>
      </x:c>
      <x:c r="J1236" s="10" t="n">
        <x:f>H1236*I1236</x:f>
        <x:v>30081.53452500144</x:v>
      </x:c>
      <x:c r="K1236" s="10" t="n">
        <x:f>J1236*'Assumptions'!$T$106</x:f>
        <x:v>30081.53452500144</x:v>
      </x:c>
      <x:c r="L1236" s="10" t="n">
        <x:f>K1236*'Assumptions'!$U$106</x:f>
        <x:v>902.4460357500432</x:v>
      </x:c>
      <x:c r="M1236" s="10" t="n">
        <x:f>K1236*'Assumptions'!$V$106</x:f>
        <x:v>0</x:v>
      </x:c>
      <x:c r="N1236" s="10" t="n">
        <x:f>K1236-L1236-M1236</x:f>
        <x:v>29179.088489251397</x:v>
      </x:c>
      <x:c r="O1236" s="10" t="n">
        <x:f>H1236*'Assumptions'!$P$106*'Assumptions'!$Q$106*'Assumptions'!$D$11*(1+'Assumptions'!$D$13)^(10-1)</x:f>
        <x:v>2652.646693365933</x:v>
      </x:c>
      <x:c r="P1236" s="10" t="n">
        <x:f>H1236*'Assumptions'!$R$106*'Assumptions'!$D$11*(1+'Assumptions'!$D$13)^(10-1)</x:f>
        <x:v>2526.330184158032</x:v>
      </x:c>
      <x:c r="Q1236" s="10" t="n">
        <x:f>J1236*'Assumptions'!$S$106</x:f>
        <x:v>13536.690536250648</x:v>
      </x:c>
      <x:c r="R1236" s="10" t="n">
        <x:f>H1236*'Assumptions'!$Y$106*'Assumptions'!$Z$106*'Assumptions'!$D$11*(1+'Assumptions'!$D$13)^(10-1)</x:f>
        <x:v>3031.596220989638</x:v>
      </x:c>
      <x:c r="S1236" s="10" t="n">
        <x:f>IF(I1236=0,0,J1236*'Assumptions'!$W$106+H1236*'Assumptions'!$X$106)</x:f>
        <x:v>988.53780469885</x:v>
      </x:c>
      <x:c r="T1236" s="10" t="n">
        <x:f>N1236*'Assumptions'!$AA$106</x:f>
        <x:v>1167.163539570056</x:v>
      </x:c>
      <x:c r="U1236" s="10" t="n">
        <x:f>'Assumptions'!$AE$106*'Assumptions'!$D$11*(1+'Assumptions'!$D$13)^(10-1)</x:f>
        <x:v>0</x:v>
      </x:c>
      <x:c r="V1236" s="10" t="n">
        <x:f>0</x:f>
        <x:v>0</x:v>
      </x:c>
      <x:c r="W1236" s="10" t="n">
        <x:f>H1236*('Assumptions'!$P$106+'Assumptions'!$Y$106)</x:f>
        <x:v>135.53552071944299</x:v>
      </x:c>
      <x:c r="X1236" s="10" t="n">
        <x:f>N1236/12*'Assumptions'!$AF$106</x:f>
        <x:v>0</x:v>
      </x:c>
      <x:c r="Y1236" s="10" t="n">
        <x:f>P1236/12</x:f>
        <x:v>210.52751534650267</x:v>
      </x:c>
      <x:c r="Z1236" s="10" t="n">
        <x:f>0</x:f>
        <x:v>0</x:v>
      </x:c>
      <x:c r="AA1236" s="10" t="n">
        <x:f>Z1236*'Assumptions'!$AC$106*'Assumptions'!$D$11*(1+'Assumptions'!$D$13)^(10-1)</x:f>
        <x:v>0</x:v>
      </x:c>
      <x:c r="AB1236" s="10" t="n">
        <x:f>F1236/1</x:f>
        <x:v>162.94014452953255</x:v>
      </x:c>
      <x:c r="AC1236" s="10" t="n">
        <x:f>AB1236/'Assumptions'!$AM$106</x:f>
        <x:v>1086.2676301968836</x:v>
      </x:c>
      <x:c r="AD1236" s="10" t="n">
        <x:f>IF(AB1236=0,0,T1236/AB1236)</x:f>
        <x:v>7.163142900971897</x:v>
      </x:c>
      <x:c r="AE1236" s="10" t="n">
        <x:f>AA1236*'Assumptions'!$D$21</x:f>
        <x:v>0</x:v>
      </x:c>
    </x:row>
    <x:row r="1237" ht="16" customHeight="1">
      <x:c r="A1237" s="1"/>
      <x:c r="B1237" s="1"/>
      <x:c r="C1237" s="1" t="str">
        <x:v>DOT-078</x:v>
      </x:c>
      <x:c r="D1237" s="10" t="str">
        <x:v>S’otality editorial</x:v>
      </x:c>
      <x:c r="E1237" s="10" t="n">
        <x:v>10</x:v>
      </x:c>
      <x:c r="F1237" s="21" t="n">
        <x:f>F1109*(1+'Assumptions'!$M$107)</x:f>
        <x:v>13.238886743024521</x:v>
      </x:c>
      <x:c r="G1237" s="21" t="n">
        <x:f>H1109*'Assumptions'!$K$107</x:f>
        <x:v>6.810822739154808</x:v>
      </x:c>
      <x:c r="H1237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1237+G1237,NA())</x:f>
        <x:v>20.04970948217933</x:v>
      </x:c>
      <x:c r="I1237" s="22" t="n">
        <x:f>'Assumptions'!$H$107*IF('Assumptions'!$O$107=1,1,'Assumptions'!$D$10)*(1+'Assumptions'!$N$107)^(10-1)</x:f>
        <x:v>298.7731421555778</x:v>
      </x:c>
      <x:c r="J1237" s="10" t="n">
        <x:f>H1237*I1237</x:f>
        <x:v>5990.314701297201</x:v>
      </x:c>
      <x:c r="K1237" s="10" t="n">
        <x:f>J1237*'Assumptions'!$T$107</x:f>
        <x:v>5990.314701297201</x:v>
      </x:c>
      <x:c r="L1237" s="10" t="n">
        <x:f>K1237*'Assumptions'!$U$107</x:f>
        <x:v>179.70944103891603</x:v>
      </x:c>
      <x:c r="M1237" s="10" t="n">
        <x:f>K1237*'Assumptions'!$V$107</x:f>
        <x:v>0</x:v>
      </x:c>
      <x:c r="N1237" s="10" t="n">
        <x:f>K1237-L1237-M1237</x:f>
        <x:v>5810.605260258285</x:v>
      </x:c>
      <x:c r="O1237" s="10" t="n">
        <x:f>H1237*'Assumptions'!$P$107*'Assumptions'!$Q$107*'Assumptions'!$D$11*(1+'Assumptions'!$D$13)^(10-1)</x:f>
        <x:v>2092.825862073162</x:v>
      </x:c>
      <x:c r="P1237" s="10" t="n">
        <x:f>H1237*'Assumptions'!$R$107*'Assumptions'!$D$11*(1+'Assumptions'!$D$13)^(10-1)</x:f>
        <x:v>0</x:v>
      </x:c>
      <x:c r="Q1237" s="10" t="n">
        <x:f>J1237*'Assumptions'!$S$107</x:f>
        <x:v>0</x:v>
      </x:c>
      <x:c r="R1237" s="10" t="n">
        <x:f>H1237*'Assumptions'!$Y$107*'Assumptions'!$Z$107*'Assumptions'!$D$11*(1+'Assumptions'!$D$13)^(10-1)</x:f>
        <x:v>392.4048491387179</x:v>
      </x:c>
      <x:c r="S1237" s="10" t="n">
        <x:f>IF(I1237=0,0,J1237*'Assumptions'!$W$107+H1237*'Assumptions'!$X$107)</x:f>
        <x:v>179.73403918227265</x:v>
      </x:c>
      <x:c r="T1237" s="10" t="n">
        <x:f>N1237*'Assumptions'!$AA$107</x:f>
        <x:v>464.8484208206628</x:v>
      </x:c>
      <x:c r="U1237" s="10" t="n">
        <x:f>'Assumptions'!$AE$107*'Assumptions'!$D$11*(1+'Assumptions'!$D$13)^(10-1)</x:f>
        <x:v>0</x:v>
      </x:c>
      <x:c r="V1237" s="10" t="n">
        <x:f>0</x:f>
        <x:v>0</x:v>
      </x:c>
      <x:c r="W1237" s="10" t="n">
        <x:f>H1237*('Assumptions'!$P$107+'Assumptions'!$Y$107)</x:f>
        <x:v>50.12427370544833</x:v>
      </x:c>
      <x:c r="X1237" s="10" t="n">
        <x:f>N1237/12*'Assumptions'!$AF$107</x:f>
        <x:v>484.21710502152376</x:v>
      </x:c>
      <x:c r="Y1237" s="10" t="n">
        <x:f>P1237/12</x:f>
        <x:v>0</x:v>
      </x:c>
      <x:c r="Z1237" s="10" t="n">
        <x:f>0</x:f>
        <x:v>0</x:v>
      </x:c>
      <x:c r="AA1237" s="10" t="n">
        <x:f>Z1237*'Assumptions'!$AC$107*'Assumptions'!$D$11*(1+'Assumptions'!$D$13)^(10-1)</x:f>
        <x:v>0</x:v>
      </x:c>
      <x:c r="AB1237" s="10" t="n">
        <x:f>F1237/1</x:f>
        <x:v>13.238886743024521</x:v>
      </x:c>
      <x:c r="AC1237" s="10" t="n">
        <x:f>AB1237/'Assumptions'!$AM$107</x:f>
        <x:v>132.3888674302452</x:v>
      </x:c>
      <x:c r="AD1237" s="10" t="n">
        <x:f>IF(AB1237=0,0,T1237/AB1237)</x:f>
        <x:v>35.112349689492454</x:v>
      </x:c>
      <x:c r="AE1237" s="10" t="n">
        <x:f>AA1237*'Assumptions'!$D$21</x:f>
        <x:v>0</x:v>
      </x:c>
    </x:row>
    <x:row r="1238" ht="16" customHeight="1">
      <x:c r="A1238" s="1"/>
      <x:c r="B1238" s="1"/>
      <x:c r="C1238" s="1" t="str">
        <x:v>DOT-079</x:v>
      </x:c>
      <x:c r="D1238" s="10" t="str">
        <x:v>S’otality editorial</x:v>
      </x:c>
      <x:c r="E1238" s="10" t="n">
        <x:v>10</x:v>
      </x:c>
      <x:c r="F1238" s="21" t="n">
        <x:f>F1110*(1+'Assumptions'!$M$108)</x:f>
        <x:v>4.41296224767484</x:v>
      </x:c>
      <x:c r="G1238" s="21" t="n">
        <x:f>H1110*'Assumptions'!$K$108</x:f>
        <x:v>2.270274246384936</x:v>
      </x:c>
      <x:c r="H1238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1238+G1238,NA())</x:f>
        <x:v>6.683236494059776</x:v>
      </x:c>
      <x:c r="I1238" s="22" t="n">
        <x:f>'Assumptions'!$H$108*IF('Assumptions'!$O$108=1,1,'Assumptions'!$D$10)*(1+'Assumptions'!$N$108)^(10-1)</x:f>
        <x:v>1195.092568622311</x:v>
      </x:c>
      <x:c r="J1238" s="10" t="n">
        <x:f>H1238*I1238</x:f>
        <x:v>7987.086268396267</x:v>
      </x:c>
      <x:c r="K1238" s="10" t="n">
        <x:f>J1238*'Assumptions'!$T$108</x:f>
        <x:v>7987.086268396267</x:v>
      </x:c>
      <x:c r="L1238" s="10" t="n">
        <x:f>K1238*'Assumptions'!$U$108</x:f>
        <x:v>239.612588051888</x:v>
      </x:c>
      <x:c r="M1238" s="10" t="n">
        <x:f>K1238*'Assumptions'!$V$108</x:f>
        <x:v>0</x:v>
      </x:c>
      <x:c r="N1238" s="10" t="n">
        <x:f>K1238-L1238-M1238</x:f>
        <x:v>7747.473680344379</x:v>
      </x:c>
      <x:c r="O1238" s="10" t="n">
        <x:f>H1238*'Assumptions'!$P$108*'Assumptions'!$Q$108*'Assumptions'!$D$11*(1+'Assumptions'!$D$13)^(10-1)</x:f>
        <x:v>2790.4344827642158</x:v>
      </x:c>
      <x:c r="P1238" s="10" t="n">
        <x:f>H1238*'Assumptions'!$R$108*'Assumptions'!$D$11*(1+'Assumptions'!$D$13)^(10-1)</x:f>
        <x:v>872.0107758638173</x:v>
      </x:c>
      <x:c r="Q1238" s="10" t="n">
        <x:f>J1238*'Assumptions'!$S$108</x:f>
        <x:v>0</x:v>
      </x:c>
      <x:c r="R1238" s="10" t="n">
        <x:f>H1238*'Assumptions'!$Y$108*'Assumptions'!$Z$108*'Assumptions'!$D$11*(1+'Assumptions'!$D$13)^(10-1)</x:f>
        <x:v>130.80161637957264</x:v>
      </x:c>
      <x:c r="S1238" s="10" t="n">
        <x:f>IF(I1238=0,0,J1238*'Assumptions'!$W$108+H1238*'Assumptions'!$X$108)</x:f>
        <x:v>233.6304727317097</x:v>
      </x:c>
      <x:c r="T1238" s="10" t="n">
        <x:f>N1238*'Assumptions'!$AA$108</x:f>
        <x:v>619.7978944275503</x:v>
      </x:c>
      <x:c r="U1238" s="10" t="n">
        <x:f>'Assumptions'!$AE$108*'Assumptions'!$D$11*(1+'Assumptions'!$D$13)^(10-1)</x:f>
        <x:v>0</x:v>
      </x:c>
      <x:c r="V1238" s="10" t="n">
        <x:f>0</x:f>
        <x:v>0</x:v>
      </x:c>
      <x:c r="W1238" s="10" t="n">
        <x:f>H1238*('Assumptions'!$P$108+'Assumptions'!$Y$108)</x:f>
        <x:v>56.807510199508094</x:v>
      </x:c>
      <x:c r="X1238" s="10" t="n">
        <x:f>N1238/12*'Assumptions'!$AF$108</x:f>
        <x:v>645.6228066953649</x:v>
      </x:c>
      <x:c r="Y1238" s="10" t="n">
        <x:f>P1238/12</x:f>
        <x:v>72.66756465531812</x:v>
      </x:c>
      <x:c r="Z1238" s="10" t="n">
        <x:f>0</x:f>
        <x:v>0</x:v>
      </x:c>
      <x:c r="AA1238" s="10" t="n">
        <x:f>Z1238*'Assumptions'!$AC$108*'Assumptions'!$D$11*(1+'Assumptions'!$D$13)^(10-1)</x:f>
        <x:v>0</x:v>
      </x:c>
      <x:c r="AB1238" s="10" t="n">
        <x:f>F1238/1</x:f>
        <x:v>4.41296224767484</x:v>
      </x:c>
      <x:c r="AC1238" s="10" t="n">
        <x:f>AB1238/'Assumptions'!$AM$108</x:f>
        <x:v>44.129622476748395</x:v>
      </x:c>
      <x:c r="AD1238" s="10" t="n">
        <x:f>IF(AB1238=0,0,T1238/AB1238)</x:f>
        <x:v>140.44939875796982</x:v>
      </x:c>
      <x:c r="AE1238" s="10" t="n">
        <x:f>AA1238*'Assumptions'!$D$21</x:f>
        <x:v>0</x:v>
      </x:c>
    </x:row>
    <x:row r="1239" ht="16" customHeight="1">
      <x:c r="A1239" s="1"/>
      <x:c r="B1239" s="1"/>
      <x:c r="C1239" s="1" t="str">
        <x:v>DOT-080</x:v>
      </x:c>
      <x:c r="D1239" s="10" t="str">
        <x:v>Tomato Odyssey</x:v>
      </x:c>
      <x:c r="E1239" s="10" t="n">
        <x:v>10</x:v>
      </x:c>
      <x:c r="F1239" s="21" t="n">
        <x:f>F1111*(1+'Assumptions'!$M$109)</x:f>
        <x:v>13.238886743024521</x:v>
      </x:c>
      <x:c r="G1239" s="21" t="n">
        <x:f>H1111*'Assumptions'!$K$109</x:f>
        <x:v>6.810822739154808</x:v>
      </x:c>
      <x:c r="H1239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1239+G1239,NA())</x:f>
        <x:v>20.04970948217933</x:v>
      </x:c>
      <x:c r="I1239" s="22" t="n">
        <x:f>'Assumptions'!$H$109*IF('Assumptions'!$O$109=1,1,'Assumptions'!$D$10)*(1+'Assumptions'!$N$109)^(10-1)</x:f>
        <x:v>298.7731421555778</x:v>
      </x:c>
      <x:c r="J1239" s="10" t="n">
        <x:f>H1239*I1239</x:f>
        <x:v>5990.314701297201</x:v>
      </x:c>
      <x:c r="K1239" s="10" t="n">
        <x:f>J1239*'Assumptions'!$T$109</x:f>
        <x:v>5990.314701297201</x:v>
      </x:c>
      <x:c r="L1239" s="10" t="n">
        <x:f>K1239*'Assumptions'!$U$109</x:f>
        <x:v>179.70944103891603</x:v>
      </x:c>
      <x:c r="M1239" s="10" t="n">
        <x:f>K1239*'Assumptions'!$V$109</x:f>
        <x:v>0</x:v>
      </x:c>
      <x:c r="N1239" s="10" t="n">
        <x:f>K1239-L1239-M1239</x:f>
        <x:v>5810.605260258285</x:v>
      </x:c>
      <x:c r="O1239" s="10" t="n">
        <x:f>H1239*'Assumptions'!$P$109*'Assumptions'!$Q$109*'Assumptions'!$D$11*(1+'Assumptions'!$D$13)^(10-1)</x:f>
        <x:v>2092.825862073162</x:v>
      </x:c>
      <x:c r="P1239" s="10" t="n">
        <x:f>H1239*'Assumptions'!$R$109*'Assumptions'!$D$11*(1+'Assumptions'!$D$13)^(10-1)</x:f>
        <x:v>0</x:v>
      </x:c>
      <x:c r="Q1239" s="10" t="n">
        <x:f>J1239*'Assumptions'!$S$109</x:f>
        <x:v>0</x:v>
      </x:c>
      <x:c r="R1239" s="10" t="n">
        <x:f>H1239*'Assumptions'!$Y$109*'Assumptions'!$Z$109*'Assumptions'!$D$11*(1+'Assumptions'!$D$13)^(10-1)</x:f>
        <x:v>392.4048491387179</x:v>
      </x:c>
      <x:c r="S1239" s="10" t="n">
        <x:f>IF(I1239=0,0,J1239*'Assumptions'!$W$109+H1239*'Assumptions'!$X$109)</x:f>
        <x:v>179.73403918227265</x:v>
      </x:c>
      <x:c r="T1239" s="10" t="n">
        <x:f>N1239*'Assumptions'!$AA$109</x:f>
        <x:v>464.8484208206628</x:v>
      </x:c>
      <x:c r="U1239" s="10" t="n">
        <x:f>'Assumptions'!$AE$109*'Assumptions'!$D$11*(1+'Assumptions'!$D$13)^(10-1)</x:f>
        <x:v>0</x:v>
      </x:c>
      <x:c r="V1239" s="10" t="n">
        <x:f>0</x:f>
        <x:v>0</x:v>
      </x:c>
      <x:c r="W1239" s="10" t="n">
        <x:f>H1239*('Assumptions'!$P$109+'Assumptions'!$Y$109)</x:f>
        <x:v>50.12427370544833</x:v>
      </x:c>
      <x:c r="X1239" s="10" t="n">
        <x:f>N1239/12*'Assumptions'!$AF$109</x:f>
        <x:v>484.21710502152376</x:v>
      </x:c>
      <x:c r="Y1239" s="10" t="n">
        <x:f>P1239/12</x:f>
        <x:v>0</x:v>
      </x:c>
      <x:c r="Z1239" s="10" t="n">
        <x:f>0</x:f>
        <x:v>0</x:v>
      </x:c>
      <x:c r="AA1239" s="10" t="n">
        <x:f>Z1239*'Assumptions'!$AC$109*'Assumptions'!$D$11*(1+'Assumptions'!$D$13)^(10-1)</x:f>
        <x:v>0</x:v>
      </x:c>
      <x:c r="AB1239" s="10" t="n">
        <x:f>F1239/1</x:f>
        <x:v>13.238886743024521</x:v>
      </x:c>
      <x:c r="AC1239" s="10" t="n">
        <x:f>AB1239/'Assumptions'!$AM$109</x:f>
        <x:v>132.3888674302452</x:v>
      </x:c>
      <x:c r="AD1239" s="10" t="n">
        <x:f>IF(AB1239=0,0,T1239/AB1239)</x:f>
        <x:v>35.112349689492454</x:v>
      </x:c>
      <x:c r="AE1239" s="10" t="n">
        <x:f>AA1239*'Assumptions'!$D$21</x:f>
        <x:v>0</x:v>
      </x:c>
    </x:row>
    <x:row r="1240" ht="16" customHeight="1">
      <x:c r="A1240" s="1"/>
      <x:c r="B1240" s="1"/>
      <x:c r="C1240" s="1" t="str">
        <x:v>DOT-081</x:v>
      </x:c>
      <x:c r="D1240" s="10" t="str">
        <x:v>Tomato Odyssey</x:v>
      </x:c>
      <x:c r="E1240" s="10" t="n">
        <x:v>10</x:v>
      </x:c>
      <x:c r="F1240" s="21" t="n">
        <x:f>F1112*(1+'Assumptions'!$M$110)</x:f>
        <x:v>4.41296224767484</x:v>
      </x:c>
      <x:c r="G1240" s="21" t="n">
        <x:f>H1112*'Assumptions'!$K$110</x:f>
        <x:v>2.270274246384936</x:v>
      </x:c>
      <x:c r="H1240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1240+G1240,NA())</x:f>
        <x:v>6.683236494059776</x:v>
      </x:c>
      <x:c r="I1240" s="22" t="n">
        <x:f>'Assumptions'!$H$110*IF('Assumptions'!$O$110=1,1,'Assumptions'!$D$10)*(1+'Assumptions'!$N$110)^(10-1)</x:f>
        <x:v>1195.092568622311</x:v>
      </x:c>
      <x:c r="J1240" s="10" t="n">
        <x:f>H1240*I1240</x:f>
        <x:v>7987.086268396267</x:v>
      </x:c>
      <x:c r="K1240" s="10" t="n">
        <x:f>J1240*'Assumptions'!$T$110</x:f>
        <x:v>7987.086268396267</x:v>
      </x:c>
      <x:c r="L1240" s="10" t="n">
        <x:f>K1240*'Assumptions'!$U$110</x:f>
        <x:v>239.612588051888</x:v>
      </x:c>
      <x:c r="M1240" s="10" t="n">
        <x:f>K1240*'Assumptions'!$V$110</x:f>
        <x:v>0</x:v>
      </x:c>
      <x:c r="N1240" s="10" t="n">
        <x:f>K1240-L1240-M1240</x:f>
        <x:v>7747.473680344379</x:v>
      </x:c>
      <x:c r="O1240" s="10" t="n">
        <x:f>H1240*'Assumptions'!$P$110*'Assumptions'!$Q$110*'Assumptions'!$D$11*(1+'Assumptions'!$D$13)^(10-1)</x:f>
        <x:v>2790.4344827642158</x:v>
      </x:c>
      <x:c r="P1240" s="10" t="n">
        <x:f>H1240*'Assumptions'!$R$110*'Assumptions'!$D$11*(1+'Assumptions'!$D$13)^(10-1)</x:f>
        <x:v>872.0107758638173</x:v>
      </x:c>
      <x:c r="Q1240" s="10" t="n">
        <x:f>J1240*'Assumptions'!$S$110</x:f>
        <x:v>0</x:v>
      </x:c>
      <x:c r="R1240" s="10" t="n">
        <x:f>H1240*'Assumptions'!$Y$110*'Assumptions'!$Z$110*'Assumptions'!$D$11*(1+'Assumptions'!$D$13)^(10-1)</x:f>
        <x:v>130.80161637957264</x:v>
      </x:c>
      <x:c r="S1240" s="10" t="n">
        <x:f>IF(I1240=0,0,J1240*'Assumptions'!$W$110+H1240*'Assumptions'!$X$110)</x:f>
        <x:v>233.6304727317097</x:v>
      </x:c>
      <x:c r="T1240" s="10" t="n">
        <x:f>N1240*'Assumptions'!$AA$110</x:f>
        <x:v>619.7978944275503</x:v>
      </x:c>
      <x:c r="U1240" s="10" t="n">
        <x:f>'Assumptions'!$AE$110*'Assumptions'!$D$11*(1+'Assumptions'!$D$13)^(10-1)</x:f>
        <x:v>0</x:v>
      </x:c>
      <x:c r="V1240" s="10" t="n">
        <x:f>0</x:f>
        <x:v>0</x:v>
      </x:c>
      <x:c r="W1240" s="10" t="n">
        <x:f>H1240*('Assumptions'!$P$110+'Assumptions'!$Y$110)</x:f>
        <x:v>56.807510199508094</x:v>
      </x:c>
      <x:c r="X1240" s="10" t="n">
        <x:f>N1240/12*'Assumptions'!$AF$110</x:f>
        <x:v>645.6228066953649</x:v>
      </x:c>
      <x:c r="Y1240" s="10" t="n">
        <x:f>P1240/12</x:f>
        <x:v>72.66756465531812</x:v>
      </x:c>
      <x:c r="Z1240" s="10" t="n">
        <x:f>0</x:f>
        <x:v>0</x:v>
      </x:c>
      <x:c r="AA1240" s="10" t="n">
        <x:f>Z1240*'Assumptions'!$AC$110*'Assumptions'!$D$11*(1+'Assumptions'!$D$13)^(10-1)</x:f>
        <x:v>0</x:v>
      </x:c>
      <x:c r="AB1240" s="10" t="n">
        <x:f>F1240/1</x:f>
        <x:v>4.41296224767484</x:v>
      </x:c>
      <x:c r="AC1240" s="10" t="n">
        <x:f>AB1240/'Assumptions'!$AM$110</x:f>
        <x:v>44.129622476748395</x:v>
      </x:c>
      <x:c r="AD1240" s="10" t="n">
        <x:f>IF(AB1240=0,0,T1240/AB1240)</x:f>
        <x:v>140.44939875796982</x:v>
      </x:c>
      <x:c r="AE1240" s="10" t="n">
        <x:f>AA1240*'Assumptions'!$D$21</x:f>
        <x:v>0</x:v>
      </x:c>
    </x:row>
    <x:row r="1241" ht="16" customHeight="1">
      <x:c r="A1241" s="1"/>
      <x:c r="B1241" s="1"/>
      <x:c r="C1241" s="1" t="str">
        <x:v>DOT-082</x:v>
      </x:c>
      <x:c r="D1241" s="10" t="str">
        <x:v>Semajes Studio</x:v>
      </x:c>
      <x:c r="E1241" s="10" t="n">
        <x:v>10</x:v>
      </x:c>
      <x:c r="F1241" s="21" t="n">
        <x:f>F1113*(1+'Assumptions'!$M$111)</x:f>
        <x:v>30.551277099287343</x:v>
      </x:c>
      <x:c r="G1241" s="21" t="n">
        <x:f>H1113*'Assumptions'!$K$111</x:f>
        <x:v>28.719597794139005</x:v>
      </x:c>
      <x:c r="H1241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1241+G1241,NA())</x:f>
        <x:v>59.27087489342635</x:v>
      </x:c>
      <x:c r="I1241" s="22" t="n">
        <x:f>'Assumptions'!$H$111*IF('Assumptions'!$O$111=1,1,'Assumptions'!$D$10)*(1+'Assumptions'!$N$111)^(10-1)</x:f>
        <x:v>657.3009127422711</x:v>
      </x:c>
      <x:c r="J1241" s="10" t="n">
        <x:f>H1241*I1241</x:f>
        <x:v>38958.8001664821</x:v>
      </x:c>
      <x:c r="K1241" s="10" t="n">
        <x:f>J1241*'Assumptions'!$T$111</x:f>
        <x:v>38958.8001664821</x:v>
      </x:c>
      <x:c r="L1241" s="10" t="n">
        <x:f>K1241*'Assumptions'!$U$111</x:f>
        <x:v>1168.764004994463</x:v>
      </x:c>
      <x:c r="M1241" s="10" t="n">
        <x:f>K1241*'Assumptions'!$V$111</x:f>
        <x:v>0</x:v>
      </x:c>
      <x:c r="N1241" s="10" t="n">
        <x:f>K1241-L1241-M1241</x:f>
        <x:v>37790.03616148764</x:v>
      </x:c>
      <x:c r="O1241" s="10" t="n">
        <x:f>H1241*'Assumptions'!$P$111*'Assumptions'!$Q$111*'Assumptions'!$D$11*(1+'Assumptions'!$D$13)^(10-1)</x:f>
        <x:v>23200.514442912227</x:v>
      </x:c>
      <x:c r="P1241" s="10" t="n">
        <x:f>H1241*'Assumptions'!$R$111*'Assumptions'!$D$11*(1+'Assumptions'!$D$13)^(10-1)</x:f>
        <x:v>6186.803851443261</x:v>
      </x:c>
      <x:c r="Q1241" s="10" t="n">
        <x:f>J1241*'Assumptions'!$S$111</x:f>
        <x:v>0</x:v>
      </x:c>
      <x:c r="R1241" s="10" t="n">
        <x:f>H1241*'Assumptions'!$Y$111*'Assumptions'!$Z$111*'Assumptions'!$D$11*(1+'Assumptions'!$D$13)^(10-1)</x:f>
        <x:v>580.0128610728057</x:v>
      </x:c>
      <x:c r="S1241" s="10" t="n">
        <x:f>IF(I1241=0,0,J1241*'Assumptions'!$W$111+H1241*'Assumptions'!$X$111)</x:f>
        <x:v>1147.586467296009</x:v>
      </x:c>
      <x:c r="T1241" s="10" t="n">
        <x:f>N1241*'Assumptions'!$AA$111</x:f>
        <x:v>1511.6014464595055</x:v>
      </x:c>
      <x:c r="U1241" s="10" t="n">
        <x:f>'Assumptions'!$AE$111*'Assumptions'!$D$11*(1+'Assumptions'!$D$13)^(10-1)</x:f>
        <x:v>0</x:v>
      </x:c>
      <x:c r="V1241" s="10" t="n">
        <x:f>0</x:f>
        <x:v>0</x:v>
      </x:c>
      <x:c r="W1241" s="10" t="n">
        <x:f>H1241*('Assumptions'!$P$111+'Assumptions'!$Y$111)</x:f>
        <x:v>370.4429680839147</x:v>
      </x:c>
      <x:c r="X1241" s="10" t="n">
        <x:f>N1241/12*'Assumptions'!$AF$111</x:f>
        <x:v>3149.16968012397</x:v>
      </x:c>
      <x:c r="Y1241" s="10" t="n">
        <x:f>P1241/12</x:f>
        <x:v>515.5669876202718</x:v>
      </x:c>
      <x:c r="Z1241" s="10" t="n">
        <x:f>0</x:f>
        <x:v>0</x:v>
      </x:c>
      <x:c r="AA1241" s="10" t="n">
        <x:f>Z1241*'Assumptions'!$AC$111*'Assumptions'!$D$11*(1+'Assumptions'!$D$13)^(10-1)</x:f>
        <x:v>0</x:v>
      </x:c>
      <x:c r="AB1241" s="10" t="n">
        <x:f>F1241/1</x:f>
        <x:v>30.551277099287343</x:v>
      </x:c>
      <x:c r="AC1241" s="10" t="n">
        <x:f>AB1241/'Assumptions'!$AM$111</x:f>
        <x:v>152.7563854964367</x:v>
      </x:c>
      <x:c r="AD1241" s="10" t="n">
        <x:f>IF(AB1241=0,0,T1241/AB1241)</x:f>
        <x:v>49.477520744779795</x:v>
      </x:c>
      <x:c r="AE1241" s="10" t="n">
        <x:f>AA1241*'Assumptions'!$D$21</x:f>
        <x:v>0</x:v>
      </x:c>
    </x:row>
    <x:row r="1242" ht="16" customHeight="1">
      <x:c r="A1242" s="1"/>
      <x:c r="B1242" s="1"/>
      <x:c r="C1242" s="1" t="str">
        <x:v>DOT-083</x:v>
      </x:c>
      <x:c r="D1242" s="10" t="str">
        <x:v>Semajes Studio</x:v>
      </x:c>
      <x:c r="E1242" s="10" t="n">
        <x:v>10</x:v>
      </x:c>
      <x:c r="F1242" s="21" t="n">
        <x:f>F1114*(1+'Assumptions'!$M$112)</x:f>
        <x:v>15.275638549643672</x:v>
      </x:c>
      <x:c r="G1242" s="21" t="n">
        <x:f>H1114*'Assumptions'!$K$112</x:f>
        <x:v>14.359798897069503</x:v>
      </x:c>
      <x:c r="H1242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1242+G1242,NA())</x:f>
        <x:v>29.635437446713176</x:v>
      </x:c>
      <x:c r="I1242" s="22" t="n">
        <x:f>'Assumptions'!$H$112*IF('Assumptions'!$O$112=1,1,'Assumptions'!$D$10)*(1+'Assumptions'!$N$112)^(10-1)</x:f>
        <x:v>1434.1110823467732</x:v>
      </x:c>
      <x:c r="J1242" s="10" t="n">
        <x:f>H1242*I1242</x:f>
        <x:v>42500.509272525924</x:v>
      </x:c>
      <x:c r="K1242" s="10" t="n">
        <x:f>J1242*'Assumptions'!$T$112</x:f>
        <x:v>42500.509272525924</x:v>
      </x:c>
      <x:c r="L1242" s="10" t="n">
        <x:f>K1242*'Assumptions'!$U$112</x:f>
        <x:v>1275.0152781757777</x:v>
      </x:c>
      <x:c r="M1242" s="10" t="n">
        <x:f>K1242*'Assumptions'!$V$112</x:f>
        <x:v>0</x:v>
      </x:c>
      <x:c r="N1242" s="10" t="n">
        <x:f>K1242-L1242-M1242</x:f>
        <x:v>41225.493994350145</x:v>
      </x:c>
      <x:c r="O1242" s="10" t="n">
        <x:f>H1242*'Assumptions'!$P$112*'Assumptions'!$Q$112*'Assumptions'!$D$11*(1+'Assumptions'!$D$13)^(10-1)</x:f>
        <x:v>19333.76203576019</x:v>
      </x:c>
      <x:c r="P1242" s="10" t="n">
        <x:f>H1242*'Assumptions'!$R$112*'Assumptions'!$D$11*(1+'Assumptions'!$D$13)^(10-1)</x:f>
        <x:v>5800.128610728057</x:v>
      </x:c>
      <x:c r="Q1242" s="10" t="n">
        <x:f>J1242*'Assumptions'!$S$112</x:f>
        <x:v>0</x:v>
      </x:c>
      <x:c r="R1242" s="10" t="n">
        <x:f>H1242*'Assumptions'!$Y$112*'Assumptions'!$Z$112*'Assumptions'!$D$11*(1+'Assumptions'!$D$13)^(10-1)</x:f>
        <x:v>290.00643053640283</x:v>
      </x:c>
      <x:c r="S1242" s="10" t="n">
        <x:f>IF(I1242=0,0,J1242*'Assumptions'!$W$112+H1242*'Assumptions'!$X$112)</x:f>
        <x:v>1241.4054001372658</x:v>
      </x:c>
      <x:c r="T1242" s="10" t="n">
        <x:f>N1242*'Assumptions'!$AA$112</x:f>
        <x:v>1649.019759774006</x:v>
      </x:c>
      <x:c r="U1242" s="10" t="n">
        <x:f>'Assumptions'!$AE$112*'Assumptions'!$D$11*(1+'Assumptions'!$D$13)^(10-1)</x:f>
        <x:v>0</x:v>
      </x:c>
      <x:c r="V1242" s="10" t="n">
        <x:f>0</x:f>
        <x:v>0</x:v>
      </x:c>
      <x:c r="W1242" s="10" t="n">
        <x:f>H1242*('Assumptions'!$P$112+'Assumptions'!$Y$112)</x:f>
        <x:v>303.76323382881003</x:v>
      </x:c>
      <x:c r="X1242" s="10" t="n">
        <x:f>N1242/12*'Assumptions'!$AF$112</x:f>
        <x:v>3435.457832862512</x:v>
      </x:c>
      <x:c r="Y1242" s="10" t="n">
        <x:f>P1242/12</x:f>
        <x:v>483.34405089400474</x:v>
      </x:c>
      <x:c r="Z1242" s="10" t="n">
        <x:f>0</x:f>
        <x:v>0</x:v>
      </x:c>
      <x:c r="AA1242" s="10" t="n">
        <x:f>Z1242*'Assumptions'!$AC$112*'Assumptions'!$D$11*(1+'Assumptions'!$D$13)^(10-1)</x:f>
        <x:v>0</x:v>
      </x:c>
      <x:c r="AB1242" s="10" t="n">
        <x:f>F1242/1</x:f>
        <x:v>15.275638549643672</x:v>
      </x:c>
      <x:c r="AC1242" s="10" t="n">
        <x:f>AB1242/'Assumptions'!$AM$112</x:f>
        <x:v>76.37819274821835</x:v>
      </x:c>
      <x:c r="AD1242" s="10" t="n">
        <x:f>IF(AB1242=0,0,T1242/AB1242)</x:f>
        <x:v>107.95095435224682</x:v>
      </x:c>
      <x:c r="AE1242" s="10" t="n">
        <x:f>AA1242*'Assumptions'!$D$21</x:f>
        <x:v>0</x:v>
      </x:c>
    </x:row>
    <x:row r="1243" ht="16" customHeight="1">
      <x:c r="A1243" s="1"/>
      <x:c r="B1243" s="1"/>
      <x:c r="C1243" s="1" t="str">
        <x:v>DOT-084</x:v>
      </x:c>
      <x:c r="D1243" s="10" t="str">
        <x:v>Semajes Studio</x:v>
      </x:c>
      <x:c r="E1243" s="10" t="n">
        <x:v>10</x:v>
      </x:c>
      <x:c r="F1243" s="21" t="n">
        <x:f>F1115*(1+'Assumptions'!$M$113)</x:f>
        <x:v>101.83759033095782</x:v>
      </x:c>
      <x:c r="G1243" s="21" t="n">
        <x:f>H1115*'Assumptions'!$K$113</x:f>
        <x:v>95.73199264713003</x:v>
      </x:c>
      <x:c r="H1243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1243+G1243,NA())</x:f>
        <x:v>197.56958297808785</x:v>
      </x:c>
      <x:c r="I1243" s="22" t="n">
        <x:f>'Assumptions'!$H$113*IF('Assumptions'!$O$113=1,1,'Assumptions'!$D$10)*(1+'Assumptions'!$N$113)^(10-1)</x:f>
        <x:v>41.82823990178089</x:v>
      </x:c>
      <x:c r="J1243" s="10" t="n">
        <x:f>H1243*I1243</x:f>
        <x:v>8263.987914102265</x:v>
      </x:c>
      <x:c r="K1243" s="10" t="n">
        <x:f>J1243*'Assumptions'!$T$113</x:f>
        <x:v>8263.987914102265</x:v>
      </x:c>
      <x:c r="L1243" s="10" t="n">
        <x:f>K1243*'Assumptions'!$U$113</x:f>
        <x:v>247.91963742306794</x:v>
      </x:c>
      <x:c r="M1243" s="10" t="n">
        <x:f>K1243*'Assumptions'!$V$113</x:f>
        <x:v>0</x:v>
      </x:c>
      <x:c r="N1243" s="10" t="n">
        <x:f>K1243-L1243-M1243</x:f>
        <x:v>8016.068276679197</x:v>
      </x:c>
      <x:c r="O1243" s="10" t="n">
        <x:f>H1243*'Assumptions'!$P$113*'Assumptions'!$Q$113*'Assumptions'!$D$11*(1+'Assumptions'!$D$13)^(10-1)</x:f>
        <x:v>1288.9174690506795</x:v>
      </x:c>
      <x:c r="P1243" s="10" t="n">
        <x:f>H1243*'Assumptions'!$R$113*'Assumptions'!$D$11*(1+'Assumptions'!$D$13)^(10-1)</x:f>
        <x:v>0</x:v>
      </x:c>
      <x:c r="Q1243" s="10" t="n">
        <x:f>J1243*'Assumptions'!$S$113</x:f>
        <x:v>0</x:v>
      </x:c>
      <x:c r="R1243" s="10" t="n">
        <x:f>H1243*'Assumptions'!$Y$113*'Assumptions'!$Z$113*'Assumptions'!$D$11*(1+'Assumptions'!$D$13)^(10-1)</x:f>
        <x:v>1933.376203576019</x:v>
      </x:c>
      <x:c r="S1243" s="10" t="n">
        <x:f>IF(I1243=0,0,J1243*'Assumptions'!$W$113+H1243*'Assumptions'!$X$113)</x:f>
        <x:v>298.92652440239203</x:v>
      </x:c>
      <x:c r="T1243" s="10" t="n">
        <x:f>N1243*'Assumptions'!$AA$113</x:f>
        <x:v>320.64273106716786</x:v>
      </x:c>
      <x:c r="U1243" s="10" t="n">
        <x:f>'Assumptions'!$AE$113*'Assumptions'!$D$11*(1+'Assumptions'!$D$13)^(10-1)</x:f>
        <x:v>0</x:v>
      </x:c>
      <x:c r="V1243" s="10" t="n">
        <x:f>0</x:f>
        <x:v>0</x:v>
      </x:c>
      <x:c r="W1243" s="10" t="n">
        <x:f>H1243*('Assumptions'!$P$113+'Assumptions'!$Y$113)</x:f>
        <x:v>69.14935404233074</x:v>
      </x:c>
      <x:c r="X1243" s="10" t="n">
        <x:f>N1243/12*'Assumptions'!$AF$113</x:f>
        <x:v>668.0056897232664</x:v>
      </x:c>
      <x:c r="Y1243" s="10" t="n">
        <x:f>P1243/12</x:f>
        <x:v>0</x:v>
      </x:c>
      <x:c r="Z1243" s="10" t="n">
        <x:f>0</x:f>
        <x:v>0</x:v>
      </x:c>
      <x:c r="AA1243" s="10" t="n">
        <x:f>Z1243*'Assumptions'!$AC$113*'Assumptions'!$D$11*(1+'Assumptions'!$D$13)^(10-1)</x:f>
        <x:v>0</x:v>
      </x:c>
      <x:c r="AB1243" s="10" t="n">
        <x:f>F1243/1</x:f>
        <x:v>101.83759033095782</x:v>
      </x:c>
      <x:c r="AC1243" s="10" t="n">
        <x:f>AB1243/'Assumptions'!$AM$113</x:f>
        <x:v>509.1879516547891</x:v>
      </x:c>
      <x:c r="AD1243" s="10" t="n">
        <x:f>IF(AB1243=0,0,T1243/AB1243)</x:f>
        <x:v>3.1485695019405324</x:v>
      </x:c>
      <x:c r="AE1243" s="10" t="n">
        <x:f>AA1243*'Assumptions'!$D$21</x:f>
        <x:v>0</x:v>
      </x:c>
    </x:row>
    <x:row r="1244" ht="16" customHeight="1">
      <x:c r="A1244" s="1"/>
      <x:c r="B1244" s="1"/>
      <x:c r="C1244" s="1" t="str">
        <x:v>DOT-085</x:v>
      </x:c>
      <x:c r="D1244" s="10" t="str">
        <x:v>Semajes Studio</x:v>
      </x:c>
      <x:c r="E1244" s="10" t="n">
        <x:v>10</x:v>
      </x:c>
      <x:c r="F1244" s="21" t="n">
        <x:f>F1116*(1+'Assumptions'!$M$114)</x:f>
        <x:v>30.551277099287343</x:v>
      </x:c>
      <x:c r="G1244" s="21" t="n">
        <x:f>H1116*'Assumptions'!$K$114</x:f>
        <x:v>28.719597794139005</x:v>
      </x:c>
      <x:c r="H1244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1244+G1244,NA())</x:f>
        <x:v>59.27087489342635</x:v>
      </x:c>
      <x:c r="I1244" s="22" t="n">
        <x:f>'Assumptions'!$H$114*IF('Assumptions'!$O$114=1,1,'Assumptions'!$D$10)*(1+'Assumptions'!$N$114)^(10-1)</x:f>
        <x:v>179.26388529334665</x:v>
      </x:c>
      <x:c r="J1244" s="10" t="n">
        <x:f>H1244*I1244</x:f>
        <x:v>10625.127318131481</x:v>
      </x:c>
      <x:c r="K1244" s="10" t="n">
        <x:f>J1244*'Assumptions'!$T$114</x:f>
        <x:v>10625.127318131481</x:v>
      </x:c>
      <x:c r="L1244" s="10" t="n">
        <x:f>K1244*'Assumptions'!$U$114</x:f>
        <x:v>318.7538195439444</x:v>
      </x:c>
      <x:c r="M1244" s="10" t="n">
        <x:f>K1244*'Assumptions'!$V$114</x:f>
        <x:v>0</x:v>
      </x:c>
      <x:c r="N1244" s="10" t="n">
        <x:f>K1244-L1244-M1244</x:f>
        <x:v>10306.373498587536</x:v>
      </x:c>
      <x:c r="O1244" s="10" t="n">
        <x:f>H1244*'Assumptions'!$P$114*'Assumptions'!$Q$114*'Assumptions'!$D$11*(1+'Assumptions'!$D$13)^(10-1)</x:f>
        <x:v>966.6881017880095</x:v>
      </x:c>
      <x:c r="P1244" s="10" t="n">
        <x:f>H1244*'Assumptions'!$R$114*'Assumptions'!$D$11*(1+'Assumptions'!$D$13)^(10-1)</x:f>
        <x:v>0</x:v>
      </x:c>
      <x:c r="Q1244" s="10" t="n">
        <x:f>J1244*'Assumptions'!$S$114</x:f>
        <x:v>0</x:v>
      </x:c>
      <x:c r="R1244" s="10" t="n">
        <x:f>H1244*'Assumptions'!$Y$114*'Assumptions'!$Z$114*'Assumptions'!$D$11*(1+'Assumptions'!$D$13)^(10-1)</x:f>
        <x:v>580.0128610728057</x:v>
      </x:c>
      <x:c r="S1244" s="10" t="n">
        <x:f>IF(I1244=0,0,J1244*'Assumptions'!$W$114+H1244*'Assumptions'!$X$114)</x:f>
        <x:v>325.90995469384086</x:v>
      </x:c>
      <x:c r="T1244" s="10" t="n">
        <x:f>N1244*'Assumptions'!$AA$114</x:f>
        <x:v>412.2549399435015</x:v>
      </x:c>
      <x:c r="U1244" s="10" t="n">
        <x:f>'Assumptions'!$AE$114*'Assumptions'!$D$11*(1+'Assumptions'!$D$13)^(10-1)</x:f>
        <x:v>0</x:v>
      </x:c>
      <x:c r="V1244" s="10" t="n">
        <x:f>0</x:f>
        <x:v>0</x:v>
      </x:c>
      <x:c r="W1244" s="10" t="n">
        <x:f>H1244*('Assumptions'!$P$114+'Assumptions'!$Y$114)</x:f>
        <x:v>29.635437446713176</x:v>
      </x:c>
      <x:c r="X1244" s="10" t="n">
        <x:f>N1244/12*'Assumptions'!$AF$114</x:f>
        <x:v>858.864458215628</x:v>
      </x:c>
      <x:c r="Y1244" s="10" t="n">
        <x:f>P1244/12</x:f>
        <x:v>0</x:v>
      </x:c>
      <x:c r="Z1244" s="10" t="n">
        <x:f>0</x:f>
        <x:v>0</x:v>
      </x:c>
      <x:c r="AA1244" s="10" t="n">
        <x:f>Z1244*'Assumptions'!$AC$114*'Assumptions'!$D$11*(1+'Assumptions'!$D$13)^(10-1)</x:f>
        <x:v>0</x:v>
      </x:c>
      <x:c r="AB1244" s="10" t="n">
        <x:f>F1244/1</x:f>
        <x:v>30.551277099287343</x:v>
      </x:c>
      <x:c r="AC1244" s="10" t="n">
        <x:f>AB1244/'Assumptions'!$AM$114</x:f>
        <x:v>152.7563854964367</x:v>
      </x:c>
      <x:c r="AD1244" s="10" t="n">
        <x:f>IF(AB1244=0,0,T1244/AB1244)</x:f>
        <x:v>13.493869294030853</x:v>
      </x:c>
      <x:c r="AE1244" s="10" t="n">
        <x:f>AA1244*'Assumptions'!$D$21</x:f>
        <x:v>0</x:v>
      </x:c>
    </x:row>
    <x:row r="1245" ht="16" customHeight="1">
      <x:c r="A1245" s="1"/>
      <x:c r="B1245" s="1"/>
      <x:c r="C1245" s="1" t="str">
        <x:v>DOT-086</x:v>
      </x:c>
      <x:c r="D1245" s="10" t="str">
        <x:v>Semajes Studio</x:v>
      </x:c>
      <x:c r="E1245" s="10" t="n">
        <x:v>10</x:v>
      </x:c>
      <x:c r="F1245" s="21" t="n">
        <x:f>F1117*(1+'Assumptions'!$M$115)</x:f>
        <x:v>15.275638549643672</x:v>
      </x:c>
      <x:c r="G1245" s="21" t="n">
        <x:f>H1117*'Assumptions'!$K$115</x:f>
        <x:v>14.359798897069503</x:v>
      </x:c>
      <x:c r="H1245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1245+G1245,NA())</x:f>
        <x:v>29.635437446713176</x:v>
      </x:c>
      <x:c r="I1245" s="22" t="n">
        <x:f>'Assumptions'!$H$115*IF('Assumptions'!$O$115=1,1,'Assumptions'!$D$10)*(1+'Assumptions'!$N$115)^(10-1)</x:f>
        <x:v>597.5462843111555</x:v>
      </x:c>
      <x:c r="J1245" s="10" t="n">
        <x:f>H1245*I1245</x:f>
        <x:v>17708.545530219137</x:v>
      </x:c>
      <x:c r="K1245" s="10" t="n">
        <x:f>J1245*'Assumptions'!$T$115</x:f>
        <x:v>17708.545530219137</x:v>
      </x:c>
      <x:c r="L1245" s="10" t="n">
        <x:f>K1245*'Assumptions'!$U$115</x:f>
        <x:v>531.256365906574</x:v>
      </x:c>
      <x:c r="M1245" s="10" t="n">
        <x:f>K1245*'Assumptions'!$V$115</x:f>
        <x:v>0</x:v>
      </x:c>
      <x:c r="N1245" s="10" t="n">
        <x:f>K1245-L1245-M1245</x:f>
        <x:v>17177.289164312562</x:v>
      </x:c>
      <x:c r="O1245" s="10" t="n">
        <x:f>H1245*'Assumptions'!$P$115*'Assumptions'!$Q$115*'Assumptions'!$D$11*(1+'Assumptions'!$D$13)^(10-1)</x:f>
        <x:v>1933.376203576019</x:v>
      </x:c>
      <x:c r="P1245" s="10" t="n">
        <x:f>H1245*'Assumptions'!$R$115*'Assumptions'!$D$11*(1+'Assumptions'!$D$13)^(10-1)</x:f>
        <x:v>0</x:v>
      </x:c>
      <x:c r="Q1245" s="10" t="n">
        <x:f>J1245*'Assumptions'!$S$115</x:f>
        <x:v>0</x:v>
      </x:c>
      <x:c r="R1245" s="10" t="n">
        <x:f>H1245*'Assumptions'!$Y$115*'Assumptions'!$Z$115*'Assumptions'!$D$11*(1+'Assumptions'!$D$13)^(10-1)</x:f>
        <x:v>290.00643053640283</x:v>
      </x:c>
      <x:c r="S1245" s="10" t="n">
        <x:f>IF(I1245=0,0,J1245*'Assumptions'!$W$115+H1245*'Assumptions'!$X$115)</x:f>
        <x:v>522.4384516103689</x:v>
      </x:c>
      <x:c r="T1245" s="10" t="n">
        <x:f>N1245*'Assumptions'!$AA$115</x:f>
        <x:v>687.0915665725025</x:v>
      </x:c>
      <x:c r="U1245" s="10" t="n">
        <x:f>'Assumptions'!$AE$115*'Assumptions'!$D$11*(1+'Assumptions'!$D$13)^(10-1)</x:f>
        <x:v>0</x:v>
      </x:c>
      <x:c r="V1245" s="10" t="n">
        <x:f>0</x:f>
        <x:v>0</x:v>
      </x:c>
      <x:c r="W1245" s="10" t="n">
        <x:f>H1245*('Assumptions'!$P$115+'Assumptions'!$Y$115)</x:f>
        <x:v>37.04429680839147</x:v>
      </x:c>
      <x:c r="X1245" s="10" t="n">
        <x:f>N1245/12*'Assumptions'!$AF$115</x:f>
        <x:v>1431.4407636927135</x:v>
      </x:c>
      <x:c r="Y1245" s="10" t="n">
        <x:f>P1245/12</x:f>
        <x:v>0</x:v>
      </x:c>
      <x:c r="Z1245" s="10" t="n">
        <x:f>0</x:f>
        <x:v>0</x:v>
      </x:c>
      <x:c r="AA1245" s="10" t="n">
        <x:f>Z1245*'Assumptions'!$AC$115*'Assumptions'!$D$11*(1+'Assumptions'!$D$13)^(10-1)</x:f>
        <x:v>0</x:v>
      </x:c>
      <x:c r="AB1245" s="10" t="n">
        <x:f>F1245/1</x:f>
        <x:v>15.275638549643672</x:v>
      </x:c>
      <x:c r="AC1245" s="10" t="n">
        <x:f>AB1245/'Assumptions'!$AM$115</x:f>
        <x:v>76.37819274821835</x:v>
      </x:c>
      <x:c r="AD1245" s="10" t="n">
        <x:f>IF(AB1245=0,0,T1245/AB1245)</x:f>
        <x:v>44.97956431343618</x:v>
      </x:c>
      <x:c r="AE1245" s="10" t="n">
        <x:f>AA1245*'Assumptions'!$D$21</x:f>
        <x:v>0</x:v>
      </x:c>
    </x:row>
    <x:row r="1246" ht="16" customHeight="1">
      <x:c r="A1246" s="1"/>
      <x:c r="B1246" s="1"/>
      <x:c r="C1246" s="1" t="str">
        <x:v>DOT-087</x:v>
      </x:c>
      <x:c r="D1246" s="10" t="str">
        <x:v>Semajes Studio</x:v>
      </x:c>
      <x:c r="E1246" s="10" t="n">
        <x:v>10</x:v>
      </x:c>
      <x:c r="F1246" s="21" t="n">
        <x:f>F1118*(1+'Assumptions'!$M$116)</x:f>
        <x:v>153.22777675439886</x:v>
      </x:c>
      <x:c r="G1246" s="21" t="n">
        <x:f>H1118*'Assumptions'!$K$116</x:f>
        <x:v>62.95534521172621</x:v>
      </x:c>
      <x:c r="H1246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1246+G1246,NA())</x:f>
        <x:v>216.18312196612507</x:v>
      </x:c>
      <x:c r="I1246" s="22" t="n">
        <x:f>'Assumptions'!$H$116*IF('Assumptions'!$O$116=1,1,'Assumptions'!$D$10)*(1+'Assumptions'!$N$116)^(10-1)</x:f>
        <x:v>113.53379401911955</x:v>
      </x:c>
      <x:c r="J1246" s="10" t="n">
        <x:f>H1246*I1246</x:f>
        <x:v>24544.090039712242</x:v>
      </x:c>
      <x:c r="K1246" s="10" t="n">
        <x:f>J1246*'Assumptions'!$T$116</x:f>
        <x:v>24544.090039712242</x:v>
      </x:c>
      <x:c r="L1246" s="10" t="n">
        <x:f>K1246*'Assumptions'!$U$116</x:f>
        <x:v>736.3227011913673</x:v>
      </x:c>
      <x:c r="M1246" s="10" t="n">
        <x:f>K1246*'Assumptions'!$V$116</x:f>
        <x:v>490.88180079424484</x:v>
      </x:c>
      <x:c r="N1246" s="10" t="n">
        <x:f>K1246-L1246-M1246</x:f>
        <x:v>23316.88553772663</x:v>
      </x:c>
      <x:c r="O1246" s="10" t="n">
        <x:f>H1246*'Assumptions'!$P$116*'Assumptions'!$Q$116*'Assumptions'!$D$11*(1+'Assumptions'!$D$13)^(10-1)</x:f>
        <x:v>2115.5245525341525</x:v>
      </x:c>
      <x:c r="P1246" s="10" t="n">
        <x:f>H1246*'Assumptions'!$R$116*'Assumptions'!$D$11*(1+'Assumptions'!$D$13)^(10-1)</x:f>
        <x:v>9872.447911826044</x:v>
      </x:c>
      <x:c r="Q1246" s="10" t="n">
        <x:f>J1246*'Assumptions'!$S$116</x:f>
        <x:v>0</x:v>
      </x:c>
      <x:c r="R1246" s="10" t="n">
        <x:f>H1246*'Assumptions'!$Y$116*'Assumptions'!$Z$116*'Assumptions'!$D$11*(1+'Assumptions'!$D$13)^(10-1)</x:f>
        <x:v>1269.3147315204915</x:v>
      </x:c>
      <x:c r="S1246" s="10" t="n">
        <x:f>IF(I1246=0,0,J1246*'Assumptions'!$W$116+H1246*'Assumptions'!$X$116)</x:f>
        <x:v>776.6335477414925</x:v>
      </x:c>
      <x:c r="T1246" s="10" t="n">
        <x:f>N1246*'Assumptions'!$AA$116</x:f>
        <x:v>1865.3508430181305</x:v>
      </x:c>
      <x:c r="U1246" s="10" t="n">
        <x:f>'Assumptions'!$AE$116*'Assumptions'!$D$11*(1+'Assumptions'!$D$13)^(10-1)</x:f>
        <x:v>0</x:v>
      </x:c>
      <x:c r="V1246" s="10" t="n">
        <x:f>0</x:f>
        <x:v>0</x:v>
      </x:c>
      <x:c r="W1246" s="10" t="n">
        <x:f>H1246*('Assumptions'!$P$116+'Assumptions'!$Y$116)</x:f>
        <x:v>64.85493658983752</x:v>
      </x:c>
      <x:c r="X1246" s="10" t="n">
        <x:f>N1246/12*'Assumptions'!$AF$116</x:f>
        <x:v>0</x:v>
      </x:c>
      <x:c r="Y1246" s="10" t="n">
        <x:f>P1246/12</x:f>
        <x:v>822.7039926521703</x:v>
      </x:c>
      <x:c r="Z1246" s="10" t="n">
        <x:f>0</x:f>
        <x:v>0</x:v>
      </x:c>
      <x:c r="AA1246" s="10" t="n">
        <x:f>Z1246*'Assumptions'!$AC$116*'Assumptions'!$D$11*(1+'Assumptions'!$D$13)^(10-1)</x:f>
        <x:v>0</x:v>
      </x:c>
      <x:c r="AB1246" s="10" t="n">
        <x:f>F1246/1</x:f>
        <x:v>153.22777675439886</x:v>
      </x:c>
      <x:c r="AC1246" s="10" t="n">
        <x:f>AB1246/'Assumptions'!$AM$116</x:f>
        <x:v>5107.5925584799625</x:v>
      </x:c>
      <x:c r="AD1246" s="10" t="n">
        <x:f>IF(AB1246=0,0,T1246/AB1246)</x:f>
        <x:v>12.173712120146519</x:v>
      </x:c>
      <x:c r="AE1246" s="10" t="n">
        <x:f>AA1246*'Assumptions'!$D$21</x:f>
        <x:v>0</x:v>
      </x:c>
    </x:row>
    <x:row r="1247" ht="16" customHeight="1">
      <x:c r="A1247" s="1"/>
      <x:c r="B1247" s="1"/>
      <x:c r="C1247" s="1" t="str">
        <x:v>DOT-088</x:v>
      </x:c>
      <x:c r="D1247" s="10" t="str">
        <x:v>Semajes Studio</x:v>
      </x:c>
      <x:c r="E1247" s="10" t="n">
        <x:v>10</x:v>
      </x:c>
      <x:c r="F1247" s="21" t="n">
        <x:f>F1119*(1+'Assumptions'!$M$117)</x:f>
        <x:v>76.61388837719943</x:v>
      </x:c>
      <x:c r="G1247" s="21" t="n">
        <x:f>H1119*'Assumptions'!$K$117</x:f>
        <x:v>31.477672605863106</x:v>
      </x:c>
      <x:c r="H1247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1247+G1247,NA())</x:f>
        <x:v>108.09156098306254</x:v>
      </x:c>
      <x:c r="I1247" s="22" t="n">
        <x:f>'Assumptions'!$H$117*IF('Assumptions'!$O$117=1,1,'Assumptions'!$D$10)*(1+'Assumptions'!$N$117)^(10-1)</x:f>
        <x:v>298.7731421555778</x:v>
      </x:c>
      <x:c r="J1247" s="10" t="n">
        <x:f>H1247*I1247</x:f>
        <x:v>32294.85531541085</x:v>
      </x:c>
      <x:c r="K1247" s="10" t="n">
        <x:f>J1247*'Assumptions'!$T$117</x:f>
        <x:v>32294.85531541085</x:v>
      </x:c>
      <x:c r="L1247" s="10" t="n">
        <x:f>K1247*'Assumptions'!$U$117</x:f>
        <x:v>968.8456594623254</x:v>
      </x:c>
      <x:c r="M1247" s="10" t="n">
        <x:f>K1247*'Assumptions'!$V$117</x:f>
        <x:v>645.897106308217</x:v>
      </x:c>
      <x:c r="N1247" s="10" t="n">
        <x:f>K1247-L1247-M1247</x:f>
        <x:v>30680.112549640307</x:v>
      </x:c>
      <x:c r="O1247" s="10" t="n">
        <x:f>H1247*'Assumptions'!$P$117*'Assumptions'!$Q$117*'Assumptions'!$D$11*(1+'Assumptions'!$D$13)^(10-1)</x:f>
        <x:v>1762.9371271117936</x:v>
      </x:c>
      <x:c r="P1247" s="10" t="n">
        <x:f>H1247*'Assumptions'!$R$117*'Assumptions'!$D$11*(1+'Assumptions'!$D$13)^(10-1)</x:f>
        <x:v>15513.846718583784</x:v>
      </x:c>
      <x:c r="Q1247" s="10" t="n">
        <x:f>J1247*'Assumptions'!$S$117</x:f>
        <x:v>0</x:v>
      </x:c>
      <x:c r="R1247" s="10" t="n">
        <x:f>H1247*'Assumptions'!$Y$117*'Assumptions'!$Z$117*'Assumptions'!$D$11*(1+'Assumptions'!$D$13)^(10-1)</x:f>
        <x:v>634.6573657602457</x:v>
      </x:c>
      <x:c r="S1247" s="10" t="n">
        <x:f>IF(I1247=0,0,J1247*'Assumptions'!$W$117+H1247*'Assumptions'!$X$117)</x:f>
        <x:v>968.9782724418334</x:v>
      </x:c>
      <x:c r="T1247" s="10" t="n">
        <x:f>N1247*'Assumptions'!$AA$117</x:f>
        <x:v>2454.4090039712246</x:v>
      </x:c>
      <x:c r="U1247" s="10" t="n">
        <x:f>'Assumptions'!$AE$117*'Assumptions'!$D$11*(1+'Assumptions'!$D$13)^(10-1)</x:f>
        <x:v>0</x:v>
      </x:c>
      <x:c r="V1247" s="10" t="n">
        <x:f>0</x:f>
        <x:v>0</x:v>
      </x:c>
      <x:c r="W1247" s="10" t="n">
        <x:f>H1247*('Assumptions'!$P$117+'Assumptions'!$Y$117)</x:f>
        <x:v>43.236624393225014</x:v>
      </x:c>
      <x:c r="X1247" s="10" t="n">
        <x:f>N1247/12*'Assumptions'!$AF$117</x:f>
        <x:v>0</x:v>
      </x:c>
      <x:c r="Y1247" s="10" t="n">
        <x:f>P1247/12</x:f>
        <x:v>1292.820559881982</x:v>
      </x:c>
      <x:c r="Z1247" s="10" t="n">
        <x:f>0</x:f>
        <x:v>0</x:v>
      </x:c>
      <x:c r="AA1247" s="10" t="n">
        <x:f>Z1247*'Assumptions'!$AC$117*'Assumptions'!$D$11*(1+'Assumptions'!$D$13)^(10-1)</x:f>
        <x:v>0</x:v>
      </x:c>
      <x:c r="AB1247" s="10" t="n">
        <x:f>F1247/1</x:f>
        <x:v>76.61388837719943</x:v>
      </x:c>
      <x:c r="AC1247" s="10" t="n">
        <x:f>AB1247/'Assumptions'!$AM$117</x:f>
        <x:v>2553.7962792399812</x:v>
      </x:c>
      <x:c r="AD1247" s="10" t="n">
        <x:f>IF(AB1247=0,0,T1247/AB1247)</x:f>
        <x:v>32.03608452670137</x:v>
      </x:c>
      <x:c r="AE1247" s="10" t="n">
        <x:f>AA1247*'Assumptions'!$D$21</x:f>
        <x:v>0</x:v>
      </x:c>
    </x:row>
    <x:row r="1248" ht="16" customHeight="1">
      <x:c r="A1248" s="1"/>
      <x:c r="B1248" s="1"/>
      <x:c r="C1248" s="1" t="str">
        <x:v>DOT-089</x:v>
      </x:c>
      <x:c r="D1248" s="10" t="str">
        <x:v>Semajes Studio</x:v>
      </x:c>
      <x:c r="E1248" s="10" t="n">
        <x:v>10</x:v>
      </x:c>
      <x:c r="F1248" s="21" t="n">
        <x:f>F1120*(1+'Assumptions'!$M$118)</x:f>
        <x:v>30.645555350879764</x:v>
      </x:c>
      <x:c r="G1248" s="21" t="n">
        <x:f>H1120*'Assumptions'!$K$118</x:f>
        <x:v>12.59106904234524</x:v>
      </x:c>
      <x:c r="H1248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1248+G1248,NA())</x:f>
        <x:v>43.236624393225</x:v>
      </x:c>
      <x:c r="I1248" s="22" t="n">
        <x:f>'Assumptions'!$H$118*IF('Assumptions'!$O$118=1,1,'Assumptions'!$D$10)*(1+'Assumptions'!$N$118)^(10-1)</x:f>
        <x:v>209.14119950890444</x:v>
      </x:c>
      <x:c r="J1248" s="10" t="n">
        <x:f>H1248*I1248</x:f>
        <x:v>9042.559488315033</x:v>
      </x:c>
      <x:c r="K1248" s="10" t="n">
        <x:f>J1248*'Assumptions'!$T$118</x:f>
        <x:v>9042.559488315033</x:v>
      </x:c>
      <x:c r="L1248" s="10" t="n">
        <x:f>K1248*'Assumptions'!$U$118</x:f>
        <x:v>271.276784649451</x:v>
      </x:c>
      <x:c r="M1248" s="10" t="n">
        <x:f>K1248*'Assumptions'!$V$118</x:f>
        <x:v>180.85118976630068</x:v>
      </x:c>
      <x:c r="N1248" s="10" t="n">
        <x:f>K1248-L1248-M1248</x:f>
        <x:v>8590.43151389928</x:v>
      </x:c>
      <x:c r="O1248" s="10" t="n">
        <x:f>H1248*'Assumptions'!$P$118*'Assumptions'!$Q$118*'Assumptions'!$D$11*(1+'Assumptions'!$D$13)^(10-1)</x:f>
        <x:v>1410.3497016894346</x:v>
      </x:c>
      <x:c r="P1248" s="10" t="n">
        <x:f>H1248*'Assumptions'!$R$118*'Assumptions'!$D$11*(1+'Assumptions'!$D$13)^(10-1)</x:f>
        <x:v>5077.258926081964</x:v>
      </x:c>
      <x:c r="Q1248" s="10" t="n">
        <x:f>J1248*'Assumptions'!$S$118</x:f>
        <x:v>0</x:v>
      </x:c>
      <x:c r="R1248" s="10" t="n">
        <x:f>H1248*'Assumptions'!$Y$118*'Assumptions'!$Z$118*'Assumptions'!$D$11*(1+'Assumptions'!$D$13)^(10-1)</x:f>
        <x:v>253.8629463040982</x:v>
      </x:c>
      <x:c r="S1248" s="10" t="n">
        <x:f>IF(I1248=0,0,J1248*'Assumptions'!$W$118+H1248*'Assumptions'!$X$118)</x:f>
        <x:v>275.20521247910347</x:v>
      </x:c>
      <x:c r="T1248" s="10" t="n">
        <x:f>N1248*'Assumptions'!$AA$118</x:f>
        <x:v>687.2345211119425</x:v>
      </x:c>
      <x:c r="U1248" s="10" t="n">
        <x:f>'Assumptions'!$AE$118*'Assumptions'!$D$11*(1+'Assumptions'!$D$13)^(10-1)</x:f>
        <x:v>0</x:v>
      </x:c>
      <x:c r="V1248" s="10" t="n">
        <x:f>0</x:f>
        <x:v>0</x:v>
      </x:c>
      <x:c r="W1248" s="10" t="n">
        <x:f>H1248*('Assumptions'!$P$118+'Assumptions'!$Y$118)</x:f>
        <x:v>28.10380585559625</x:v>
      </x:c>
      <x:c r="X1248" s="10" t="n">
        <x:f>N1248/12*'Assumptions'!$AF$118</x:f>
        <x:v>0</x:v>
      </x:c>
      <x:c r="Y1248" s="10" t="n">
        <x:f>P1248/12</x:f>
        <x:v>423.1049105068303</x:v>
      </x:c>
      <x:c r="Z1248" s="10" t="n">
        <x:f>0</x:f>
        <x:v>0</x:v>
      </x:c>
      <x:c r="AA1248" s="10" t="n">
        <x:f>Z1248*'Assumptions'!$AC$118*'Assumptions'!$D$11*(1+'Assumptions'!$D$13)^(10-1)</x:f>
        <x:v>0</x:v>
      </x:c>
      <x:c r="AB1248" s="10" t="n">
        <x:f>F1248/1</x:f>
        <x:v>30.645555350879764</x:v>
      </x:c>
      <x:c r="AC1248" s="10" t="n">
        <x:f>AB1248/'Assumptions'!$AM$118</x:f>
        <x:v>1021.5185116959922</x:v>
      </x:c>
      <x:c r="AD1248" s="10" t="n">
        <x:f>IF(AB1248=0,0,T1248/AB1248)</x:f>
        <x:v>22.425259168690953</x:v>
      </x:c>
      <x:c r="AE1248" s="10" t="n">
        <x:f>AA1248*'Assumptions'!$D$21</x:f>
        <x:v>0</x:v>
      </x:c>
    </x:row>
    <x:row r="1249" ht="16" customHeight="1">
      <x:c r="A1249" s="1"/>
      <x:c r="B1249" s="1"/>
      <x:c r="C1249" s="1" t="str">
        <x:v>DOT-090</x:v>
      </x:c>
      <x:c r="D1249" s="10" t="str">
        <x:v>Semajes Marketplace</x:v>
      </x:c>
      <x:c r="E1249" s="10" t="n">
        <x:v>10</x:v>
      </x:c>
      <x:c r="F1249" s="21" t="n">
        <x:f>F1121*(1+'Assumptions'!$M$119)</x:f>
        <x:v>86.5393459368653</x:v>
      </x:c>
      <x:c r="G1249" s="21" t="n">
        <x:f>H1121*'Assumptions'!$K$119</x:f>
        <x:v>173.4543886754112</x:v>
      </x:c>
      <x:c r="H1249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1249+G1249,NA())</x:f>
        <x:v>259.9937346122765</x:v>
      </x:c>
      <x:c r="I1249" s="22" t="n">
        <x:f>'Assumptions'!$H$119*IF('Assumptions'!$O$119=1,1,'Assumptions'!$D$10)*(1+'Assumptions'!$N$119)^(10-1)</x:f>
        <x:v>717.0555411733866</x:v>
      </x:c>
      <x:c r="J1249" s="10" t="n">
        <x:f>H1249*I1249</x:f>
        <x:v>186429.9480740958</x:v>
      </x:c>
      <x:c r="K1249" s="10" t="n">
        <x:f>J1249*'Assumptions'!$T$119</x:f>
        <x:v>27964.492211114368</x:v>
      </x:c>
      <x:c r="L1249" s="10" t="n">
        <x:f>K1249*'Assumptions'!$U$119</x:f>
        <x:v>838.934766333431</x:v>
      </x:c>
      <x:c r="M1249" s="10" t="n">
        <x:f>K1249*'Assumptions'!$V$119</x:f>
        <x:v>0</x:v>
      </x:c>
      <x:c r="N1249" s="10" t="n">
        <x:f>K1249-L1249-M1249</x:f>
        <x:v>27125.557444780938</x:v>
      </x:c>
      <x:c r="O1249" s="10" t="n">
        <x:f>H1249*'Assumptions'!$P$119*'Assumptions'!$Q$119*'Assumptions'!$D$11*(1+'Assumptions'!$D$13)^(10-1)</x:f>
        <x:v>2968.2874627500128</x:v>
      </x:c>
      <x:c r="P1249" s="10" t="n">
        <x:f>H1249*'Assumptions'!$R$119*'Assumptions'!$D$11*(1+'Assumptions'!$D$13)^(10-1)</x:f>
        <x:v>0</x:v>
      </x:c>
      <x:c r="Q1249" s="10" t="n">
        <x:f>J1249*'Assumptions'!$S$119</x:f>
        <x:v>0</x:v>
      </x:c>
      <x:c r="R1249" s="10" t="n">
        <x:f>H1249*'Assumptions'!$Y$119*'Assumptions'!$Z$119*'Assumptions'!$D$11*(1+'Assumptions'!$D$13)^(10-1)</x:f>
        <x:v>1526.5478379857207</x:v>
      </x:c>
      <x:c r="S1249" s="10" t="n">
        <x:f>IF(I1249=0,0,J1249*'Assumptions'!$W$119+H1249*'Assumptions'!$X$119)</x:f>
        <x:v>5484.466614532462</x:v>
      </x:c>
      <x:c r="T1249" s="10" t="n">
        <x:f>N1249*'Assumptions'!$AA$119</x:f>
        <x:v>1356.277872239047</x:v>
      </x:c>
      <x:c r="U1249" s="10" t="n">
        <x:f>'Assumptions'!$AE$119*'Assumptions'!$D$11*(1+'Assumptions'!$D$13)^(10-1)</x:f>
        <x:v>313.1455641190188</x:v>
      </x:c>
      <x:c r="V1249" s="10" t="n">
        <x:f>0</x:f>
        <x:v>0</x:v>
      </x:c>
      <x:c r="W1249" s="10" t="n">
        <x:f>H1249*('Assumptions'!$P$119+'Assumptions'!$Y$119)</x:f>
        <x:v>103.99749384491061</x:v>
      </x:c>
      <x:c r="X1249" s="10" t="n">
        <x:f>N1249/12*'Assumptions'!$AF$119</x:f>
        <x:v>0</x:v>
      </x:c>
      <x:c r="Y1249" s="10" t="n">
        <x:f>P1249/12</x:f>
        <x:v>0</x:v>
      </x:c>
      <x:c r="Z1249" s="10" t="n">
        <x:f>0</x:f>
        <x:v>0</x:v>
      </x:c>
      <x:c r="AA1249" s="10" t="n">
        <x:f>Z1249*'Assumptions'!$AC$119*'Assumptions'!$D$11*(1+'Assumptions'!$D$13)^(10-1)</x:f>
        <x:v>0</x:v>
      </x:c>
      <x:c r="AB1249" s="10" t="n">
        <x:f>F1249/1</x:f>
        <x:v>86.5393459368653</x:v>
      </x:c>
      <x:c r="AC1249" s="10" t="n">
        <x:f>AB1249/'Assumptions'!$AM$119</x:f>
        <x:v>1730.786918737306</x:v>
      </x:c>
      <x:c r="AD1249" s="10" t="n">
        <x:f>IF(AB1249=0,0,T1249/AB1249)</x:f>
        <x:v>15.672384134131521</x:v>
      </x:c>
      <x:c r="AE1249" s="10" t="n">
        <x:f>AA1249*'Assumptions'!$D$21</x:f>
        <x:v>0</x:v>
      </x:c>
    </x:row>
    <x:row r="1250" ht="16" customHeight="1">
      <x:c r="A1250" s="1"/>
      <x:c r="B1250" s="1"/>
      <x:c r="C1250" s="1" t="str">
        <x:v>DOT-091</x:v>
      </x:c>
      <x:c r="D1250" s="10" t="str">
        <x:v>Semajes Marketplace</x:v>
      </x:c>
      <x:c r="E1250" s="10" t="n">
        <x:v>10</x:v>
      </x:c>
      <x:c r="F1250" s="21" t="n">
        <x:f>F1122*(1+'Assumptions'!$M$120)</x:f>
        <x:v>173.0786918737306</x:v>
      </x:c>
      <x:c r="G1250" s="21" t="n">
        <x:f>H1122*'Assumptions'!$K$120</x:f>
        <x:v>346.9087773508224</x:v>
      </x:c>
      <x:c r="H1250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1250+G1250,NA())</x:f>
        <x:v>519.987469224553</x:v>
      </x:c>
      <x:c r="I1250" s="22" t="n">
        <x:f>'Assumptions'!$H$120*IF('Assumptions'!$O$120=1,1,'Assumptions'!$D$10)*(1+'Assumptions'!$N$120)^(10-1)</x:f>
        <x:v>89.63194264667332</x:v>
      </x:c>
      <x:c r="J1250" s="10" t="n">
        <x:f>H1250*I1250</x:f>
        <x:v>46607.48701852395</x:v>
      </x:c>
      <x:c r="K1250" s="10" t="n">
        <x:f>J1250*'Assumptions'!$T$120</x:f>
        <x:v>9321.49740370479</x:v>
      </x:c>
      <x:c r="L1250" s="10" t="n">
        <x:f>K1250*'Assumptions'!$U$120</x:f>
        <x:v>279.6449221111437</x:v>
      </x:c>
      <x:c r="M1250" s="10" t="n">
        <x:f>K1250*'Assumptions'!$V$120</x:f>
        <x:v>0</x:v>
      </x:c>
      <x:c r="N1250" s="10" t="n">
        <x:f>K1250-L1250-M1250</x:f>
        <x:v>9041.852481593647</x:v>
      </x:c>
      <x:c r="O1250" s="10" t="n">
        <x:f>H1250*'Assumptions'!$P$120*'Assumptions'!$Q$120*'Assumptions'!$D$11*(1+'Assumptions'!$D$13)^(10-1)</x:f>
        <x:v>2374.6299702000106</x:v>
      </x:c>
      <x:c r="P1250" s="10" t="n">
        <x:f>H1250*'Assumptions'!$R$120*'Assumptions'!$D$11*(1+'Assumptions'!$D$13)^(10-1)</x:f>
        <x:v>0</x:v>
      </x:c>
      <x:c r="Q1250" s="10" t="n">
        <x:f>J1250*'Assumptions'!$S$120</x:f>
        <x:v>0</x:v>
      </x:c>
      <x:c r="R1250" s="10" t="n">
        <x:f>H1250*'Assumptions'!$Y$120*'Assumptions'!$Z$120*'Assumptions'!$D$11*(1+'Assumptions'!$D$13)^(10-1)</x:f>
        <x:v>3053.0956759714413</x:v>
      </x:c>
      <x:c r="S1250" s="10" t="n">
        <x:f>IF(I1250=0,0,J1250*'Assumptions'!$W$120+H1250*'Assumptions'!$X$120)</x:f>
        <x:v>1507.6133643045605</x:v>
      </x:c>
      <x:c r="T1250" s="10" t="n">
        <x:f>N1250*'Assumptions'!$AA$120</x:f>
        <x:v>452.09262407968237</x:v>
      </x:c>
      <x:c r="U1250" s="10" t="n">
        <x:f>'Assumptions'!$AE$120*'Assumptions'!$D$11*(1+'Assumptions'!$D$13)^(10-1)</x:f>
        <x:v>0</x:v>
      </x:c>
      <x:c r="V1250" s="10" t="n">
        <x:f>0</x:f>
        <x:v>0</x:v>
      </x:c>
      <x:c r="W1250" s="10" t="n">
        <x:f>H1250*('Assumptions'!$P$120+'Assumptions'!$Y$120)</x:f>
        <x:v>129.99686730613826</x:v>
      </x:c>
      <x:c r="X1250" s="10" t="n">
        <x:f>N1250/12*'Assumptions'!$AF$120</x:f>
        <x:v>0</x:v>
      </x:c>
      <x:c r="Y1250" s="10" t="n">
        <x:f>P1250/12</x:f>
        <x:v>0</x:v>
      </x:c>
      <x:c r="Z1250" s="10" t="n">
        <x:f>0</x:f>
        <x:v>0</x:v>
      </x:c>
      <x:c r="AA1250" s="10" t="n">
        <x:f>Z1250*'Assumptions'!$AC$120*'Assumptions'!$D$11*(1+'Assumptions'!$D$13)^(10-1)</x:f>
        <x:v>0</x:v>
      </x:c>
      <x:c r="AB1250" s="10" t="n">
        <x:f>F1250/1</x:f>
        <x:v>173.0786918737306</x:v>
      </x:c>
      <x:c r="AC1250" s="10" t="n">
        <x:f>AB1250/'Assumptions'!$AM$120</x:f>
        <x:v>3461.573837474612</x:v>
      </x:c>
      <x:c r="AD1250" s="10" t="n">
        <x:f>IF(AB1250=0,0,T1250/AB1250)</x:f>
        <x:v>2.612064022355254</x:v>
      </x:c>
      <x:c r="AE1250" s="10" t="n">
        <x:f>AA1250*'Assumptions'!$D$21</x:f>
        <x:v>0</x:v>
      </x:c>
    </x:row>
    <x:row r="1251" ht="16" customHeight="1">
      <x:c r="A1251" s="1"/>
      <x:c r="B1251" s="1"/>
      <x:c r="C1251" s="1" t="str">
        <x:v>DOT-092</x:v>
      </x:c>
      <x:c r="D1251" s="10" t="str">
        <x:v>Semajes Marketplace</x:v>
      </x:c>
      <x:c r="E1251" s="10" t="n">
        <x:v>10</x:v>
      </x:c>
      <x:c r="F1251" s="21" t="n">
        <x:f>F1123*(1+'Assumptions'!$M$121)</x:f>
        <x:v>86.5393459368653</x:v>
      </x:c>
      <x:c r="G1251" s="21" t="n">
        <x:f>H1123*'Assumptions'!$K$121</x:f>
        <x:v>173.4543886754112</x:v>
      </x:c>
      <x:c r="H1251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1251+G1251,NA())</x:f>
        <x:v>259.9937346122765</x:v>
      </x:c>
      <x:c r="I1251" s="22" t="n">
        <x:f>'Assumptions'!$H$121*IF('Assumptions'!$O$121=1,1,'Assumptions'!$D$10)*(1+'Assumptions'!$N$121)^(10-1)</x:f>
        <x:v>298.7731421555778</x:v>
      </x:c>
      <x:c r="J1251" s="10" t="n">
        <x:f>H1251*I1251</x:f>
        <x:v>77679.14503087325</x:v>
      </x:c>
      <x:c r="K1251" s="10" t="n">
        <x:f>J1251*'Assumptions'!$T$121</x:f>
        <x:v>15535.82900617465</x:v>
      </x:c>
      <x:c r="L1251" s="10" t="n">
        <x:f>K1251*'Assumptions'!$U$121</x:f>
        <x:v>466.0748701852395</x:v>
      </x:c>
      <x:c r="M1251" s="10" t="n">
        <x:f>K1251*'Assumptions'!$V$121</x:f>
        <x:v>0</x:v>
      </x:c>
      <x:c r="N1251" s="10" t="n">
        <x:f>K1251-L1251-M1251</x:f>
        <x:v>15069.754135989411</x:v>
      </x:c>
      <x:c r="O1251" s="10" t="n">
        <x:f>H1251*'Assumptions'!$P$121*'Assumptions'!$Q$121*'Assumptions'!$D$11*(1+'Assumptions'!$D$13)^(10-1)</x:f>
        <x:v>1780.9724776500077</x:v>
      </x:c>
      <x:c r="P1251" s="10" t="n">
        <x:f>H1251*'Assumptions'!$R$121*'Assumptions'!$D$11*(1+'Assumptions'!$D$13)^(10-1)</x:f>
        <x:v>0</x:v>
      </x:c>
      <x:c r="Q1251" s="10" t="n">
        <x:f>J1251*'Assumptions'!$S$121</x:f>
        <x:v>0</x:v>
      </x:c>
      <x:c r="R1251" s="10" t="n">
        <x:f>H1251*'Assumptions'!$Y$121*'Assumptions'!$Z$121*'Assumptions'!$D$11*(1+'Assumptions'!$D$13)^(10-1)</x:f>
        <x:v>1526.5478379857207</x:v>
      </x:c>
      <x:c r="S1251" s="10" t="n">
        <x:f>IF(I1251=0,0,J1251*'Assumptions'!$W$121+H1251*'Assumptions'!$X$121)</x:f>
        <x:v>2330.693326279007</x:v>
      </x:c>
      <x:c r="T1251" s="10" t="n">
        <x:f>N1251*'Assumptions'!$AA$121</x:f>
        <x:v>753.4877067994706</x:v>
      </x:c>
      <x:c r="U1251" s="10" t="n">
        <x:f>'Assumptions'!$AE$121*'Assumptions'!$D$11*(1+'Assumptions'!$D$13)^(10-1)</x:f>
        <x:v>0</x:v>
      </x:c>
      <x:c r="V1251" s="10" t="n">
        <x:f>0</x:f>
        <x:v>0</x:v>
      </x:c>
      <x:c r="W1251" s="10" t="n">
        <x:f>H1251*('Assumptions'!$P$121+'Assumptions'!$Y$121)</x:f>
        <x:v>77.99812038368295</x:v>
      </x:c>
      <x:c r="X1251" s="10" t="n">
        <x:f>N1251/12*'Assumptions'!$AF$121</x:f>
        <x:v>0</x:v>
      </x:c>
      <x:c r="Y1251" s="10" t="n">
        <x:f>P1251/12</x:f>
        <x:v>0</x:v>
      </x:c>
      <x:c r="Z1251" s="10" t="n">
        <x:f>0</x:f>
        <x:v>0</x:v>
      </x:c>
      <x:c r="AA1251" s="10" t="n">
        <x:f>Z1251*'Assumptions'!$AC$121*'Assumptions'!$D$11*(1+'Assumptions'!$D$13)^(10-1)</x:f>
        <x:v>0</x:v>
      </x:c>
      <x:c r="AB1251" s="10" t="n">
        <x:f>F1251/1</x:f>
        <x:v>86.5393459368653</x:v>
      </x:c>
      <x:c r="AC1251" s="10" t="n">
        <x:f>AB1251/'Assumptions'!$AM$121</x:f>
        <x:v>1730.786918737306</x:v>
      </x:c>
      <x:c r="AD1251" s="10" t="n">
        <x:f>IF(AB1251=0,0,T1251/AB1251)</x:f>
        <x:v>8.706880074517514</x:v>
      </x:c>
      <x:c r="AE1251" s="10" t="n">
        <x:f>AA1251*'Assumptions'!$D$21</x:f>
        <x:v>0</x:v>
      </x:c>
    </x:row>
    <x:row r="1252" ht="16" customHeight="1">
      <x:c r="A1252" s="1"/>
      <x:c r="B1252" s="1"/>
      <x:c r="C1252" s="1" t="str">
        <x:v>DOT-093</x:v>
      </x:c>
      <x:c r="D1252" s="10" t="str">
        <x:v>Semajes Marketplace</x:v>
      </x:c>
      <x:c r="E1252" s="10" t="n">
        <x:v>10</x:v>
      </x:c>
      <x:c r="F1252" s="21" t="n">
        <x:f>F1124*(1+'Assumptions'!$M$122)</x:f>
        <x:v>17.307869187373058</x:v>
      </x:c>
      <x:c r="G1252" s="21" t="n">
        <x:f>H1124*'Assumptions'!$K$122</x:f>
        <x:v>34.69087773508224</x:v>
      </x:c>
      <x:c r="H1252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1252+G1252,NA())</x:f>
        <x:v>51.9987469224553</x:v>
      </x:c>
      <x:c r="I1252" s="22" t="n">
        <x:f>'Assumptions'!$H$122*IF('Assumptions'!$O$122=1,1,'Assumptions'!$D$10)*(1+'Assumptions'!$N$122)^(10-1)</x:f>
        <x:v>597.5462843111555</x:v>
      </x:c>
      <x:c r="J1252" s="10" t="n">
        <x:f>H1252*I1252</x:f>
        <x:v>31071.658012349297</x:v>
      </x:c>
      <x:c r="K1252" s="10" t="n">
        <x:f>J1252*'Assumptions'!$T$122</x:f>
        <x:v>4660.748701852394</x:v>
      </x:c>
      <x:c r="L1252" s="10" t="n">
        <x:f>K1252*'Assumptions'!$U$122</x:f>
        <x:v>139.82246105557184</x:v>
      </x:c>
      <x:c r="M1252" s="10" t="n">
        <x:f>K1252*'Assumptions'!$V$122</x:f>
        <x:v>0</x:v>
      </x:c>
      <x:c r="N1252" s="10" t="n">
        <x:f>K1252-L1252-M1252</x:f>
        <x:v>4520.926240796823</x:v>
      </x:c>
      <x:c r="O1252" s="10" t="n">
        <x:f>H1252*'Assumptions'!$P$122*'Assumptions'!$Q$122*'Assumptions'!$D$11*(1+'Assumptions'!$D$13)^(10-1)</x:f>
        <x:v>593.6574925500025</x:v>
      </x:c>
      <x:c r="P1252" s="10" t="n">
        <x:f>H1252*'Assumptions'!$R$122*'Assumptions'!$D$11*(1+'Assumptions'!$D$13)^(10-1)</x:f>
        <x:v>0</x:v>
      </x:c>
      <x:c r="Q1252" s="10" t="n">
        <x:f>J1252*'Assumptions'!$S$122</x:f>
        <x:v>0</x:v>
      </x:c>
      <x:c r="R1252" s="10" t="n">
        <x:f>H1252*'Assumptions'!$Y$122*'Assumptions'!$Z$122*'Assumptions'!$D$11*(1+'Assumptions'!$D$13)^(10-1)</x:f>
        <x:v>305.30956759714417</x:v>
      </x:c>
      <x:c r="S1252" s="10" t="n">
        <x:f>IF(I1252=0,0,J1252*'Assumptions'!$W$122+H1252*'Assumptions'!$X$122)</x:f>
        <x:v>916.6777064348663</x:v>
      </x:c>
      <x:c r="T1252" s="10" t="n">
        <x:f>N1252*'Assumptions'!$AA$122</x:f>
        <x:v>226.04631203984115</x:v>
      </x:c>
      <x:c r="U1252" s="10" t="n">
        <x:f>'Assumptions'!$AE$122*'Assumptions'!$D$11*(1+'Assumptions'!$D$13)^(10-1)</x:f>
        <x:v>0</x:v>
      </x:c>
      <x:c r="V1252" s="10" t="n">
        <x:f>0</x:f>
        <x:v>0</x:v>
      </x:c>
      <x:c r="W1252" s="10" t="n">
        <x:f>H1252*('Assumptions'!$P$122+'Assumptions'!$Y$122)</x:f>
        <x:v>20.79949876898212</x:v>
      </x:c>
      <x:c r="X1252" s="10" t="n">
        <x:f>N1252/12*'Assumptions'!$AF$122</x:f>
        <x:v>0</x:v>
      </x:c>
      <x:c r="Y1252" s="10" t="n">
        <x:f>P1252/12</x:f>
        <x:v>0</x:v>
      </x:c>
      <x:c r="Z1252" s="10" t="n">
        <x:f>0</x:f>
        <x:v>0</x:v>
      </x:c>
      <x:c r="AA1252" s="10" t="n">
        <x:f>Z1252*'Assumptions'!$AC$122*'Assumptions'!$D$11*(1+'Assumptions'!$D$13)^(10-1)</x:f>
        <x:v>0</x:v>
      </x:c>
      <x:c r="AB1252" s="10" t="n">
        <x:f>F1252/1</x:f>
        <x:v>17.307869187373058</x:v>
      </x:c>
      <x:c r="AC1252" s="10" t="n">
        <x:f>AB1252/'Assumptions'!$AM$122</x:f>
        <x:v>346.15738374746115</x:v>
      </x:c>
      <x:c r="AD1252" s="10" t="n">
        <x:f>IF(AB1252=0,0,T1252/AB1252)</x:f>
        <x:v>13.06032011177627</x:v>
      </x:c>
      <x:c r="AE1252" s="10" t="n">
        <x:f>AA1252*'Assumptions'!$D$21</x:f>
        <x:v>0</x:v>
      </x:c>
    </x:row>
    <x:row r="1253" ht="16" customHeight="1">
      <x:c r="A1253" s="1"/>
      <x:c r="B1253" s="1"/>
      <x:c r="C1253" s="1" t="str">
        <x:v>DOT-094</x:v>
      </x:c>
      <x:c r="D1253" s="10" t="str">
        <x:v>Semajes premium and media</x:v>
      </x:c>
      <x:c r="E1253" s="10" t="n">
        <x:v>10</x:v>
      </x:c>
      <x:c r="F1253" s="21" t="n">
        <x:f>F1125*(1+'Assumptions'!$M$123)</x:f>
        <x:v>86.5393459368653</x:v>
      </x:c>
      <x:c r="G1253" s="21" t="n">
        <x:f>H1125*'Assumptions'!$K$123</x:f>
        <x:v>173.4543886754112</x:v>
      </x:c>
      <x:c r="H1253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1253+G1253,NA())</x:f>
        <x:v>259.9937346122765</x:v>
      </x:c>
      <x:c r="I1253" s="22" t="n">
        <x:f>'Assumptions'!$H$123*IF('Assumptions'!$O$123=1,1,'Assumptions'!$D$10)*(1+'Assumptions'!$N$123)^(10-1)</x:f>
        <x:v>10.7558331176008</x:v>
      </x:c>
      <x:c r="J1253" s="10" t="n">
        <x:f>H1253*I1253</x:f>
        <x:v>2796.449221111437</x:v>
      </x:c>
      <x:c r="K1253" s="10" t="n">
        <x:f>J1253*'Assumptions'!$T$123</x:f>
        <x:v>2796.449221111437</x:v>
      </x:c>
      <x:c r="L1253" s="10" t="n">
        <x:f>K1253*'Assumptions'!$U$123</x:f>
        <x:v>83.89347663334311</x:v>
      </x:c>
      <x:c r="M1253" s="10" t="n">
        <x:f>K1253*'Assumptions'!$V$123</x:f>
        <x:v>0</x:v>
      </x:c>
      <x:c r="N1253" s="10" t="n">
        <x:f>K1253-L1253-M1253</x:f>
        <x:v>2712.555744478094</x:v>
      </x:c>
      <x:c r="O1253" s="10" t="n">
        <x:f>H1253*'Assumptions'!$P$123*'Assumptions'!$Q$123*'Assumptions'!$D$11*(1+'Assumptions'!$D$13)^(10-1)</x:f>
        <x:v>593.6574925500026</x:v>
      </x:c>
      <x:c r="P1253" s="10" t="n">
        <x:f>H1253*'Assumptions'!$R$123*'Assumptions'!$D$11*(1+'Assumptions'!$D$13)^(10-1)</x:f>
        <x:v>0</x:v>
      </x:c>
      <x:c r="Q1253" s="10" t="n">
        <x:f>J1253*'Assumptions'!$S$123</x:f>
        <x:v>0</x:v>
      </x:c>
      <x:c r="R1253" s="10" t="n">
        <x:f>H1253*'Assumptions'!$Y$123*'Assumptions'!$Z$123*'Assumptions'!$D$11*(1+'Assumptions'!$D$13)^(10-1)</x:f>
        <x:v>1526.5478379857207</x:v>
      </x:c>
      <x:c r="S1253" s="10" t="n">
        <x:f>IF(I1253=0,0,J1253*'Assumptions'!$W$123+H1253*'Assumptions'!$X$123)</x:f>
        <x:v>159.0951477959146</x:v>
      </x:c>
      <x:c r="T1253" s="10" t="n">
        <x:f>N1253*'Assumptions'!$AA$123</x:f>
        <x:v>135.6277872239047</x:v>
      </x:c>
      <x:c r="U1253" s="10" t="n">
        <x:f>'Assumptions'!$AE$123*'Assumptions'!$D$11*(1+'Assumptions'!$D$13)^(10-1)</x:f>
        <x:v>0</x:v>
      </x:c>
      <x:c r="V1253" s="10" t="n">
        <x:f>0</x:f>
        <x:v>0</x:v>
      </x:c>
      <x:c r="W1253" s="10" t="n">
        <x:f>H1253*('Assumptions'!$P$123+'Assumptions'!$Y$123)</x:f>
        <x:v>51.998746922455304</x:v>
      </x:c>
      <x:c r="X1253" s="10" t="n">
        <x:f>N1253/12*'Assumptions'!$AF$123</x:f>
        <x:v>0</x:v>
      </x:c>
      <x:c r="Y1253" s="10" t="n">
        <x:f>P1253/12</x:f>
        <x:v>0</x:v>
      </x:c>
      <x:c r="Z1253" s="10" t="n">
        <x:f>0</x:f>
        <x:v>0</x:v>
      </x:c>
      <x:c r="AA1253" s="10" t="n">
        <x:f>Z1253*'Assumptions'!$AC$123*'Assumptions'!$D$11*(1+'Assumptions'!$D$13)^(10-1)</x:f>
        <x:v>0</x:v>
      </x:c>
      <x:c r="AB1253" s="10" t="n">
        <x:f>F1253/12</x:f>
        <x:v>7.211612161405442</x:v>
      </x:c>
      <x:c r="AC1253" s="10" t="n">
        <x:f>AB1253/'Assumptions'!$AM$123</x:f>
        <x:v>144.2322432281088</x:v>
      </x:c>
      <x:c r="AD1253" s="10" t="n">
        <x:f>IF(AB1253=0,0,T1253/AB1253)</x:f>
        <x:v>18.806860960957827</x:v>
      </x:c>
      <x:c r="AE1253" s="10" t="n">
        <x:f>AA1253*'Assumptions'!$D$21</x:f>
        <x:v>0</x:v>
      </x:c>
    </x:row>
    <x:row r="1254" ht="16" customHeight="1">
      <x:c r="A1254" s="1"/>
      <x:c r="B1254" s="1"/>
      <x:c r="C1254" s="1" t="str">
        <x:v>DOT-095</x:v>
      </x:c>
      <x:c r="D1254" s="10" t="str">
        <x:v>Semajes premium and media</x:v>
      </x:c>
      <x:c r="E1254" s="10" t="n">
        <x:v>10</x:v>
      </x:c>
      <x:c r="F1254" s="21" t="n">
        <x:f>F1126*(1+'Assumptions'!$M$124)</x:f>
        <x:v>86.5393459368653</x:v>
      </x:c>
      <x:c r="G1254" s="21" t="n">
        <x:f>H1126*'Assumptions'!$K$124</x:f>
        <x:v>173.4543886754112</x:v>
      </x:c>
      <x:c r="H1254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1254+G1254,NA())</x:f>
        <x:v>259.9937346122765</x:v>
      </x:c>
      <x:c r="I1254" s="22" t="n">
        <x:f>'Assumptions'!$H$124*IF('Assumptions'!$O$124=1,1,'Assumptions'!$D$10)*(1+'Assumptions'!$N$124)^(10-1)</x:f>
        <x:v>22.70675880382391</x:v>
      </x:c>
      <x:c r="J1254" s="10" t="n">
        <x:f>H1254*I1254</x:f>
        <x:v>5903.6150223463665</x:v>
      </x:c>
      <x:c r="K1254" s="10" t="n">
        <x:f>J1254*'Assumptions'!$T$124</x:f>
        <x:v>5903.6150223463665</x:v>
      </x:c>
      <x:c r="L1254" s="10" t="n">
        <x:f>K1254*'Assumptions'!$U$124</x:f>
        <x:v>177.108450670391</x:v>
      </x:c>
      <x:c r="M1254" s="10" t="n">
        <x:f>K1254*'Assumptions'!$V$124</x:f>
        <x:v>0</x:v>
      </x:c>
      <x:c r="N1254" s="10" t="n">
        <x:f>K1254-L1254-M1254</x:f>
        <x:v>5726.5065716759755</x:v>
      </x:c>
      <x:c r="O1254" s="10" t="n">
        <x:f>H1254*'Assumptions'!$P$124*'Assumptions'!$Q$124*'Assumptions'!$D$11*(1+'Assumptions'!$D$13)^(10-1)</x:f>
        <x:v>1187.3149851000053</x:v>
      </x:c>
      <x:c r="P1254" s="10" t="n">
        <x:f>H1254*'Assumptions'!$R$124*'Assumptions'!$D$11*(1+'Assumptions'!$D$13)^(10-1)</x:f>
        <x:v>0</x:v>
      </x:c>
      <x:c r="Q1254" s="10" t="n">
        <x:f>J1254*'Assumptions'!$S$124</x:f>
        <x:v>0</x:v>
      </x:c>
      <x:c r="R1254" s="10" t="n">
        <x:f>H1254*'Assumptions'!$Y$124*'Assumptions'!$Z$124*'Assumptions'!$D$11*(1+'Assumptions'!$D$13)^(10-1)</x:f>
        <x:v>1526.5478379857207</x:v>
      </x:c>
      <x:c r="S1254" s="10" t="n">
        <x:f>IF(I1254=0,0,J1254*'Assumptions'!$W$124+H1254*'Assumptions'!$X$124)</x:f>
        <x:v>249.20295603172758</x:v>
      </x:c>
      <x:c r="T1254" s="10" t="n">
        <x:f>N1254*'Assumptions'!$AA$124</x:f>
        <x:v>286.3253285837988</x:v>
      </x:c>
      <x:c r="U1254" s="10" t="n">
        <x:f>'Assumptions'!$AE$124*'Assumptions'!$D$11*(1+'Assumptions'!$D$13)^(10-1)</x:f>
        <x:v>0</x:v>
      </x:c>
      <x:c r="V1254" s="10" t="n">
        <x:f>0</x:f>
        <x:v>0</x:v>
      </x:c>
      <x:c r="W1254" s="10" t="n">
        <x:f>H1254*('Assumptions'!$P$124+'Assumptions'!$Y$124)</x:f>
        <x:v>64.99843365306913</x:v>
      </x:c>
      <x:c r="X1254" s="10" t="n">
        <x:f>N1254/12*'Assumptions'!$AF$124</x:f>
        <x:v>0</x:v>
      </x:c>
      <x:c r="Y1254" s="10" t="n">
        <x:f>P1254/12</x:f>
        <x:v>0</x:v>
      </x:c>
      <x:c r="Z1254" s="10" t="n">
        <x:f>0</x:f>
        <x:v>0</x:v>
      </x:c>
      <x:c r="AA1254" s="10" t="n">
        <x:f>Z1254*'Assumptions'!$AC$124*'Assumptions'!$D$11*(1+'Assumptions'!$D$13)^(10-1)</x:f>
        <x:v>0</x:v>
      </x:c>
      <x:c r="AB1254" s="10" t="n">
        <x:f>F1254/12</x:f>
        <x:v>7.211612161405442</x:v>
      </x:c>
      <x:c r="AC1254" s="10" t="n">
        <x:f>AB1254/'Assumptions'!$AM$124</x:f>
        <x:v>144.2322432281088</x:v>
      </x:c>
      <x:c r="AD1254" s="10" t="n">
        <x:f>IF(AB1254=0,0,T1254/AB1254)</x:f>
        <x:v>39.70337313979986</x:v>
      </x:c>
      <x:c r="AE1254" s="10" t="n">
        <x:f>AA1254*'Assumptions'!$D$21</x:f>
        <x:v>0</x:v>
      </x:c>
    </x:row>
    <x:row r="1255" ht="16" customHeight="1">
      <x:c r="A1255" s="1"/>
      <x:c r="B1255" s="1"/>
      <x:c r="C1255" s="1" t="str">
        <x:v>DOT-096</x:v>
      </x:c>
      <x:c r="D1255" s="10" t="str">
        <x:v>Semajes premium and media</x:v>
      </x:c>
      <x:c r="E1255" s="10" t="n">
        <x:v>10</x:v>
      </x:c>
      <x:c r="F1255" s="21" t="n">
        <x:f>F1127*(1+'Assumptions'!$M$125)</x:f>
        <x:v>43.26967296843265</x:v>
      </x:c>
      <x:c r="G1255" s="21" t="n">
        <x:f>H1127*'Assumptions'!$K$125</x:f>
        <x:v>86.7271943377056</x:v>
      </x:c>
      <x:c r="H1255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1255+G1255,NA())</x:f>
        <x:v>129.99686730613826</x:v>
      </x:c>
      <x:c r="I1255" s="22" t="n">
        <x:f>'Assumptions'!$H$125*IF('Assumptions'!$O$125=1,1,'Assumptions'!$D$10)*(1+'Assumptions'!$N$125)^(10-1)</x:f>
        <x:v>46.60861017627013</x:v>
      </x:c>
      <x:c r="J1255" s="10" t="n">
        <x:f>H1255*I1255</x:f>
        <x:v>6058.973312408114</x:v>
      </x:c>
      <x:c r="K1255" s="10" t="n">
        <x:f>J1255*'Assumptions'!$T$125</x:f>
        <x:v>6058.973312408114</x:v>
      </x:c>
      <x:c r="L1255" s="10" t="n">
        <x:f>K1255*'Assumptions'!$U$125</x:f>
        <x:v>181.7691993722434</x:v>
      </x:c>
      <x:c r="M1255" s="10" t="n">
        <x:f>K1255*'Assumptions'!$V$125</x:f>
        <x:v>0</x:v>
      </x:c>
      <x:c r="N1255" s="10" t="n">
        <x:f>K1255-L1255-M1255</x:f>
        <x:v>5877.20411303587</x:v>
      </x:c>
      <x:c r="O1255" s="10" t="n">
        <x:f>H1255*'Assumptions'!$P$125*'Assumptions'!$Q$125*'Assumptions'!$D$11*(1+'Assumptions'!$D$13)^(10-1)</x:f>
        <x:v>1187.3149851000053</x:v>
      </x:c>
      <x:c r="P1255" s="10" t="n">
        <x:f>H1255*'Assumptions'!$R$125*'Assumptions'!$D$11*(1+'Assumptions'!$D$13)^(10-1)</x:f>
        <x:v>0</x:v>
      </x:c>
      <x:c r="Q1255" s="10" t="n">
        <x:f>J1255*'Assumptions'!$S$125</x:f>
        <x:v>0</x:v>
      </x:c>
      <x:c r="R1255" s="10" t="n">
        <x:f>H1255*'Assumptions'!$Y$125*'Assumptions'!$Z$125*'Assumptions'!$D$11*(1+'Assumptions'!$D$13)^(10-1)</x:f>
        <x:v>763.2739189928603</x:v>
      </x:c>
      <x:c r="S1255" s="10" t="n">
        <x:f>IF(I1255=0,0,J1255*'Assumptions'!$W$125+H1255*'Assumptions'!$X$125)</x:f>
        <x:v>214.7092862516768</x:v>
      </x:c>
      <x:c r="T1255" s="10" t="n">
        <x:f>N1255*'Assumptions'!$AA$125</x:f>
        <x:v>293.86020565179354</x:v>
      </x:c>
      <x:c r="U1255" s="10" t="n">
        <x:f>'Assumptions'!$AE$125*'Assumptions'!$D$11*(1+'Assumptions'!$D$13)^(10-1)</x:f>
        <x:v>0</x:v>
      </x:c>
      <x:c r="V1255" s="10" t="n">
        <x:f>0</x:f>
        <x:v>0</x:v>
      </x:c>
      <x:c r="W1255" s="10" t="n">
        <x:f>H1255*('Assumptions'!$P$125+'Assumptions'!$Y$125)</x:f>
        <x:v>45.49890355714839</x:v>
      </x:c>
      <x:c r="X1255" s="10" t="n">
        <x:f>N1255/12*'Assumptions'!$AF$125</x:f>
        <x:v>0</x:v>
      </x:c>
      <x:c r="Y1255" s="10" t="n">
        <x:f>P1255/12</x:f>
        <x:v>0</x:v>
      </x:c>
      <x:c r="Z1255" s="10" t="n">
        <x:f>0</x:f>
        <x:v>0</x:v>
      </x:c>
      <x:c r="AA1255" s="10" t="n">
        <x:f>Z1255*'Assumptions'!$AC$125*'Assumptions'!$D$11*(1+'Assumptions'!$D$13)^(10-1)</x:f>
        <x:v>0</x:v>
      </x:c>
      <x:c r="AB1255" s="10" t="n">
        <x:f>F1255/12</x:f>
        <x:v>3.605806080702721</x:v>
      </x:c>
      <x:c r="AC1255" s="10" t="n">
        <x:f>AB1255/'Assumptions'!$AM$125</x:f>
        <x:v>72.1161216140544</x:v>
      </x:c>
      <x:c r="AD1255" s="10" t="n">
        <x:f>IF(AB1255=0,0,T1255/AB1255)</x:f>
        <x:v>81.49639749748393</x:v>
      </x:c>
      <x:c r="AE1255" s="10" t="n">
        <x:f>AA1255*'Assumptions'!$D$21</x:f>
        <x:v>0</x:v>
      </x:c>
    </x:row>
    <x:row r="1256" ht="16" customHeight="1">
      <x:c r="A1256" s="1"/>
      <x:c r="B1256" s="1"/>
      <x:c r="C1256" s="1" t="str">
        <x:v>DOT-097</x:v>
      </x:c>
      <x:c r="D1256" s="10" t="str">
        <x:v>Semajes premium and media</x:v>
      </x:c>
      <x:c r="E1256" s="10" t="n">
        <x:v>10</x:v>
      </x:c>
      <x:c r="F1256" s="21" t="n">
        <x:f>F1128*(1+'Assumptions'!$M$126)</x:f>
        <x:v>25.961803781059583</x:v>
      </x:c>
      <x:c r="G1256" s="21" t="n">
        <x:f>H1128*'Assumptions'!$K$126</x:f>
        <x:v>52.036316602623344</x:v>
      </x:c>
      <x:c r="H1256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1256+G1256,NA())</x:f>
        <x:v>77.99812038368293</x:v>
      </x:c>
      <x:c r="I1256" s="22" t="n">
        <x:f>'Assumptions'!$H$126*IF('Assumptions'!$O$126=1,1,'Assumptions'!$D$10)*(1+'Assumptions'!$N$126)^(10-1)</x:f>
        <x:v>118.3141642936088</x:v>
      </x:c>
      <x:c r="J1256" s="10" t="n">
        <x:f>H1256*I1256</x:f>
        <x:v>9228.282429667739</x:v>
      </x:c>
      <x:c r="K1256" s="10" t="n">
        <x:f>J1256*'Assumptions'!$T$126</x:f>
        <x:v>9228.282429667739</x:v>
      </x:c>
      <x:c r="L1256" s="10" t="n">
        <x:f>K1256*'Assumptions'!$U$126</x:f>
        <x:v>276.84847289003216</x:v>
      </x:c>
      <x:c r="M1256" s="10" t="n">
        <x:f>K1256*'Assumptions'!$V$126</x:f>
        <x:v>0</x:v>
      </x:c>
      <x:c r="N1256" s="10" t="n">
        <x:f>K1256-L1256-M1256</x:f>
        <x:v>8951.433956777706</x:v>
      </x:c>
      <x:c r="O1256" s="10" t="n">
        <x:f>H1256*'Assumptions'!$P$126*'Assumptions'!$Q$126*'Assumptions'!$D$11*(1+'Assumptions'!$D$13)^(10-1)</x:f>
        <x:v>3561.944955300015</x:v>
      </x:c>
      <x:c r="P1256" s="10" t="n">
        <x:f>H1256*'Assumptions'!$R$126*'Assumptions'!$D$11*(1+'Assumptions'!$D$13)^(10-1)</x:f>
        <x:v>0</x:v>
      </x:c>
      <x:c r="Q1256" s="10" t="n">
        <x:f>J1256*'Assumptions'!$S$126</x:f>
        <x:v>0</x:v>
      </x:c>
      <x:c r="R1256" s="10" t="n">
        <x:f>H1256*'Assumptions'!$Y$126*'Assumptions'!$Z$126*'Assumptions'!$D$11*(1+'Assumptions'!$D$13)^(10-1)</x:f>
        <x:v>457.96435139571616</x:v>
      </x:c>
      <x:c r="S1256" s="10" t="n">
        <x:f>IF(I1256=0,0,J1256*'Assumptions'!$W$126+H1256*'Assumptions'!$X$126)</x:f>
        <x:v>291.0196265754693</x:v>
      </x:c>
      <x:c r="T1256" s="10" t="n">
        <x:f>N1256*'Assumptions'!$AA$126</x:f>
        <x:v>447.5716978388853</x:v>
      </x:c>
      <x:c r="U1256" s="10" t="n">
        <x:f>'Assumptions'!$AE$126*'Assumptions'!$D$11*(1+'Assumptions'!$D$13)^(10-1)</x:f>
        <x:v>0</x:v>
      </x:c>
      <x:c r="V1256" s="10" t="n">
        <x:f>0</x:f>
        <x:v>0</x:v>
      </x:c>
      <x:c r="W1256" s="10" t="n">
        <x:f>H1256*('Assumptions'!$P$126+'Assumptions'!$Y$126)</x:f>
        <x:v>89.69783844123536</x:v>
      </x:c>
      <x:c r="X1256" s="10" t="n">
        <x:f>N1256/12*'Assumptions'!$AF$126</x:f>
        <x:v>0</x:v>
      </x:c>
      <x:c r="Y1256" s="10" t="n">
        <x:f>P1256/12</x:f>
        <x:v>0</x:v>
      </x:c>
      <x:c r="Z1256" s="10" t="n">
        <x:f>0</x:f>
        <x:v>0</x:v>
      </x:c>
      <x:c r="AA1256" s="10" t="n">
        <x:f>Z1256*'Assumptions'!$AC$126*'Assumptions'!$D$11*(1+'Assumptions'!$D$13)^(10-1)</x:f>
        <x:v>0</x:v>
      </x:c>
      <x:c r="AB1256" s="10" t="n">
        <x:f>F1256/1</x:f>
        <x:v>25.961803781059583</x:v>
      </x:c>
      <x:c r="AC1256" s="10" t="n">
        <x:f>AB1256/'Assumptions'!$AM$126</x:f>
        <x:v>519.2360756211916</x:v>
      </x:c>
      <x:c r="AD1256" s="10" t="n">
        <x:f>IF(AB1256=0,0,T1256/AB1256)</x:f>
        <x:v>17.239622547544673</x:v>
      </x:c>
      <x:c r="AE1256" s="10" t="n">
        <x:f>AA1256*'Assumptions'!$D$21</x:f>
        <x:v>0</x:v>
      </x:c>
    </x:row>
    <x:row r="1257" ht="16" customHeight="1">
      <x:c r="A1257" s="1"/>
      <x:c r="B1257" s="1"/>
      <x:c r="C1257" s="1" t="str">
        <x:v>DOT-098</x:v>
      </x:c>
      <x:c r="D1257" s="10" t="str">
        <x:v>Semajes premium and media</x:v>
      </x:c>
      <x:c r="E1257" s="10" t="n">
        <x:v>10</x:v>
      </x:c>
      <x:c r="F1257" s="21" t="n">
        <x:f>F1129*(1+'Assumptions'!$M$127)</x:f>
        <x:v>12.980901890529791</x:v>
      </x:c>
      <x:c r="G1257" s="21" t="n">
        <x:f>H1129*'Assumptions'!$K$127</x:f>
        <x:v>26.018158301311672</x:v>
      </x:c>
      <x:c r="H1257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1257+G1257,NA())</x:f>
        <x:v>38.999060191841465</x:v>
      </x:c>
      <x:c r="I1257" s="22" t="n">
        <x:f>'Assumptions'!$H$127*IF('Assumptions'!$O$127=1,1,'Assumptions'!$D$10)*(1+'Assumptions'!$N$127)^(10-1)</x:f>
        <x:v>297.57804958695544</x:v>
      </x:c>
      <x:c r="J1257" s="10" t="n">
        <x:f>H1257*I1257</x:f>
        <x:v>11605.26426761246</x:v>
      </x:c>
      <x:c r="K1257" s="10" t="n">
        <x:f>J1257*'Assumptions'!$T$127</x:f>
        <x:v>11605.26426761246</x:v>
      </x:c>
      <x:c r="L1257" s="10" t="n">
        <x:f>K1257*'Assumptions'!$U$127</x:f>
        <x:v>348.15792802837376</x:v>
      </x:c>
      <x:c r="M1257" s="10" t="n">
        <x:f>K1257*'Assumptions'!$V$127</x:f>
        <x:v>0</x:v>
      </x:c>
      <x:c r="N1257" s="10" t="n">
        <x:f>K1257-L1257-M1257</x:f>
        <x:v>11257.106339584087</x:v>
      </x:c>
      <x:c r="O1257" s="10" t="n">
        <x:f>H1257*'Assumptions'!$P$127*'Assumptions'!$Q$127*'Assumptions'!$D$11*(1+'Assumptions'!$D$13)^(10-1)</x:f>
        <x:v>5342.917432950022</x:v>
      </x:c>
      <x:c r="P1257" s="10" t="n">
        <x:f>H1257*'Assumptions'!$R$127*'Assumptions'!$D$11*(1+'Assumptions'!$D$13)^(10-1)</x:f>
        <x:v>0</x:v>
      </x:c>
      <x:c r="Q1257" s="10" t="n">
        <x:f>J1257*'Assumptions'!$S$127</x:f>
        <x:v>0</x:v>
      </x:c>
      <x:c r="R1257" s="10" t="n">
        <x:f>H1257*'Assumptions'!$Y$127*'Assumptions'!$Z$127*'Assumptions'!$D$11*(1+'Assumptions'!$D$13)^(10-1)</x:f>
        <x:v>228.98217569785808</x:v>
      </x:c>
      <x:c r="S1257" s="10" t="n">
        <x:f>IF(I1257=0,0,J1257*'Assumptions'!$W$127+H1257*'Assumptions'!$X$127)</x:f>
        <x:v>348.2523818183138</x:v>
      </x:c>
      <x:c r="T1257" s="10" t="n">
        <x:f>N1257*'Assumptions'!$AA$127</x:f>
        <x:v>562.8553169792043</x:v>
      </x:c>
      <x:c r="U1257" s="10" t="n">
        <x:f>'Assumptions'!$AE$127*'Assumptions'!$D$11*(1+'Assumptions'!$D$13)^(10-1)</x:f>
        <x:v>0</x:v>
      </x:c>
      <x:c r="V1257" s="10" t="n">
        <x:f>0</x:f>
        <x:v>0</x:v>
      </x:c>
      <x:c r="W1257" s="10" t="n">
        <x:f>H1257*('Assumptions'!$P$127+'Assumptions'!$Y$127)</x:f>
        <x:v>122.84703960430062</x:v>
      </x:c>
      <x:c r="X1257" s="10" t="n">
        <x:f>N1257/12*'Assumptions'!$AF$127</x:f>
        <x:v>0</x:v>
      </x:c>
      <x:c r="Y1257" s="10" t="n">
        <x:f>P1257/12</x:f>
        <x:v>0</x:v>
      </x:c>
      <x:c r="Z1257" s="10" t="n">
        <x:f>0</x:f>
        <x:v>0</x:v>
      </x:c>
      <x:c r="AA1257" s="10" t="n">
        <x:f>Z1257*'Assumptions'!$AC$127*'Assumptions'!$D$11*(1+'Assumptions'!$D$13)^(10-1)</x:f>
        <x:v>0</x:v>
      </x:c>
      <x:c r="AB1257" s="10" t="n">
        <x:f>F1257/1</x:f>
        <x:v>12.980901890529791</x:v>
      </x:c>
      <x:c r="AC1257" s="10" t="n">
        <x:f>AB1257/'Assumptions'!$AM$127</x:f>
        <x:v>259.6180378105958</x:v>
      </x:c>
      <x:c r="AD1257" s="10" t="n">
        <x:f>IF(AB1257=0,0,T1257/AB1257)</x:f>
        <x:v>43.36026277109721</x:v>
      </x:c>
      <x:c r="AE1257" s="10" t="n">
        <x:f>AA1257*'Assumptions'!$D$21</x:f>
        <x:v>0</x:v>
      </x:c>
    </x:row>
    <x:row r="1258" ht="16" customHeight="1">
      <x:c r="A1258" s="1"/>
      <x:c r="B1258" s="1"/>
      <x:c r="C1258" s="1" t="str">
        <x:v>DOT-099</x:v>
      </x:c>
      <x:c r="D1258" s="10" t="str">
        <x:v>Semajes premium and media</x:v>
      </x:c>
      <x:c r="E1258" s="10" t="n">
        <x:v>10</x:v>
      </x:c>
      <x:c r="F1258" s="21" t="n">
        <x:f>F1130*(1+'Assumptions'!$M$128)</x:f>
        <x:v>43.26967296843265</x:v>
      </x:c>
      <x:c r="G1258" s="21" t="n">
        <x:f>H1130*'Assumptions'!$K$128</x:f>
        <x:v>86.7271943377056</x:v>
      </x:c>
      <x:c r="H1258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1258+G1258,NA())</x:f>
        <x:v>129.99686730613826</x:v>
      </x:c>
      <x:c r="I1258" s="22" t="n">
        <x:f>'Assumptions'!$H$128*IF('Assumptions'!$O$128=1,1,'Assumptions'!$D$10)*(1+'Assumptions'!$N$128)^(10-1)</x:f>
        <x:v>34.65768449004702</x:v>
      </x:c>
      <x:c r="J1258" s="10" t="n">
        <x:f>H1258*I1258</x:f>
        <x:v>4505.390411790648</x:v>
      </x:c>
      <x:c r="K1258" s="10" t="n">
        <x:f>J1258*'Assumptions'!$T$128</x:f>
        <x:v>4505.390411790648</x:v>
      </x:c>
      <x:c r="L1258" s="10" t="n">
        <x:f>K1258*'Assumptions'!$U$128</x:f>
        <x:v>135.16171235371942</x:v>
      </x:c>
      <x:c r="M1258" s="10" t="n">
        <x:f>K1258*'Assumptions'!$V$128</x:f>
        <x:v>0</x:v>
      </x:c>
      <x:c r="N1258" s="10" t="n">
        <x:f>K1258-L1258-M1258</x:f>
        <x:v>4370.228699436928</x:v>
      </x:c>
      <x:c r="O1258" s="10" t="n">
        <x:f>H1258*'Assumptions'!$P$128*'Assumptions'!$Q$128*'Assumptions'!$D$11*(1+'Assumptions'!$D$13)^(10-1)</x:f>
        <x:v>890.4862388250039</x:v>
      </x:c>
      <x:c r="P1258" s="10" t="n">
        <x:f>H1258*'Assumptions'!$R$128*'Assumptions'!$D$11*(1+'Assumptions'!$D$13)^(10-1)</x:f>
        <x:v>0</x:v>
      </x:c>
      <x:c r="Q1258" s="10" t="n">
        <x:f>J1258*'Assumptions'!$S$128</x:f>
        <x:v>0</x:v>
      </x:c>
      <x:c r="R1258" s="10" t="n">
        <x:f>H1258*'Assumptions'!$Y$128*'Assumptions'!$Z$128*'Assumptions'!$D$11*(1+'Assumptions'!$D$13)^(10-1)</x:f>
        <x:v>763.2739189928603</x:v>
      </x:c>
      <x:c r="S1258" s="10" t="n">
        <x:f>IF(I1258=0,0,J1258*'Assumptions'!$W$128+H1258*'Assumptions'!$X$128)</x:f>
        <x:v>169.65538213377025</x:v>
      </x:c>
      <x:c r="T1258" s="10" t="n">
        <x:f>N1258*'Assumptions'!$AA$128</x:f>
        <x:v>218.5114349718464</x:v>
      </x:c>
      <x:c r="U1258" s="10" t="n">
        <x:f>'Assumptions'!$AE$128*'Assumptions'!$D$11*(1+'Assumptions'!$D$13)^(10-1)</x:f>
        <x:v>0</x:v>
      </x:c>
      <x:c r="V1258" s="10" t="n">
        <x:f>0</x:f>
        <x:v>0</x:v>
      </x:c>
      <x:c r="W1258" s="10" t="n">
        <x:f>H1258*('Assumptions'!$P$128+'Assumptions'!$Y$128)</x:f>
        <x:v>38.99906019184147</x:v>
      </x:c>
      <x:c r="X1258" s="10" t="n">
        <x:f>N1258/12*'Assumptions'!$AF$128</x:f>
        <x:v>0</x:v>
      </x:c>
      <x:c r="Y1258" s="10" t="n">
        <x:f>P1258/12</x:f>
        <x:v>0</x:v>
      </x:c>
      <x:c r="Z1258" s="10" t="n">
        <x:f>0</x:f>
        <x:v>0</x:v>
      </x:c>
      <x:c r="AA1258" s="10" t="n">
        <x:f>Z1258*'Assumptions'!$AC$128*'Assumptions'!$D$11*(1+'Assumptions'!$D$13)^(10-1)</x:f>
        <x:v>0</x:v>
      </x:c>
      <x:c r="AB1258" s="10" t="n">
        <x:f>F1258/1</x:f>
        <x:v>43.26967296843265</x:v>
      </x:c>
      <x:c r="AC1258" s="10" t="n">
        <x:f>AB1258/'Assumptions'!$AM$128</x:f>
        <x:v>865.393459368653</x:v>
      </x:c>
      <x:c r="AD1258" s="10" t="n">
        <x:f>IF(AB1258=0,0,T1258/AB1258)</x:f>
        <x:v>5.049990443220156</x:v>
      </x:c>
      <x:c r="AE1258" s="10" t="n">
        <x:f>AA1258*'Assumptions'!$D$21</x:f>
        <x:v>0</x:v>
      </x:c>
    </x:row>
    <x:row r="1259" ht="16" customHeight="1">
      <x:c r="A1259" s="1"/>
      <x:c r="B1259" s="1"/>
      <x:c r="C1259" s="1" t="str">
        <x:v>DOT-100</x:v>
      </x:c>
      <x:c r="D1259" s="10" t="str">
        <x:v>Semajes courses</x:v>
      </x:c>
      <x:c r="E1259" s="10" t="n">
        <x:v>10</x:v>
      </x:c>
      <x:c r="F1259" s="21" t="n">
        <x:f>F1131*(1+'Assumptions'!$M$129)</x:f>
        <x:v>364.96396825445953</x:v>
      </x:c>
      <x:c r="G1259" s="21" t="n">
        <x:f>H1131*'Assumptions'!$K$129</x:f>
        <x:v>116.96230154734027</x:v>
      </x:c>
      <x:c r="H1259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1259+G1259,NA())</x:f>
        <x:v>481.9262698017998</x:v>
      </x:c>
      <x:c r="I1259" s="22" t="n">
        <x:f>'Assumptions'!$H$129*IF('Assumptions'!$O$129=1,1,'Assumptions'!$D$10)*(1+'Assumptions'!$N$129)^(10-1)</x:f>
        <x:v>46.60861017627013</x:v>
      </x:c>
      <x:c r="J1259" s="10" t="n">
        <x:f>H1259*I1259</x:f>
        <x:v>22461.91364289607</x:v>
      </x:c>
      <x:c r="K1259" s="10" t="n">
        <x:f>J1259*'Assumptions'!$T$129</x:f>
        <x:v>22461.91364289607</x:v>
      </x:c>
      <x:c r="L1259" s="10" t="n">
        <x:f>K1259*'Assumptions'!$U$129</x:f>
        <x:v>673.8574092868821</x:v>
      </x:c>
      <x:c r="M1259" s="10" t="n">
        <x:f>K1259*'Assumptions'!$V$129</x:f>
        <x:v>0</x:v>
      </x:c>
      <x:c r="N1259" s="10" t="n">
        <x:f>K1259-L1259-M1259</x:f>
        <x:v>21788.05623360919</x:v>
      </x:c>
      <x:c r="O1259" s="10" t="n">
        <x:f>H1259*'Assumptions'!$P$129*'Assumptions'!$Q$129*'Assumptions'!$D$11*(1+'Assumptions'!$D$13)^(10-1)</x:f>
        <x:v>3301.223485456291</x:v>
      </x:c>
      <x:c r="P1259" s="10" t="n">
        <x:f>H1259*'Assumptions'!$R$129*'Assumptions'!$D$11*(1+'Assumptions'!$D$13)^(10-1)</x:f>
        <x:v>0</x:v>
      </x:c>
      <x:c r="Q1259" s="10" t="n">
        <x:f>J1259*'Assumptions'!$S$129</x:f>
        <x:v>0</x:v>
      </x:c>
      <x:c r="R1259" s="10" t="n">
        <x:f>H1259*'Assumptions'!$Y$129*'Assumptions'!$Z$129*'Assumptions'!$D$11*(1+'Assumptions'!$D$13)^(10-1)</x:f>
        <x:v>1886.4134202607381</x:v>
      </x:c>
      <x:c r="S1259" s="10" t="n">
        <x:f>IF(I1259=0,0,J1259*'Assumptions'!$W$129+H1259*'Assumptions'!$X$129)</x:f>
        <x:v>795.9733765845259</x:v>
      </x:c>
      <x:c r="T1259" s="10" t="n">
        <x:f>N1259*'Assumptions'!$AA$129</x:f>
        <x:v>1089.4028116804595</x:v>
      </x:c>
      <x:c r="U1259" s="10" t="n">
        <x:f>'Assumptions'!$AE$129*'Assumptions'!$D$11*(1+'Assumptions'!$D$13)^(10-1)</x:f>
        <x:v>0</x:v>
      </x:c>
      <x:c r="V1259" s="10" t="n">
        <x:f>0</x:f>
        <x:v>0</x:v>
      </x:c>
      <x:c r="W1259" s="10" t="n">
        <x:f>H1259*('Assumptions'!$P$129+'Assumptions'!$Y$129)</x:f>
        <x:v>120.48156745044994</x:v>
      </x:c>
      <x:c r="X1259" s="10" t="n">
        <x:f>N1259/12*'Assumptions'!$AF$129</x:f>
        <x:v>0</x:v>
      </x:c>
      <x:c r="Y1259" s="10" t="n">
        <x:f>P1259/12</x:f>
        <x:v>0</x:v>
      </x:c>
      <x:c r="Z1259" s="10" t="n">
        <x:f>0</x:f>
        <x:v>0</x:v>
      </x:c>
      <x:c r="AA1259" s="10" t="n">
        <x:f>Z1259*'Assumptions'!$AC$129*'Assumptions'!$D$11*(1+'Assumptions'!$D$13)^(10-1)</x:f>
        <x:v>0</x:v>
      </x:c>
      <x:c r="AB1259" s="10" t="n">
        <x:f>F1259/1</x:f>
        <x:v>364.96396825445953</x:v>
      </x:c>
      <x:c r="AC1259" s="10" t="n">
        <x:f>AB1259/'Assumptions'!$AM$129</x:f>
        <x:v>7299.27936508919</x:v>
      </x:c>
      <x:c r="AD1259" s="10" t="n">
        <x:f>IF(AB1259=0,0,T1259/AB1259)</x:f>
        <x:v>2.984959904099103</x:v>
      </x:c>
      <x:c r="AE1259" s="10" t="n">
        <x:f>AA1259*'Assumptions'!$D$21</x:f>
        <x:v>0</x:v>
      </x:c>
    </x:row>
    <x:row r="1260" ht="16" customHeight="1">
      <x:c r="A1260" s="1"/>
      <x:c r="B1260" s="1"/>
      <x:c r="C1260" s="1" t="str">
        <x:v>DOT-101</x:v>
      </x:c>
      <x:c r="D1260" s="10" t="str">
        <x:v>Sleepy Face</x:v>
      </x:c>
      <x:c r="E1260" s="10" t="n">
        <x:v>10</x:v>
      </x:c>
      <x:c r="F1260" s="21" t="n">
        <x:f>F1132*(1+'Assumptions'!$M$130)</x:f>
        <x:v>306.4555535087977</x:v>
      </x:c>
      <x:c r="G1260" s="21" t="n">
        <x:f>H1132*'Assumptions'!$K$130</x:f>
        <x:v>125.90950944345242</x:v>
      </x:c>
      <x:c r="H1260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1260+G1260,NA())</x:f>
        <x:v>432.3650629522501</x:v>
      </x:c>
      <x:c r="I1260" s="22" t="n">
        <x:f>'Assumptions'!$H$130*IF('Assumptions'!$O$130=1,1,'Assumptions'!$D$10)*(1+'Assumptions'!$N$130)^(10-1)</x:f>
        <x:v>113.53379401911955</x:v>
      </x:c>
      <x:c r="J1260" s="10" t="n">
        <x:f>H1260*I1260</x:f>
        <x:v>49088.045998284426</x:v>
      </x:c>
      <x:c r="K1260" s="10" t="n">
        <x:f>J1260*'Assumptions'!$T$130</x:f>
        <x:v>49088.045998284426</x:v>
      </x:c>
      <x:c r="L1260" s="10" t="n">
        <x:f>K1260*'Assumptions'!$U$130</x:f>
        <x:v>3927.0436798627543</x:v>
      </x:c>
      <x:c r="M1260" s="10" t="n">
        <x:f>K1260*'Assumptions'!$V$130</x:f>
        <x:v>981.7609199656886</x:v>
      </x:c>
      <x:c r="N1260" s="10" t="n">
        <x:f>K1260-L1260-M1260</x:f>
        <x:v>44179.24139845598</x:v>
      </x:c>
      <x:c r="O1260" s="10" t="n">
        <x:f>H1260*'Assumptions'!$P$130*'Assumptions'!$Q$130*'Assumptions'!$D$11*(1+'Assumptions'!$D$13)^(10-1)</x:f>
        <x:v>2961.7262837648814</x:v>
      </x:c>
      <x:c r="P1260" s="10" t="n">
        <x:f>H1260*'Assumptions'!$R$130*'Assumptions'!$D$11*(1+'Assumptions'!$D$13)^(10-1)</x:f>
        <x:v>16924.15019294218</x:v>
      </x:c>
      <x:c r="Q1260" s="10" t="n">
        <x:f>J1260*'Assumptions'!$S$130</x:f>
        <x:v>0</x:v>
      </x:c>
      <x:c r="R1260" s="10" t="n">
        <x:f>H1260*'Assumptions'!$Y$130*'Assumptions'!$Z$130*'Assumptions'!$D$11*(1+'Assumptions'!$D$13)^(10-1)</x:f>
        <x:v>2538.622528941327</x:v>
      </x:c>
      <x:c r="S1260" s="10" t="n">
        <x:f>IF(I1260=0,0,J1260*'Assumptions'!$W$130+H1260*'Assumptions'!$X$130)</x:f>
        <x:v>1553.2628528359232</x:v>
      </x:c>
      <x:c r="T1260" s="10" t="n">
        <x:f>N1260*'Assumptions'!$AA$130</x:f>
        <x:v>3534.339311876479</x:v>
      </x:c>
      <x:c r="U1260" s="10" t="n">
        <x:f>'Assumptions'!$AE$130*'Assumptions'!$D$11*(1+'Assumptions'!$D$13)^(10-1)</x:f>
        <x:v>0</x:v>
      </x:c>
      <x:c r="V1260" s="10" t="n">
        <x:f>0</x:f>
        <x:v>0</x:v>
      </x:c>
      <x:c r="W1260" s="10" t="n">
        <x:f>H1260*('Assumptions'!$P$130+'Assumptions'!$Y$130)</x:f>
        <x:v>129.70951888567504</x:v>
      </x:c>
      <x:c r="X1260" s="10" t="n">
        <x:f>N1260/12*'Assumptions'!$AF$130</x:f>
        <x:v>0</x:v>
      </x:c>
      <x:c r="Y1260" s="10" t="n">
        <x:f>P1260/12</x:f>
        <x:v>1410.3458494118483</x:v>
      </x:c>
      <x:c r="Z1260" s="10" t="n">
        <x:f>0</x:f>
        <x:v>0</x:v>
      </x:c>
      <x:c r="AA1260" s="10" t="n">
        <x:f>Z1260*'Assumptions'!$AC$130*'Assumptions'!$D$11*(1+'Assumptions'!$D$13)^(10-1)</x:f>
        <x:v>0</x:v>
      </x:c>
      <x:c r="AB1260" s="10" t="n">
        <x:f>F1260/1</x:f>
        <x:v>306.4555535087977</x:v>
      </x:c>
      <x:c r="AC1260" s="10" t="n">
        <x:f>AB1260/'Assumptions'!$AM$130</x:f>
        <x:v>10215.185116959925</x:v>
      </x:c>
      <x:c r="AD1260" s="10" t="n">
        <x:f>IF(AB1260=0,0,T1260/AB1260)</x:f>
        <x:v>11.532958928006554</x:v>
      </x:c>
      <x:c r="AE1260" s="10" t="n">
        <x:f>AA1260*'Assumptions'!$D$21</x:f>
        <x:v>0</x:v>
      </x:c>
    </x:row>
    <x:row r="1261" ht="16" customHeight="1">
      <x:c r="A1261" s="1"/>
      <x:c r="B1261" s="1"/>
      <x:c r="C1261" s="1" t="str">
        <x:v>DOT-102</x:v>
      </x:c>
      <x:c r="D1261" s="10" t="str">
        <x:v>Sleepy Face</x:v>
      </x:c>
      <x:c r="E1261" s="10" t="n">
        <x:v>10</x:v>
      </x:c>
      <x:c r="F1261" s="21" t="n">
        <x:f>F1133*(1+'Assumptions'!$M$131)</x:f>
        <x:v>459.68333026319647</x:v>
      </x:c>
      <x:c r="G1261" s="21" t="n">
        <x:f>H1133*'Assumptions'!$K$131</x:f>
        <x:v>188.8642641651786</x:v>
      </x:c>
      <x:c r="H1261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1261+G1261,NA())</x:f>
        <x:v>648.5475944283751</x:v>
      </x:c>
      <x:c r="I1261" s="22" t="n">
        <x:f>'Assumptions'!$H$131*IF('Assumptions'!$O$131=1,1,'Assumptions'!$D$10)*(1+'Assumptions'!$N$131)^(10-1)</x:f>
        <x:v>197.19027382268132</x:v>
      </x:c>
      <x:c r="J1261" s="10" t="n">
        <x:f>H1261*I1261</x:f>
        <x:v>127887.27773237255</x:v>
      </x:c>
      <x:c r="K1261" s="10" t="n">
        <x:f>J1261*'Assumptions'!$T$131</x:f>
        <x:v>127887.27773237255</x:v>
      </x:c>
      <x:c r="L1261" s="10" t="n">
        <x:f>K1261*'Assumptions'!$U$131</x:f>
        <x:v>10230.982218589805</x:v>
      </x:c>
      <x:c r="M1261" s="10" t="n">
        <x:f>K1261*'Assumptions'!$V$131</x:f>
        <x:v>2557.745554647451</x:v>
      </x:c>
      <x:c r="N1261" s="10" t="n">
        <x:f>K1261-L1261-M1261</x:f>
        <x:v>115098.54995913529</x:v>
      </x:c>
      <x:c r="O1261" s="10" t="n">
        <x:f>H1261*'Assumptions'!$P$131*'Assumptions'!$Q$131*'Assumptions'!$D$11*(1+'Assumptions'!$D$13)^(10-1)</x:f>
        <x:v>4442.589425647321</x:v>
      </x:c>
      <x:c r="P1261" s="10" t="n">
        <x:f>H1261*'Assumptions'!$R$131*'Assumptions'!$D$11*(1+'Assumptions'!$D$13)^(10-1)</x:f>
        <x:v>50772.45057882652</x:v>
      </x:c>
      <x:c r="Q1261" s="10" t="n">
        <x:f>J1261*'Assumptions'!$S$131</x:f>
        <x:v>0</x:v>
      </x:c>
      <x:c r="R1261" s="10" t="n">
        <x:f>H1261*'Assumptions'!$Y$131*'Assumptions'!$Z$131*'Assumptions'!$D$11*(1+'Assumptions'!$D$13)^(10-1)</x:f>
        <x:v>3807.93379341199</x:v>
      </x:c>
      <x:c r="S1261" s="10" t="n">
        <x:f>IF(I1261=0,0,J1261*'Assumptions'!$W$131+H1261*'Assumptions'!$X$131)</x:f>
        <x:v>3903.2953325673166</x:v>
      </x:c>
      <x:c r="T1261" s="10" t="n">
        <x:f>N1261*'Assumptions'!$AA$131</x:f>
        <x:v>9207.883996730823</x:v>
      </x:c>
      <x:c r="U1261" s="10" t="n">
        <x:f>'Assumptions'!$AE$131*'Assumptions'!$D$11*(1+'Assumptions'!$D$13)^(10-1)</x:f>
        <x:v>0</x:v>
      </x:c>
      <x:c r="V1261" s="10" t="n">
        <x:f>0</x:f>
        <x:v>0</x:v>
      </x:c>
      <x:c r="W1261" s="10" t="n">
        <x:f>H1261*('Assumptions'!$P$131+'Assumptions'!$Y$131)</x:f>
        <x:v>194.56427832851253</x:v>
      </x:c>
      <x:c r="X1261" s="10" t="n">
        <x:f>N1261/12*'Assumptions'!$AF$131</x:f>
        <x:v>0</x:v>
      </x:c>
      <x:c r="Y1261" s="10" t="n">
        <x:f>P1261/12</x:f>
        <x:v>4231.037548235544</x:v>
      </x:c>
      <x:c r="Z1261" s="10" t="n">
        <x:f>0</x:f>
        <x:v>0</x:v>
      </x:c>
      <x:c r="AA1261" s="10" t="n">
        <x:f>Z1261*'Assumptions'!$AC$131*'Assumptions'!$D$11*(1+'Assumptions'!$D$13)^(10-1)</x:f>
        <x:v>0</x:v>
      </x:c>
      <x:c r="AB1261" s="10" t="n">
        <x:f>F1261/1</x:f>
        <x:v>459.68333026319647</x:v>
      </x:c>
      <x:c r="AC1261" s="10" t="n">
        <x:f>AB1261/'Assumptions'!$AM$131</x:f>
        <x:v>15322.777675439882</x:v>
      </x:c>
      <x:c r="AD1261" s="10" t="n">
        <x:f>IF(AB1261=0,0,T1261/AB1261)</x:f>
        <x:v>20.030928664432434</x:v>
      </x:c>
      <x:c r="AE1261" s="10" t="n">
        <x:f>AA1261*'Assumptions'!$D$21</x:f>
        <x:v>0</x:v>
      </x:c>
    </x:row>
    <x:row r="1262" ht="16" customHeight="1">
      <x:c r="A1262" s="1"/>
      <x:c r="B1262" s="1"/>
      <x:c r="C1262" s="1" t="str">
        <x:v>DOT-103</x:v>
      </x:c>
      <x:c r="D1262" s="10" t="str">
        <x:v>Sleepy Face</x:v>
      </x:c>
      <x:c r="E1262" s="10" t="n">
        <x:v>10</x:v>
      </x:c>
      <x:c r="F1262" s="21" t="n">
        <x:f>F1134*(1+'Assumptions'!$M$132)</x:f>
        <x:v>102.15185116959921</x:v>
      </x:c>
      <x:c r="G1262" s="21" t="n">
        <x:f>H1134*'Assumptions'!$K$132</x:f>
        <x:v>41.9698364811508</x:v>
      </x:c>
      <x:c r="H1262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1262+G1262,NA())</x:f>
        <x:v>144.12168765075</x:v>
      </x:c>
      <x:c r="I1262" s="22" t="n">
        <x:f>'Assumptions'!$H$132*IF('Assumptions'!$O$132=1,1,'Assumptions'!$D$10)*(1+'Assumptions'!$N$132)^(10-1)</x:f>
        <x:v>268.89582794002</x:v>
      </x:c>
      <x:c r="J1262" s="10" t="n">
        <x:f>H1262*I1262</x:f>
        <x:v>38753.72052496138</x:v>
      </x:c>
      <x:c r="K1262" s="10" t="n">
        <x:f>J1262*'Assumptions'!$T$132</x:f>
        <x:v>38753.72052496138</x:v>
      </x:c>
      <x:c r="L1262" s="10" t="n">
        <x:f>K1262*'Assumptions'!$U$132</x:f>
        <x:v>3100.297641996911</x:v>
      </x:c>
      <x:c r="M1262" s="10" t="n">
        <x:f>K1262*'Assumptions'!$V$132</x:f>
        <x:v>775.0744104992277</x:v>
      </x:c>
      <x:c r="N1262" s="10" t="n">
        <x:f>K1262-L1262-M1262</x:f>
        <x:v>34878.348472465244</x:v>
      </x:c>
      <x:c r="O1262" s="10" t="n">
        <x:f>H1262*'Assumptions'!$P$132*'Assumptions'!$Q$132*'Assumptions'!$D$11*(1+'Assumptions'!$D$13)^(10-1)</x:f>
        <x:v>987.2420945882934</x:v>
      </x:c>
      <x:c r="P1262" s="10" t="n">
        <x:f>H1262*'Assumptions'!$R$132*'Assumptions'!$D$11*(1+'Assumptions'!$D$13)^(10-1)</x:f>
        <x:v>16924.150192942176</x:v>
      </x:c>
      <x:c r="Q1262" s="10" t="n">
        <x:f>J1262*'Assumptions'!$S$132</x:f>
        <x:v>0</x:v>
      </x:c>
      <x:c r="R1262" s="10" t="n">
        <x:f>H1262*'Assumptions'!$Y$132*'Assumptions'!$Z$132*'Assumptions'!$D$11*(1+'Assumptions'!$D$13)^(10-1)</x:f>
        <x:v>846.2075096471086</x:v>
      </x:c>
      <x:c r="S1262" s="10" t="n">
        <x:f>IF(I1262=0,0,J1262*'Assumptions'!$W$132+H1262*'Assumptions'!$X$132)</x:f>
        <x:v>1167.094401519105</x:v>
      </x:c>
      <x:c r="T1262" s="10" t="n">
        <x:f>N1262*'Assumptions'!$AA$132</x:f>
        <x:v>2790.2678777972196</x:v>
      </x:c>
      <x:c r="U1262" s="10" t="n">
        <x:f>'Assumptions'!$AE$132*'Assumptions'!$D$11*(1+'Assumptions'!$D$13)^(10-1)</x:f>
        <x:v>0</x:v>
      </x:c>
      <x:c r="V1262" s="10" t="n">
        <x:f>0</x:f>
        <x:v>0</x:v>
      </x:c>
      <x:c r="W1262" s="10" t="n">
        <x:f>H1262*('Assumptions'!$P$132+'Assumptions'!$Y$132)</x:f>
        <x:v>43.236506295225</x:v>
      </x:c>
      <x:c r="X1262" s="10" t="n">
        <x:f>N1262/12*'Assumptions'!$AF$132</x:f>
        <x:v>0</x:v>
      </x:c>
      <x:c r="Y1262" s="10" t="n">
        <x:f>P1262/12</x:f>
        <x:v>1410.345849411848</x:v>
      </x:c>
      <x:c r="Z1262" s="10" t="n">
        <x:f>0</x:f>
        <x:v>0</x:v>
      </x:c>
      <x:c r="AA1262" s="10" t="n">
        <x:f>Z1262*'Assumptions'!$AC$132*'Assumptions'!$D$11*(1+'Assumptions'!$D$13)^(10-1)</x:f>
        <x:v>0</x:v>
      </x:c>
      <x:c r="AB1262" s="10" t="n">
        <x:f>F1262/1</x:f>
        <x:v>102.15185116959921</x:v>
      </x:c>
      <x:c r="AC1262" s="10" t="n">
        <x:f>AB1262/'Assumptions'!$AM$132</x:f>
        <x:v>3405.0617056533074</x:v>
      </x:c>
      <x:c r="AD1262" s="10" t="n">
        <x:f>IF(AB1262=0,0,T1262/AB1262)</x:f>
        <x:v>27.31490272422605</x:v>
      </x:c>
      <x:c r="AE1262" s="10" t="n">
        <x:f>AA1262*'Assumptions'!$D$21</x:f>
        <x:v>0</x:v>
      </x:c>
    </x:row>
    <x:row r="1263" ht="16" customHeight="1">
      <x:c r="A1263" s="1"/>
      <x:c r="B1263" s="1"/>
      <x:c r="C1263" s="1" t="str">
        <x:v>DOT-104</x:v>
      </x:c>
      <x:c r="D1263" s="10" t="str">
        <x:v>Sleepy Face</x:v>
      </x:c>
      <x:c r="E1263" s="10" t="n">
        <x:v>10</x:v>
      </x:c>
      <x:c r="F1263" s="21" t="n">
        <x:f>F1135*(1+'Assumptions'!$M$133)</x:f>
        <x:v>306.4555535087977</x:v>
      </x:c>
      <x:c r="G1263" s="21" t="n">
        <x:f>H1135*'Assumptions'!$K$133</x:f>
        <x:v>125.90950944345242</x:v>
      </x:c>
      <x:c r="H1263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1263+G1263,NA())</x:f>
        <x:v>432.3650629522501</x:v>
      </x:c>
      <x:c r="I1263" s="22" t="n">
        <x:f>'Assumptions'!$H$133*IF('Assumptions'!$O$133=1,1,'Assumptions'!$D$10)*(1+'Assumptions'!$N$133)^(10-1)</x:f>
        <x:v>113.53379401911955</x:v>
      </x:c>
      <x:c r="J1263" s="10" t="n">
        <x:f>H1263*I1263</x:f>
        <x:v>49088.045998284426</x:v>
      </x:c>
      <x:c r="K1263" s="10" t="n">
        <x:f>J1263*'Assumptions'!$T$133</x:f>
        <x:v>49088.045998284426</x:v>
      </x:c>
      <x:c r="L1263" s="10" t="n">
        <x:f>K1263*'Assumptions'!$U$133</x:f>
        <x:v>3927.0436798627543</x:v>
      </x:c>
      <x:c r="M1263" s="10" t="n">
        <x:f>K1263*'Assumptions'!$V$133</x:f>
        <x:v>981.7609199656886</x:v>
      </x:c>
      <x:c r="N1263" s="10" t="n">
        <x:f>K1263-L1263-M1263</x:f>
        <x:v>44179.24139845598</x:v>
      </x:c>
      <x:c r="O1263" s="10" t="n">
        <x:f>H1263*'Assumptions'!$P$133*'Assumptions'!$Q$133*'Assumptions'!$D$11*(1+'Assumptions'!$D$13)^(10-1)</x:f>
        <x:v>2961.7262837648814</x:v>
      </x:c>
      <x:c r="P1263" s="10" t="n">
        <x:f>H1263*'Assumptions'!$R$133*'Assumptions'!$D$11*(1+'Assumptions'!$D$13)^(10-1)</x:f>
        <x:v>19744.841891765875</x:v>
      </x:c>
      <x:c r="Q1263" s="10" t="n">
        <x:f>J1263*'Assumptions'!$S$133</x:f>
        <x:v>0</x:v>
      </x:c>
      <x:c r="R1263" s="10" t="n">
        <x:f>H1263*'Assumptions'!$Y$133*'Assumptions'!$Z$133*'Assumptions'!$D$11*(1+'Assumptions'!$D$13)^(10-1)</x:f>
        <x:v>2538.622528941327</x:v>
      </x:c>
      <x:c r="S1263" s="10" t="n">
        <x:f>IF(I1263=0,0,J1263*'Assumptions'!$W$133+H1263*'Assumptions'!$X$133)</x:f>
        <x:v>1553.2628528359232</x:v>
      </x:c>
      <x:c r="T1263" s="10" t="n">
        <x:f>N1263*'Assumptions'!$AA$133</x:f>
        <x:v>3534.339311876479</x:v>
      </x:c>
      <x:c r="U1263" s="10" t="n">
        <x:f>'Assumptions'!$AE$133*'Assumptions'!$D$11*(1+'Assumptions'!$D$13)^(10-1)</x:f>
        <x:v>0</x:v>
      </x:c>
      <x:c r="V1263" s="10" t="n">
        <x:f>0</x:f>
        <x:v>0</x:v>
      </x:c>
      <x:c r="W1263" s="10" t="n">
        <x:f>H1263*('Assumptions'!$P$133+'Assumptions'!$Y$133)</x:f>
        <x:v>129.70951888567504</x:v>
      </x:c>
      <x:c r="X1263" s="10" t="n">
        <x:f>N1263/12*'Assumptions'!$AF$133</x:f>
        <x:v>0</x:v>
      </x:c>
      <x:c r="Y1263" s="10" t="n">
        <x:f>P1263/12</x:f>
        <x:v>1645.4034909804896</x:v>
      </x:c>
      <x:c r="Z1263" s="10" t="n">
        <x:f>0</x:f>
        <x:v>0</x:v>
      </x:c>
      <x:c r="AA1263" s="10" t="n">
        <x:f>Z1263*'Assumptions'!$AC$133*'Assumptions'!$D$11*(1+'Assumptions'!$D$13)^(10-1)</x:f>
        <x:v>0</x:v>
      </x:c>
      <x:c r="AB1263" s="10" t="n">
        <x:f>F1263/1</x:f>
        <x:v>306.4555535087977</x:v>
      </x:c>
      <x:c r="AC1263" s="10" t="n">
        <x:f>AB1263/'Assumptions'!$AM$133</x:f>
        <x:v>10215.185116959925</x:v>
      </x:c>
      <x:c r="AD1263" s="10" t="n">
        <x:f>IF(AB1263=0,0,T1263/AB1263)</x:f>
        <x:v>11.532958928006554</x:v>
      </x:c>
      <x:c r="AE1263" s="10" t="n">
        <x:f>AA1263*'Assumptions'!$D$21</x:f>
        <x:v>0</x:v>
      </x:c>
    </x:row>
    <x:row r="1264" ht="16" customHeight="1">
      <x:c r="A1264" s="1"/>
      <x:c r="B1264" s="1"/>
      <x:c r="C1264" s="1" t="str">
        <x:v>DOT-105</x:v>
      </x:c>
      <x:c r="D1264" s="10" t="str">
        <x:v>Sleepy Face</x:v>
      </x:c>
      <x:c r="E1264" s="10" t="n">
        <x:v>10</x:v>
      </x:c>
      <x:c r="F1264" s="21" t="n">
        <x:f>F1136*(1+'Assumptions'!$M$134)</x:f>
        <x:v>153.22777675439886</x:v>
      </x:c>
      <x:c r="G1264" s="21" t="n">
        <x:f>H1136*'Assumptions'!$K$134</x:f>
        <x:v>62.95475472172621</x:v>
      </x:c>
      <x:c r="H1264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1264+G1264,NA())</x:f>
        <x:v>216.18253147612506</x:v>
      </x:c>
      <x:c r="I1264" s="22" t="n">
        <x:f>'Assumptions'!$H$134*IF('Assumptions'!$O$134=1,1,'Assumptions'!$D$10)*(1+'Assumptions'!$N$134)^(10-1)</x:f>
        <x:v>209.14119950890444</x:v>
      </x:c>
      <x:c r="J1264" s="10" t="n">
        <x:f>H1264*I1264</x:f>
        <x:v>45212.67394578829</x:v>
      </x:c>
      <x:c r="K1264" s="10" t="n">
        <x:f>J1264*'Assumptions'!$T$134</x:f>
        <x:v>45212.67394578829</x:v>
      </x:c>
      <x:c r="L1264" s="10" t="n">
        <x:f>K1264*'Assumptions'!$U$134</x:f>
        <x:v>3617.013915663063</x:v>
      </x:c>
      <x:c r="M1264" s="10" t="n">
        <x:f>K1264*'Assumptions'!$V$134</x:f>
        <x:v>904.2534789157658</x:v>
      </x:c>
      <x:c r="N1264" s="10" t="n">
        <x:f>K1264-L1264-M1264</x:f>
        <x:v>40691.40655120946</x:v>
      </x:c>
      <x:c r="O1264" s="10" t="n">
        <x:f>H1264*'Assumptions'!$P$134*'Assumptions'!$Q$134*'Assumptions'!$D$11*(1+'Assumptions'!$D$13)^(10-1)</x:f>
        <x:v>1480.8631418824407</x:v>
      </x:c>
      <x:c r="P1264" s="10" t="n">
        <x:f>H1264*'Assumptions'!$R$134*'Assumptions'!$D$11*(1+'Assumptions'!$D$13)^(10-1)</x:f>
        <x:v>18334.496042354025</x:v>
      </x:c>
      <x:c r="Q1264" s="10" t="n">
        <x:f>J1264*'Assumptions'!$S$134</x:f>
        <x:v>0</x:v>
      </x:c>
      <x:c r="R1264" s="10" t="n">
        <x:f>H1264*'Assumptions'!$Y$134*'Assumptions'!$Z$134*'Assumptions'!$D$11*(1+'Assumptions'!$D$13)^(10-1)</x:f>
        <x:v>1269.3112644706634</x:v>
      </x:c>
      <x:c r="S1264" s="10" t="n">
        <x:f>IF(I1264=0,0,J1264*'Assumptions'!$W$134+H1264*'Assumptions'!$X$134)</x:f>
        <x:v>1376.022303870698</x:v>
      </x:c>
      <x:c r="T1264" s="10" t="n">
        <x:f>N1264*'Assumptions'!$AA$134</x:f>
        <x:v>3255.312524096757</x:v>
      </x:c>
      <x:c r="U1264" s="10" t="n">
        <x:f>'Assumptions'!$AE$134*'Assumptions'!$D$11*(1+'Assumptions'!$D$13)^(10-1)</x:f>
        <x:v>0</x:v>
      </x:c>
      <x:c r="V1264" s="10" t="n">
        <x:f>0</x:f>
        <x:v>0</x:v>
      </x:c>
      <x:c r="W1264" s="10" t="n">
        <x:f>H1264*('Assumptions'!$P$134+'Assumptions'!$Y$134)</x:f>
        <x:v>64.85475944283752</x:v>
      </x:c>
      <x:c r="X1264" s="10" t="n">
        <x:f>N1264/12*'Assumptions'!$AF$134</x:f>
        <x:v>0</x:v>
      </x:c>
      <x:c r="Y1264" s="10" t="n">
        <x:f>P1264/12</x:f>
        <x:v>1527.8746701961688</x:v>
      </x:c>
      <x:c r="Z1264" s="10" t="n">
        <x:f>0</x:f>
        <x:v>0</x:v>
      </x:c>
      <x:c r="AA1264" s="10" t="n">
        <x:f>Z1264*'Assumptions'!$AC$134*'Assumptions'!$D$11*(1+'Assumptions'!$D$13)^(10-1)</x:f>
        <x:v>0</x:v>
      </x:c>
      <x:c r="AB1264" s="10" t="n">
        <x:f>F1264/1</x:f>
        <x:v>153.22777675439886</x:v>
      </x:c>
      <x:c r="AC1264" s="10" t="n">
        <x:f>AB1264/'Assumptions'!$AM$134</x:f>
        <x:v>5107.5925584799625</x:v>
      </x:c>
      <x:c r="AD1264" s="10" t="n">
        <x:f>IF(AB1264=0,0,T1264/AB1264)</x:f>
        <x:v>21.244924341064706</x:v>
      </x:c>
      <x:c r="AE1264" s="10" t="n">
        <x:f>AA1264*'Assumptions'!$D$21</x:f>
        <x:v>0</x:v>
      </x:c>
    </x:row>
    <x:row r="1265" ht="16" customHeight="1">
      <x:c r="A1265" s="1"/>
      <x:c r="B1265" s="1"/>
      <x:c r="C1265" s="1" t="str">
        <x:v>DOT-106</x:v>
      </x:c>
      <x:c r="D1265" s="10" t="str">
        <x:v>QzoticMusic</x:v>
      </x:c>
      <x:c r="E1265" s="10" t="n">
        <x:v>10</x:v>
      </x:c>
      <x:c r="F1265" s="21" t="n">
        <x:f>F1137*(1+'Assumptions'!$M$135)</x:f>
        <x:v>912.4099206361489</x:v>
      </x:c>
      <x:c r="G1265" s="21" t="n">
        <x:f>H1137*'Assumptions'!$K$135</x:f>
        <x:v>292.4051816637609</x:v>
      </x:c>
      <x:c r="H1265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1265+G1265,NA())</x:f>
        <x:v>1204.8151022999098</x:v>
      </x:c>
      <x:c r="I1265" s="22" t="n">
        <x:f>'Assumptions'!$H$135*IF('Assumptions'!$O$135=1,1,'Assumptions'!$D$10)*(1+'Assumptions'!$N$135)^(10-1)</x:f>
        <x:v>5.975462843111555</x:v>
      </x:c>
      <x:c r="J1265" s="10" t="n">
        <x:f>H1265*I1265</x:f>
        <x:v>7199.327876612758</x:v>
      </x:c>
      <x:c r="K1265" s="10" t="n">
        <x:f>J1265*'Assumptions'!$T$135</x:f>
        <x:v>7199.327876612758</x:v>
      </x:c>
      <x:c r="L1265" s="10" t="n">
        <x:f>K1265*'Assumptions'!$U$135</x:f>
        <x:v>215.97983629838274</x:v>
      </x:c>
      <x:c r="M1265" s="10" t="n">
        <x:f>K1265*'Assumptions'!$V$135</x:f>
        <x:v>0</x:v>
      </x:c>
      <x:c r="N1265" s="10" t="n">
        <x:f>K1265-L1265-M1265</x:f>
        <x:v>6983.348040314375</x:v>
      </x:c>
      <x:c r="O1265" s="10" t="n">
        <x:f>H1265*'Assumptions'!$P$135*'Assumptions'!$Q$135*'Assumptions'!$D$11*(1+'Assumptions'!$D$13)^(10-1)</x:f>
        <x:v>1100.4073058673875</x:v>
      </x:c>
      <x:c r="P1265" s="10" t="n">
        <x:f>H1265*'Assumptions'!$R$135*'Assumptions'!$D$11*(1+'Assumptions'!$D$13)^(10-1)</x:f>
        <x:v>0</x:v>
      </x:c>
      <x:c r="Q1265" s="10" t="n">
        <x:f>J1265*'Assumptions'!$S$135</x:f>
        <x:v>0</x:v>
      </x:c>
      <x:c r="R1265" s="10" t="n">
        <x:f>H1265*'Assumptions'!$Y$135*'Assumptions'!$Z$135*'Assumptions'!$D$11*(1+'Assumptions'!$D$13)^(10-1)</x:f>
        <x:v>4716.031310860232</x:v>
      </x:c>
      <x:c r="S1265" s="10" t="n">
        <x:f>IF(I1265=0,0,J1265*'Assumptions'!$W$135+H1265*'Assumptions'!$X$135)</x:f>
        <x:v>570.225039111743</x:v>
      </x:c>
      <x:c r="T1265" s="10" t="n">
        <x:f>N1265*'Assumptions'!$AA$135</x:f>
        <x:v>349.1674020157188</x:v>
      </x:c>
      <x:c r="U1265" s="10" t="n">
        <x:f>'Assumptions'!$AE$135*'Assumptions'!$D$11*(1+'Assumptions'!$D$13)^(10-1)</x:f>
        <x:v>0</x:v>
      </x:c>
      <x:c r="V1265" s="10" t="n">
        <x:f>0</x:f>
        <x:v>0</x:v>
      </x:c>
      <x:c r="W1265" s="10" t="n">
        <x:f>H1265*('Assumptions'!$P$135+'Assumptions'!$Y$135)</x:f>
        <x:v>144.57781227598917</x:v>
      </x:c>
      <x:c r="X1265" s="10" t="n">
        <x:f>N1265/12*'Assumptions'!$AF$135</x:f>
        <x:v>0</x:v>
      </x:c>
      <x:c r="Y1265" s="10" t="n">
        <x:f>P1265/12</x:f>
        <x:v>0</x:v>
      </x:c>
      <x:c r="Z1265" s="10" t="n">
        <x:f>0</x:f>
        <x:v>0</x:v>
      </x:c>
      <x:c r="AA1265" s="10" t="n">
        <x:f>Z1265*'Assumptions'!$AC$135*'Assumptions'!$D$11*(1+'Assumptions'!$D$13)^(10-1)</x:f>
        <x:v>0</x:v>
      </x:c>
      <x:c r="AB1265" s="10" t="n">
        <x:f>F1265/12</x:f>
        <x:v>76.0341600530124</x:v>
      </x:c>
      <x:c r="AC1265" s="10" t="n">
        <x:f>AB1265/'Assumptions'!$AM$135</x:f>
        <x:v>1520.683201060248</x:v>
      </x:c>
      <x:c r="AD1265" s="10" t="n">
        <x:f>IF(AB1265=0,0,T1265/AB1265)</x:f>
        <x:v>4.592243825305269</x:v>
      </x:c>
      <x:c r="AE1265" s="10" t="n">
        <x:f>AA1265*'Assumptions'!$D$21</x:f>
        <x:v>0</x:v>
      </x:c>
    </x:row>
    <x:row r="1266" ht="16" customHeight="1">
      <x:c r="A1266" s="1"/>
      <x:c r="B1266" s="1"/>
      <x:c r="C1266" s="1" t="str">
        <x:v>DOT-107</x:v>
      </x:c>
      <x:c r="D1266" s="10" t="str">
        <x:v>QzoticMusic</x:v>
      </x:c>
      <x:c r="E1266" s="10" t="n">
        <x:v>10</x:v>
      </x:c>
      <x:c r="F1266" s="21" t="n">
        <x:f>F1138*(1+'Assumptions'!$M$136)</x:f>
        <x:v>264.7777348604904</x:v>
      </x:c>
      <x:c r="G1266" s="21" t="n">
        <x:f>H1138*'Assumptions'!$K$136</x:f>
        <x:v>136.21645478309617</x:v>
      </x:c>
      <x:c r="H1266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1266+G1266,NA())</x:f>
        <x:v>400.99418964358654</x:v>
      </x:c>
      <x:c r="I1266" s="22" t="n">
        <x:f>'Assumptions'!$H$136*IF('Assumptions'!$O$136=1,1,'Assumptions'!$D$10)*(1+'Assumptions'!$N$136)^(10-1)</x:f>
        <x:v>29.877314215557778</x:v>
      </x:c>
      <x:c r="J1266" s="10" t="n">
        <x:f>H1266*I1266</x:f>
        <x:v>11980.629402594399</x:v>
      </x:c>
      <x:c r="K1266" s="10" t="n">
        <x:f>J1266*'Assumptions'!$T$136</x:f>
        <x:v>11980.629402594399</x:v>
      </x:c>
      <x:c r="L1266" s="10" t="n">
        <x:f>K1266*'Assumptions'!$U$136</x:f>
        <x:v>359.41888207783194</x:v>
      </x:c>
      <x:c r="M1266" s="10" t="n">
        <x:f>K1266*'Assumptions'!$V$136</x:f>
        <x:v>0</x:v>
      </x:c>
      <x:c r="N1266" s="10" t="n">
        <x:f>K1266-L1266-M1266</x:f>
        <x:v>11621.210520516566</x:v>
      </x:c>
      <x:c r="O1266" s="10" t="n">
        <x:f>H1266*'Assumptions'!$P$136*'Assumptions'!$Q$136*'Assumptions'!$D$11*(1+'Assumptions'!$D$13)^(10-1)</x:f>
        <x:v>2746.833943971025</x:v>
      </x:c>
      <x:c r="P1266" s="10" t="n">
        <x:f>H1266*'Assumptions'!$R$136*'Assumptions'!$D$11*(1+'Assumptions'!$D$13)^(10-1)</x:f>
        <x:v>5232.064655182905</x:v>
      </x:c>
      <x:c r="Q1266" s="10" t="n">
        <x:f>J1266*'Assumptions'!$S$136</x:f>
        <x:v>0</x:v>
      </x:c>
      <x:c r="R1266" s="10" t="n">
        <x:f>H1266*'Assumptions'!$Y$136*'Assumptions'!$Z$136*'Assumptions'!$D$11*(1+'Assumptions'!$D$13)^(10-1)</x:f>
        <x:v>7848.096982774357</x:v>
      </x:c>
      <x:c r="S1266" s="10" t="n">
        <x:f>IF(I1266=0,0,J1266*'Assumptions'!$W$136+H1266*'Assumptions'!$X$136)</x:f>
        <x:v>467.7365095683136</x:v>
      </x:c>
      <x:c r="T1266" s="10" t="n">
        <x:f>N1266*'Assumptions'!$AA$136</x:f>
        <x:v>929.6968416413254</x:v>
      </x:c>
      <x:c r="U1266" s="10" t="n">
        <x:f>'Assumptions'!$AE$136*'Assumptions'!$D$11*(1+'Assumptions'!$D$13)^(10-1)</x:f>
        <x:v>0</x:v>
      </x:c>
      <x:c r="V1266" s="10" t="n">
        <x:f>0</x:f>
        <x:v>0</x:v>
      </x:c>
      <x:c r="W1266" s="10" t="n">
        <x:f>H1266*('Assumptions'!$P$136+'Assumptions'!$Y$136)</x:f>
        <x:v>260.64622326833125</x:v>
      </x:c>
      <x:c r="X1266" s="10" t="n">
        <x:f>N1266/12*'Assumptions'!$AF$136</x:f>
        <x:v>968.4342100430472</x:v>
      </x:c>
      <x:c r="Y1266" s="10" t="n">
        <x:f>P1266/12</x:f>
        <x:v>436.00538793190873</x:v>
      </x:c>
      <x:c r="Z1266" s="10" t="n">
        <x:f>0</x:f>
        <x:v>0</x:v>
      </x:c>
      <x:c r="AA1266" s="10" t="n">
        <x:f>Z1266*'Assumptions'!$AC$136*'Assumptions'!$D$11*(1+'Assumptions'!$D$13)^(10-1)</x:f>
        <x:v>0</x:v>
      </x:c>
      <x:c r="AB1266" s="10" t="n">
        <x:f>F1266/1</x:f>
        <x:v>264.7777348604904</x:v>
      </x:c>
      <x:c r="AC1266" s="10" t="n">
        <x:f>AB1266/'Assumptions'!$AM$136</x:f>
        <x:v>2647.7773486049036</x:v>
      </x:c>
      <x:c r="AD1266" s="10" t="n">
        <x:f>IF(AB1266=0,0,T1266/AB1266)</x:f>
        <x:v>3.511234968949245</x:v>
      </x:c>
      <x:c r="AE1266" s="10" t="n">
        <x:f>AA1266*'Assumptions'!$D$21</x:f>
        <x:v>0</x:v>
      </x:c>
    </x:row>
    <x:row r="1267" ht="16" customHeight="1">
      <x:c r="A1267" s="1"/>
      <x:c r="B1267" s="1"/>
      <x:c r="C1267" s="1" t="str">
        <x:v>DOT-108</x:v>
      </x:c>
      <x:c r="D1267" s="10" t="str">
        <x:v>QzoticMusic</x:v>
      </x:c>
      <x:c r="E1267" s="10" t="n">
        <x:v>10</x:v>
      </x:c>
      <x:c r="F1267" s="21" t="n">
        <x:f>F1139*(1+'Assumptions'!$M$137)</x:f>
        <x:v>13.238886743024521</x:v>
      </x:c>
      <x:c r="G1267" s="21" t="n">
        <x:f>H1139*'Assumptions'!$K$137</x:f>
        <x:v>6.810822739154808</x:v>
      </x:c>
      <x:c r="H1267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1267+G1267,NA())</x:f>
        <x:v>20.04970948217933</x:v>
      </x:c>
      <x:c r="I1267" s="22" t="n">
        <x:f>'Assumptions'!$H$137*IF('Assumptions'!$O$137=1,1,'Assumptions'!$D$10)*(1+'Assumptions'!$N$137)^(10-1)</x:f>
        <x:v>298.7731421555778</x:v>
      </x:c>
      <x:c r="J1267" s="10" t="n">
        <x:f>H1267*I1267</x:f>
        <x:v>5990.314701297201</x:v>
      </x:c>
      <x:c r="K1267" s="10" t="n">
        <x:f>J1267*'Assumptions'!$T$137</x:f>
        <x:v>5990.314701297201</x:v>
      </x:c>
      <x:c r="L1267" s="10" t="n">
        <x:f>K1267*'Assumptions'!$U$137</x:f>
        <x:v>179.70944103891603</x:v>
      </x:c>
      <x:c r="M1267" s="10" t="n">
        <x:f>K1267*'Assumptions'!$V$137</x:f>
        <x:v>0</x:v>
      </x:c>
      <x:c r="N1267" s="10" t="n">
        <x:f>K1267-L1267-M1267</x:f>
        <x:v>5810.605260258285</x:v>
      </x:c>
      <x:c r="O1267" s="10" t="n">
        <x:f>H1267*'Assumptions'!$P$137*'Assumptions'!$Q$137*'Assumptions'!$D$11*(1+'Assumptions'!$D$13)^(10-1)</x:f>
        <x:v>2092.825862073162</x:v>
      </x:c>
      <x:c r="P1267" s="10" t="n">
        <x:f>H1267*'Assumptions'!$R$137*'Assumptions'!$D$11*(1+'Assumptions'!$D$13)^(10-1)</x:f>
        <x:v>0</x:v>
      </x:c>
      <x:c r="Q1267" s="10" t="n">
        <x:f>J1267*'Assumptions'!$S$137</x:f>
        <x:v>0</x:v>
      </x:c>
      <x:c r="R1267" s="10" t="n">
        <x:f>H1267*'Assumptions'!$Y$137*'Assumptions'!$Z$137*'Assumptions'!$D$11*(1+'Assumptions'!$D$13)^(10-1)</x:f>
        <x:v>392.4048491387179</x:v>
      </x:c>
      <x:c r="S1267" s="10" t="n">
        <x:f>IF(I1267=0,0,J1267*'Assumptions'!$W$137+H1267*'Assumptions'!$X$137)</x:f>
        <x:v>179.73403918227265</x:v>
      </x:c>
      <x:c r="T1267" s="10" t="n">
        <x:f>N1267*'Assumptions'!$AA$137</x:f>
        <x:v>464.8484208206628</x:v>
      </x:c>
      <x:c r="U1267" s="10" t="n">
        <x:f>'Assumptions'!$AE$137*'Assumptions'!$D$11*(1+'Assumptions'!$D$13)^(10-1)</x:f>
        <x:v>0</x:v>
      </x:c>
      <x:c r="V1267" s="10" t="n">
        <x:f>0</x:f>
        <x:v>0</x:v>
      </x:c>
      <x:c r="W1267" s="10" t="n">
        <x:f>H1267*('Assumptions'!$P$137+'Assumptions'!$Y$137)</x:f>
        <x:v>50.12427370544833</x:v>
      </x:c>
      <x:c r="X1267" s="10" t="n">
        <x:f>N1267/12*'Assumptions'!$AF$137</x:f>
        <x:v>484.21710502152376</x:v>
      </x:c>
      <x:c r="Y1267" s="10" t="n">
        <x:f>P1267/12</x:f>
        <x:v>0</x:v>
      </x:c>
      <x:c r="Z1267" s="10" t="n">
        <x:f>0</x:f>
        <x:v>0</x:v>
      </x:c>
      <x:c r="AA1267" s="10" t="n">
        <x:f>Z1267*'Assumptions'!$AC$137*'Assumptions'!$D$11*(1+'Assumptions'!$D$13)^(10-1)</x:f>
        <x:v>0</x:v>
      </x:c>
      <x:c r="AB1267" s="10" t="n">
        <x:f>F1267/1</x:f>
        <x:v>13.238886743024521</x:v>
      </x:c>
      <x:c r="AC1267" s="10" t="n">
        <x:f>AB1267/'Assumptions'!$AM$137</x:f>
        <x:v>132.3888674302452</x:v>
      </x:c>
      <x:c r="AD1267" s="10" t="n">
        <x:f>IF(AB1267=0,0,T1267/AB1267)</x:f>
        <x:v>35.112349689492454</x:v>
      </x:c>
      <x:c r="AE1267" s="10" t="n">
        <x:f>AA1267*'Assumptions'!$D$21</x:f>
        <x:v>0</x:v>
      </x:c>
    </x:row>
    <x:row r="1268" ht="16" customHeight="1">
      <x:c r="A1268" s="1"/>
      <x:c r="B1268" s="1"/>
      <x:c r="C1268" s="1" t="str">
        <x:v>DOT-109</x:v>
      </x:c>
      <x:c r="D1268" s="10" t="str">
        <x:v>LesPetitFilms</x:v>
      </x:c>
      <x:c r="E1268" s="10" t="n">
        <x:v>10</x:v>
      </x:c>
      <x:c r="F1268" s="21" t="n">
        <x:f>F1140*(1+'Assumptions'!$M$138)</x:f>
        <x:v>8.82592449534968</x:v>
      </x:c>
      <x:c r="G1268" s="21" t="n">
        <x:f>H1140*'Assumptions'!$K$138</x:f>
        <x:v>4.540548492769872</x:v>
      </x:c>
      <x:c r="H1268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1268+G1268,NA())</x:f>
        <x:v>13.366472988119552</x:v>
      </x:c>
      <x:c r="I1268" s="22" t="n">
        <x:f>'Assumptions'!$H$138*IF('Assumptions'!$O$138=1,1,'Assumptions'!$D$10)*(1+'Assumptions'!$N$138)^(10-1)</x:f>
        <x:v>4182.823990178089</x:v>
      </x:c>
      <x:c r="J1268" s="10" t="n">
        <x:f>H1268*I1268</x:f>
        <x:v>55909.60387877387</x:v>
      </x:c>
      <x:c r="K1268" s="10" t="n">
        <x:f>J1268*'Assumptions'!$T$138</x:f>
        <x:v>55909.60387877387</x:v>
      </x:c>
      <x:c r="L1268" s="10" t="n">
        <x:f>K1268*'Assumptions'!$U$138</x:f>
        <x:v>1677.2881163632162</x:v>
      </x:c>
      <x:c r="M1268" s="10" t="n">
        <x:f>K1268*'Assumptions'!$V$138</x:f>
        <x:v>0</x:v>
      </x:c>
      <x:c r="N1268" s="10" t="n">
        <x:f>K1268-L1268-M1268</x:f>
        <x:v>54232.31576241065</x:v>
      </x:c>
      <x:c r="O1268" s="10" t="n">
        <x:f>H1268*'Assumptions'!$P$138*'Assumptions'!$Q$138*'Assumptions'!$D$11*(1+'Assumptions'!$D$13)^(10-1)</x:f>
        <x:v>19620.242456935892</x:v>
      </x:c>
      <x:c r="P1268" s="10" t="n">
        <x:f>H1268*'Assumptions'!$R$138*'Assumptions'!$D$11*(1+'Assumptions'!$D$13)^(10-1)</x:f>
        <x:v>6104.075431046722</x:v>
      </x:c>
      <x:c r="Q1268" s="10" t="n">
        <x:f>J1268*'Assumptions'!$S$138</x:f>
        <x:v>0</x:v>
      </x:c>
      <x:c r="R1268" s="10" t="n">
        <x:f>H1268*'Assumptions'!$Y$138*'Assumptions'!$Z$138*'Assumptions'!$D$11*(1+'Assumptions'!$D$13)^(10-1)</x:f>
        <x:v>261.60323275914527</x:v>
      </x:c>
      <x:c r="S1268" s="10" t="n">
        <x:f>IF(I1268=0,0,J1268*'Assumptions'!$W$138+H1268*'Assumptions'!$X$138)</x:f>
        <x:v>1625.3884543808783</x:v>
      </x:c>
      <x:c r="T1268" s="10" t="n">
        <x:f>N1268*'Assumptions'!$AA$138</x:f>
        <x:v>4338.585260992852</x:v>
      </x:c>
      <x:c r="U1268" s="10" t="n">
        <x:f>'Assumptions'!$AE$138*'Assumptions'!$D$11*(1+'Assumptions'!$D$13)^(10-1)</x:f>
        <x:v>0</x:v>
      </x:c>
      <x:c r="V1268" s="10" t="n">
        <x:f>0</x:f>
        <x:v>0</x:v>
      </x:c>
      <x:c r="W1268" s="10" t="n">
        <x:f>H1268*('Assumptions'!$P$138+'Assumptions'!$Y$138)</x:f>
        <x:v>340.8450611970486</x:v>
      </x:c>
      <x:c r="X1268" s="10" t="n">
        <x:f>N1268/12*'Assumptions'!$AF$138</x:f>
        <x:v>4519.359646867554</x:v>
      </x:c>
      <x:c r="Y1268" s="10" t="n">
        <x:f>P1268/12</x:f>
        <x:v>508.6729525872268</x:v>
      </x:c>
      <x:c r="Z1268" s="10" t="n">
        <x:f>0</x:f>
        <x:v>0</x:v>
      </x:c>
      <x:c r="AA1268" s="10" t="n">
        <x:f>Z1268*'Assumptions'!$AC$138*'Assumptions'!$D$11*(1+'Assumptions'!$D$13)^(10-1)</x:f>
        <x:v>0</x:v>
      </x:c>
      <x:c r="AB1268" s="10" t="n">
        <x:f>F1268/1</x:f>
        <x:v>8.82592449534968</x:v>
      </x:c>
      <x:c r="AC1268" s="10" t="n">
        <x:f>AB1268/'Assumptions'!$AM$138</x:f>
        <x:v>88.25924495349679</x:v>
      </x:c>
      <x:c r="AD1268" s="10" t="n">
        <x:f>IF(AB1268=0,0,T1268/AB1268)</x:f>
        <x:v>491.5728956528944</x:v>
      </x:c>
      <x:c r="AE1268" s="10" t="n">
        <x:f>AA1268*'Assumptions'!$D$21</x:f>
        <x:v>0</x:v>
      </x:c>
    </x:row>
    <x:row r="1269" ht="16" customHeight="1">
      <x:c r="A1269" s="1"/>
      <x:c r="B1269" s="1"/>
      <x:c r="C1269" s="1" t="str">
        <x:v>DOT-110</x:v>
      </x:c>
      <x:c r="D1269" s="10" t="str">
        <x:v>LesPetitFilms</x:v>
      </x:c>
      <x:c r="E1269" s="10" t="n">
        <x:v>10</x:v>
      </x:c>
      <x:c r="F1269" s="21" t="n">
        <x:f>F1141*(1+'Assumptions'!$M$139)</x:f>
        <x:v>8.82592449534968</x:v>
      </x:c>
      <x:c r="G1269" s="21" t="n">
        <x:f>H1141*'Assumptions'!$K$139</x:f>
        <x:v>4.540548492769872</x:v>
      </x:c>
      <x:c r="H1269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1269+G1269,NA())</x:f>
        <x:v>13.366472988119552</x:v>
      </x:c>
      <x:c r="I1269" s="22" t="n">
        <x:f>'Assumptions'!$H$139*IF('Assumptions'!$O$139=1,1,'Assumptions'!$D$10)*(1+'Assumptions'!$N$139)^(10-1)</x:f>
        <x:v>1792.6388529334665</x:v>
      </x:c>
      <x:c r="J1269" s="10" t="n">
        <x:f>H1269*I1269</x:f>
        <x:v>23961.258805188798</x:v>
      </x:c>
      <x:c r="K1269" s="10" t="n">
        <x:f>J1269*'Assumptions'!$T$139</x:f>
        <x:v>23961.258805188798</x:v>
      </x:c>
      <x:c r="L1269" s="10" t="n">
        <x:f>K1269*'Assumptions'!$U$139</x:f>
        <x:v>718.8377641556639</x:v>
      </x:c>
      <x:c r="M1269" s="10" t="n">
        <x:f>K1269*'Assumptions'!$V$139</x:f>
        <x:v>0</x:v>
      </x:c>
      <x:c r="N1269" s="10" t="n">
        <x:f>K1269-L1269-M1269</x:f>
        <x:v>23242.421041033132</x:v>
      </x:c>
      <x:c r="O1269" s="10" t="n">
        <x:f>H1269*'Assumptions'!$P$139*'Assumptions'!$Q$139*'Assumptions'!$D$11*(1+'Assumptions'!$D$13)^(10-1)</x:f>
        <x:v>7848.096982774357</x:v>
      </x:c>
      <x:c r="P1269" s="10" t="n">
        <x:f>H1269*'Assumptions'!$R$139*'Assumptions'!$D$11*(1+'Assumptions'!$D$13)^(10-1)</x:f>
        <x:v>3488.0431034552694</x:v>
      </x:c>
      <x:c r="Q1269" s="10" t="n">
        <x:f>J1269*'Assumptions'!$S$139</x:f>
        <x:v>0</x:v>
      </x:c>
      <x:c r="R1269" s="10" t="n">
        <x:f>H1269*'Assumptions'!$Y$139*'Assumptions'!$Z$139*'Assumptions'!$D$11*(1+'Assumptions'!$D$13)^(10-1)</x:f>
        <x:v>261.60323275914527</x:v>
      </x:c>
      <x:c r="S1269" s="10" t="n">
        <x:f>IF(I1269=0,0,J1269*'Assumptions'!$W$139+H1269*'Assumptions'!$X$139)</x:f>
        <x:v>698.8864472469111</x:v>
      </x:c>
      <x:c r="T1269" s="10" t="n">
        <x:f>N1269*'Assumptions'!$AA$139</x:f>
        <x:v>1859.3936832826507</x:v>
      </x:c>
      <x:c r="U1269" s="10" t="n">
        <x:f>'Assumptions'!$AE$139*'Assumptions'!$D$11*(1+'Assumptions'!$D$13)^(10-1)</x:f>
        <x:v>0</x:v>
      </x:c>
      <x:c r="V1269" s="10" t="n">
        <x:f>0</x:f>
        <x:v>0</x:v>
      </x:c>
      <x:c r="W1269" s="10" t="n">
        <x:f>H1269*('Assumptions'!$P$139+'Assumptions'!$Y$139)</x:f>
        <x:v>140.3479663752553</x:v>
      </x:c>
      <x:c r="X1269" s="10" t="n">
        <x:f>N1269/12*'Assumptions'!$AF$139</x:f>
        <x:v>1936.8684200860944</x:v>
      </x:c>
      <x:c r="Y1269" s="10" t="n">
        <x:f>P1269/12</x:f>
        <x:v>290.67025862127247</x:v>
      </x:c>
      <x:c r="Z1269" s="10" t="n">
        <x:f>0</x:f>
        <x:v>0</x:v>
      </x:c>
      <x:c r="AA1269" s="10" t="n">
        <x:f>Z1269*'Assumptions'!$AC$139*'Assumptions'!$D$11*(1+'Assumptions'!$D$13)^(10-1)</x:f>
        <x:v>0</x:v>
      </x:c>
      <x:c r="AB1269" s="10" t="n">
        <x:f>F1269/1</x:f>
        <x:v>8.82592449534968</x:v>
      </x:c>
      <x:c r="AC1269" s="10" t="n">
        <x:f>AB1269/'Assumptions'!$AM$139</x:f>
        <x:v>88.25924495349679</x:v>
      </x:c>
      <x:c r="AD1269" s="10" t="n">
        <x:f>IF(AB1269=0,0,T1269/AB1269)</x:f>
        <x:v>210.67409813695468</x:v>
      </x:c>
      <x:c r="AE1269" s="10" t="n">
        <x:f>AA1269*'Assumptions'!$D$21</x:f>
        <x:v>0</x:v>
      </x:c>
    </x:row>
    <x:row r="1270" ht="16" customHeight="1">
      <x:c r="A1270" s="1"/>
      <x:c r="B1270" s="1"/>
      <x:c r="C1270" s="1" t="str">
        <x:v>DOT-111</x:v>
      </x:c>
      <x:c r="D1270" s="10" t="str">
        <x:v>LesPetitFilms</x:v>
      </x:c>
      <x:c r="E1270" s="10" t="n">
        <x:v>10</x:v>
      </x:c>
      <x:c r="F1270" s="21" t="n">
        <x:f>F1142*(1+'Assumptions'!$M$140)</x:f>
        <x:v>13.238886743024521</x:v>
      </x:c>
      <x:c r="G1270" s="21" t="n">
        <x:f>H1142*'Assumptions'!$K$140</x:f>
        <x:v>6.810822739154808</x:v>
      </x:c>
      <x:c r="H1270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1270+G1270,NA())</x:f>
        <x:v>20.04970948217933</x:v>
      </x:c>
      <x:c r="I1270" s="22" t="n">
        <x:f>'Assumptions'!$H$140*IF('Assumptions'!$O$140=1,1,'Assumptions'!$D$10)*(1+'Assumptions'!$N$140)^(10-1)</x:f>
        <x:v>597.5462843111555</x:v>
      </x:c>
      <x:c r="J1270" s="10" t="n">
        <x:f>H1270*I1270</x:f>
        <x:v>11980.629402594403</x:v>
      </x:c>
      <x:c r="K1270" s="10" t="n">
        <x:f>J1270*'Assumptions'!$T$140</x:f>
        <x:v>11980.629402594403</x:v>
      </x:c>
      <x:c r="L1270" s="10" t="n">
        <x:f>K1270*'Assumptions'!$U$140</x:f>
        <x:v>359.41888207783205</x:v>
      </x:c>
      <x:c r="M1270" s="10" t="n">
        <x:f>K1270*'Assumptions'!$V$140</x:f>
        <x:v>0</x:v>
      </x:c>
      <x:c r="N1270" s="10" t="n">
        <x:f>K1270-L1270-M1270</x:f>
        <x:v>11621.21052051657</x:v>
      </x:c>
      <x:c r="O1270" s="10" t="n">
        <x:f>H1270*'Assumptions'!$P$140*'Assumptions'!$Q$140*'Assumptions'!$D$11*(1+'Assumptions'!$D$13)^(10-1)</x:f>
        <x:v>3139.2387931097433</x:v>
      </x:c>
      <x:c r="P1270" s="10" t="n">
        <x:f>H1270*'Assumptions'!$R$140*'Assumptions'!$D$11*(1+'Assumptions'!$D$13)^(10-1)</x:f>
        <x:v>1308.0161637957262</x:v>
      </x:c>
      <x:c r="Q1270" s="10" t="n">
        <x:f>J1270*'Assumptions'!$S$140</x:f>
        <x:v>0</x:v>
      </x:c>
      <x:c r="R1270" s="10" t="n">
        <x:f>H1270*'Assumptions'!$Y$140*'Assumptions'!$Z$140*'Assumptions'!$D$11*(1+'Assumptions'!$D$13)^(10-1)</x:f>
        <x:v>392.4048491387179</x:v>
      </x:c>
      <x:c r="S1270" s="10" t="n">
        <x:f>IF(I1270=0,0,J1270*'Assumptions'!$W$140+H1270*'Assumptions'!$X$140)</x:f>
        <x:v>353.4531655198915</x:v>
      </x:c>
      <x:c r="T1270" s="10" t="n">
        <x:f>N1270*'Assumptions'!$AA$140</x:f>
        <x:v>929.6968416413256</x:v>
      </x:c>
      <x:c r="U1270" s="10" t="n">
        <x:f>'Assumptions'!$AE$140*'Assumptions'!$D$11*(1+'Assumptions'!$D$13)^(10-1)</x:f>
        <x:v>0</x:v>
      </x:c>
      <x:c r="V1270" s="10" t="n">
        <x:f>0</x:f>
        <x:v>0</x:v>
      </x:c>
      <x:c r="W1270" s="10" t="n">
        <x:f>H1270*('Assumptions'!$P$140+'Assumptions'!$Y$140)</x:f>
        <x:v>70.17398318762766</x:v>
      </x:c>
      <x:c r="X1270" s="10" t="n">
        <x:f>N1270/12*'Assumptions'!$AF$140</x:f>
        <x:v>968.4342100430475</x:v>
      </x:c>
      <x:c r="Y1270" s="10" t="n">
        <x:f>P1270/12</x:f>
        <x:v>109.00134698297718</x:v>
      </x:c>
      <x:c r="Z1270" s="10" t="n">
        <x:f>0</x:f>
        <x:v>0</x:v>
      </x:c>
      <x:c r="AA1270" s="10" t="n">
        <x:f>Z1270*'Assumptions'!$AC$140*'Assumptions'!$D$11*(1+'Assumptions'!$D$13)^(10-1)</x:f>
        <x:v>0</x:v>
      </x:c>
      <x:c r="AB1270" s="10" t="n">
        <x:f>F1270/1</x:f>
        <x:v>13.238886743024521</x:v>
      </x:c>
      <x:c r="AC1270" s="10" t="n">
        <x:f>AB1270/'Assumptions'!$AM$140</x:f>
        <x:v>132.3888674302452</x:v>
      </x:c>
      <x:c r="AD1270" s="10" t="n">
        <x:f>IF(AB1270=0,0,T1270/AB1270)</x:f>
        <x:v>70.22469937898491</x:v>
      </x:c>
      <x:c r="AE1270" s="10" t="n">
        <x:f>AA1270*'Assumptions'!$D$21</x:f>
        <x:v>0</x:v>
      </x:c>
    </x:row>
    <x:row r="1271" ht="16" customHeight="1">
      <x:c r="A1271" s="1"/>
      <x:c r="B1271" s="1"/>
      <x:c r="C1271" s="1" t="str">
        <x:v>DOT-112</x:v>
      </x:c>
      <x:c r="D1271" s="10" t="str">
        <x:v>Learn Anglais</x:v>
      </x:c>
      <x:c r="E1271" s="10" t="n">
        <x:v>10</x:v>
      </x:c>
      <x:c r="F1271" s="21" t="n">
        <x:f>F1143*(1+'Assumptions'!$M$141)</x:f>
        <x:v>432.6967296843265</x:v>
      </x:c>
      <x:c r="G1271" s="21" t="n">
        <x:f>H1143*'Assumptions'!$K$141</x:f>
        <x:v>873.3249844270558</x:v>
      </x:c>
      <x:c r="H1271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1271+G1271,NA())</x:f>
        <x:v>1306.0217141113824</x:v>
      </x:c>
      <x:c r="I1271" s="22" t="n">
        <x:f>'Assumptions'!$H$141*IF('Assumptions'!$O$141=1,1,'Assumptions'!$D$10)*(1+'Assumptions'!$N$141)^(10-1)</x:f>
        <x:v>53.779165588004</x:v>
      </x:c>
      <x:c r="J1271" s="10" t="n">
        <x:f>H1271*I1271</x:f>
        <x:v>70236.75802472486</x:v>
      </x:c>
      <x:c r="K1271" s="10" t="n">
        <x:f>J1271*'Assumptions'!$T$141</x:f>
        <x:v>23412.252674908283</x:v>
      </x:c>
      <x:c r="L1271" s="10" t="n">
        <x:f>K1271*'Assumptions'!$U$141</x:f>
        <x:v>702.3675802472485</x:v>
      </x:c>
      <x:c r="M1271" s="10" t="n">
        <x:f>K1271*'Assumptions'!$V$141</x:f>
        <x:v>0</x:v>
      </x:c>
      <x:c r="N1271" s="10" t="n">
        <x:f>K1271-L1271-M1271</x:f>
        <x:v>22709.885094661033</x:v>
      </x:c>
      <x:c r="O1271" s="10" t="n">
        <x:f>H1271*'Assumptions'!$P$141*'Assumptions'!$Q$141*'Assumptions'!$D$11*(1+'Assumptions'!$D$13)^(10-1)</x:f>
        <x:v>5964.217385249327</x:v>
      </x:c>
      <x:c r="P1271" s="10" t="n">
        <x:f>H1271*'Assumptions'!$R$141*'Assumptions'!$D$11*(1+'Assumptions'!$D$13)^(10-1)</x:f>
        <x:v>0</x:v>
      </x:c>
      <x:c r="Q1271" s="10" t="n">
        <x:f>J1271*'Assumptions'!$S$141</x:f>
        <x:v>0</x:v>
      </x:c>
      <x:c r="R1271" s="10" t="n">
        <x:f>H1271*'Assumptions'!$Y$141*'Assumptions'!$Z$141*'Assumptions'!$D$11*(1+'Assumptions'!$D$13)^(10-1)</x:f>
        <x:v>7668.279495320563</x:v>
      </x:c>
      <x:c r="S1271" s="10" t="n">
        <x:f>IF(I1271=0,0,J1271*'Assumptions'!$W$141+H1271*'Assumptions'!$X$141)</x:f>
        <x:v>2428.6724969504357</x:v>
      </x:c>
      <x:c r="T1271" s="10" t="n">
        <x:f>N1271*'Assumptions'!$AA$141</x:f>
        <x:v>1135.4942547330518</x:v>
      </x:c>
      <x:c r="U1271" s="10" t="n">
        <x:f>'Assumptions'!$AE$141*'Assumptions'!$D$11*(1+'Assumptions'!$D$13)^(10-1)</x:f>
        <x:v>0</x:v>
      </x:c>
      <x:c r="V1271" s="10" t="n">
        <x:f>0</x:f>
        <x:v>0</x:v>
      </x:c>
      <x:c r="W1271" s="10" t="n">
        <x:f>H1271*('Assumptions'!$P$141+'Assumptions'!$Y$141)</x:f>
        <x:v>326.5054285278456</x:v>
      </x:c>
      <x:c r="X1271" s="10" t="n">
        <x:f>N1271/12*'Assumptions'!$AF$141</x:f>
        <x:v>0</x:v>
      </x:c>
      <x:c r="Y1271" s="10" t="n">
        <x:f>P1271/12</x:f>
        <x:v>0</x:v>
      </x:c>
      <x:c r="Z1271" s="10" t="n">
        <x:f>0</x:f>
        <x:v>0</x:v>
      </x:c>
      <x:c r="AA1271" s="10" t="n">
        <x:f>Z1271*'Assumptions'!$AC$141*'Assumptions'!$D$11*(1+'Assumptions'!$D$13)^(10-1)</x:f>
        <x:v>0</x:v>
      </x:c>
      <x:c r="AB1271" s="10" t="n">
        <x:f>F1271/1</x:f>
        <x:v>432.6967296843265</x:v>
      </x:c>
      <x:c r="AC1271" s="10" t="n">
        <x:f>AB1271/'Assumptions'!$AM$141</x:f>
        <x:v>8653.93459368653</x:v>
      </x:c>
      <x:c r="AD1271" s="10" t="n">
        <x:f>IF(AB1271=0,0,T1271/AB1271)</x:f>
        <x:v>2.624226569869041</x:v>
      </x:c>
      <x:c r="AE1271" s="10" t="n">
        <x:f>AA1271*'Assumptions'!$D$21</x:f>
        <x:v>0</x:v>
      </x:c>
    </x:row>
    <x:row r="1272" ht="16" customHeight="1">
      <x:c r="A1272" s="1"/>
      <x:c r="B1272" s="1"/>
      <x:c r="C1272" s="1" t="str">
        <x:v>DOT-113</x:v>
      </x:c>
      <x:c r="D1272" s="10" t="str">
        <x:v>Learn Anglais</x:v>
      </x:c>
      <x:c r="E1272" s="10" t="n">
        <x:v>10</x:v>
      </x:c>
      <x:c r="F1272" s="21" t="n">
        <x:f>F1144*(1+'Assumptions'!$M$142)</x:f>
        <x:v>259.6180378105958</x:v>
      </x:c>
      <x:c r="G1272" s="21" t="n">
        <x:f>H1144*'Assumptions'!$K$142</x:f>
        <x:v>523.9949906562334</x:v>
      </x:c>
      <x:c r="H1272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1272+G1272,NA())</x:f>
        <x:v>783.6130284668293</x:v>
      </x:c>
      <x:c r="I1272" s="22" t="n">
        <x:f>'Assumptions'!$H$142*IF('Assumptions'!$O$142=1,1,'Assumptions'!$D$10)*(1+'Assumptions'!$N$142)^(10-1)</x:f>
        <x:v>101.58286833289644</x:v>
      </x:c>
      <x:c r="J1272" s="10" t="n">
        <x:f>H1272*I1272</x:f>
        <x:v>79601.65909468815</x:v>
      </x:c>
      <x:c r="K1272" s="10" t="n">
        <x:f>J1272*'Assumptions'!$T$142</x:f>
        <x:v>23880.497728406444</x:v>
      </x:c>
      <x:c r="L1272" s="10" t="n">
        <x:f>K1272*'Assumptions'!$U$142</x:f>
        <x:v>716.4149318521933</x:v>
      </x:c>
      <x:c r="M1272" s="10" t="n">
        <x:f>K1272*'Assumptions'!$V$142</x:f>
        <x:v>0</x:v>
      </x:c>
      <x:c r="N1272" s="10" t="n">
        <x:f>K1272-L1272-M1272</x:f>
        <x:v>23164.082796554252</x:v>
      </x:c>
      <x:c r="O1272" s="10" t="n">
        <x:f>H1272*'Assumptions'!$P$142*'Assumptions'!$Q$142*'Assumptions'!$D$11*(1+'Assumptions'!$D$13)^(10-1)</x:f>
        <x:v>3578.5304311495956</x:v>
      </x:c>
      <x:c r="P1272" s="10" t="n">
        <x:f>H1272*'Assumptions'!$R$142*'Assumptions'!$D$11*(1+'Assumptions'!$D$13)^(10-1)</x:f>
        <x:v>0</x:v>
      </x:c>
      <x:c r="Q1272" s="10" t="n">
        <x:f>J1272*'Assumptions'!$S$142</x:f>
        <x:v>0</x:v>
      </x:c>
      <x:c r="R1272" s="10" t="n">
        <x:f>H1272*'Assumptions'!$Y$142*'Assumptions'!$Z$142*'Assumptions'!$D$11*(1+'Assumptions'!$D$13)^(10-1)</x:f>
        <x:v>4600.967697192336</x:v>
      </x:c>
      <x:c r="S1272" s="10" t="n">
        <x:f>IF(I1272=0,0,J1272*'Assumptions'!$W$142+H1272*'Assumptions'!$X$142)</x:f>
        <x:v>2543.5320222860055</x:v>
      </x:c>
      <x:c r="T1272" s="10" t="n">
        <x:f>N1272*'Assumptions'!$AA$142</x:f>
        <x:v>1158.2041398277127</x:v>
      </x:c>
      <x:c r="U1272" s="10" t="n">
        <x:f>'Assumptions'!$AE$142*'Assumptions'!$D$11*(1+'Assumptions'!$D$13)^(10-1)</x:f>
        <x:v>0</x:v>
      </x:c>
      <x:c r="V1272" s="10" t="n">
        <x:f>0</x:f>
        <x:v>0</x:v>
      </x:c>
      <x:c r="W1272" s="10" t="n">
        <x:f>H1272*('Assumptions'!$P$142+'Assumptions'!$Y$142)</x:f>
        <x:v>195.90325711670732</x:v>
      </x:c>
      <x:c r="X1272" s="10" t="n">
        <x:f>N1272/12*'Assumptions'!$AF$142</x:f>
        <x:v>0</x:v>
      </x:c>
      <x:c r="Y1272" s="10" t="n">
        <x:f>P1272/12</x:f>
        <x:v>0</x:v>
      </x:c>
      <x:c r="Z1272" s="10" t="n">
        <x:f>0</x:f>
        <x:v>0</x:v>
      </x:c>
      <x:c r="AA1272" s="10" t="n">
        <x:f>Z1272*'Assumptions'!$AC$142*'Assumptions'!$D$11*(1+'Assumptions'!$D$13)^(10-1)</x:f>
        <x:v>0</x:v>
      </x:c>
      <x:c r="AB1272" s="10" t="n">
        <x:f>F1272/1</x:f>
        <x:v>259.6180378105958</x:v>
      </x:c>
      <x:c r="AC1272" s="10" t="n">
        <x:f>AB1272/'Assumptions'!$AM$142</x:f>
        <x:v>5192.360756211916</x:v>
      </x:c>
      <x:c r="AD1272" s="10" t="n">
        <x:f>IF(AB1272=0,0,T1272/AB1272)</x:f>
        <x:v>4.46118516877737</x:v>
      </x:c>
      <x:c r="AE1272" s="10" t="n">
        <x:f>AA1272*'Assumptions'!$D$21</x:f>
        <x:v>0</x:v>
      </x:c>
    </x:row>
    <x:row r="1273" ht="16" customHeight="1">
      <x:c r="A1273" s="1"/>
      <x:c r="B1273" s="1"/>
      <x:c r="C1273" s="1" t="str">
        <x:v>DOT-114</x:v>
      </x:c>
      <x:c r="D1273" s="10" t="str">
        <x:v>Learn Anglais</x:v>
      </x:c>
      <x:c r="E1273" s="10" t="n">
        <x:v>10</x:v>
      </x:c>
      <x:c r="F1273" s="21" t="n">
        <x:f>F1145*(1+'Assumptions'!$M$143)</x:f>
        <x:v>364.96396825445953</x:v>
      </x:c>
      <x:c r="G1273" s="21" t="n">
        <x:f>H1145*'Assumptions'!$K$143</x:f>
        <x:v>116.96230154734027</x:v>
      </x:c>
      <x:c r="H1273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1273+G1273,NA())</x:f>
        <x:v>481.9262698017998</x:v>
      </x:c>
      <x:c r="I1273" s="22" t="n">
        <x:f>'Assumptions'!$H$143*IF('Assumptions'!$O$143=1,1,'Assumptions'!$D$10)*(1+'Assumptions'!$N$143)^(10-1)</x:f>
        <x:v>34.65768449004702</x:v>
      </x:c>
      <x:c r="J1273" s="10" t="n">
        <x:f>H1273*I1273</x:f>
        <x:v>16702.44860625605</x:v>
      </x:c>
      <x:c r="K1273" s="10" t="n">
        <x:f>J1273*'Assumptions'!$T$143</x:f>
        <x:v>16702.44860625605</x:v>
      </x:c>
      <x:c r="L1273" s="10" t="n">
        <x:f>K1273*'Assumptions'!$U$143</x:f>
        <x:v>501.07345818768147</x:v>
      </x:c>
      <x:c r="M1273" s="10" t="n">
        <x:f>K1273*'Assumptions'!$V$143</x:f>
        <x:v>0</x:v>
      </x:c>
      <x:c r="N1273" s="10" t="n">
        <x:f>K1273-L1273-M1273</x:f>
        <x:v>16201.375148068368</x:v>
      </x:c>
      <x:c r="O1273" s="10" t="n">
        <x:f>H1273*'Assumptions'!$P$143*'Assumptions'!$Q$143*'Assumptions'!$D$11*(1+'Assumptions'!$D$13)^(10-1)</x:f>
        <x:v>3301.223485456291</x:v>
      </x:c>
      <x:c r="P1273" s="10" t="n">
        <x:f>H1273*'Assumptions'!$R$143*'Assumptions'!$D$11*(1+'Assumptions'!$D$13)^(10-1)</x:f>
        <x:v>0</x:v>
      </x:c>
      <x:c r="Q1273" s="10" t="n">
        <x:f>J1273*'Assumptions'!$S$143</x:f>
        <x:v>0</x:v>
      </x:c>
      <x:c r="R1273" s="10" t="n">
        <x:f>H1273*'Assumptions'!$Y$143*'Assumptions'!$Z$143*'Assumptions'!$D$11*(1+'Assumptions'!$D$13)^(10-1)</x:f>
        <x:v>1886.4134202607381</x:v>
      </x:c>
      <x:c r="S1273" s="10" t="n">
        <x:f>IF(I1273=0,0,J1273*'Assumptions'!$W$143+H1273*'Assumptions'!$X$143)</x:f>
        <x:v>628.9488905219654</x:v>
      </x:c>
      <x:c r="T1273" s="10" t="n">
        <x:f>N1273*'Assumptions'!$AA$143</x:f>
        <x:v>810.0687574034184</x:v>
      </x:c>
      <x:c r="U1273" s="10" t="n">
        <x:f>'Assumptions'!$AE$143*'Assumptions'!$D$11*(1+'Assumptions'!$D$13)^(10-1)</x:f>
        <x:v>0</x:v>
      </x:c>
      <x:c r="V1273" s="10" t="n">
        <x:f>0</x:f>
        <x:v>0</x:v>
      </x:c>
      <x:c r="W1273" s="10" t="n">
        <x:f>H1273*('Assumptions'!$P$143+'Assumptions'!$Y$143)</x:f>
        <x:v>120.48156745044994</x:v>
      </x:c>
      <x:c r="X1273" s="10" t="n">
        <x:f>N1273/12*'Assumptions'!$AF$143</x:f>
        <x:v>0</x:v>
      </x:c>
      <x:c r="Y1273" s="10" t="n">
        <x:f>P1273/12</x:f>
        <x:v>0</x:v>
      </x:c>
      <x:c r="Z1273" s="10" t="n">
        <x:f>0</x:f>
        <x:v>0</x:v>
      </x:c>
      <x:c r="AA1273" s="10" t="n">
        <x:f>Z1273*'Assumptions'!$AC$143*'Assumptions'!$D$11*(1+'Assumptions'!$D$13)^(10-1)</x:f>
        <x:v>0</x:v>
      </x:c>
      <x:c r="AB1273" s="10" t="n">
        <x:f>F1273/1</x:f>
        <x:v>364.96396825445953</x:v>
      </x:c>
      <x:c r="AC1273" s="10" t="n">
        <x:f>AB1273/'Assumptions'!$AM$143</x:f>
        <x:v>7299.27936508919</x:v>
      </x:c>
      <x:c r="AD1273" s="10" t="n">
        <x:f>IF(AB1273=0,0,T1273/AB1273)</x:f>
        <x:v>2.219585569714717</x:v>
      </x:c>
      <x:c r="AE1273" s="10" t="n">
        <x:f>AA1273*'Assumptions'!$D$21</x:f>
        <x:v>0</x:v>
      </x:c>
    </x:row>
    <x:row r="1274" ht="16" customHeight="1">
      <x:c r="A1274" s="1"/>
      <x:c r="B1274" s="1"/>
      <x:c r="C1274" s="1" t="str">
        <x:v>DOT-115</x:v>
      </x:c>
      <x:c r="D1274" s="10" t="str">
        <x:v>Learn Anglais</x:v>
      </x:c>
      <x:c r="E1274" s="10" t="n">
        <x:v>10</x:v>
      </x:c>
      <x:c r="F1274" s="21" t="n">
        <x:f>F1146*(1+'Assumptions'!$M$144)</x:f>
        <x:v>173.0786918737306</x:v>
      </x:c>
      <x:c r="G1274" s="21" t="n">
        <x:f>H1146*'Assumptions'!$K$144</x:f>
        <x:v>346.9087773508224</x:v>
      </x:c>
      <x:c r="H1274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1274+G1274,NA())</x:f>
        <x:v>519.987469224553</x:v>
      </x:c>
      <x:c r="I1274" s="22" t="n">
        <x:f>'Assumptions'!$H$144*IF('Assumptions'!$O$144=1,1,'Assumptions'!$D$10)*(1+'Assumptions'!$N$144)^(10-1)</x:f>
        <x:v>53.779165588004</x:v>
      </x:c>
      <x:c r="J1274" s="10" t="n">
        <x:f>H1274*I1274</x:f>
        <x:v>27964.49221111437</x:v>
      </x:c>
      <x:c r="K1274" s="10" t="n">
        <x:f>J1274*'Assumptions'!$T$144</x:f>
        <x:v>9321.49740370479</x:v>
      </x:c>
      <x:c r="L1274" s="10" t="n">
        <x:f>K1274*'Assumptions'!$U$144</x:f>
        <x:v>279.6449221111437</x:v>
      </x:c>
      <x:c r="M1274" s="10" t="n">
        <x:f>K1274*'Assumptions'!$V$144</x:f>
        <x:v>0</x:v>
      </x:c>
      <x:c r="N1274" s="10" t="n">
        <x:f>K1274-L1274-M1274</x:f>
        <x:v>9041.852481593647</x:v>
      </x:c>
      <x:c r="O1274" s="10" t="n">
        <x:f>H1274*'Assumptions'!$P$144*'Assumptions'!$Q$144*'Assumptions'!$D$11*(1+'Assumptions'!$D$13)^(10-1)</x:f>
        <x:v>3561.9449553000154</x:v>
      </x:c>
      <x:c r="P1274" s="10" t="n">
        <x:f>H1274*'Assumptions'!$R$144*'Assumptions'!$D$11*(1+'Assumptions'!$D$13)^(10-1)</x:f>
        <x:v>0</x:v>
      </x:c>
      <x:c r="Q1274" s="10" t="n">
        <x:f>J1274*'Assumptions'!$S$144</x:f>
        <x:v>0</x:v>
      </x:c>
      <x:c r="R1274" s="10" t="n">
        <x:f>H1274*'Assumptions'!$Y$144*'Assumptions'!$Z$144*'Assumptions'!$D$11*(1+'Assumptions'!$D$13)^(10-1)</x:f>
        <x:v>3053.0956759714413</x:v>
      </x:c>
      <x:c r="S1274" s="10" t="n">
        <x:f>IF(I1274=0,0,J1274*'Assumptions'!$W$144+H1274*'Assumptions'!$X$144)</x:f>
        <x:v>966.9665148896827</x:v>
      </x:c>
      <x:c r="T1274" s="10" t="n">
        <x:f>N1274*'Assumptions'!$AA$144</x:f>
        <x:v>452.09262407968237</x:v>
      </x:c>
      <x:c r="U1274" s="10" t="n">
        <x:f>'Assumptions'!$AE$144*'Assumptions'!$D$11*(1+'Assumptions'!$D$13)^(10-1)</x:f>
        <x:v>0</x:v>
      </x:c>
      <x:c r="V1274" s="10" t="n">
        <x:f>0</x:f>
        <x:v>0</x:v>
      </x:c>
      <x:c r="W1274" s="10" t="n">
        <x:f>H1274*('Assumptions'!$P$144+'Assumptions'!$Y$144)</x:f>
        <x:v>155.9962407673659</x:v>
      </x:c>
      <x:c r="X1274" s="10" t="n">
        <x:f>N1274/12*'Assumptions'!$AF$144</x:f>
        <x:v>0</x:v>
      </x:c>
      <x:c r="Y1274" s="10" t="n">
        <x:f>P1274/12</x:f>
        <x:v>0</x:v>
      </x:c>
      <x:c r="Z1274" s="10" t="n">
        <x:f>0</x:f>
        <x:v>0</x:v>
      </x:c>
      <x:c r="AA1274" s="10" t="n">
        <x:f>Z1274*'Assumptions'!$AC$144*'Assumptions'!$D$11*(1+'Assumptions'!$D$13)^(10-1)</x:f>
        <x:v>0</x:v>
      </x:c>
      <x:c r="AB1274" s="10" t="n">
        <x:f>F1274/1</x:f>
        <x:v>173.0786918737306</x:v>
      </x:c>
      <x:c r="AC1274" s="10" t="n">
        <x:f>AB1274/'Assumptions'!$AM$144</x:f>
        <x:v>3461.573837474612</x:v>
      </x:c>
      <x:c r="AD1274" s="10" t="n">
        <x:f>IF(AB1274=0,0,T1274/AB1274)</x:f>
        <x:v>2.612064022355254</x:v>
      </x:c>
      <x:c r="AE1274" s="10" t="n">
        <x:f>AA1274*'Assumptions'!$D$21</x:f>
        <x:v>0</x:v>
      </x:c>
    </x:row>
    <x:row r="1275" ht="16" customHeight="1">
      <x:c r="A1275" s="1"/>
      <x:c r="B1275" s="1"/>
      <x:c r="C1275" s="1" t="str">
        <x:v>DOT-116</x:v>
      </x:c>
      <x:c r="D1275" s="10" t="str">
        <x:v>Fiefé</x:v>
      </x:c>
      <x:c r="E1275" s="10" t="n">
        <x:v>10</x:v>
      </x:c>
      <x:c r="F1275" s="21" t="n">
        <x:f>F1147*(1+'Assumptions'!$M$145)</x:f>
        <x:v>61.29111070175953</x:v>
      </x:c>
      <x:c r="G1275" s="21" t="n">
        <x:f>H1147*'Assumptions'!$K$145</x:f>
        <x:v>25.18190188869048</x:v>
      </x:c>
      <x:c r="H1275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1275+G1275,NA())</x:f>
        <x:v>86.47301259045001</x:v>
      </x:c>
      <x:c r="I1275" s="22" t="n">
        <x:f>'Assumptions'!$H$145*IF('Assumptions'!$O$145=1,1,'Assumptions'!$D$10)*(1+'Assumptions'!$N$145)^(10-1)</x:f>
        <x:v>537.79165588004</x:v>
      </x:c>
      <x:c r="J1275" s="10" t="n">
        <x:f>H1275*I1275</x:f>
        <x:v>46504.46462995366</x:v>
      </x:c>
      <x:c r="K1275" s="10" t="n">
        <x:f>J1275*'Assumptions'!$T$145</x:f>
        <x:v>46504.46462995366</x:v>
      </x:c>
      <x:c r="L1275" s="10" t="n">
        <x:f>K1275*'Assumptions'!$U$145</x:f>
        <x:v>1395.1339388986098</x:v>
      </x:c>
      <x:c r="M1275" s="10" t="n">
        <x:f>K1275*'Assumptions'!$V$145</x:f>
        <x:v>930.0892925990732</x:v>
      </x:c>
      <x:c r="N1275" s="10" t="n">
        <x:f>K1275-L1275-M1275</x:f>
        <x:v>44179.24139845598</x:v>
      </x:c>
      <x:c r="O1275" s="10" t="n">
        <x:f>H1275*'Assumptions'!$P$145*'Assumptions'!$Q$145*'Assumptions'!$D$11*(1+'Assumptions'!$D$13)^(10-1)</x:f>
        <x:v>2820.6916988236962</x:v>
      </x:c>
      <x:c r="P1275" s="10" t="n">
        <x:f>H1275*'Assumptions'!$R$145*'Assumptions'!$D$11*(1+'Assumptions'!$D$13)^(10-1)</x:f>
        <x:v>28206.91698823696</x:v>
      </x:c>
      <x:c r="Q1275" s="10" t="n">
        <x:f>J1275*'Assumptions'!$S$145</x:f>
        <x:v>0</x:v>
      </x:c>
      <x:c r="R1275" s="10" t="n">
        <x:f>H1275*'Assumptions'!$Y$145*'Assumptions'!$Z$145*'Assumptions'!$D$11*(1+'Assumptions'!$D$13)^(10-1)</x:f>
        <x:v>507.7245057882653</x:v>
      </x:c>
      <x:c r="S1275" s="10" t="n">
        <x:f>IF(I1275=0,0,J1275*'Assumptions'!$W$145+H1275*'Assumptions'!$X$145)</x:f>
        <x:v>1374.571378045791</x:v>
      </x:c>
      <x:c r="T1275" s="10" t="n">
        <x:f>N1275*'Assumptions'!$AA$145</x:f>
        <x:v>3534.339311876479</x:v>
      </x:c>
      <x:c r="U1275" s="10" t="n">
        <x:f>'Assumptions'!$AE$145*'Assumptions'!$D$11*(1+'Assumptions'!$D$13)^(10-1)</x:f>
        <x:v>0</x:v>
      </x:c>
      <x:c r="V1275" s="10" t="n">
        <x:f>0</x:f>
        <x:v>0</x:v>
      </x:c>
      <x:c r="W1275" s="10" t="n">
        <x:f>H1275*('Assumptions'!$P$145+'Assumptions'!$Y$145)</x:f>
        <x:v>56.20745818379251</x:v>
      </x:c>
      <x:c r="X1275" s="10" t="n">
        <x:f>N1275/12*'Assumptions'!$AF$145</x:f>
        <x:v>0</x:v>
      </x:c>
      <x:c r="Y1275" s="10" t="n">
        <x:f>P1275/12</x:f>
        <x:v>2350.5764156864134</x:v>
      </x:c>
      <x:c r="Z1275" s="10" t="n">
        <x:f>0</x:f>
        <x:v>0</x:v>
      </x:c>
      <x:c r="AA1275" s="10" t="n">
        <x:f>Z1275*'Assumptions'!$AC$145*'Assumptions'!$D$11*(1+'Assumptions'!$D$13)^(10-1)</x:f>
        <x:v>0</x:v>
      </x:c>
      <x:c r="AB1275" s="10" t="n">
        <x:f>F1275/1</x:f>
        <x:v>61.29111070175953</x:v>
      </x:c>
      <x:c r="AC1275" s="10" t="n">
        <x:f>AB1275/'Assumptions'!$AM$145</x:f>
        <x:v>2043.0370233919843</x:v>
      </x:c>
      <x:c r="AD1275" s="10" t="n">
        <x:f>IF(AB1275=0,0,T1275/AB1275)</x:f>
        <x:v>57.66479464003278</x:v>
      </x:c>
      <x:c r="AE1275" s="10" t="n">
        <x:f>AA1275*'Assumptions'!$D$21</x:f>
        <x:v>0</x:v>
      </x:c>
    </x:row>
    <x:row r="1276" ht="16" customHeight="1">
      <x:c r="A1276" s="1"/>
      <x:c r="B1276" s="1"/>
      <x:c r="C1276" s="1" t="str">
        <x:v>DOT-117</x:v>
      </x:c>
      <x:c r="D1276" s="10" t="str">
        <x:v>Fiefé</x:v>
      </x:c>
      <x:c r="E1276" s="10" t="n">
        <x:v>10</x:v>
      </x:c>
      <x:c r="F1276" s="21" t="n">
        <x:f>F1148*(1+'Assumptions'!$M$146)</x:f>
        <x:v>76.61388837719943</x:v>
      </x:c>
      <x:c r="G1276" s="21" t="n">
        <x:f>H1148*'Assumptions'!$K$146</x:f>
        <x:v>31.477377360863105</x:v>
      </x:c>
      <x:c r="H1276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1276+G1276,NA())</x:f>
        <x:v>108.09126573806253</x:v>
      </x:c>
      <x:c r="I1276" s="22" t="n">
        <x:f>'Assumptions'!$H$146*IF('Assumptions'!$O$146=1,1,'Assumptions'!$D$10)*(1+'Assumptions'!$N$146)^(10-1)</x:f>
        <x:v>209.14119950890444</x:v>
      </x:c>
      <x:c r="J1276" s="10" t="n">
        <x:f>H1276*I1276</x:f>
        <x:v>22606.336972894143</x:v>
      </x:c>
      <x:c r="K1276" s="10" t="n">
        <x:f>J1276*'Assumptions'!$T$146</x:f>
        <x:v>22606.336972894143</x:v>
      </x:c>
      <x:c r="L1276" s="10" t="n">
        <x:f>K1276*'Assumptions'!$U$146</x:f>
        <x:v>678.1901091868243</x:v>
      </x:c>
      <x:c r="M1276" s="10" t="n">
        <x:f>K1276*'Assumptions'!$V$146</x:f>
        <x:v>452.1267394578829</x:v>
      </x:c>
      <x:c r="N1276" s="10" t="n">
        <x:f>K1276-L1276-M1276</x:f>
        <x:v>21476.020124249437</x:v>
      </x:c>
      <x:c r="O1276" s="10" t="n">
        <x:f>H1276*'Assumptions'!$P$146*'Assumptions'!$Q$146*'Assumptions'!$D$11*(1+'Assumptions'!$D$13)^(10-1)</x:f>
        <x:v>1586.6390805883293</x:v>
      </x:c>
      <x:c r="P1276" s="10" t="n">
        <x:f>H1276*'Assumptions'!$R$146*'Assumptions'!$D$11*(1+'Assumptions'!$D$13)^(10-1)</x:f>
        <x:v>11282.766795294785</x:v>
      </x:c>
      <x:c r="Q1276" s="10" t="n">
        <x:f>J1276*'Assumptions'!$S$146</x:f>
        <x:v>0</x:v>
      </x:c>
      <x:c r="R1276" s="10" t="n">
        <x:f>H1276*'Assumptions'!$Y$146*'Assumptions'!$Z$146*'Assumptions'!$D$11*(1+'Assumptions'!$D$13)^(10-1)</x:f>
        <x:v>634.6556322353317</x:v>
      </x:c>
      <x:c r="S1276" s="10" t="n">
        <x:f>IF(I1276=0,0,J1276*'Assumptions'!$W$146+H1276*'Assumptions'!$X$146)</x:f>
        <x:v>688.011151935349</x:v>
      </x:c>
      <x:c r="T1276" s="10" t="n">
        <x:f>N1276*'Assumptions'!$AA$146</x:f>
        <x:v>1718.081609939955</x:v>
      </x:c>
      <x:c r="U1276" s="10" t="n">
        <x:f>'Assumptions'!$AE$146*'Assumptions'!$D$11*(1+'Assumptions'!$D$13)^(10-1)</x:f>
        <x:v>0</x:v>
      </x:c>
      <x:c r="V1276" s="10" t="n">
        <x:f>0</x:f>
        <x:v>0</x:v>
      </x:c>
      <x:c r="W1276" s="10" t="n">
        <x:f>H1276*('Assumptions'!$P$146+'Assumptions'!$Y$146)</x:f>
        <x:v>43.23650629522501</x:v>
      </x:c>
      <x:c r="X1276" s="10" t="n">
        <x:f>N1276/12*'Assumptions'!$AF$146</x:f>
        <x:v>0</x:v>
      </x:c>
      <x:c r="Y1276" s="10" t="n">
        <x:f>P1276/12</x:f>
        <x:v>940.2305662745654</x:v>
      </x:c>
      <x:c r="Z1276" s="10" t="n">
        <x:f>0</x:f>
        <x:v>0</x:v>
      </x:c>
      <x:c r="AA1276" s="10" t="n">
        <x:f>Z1276*'Assumptions'!$AC$146*'Assumptions'!$D$11*(1+'Assumptions'!$D$13)^(10-1)</x:f>
        <x:v>0</x:v>
      </x:c>
      <x:c r="AB1276" s="10" t="n">
        <x:f>F1276/1</x:f>
        <x:v>76.61388837719943</x:v>
      </x:c>
      <x:c r="AC1276" s="10" t="n">
        <x:f>AB1276/'Assumptions'!$AM$146</x:f>
        <x:v>2553.7962792399812</x:v>
      </x:c>
      <x:c r="AD1276" s="10" t="n">
        <x:f>IF(AB1276=0,0,T1276/AB1276)</x:f>
        <x:v>22.425197915568297</x:v>
      </x:c>
      <x:c r="AE1276" s="10" t="n">
        <x:f>AA1276*'Assumptions'!$D$21</x:f>
        <x:v>0</x:v>
      </x:c>
    </x:row>
    <x:row r="1277" ht="16" customHeight="1">
      <x:c r="A1277" s="1"/>
      <x:c r="B1277" s="1"/>
      <x:c r="C1277" s="1" t="str">
        <x:v>DOT-118</x:v>
      </x:c>
      <x:c r="D1277" s="10" t="str">
        <x:v>Fiefé Design</x:v>
      </x:c>
      <x:c r="E1277" s="10" t="n">
        <x:v>10</x:v>
      </x:c>
      <x:c r="F1277" s="21" t="n">
        <x:f>F1149*(1+'Assumptions'!$M$147)</x:f>
        <x:v>10.215185116959924</x:v>
      </x:c>
      <x:c r="G1277" s="21" t="n">
        <x:f>H1149*'Assumptions'!$K$147</x:f>
        <x:v>4.19698364811508</x:v>
      </x:c>
      <x:c r="H1277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1277+G1277,NA())</x:f>
        <x:v>14.412168765075005</x:v>
      </x:c>
      <x:c r="I1277" s="22" t="n">
        <x:f>'Assumptions'!$H$147*IF('Assumptions'!$O$147=1,1,'Assumptions'!$D$10)*(1+'Assumptions'!$N$147)^(10-1)</x:f>
        <x:v>2987.7314215557776</x:v>
      </x:c>
      <x:c r="J1277" s="10" t="n">
        <x:f>H1277*I1277</x:f>
        <x:v>43059.68947217932</x:v>
      </x:c>
      <x:c r="K1277" s="10" t="n">
        <x:f>J1277*'Assumptions'!$T$147</x:f>
        <x:v>43059.68947217932</x:v>
      </x:c>
      <x:c r="L1277" s="10" t="n">
        <x:f>K1277*'Assumptions'!$U$147</x:f>
        <x:v>1291.7906841653796</x:v>
      </x:c>
      <x:c r="M1277" s="10" t="n">
        <x:f>K1277*'Assumptions'!$V$147</x:f>
        <x:v>861.1937894435864</x:v>
      </x:c>
      <x:c r="N1277" s="10" t="n">
        <x:f>K1277-L1277-M1277</x:f>
        <x:v>40906.704998570356</x:v>
      </x:c>
      <x:c r="O1277" s="10" t="n">
        <x:f>H1277*'Assumptions'!$P$147*'Assumptions'!$Q$147*'Assumptions'!$D$11*(1+'Assumptions'!$D$13)^(10-1)</x:f>
        <x:v>9026.21343623583</x:v>
      </x:c>
      <x:c r="P1277" s="10" t="n">
        <x:f>H1277*'Assumptions'!$R$147*'Assumptions'!$D$11*(1+'Assumptions'!$D$13)^(10-1)</x:f>
        <x:v>16924.15019294218</x:v>
      </x:c>
      <x:c r="Q1277" s="10" t="n">
        <x:f>J1277*'Assumptions'!$S$147</x:f>
        <x:v>0</x:v>
      </x:c>
      <x:c r="R1277" s="10" t="n">
        <x:f>H1277*'Assumptions'!$Y$147*'Assumptions'!$Z$147*'Assumptions'!$D$11*(1+'Assumptions'!$D$13)^(10-1)</x:f>
        <x:v>84.6207509647109</x:v>
      </x:c>
      <x:c r="S1277" s="10" t="n">
        <x:f>IF(I1277=0,0,J1277*'Assumptions'!$W$147+H1277*'Assumptions'!$X$147)</x:f>
        <x:v>1253.0546453227228</x:v>
      </x:c>
      <x:c r="T1277" s="10" t="n">
        <x:f>N1277*'Assumptions'!$AA$147</x:f>
        <x:v>3272.5363998856287</x:v>
      </x:c>
      <x:c r="U1277" s="10" t="n">
        <x:f>'Assumptions'!$AE$147*'Assumptions'!$D$11*(1+'Assumptions'!$D$13)^(10-1)</x:f>
        <x:v>0</x:v>
      </x:c>
      <x:c r="V1277" s="10" t="n">
        <x:f>0</x:f>
        <x:v>0</x:v>
      </x:c>
      <x:c r="W1277" s="10" t="n">
        <x:f>H1277*('Assumptions'!$P$147+'Assumptions'!$Y$147)</x:f>
        <x:v>117.4591754353613</x:v>
      </x:c>
      <x:c r="X1277" s="10" t="n">
        <x:f>N1277/12*'Assumptions'!$AF$147</x:f>
        <x:v>0</x:v>
      </x:c>
      <x:c r="Y1277" s="10" t="n">
        <x:f>P1277/12</x:f>
        <x:v>1410.3458494118483</x:v>
      </x:c>
      <x:c r="Z1277" s="10" t="n">
        <x:f>0</x:f>
        <x:v>0</x:v>
      </x:c>
      <x:c r="AA1277" s="10" t="n">
        <x:f>Z1277*'Assumptions'!$AC$147*'Assumptions'!$D$11*(1+'Assumptions'!$D$13)^(10-1)</x:f>
        <x:v>0</x:v>
      </x:c>
      <x:c r="AB1277" s="10" t="n">
        <x:f>F1277/1</x:f>
        <x:v>10.215185116959924</x:v>
      </x:c>
      <x:c r="AC1277" s="10" t="n">
        <x:f>AB1277/'Assumptions'!$AM$147</x:f>
        <x:v>340.5061705653308</x:v>
      </x:c>
      <x:c r="AD1277" s="10" t="n">
        <x:f>IF(AB1277=0,0,T1277/AB1277)</x:f>
        <x:v>320.3599702224043</x:v>
      </x:c>
      <x:c r="AE1277" s="10" t="n">
        <x:f>AA1277*'Assumptions'!$D$21</x:f>
        <x:v>0</x:v>
      </x:c>
    </x:row>
    <x:row r="1278" ht="16" customHeight="1">
      <x:c r="A1278" s="1"/>
      <x:c r="B1278" s="1"/>
      <x:c r="C1278" s="1" t="str">
        <x:v>DOT-119</x:v>
      </x:c>
      <x:c r="D1278" s="10" t="str">
        <x:v>OsezArt</x:v>
      </x:c>
      <x:c r="E1278" s="10" t="n">
        <x:v>10</x:v>
      </x:c>
      <x:c r="F1278" s="21" t="n">
        <x:f>F1150*(1+'Assumptions'!$M$148)</x:f>
        <x:v>8.653934593686529</x:v>
      </x:c>
      <x:c r="G1278" s="21" t="n">
        <x:f>H1150*'Assumptions'!$K$148</x:f>
        <x:v>17.34543886754112</x:v>
      </x:c>
      <x:c r="H1278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1278+G1278,NA())</x:f>
        <x:v>25.99937346122765</x:v>
      </x:c>
      <x:c r="I1278" s="22" t="n">
        <x:f>'Assumptions'!$H$148*IF('Assumptions'!$O$148=1,1,'Assumptions'!$D$10)*(1+'Assumptions'!$N$148)^(10-1)</x:f>
        <x:v>5975.462843111555</x:v>
      </x:c>
      <x:c r="J1278" s="10" t="n">
        <x:f>H1278*I1278</x:f>
        <x:v>155358.2900617465</x:v>
      </x:c>
      <x:c r="K1278" s="10" t="n">
        <x:f>J1278*'Assumptions'!$T$148</x:f>
        <x:v>31071.6580123493</x:v>
      </x:c>
      <x:c r="L1278" s="10" t="n">
        <x:f>K1278*'Assumptions'!$U$148</x:f>
        <x:v>932.149740370479</x:v>
      </x:c>
      <x:c r="M1278" s="10" t="n">
        <x:f>K1278*'Assumptions'!$V$148</x:f>
        <x:v>0</x:v>
      </x:c>
      <x:c r="N1278" s="10" t="n">
        <x:f>K1278-L1278-M1278</x:f>
        <x:v>30139.508271978822</x:v>
      </x:c>
      <x:c r="O1278" s="10" t="n">
        <x:f>H1278*'Assumptions'!$P$148*'Assumptions'!$Q$148*'Assumptions'!$D$11*(1+'Assumptions'!$D$13)^(10-1)</x:f>
        <x:v>8141.588469257177</x:v>
      </x:c>
      <x:c r="P1278" s="10" t="n">
        <x:f>H1278*'Assumptions'!$R$148*'Assumptions'!$D$11*(1+'Assumptions'!$D$13)^(10-1)</x:f>
        <x:v>0</x:v>
      </x:c>
      <x:c r="Q1278" s="10" t="n">
        <x:f>J1278*'Assumptions'!$S$148</x:f>
        <x:v>0</x:v>
      </x:c>
      <x:c r="R1278" s="10" t="n">
        <x:f>H1278*'Assumptions'!$Y$148*'Assumptions'!$Z$148*'Assumptions'!$D$11*(1+'Assumptions'!$D$13)^(10-1)</x:f>
        <x:v>152.65478379857208</x:v>
      </x:c>
      <x:c r="S1278" s="10" t="n">
        <x:f>IF(I1278=0,0,J1278*'Assumptions'!$W$148+H1278*'Assumptions'!$X$148)</x:f>
        <x:v>4513.190223829017</x:v>
      </x:c>
      <x:c r="T1278" s="10" t="n">
        <x:f>N1278*'Assumptions'!$AA$148</x:f>
        <x:v>1506.9754135989413</x:v>
      </x:c>
      <x:c r="U1278" s="10" t="n">
        <x:f>'Assumptions'!$AE$148*'Assumptions'!$D$11*(1+'Assumptions'!$D$13)^(10-1)</x:f>
        <x:v>0</x:v>
      </x:c>
      <x:c r="V1278" s="10" t="n">
        <x:f>0</x:f>
        <x:v>0</x:v>
      </x:c>
      <x:c r="W1278" s="10" t="n">
        <x:f>H1278*('Assumptions'!$P$148+'Assumptions'!$Y$148)</x:f>
        <x:v>107.89739986409475</x:v>
      </x:c>
      <x:c r="X1278" s="10" t="n">
        <x:f>N1278/12*'Assumptions'!$AF$148</x:f>
        <x:v>0</x:v>
      </x:c>
      <x:c r="Y1278" s="10" t="n">
        <x:f>P1278/12</x:f>
        <x:v>0</x:v>
      </x:c>
      <x:c r="Z1278" s="10" t="n">
        <x:f>0</x:f>
        <x:v>0</x:v>
      </x:c>
      <x:c r="AA1278" s="10" t="n">
        <x:f>Z1278*'Assumptions'!$AC$148*'Assumptions'!$D$11*(1+'Assumptions'!$D$13)^(10-1)</x:f>
        <x:v>0</x:v>
      </x:c>
      <x:c r="AB1278" s="10" t="n">
        <x:f>F1278/1</x:f>
        <x:v>8.653934593686529</x:v>
      </x:c>
      <x:c r="AC1278" s="10" t="n">
        <x:f>AB1278/'Assumptions'!$AM$148</x:f>
        <x:v>173.07869187373058</x:v>
      </x:c>
      <x:c r="AD1278" s="10" t="n">
        <x:f>IF(AB1278=0,0,T1278/AB1278)</x:f>
        <x:v>174.1376014903503</x:v>
      </x:c>
      <x:c r="AE1278" s="10" t="n">
        <x:f>AA1278*'Assumptions'!$D$21</x:f>
        <x:v>0</x:v>
      </x:c>
    </x:row>
    <x:row r="1279" ht="16" customHeight="1">
      <x:c r="A1279" s="1"/>
      <x:c r="B1279" s="1"/>
      <x:c r="C1279" s="1" t="str">
        <x:v>DOT-120</x:v>
      </x:c>
      <x:c r="D1279" s="10" t="str">
        <x:v>OsezArt</x:v>
      </x:c>
      <x:c r="E1279" s="10" t="n">
        <x:v>10</x:v>
      </x:c>
      <x:c r="F1279" s="21" t="n">
        <x:f>F1151*(1+'Assumptions'!$M$149)</x:f>
        <x:v>5.091879516547892</x:v>
      </x:c>
      <x:c r="G1279" s="21" t="n">
        <x:f>H1151*'Assumptions'!$K$149</x:f>
        <x:v>4.786599632356502</x:v>
      </x:c>
      <x:c r="H1279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1279+G1279,NA())</x:f>
        <x:v>9.878479148904393</x:v>
      </x:c>
      <x:c r="I1279" s="22" t="n">
        <x:f>'Assumptions'!$H$149*IF('Assumptions'!$O$149=1,1,'Assumptions'!$D$10)*(1+'Assumptions'!$N$149)^(10-1)</x:f>
        <x:v>5975.462843111555</x:v>
      </x:c>
      <x:c r="J1279" s="10" t="n">
        <x:f>H1279*I1279</x:f>
        <x:v>59028.48510073046</x:v>
      </x:c>
      <x:c r="K1279" s="10" t="n">
        <x:f>J1279*'Assumptions'!$T$149</x:f>
        <x:v>59028.48510073046</x:v>
      </x:c>
      <x:c r="L1279" s="10" t="n">
        <x:f>K1279*'Assumptions'!$U$149</x:f>
        <x:v>1770.8545530219137</x:v>
      </x:c>
      <x:c r="M1279" s="10" t="n">
        <x:f>K1279*'Assumptions'!$V$149</x:f>
        <x:v>0</x:v>
      </x:c>
      <x:c r="N1279" s="10" t="n">
        <x:f>K1279-L1279-M1279</x:f>
        <x:v>57257.63054770855</x:v>
      </x:c>
      <x:c r="O1279" s="10" t="n">
        <x:f>H1279*'Assumptions'!$P$149*'Assumptions'!$Q$149*'Assumptions'!$D$11*(1+'Assumptions'!$D$13)^(10-1)</x:f>
        <x:v>25133.89064648825</x:v>
      </x:c>
      <x:c r="P1279" s="10" t="n">
        <x:f>H1279*'Assumptions'!$R$149*'Assumptions'!$D$11*(1+'Assumptions'!$D$13)^(10-1)</x:f>
        <x:v>3222.2936726266985</x:v>
      </x:c>
      <x:c r="Q1279" s="10" t="n">
        <x:f>J1279*'Assumptions'!$S$149</x:f>
        <x:v>0</x:v>
      </x:c>
      <x:c r="R1279" s="10" t="n">
        <x:f>H1279*'Assumptions'!$Y$149*'Assumptions'!$Z$149*'Assumptions'!$D$11*(1+'Assumptions'!$D$13)^(10-1)</x:f>
        <x:v>96.66881017880095</x:v>
      </x:c>
      <x:c r="S1279" s="10" t="n">
        <x:f>IF(I1279=0,0,J1279*'Assumptions'!$W$149+H1279*'Assumptions'!$X$149)</x:f>
        <x:v>1714.7896116658549</x:v>
      </x:c>
      <x:c r="T1279" s="10" t="n">
        <x:f>N1279*'Assumptions'!$AA$149</x:f>
        <x:v>2290.305221908342</x:v>
      </x:c>
      <x:c r="U1279" s="10" t="n">
        <x:f>'Assumptions'!$AE$149*'Assumptions'!$D$11*(1+'Assumptions'!$D$13)^(10-1)</x:f>
        <x:v>0</x:v>
      </x:c>
      <x:c r="V1279" s="10" t="n">
        <x:f>0</x:f>
        <x:v>0</x:v>
      </x:c>
      <x:c r="W1279" s="10" t="n">
        <x:f>H1279*('Assumptions'!$P$149+'Assumptions'!$Y$149)</x:f>
        <x:v>298.8239942543579</x:v>
      </x:c>
      <x:c r="X1279" s="10" t="n">
        <x:f>N1279/12*'Assumptions'!$AF$149</x:f>
        <x:v>4771.469212309045</x:v>
      </x:c>
      <x:c r="Y1279" s="10" t="n">
        <x:f>P1279/12</x:f>
        <x:v>268.52447271889156</x:v>
      </x:c>
      <x:c r="Z1279" s="10" t="n">
        <x:f>0</x:f>
        <x:v>0</x:v>
      </x:c>
      <x:c r="AA1279" s="10" t="n">
        <x:f>Z1279*'Assumptions'!$AC$149*'Assumptions'!$D$11*(1+'Assumptions'!$D$13)^(10-1)</x:f>
        <x:v>0</x:v>
      </x:c>
      <x:c r="AB1279" s="10" t="n">
        <x:f>F1279/1</x:f>
        <x:v>5.091879516547892</x:v>
      </x:c>
      <x:c r="AC1279" s="10" t="n">
        <x:f>AB1279/'Assumptions'!$AM$149</x:f>
        <x:v>25.45939758273946</x:v>
      </x:c>
      <x:c r="AD1279" s="10" t="n">
        <x:f>IF(AB1279=0,0,T1279/AB1279)</x:f>
        <x:v>449.79564313436174</x:v>
      </x:c>
      <x:c r="AE1279" s="10" t="n">
        <x:f>AA1279*'Assumptions'!$D$21</x:f>
        <x:v>0</x:v>
      </x:c>
    </x:row>
    <x:row r="1280" ht="16" customHeight="1">
      <x:c r="A1280" s="1"/>
      <x:c r="B1280" s="1"/>
      <x:c r="C1280" s="1" t="str">
        <x:v>DOT-121</x:v>
      </x:c>
      <x:c r="D1280" s="10" t="str">
        <x:v>OsezArt</x:v>
      </x:c>
      <x:c r="E1280" s="10" t="n">
        <x:v>10</x:v>
      </x:c>
      <x:c r="F1280" s="21" t="n">
        <x:f>F1152*(1+'Assumptions'!$M$150)</x:f>
        <x:v>5.091879516547892</x:v>
      </x:c>
      <x:c r="G1280" s="21" t="n">
        <x:f>H1152*'Assumptions'!$K$150</x:f>
        <x:v>4.783669944856502</x:v>
      </x:c>
      <x:c r="H1280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1280+G1280,NA())</x:f>
        <x:v>9.875549461404393</x:v>
      </x:c>
      <x:c r="I1280" s="22" t="n">
        <x:f>'Assumptions'!$H$150*IF('Assumptions'!$O$150=1,1,'Assumptions'!$D$10)*(1+'Assumptions'!$N$150)^(10-1)</x:f>
        <x:v>3585.277705866933</x:v>
      </x:c>
      <x:c r="J1280" s="10" t="n">
        <x:f>H1280*I1280</x:f>
        <x:v>35406.58731715937</x:v>
      </x:c>
      <x:c r="K1280" s="10" t="n">
        <x:f>J1280*'Assumptions'!$T$150</x:f>
        <x:v>35406.58731715937</x:v>
      </x:c>
      <x:c r="L1280" s="10" t="n">
        <x:f>K1280*'Assumptions'!$U$150</x:f>
        <x:v>1062.197619514781</x:v>
      </x:c>
      <x:c r="M1280" s="10" t="n">
        <x:f>K1280*'Assumptions'!$V$150</x:f>
        <x:v>0</x:v>
      </x:c>
      <x:c r="N1280" s="10" t="n">
        <x:f>K1280-L1280-M1280</x:f>
        <x:v>34344.38969764459</x:v>
      </x:c>
      <x:c r="O1280" s="10" t="n">
        <x:f>H1280*'Assumptions'!$P$150*'Assumptions'!$Q$150*'Assumptions'!$D$11*(1+'Assumptions'!$D$13)^(10-1)</x:f>
        <x:v>15075.861971999158</x:v>
      </x:c>
      <x:c r="P1280" s="10" t="n">
        <x:f>H1280*'Assumptions'!$R$150*'Assumptions'!$D$11*(1+'Assumptions'!$D$13)^(10-1)</x:f>
        <x:v>2577.0704225639593</x:v>
      </x:c>
      <x:c r="Q1280" s="10" t="n">
        <x:f>J1280*'Assumptions'!$S$150</x:f>
        <x:v>0</x:v>
      </x:c>
      <x:c r="R1280" s="10" t="n">
        <x:f>H1280*'Assumptions'!$Y$150*'Assumptions'!$Z$150*'Assumptions'!$D$11*(1+'Assumptions'!$D$13)^(10-1)</x:f>
        <x:v>96.64014084614846</x:v>
      </x:c>
      <x:c r="S1280" s="10" t="n">
        <x:f>IF(I1280=0,0,J1280*'Assumptions'!$W$150+H1280*'Assumptions'!$X$150)</x:f>
        <x:v>1029.753697036043</x:v>
      </x:c>
      <x:c r="T1280" s="10" t="n">
        <x:f>N1280*'Assumptions'!$AA$150</x:f>
        <x:v>1373.7755879057836</x:v>
      </x:c>
      <x:c r="U1280" s="10" t="n">
        <x:f>'Assumptions'!$AE$150*'Assumptions'!$D$11*(1+'Assumptions'!$D$13)^(10-1)</x:f>
        <x:v>0</x:v>
      </x:c>
      <x:c r="V1280" s="10" t="n">
        <x:f>0</x:f>
        <x:v>0</x:v>
      </x:c>
      <x:c r="W1280" s="10" t="n">
        <x:f>H1280*('Assumptions'!$P$150+'Assumptions'!$Y$150)</x:f>
        <x:v>180.22877767063017</x:v>
      </x:c>
      <x:c r="X1280" s="10" t="n">
        <x:f>N1280/12*'Assumptions'!$AF$150</x:f>
        <x:v>2862.032474803716</x:v>
      </x:c>
      <x:c r="Y1280" s="10" t="n">
        <x:f>P1280/12</x:f>
        <x:v>214.7558685469966</x:v>
      </x:c>
      <x:c r="Z1280" s="10" t="n">
        <x:f>0</x:f>
        <x:v>0</x:v>
      </x:c>
      <x:c r="AA1280" s="10" t="n">
        <x:f>Z1280*'Assumptions'!$AC$150*'Assumptions'!$D$11*(1+'Assumptions'!$D$13)^(10-1)</x:f>
        <x:v>0</x:v>
      </x:c>
      <x:c r="AB1280" s="10" t="n">
        <x:f>F1280/1</x:f>
        <x:v>5.091879516547892</x:v>
      </x:c>
      <x:c r="AC1280" s="10" t="n">
        <x:f>AB1280/'Assumptions'!$AM$150</x:f>
        <x:v>25.45939758273946</x:v>
      </x:c>
      <x:c r="AD1280" s="10" t="n">
        <x:f>IF(AB1280=0,0,T1280/AB1280)</x:f>
        <x:v>269.7973476083254</x:v>
      </x:c>
      <x:c r="AE1280" s="10" t="n">
        <x:f>AA1280*'Assumptions'!$D$21</x:f>
        <x:v>0</x:v>
      </x:c>
    </x:row>
    <x:row r="1281" ht="16" customHeight="1">
      <x:c r="A1281" s="1"/>
      <x:c r="B1281" s="1"/>
      <x:c r="C1281" s="1" t="str">
        <x:v>DOT-122</x:v>
      </x:c>
      <x:c r="D1281" s="10" t="str">
        <x:v>OsezArt</x:v>
      </x:c>
      <x:c r="E1281" s="10" t="n">
        <x:v>10</x:v>
      </x:c>
      <x:c r="F1281" s="21" t="n">
        <x:f>F1153*(1+'Assumptions'!$M$151)</x:f>
        <x:v>1.697293172182631</x:v>
      </x:c>
      <x:c r="G1281" s="21" t="n">
        <x:f>H1153*'Assumptions'!$K$151</x:f>
        <x:v>1.594556648285501</x:v>
      </x:c>
      <x:c r="H1281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1281+G1281,NA())</x:f>
        <x:v>3.2918498204681317</x:v>
      </x:c>
      <x:c r="I1281" s="22" t="n">
        <x:f>'Assumptions'!$H$151*IF('Assumptions'!$O$151=1,1,'Assumptions'!$D$10)*(1+'Assumptions'!$N$151)^(10-1)</x:f>
        <x:v>11950.92568622311</x:v>
      </x:c>
      <x:c r="J1281" s="10" t="n">
        <x:f>H1281*I1281</x:f>
        <x:v>39340.65257462153</x:v>
      </x:c>
      <x:c r="K1281" s="10" t="n">
        <x:f>J1281*'Assumptions'!$T$151</x:f>
        <x:v>39340.65257462153</x:v>
      </x:c>
      <x:c r="L1281" s="10" t="n">
        <x:f>K1281*'Assumptions'!$U$151</x:f>
        <x:v>1180.2195772386458</x:v>
      </x:c>
      <x:c r="M1281" s="10" t="n">
        <x:f>K1281*'Assumptions'!$V$151</x:f>
        <x:v>0</x:v>
      </x:c>
      <x:c r="N1281" s="10" t="n">
        <x:f>K1281-L1281-M1281</x:f>
        <x:v>38160.43299738288</x:v>
      </x:c>
      <x:c r="O1281" s="10" t="n">
        <x:f>H1281*'Assumptions'!$P$151*'Assumptions'!$Q$151*'Assumptions'!$D$11*(1+'Assumptions'!$D$13)^(10-1)</x:f>
        <x:v>16750.957746665736</x:v>
      </x:c>
      <x:c r="P1281" s="10" t="n">
        <x:f>H1281*'Assumptions'!$R$151*'Assumptions'!$D$11*(1+'Assumptions'!$D$13)^(10-1)</x:f>
        <x:v>2147.5586854699663</x:v>
      </x:c>
      <x:c r="Q1281" s="10" t="n">
        <x:f>J1281*'Assumptions'!$S$151</x:f>
        <x:v>0</x:v>
      </x:c>
      <x:c r="R1281" s="10" t="n">
        <x:f>H1281*'Assumptions'!$Y$151*'Assumptions'!$Z$151*'Assumptions'!$D$11*(1+'Assumptions'!$D$13)^(10-1)</x:f>
        <x:v>32.21338028204949</x:v>
      </x:c>
      <x:c r="S1281" s="10" t="n">
        <x:f>IF(I1281=0,0,J1281*'Assumptions'!$W$151+H1281*'Assumptions'!$X$151)</x:f>
        <x:v>1141.8664796101646</x:v>
      </x:c>
      <x:c r="T1281" s="10" t="n">
        <x:f>N1281*'Assumptions'!$AA$151</x:f>
        <x:v>1526.4173198953151</x:v>
      </x:c>
      <x:c r="U1281" s="10" t="n">
        <x:f>'Assumptions'!$AE$151*'Assumptions'!$D$11*(1+'Assumptions'!$D$13)^(10-1)</x:f>
        <x:v>0</x:v>
      </x:c>
      <x:c r="V1281" s="10" t="n">
        <x:f>0</x:f>
        <x:v>0</x:v>
      </x:c>
      <x:c r="W1281" s="10" t="n">
        <x:f>H1281*('Assumptions'!$P$151+'Assumptions'!$Y$151)</x:f>
        <x:v>198.33395168320493</x:v>
      </x:c>
      <x:c r="X1281" s="10" t="n">
        <x:f>N1281/12*'Assumptions'!$AF$151</x:f>
        <x:v>3180.0360831152398</x:v>
      </x:c>
      <x:c r="Y1281" s="10" t="n">
        <x:f>P1281/12</x:f>
        <x:v>178.96322378916386</x:v>
      </x:c>
      <x:c r="Z1281" s="10" t="n">
        <x:f>0</x:f>
        <x:v>0</x:v>
      </x:c>
      <x:c r="AA1281" s="10" t="n">
        <x:f>Z1281*'Assumptions'!$AC$151*'Assumptions'!$D$11*(1+'Assumptions'!$D$13)^(10-1)</x:f>
        <x:v>0</x:v>
      </x:c>
      <x:c r="AB1281" s="10" t="n">
        <x:f>F1281/1</x:f>
        <x:v>1.697293172182631</x:v>
      </x:c>
      <x:c r="AC1281" s="10" t="n">
        <x:f>AB1281/'Assumptions'!$AM$151</x:f>
        <x:v>8.486465860913155</x:v>
      </x:c>
      <x:c r="AD1281" s="10" t="n">
        <x:f>IF(AB1281=0,0,T1281/AB1281)</x:f>
        <x:v>899.3244920277513</x:v>
      </x:c>
      <x:c r="AE1281" s="10" t="n">
        <x:f>AA1281*'Assumptions'!$D$21</x:f>
        <x:v>0</x:v>
      </x:c>
    </x:row>
    <x:row r="1282" ht="16" customHeight="1">
      <x:c r="A1282" s="1"/>
      <x:c r="B1282" s="1"/>
      <x:c r="C1282" s="1" t="str">
        <x:v>DOT-123</x:v>
      </x:c>
      <x:c r="D1282" s="10" t="str">
        <x:v>FinBot research</x:v>
      </x:c>
      <x:c r="E1282" s="10" t="n">
        <x:v>10</x:v>
      </x:c>
      <x:c r="F1282" s="21" t="n">
        <x:f>F1154*(1+'Assumptions'!$M$152)</x:f>
        <x:v>182.48198412722977</x:v>
      </x:c>
      <x:c r="G1282" s="21" t="n">
        <x:f>H1154*'Assumptions'!$K$152</x:f>
        <x:v>58.48103633275217</x:v>
      </x:c>
      <x:c r="H1282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1282+G1282,NA())</x:f>
        <x:v>240.96302045998192</x:v>
      </x:c>
      <x:c r="I1282" s="22" t="n">
        <x:f>'Assumptions'!$H$152*IF('Assumptions'!$O$152=1,1,'Assumptions'!$D$10)*(1+'Assumptions'!$N$152)^(10-1)</x:f>
        <x:v>34.65768449004702</x:v>
      </x:c>
      <x:c r="J1282" s="10" t="n">
        <x:f>H1282*I1282</x:f>
        <x:v>8351.220336870798</x:v>
      </x:c>
      <x:c r="K1282" s="10" t="n">
        <x:f>J1282*'Assumptions'!$T$152</x:f>
        <x:v>8351.220336870798</x:v>
      </x:c>
      <x:c r="L1282" s="10" t="n">
        <x:f>K1282*'Assumptions'!$U$152</x:f>
        <x:v>250.53661010612393</x:v>
      </x:c>
      <x:c r="M1282" s="10" t="n">
        <x:f>K1282*'Assumptions'!$V$152</x:f>
        <x:v>0</x:v>
      </x:c>
      <x:c r="N1282" s="10" t="n">
        <x:f>K1282-L1282-M1282</x:f>
        <x:v>8100.683726764674</x:v>
      </x:c>
      <x:c r="O1282" s="10" t="n">
        <x:f>H1282*'Assumptions'!$P$152*'Assumptions'!$Q$152*'Assumptions'!$D$11*(1+'Assumptions'!$D$13)^(10-1)</x:f>
        <x:v>2829.618786516139</x:v>
      </x:c>
      <x:c r="P1282" s="10" t="n">
        <x:f>H1282*'Assumptions'!$R$152*'Assumptions'!$D$11*(1+'Assumptions'!$D$13)^(10-1)</x:f>
        <x:v>0</x:v>
      </x:c>
      <x:c r="Q1282" s="10" t="n">
        <x:f>J1282*'Assumptions'!$S$152</x:f>
        <x:v>0</x:v>
      </x:c>
      <x:c r="R1282" s="10" t="n">
        <x:f>H1282*'Assumptions'!$Y$152*'Assumptions'!$Z$152*'Assumptions'!$D$11*(1+'Assumptions'!$D$13)^(10-1)</x:f>
        <x:v>943.2062621720463</x:v>
      </x:c>
      <x:c r="S1282" s="10" t="n">
        <x:f>IF(I1282=0,0,J1282*'Assumptions'!$W$152+H1282*'Assumptions'!$X$152)</x:f>
        <x:v>314.4742959072477</x:v>
      </x:c>
      <x:c r="T1282" s="10" t="n">
        <x:f>N1282*'Assumptions'!$AA$152</x:f>
        <x:v>405.0341863382337</x:v>
      </x:c>
      <x:c r="U1282" s="10" t="n">
        <x:f>'Assumptions'!$AE$152*'Assumptions'!$D$11*(1+'Assumptions'!$D$13)^(10-1)</x:f>
        <x:v>313.1455641190188</x:v>
      </x:c>
      <x:c r="V1282" s="10" t="n">
        <x:f>0</x:f>
        <x:v>0</x:v>
      </x:c>
      <x:c r="W1282" s="10" t="n">
        <x:f>H1282*('Assumptions'!$P$152+'Assumptions'!$Y$152)</x:f>
        <x:v>72.28890613799459</x:v>
      </x:c>
      <x:c r="X1282" s="10" t="n">
        <x:f>N1282/12*'Assumptions'!$AF$152</x:f>
        <x:v>0</x:v>
      </x:c>
      <x:c r="Y1282" s="10" t="n">
        <x:f>P1282/12</x:f>
        <x:v>0</x:v>
      </x:c>
      <x:c r="Z1282" s="10" t="n">
        <x:f>0</x:f>
        <x:v>0</x:v>
      </x:c>
      <x:c r="AA1282" s="10" t="n">
        <x:f>Z1282*'Assumptions'!$AC$152*'Assumptions'!$D$11*(1+'Assumptions'!$D$13)^(10-1)</x:f>
        <x:v>0</x:v>
      </x:c>
      <x:c r="AB1282" s="10" t="n">
        <x:f>F1282/12</x:f>
        <x:v>15.206832010602481</x:v>
      </x:c>
      <x:c r="AC1282" s="10" t="n">
        <x:f>AB1282/'Assumptions'!$AM$152</x:f>
        <x:v>304.1366402120496</x:v>
      </x:c>
      <x:c r="AD1282" s="10" t="n">
        <x:f>IF(AB1282=0,0,T1282/AB1282)</x:f>
        <x:v>26.635014186770558</x:v>
      </x:c>
      <x:c r="AE1282" s="10" t="n">
        <x:f>AA1282*'Assumptions'!$D$21</x:f>
        <x:v>0</x:v>
      </x:c>
    </x:row>
    <x:row r="1283" ht="16" customHeight="1">
      <x:c r="A1283" s="1"/>
      <x:c r="B1283" s="1"/>
      <x:c r="C1283" s="1" t="str">
        <x:v>DOT-124</x:v>
      </x:c>
      <x:c r="D1283" s="10" t="str">
        <x:v>Functional Analysis</x:v>
      </x:c>
      <x:c r="E1283" s="10" t="n">
        <x:v>10</x:v>
      </x:c>
      <x:c r="F1283" s="21" t="n">
        <x:f>F1155*(1+'Assumptions'!$M$153)</x:f>
        <x:v>364.96396825445953</x:v>
      </x:c>
      <x:c r="G1283" s="21" t="n">
        <x:f>H1155*'Assumptions'!$K$153</x:f>
        <x:v>116.96207266550434</x:v>
      </x:c>
      <x:c r="H1283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1283+G1283,NA())</x:f>
        <x:v>481.92604091996384</x:v>
      </x:c>
      <x:c r="I1283" s="22" t="n">
        <x:f>'Assumptions'!$H$153*IF('Assumptions'!$O$153=1,1,'Assumptions'!$D$10)*(1+'Assumptions'!$N$153)^(10-1)</x:f>
        <x:v>22.70675880382391</x:v>
      </x:c>
      <x:c r="J1283" s="10" t="n">
        <x:f>H1283*I1283</x:f>
        <x:v>10942.97837245139</x:v>
      </x:c>
      <x:c r="K1283" s="10" t="n">
        <x:f>J1283*'Assumptions'!$T$153</x:f>
        <x:v>10942.97837245139</x:v>
      </x:c>
      <x:c r="L1283" s="10" t="n">
        <x:f>K1283*'Assumptions'!$U$153</x:f>
        <x:v>328.2893511735417</x:v>
      </x:c>
      <x:c r="M1283" s="10" t="n">
        <x:f>K1283*'Assumptions'!$V$153</x:f>
        <x:v>0</x:v>
      </x:c>
      <x:c r="N1283" s="10" t="n">
        <x:f>K1283-L1283-M1283</x:f>
        <x:v>10614.689021277849</x:v>
      </x:c>
      <x:c r="O1283" s="10" t="n">
        <x:f>H1283*'Assumptions'!$P$153*'Assumptions'!$Q$153*'Assumptions'!$D$11*(1+'Assumptions'!$D$13)^(10-1)</x:f>
        <x:v>2200.8146117347746</x:v>
      </x:c>
      <x:c r="P1283" s="10" t="n">
        <x:f>H1283*'Assumptions'!$R$153*'Assumptions'!$D$11*(1+'Assumptions'!$D$13)^(10-1)</x:f>
        <x:v>0</x:v>
      </x:c>
      <x:c r="Q1283" s="10" t="n">
        <x:f>J1283*'Assumptions'!$S$153</x:f>
        <x:v>0</x:v>
      </x:c>
      <x:c r="R1283" s="10" t="n">
        <x:f>H1283*'Assumptions'!$Y$153*'Assumptions'!$Z$153*'Assumptions'!$D$11*(1+'Assumptions'!$D$13)^(10-1)</x:f>
        <x:v>1886.4125243440926</x:v>
      </x:c>
      <x:c r="S1283" s="10" t="n">
        <x:f>IF(I1283=0,0,J1283*'Assumptions'!$W$153+H1283*'Assumptions'!$X$153)</x:f>
        <x:v>461.9241850770795</x:v>
      </x:c>
      <x:c r="T1283" s="10" t="n">
        <x:f>N1283*'Assumptions'!$AA$153</x:f>
        <x:v>530.7344510638925</x:v>
      </x:c>
      <x:c r="U1283" s="10" t="n">
        <x:f>'Assumptions'!$AE$153*'Assumptions'!$D$11*(1+'Assumptions'!$D$13)^(10-1)</x:f>
        <x:v>0</x:v>
      </x:c>
      <x:c r="V1283" s="10" t="n">
        <x:f>0</x:f>
        <x:v>0</x:v>
      </x:c>
      <x:c r="W1283" s="10" t="n">
        <x:f>H1283*('Assumptions'!$P$153+'Assumptions'!$Y$153)</x:f>
        <x:v>96.38520818399277</x:v>
      </x:c>
      <x:c r="X1283" s="10" t="n">
        <x:f>N1283/12*'Assumptions'!$AF$153</x:f>
        <x:v>0</x:v>
      </x:c>
      <x:c r="Y1283" s="10" t="n">
        <x:f>P1283/12</x:f>
        <x:v>0</x:v>
      </x:c>
      <x:c r="Z1283" s="10" t="n">
        <x:f>0</x:f>
        <x:v>0</x:v>
      </x:c>
      <x:c r="AA1283" s="10" t="n">
        <x:f>Z1283*'Assumptions'!$AC$153*'Assumptions'!$D$11*(1+'Assumptions'!$D$13)^(10-1)</x:f>
        <x:v>0</x:v>
      </x:c>
      <x:c r="AB1283" s="10" t="n">
        <x:f>F1283/1</x:f>
        <x:v>364.96396825445953</x:v>
      </x:c>
      <x:c r="AC1283" s="10" t="n">
        <x:f>AB1283/'Assumptions'!$AM$153</x:f>
        <x:v>7299.27936508919</x:v>
      </x:c>
      <x:c r="AD1283" s="10" t="n">
        <x:f>IF(AB1283=0,0,T1283/AB1283)</x:f>
        <x:v>1.4542105446800018</x:v>
      </x:c>
      <x:c r="AE1283" s="10" t="n">
        <x:f>AA1283*'Assumptions'!$D$21</x:f>
        <x:v>0</x:v>
      </x:c>
    </x:row>
    <x:row r="1284" ht="16" customHeight="1">
      <x:c r="A1284" s="1"/>
      <x:c r="B1284" s="1"/>
      <x:c r="C1284" s="1" t="str">
        <x:v>DOT-125</x:v>
      </x:c>
      <x:c r="D1284" s="10" t="str">
        <x:v>Functional Analysis</x:v>
      </x:c>
      <x:c r="E1284" s="10" t="n">
        <x:v>10</x:v>
      </x:c>
      <x:c r="F1284" s="21" t="n">
        <x:f>F1156*(1+'Assumptions'!$M$154)</x:f>
        <x:v>30.551277099287343</x:v>
      </x:c>
      <x:c r="G1284" s="21" t="n">
        <x:f>H1156*'Assumptions'!$K$154</x:f>
        <x:v>28.702019669139005</x:v>
      </x:c>
      <x:c r="H1284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1284+G1284,NA())</x:f>
        <x:v>59.25329676842635</x:v>
      </x:c>
      <x:c r="I1284" s="22" t="n">
        <x:f>'Assumptions'!$H$154*IF('Assumptions'!$O$154=1,1,'Assumptions'!$D$10)*(1+'Assumptions'!$N$154)^(10-1)</x:f>
        <x:v>118.3141642936088</x:v>
      </x:c>
      <x:c r="J1284" s="10" t="n">
        <x:f>H1284*I1284</x:f>
        <x:v>7010.504288797555</x:v>
      </x:c>
      <x:c r="K1284" s="10" t="n">
        <x:f>J1284*'Assumptions'!$T$154</x:f>
        <x:v>7010.504288797555</x:v>
      </x:c>
      <x:c r="L1284" s="10" t="n">
        <x:f>K1284*'Assumptions'!$U$154</x:f>
        <x:v>210.31512866392666</x:v>
      </x:c>
      <x:c r="M1284" s="10" t="n">
        <x:f>K1284*'Assumptions'!$V$154</x:f>
        <x:v>0</x:v>
      </x:c>
      <x:c r="N1284" s="10" t="n">
        <x:f>K1284-L1284-M1284</x:f>
        <x:v>6800.189160133628</x:v>
      </x:c>
      <x:c r="O1284" s="10" t="n">
        <x:f>H1284*'Assumptions'!$P$154*'Assumptions'!$Q$154*'Assumptions'!$D$11*(1+'Assumptions'!$D$13)^(10-1)</x:f>
        <x:v>3092.4845070767506</x:v>
      </x:c>
      <x:c r="P1284" s="10" t="n">
        <x:f>H1284*'Assumptions'!$R$154*'Assumptions'!$D$11*(1+'Assumptions'!$D$13)^(10-1)</x:f>
        <x:v>0</x:v>
      </x:c>
      <x:c r="Q1284" s="10" t="n">
        <x:f>J1284*'Assumptions'!$S$154</x:f>
        <x:v>0</x:v>
      </x:c>
      <x:c r="R1284" s="10" t="n">
        <x:f>H1284*'Assumptions'!$Y$154*'Assumptions'!$Z$154*'Assumptions'!$D$11*(1+'Assumptions'!$D$13)^(10-1)</x:f>
        <x:v>579.8408450768907</x:v>
      </x:c>
      <x:c r="S1284" s="10" t="n">
        <x:f>IF(I1284=0,0,J1284*'Assumptions'!$W$154+H1284*'Assumptions'!$X$154)</x:f>
        <x:v>221.080613405657</x:v>
      </x:c>
      <x:c r="T1284" s="10" t="n">
        <x:f>N1284*'Assumptions'!$AA$154</x:f>
        <x:v>272.00756640534513</x:v>
      </x:c>
      <x:c r="U1284" s="10" t="n">
        <x:f>'Assumptions'!$AE$154*'Assumptions'!$D$11*(1+'Assumptions'!$D$13)^(10-1)</x:f>
        <x:v>0</x:v>
      </x:c>
      <x:c r="V1284" s="10" t="n">
        <x:f>0</x:f>
        <x:v>0</x:v>
      </x:c>
      <x:c r="W1284" s="10" t="n">
        <x:f>H1284*('Assumptions'!$P$154+'Assumptions'!$Y$154)</x:f>
        <x:v>74.06662096053294</x:v>
      </x:c>
      <x:c r="X1284" s="10" t="n">
        <x:f>N1284/12*'Assumptions'!$AF$154</x:f>
        <x:v>566.6824300111357</x:v>
      </x:c>
      <x:c r="Y1284" s="10" t="n">
        <x:f>P1284/12</x:f>
        <x:v>0</x:v>
      </x:c>
      <x:c r="Z1284" s="10" t="n">
        <x:f>0</x:f>
        <x:v>0</x:v>
      </x:c>
      <x:c r="AA1284" s="10" t="n">
        <x:f>Z1284*'Assumptions'!$AC$154*'Assumptions'!$D$11*(1+'Assumptions'!$D$13)^(10-1)</x:f>
        <x:v>0</x:v>
      </x:c>
      <x:c r="AB1284" s="10" t="n">
        <x:f>F1284/1</x:f>
        <x:v>30.551277099287343</x:v>
      </x:c>
      <x:c r="AC1284" s="10" t="n">
        <x:f>AB1284/'Assumptions'!$AM$154</x:f>
        <x:v>152.7563854964367</x:v>
      </x:c>
      <x:c r="AD1284" s="10" t="n">
        <x:f>IF(AB1284=0,0,T1284/AB1284)</x:f>
        <x:v>8.90331247107474</x:v>
      </x:c>
      <x:c r="AE1284" s="10" t="n">
        <x:f>AA1284*'Assumptions'!$D$21</x:f>
        <x:v>0</x:v>
      </x:c>
    </x:row>
    <x:row r="1285" ht="16" customHeight="1">
      <x:c r="A1285" s="1"/>
      <x:c r="B1285" s="1"/>
      <x:c r="C1285" s="1" t="str">
        <x:v>DOT-126</x:v>
      </x:c>
      <x:c r="D1285" s="10" t="str">
        <x:v>Independent candy game</x:v>
      </x:c>
      <x:c r="E1285" s="10" t="n">
        <x:v>10</x:v>
      </x:c>
      <x:c r="F1285" s="21" t="n">
        <x:f>F1157*(1+'Assumptions'!$M$155)</x:f>
        <x:v>912.4099206361489</x:v>
      </x:c>
      <x:c r="G1285" s="21" t="n">
        <x:f>H1157*'Assumptions'!$K$155</x:f>
        <x:v>292.4051816637609</x:v>
      </x:c>
      <x:c r="H1285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1285+G1285,NA())</x:f>
        <x:v>1204.8151022999098</x:v>
      </x:c>
      <x:c r="I1285" s="22" t="n">
        <x:f>'Assumptions'!$H$155*IF('Assumptions'!$O$155=1,1,'Assumptions'!$D$10)*(1+'Assumptions'!$N$155)^(10-1)</x:f>
        <x:v>5.963511917425333</x:v>
      </x:c>
      <x:c r="J1285" s="10" t="n">
        <x:f>H1285*I1285</x:f>
        <x:v>7184.929220859533</x:v>
      </x:c>
      <x:c r="K1285" s="10" t="n">
        <x:f>J1285*'Assumptions'!$T$155</x:f>
        <x:v>7184.929220859533</x:v>
      </x:c>
      <x:c r="L1285" s="10" t="n">
        <x:f>K1285*'Assumptions'!$U$155</x:f>
        <x:v>215.547876625786</x:v>
      </x:c>
      <x:c r="M1285" s="10" t="n">
        <x:f>K1285*'Assumptions'!$V$155</x:f>
        <x:v>0</x:v>
      </x:c>
      <x:c r="N1285" s="10" t="n">
        <x:f>K1285-L1285-M1285</x:f>
        <x:v>6969.381344233748</x:v>
      </x:c>
      <x:c r="O1285" s="10" t="n">
        <x:f>H1285*'Assumptions'!$P$155*'Assumptions'!$Q$155*'Assumptions'!$D$11*(1+'Assumptions'!$D$13)^(10-1)</x:f>
        <x:v>1100.4073058673875</x:v>
      </x:c>
      <x:c r="P1285" s="10" t="n">
        <x:f>H1285*'Assumptions'!$R$155*'Assumptions'!$D$11*(1+'Assumptions'!$D$13)^(10-1)</x:f>
        <x:v>0</x:v>
      </x:c>
      <x:c r="Q1285" s="10" t="n">
        <x:f>J1285*'Assumptions'!$S$155</x:f>
        <x:v>0</x:v>
      </x:c>
      <x:c r="R1285" s="10" t="n">
        <x:f>H1285*'Assumptions'!$Y$155*'Assumptions'!$Z$155*'Assumptions'!$D$11*(1+'Assumptions'!$D$13)^(10-1)</x:f>
        <x:v>4716.031310860232</x:v>
      </x:c>
      <x:c r="S1285" s="10" t="n">
        <x:f>IF(I1285=0,0,J1285*'Assumptions'!$W$155+H1285*'Assumptions'!$X$155)</x:f>
        <x:v>569.8074780948994</x:v>
      </x:c>
      <x:c r="T1285" s="10" t="n">
        <x:f>N1285*'Assumptions'!$AA$155</x:f>
        <x:v>348.4690672116874</x:v>
      </x:c>
      <x:c r="U1285" s="10" t="n">
        <x:f>'Assumptions'!$AE$155*'Assumptions'!$D$11*(1+'Assumptions'!$D$13)^(10-1)</x:f>
        <x:v>0</x:v>
      </x:c>
      <x:c r="V1285" s="10" t="n">
        <x:f>0</x:f>
        <x:v>0</x:v>
      </x:c>
      <x:c r="W1285" s="10" t="n">
        <x:f>H1285*('Assumptions'!$P$155+'Assumptions'!$Y$155)</x:f>
        <x:v>144.57781227598917</x:v>
      </x:c>
      <x:c r="X1285" s="10" t="n">
        <x:f>N1285/12*'Assumptions'!$AF$155</x:f>
        <x:v>0</x:v>
      </x:c>
      <x:c r="Y1285" s="10" t="n">
        <x:f>P1285/12</x:f>
        <x:v>0</x:v>
      </x:c>
      <x:c r="Z1285" s="10" t="n">
        <x:f>0</x:f>
        <x:v>0</x:v>
      </x:c>
      <x:c r="AA1285" s="10" t="n">
        <x:f>Z1285*'Assumptions'!$AC$155*'Assumptions'!$D$11*(1+'Assumptions'!$D$13)^(10-1)</x:f>
        <x:v>0</x:v>
      </x:c>
      <x:c r="AB1285" s="10" t="n">
        <x:f>F1285/1</x:f>
        <x:v>912.4099206361489</x:v>
      </x:c>
      <x:c r="AC1285" s="10" t="n">
        <x:f>AB1285/'Assumptions'!$AM$155</x:f>
        <x:v>18248.198412722977</x:v>
      </x:c>
      <x:c r="AD1285" s="10" t="n">
        <x:f>IF(AB1285=0,0,T1285/AB1285)</x:f>
        <x:v>0.3819216114712216</x:v>
      </x:c>
      <x:c r="AE1285" s="10" t="n">
        <x:f>AA1285*'Assumptions'!$D$21</x:f>
        <x:v>0</x:v>
      </x:c>
    </x:row>
    <x:row r="1286" ht="16" customHeight="1">
      <x:c r="A1286" s="1"/>
      <x:c r="B1286" s="1"/>
      <x:c r="C1286" s="1" t="str">
        <x:v>DOT-127</x:v>
      </x:c>
      <x:c r="D1286" s="10" t="str">
        <x:v>Learn Anglais</x:v>
      </x:c>
      <x:c r="E1286" s="10" t="n">
        <x:v>10</x:v>
      </x:c>
      <x:c r="F1286" s="21" t="n">
        <x:f>F1158*(1+'Assumptions'!$M$156)</x:f>
        <x:v>216.34836484216325</x:v>
      </x:c>
      <x:c r="G1286" s="21" t="n">
        <x:f>H1158*'Assumptions'!$K$156</x:f>
        <x:v>436.6624922135279</x:v>
      </x:c>
      <x:c r="H1286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1286+G1286,NA())</x:f>
        <x:v>653.0108570556912</x:v>
      </x:c>
      <x:c r="I1286" s="22" t="n">
        <x:f>'Assumptions'!$H$156*IF('Assumptions'!$O$156=1,1,'Assumptions'!$D$10)*(1+'Assumptions'!$N$156)^(10-1)</x:f>
        <x:v>28.682221646935467</x:v>
      </x:c>
      <x:c r="J1286" s="10" t="n">
        <x:f>H1286*I1286</x:f>
        <x:v>18729.80213992663</x:v>
      </x:c>
      <x:c r="K1286" s="10" t="n">
        <x:f>J1286*'Assumptions'!$T$156</x:f>
        <x:v>6243.267379975543</x:v>
      </x:c>
      <x:c r="L1286" s="10" t="n">
        <x:f>K1286*'Assumptions'!$U$156</x:f>
        <x:v>187.29802139926628</x:v>
      </x:c>
      <x:c r="M1286" s="10" t="n">
        <x:f>K1286*'Assumptions'!$V$156</x:f>
        <x:v>0</x:v>
      </x:c>
      <x:c r="N1286" s="10" t="n">
        <x:f>K1286-L1286-M1286</x:f>
        <x:v>6055.969358576277</x:v>
      </x:c>
      <x:c r="O1286" s="10" t="n">
        <x:f>H1286*'Assumptions'!$P$156*'Assumptions'!$Q$156*'Assumptions'!$D$11*(1+'Assumptions'!$D$13)^(10-1)</x:f>
        <x:v>2982.1086926246635</x:v>
      </x:c>
      <x:c r="P1286" s="10" t="n">
        <x:f>H1286*'Assumptions'!$R$156*'Assumptions'!$D$11*(1+'Assumptions'!$D$13)^(10-1)</x:f>
        <x:v>0</x:v>
      </x:c>
      <x:c r="Q1286" s="10" t="n">
        <x:f>J1286*'Assumptions'!$S$156</x:f>
        <x:v>0</x:v>
      </x:c>
      <x:c r="R1286" s="10" t="n">
        <x:f>H1286*'Assumptions'!$Y$156*'Assumptions'!$Z$156*'Assumptions'!$D$11*(1+'Assumptions'!$D$13)^(10-1)</x:f>
        <x:v>3834.1397476602815</x:v>
      </x:c>
      <x:c r="S1286" s="10" t="n">
        <x:f>IF(I1286=0,0,J1286*'Assumptions'!$W$156+H1286*'Assumptions'!$X$156)</x:f>
        <x:v>739.0675191745796</x:v>
      </x:c>
      <x:c r="T1286" s="10" t="n">
        <x:f>N1286*'Assumptions'!$AA$156</x:f>
        <x:v>302.79846792881386</x:v>
      </x:c>
      <x:c r="U1286" s="10" t="n">
        <x:f>'Assumptions'!$AE$156*'Assumptions'!$D$11*(1+'Assumptions'!$D$13)^(10-1)</x:f>
        <x:v>0</x:v>
      </x:c>
      <x:c r="V1286" s="10" t="n">
        <x:f>0</x:f>
        <x:v>0</x:v>
      </x:c>
      <x:c r="W1286" s="10" t="n">
        <x:f>H1286*('Assumptions'!$P$156+'Assumptions'!$Y$156)</x:f>
        <x:v>163.2527142639228</x:v>
      </x:c>
      <x:c r="X1286" s="10" t="n">
        <x:f>N1286/12*'Assumptions'!$AF$156</x:f>
        <x:v>0</x:v>
      </x:c>
      <x:c r="Y1286" s="10" t="n">
        <x:f>P1286/12</x:f>
        <x:v>0</x:v>
      </x:c>
      <x:c r="Z1286" s="10" t="n">
        <x:f>0</x:f>
        <x:v>0</x:v>
      </x:c>
      <x:c r="AA1286" s="10" t="n">
        <x:f>Z1286*'Assumptions'!$AC$156*'Assumptions'!$D$11*(1+'Assumptions'!$D$13)^(10-1)</x:f>
        <x:v>0</x:v>
      </x:c>
      <x:c r="AB1286" s="10" t="n">
        <x:f>F1286/1</x:f>
        <x:v>216.34836484216325</x:v>
      </x:c>
      <x:c r="AC1286" s="10" t="n">
        <x:f>AB1286/'Assumptions'!$AM$156</x:f>
        <x:v>4326.967296843265</x:v>
      </x:c>
      <x:c r="AD1286" s="10" t="n">
        <x:f>IF(AB1286=0,0,T1286/AB1286)</x:f>
        <x:v>1.3995875039301555</x:v>
      </x:c>
      <x:c r="AE1286" s="10" t="n">
        <x:f>AA1286*'Assumptions'!$D$21</x:f>
        <x:v>0</x:v>
      </x:c>
    </x:row>
    <x:row r="1287" ht="16" customHeight="1">
      <x:c r="A1287" s="1"/>
      <x:c r="B1287" s="1"/>
      <x:c r="C1287" s="1" t="str">
        <x:v>DOT-128</x:v>
      </x:c>
      <x:c r="D1287" s="10" t="str">
        <x:v>Learn Anglais</x:v>
      </x:c>
      <x:c r="E1287" s="10" t="n">
        <x:v>10</x:v>
      </x:c>
      <x:c r="F1287" s="21" t="n">
        <x:f>F1159*(1+'Assumptions'!$M$157)</x:f>
        <x:v>86.5393459368653</x:v>
      </x:c>
      <x:c r="G1287" s="21" t="n">
        <x:f>H1159*'Assumptions'!$K$157</x:f>
        <x:v>174.6649968854112</x:v>
      </x:c>
      <x:c r="H1287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1287+G1287,NA())</x:f>
        <x:v>261.2043428222765</x:v>
      </x:c>
      <x:c r="I1287" s="22" t="n">
        <x:f>'Assumptions'!$H$157*IF('Assumptions'!$O$157=1,1,'Assumptions'!$D$10)*(1+'Assumptions'!$N$157)^(10-1)</x:f>
        <x:v>197.19027382268132</x:v>
      </x:c>
      <x:c r="J1287" s="10" t="n">
        <x:f>H1287*I1287</x:f>
        <x:v>51506.955884798226</x:v>
      </x:c>
      <x:c r="K1287" s="10" t="n">
        <x:f>J1287*'Assumptions'!$T$157</x:f>
        <x:v>15452.086765439468</x:v>
      </x:c>
      <x:c r="L1287" s="10" t="n">
        <x:f>K1287*'Assumptions'!$U$157</x:f>
        <x:v>463.562602963184</x:v>
      </x:c>
      <x:c r="M1287" s="10" t="n">
        <x:f>K1287*'Assumptions'!$V$157</x:f>
        <x:v>0</x:v>
      </x:c>
      <x:c r="N1287" s="10" t="n">
        <x:f>K1287-L1287-M1287</x:f>
        <x:v>14988.524162476284</x:v>
      </x:c>
      <x:c r="O1287" s="10" t="n">
        <x:f>H1287*'Assumptions'!$P$157*'Assumptions'!$Q$157*'Assumptions'!$D$11*(1+'Assumptions'!$D$13)^(10-1)</x:f>
        <x:v>1192.8434770498654</x:v>
      </x:c>
      <x:c r="P1287" s="10" t="n">
        <x:f>H1287*'Assumptions'!$R$157*'Assumptions'!$D$11*(1+'Assumptions'!$D$13)^(10-1)</x:f>
        <x:v>0</x:v>
      </x:c>
      <x:c r="Q1287" s="10" t="n">
        <x:f>J1287*'Assumptions'!$S$157</x:f>
        <x:v>0</x:v>
      </x:c>
      <x:c r="R1287" s="10" t="n">
        <x:f>H1287*'Assumptions'!$Y$157*'Assumptions'!$Z$157*'Assumptions'!$D$11*(1+'Assumptions'!$D$13)^(10-1)</x:f>
        <x:v>1533.6558990641126</x:v>
      </x:c>
      <x:c r="S1287" s="10" t="n">
        <x:f>IF(I1287=0,0,J1287*'Assumptions'!$W$157+H1287*'Assumptions'!$X$157)</x:f>
        <x:v>1572.0630235058316</x:v>
      </x:c>
      <x:c r="T1287" s="10" t="n">
        <x:f>N1287*'Assumptions'!$AA$157</x:f>
        <x:v>749.4262081238143</x:v>
      </x:c>
      <x:c r="U1287" s="10" t="n">
        <x:f>'Assumptions'!$AE$157*'Assumptions'!$D$11*(1+'Assumptions'!$D$13)^(10-1)</x:f>
        <x:v>0</x:v>
      </x:c>
      <x:c r="V1287" s="10" t="n">
        <x:f>0</x:f>
        <x:v>0</x:v>
      </x:c>
      <x:c r="W1287" s="10" t="n">
        <x:f>H1287*('Assumptions'!$P$157+'Assumptions'!$Y$157)</x:f>
        <x:v>65.30108570556912</x:v>
      </x:c>
      <x:c r="X1287" s="10" t="n">
        <x:f>N1287/12*'Assumptions'!$AF$157</x:f>
        <x:v>0</x:v>
      </x:c>
      <x:c r="Y1287" s="10" t="n">
        <x:f>P1287/12</x:f>
        <x:v>0</x:v>
      </x:c>
      <x:c r="Z1287" s="10" t="n">
        <x:f>0</x:f>
        <x:v>0</x:v>
      </x:c>
      <x:c r="AA1287" s="10" t="n">
        <x:f>Z1287*'Assumptions'!$AC$157*'Assumptions'!$D$11*(1+'Assumptions'!$D$13)^(10-1)</x:f>
        <x:v>0</x:v>
      </x:c>
      <x:c r="AB1287" s="10" t="n">
        <x:f>F1287/1</x:f>
        <x:v>86.5393459368653</x:v>
      </x:c>
      <x:c r="AC1287" s="10" t="n">
        <x:f>AB1287/'Assumptions'!$AM$157</x:f>
        <x:v>1730.786918737306</x:v>
      </x:c>
      <x:c r="AD1287" s="10" t="n">
        <x:f>IF(AB1287=0,0,T1287/AB1287)</x:f>
        <x:v>8.659947680567836</x:v>
      </x:c>
      <x:c r="AE1287" s="10" t="n">
        <x:f>AA1287*'Assumptions'!$D$21</x:f>
        <x:v>0</x:v>
      </x:c>
    </x:row>
    <x:row r="1288" ht="16" customHeight="1">
      <x:c r="A1288" s="1"/>
      <x:c r="B1288" s="1"/>
      <x:c r="C1288" s="1" t="str">
        <x:v>DOT-001</x:v>
      </x:c>
      <x:c r="D1288" s="10" t="str">
        <x:v>ETV courses</x:v>
      </x:c>
      <x:c r="E1288" s="10" t="n">
        <x:v>11</x:v>
      </x:c>
      <x:c r="F1288" s="21" t="n">
        <x:f>F1160*(1+'Assumptions'!$M$30)</x:f>
        <x:v>375.91288730209334</x:v>
      </x:c>
      <x:c r="G1288" s="21" t="n">
        <x:f>H1160*'Assumptions'!$K$30</x:f>
        <x:v>120.48162467090893</x:v>
      </x:c>
      <x:c r="H1288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1288+G1288,NA())</x:f>
        <x:v>496.3945119730023</x:v>
      </x:c>
      <x:c r="I1288" s="22" t="n">
        <x:f>'Assumptions'!$H$30*IF('Assumptions'!$O$30=1,1,'Assumptions'!$D$10)*(1+'Assumptions'!$N$30)^(11-1)</x:f>
        <x:v>29</x:v>
      </x:c>
      <x:c r="J1288" s="10" t="n">
        <x:f>H1288*I1288</x:f>
        <x:v>14395.440847217067</x:v>
      </x:c>
      <x:c r="K1288" s="10" t="n">
        <x:f>J1288*'Assumptions'!$T$30</x:f>
        <x:v>14395.440847217067</x:v>
      </x:c>
      <x:c r="L1288" s="10" t="n">
        <x:f>K1288*'Assumptions'!$U$30</x:f>
        <x:v>431.863225416512</x:v>
      </x:c>
      <x:c r="M1288" s="10" t="n">
        <x:f>K1288*'Assumptions'!$V$30</x:f>
        <x:v>0</x:v>
      </x:c>
      <x:c r="N1288" s="10" t="n">
        <x:f>K1288-L1288-M1288</x:f>
        <x:v>13963.577621800556</x:v>
      </x:c>
      <x:c r="O1288" s="10" t="n">
        <x:f>H1288*'Assumptions'!$P$30*'Assumptions'!$Q$30*'Assumptions'!$D$11*(1+'Assumptions'!$D$13)^(11-1)</x:f>
        <x:v>3502.3417550995114</x:v>
      </x:c>
      <x:c r="P1288" s="10" t="n">
        <x:f>H1288*'Assumptions'!$R$30*'Assumptions'!$D$11*(1+'Assumptions'!$D$13)^(11-1)</x:f>
        <x:v>0</x:v>
      </x:c>
      <x:c r="Q1288" s="10" t="n">
        <x:f>J1288*'Assumptions'!$S$30</x:f>
        <x:v>0</x:v>
      </x:c>
      <x:c r="R1288" s="10" t="n">
        <x:f>H1288*'Assumptions'!$Y$30*'Assumptions'!$Z$30*'Assumptions'!$D$11*(1+'Assumptions'!$D$13)^(11-1)</x:f>
        <x:v>2001.3381457711496</x:v>
      </x:c>
      <x:c r="S1288" s="10" t="n">
        <x:f>IF(I1288=0,0,J1288*'Assumptions'!$W$30+H1288*'Assumptions'!$X$30)</x:f>
        <x:v>566.3861381611956</x:v>
      </x:c>
      <x:c r="T1288" s="10" t="n">
        <x:f>N1288*'Assumptions'!$AA$30</x:f>
        <x:v>698.1788810900279</x:v>
      </x:c>
      <x:c r="U1288" s="10" t="n">
        <x:f>'Assumptions'!$AE$30*'Assumptions'!$D$11*(1+'Assumptions'!$D$13)^(11-1)</x:f>
        <x:v>0</x:v>
      </x:c>
      <x:c r="V1288" s="10" t="n">
        <x:f>0</x:f>
        <x:v>0</x:v>
      </x:c>
      <x:c r="W1288" s="10" t="n">
        <x:f>H1288*('Assumptions'!$P$30+'Assumptions'!$Y$30)</x:f>
        <x:v>124.09862799325057</x:v>
      </x:c>
      <x:c r="X1288" s="10" t="n">
        <x:f>N1288/12*'Assumptions'!$AF$30</x:f>
        <x:v>0</x:v>
      </x:c>
      <x:c r="Y1288" s="10" t="n">
        <x:f>P1288/12</x:f>
        <x:v>0</x:v>
      </x:c>
      <x:c r="Z1288" s="10" t="n">
        <x:f>0</x:f>
        <x:v>0</x:v>
      </x:c>
      <x:c r="AA1288" s="10" t="n">
        <x:f>Z1288*'Assumptions'!$AC$30*'Assumptions'!$D$11*(1+'Assumptions'!$D$13)^(11-1)</x:f>
        <x:v>0</x:v>
      </x:c>
      <x:c r="AB1288" s="10" t="n">
        <x:f>F1288/1</x:f>
        <x:v>375.91288730209334</x:v>
      </x:c>
      <x:c r="AC1288" s="10" t="n">
        <x:f>AB1288/'Assumptions'!$AM$30</x:f>
        <x:v>7518.257746041866</x:v>
      </x:c>
      <x:c r="AD1288" s="10" t="n">
        <x:f>IF(AB1288=0,0,T1288/AB1288)</x:f>
        <x:v>1.8572890280533352</x:v>
      </x:c>
      <x:c r="AE1288" s="10" t="n">
        <x:f>AA1288*'Assumptions'!$D$21</x:f>
        <x:v>0</x:v>
      </x:c>
    </x:row>
    <x:row r="1289" ht="16" customHeight="1">
      <x:c r="A1289" s="1"/>
      <x:c r="B1289" s="1"/>
      <x:c r="C1289" s="1" t="str">
        <x:v>DOT-002</x:v>
      </x:c>
      <x:c r="D1289" s="10" t="str">
        <x:v>ETV courses</x:v>
      </x:c>
      <x:c r="E1289" s="10" t="n">
        <x:v>11</x:v>
      </x:c>
      <x:c r="F1289" s="21" t="n">
        <x:f>F1161*(1+'Assumptions'!$M$31)</x:f>
        <x:v>595.1954048949812</x:v>
      </x:c>
      <x:c r="G1289" s="21" t="n">
        <x:f>H1161*'Assumptions'!$K$31</x:f>
        <x:v>190.76257239560584</x:v>
      </x:c>
      <x:c r="H1289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1289+G1289,NA())</x:f>
        <x:v>785.957977290587</x:v>
      </x:c>
      <x:c r="I1289" s="22" t="n">
        <x:f>'Assumptions'!$H$31*IF('Assumptions'!$O$31=1,1,'Assumptions'!$D$10)*(1+'Assumptions'!$N$31)^(11-1)</x:f>
        <x:v>47.54078237979554</x:v>
      </x:c>
      <x:c r="J1289" s="10" t="n">
        <x:f>H1289*I1289</x:f>
        <x:v>37365.05715803608</x:v>
      </x:c>
      <x:c r="K1289" s="10" t="n">
        <x:f>J1289*'Assumptions'!$T$31</x:f>
        <x:v>37365.05715803608</x:v>
      </x:c>
      <x:c r="L1289" s="10" t="n">
        <x:f>K1289*'Assumptions'!$U$31</x:f>
        <x:v>1120.9517147410822</x:v>
      </x:c>
      <x:c r="M1289" s="10" t="n">
        <x:f>K1289*'Assumptions'!$V$31</x:f>
        <x:v>0</x:v>
      </x:c>
      <x:c r="N1289" s="10" t="n">
        <x:f>K1289-L1289-M1289</x:f>
        <x:v>36244.105443295</x:v>
      </x:c>
      <x:c r="O1289" s="10" t="n">
        <x:f>H1289*'Assumptions'!$P$31*'Assumptions'!$Q$31*'Assumptions'!$D$11*(1+'Assumptions'!$D$13)^(11-1)</x:f>
        <x:v>5545.374445574226</x:v>
      </x:c>
      <x:c r="P1289" s="10" t="n">
        <x:f>H1289*'Assumptions'!$R$31*'Assumptions'!$D$11*(1+'Assumptions'!$D$13)^(11-1)</x:f>
        <x:v>0</x:v>
      </x:c>
      <x:c r="Q1289" s="10" t="n">
        <x:f>J1289*'Assumptions'!$S$31</x:f>
        <x:v>0</x:v>
      </x:c>
      <x:c r="R1289" s="10" t="n">
        <x:f>H1289*'Assumptions'!$Y$31*'Assumptions'!$Z$31*'Assumptions'!$D$11*(1+'Assumptions'!$D$13)^(11-1)</x:f>
        <x:v>3168.785397470987</x:v>
      </x:c>
      <x:c r="S1289" s="10" t="n">
        <x:f>IF(I1289=0,0,J1289*'Assumptions'!$W$31+H1289*'Assumptions'!$X$31)</x:f>
        <x:v>1319.3740507702223</x:v>
      </x:c>
      <x:c r="T1289" s="10" t="n">
        <x:f>N1289*'Assumptions'!$AA$31</x:f>
        <x:v>1812.2052721647499</x:v>
      </x:c>
      <x:c r="U1289" s="10" t="n">
        <x:f>'Assumptions'!$AE$31*'Assumptions'!$D$11*(1+'Assumptions'!$D$13)^(11-1)</x:f>
        <x:v>0</x:v>
      </x:c>
      <x:c r="V1289" s="10" t="n">
        <x:f>0</x:f>
        <x:v>0</x:v>
      </x:c>
      <x:c r="W1289" s="10" t="n">
        <x:f>H1289*('Assumptions'!$P$31+'Assumptions'!$Y$31)</x:f>
        <x:v>196.48949432264675</x:v>
      </x:c>
      <x:c r="X1289" s="10" t="n">
        <x:f>N1289/12*'Assumptions'!$AF$31</x:f>
        <x:v>0</x:v>
      </x:c>
      <x:c r="Y1289" s="10" t="n">
        <x:f>P1289/12</x:f>
        <x:v>0</x:v>
      </x:c>
      <x:c r="Z1289" s="10" t="n">
        <x:f>0</x:f>
        <x:v>0</x:v>
      </x:c>
      <x:c r="AA1289" s="10" t="n">
        <x:f>Z1289*'Assumptions'!$AC$31*'Assumptions'!$D$11*(1+'Assumptions'!$D$13)^(11-1)</x:f>
        <x:v>0</x:v>
      </x:c>
      <x:c r="AB1289" s="10" t="n">
        <x:f>F1289/1</x:f>
        <x:v>595.1954048949812</x:v>
      </x:c>
      <x:c r="AC1289" s="10" t="n">
        <x:f>AB1289/'Assumptions'!$AM$31</x:f>
        <x:v>11903.908097899623</x:v>
      </x:c>
      <x:c r="AD1289" s="10" t="n">
        <x:f>IF(AB1289=0,0,T1289/AB1289)</x:f>
        <x:v>3.044723224105709</x:v>
      </x:c>
      <x:c r="AE1289" s="10" t="n">
        <x:f>AA1289*'Assumptions'!$D$21</x:f>
        <x:v>0</x:v>
      </x:c>
    </x:row>
    <x:row r="1290" ht="16" customHeight="1">
      <x:c r="A1290" s="1"/>
      <x:c r="B1290" s="1"/>
      <x:c r="C1290" s="1" t="str">
        <x:v>DOT-003</x:v>
      </x:c>
      <x:c r="D1290" s="10" t="str">
        <x:v>ETV services</x:v>
      </x:c>
      <x:c r="E1290" s="10" t="n">
        <x:v>11</x:v>
      </x:c>
      <x:c r="F1290" s="21" t="n">
        <x:f>F1162*(1+'Assumptions'!$M$32)</x:f>
        <x:v>10.489271804088657</x:v>
      </x:c>
      <x:c r="G1290" s="21" t="n">
        <x:f>H1162*'Assumptions'!$K$32</x:f>
        <x:v>9.881408836404393</x:v>
      </x:c>
      <x:c r="H1290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1290+G1290,NA())</x:f>
        <x:v>20.37068064049305</x:v>
      </x:c>
      <x:c r="I1290" s="22" t="n">
        <x:f>'Assumptions'!$H$32*IF('Assumptions'!$O$32=1,1,'Assumptions'!$D$10)*(1+'Assumptions'!$N$32)^(11-1)</x:f>
        <x:v>2133.2402349908252</x:v>
      </x:c>
      <x:c r="J1290" s="10" t="n">
        <x:f>H1290*I1290</x:f>
        <x:v>43455.555556448446</x:v>
      </x:c>
      <x:c r="K1290" s="10" t="n">
        <x:f>J1290*'Assumptions'!$T$32</x:f>
        <x:v>43455.555556448446</x:v>
      </x:c>
      <x:c r="L1290" s="10" t="n">
        <x:f>K1290*'Assumptions'!$U$32</x:f>
        <x:v>1303.6666666934534</x:v>
      </x:c>
      <x:c r="M1290" s="10" t="n">
        <x:f>K1290*'Assumptions'!$V$32</x:f>
        <x:v>0</x:v>
      </x:c>
      <x:c r="N1290" s="10" t="n">
        <x:f>K1290-L1290-M1290</x:f>
        <x:v>42151.88888975499</x:v>
      </x:c>
      <x:c r="O1290" s="10" t="n">
        <x:f>H1290*'Assumptions'!$P$32*'Assumptions'!$Q$32*'Assumptions'!$D$11*(1+'Assumptions'!$D$13)^(11-1)</x:f>
        <x:v>24638.84223403214</x:v>
      </x:c>
      <x:c r="P1290" s="10" t="n">
        <x:f>H1290*'Assumptions'!$R$32*'Assumptions'!$D$11*(1+'Assumptions'!$D$13)^(11-1)</x:f>
        <x:v>684.4122842786705</x:v>
      </x:c>
      <x:c r="Q1290" s="10" t="n">
        <x:f>J1290*'Assumptions'!$S$32</x:f>
        <x:v>0</x:v>
      </x:c>
      <x:c r="R1290" s="10" t="n">
        <x:f>H1290*'Assumptions'!$Y$32*'Assumptions'!$Z$32*'Assumptions'!$D$11*(1+'Assumptions'!$D$13)^(11-1)</x:f>
        <x:v>205.32368528360118</x:v>
      </x:c>
      <x:c r="S1290" s="10" t="n">
        <x:f>IF(I1290=0,0,J1290*'Assumptions'!$W$32+H1290*'Assumptions'!$X$32)</x:f>
        <x:v>1266.3223153291528</x:v>
      </x:c>
      <x:c r="T1290" s="10" t="n">
        <x:f>N1290*'Assumptions'!$AA$32</x:f>
        <x:v>1686.0755555901997</x:v>
      </x:c>
      <x:c r="U1290" s="10" t="n">
        <x:f>'Assumptions'!$AE$32*'Assumptions'!$D$11*(1+'Assumptions'!$D$13)^(11-1)</x:f>
        <x:v>0</x:v>
      </x:c>
      <x:c r="V1290" s="10" t="n">
        <x:f>0</x:f>
        <x:v>0</x:v>
      </x:c>
      <x:c r="W1290" s="10" t="n">
        <x:f>H1290*('Assumptions'!$P$32+'Assumptions'!$Y$32)</x:f>
        <x:v>412.5062829699842</x:v>
      </x:c>
      <x:c r="X1290" s="10" t="n">
        <x:f>N1290/12*'Assumptions'!$AF$32</x:f>
        <x:v>3512.6574074795826</x:v>
      </x:c>
      <x:c r="Y1290" s="10" t="n">
        <x:f>P1290/12</x:f>
        <x:v>57.03435702322255</x:v>
      </x:c>
      <x:c r="Z1290" s="10" t="n">
        <x:f>0</x:f>
        <x:v>0</x:v>
      </x:c>
      <x:c r="AA1290" s="10" t="n">
        <x:f>Z1290*'Assumptions'!$AC$32*'Assumptions'!$D$11*(1+'Assumptions'!$D$13)^(11-1)</x:f>
        <x:v>0</x:v>
      </x:c>
      <x:c r="AB1290" s="10" t="n">
        <x:f>F1290/1</x:f>
        <x:v>10.489271804088657</x:v>
      </x:c>
      <x:c r="AC1290" s="10" t="n">
        <x:f>AB1290/'Assumptions'!$AM$32</x:f>
        <x:v>52.44635902044328</x:v>
      </x:c>
      <x:c r="AD1290" s="10" t="n">
        <x:f>IF(AB1290=0,0,T1290/AB1290)</x:f>
        <x:v>160.74286061812003</x:v>
      </x:c>
      <x:c r="AE1290" s="10" t="n">
        <x:f>AA1290*'Assumptions'!$D$21</x:f>
        <x:v>0</x:v>
      </x:c>
    </x:row>
    <x:row r="1291" ht="16" customHeight="1">
      <x:c r="A1291" s="1"/>
      <x:c r="B1291" s="1"/>
      <x:c r="C1291" s="1" t="str">
        <x:v>DOT-004</x:v>
      </x:c>
      <x:c r="D1291" s="10" t="str">
        <x:v>ETV services</x:v>
      </x:c>
      <x:c r="E1291" s="10" t="n">
        <x:v>11</x:v>
      </x:c>
      <x:c r="F1291" s="21" t="n">
        <x:f>F1163*(1+'Assumptions'!$M$33)</x:f>
        <x:v>6.99284786939244</x:v>
      </x:c>
      <x:c r="G1291" s="21" t="n">
        <x:f>H1163*'Assumptions'!$K$33</x:f>
        <x:v>6.587605890936263</x:v>
      </x:c>
      <x:c r="H1291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1291+G1291,NA())</x:f>
        <x:v>13.580453760328703</x:v>
      </x:c>
      <x:c r="I1291" s="22" t="n">
        <x:f>'Assumptions'!$H$33*IF('Assumptions'!$O$33=1,1,'Assumptions'!$D$10)*(1+'Assumptions'!$N$33)^(11-1)</x:f>
        <x:v>3047.4860499868932</x:v>
      </x:c>
      <x:c r="J1291" s="10" t="n">
        <x:f>H1291*I1291</x:f>
        <x:v>41386.243387093775</x:v>
      </x:c>
      <x:c r="K1291" s="10" t="n">
        <x:f>J1291*'Assumptions'!$T$33</x:f>
        <x:v>41386.243387093775</x:v>
      </x:c>
      <x:c r="L1291" s="10" t="n">
        <x:f>K1291*'Assumptions'!$U$33</x:f>
        <x:v>1241.5873016128132</x:v>
      </x:c>
      <x:c r="M1291" s="10" t="n">
        <x:f>K1291*'Assumptions'!$V$33</x:f>
        <x:v>0</x:v>
      </x:c>
      <x:c r="N1291" s="10" t="n">
        <x:f>K1291-L1291-M1291</x:f>
        <x:v>40144.656085480965</x:v>
      </x:c>
      <x:c r="O1291" s="10" t="n">
        <x:f>H1291*'Assumptions'!$P$33*'Assumptions'!$Q$33*'Assumptions'!$D$11*(1+'Assumptions'!$D$13)^(11-1)</x:f>
        <x:v>24638.84223403215</x:v>
      </x:c>
      <x:c r="P1291" s="10" t="n">
        <x:f>H1291*'Assumptions'!$R$33*'Assumptions'!$D$11*(1+'Assumptions'!$D$13)^(11-1)</x:f>
        <x:v>456.2748561857805</x:v>
      </x:c>
      <x:c r="Q1291" s="10" t="n">
        <x:f>J1291*'Assumptions'!$S$33</x:f>
        <x:v>0</x:v>
      </x:c>
      <x:c r="R1291" s="10" t="n">
        <x:f>H1291*'Assumptions'!$Y$33*'Assumptions'!$Z$33*'Assumptions'!$D$11*(1+'Assumptions'!$D$13)^(11-1)</x:f>
        <x:v>136.88245685573415</x:v>
      </x:c>
      <x:c r="S1291" s="10" t="n">
        <x:f>IF(I1291=0,0,J1291*'Assumptions'!$W$33+H1291*'Assumptions'!$X$33)</x:f>
        <x:v>1204.2751943538183</x:v>
      </x:c>
      <x:c r="T1291" s="10" t="n">
        <x:f>N1291*'Assumptions'!$AA$33</x:f>
        <x:v>1605.7862434192386</x:v>
      </x:c>
      <x:c r="U1291" s="10" t="n">
        <x:f>'Assumptions'!$AE$33*'Assumptions'!$D$11*(1+'Assumptions'!$D$13)^(11-1)</x:f>
        <x:v>0</x:v>
      </x:c>
      <x:c r="V1291" s="10" t="n">
        <x:f>0</x:f>
        <x:v>0</x:v>
      </x:c>
      <x:c r="W1291" s="10" t="n">
        <x:f>H1291*('Assumptions'!$P$33+'Assumptions'!$Y$33)</x:f>
        <x:v>410.8087262499433</x:v>
      </x:c>
      <x:c r="X1291" s="10" t="n">
        <x:f>N1291/12*'Assumptions'!$AF$33</x:f>
        <x:v>3345.388007123414</x:v>
      </x:c>
      <x:c r="Y1291" s="10" t="n">
        <x:f>P1291/12</x:f>
        <x:v>38.02290468214837</x:v>
      </x:c>
      <x:c r="Z1291" s="10" t="n">
        <x:f>0</x:f>
        <x:v>0</x:v>
      </x:c>
      <x:c r="AA1291" s="10" t="n">
        <x:f>Z1291*'Assumptions'!$AC$33*'Assumptions'!$D$11*(1+'Assumptions'!$D$13)^(11-1)</x:f>
        <x:v>0</x:v>
      </x:c>
      <x:c r="AB1291" s="10" t="n">
        <x:f>F1291/1</x:f>
        <x:v>6.99284786939244</x:v>
      </x:c>
      <x:c r="AC1291" s="10" t="n">
        <x:f>AB1291/'Assumptions'!$AM$33</x:f>
        <x:v>34.964239346962195</x:v>
      </x:c>
      <x:c r="AD1291" s="10" t="n">
        <x:f>IF(AB1291=0,0,T1291/AB1291)</x:f>
        <x:v>229.63265802588586</x:v>
      </x:c>
      <x:c r="AE1291" s="10" t="n">
        <x:f>AA1291*'Assumptions'!$D$21</x:f>
        <x:v>0</x:v>
      </x:c>
    </x:row>
    <x:row r="1292" ht="16" customHeight="1">
      <x:c r="A1292" s="1"/>
      <x:c r="B1292" s="1"/>
      <x:c r="C1292" s="1" t="str">
        <x:v>DOT-005</x:v>
      </x:c>
      <x:c r="D1292" s="10" t="str">
        <x:v>ETV services</x:v>
      </x:c>
      <x:c r="E1292" s="10" t="n">
        <x:v>11</x:v>
      </x:c>
      <x:c r="F1292" s="21" t="n">
        <x:f>F1164*(1+'Assumptions'!$M$34)</x:f>
        <x:v>6.99284786939244</x:v>
      </x:c>
      <x:c r="G1292" s="21" t="n">
        <x:f>H1164*'Assumptions'!$K$34</x:f>
        <x:v>6.587605890936263</x:v>
      </x:c>
      <x:c r="H1292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1292+G1292,NA())</x:f>
        <x:v>13.580453760328703</x:v>
      </x:c>
      <x:c r="I1292" s="22" t="n">
        <x:f>'Assumptions'!$H$34*IF('Assumptions'!$O$34=1,1,'Assumptions'!$D$10)*(1+'Assumptions'!$N$34)^(11-1)</x:f>
        <x:v>1828.491629992136</x:v>
      </x:c>
      <x:c r="J1292" s="10" t="n">
        <x:f>H1292*I1292</x:f>
        <x:v>24831.746032256266</x:v>
      </x:c>
      <x:c r="K1292" s="10" t="n">
        <x:f>J1292*'Assumptions'!$T$34</x:f>
        <x:v>24831.746032256266</x:v>
      </x:c>
      <x:c r="L1292" s="10" t="n">
        <x:f>K1292*'Assumptions'!$U$34</x:f>
        <x:v>744.952380967688</x:v>
      </x:c>
      <x:c r="M1292" s="10" t="n">
        <x:f>K1292*'Assumptions'!$V$34</x:f>
        <x:v>0</x:v>
      </x:c>
      <x:c r="N1292" s="10" t="n">
        <x:f>K1292-L1292-M1292</x:f>
        <x:v>24086.79365128858</x:v>
      </x:c>
      <x:c r="O1292" s="10" t="n">
        <x:f>H1292*'Assumptions'!$P$34*'Assumptions'!$Q$34*'Assumptions'!$D$11*(1+'Assumptions'!$D$13)^(11-1)</x:f>
        <x:v>14783.305340419289</x:v>
      </x:c>
      <x:c r="P1292" s="10" t="n">
        <x:f>H1292*'Assumptions'!$R$34*'Assumptions'!$D$11*(1+'Assumptions'!$D$13)^(11-1)</x:f>
        <x:v>456.2748561857805</x:v>
      </x:c>
      <x:c r="Q1292" s="10" t="n">
        <x:f>J1292*'Assumptions'!$S$34</x:f>
        <x:v>0</x:v>
      </x:c>
      <x:c r="R1292" s="10" t="n">
        <x:f>H1292*'Assumptions'!$Y$34*'Assumptions'!$Z$34*'Assumptions'!$D$11*(1+'Assumptions'!$D$13)^(11-1)</x:f>
        <x:v>136.88245685573415</x:v>
      </x:c>
      <x:c r="S1292" s="10" t="n">
        <x:f>IF(I1292=0,0,J1292*'Assumptions'!$W$34+H1292*'Assumptions'!$X$34)</x:f>
        <x:v>724.1947710635304</x:v>
      </x:c>
      <x:c r="T1292" s="10" t="n">
        <x:f>N1292*'Assumptions'!$AA$34</x:f>
        <x:v>963.4717460515432</x:v>
      </x:c>
      <x:c r="U1292" s="10" t="n">
        <x:f>'Assumptions'!$AE$34*'Assumptions'!$D$11*(1+'Assumptions'!$D$13)^(11-1)</x:f>
        <x:v>0</x:v>
      </x:c>
      <x:c r="V1292" s="10" t="n">
        <x:f>0</x:f>
        <x:v>0</x:v>
      </x:c>
      <x:c r="W1292" s="10" t="n">
        <x:f>H1292*('Assumptions'!$P$34+'Assumptions'!$Y$34)</x:f>
        <x:v>247.84328112599883</x:v>
      </x:c>
      <x:c r="X1292" s="10" t="n">
        <x:f>N1292/12*'Assumptions'!$AF$34</x:f>
        <x:v>2007.2328042740482</x:v>
      </x:c>
      <x:c r="Y1292" s="10" t="n">
        <x:f>P1292/12</x:f>
        <x:v>38.02290468214837</x:v>
      </x:c>
      <x:c r="Z1292" s="10" t="n">
        <x:f>0</x:f>
        <x:v>0</x:v>
      </x:c>
      <x:c r="AA1292" s="10" t="n">
        <x:f>Z1292*'Assumptions'!$AC$34*'Assumptions'!$D$11*(1+'Assumptions'!$D$13)^(11-1)</x:f>
        <x:v>0</x:v>
      </x:c>
      <x:c r="AB1292" s="10" t="n">
        <x:f>F1292/1</x:f>
        <x:v>6.99284786939244</x:v>
      </x:c>
      <x:c r="AC1292" s="10" t="n">
        <x:f>AB1292/'Assumptions'!$AM$34</x:f>
        <x:v>34.964239346962195</x:v>
      </x:c>
      <x:c r="AD1292" s="10" t="n">
        <x:f>IF(AB1292=0,0,T1292/AB1292)</x:f>
        <x:v>137.7795948155315</x:v>
      </x:c>
      <x:c r="AE1292" s="10" t="n">
        <x:f>AA1292*'Assumptions'!$D$21</x:f>
        <x:v>0</x:v>
      </x:c>
    </x:row>
    <x:row r="1293" ht="16" customHeight="1">
      <x:c r="A1293" s="1"/>
      <x:c r="B1293" s="1"/>
      <x:c r="C1293" s="1" t="str">
        <x:v>DOT-006</x:v>
      </x:c>
      <x:c r="D1293" s="10" t="str">
        <x:v>ETV services</x:v>
      </x:c>
      <x:c r="E1293" s="10" t="n">
        <x:v>11</x:v>
      </x:c>
      <x:c r="F1293" s="21" t="n">
        <x:f>F1165*(1+'Assumptions'!$M$35)</x:f>
        <x:v>10.489271804088657</x:v>
      </x:c>
      <x:c r="G1293" s="21" t="n">
        <x:f>H1165*'Assumptions'!$K$35</x:f>
        <x:v>9.881408836404393</x:v>
      </x:c>
      <x:c r="H1293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1293+G1293,NA())</x:f>
        <x:v>20.37068064049305</x:v>
      </x:c>
      <x:c r="I1293" s="22" t="n">
        <x:f>'Assumptions'!$H$35*IF('Assumptions'!$O$35=1,1,'Assumptions'!$D$10)*(1+'Assumptions'!$N$35)^(11-1)</x:f>
        <x:v>914.245814996068</x:v>
      </x:c>
      <x:c r="J1293" s="10" t="n">
        <x:f>H1293*I1293</x:f>
        <x:v>18623.80952419219</x:v>
      </x:c>
      <x:c r="K1293" s="10" t="n">
        <x:f>J1293*'Assumptions'!$T$35</x:f>
        <x:v>18623.80952419219</x:v>
      </x:c>
      <x:c r="L1293" s="10" t="n">
        <x:f>K1293*'Assumptions'!$U$35</x:f>
        <x:v>558.7142857257658</x:v>
      </x:c>
      <x:c r="M1293" s="10" t="n">
        <x:f>K1293*'Assumptions'!$V$35</x:f>
        <x:v>0</x:v>
      </x:c>
      <x:c r="N1293" s="10" t="n">
        <x:f>K1293-L1293-M1293</x:f>
        <x:v>18065.095238466427</x:v>
      </x:c>
      <x:c r="O1293" s="10" t="n">
        <x:f>H1293*'Assumptions'!$P$35*'Assumptions'!$Q$35*'Assumptions'!$D$11*(1+'Assumptions'!$D$13)^(11-1)</x:f>
        <x:v>9855.536893612856</x:v>
      </x:c>
      <x:c r="P1293" s="10" t="n">
        <x:f>H1293*'Assumptions'!$R$35*'Assumptions'!$D$11*(1+'Assumptions'!$D$13)^(11-1)</x:f>
        <x:v>684.4122842786705</x:v>
      </x:c>
      <x:c r="Q1293" s="10" t="n">
        <x:f>J1293*'Assumptions'!$S$35</x:f>
        <x:v>0</x:v>
      </x:c>
      <x:c r="R1293" s="10" t="n">
        <x:f>H1293*'Assumptions'!$Y$35*'Assumptions'!$Z$35*'Assumptions'!$D$11*(1+'Assumptions'!$D$13)^(11-1)</x:f>
        <x:v>205.32368528360118</x:v>
      </x:c>
      <x:c r="S1293" s="10" t="n">
        <x:f>IF(I1293=0,0,J1293*'Assumptions'!$W$35+H1293*'Assumptions'!$X$35)</x:f>
        <x:v>546.2016803937215</x:v>
      </x:c>
      <x:c r="T1293" s="10" t="n">
        <x:f>N1293*'Assumptions'!$AA$35</x:f>
        <x:v>722.6038095386571</x:v>
      </x:c>
      <x:c r="U1293" s="10" t="n">
        <x:f>'Assumptions'!$AE$35*'Assumptions'!$D$11*(1+'Assumptions'!$D$13)^(11-1)</x:f>
        <x:v>0</x:v>
      </x:c>
      <x:c r="V1293" s="10" t="n">
        <x:f>0</x:f>
        <x:v>0</x:v>
      </x:c>
      <x:c r="W1293" s="10" t="n">
        <x:f>H1293*('Assumptions'!$P$35+'Assumptions'!$Y$35)</x:f>
        <x:v>168.05811528406764</x:v>
      </x:c>
      <x:c r="X1293" s="10" t="n">
        <x:f>N1293/12*'Assumptions'!$AF$35</x:f>
        <x:v>1505.4246032055355</x:v>
      </x:c>
      <x:c r="Y1293" s="10" t="n">
        <x:f>P1293/12</x:f>
        <x:v>57.03435702322255</x:v>
      </x:c>
      <x:c r="Z1293" s="10" t="n">
        <x:f>0</x:f>
        <x:v>0</x:v>
      </x:c>
      <x:c r="AA1293" s="10" t="n">
        <x:f>Z1293*'Assumptions'!$AC$35*'Assumptions'!$D$11*(1+'Assumptions'!$D$13)^(11-1)</x:f>
        <x:v>0</x:v>
      </x:c>
      <x:c r="AB1293" s="10" t="n">
        <x:f>F1293/1</x:f>
        <x:v>10.489271804088657</x:v>
      </x:c>
      <x:c r="AC1293" s="10" t="n">
        <x:f>AB1293/'Assumptions'!$AM$35</x:f>
        <x:v>52.44635902044328</x:v>
      </x:c>
      <x:c r="AD1293" s="10" t="n">
        <x:f>IF(AB1293=0,0,T1293/AB1293)</x:f>
        <x:v>68.88979740776574</x:v>
      </x:c>
      <x:c r="AE1293" s="10" t="n">
        <x:f>AA1293*'Assumptions'!$D$21</x:f>
        <x:v>0</x:v>
      </x:c>
    </x:row>
    <x:row r="1294" ht="16" customHeight="1">
      <x:c r="A1294" s="1"/>
      <x:c r="B1294" s="1"/>
      <x:c r="C1294" s="1" t="str">
        <x:v>DOT-007</x:v>
      </x:c>
      <x:c r="D1294" s="10" t="str">
        <x:v>BPA professional services</x:v>
      </x:c>
      <x:c r="E1294" s="10" t="n">
        <x:v>11</x:v>
      </x:c>
      <x:c r="F1294" s="21" t="n">
        <x:f>F1166*(1+'Assumptions'!$M$36)</x:f>
        <x:v>41.95708721635463</x:v>
      </x:c>
      <x:c r="G1294" s="21" t="n">
        <x:f>H1166*'Assumptions'!$K$36</x:f>
        <x:v>39.51391659561757</x:v>
      </x:c>
      <x:c r="H1294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1294+G1294,NA())</x:f>
        <x:v>81.4710038119722</x:v>
      </x:c>
      <x:c r="I1294" s="22" t="n">
        <x:f>'Assumptions'!$H$36*IF('Assumptions'!$O$36=1,1,'Assumptions'!$D$10)*(1+'Assumptions'!$N$36)^(11-1)</x:f>
        <x:v>250</x:v>
      </x:c>
      <x:c r="J1294" s="10" t="n">
        <x:f>H1294*I1294</x:f>
        <x:v>20367.75095299305</x:v>
      </x:c>
      <x:c r="K1294" s="10" t="n">
        <x:f>J1294*'Assumptions'!$T$36</x:f>
        <x:v>20367.75095299305</x:v>
      </x:c>
      <x:c r="L1294" s="10" t="n">
        <x:f>K1294*'Assumptions'!$U$36</x:f>
        <x:v>611.0325285897915</x:v>
      </x:c>
      <x:c r="M1294" s="10" t="n">
        <x:f>K1294*'Assumptions'!$V$36</x:f>
        <x:v>0</x:v>
      </x:c>
      <x:c r="N1294" s="10" t="n">
        <x:f>K1294-L1294-M1294</x:f>
        <x:v>19756.718424403258</x:v>
      </x:c>
      <x:c r="O1294" s="10" t="n">
        <x:f>H1294*'Assumptions'!$P$36*'Assumptions'!$Q$36*'Assumptions'!$D$11*(1+'Assumptions'!$D$13)^(11-1)</x:f>
        <x:v>5472.321018896552</x:v>
      </x:c>
      <x:c r="P1294" s="10" t="n">
        <x:f>H1294*'Assumptions'!$R$36*'Assumptions'!$D$11*(1+'Assumptions'!$D$13)^(11-1)</x:f>
        <x:v>1094.9021646451686</x:v>
      </x:c>
      <x:c r="Q1294" s="10" t="n">
        <x:f>J1294*'Assumptions'!$S$36</x:f>
        <x:v>0</x:v>
      </x:c>
      <x:c r="R1294" s="10" t="n">
        <x:f>H1294*'Assumptions'!$Y$36*'Assumptions'!$Z$36*'Assumptions'!$D$11*(1+'Assumptions'!$D$13)^(11-1)</x:f>
        <x:v>821.1766234838764</x:v>
      </x:c>
      <x:c r="S1294" s="10" t="n">
        <x:f>IF(I1294=0,0,J1294*'Assumptions'!$W$36+H1294*'Assumptions'!$X$36)</x:f>
        <x:v>615.1060787803901</x:v>
      </x:c>
      <x:c r="T1294" s="10" t="n">
        <x:f>N1294*'Assumptions'!$AA$36</x:f>
        <x:v>790.2687369761303</x:v>
      </x:c>
      <x:c r="U1294" s="10" t="n">
        <x:f>'Assumptions'!$AE$36*'Assumptions'!$D$11*(1+'Assumptions'!$D$13)^(11-1)</x:f>
        <x:v>0</x:v>
      </x:c>
      <x:c r="V1294" s="10" t="n">
        <x:f>0</x:f>
        <x:v>0</x:v>
      </x:c>
      <x:c r="W1294" s="10" t="n">
        <x:f>H1294*('Assumptions'!$P$36+'Assumptions'!$Y$36)</x:f>
        <x:v>88.23309712836588</x:v>
      </x:c>
      <x:c r="X1294" s="10" t="n">
        <x:f>N1294/12*'Assumptions'!$AF$36</x:f>
        <x:v>1646.393202033605</x:v>
      </x:c>
      <x:c r="Y1294" s="10" t="n">
        <x:f>P1294/12</x:f>
        <x:v>91.24184705376405</x:v>
      </x:c>
      <x:c r="Z1294" s="10" t="n">
        <x:f>0</x:f>
        <x:v>0</x:v>
      </x:c>
      <x:c r="AA1294" s="10" t="n">
        <x:f>Z1294*'Assumptions'!$AC$36*'Assumptions'!$D$11*(1+'Assumptions'!$D$13)^(11-1)</x:f>
        <x:v>0</x:v>
      </x:c>
      <x:c r="AB1294" s="10" t="n">
        <x:f>F1294/1</x:f>
        <x:v>41.95708721635463</x:v>
      </x:c>
      <x:c r="AC1294" s="10" t="n">
        <x:f>AB1294/'Assumptions'!$AM$36</x:f>
        <x:v>209.78543608177313</x:v>
      </x:c>
      <x:c r="AD1294" s="10" t="n">
        <x:f>IF(AB1294=0,0,T1294/AB1294)</x:f>
        <x:v>18.83516681939942</x:v>
      </x:c>
      <x:c r="AE1294" s="10" t="n">
        <x:f>AA1294*'Assumptions'!$D$21</x:f>
        <x:v>0</x:v>
      </x:c>
    </x:row>
    <x:row r="1295" ht="16" customHeight="1">
      <x:c r="A1295" s="1"/>
      <x:c r="B1295" s="1"/>
      <x:c r="C1295" s="1" t="str">
        <x:v>DOT-008</x:v>
      </x:c>
      <x:c r="D1295" s="10" t="str">
        <x:v>BPA professional services</x:v>
      </x:c>
      <x:c r="E1295" s="10" t="n">
        <x:v>11</x:v>
      </x:c>
      <x:c r="F1295" s="21" t="n">
        <x:f>F1167*(1+'Assumptions'!$M$37)</x:f>
        <x:v>15.733907706132982</x:v>
      </x:c>
      <x:c r="G1295" s="21" t="n">
        <x:f>H1167*'Assumptions'!$K$37</x:f>
        <x:v>14.817718723356588</x:v>
      </x:c>
      <x:c r="H1295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1295+G1295,NA())</x:f>
        <x:v>30.55162642948957</x:v>
      </x:c>
      <x:c r="I1295" s="22" t="n">
        <x:f>'Assumptions'!$H$37*IF('Assumptions'!$O$37=1,1,'Assumptions'!$D$10)*(1+'Assumptions'!$N$37)^(11-1)</x:f>
        <x:v>600</x:v>
      </x:c>
      <x:c r="J1295" s="10" t="n">
        <x:f>H1295*I1295</x:f>
        <x:v>18330.975857693742</x:v>
      </x:c>
      <x:c r="K1295" s="10" t="n">
        <x:f>J1295*'Assumptions'!$T$37</x:f>
        <x:v>18330.975857693742</x:v>
      </x:c>
      <x:c r="L1295" s="10" t="n">
        <x:f>K1295*'Assumptions'!$U$37</x:f>
        <x:v>549.9292757308123</x:v>
      </x:c>
      <x:c r="M1295" s="10" t="n">
        <x:f>K1295*'Assumptions'!$V$37</x:f>
        <x:v>0</x:v>
      </x:c>
      <x:c r="N1295" s="10" t="n">
        <x:f>K1295-L1295-M1295</x:f>
        <x:v>17781.046581962928</x:v>
      </x:c>
      <x:c r="O1295" s="10" t="n">
        <x:f>H1295*'Assumptions'!$P$37*'Assumptions'!$Q$37*'Assumptions'!$D$11*(1+'Assumptions'!$D$13)^(11-1)</x:f>
        <x:v>9854.119481806516</x:v>
      </x:c>
      <x:c r="P1295" s="10" t="n">
        <x:f>H1295*'Assumptions'!$R$37*'Assumptions'!$D$11*(1+'Assumptions'!$D$13)^(11-1)</x:f>
        <x:v>410.5883117419381</x:v>
      </x:c>
      <x:c r="Q1295" s="10" t="n">
        <x:f>J1295*'Assumptions'!$S$37</x:f>
        <x:v>0</x:v>
      </x:c>
      <x:c r="R1295" s="10" t="n">
        <x:f>H1295*'Assumptions'!$Y$37*'Assumptions'!$Z$37*'Assumptions'!$D$11*(1+'Assumptions'!$D$13)^(11-1)</x:f>
        <x:v>307.9412338064536</x:v>
      </x:c>
      <x:c r="S1295" s="10" t="n">
        <x:f>IF(I1295=0,0,J1295*'Assumptions'!$W$37+H1295*'Assumptions'!$X$37)</x:f>
        <x:v>540.7637878019655</x:v>
      </x:c>
      <x:c r="T1295" s="10" t="n">
        <x:f>N1295*'Assumptions'!$AA$37</x:f>
        <x:v>711.2418632785171</x:v>
      </x:c>
      <x:c r="U1295" s="10" t="n">
        <x:f>'Assumptions'!$AE$37*'Assumptions'!$D$11*(1+'Assumptions'!$D$13)^(11-1)</x:f>
        <x:v>0</x:v>
      </x:c>
      <x:c r="V1295" s="10" t="n">
        <x:f>0</x:f>
        <x:v>0</x:v>
      </x:c>
      <x:c r="W1295" s="10" t="n">
        <x:f>H1295*('Assumptions'!$P$37+'Assumptions'!$Y$37)</x:f>
        <x:v>129.84441232533067</x:v>
      </x:c>
      <x:c r="X1295" s="10" t="n">
        <x:f>N1295/12*'Assumptions'!$AF$37</x:f>
        <x:v>1481.753881830244</x:v>
      </x:c>
      <x:c r="Y1295" s="10" t="n">
        <x:f>P1295/12</x:f>
        <x:v>34.21569264516151</x:v>
      </x:c>
      <x:c r="Z1295" s="10" t="n">
        <x:f>0</x:f>
        <x:v>0</x:v>
      </x:c>
      <x:c r="AA1295" s="10" t="n">
        <x:f>Z1295*'Assumptions'!$AC$37*'Assumptions'!$D$11*(1+'Assumptions'!$D$13)^(11-1)</x:f>
        <x:v>0</x:v>
      </x:c>
      <x:c r="AB1295" s="10" t="n">
        <x:f>F1295/1</x:f>
        <x:v>15.733907706132982</x:v>
      </x:c>
      <x:c r="AC1295" s="10" t="n">
        <x:f>AB1295/'Assumptions'!$AM$37</x:f>
        <x:v>78.66953853066491</x:v>
      </x:c>
      <x:c r="AD1295" s="10" t="n">
        <x:f>IF(AB1295=0,0,T1295/AB1295)</x:f>
        <x:v>45.204400366558616</x:v>
      </x:c>
      <x:c r="AE1295" s="10" t="n">
        <x:f>AA1295*'Assumptions'!$D$21</x:f>
        <x:v>0</x:v>
      </x:c>
    </x:row>
    <x:row r="1296" ht="16" customHeight="1">
      <x:c r="A1296" s="1"/>
      <x:c r="B1296" s="1"/>
      <x:c r="C1296" s="1" t="str">
        <x:v>DOT-009</x:v>
      </x:c>
      <x:c r="D1296" s="10" t="str">
        <x:v>BPA professional services</x:v>
      </x:c>
      <x:c r="E1296" s="10" t="n">
        <x:v>11</x:v>
      </x:c>
      <x:c r="F1296" s="21" t="n">
        <x:f>F1168*(1+'Assumptions'!$M$38)</x:f>
        <x:v>10.489271804088657</x:v>
      </x:c>
      <x:c r="G1296" s="21" t="n">
        <x:f>H1168*'Assumptions'!$K$38</x:f>
        <x:v>9.878479148904393</x:v>
      </x:c>
      <x:c r="H1296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1296+G1296,NA())</x:f>
        <x:v>20.36775095299305</x:v>
      </x:c>
      <x:c r="I1296" s="22" t="n">
        <x:f>'Assumptions'!$H$38*IF('Assumptions'!$O$38=1,1,'Assumptions'!$D$10)*(1+'Assumptions'!$N$38)^(11-1)</x:f>
        <x:v>900</x:v>
      </x:c>
      <x:c r="J1296" s="10" t="n">
        <x:f>H1296*I1296</x:f>
        <x:v>18330.975857693746</x:v>
      </x:c>
      <x:c r="K1296" s="10" t="n">
        <x:f>J1296*'Assumptions'!$T$38</x:f>
        <x:v>18330.975857693746</x:v>
      </x:c>
      <x:c r="L1296" s="10" t="n">
        <x:f>K1296*'Assumptions'!$U$38</x:f>
        <x:v>549.9292757308124</x:v>
      </x:c>
      <x:c r="M1296" s="10" t="n">
        <x:f>K1296*'Assumptions'!$V$38</x:f>
        <x:v>0</x:v>
      </x:c>
      <x:c r="N1296" s="10" t="n">
        <x:f>K1296-L1296-M1296</x:f>
        <x:v>17781.04658196293</x:v>
      </x:c>
      <x:c r="O1296" s="10" t="n">
        <x:f>H1296*'Assumptions'!$P$38*'Assumptions'!$Q$38*'Assumptions'!$D$11*(1+'Assumptions'!$D$13)^(11-1)</x:f>
        <x:v>9854.119481806516</x:v>
      </x:c>
      <x:c r="P1296" s="10" t="n">
        <x:f>H1296*'Assumptions'!$R$38*'Assumptions'!$D$11*(1+'Assumptions'!$D$13)^(11-1)</x:f>
        <x:v>273.72554116129214</x:v>
      </x:c>
      <x:c r="Q1296" s="10" t="n">
        <x:f>J1296*'Assumptions'!$S$38</x:f>
        <x:v>0</x:v>
      </x:c>
      <x:c r="R1296" s="10" t="n">
        <x:f>H1296*'Assumptions'!$Y$38*'Assumptions'!$Z$38*'Assumptions'!$D$11*(1+'Assumptions'!$D$13)^(11-1)</x:f>
        <x:v>205.2941558709691</x:v>
      </x:c>
      <x:c r="S1296" s="10" t="n">
        <x:f>IF(I1296=0,0,J1296*'Assumptions'!$W$38+H1296*'Assumptions'!$X$38)</x:f>
        <x:v>537.7086251590166</x:v>
      </x:c>
      <x:c r="T1296" s="10" t="n">
        <x:f>N1296*'Assumptions'!$AA$38</x:f>
        <x:v>711.2418632785173</x:v>
      </x:c>
      <x:c r="U1296" s="10" t="n">
        <x:f>'Assumptions'!$AE$38*'Assumptions'!$D$11*(1+'Assumptions'!$D$13)^(11-1)</x:f>
        <x:v>0</x:v>
      </x:c>
      <x:c r="V1296" s="10" t="n">
        <x:f>0</x:f>
        <x:v>0</x:v>
      </x:c>
      <x:c r="W1296" s="10" t="n">
        <x:f>H1296*('Assumptions'!$P$38+'Assumptions'!$Y$38)</x:f>
        <x:v>127.29844345620656</x:v>
      </x:c>
      <x:c r="X1296" s="10" t="n">
        <x:f>N1296/12*'Assumptions'!$AF$38</x:f>
        <x:v>1481.7538818302444</x:v>
      </x:c>
      <x:c r="Y1296" s="10" t="n">
        <x:f>P1296/12</x:f>
        <x:v>22.810461763441012</x:v>
      </x:c>
      <x:c r="Z1296" s="10" t="n">
        <x:f>0</x:f>
        <x:v>0</x:v>
      </x:c>
      <x:c r="AA1296" s="10" t="n">
        <x:f>Z1296*'Assumptions'!$AC$38*'Assumptions'!$D$11*(1+'Assumptions'!$D$13)^(11-1)</x:f>
        <x:v>0</x:v>
      </x:c>
      <x:c r="AB1296" s="10" t="n">
        <x:f>F1296/1</x:f>
        <x:v>10.489271804088657</x:v>
      </x:c>
      <x:c r="AC1296" s="10" t="n">
        <x:f>AB1296/'Assumptions'!$AM$38</x:f>
        <x:v>52.44635902044328</x:v>
      </x:c>
      <x:c r="AD1296" s="10" t="n">
        <x:f>IF(AB1296=0,0,T1296/AB1296)</x:f>
        <x:v>67.80660054983791</x:v>
      </x:c>
      <x:c r="AE1296" s="10" t="n">
        <x:f>AA1296*'Assumptions'!$D$21</x:f>
        <x:v>0</x:v>
      </x:c>
    </x:row>
    <x:row r="1297" ht="16" customHeight="1">
      <x:c r="A1297" s="1"/>
      <x:c r="B1297" s="1"/>
      <x:c r="C1297" s="1" t="str">
        <x:v>DOT-010</x:v>
      </x:c>
      <x:c r="D1297" s="10" t="str">
        <x:v>BPA professional services</x:v>
      </x:c>
      <x:c r="E1297" s="10" t="n">
        <x:v>11</x:v>
      </x:c>
      <x:c r="F1297" s="21" t="n">
        <x:f>F1169*(1+'Assumptions'!$M$39)</x:f>
        <x:v>10.489271804088657</x:v>
      </x:c>
      <x:c r="G1297" s="21" t="n">
        <x:f>H1169*'Assumptions'!$K$39</x:f>
        <x:v>9.878479148904393</x:v>
      </x:c>
      <x:c r="H1297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1297+G1297,NA())</x:f>
        <x:v>20.36775095299305</x:v>
      </x:c>
      <x:c r="I1297" s="22" t="n">
        <x:f>'Assumptions'!$H$39*IF('Assumptions'!$O$39=1,1,'Assumptions'!$D$10)*(1+'Assumptions'!$N$39)^(11-1)</x:f>
        <x:v>1800</x:v>
      </x:c>
      <x:c r="J1297" s="10" t="n">
        <x:f>H1297*I1297</x:f>
        <x:v>36661.95171538749</x:v>
      </x:c>
      <x:c r="K1297" s="10" t="n">
        <x:f>J1297*'Assumptions'!$T$39</x:f>
        <x:v>36661.95171538749</x:v>
      </x:c>
      <x:c r="L1297" s="10" t="n">
        <x:f>K1297*'Assumptions'!$U$39</x:f>
        <x:v>1099.8585514616248</x:v>
      </x:c>
      <x:c r="M1297" s="10" t="n">
        <x:f>K1297*'Assumptions'!$V$39</x:f>
        <x:v>0</x:v>
      </x:c>
      <x:c r="N1297" s="10" t="n">
        <x:f>K1297-L1297-M1297</x:f>
        <x:v>35562.09316392586</x:v>
      </x:c>
      <x:c r="O1297" s="10" t="n">
        <x:f>H1297*'Assumptions'!$P$39*'Assumptions'!$Q$39*'Assumptions'!$D$11*(1+'Assumptions'!$D$13)^(11-1)</x:f>
        <x:v>19708.238963613032</x:v>
      </x:c>
      <x:c r="P1297" s="10" t="n">
        <x:f>H1297*'Assumptions'!$R$39*'Assumptions'!$D$11*(1+'Assumptions'!$D$13)^(11-1)</x:f>
        <x:v>273.72554116129214</x:v>
      </x:c>
      <x:c r="Q1297" s="10" t="n">
        <x:f>J1297*'Assumptions'!$S$39</x:f>
        <x:v>0</x:v>
      </x:c>
      <x:c r="R1297" s="10" t="n">
        <x:f>H1297*'Assumptions'!$Y$39*'Assumptions'!$Z$39*'Assumptions'!$D$11*(1+'Assumptions'!$D$13)^(11-1)</x:f>
        <x:v>205.2941558709691</x:v>
      </x:c>
      <x:c r="S1297" s="10" t="n">
        <x:f>IF(I1297=0,0,J1297*'Assumptions'!$W$39+H1297*'Assumptions'!$X$39)</x:f>
        <x:v>1069.3069250321353</x:v>
      </x:c>
      <x:c r="T1297" s="10" t="n">
        <x:f>N1297*'Assumptions'!$AA$39</x:f>
        <x:v>1422.4837265570345</x:v>
      </x:c>
      <x:c r="U1297" s="10" t="n">
        <x:f>'Assumptions'!$AE$39*'Assumptions'!$D$11*(1+'Assumptions'!$D$13)^(11-1)</x:f>
        <x:v>0</x:v>
      </x:c>
      <x:c r="V1297" s="10" t="n">
        <x:f>0</x:f>
        <x:v>0</x:v>
      </x:c>
      <x:c r="W1297" s="10" t="n">
        <x:f>H1297*('Assumptions'!$P$39+'Assumptions'!$Y$39)</x:f>
        <x:v>249.50494917416484</x:v>
      </x:c>
      <x:c r="X1297" s="10" t="n">
        <x:f>N1297/12*'Assumptions'!$AF$39</x:f>
        <x:v>2963.5077636604888</x:v>
      </x:c>
      <x:c r="Y1297" s="10" t="n">
        <x:f>P1297/12</x:f>
        <x:v>22.810461763441012</x:v>
      </x:c>
      <x:c r="Z1297" s="10" t="n">
        <x:f>0</x:f>
        <x:v>0</x:v>
      </x:c>
      <x:c r="AA1297" s="10" t="n">
        <x:f>Z1297*'Assumptions'!$AC$39*'Assumptions'!$D$11*(1+'Assumptions'!$D$13)^(11-1)</x:f>
        <x:v>0</x:v>
      </x:c>
      <x:c r="AB1297" s="10" t="n">
        <x:f>F1297/1</x:f>
        <x:v>10.489271804088657</x:v>
      </x:c>
      <x:c r="AC1297" s="10" t="n">
        <x:f>AB1297/'Assumptions'!$AM$39</x:f>
        <x:v>52.44635902044328</x:v>
      </x:c>
      <x:c r="AD1297" s="10" t="n">
        <x:f>IF(AB1297=0,0,T1297/AB1297)</x:f>
        <x:v>135.61320109967582</x:v>
      </x:c>
      <x:c r="AE1297" s="10" t="n">
        <x:f>AA1297*'Assumptions'!$D$21</x:f>
        <x:v>0</x:v>
      </x:c>
    </x:row>
    <x:row r="1298" ht="16" customHeight="1">
      <x:c r="A1298" s="1"/>
      <x:c r="B1298" s="1"/>
      <x:c r="C1298" s="1" t="str">
        <x:v>DOT-011</x:v>
      </x:c>
      <x:c r="D1298" s="10" t="str">
        <x:v>BPA professional services</x:v>
      </x:c>
      <x:c r="E1298" s="10" t="n">
        <x:v>11</x:v>
      </x:c>
      <x:c r="F1298" s="21" t="n">
        <x:f>F1170*(1+'Assumptions'!$M$40)</x:f>
        <x:v>31.467815412265963</x:v>
      </x:c>
      <x:c r="G1298" s="21" t="n">
        <x:f>H1170*'Assumptions'!$K$40</x:f>
        <x:v>29.635437446713176</x:v>
      </x:c>
      <x:c r="H1298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1298+G1298,NA())</x:f>
        <x:v>61.10325285897914</x:v>
      </x:c>
      <x:c r="I1298" s="22" t="n">
        <x:f>'Assumptions'!$H$40*IF('Assumptions'!$O$40=1,1,'Assumptions'!$D$10)*(1+'Assumptions'!$N$40)^(11-1)</x:f>
        <x:v>600</x:v>
      </x:c>
      <x:c r="J1298" s="10" t="n">
        <x:f>H1298*I1298</x:f>
        <x:v>36661.951715387484</x:v>
      </x:c>
      <x:c r="K1298" s="10" t="n">
        <x:f>J1298*'Assumptions'!$T$40</x:f>
        <x:v>36661.951715387484</x:v>
      </x:c>
      <x:c r="L1298" s="10" t="n">
        <x:f>K1298*'Assumptions'!$U$40</x:f>
        <x:v>1099.8585514616245</x:v>
      </x:c>
      <x:c r="M1298" s="10" t="n">
        <x:f>K1298*'Assumptions'!$V$40</x:f>
        <x:v>0</x:v>
      </x:c>
      <x:c r="N1298" s="10" t="n">
        <x:f>K1298-L1298-M1298</x:f>
        <x:v>35562.093163925856</x:v>
      </x:c>
      <x:c r="O1298" s="10" t="n">
        <x:f>H1298*'Assumptions'!$P$40*'Assumptions'!$Q$40*'Assumptions'!$D$11*(1+'Assumptions'!$D$13)^(11-1)</x:f>
        <x:v>19708.238963613032</x:v>
      </x:c>
      <x:c r="P1298" s="10" t="n">
        <x:f>H1298*'Assumptions'!$R$40*'Assumptions'!$D$11*(1+'Assumptions'!$D$13)^(11-1)</x:f>
        <x:v>821.1766234838763</x:v>
      </x:c>
      <x:c r="Q1298" s="10" t="n">
        <x:f>J1298*'Assumptions'!$S$40</x:f>
        <x:v>0</x:v>
      </x:c>
      <x:c r="R1298" s="10" t="n">
        <x:f>H1298*'Assumptions'!$Y$40*'Assumptions'!$Z$40*'Assumptions'!$D$11*(1+'Assumptions'!$D$13)^(11-1)</x:f>
        <x:v>615.8824676129072</x:v>
      </x:c>
      <x:c r="S1298" s="10" t="n">
        <x:f>IF(I1298=0,0,J1298*'Assumptions'!$W$40+H1298*'Assumptions'!$X$40)</x:f>
        <x:v>1081.527575603931</x:v>
      </x:c>
      <x:c r="T1298" s="10" t="n">
        <x:f>N1298*'Assumptions'!$AA$40</x:f>
        <x:v>1422.4837265570343</x:v>
      </x:c>
      <x:c r="U1298" s="10" t="n">
        <x:f>'Assumptions'!$AE$40*'Assumptions'!$D$11*(1+'Assumptions'!$D$13)^(11-1)</x:f>
        <x:v>0</x:v>
      </x:c>
      <x:c r="V1298" s="10" t="n">
        <x:f>0</x:f>
        <x:v>0</x:v>
      </x:c>
      <x:c r="W1298" s="10" t="n">
        <x:f>H1298*('Assumptions'!$P$40+'Assumptions'!$Y$40)</x:f>
        <x:v>259.68882465066133</x:v>
      </x:c>
      <x:c r="X1298" s="10" t="n">
        <x:f>N1298/12*'Assumptions'!$AF$40</x:f>
        <x:v>2963.507763660488</x:v>
      </x:c>
      <x:c r="Y1298" s="10" t="n">
        <x:f>P1298/12</x:f>
        <x:v>68.43138529032302</x:v>
      </x:c>
      <x:c r="Z1298" s="10" t="n">
        <x:f>0</x:f>
        <x:v>0</x:v>
      </x:c>
      <x:c r="AA1298" s="10" t="n">
        <x:f>Z1298*'Assumptions'!$AC$40*'Assumptions'!$D$11*(1+'Assumptions'!$D$13)^(11-1)</x:f>
        <x:v>0</x:v>
      </x:c>
      <x:c r="AB1298" s="10" t="n">
        <x:f>F1298/12</x:f>
        <x:v>2.6223179510221635</x:v>
      </x:c>
      <x:c r="AC1298" s="10" t="n">
        <x:f>AB1298/'Assumptions'!$AM$40</x:f>
        <x:v>13.111589755110817</x:v>
      </x:c>
      <x:c r="AD1298" s="10" t="n">
        <x:f>IF(AB1298=0,0,T1298/AB1298)</x:f>
        <x:v>542.4528043987034</x:v>
      </x:c>
      <x:c r="AE1298" s="10" t="n">
        <x:f>AA1298*'Assumptions'!$D$21</x:f>
        <x:v>0</x:v>
      </x:c>
    </x:row>
    <x:row r="1299" ht="16" customHeight="1">
      <x:c r="A1299" s="1"/>
      <x:c r="B1299" s="1"/>
      <x:c r="C1299" s="1" t="str">
        <x:v>DOT-012</x:v>
      </x:c>
      <x:c r="D1299" s="10" t="str">
        <x:v>BPA professional services</x:v>
      </x:c>
      <x:c r="E1299" s="10" t="n">
        <x:v>11</x:v>
      </x:c>
      <x:c r="F1299" s="21" t="n">
        <x:f>F1171*(1+'Assumptions'!$M$41)</x:f>
        <x:v>20.978543608177315</x:v>
      </x:c>
      <x:c r="G1299" s="21" t="n">
        <x:f>H1171*'Assumptions'!$K$41</x:f>
        <x:v>19.756958297808787</x:v>
      </x:c>
      <x:c r="H1299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1299+G1299,NA())</x:f>
        <x:v>40.7355019059861</x:v>
      </x:c>
      <x:c r="I1299" s="22" t="n">
        <x:f>'Assumptions'!$H$41*IF('Assumptions'!$O$41=1,1,'Assumptions'!$D$10)*(1+'Assumptions'!$N$41)^(11-1)</x:f>
        <x:v>1080</x:v>
      </x:c>
      <x:c r="J1299" s="10" t="n">
        <x:f>H1299*I1299</x:f>
        <x:v>43994.34205846499</x:v>
      </x:c>
      <x:c r="K1299" s="10" t="n">
        <x:f>J1299*'Assumptions'!$T$41</x:f>
        <x:v>43994.34205846499</x:v>
      </x:c>
      <x:c r="L1299" s="10" t="n">
        <x:f>K1299*'Assumptions'!$U$41</x:f>
        <x:v>1319.8302617539496</x:v>
      </x:c>
      <x:c r="M1299" s="10" t="n">
        <x:f>K1299*'Assumptions'!$V$41</x:f>
        <x:v>0</x:v>
      </x:c>
      <x:c r="N1299" s="10" t="n">
        <x:f>K1299-L1299-M1299</x:f>
        <x:v>42674.511796711035</x:v>
      </x:c>
      <x:c r="O1299" s="10" t="n">
        <x:f>H1299*'Assumptions'!$P$41*'Assumptions'!$Q$41*'Assumptions'!$D$11*(1+'Assumptions'!$D$13)^(11-1)</x:f>
        <x:v>26277.651951484044</x:v>
      </x:c>
      <x:c r="P1299" s="10" t="n">
        <x:f>H1299*'Assumptions'!$R$41*'Assumptions'!$D$11*(1+'Assumptions'!$D$13)^(11-1)</x:f>
        <x:v>547.4510823225843</x:v>
      </x:c>
      <x:c r="Q1299" s="10" t="n">
        <x:f>J1299*'Assumptions'!$S$41</x:f>
        <x:v>0</x:v>
      </x:c>
      <x:c r="R1299" s="10" t="n">
        <x:f>H1299*'Assumptions'!$Y$41*'Assumptions'!$Z$41*'Assumptions'!$D$11*(1+'Assumptions'!$D$13)^(11-1)</x:f>
        <x:v>410.5883117419382</x:v>
      </x:c>
      <x:c r="S1299" s="10" t="n">
        <x:f>IF(I1299=0,0,J1299*'Assumptions'!$W$41+H1299*'Assumptions'!$X$41)</x:f>
        <x:v>1288.0565702672807</x:v>
      </x:c>
      <x:c r="T1299" s="10" t="n">
        <x:f>N1299*'Assumptions'!$AA$41</x:f>
        <x:v>1706.9804718684413</x:v>
      </x:c>
      <x:c r="U1299" s="10" t="n">
        <x:f>'Assumptions'!$AE$41*'Assumptions'!$D$11*(1+'Assumptions'!$D$13)^(11-1)</x:f>
        <x:v>0</x:v>
      </x:c>
      <x:c r="V1299" s="10" t="n">
        <x:f>0</x:f>
        <x:v>0</x:v>
      </x:c>
      <x:c r="W1299" s="10" t="n">
        <x:f>H1299*('Assumptions'!$P$41+'Assumptions'!$Y$41)</x:f>
        <x:v>336.0678907243853</x:v>
      </x:c>
      <x:c r="X1299" s="10" t="n">
        <x:f>N1299/12*'Assumptions'!$AF$41</x:f>
        <x:v>3556.209316392586</x:v>
      </x:c>
      <x:c r="Y1299" s="10" t="n">
        <x:f>P1299/12</x:f>
        <x:v>45.620923526882024</x:v>
      </x:c>
      <x:c r="Z1299" s="10" t="n">
        <x:f>0</x:f>
        <x:v>0</x:v>
      </x:c>
      <x:c r="AA1299" s="10" t="n">
        <x:f>Z1299*'Assumptions'!$AC$41*'Assumptions'!$D$11*(1+'Assumptions'!$D$13)^(11-1)</x:f>
        <x:v>0</x:v>
      </x:c>
      <x:c r="AB1299" s="10" t="n">
        <x:f>F1299/12</x:f>
        <x:v>1.7482119673481096</x:v>
      </x:c>
      <x:c r="AC1299" s="10" t="n">
        <x:f>AB1299/'Assumptions'!$AM$41</x:f>
        <x:v>8.741059836740547</x:v>
      </x:c>
      <x:c r="AD1299" s="10" t="n">
        <x:f>IF(AB1299=0,0,T1299/AB1299)</x:f>
        <x:v>976.4150479176659</x:v>
      </x:c>
      <x:c r="AE1299" s="10" t="n">
        <x:f>AA1299*'Assumptions'!$D$21</x:f>
        <x:v>0</x:v>
      </x:c>
    </x:row>
    <x:row r="1300" ht="16" customHeight="1">
      <x:c r="A1300" s="1"/>
      <x:c r="B1300" s="1"/>
      <x:c r="C1300" s="1" t="str">
        <x:v>DOT-013</x:v>
      </x:c>
      <x:c r="D1300" s="10" t="str">
        <x:v>BPA professional services</x:v>
      </x:c>
      <x:c r="E1300" s="10" t="n">
        <x:v>11</x:v>
      </x:c>
      <x:c r="F1300" s="21" t="n">
        <x:f>F1172*(1+'Assumptions'!$M$42)</x:f>
        <x:v>15.733907706132982</x:v>
      </x:c>
      <x:c r="G1300" s="21" t="n">
        <x:f>H1172*'Assumptions'!$K$42</x:f>
        <x:v>14.817718723356588</x:v>
      </x:c>
      <x:c r="H1300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1300+G1300,NA())</x:f>
        <x:v>30.55162642948957</x:v>
      </x:c>
      <x:c r="I1300" s="22" t="n">
        <x:f>'Assumptions'!$H$42*IF('Assumptions'!$O$42=1,1,'Assumptions'!$D$10)*(1+'Assumptions'!$N$42)^(11-1)</x:f>
        <x:v>2160</x:v>
      </x:c>
      <x:c r="J1300" s="10" t="n">
        <x:f>H1300*I1300</x:f>
        <x:v>65991.51308769747</x:v>
      </x:c>
      <x:c r="K1300" s="10" t="n">
        <x:f>J1300*'Assumptions'!$T$42</x:f>
        <x:v>65991.51308769747</x:v>
      </x:c>
      <x:c r="L1300" s="10" t="n">
        <x:f>K1300*'Assumptions'!$U$42</x:f>
        <x:v>1979.745392630924</x:v>
      </x:c>
      <x:c r="M1300" s="10" t="n">
        <x:f>K1300*'Assumptions'!$V$42</x:f>
        <x:v>0</x:v>
      </x:c>
      <x:c r="N1300" s="10" t="n">
        <x:f>K1300-L1300-M1300</x:f>
        <x:v>64011.76769506655</x:v>
      </x:c>
      <x:c r="O1300" s="10" t="n">
        <x:f>H1300*'Assumptions'!$P$42*'Assumptions'!$Q$42*'Assumptions'!$D$11*(1+'Assumptions'!$D$13)^(11-1)</x:f>
        <x:v>39416.477927226064</x:v>
      </x:c>
      <x:c r="P1300" s="10" t="n">
        <x:f>H1300*'Assumptions'!$R$42*'Assumptions'!$D$11*(1+'Assumptions'!$D$13)^(11-1)</x:f>
        <x:v>410.5883117419381</x:v>
      </x:c>
      <x:c r="Q1300" s="10" t="n">
        <x:f>J1300*'Assumptions'!$S$42</x:f>
        <x:v>0</x:v>
      </x:c>
      <x:c r="R1300" s="10" t="n">
        <x:f>H1300*'Assumptions'!$Y$42*'Assumptions'!$Z$42*'Assumptions'!$D$11*(1+'Assumptions'!$D$13)^(11-1)</x:f>
        <x:v>307.9412338064536</x:v>
      </x:c>
      <x:c r="S1300" s="10" t="n">
        <x:f>IF(I1300=0,0,J1300*'Assumptions'!$W$42+H1300*'Assumptions'!$X$42)</x:f>
        <x:v>1922.9193674720736</x:v>
      </x:c>
      <x:c r="T1300" s="10" t="n">
        <x:f>N1300*'Assumptions'!$AA$42</x:f>
        <x:v>2560.4707078026618</x:v>
      </x:c>
      <x:c r="U1300" s="10" t="n">
        <x:f>'Assumptions'!$AE$42*'Assumptions'!$D$11*(1+'Assumptions'!$D$13)^(11-1)</x:f>
        <x:v>0</x:v>
      </x:c>
      <x:c r="V1300" s="10" t="n">
        <x:f>0</x:f>
        <x:v>0</x:v>
      </x:c>
      <x:c r="W1300" s="10" t="n">
        <x:f>H1300*('Assumptions'!$P$42+'Assumptions'!$Y$42)</x:f>
        <x:v>496.4639294792055</x:v>
      </x:c>
      <x:c r="X1300" s="10" t="n">
        <x:f>N1300/12*'Assumptions'!$AF$42</x:f>
        <x:v>5334.313974588879</x:v>
      </x:c>
      <x:c r="Y1300" s="10" t="n">
        <x:f>P1300/12</x:f>
        <x:v>34.21569264516151</x:v>
      </x:c>
      <x:c r="Z1300" s="10" t="n">
        <x:f>0</x:f>
        <x:v>0</x:v>
      </x:c>
      <x:c r="AA1300" s="10" t="n">
        <x:f>Z1300*'Assumptions'!$AC$42*'Assumptions'!$D$11*(1+'Assumptions'!$D$13)^(11-1)</x:f>
        <x:v>0</x:v>
      </x:c>
      <x:c r="AB1300" s="10" t="n">
        <x:f>F1300/12</x:f>
        <x:v>1.3111589755110817</x:v>
      </x:c>
      <x:c r="AC1300" s="10" t="n">
        <x:f>AB1300/'Assumptions'!$AM$42</x:f>
        <x:v>6.5557948775554085</x:v>
      </x:c>
      <x:c r="AD1300" s="10" t="n">
        <x:f>IF(AB1300=0,0,T1300/AB1300)</x:f>
        <x:v>1952.8300958353323</x:v>
      </x:c>
      <x:c r="AE1300" s="10" t="n">
        <x:f>AA1300*'Assumptions'!$D$21</x:f>
        <x:v>0</x:v>
      </x:c>
    </x:row>
    <x:row r="1301" ht="16" customHeight="1">
      <x:c r="A1301" s="1"/>
      <x:c r="B1301" s="1"/>
      <x:c r="C1301" s="1" t="str">
        <x:v>DOT-014</x:v>
      </x:c>
      <x:c r="D1301" s="10" t="str">
        <x:v>BPA professional services</x:v>
      </x:c>
      <x:c r="E1301" s="10" t="n">
        <x:v>11</x:v>
      </x:c>
      <x:c r="F1301" s="21" t="n">
        <x:f>F1173*(1+'Assumptions'!$M$43)</x:f>
        <x:v>10.489271804088657</x:v>
      </x:c>
      <x:c r="G1301" s="21" t="n">
        <x:f>H1173*'Assumptions'!$K$43</x:f>
        <x:v>9.878479148904393</x:v>
      </x:c>
      <x:c r="H1301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1301+G1301,NA())</x:f>
        <x:v>20.36775095299305</x:v>
      </x:c>
      <x:c r="I1301" s="22" t="n">
        <x:f>'Assumptions'!$H$43*IF('Assumptions'!$O$43=1,1,'Assumptions'!$D$10)*(1+'Assumptions'!$N$43)^(11-1)</x:f>
        <x:v>3000</x:v>
      </x:c>
      <x:c r="J1301" s="10" t="n">
        <x:f>H1301*I1301</x:f>
        <x:v>61103.25285897915</x:v>
      </x:c>
      <x:c r="K1301" s="10" t="n">
        <x:f>J1301*'Assumptions'!$T$43</x:f>
        <x:v>61103.25285897915</x:v>
      </x:c>
      <x:c r="L1301" s="10" t="n">
        <x:f>K1301*'Assumptions'!$U$43</x:f>
        <x:v>1833.0975857693743</x:v>
      </x:c>
      <x:c r="M1301" s="10" t="n">
        <x:f>K1301*'Assumptions'!$V$43</x:f>
        <x:v>0</x:v>
      </x:c>
      <x:c r="N1301" s="10" t="n">
        <x:f>K1301-L1301-M1301</x:f>
        <x:v>59270.15527320977</x:v>
      </x:c>
      <x:c r="O1301" s="10" t="n">
        <x:f>H1301*'Assumptions'!$P$43*'Assumptions'!$Q$43*'Assumptions'!$D$11*(1+'Assumptions'!$D$13)^(11-1)</x:f>
        <x:v>32847.064939355056</x:v>
      </x:c>
      <x:c r="P1301" s="10" t="n">
        <x:f>H1301*'Assumptions'!$R$43*'Assumptions'!$D$11*(1+'Assumptions'!$D$13)^(11-1)</x:f>
        <x:v>273.72554116129214</x:v>
      </x:c>
      <x:c r="Q1301" s="10" t="n">
        <x:f>J1301*'Assumptions'!$S$43</x:f>
        <x:v>0</x:v>
      </x:c>
      <x:c r="R1301" s="10" t="n">
        <x:f>H1301*'Assumptions'!$Y$43*'Assumptions'!$Z$43*'Assumptions'!$D$11*(1+'Assumptions'!$D$13)^(11-1)</x:f>
        <x:v>205.2941558709691</x:v>
      </x:c>
      <x:c r="S1301" s="10" t="n">
        <x:f>IF(I1301=0,0,J1301*'Assumptions'!$W$43+H1301*'Assumptions'!$X$43)</x:f>
        <x:v>1778.1046581962933</x:v>
      </x:c>
      <x:c r="T1301" s="10" t="n">
        <x:f>N1301*'Assumptions'!$AA$43</x:f>
        <x:v>2370.806210928391</x:v>
      </x:c>
      <x:c r="U1301" s="10" t="n">
        <x:f>'Assumptions'!$AE$43*'Assumptions'!$D$11*(1+'Assumptions'!$D$13)^(11-1)</x:f>
        <x:v>0</x:v>
      </x:c>
      <x:c r="V1301" s="10" t="n">
        <x:f>0</x:f>
        <x:v>0</x:v>
      </x:c>
      <x:c r="W1301" s="10" t="n">
        <x:f>H1301*('Assumptions'!$P$43+'Assumptions'!$Y$43)</x:f>
        <x:v>412.4469567981092</x:v>
      </x:c>
      <x:c r="X1301" s="10" t="n">
        <x:f>N1301/12*'Assumptions'!$AF$43</x:f>
        <x:v>4939.179606100814</x:v>
      </x:c>
      <x:c r="Y1301" s="10" t="n">
        <x:f>P1301/12</x:f>
        <x:v>22.810461763441012</x:v>
      </x:c>
      <x:c r="Z1301" s="10" t="n">
        <x:f>0</x:f>
        <x:v>0</x:v>
      </x:c>
      <x:c r="AA1301" s="10" t="n">
        <x:f>Z1301*'Assumptions'!$AC$43*'Assumptions'!$D$11*(1+'Assumptions'!$D$13)^(11-1)</x:f>
        <x:v>0</x:v>
      </x:c>
      <x:c r="AB1301" s="10" t="n">
        <x:f>F1301/12</x:f>
        <x:v>0.8741059836740548</x:v>
      </x:c>
      <x:c r="AC1301" s="10" t="n">
        <x:f>AB1301/'Assumptions'!$AM$43</x:f>
        <x:v>4.3705299183702735</x:v>
      </x:c>
      <x:c r="AD1301" s="10" t="n">
        <x:f>IF(AB1301=0,0,T1301/AB1301)</x:f>
        <x:v>2712.2640219935165</x:v>
      </x:c>
      <x:c r="AE1301" s="10" t="n">
        <x:f>AA1301*'Assumptions'!$D$21</x:f>
        <x:v>0</x:v>
      </x:c>
    </x:row>
    <x:row r="1302" ht="16" customHeight="1">
      <x:c r="A1302" s="1"/>
      <x:c r="B1302" s="1"/>
      <x:c r="C1302" s="1" t="str">
        <x:v>DOT-015</x:v>
      </x:c>
      <x:c r="D1302" s="10" t="str">
        <x:v>BPA professional services</x:v>
      </x:c>
      <x:c r="E1302" s="10" t="n">
        <x:v>11</x:v>
      </x:c>
      <x:c r="F1302" s="21" t="n">
        <x:f>F1174*(1+'Assumptions'!$M$44)</x:f>
        <x:v>8.741059836740549</x:v>
      </x:c>
      <x:c r="G1302" s="21" t="n">
        <x:f>H1174*'Assumptions'!$K$44</x:f>
        <x:v>8.232065957420328</x:v>
      </x:c>
      <x:c r="H1302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1302+G1302,NA())</x:f>
        <x:v>16.97312579416088</x:v>
      </x:c>
      <x:c r="I1302" s="22" t="n">
        <x:f>'Assumptions'!$H$44*IF('Assumptions'!$O$44=1,1,'Assumptions'!$D$10)*(1+'Assumptions'!$N$44)^(11-1)</x:f>
        <x:v>1200</x:v>
      </x:c>
      <x:c r="J1302" s="10" t="n">
        <x:f>H1302*I1302</x:f>
        <x:v>20367.750952993054</x:v>
      </x:c>
      <x:c r="K1302" s="10" t="n">
        <x:f>J1302*'Assumptions'!$T$44</x:f>
        <x:v>20367.750952993054</x:v>
      </x:c>
      <x:c r="L1302" s="10" t="n">
        <x:f>K1302*'Assumptions'!$U$44</x:f>
        <x:v>611.0325285897916</x:v>
      </x:c>
      <x:c r="M1302" s="10" t="n">
        <x:f>K1302*'Assumptions'!$V$44</x:f>
        <x:v>0</x:v>
      </x:c>
      <x:c r="N1302" s="10" t="n">
        <x:f>K1302-L1302-M1302</x:f>
        <x:v>19756.71842440326</x:v>
      </x:c>
      <x:c r="O1302" s="10" t="n">
        <x:f>H1302*'Assumptions'!$P$44*'Assumptions'!$Q$44*'Assumptions'!$D$11*(1+'Assumptions'!$D$13)^(11-1)</x:f>
        <x:v>13686.27705806461</x:v>
      </x:c>
      <x:c r="P1302" s="10" t="n">
        <x:f>H1302*'Assumptions'!$R$44*'Assumptions'!$D$11*(1+'Assumptions'!$D$13)^(11-1)</x:f>
        <x:v>228.10461763441018</x:v>
      </x:c>
      <x:c r="Q1302" s="10" t="n">
        <x:f>J1302*'Assumptions'!$S$44</x:f>
        <x:v>0</x:v>
      </x:c>
      <x:c r="R1302" s="10" t="n">
        <x:f>H1302*'Assumptions'!$Y$44*'Assumptions'!$Z$44*'Assumptions'!$D$11*(1+'Assumptions'!$D$13)^(11-1)</x:f>
        <x:v>171.07846322580764</x:v>
      </x:c>
      <x:c r="S1302" s="10" t="n">
        <x:f>IF(I1302=0,0,J1302*'Assumptions'!$W$44+H1302*'Assumptions'!$X$44)</x:f>
        <x:v>595.7567153750468</x:v>
      </x:c>
      <x:c r="T1302" s="10" t="n">
        <x:f>N1302*'Assumptions'!$AA$44</x:f>
        <x:v>790.2687369761305</x:v>
      </x:c>
      <x:c r="U1302" s="10" t="n">
        <x:f>'Assumptions'!$AE$44*'Assumptions'!$D$11*(1+'Assumptions'!$D$13)^(11-1)</x:f>
        <x:v>0</x:v>
      </x:c>
      <x:c r="V1302" s="10" t="n">
        <x:f>0</x:f>
        <x:v>0</x:v>
      </x:c>
      <x:c r="W1302" s="10" t="n">
        <x:f>H1302*('Assumptions'!$P$44+'Assumptions'!$Y$44)</x:f>
        <x:v>173.974539390149</x:v>
      </x:c>
      <x:c r="X1302" s="10" t="n">
        <x:f>N1302/12*'Assumptions'!$AF$44</x:f>
        <x:v>1646.3932020336051</x:v>
      </x:c>
      <x:c r="Y1302" s="10" t="n">
        <x:f>P1302/12</x:f>
        <x:v>19.008718136200848</x:v>
      </x:c>
      <x:c r="Z1302" s="10" t="n">
        <x:f>0</x:f>
        <x:v>0</x:v>
      </x:c>
      <x:c r="AA1302" s="10" t="n">
        <x:f>Z1302*'Assumptions'!$AC$44*'Assumptions'!$D$11*(1+'Assumptions'!$D$13)^(11-1)</x:f>
        <x:v>0</x:v>
      </x:c>
      <x:c r="AB1302" s="10" t="n">
        <x:f>F1302/1</x:f>
        <x:v>8.741059836740549</x:v>
      </x:c>
      <x:c r="AC1302" s="10" t="n">
        <x:f>AB1302/'Assumptions'!$AM$44</x:f>
        <x:v>43.70529918370274</x:v>
      </x:c>
      <x:c r="AD1302" s="10" t="n">
        <x:f>IF(AB1302=0,0,T1302/AB1302)</x:f>
        <x:v>90.40880073311723</x:v>
      </x:c>
      <x:c r="AE1302" s="10" t="n">
        <x:f>AA1302*'Assumptions'!$D$21</x:f>
        <x:v>0</x:v>
      </x:c>
    </x:row>
    <x:row r="1303" ht="16" customHeight="1">
      <x:c r="A1303" s="1"/>
      <x:c r="B1303" s="1"/>
      <x:c r="C1303" s="1" t="str">
        <x:v>DOT-016</x:v>
      </x:c>
      <x:c r="D1303" s="10" t="str">
        <x:v>BPA professional services</x:v>
      </x:c>
      <x:c r="E1303" s="10" t="n">
        <x:v>11</x:v>
      </x:c>
      <x:c r="F1303" s="21" t="n">
        <x:f>F1175*(1+'Assumptions'!$M$45)</x:f>
        <x:v>5.244635902044329</x:v>
      </x:c>
      <x:c r="G1303" s="21" t="n">
        <x:f>H1175*'Assumptions'!$K$45</x:f>
        <x:v>4.939239574452197</x:v>
      </x:c>
      <x:c r="H1303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1303+G1303,NA())</x:f>
        <x:v>10.183875476496524</x:v>
      </x:c>
      <x:c r="I1303" s="22" t="n">
        <x:f>'Assumptions'!$H$45*IF('Assumptions'!$O$45=1,1,'Assumptions'!$D$10)*(1+'Assumptions'!$N$45)^(11-1)</x:f>
        <x:v>1800</x:v>
      </x:c>
      <x:c r="J1303" s="10" t="n">
        <x:f>H1303*I1303</x:f>
        <x:v>18330.975857693746</x:v>
      </x:c>
      <x:c r="K1303" s="10" t="n">
        <x:f>J1303*'Assumptions'!$T$45</x:f>
        <x:v>18330.975857693746</x:v>
      </x:c>
      <x:c r="L1303" s="10" t="n">
        <x:f>K1303*'Assumptions'!$U$45</x:f>
        <x:v>549.9292757308124</x:v>
      </x:c>
      <x:c r="M1303" s="10" t="n">
        <x:f>K1303*'Assumptions'!$V$45</x:f>
        <x:v>0</x:v>
      </x:c>
      <x:c r="N1303" s="10" t="n">
        <x:f>K1303-L1303-M1303</x:f>
        <x:v>17781.04658196293</x:v>
      </x:c>
      <x:c r="O1303" s="10" t="n">
        <x:f>H1303*'Assumptions'!$P$45*'Assumptions'!$Q$45*'Assumptions'!$D$11*(1+'Assumptions'!$D$13)^(11-1)</x:f>
        <x:v>4105.883117419382</x:v>
      </x:c>
      <x:c r="P1303" s="10" t="n">
        <x:f>H1303*'Assumptions'!$R$45*'Assumptions'!$D$11*(1+'Assumptions'!$D$13)^(11-1)</x:f>
        <x:v>136.86277058064607</x:v>
      </x:c>
      <x:c r="Q1303" s="10" t="n">
        <x:f>J1303*'Assumptions'!$S$45</x:f>
        <x:v>0</x:v>
      </x:c>
      <x:c r="R1303" s="10" t="n">
        <x:f>H1303*'Assumptions'!$Y$45*'Assumptions'!$Z$45*'Assumptions'!$D$11*(1+'Assumptions'!$D$13)^(11-1)</x:f>
        <x:v>102.64707793548455</x:v>
      </x:c>
      <x:c r="S1303" s="10" t="n">
        <x:f>IF(I1303=0,0,J1303*'Assumptions'!$W$45+H1303*'Assumptions'!$X$45)</x:f>
        <x:v>534.6534625160676</x:v>
      </x:c>
      <x:c r="T1303" s="10" t="n">
        <x:f>N1303*'Assumptions'!$AA$45</x:f>
        <x:v>711.2418632785173</x:v>
      </x:c>
      <x:c r="U1303" s="10" t="n">
        <x:f>'Assumptions'!$AE$45*'Assumptions'!$D$11*(1+'Assumptions'!$D$13)^(11-1)</x:f>
        <x:v>0</x:v>
      </x:c>
      <x:c r="V1303" s="10" t="n">
        <x:f>0</x:f>
        <x:v>0</x:v>
      </x:c>
      <x:c r="W1303" s="10" t="n">
        <x:f>H1303*('Assumptions'!$P$45+'Assumptions'!$Y$45)</x:f>
        <x:v>53.46534625160675</x:v>
      </x:c>
      <x:c r="X1303" s="10" t="n">
        <x:f>N1303/12*'Assumptions'!$AF$45</x:f>
        <x:v>1481.7538818302444</x:v>
      </x:c>
      <x:c r="Y1303" s="10" t="n">
        <x:f>P1303/12</x:f>
        <x:v>11.405230881720506</x:v>
      </x:c>
      <x:c r="Z1303" s="10" t="n">
        <x:f>0</x:f>
        <x:v>0</x:v>
      </x:c>
      <x:c r="AA1303" s="10" t="n">
        <x:f>Z1303*'Assumptions'!$AC$45*'Assumptions'!$D$11*(1+'Assumptions'!$D$13)^(11-1)</x:f>
        <x:v>0</x:v>
      </x:c>
      <x:c r="AB1303" s="10" t="n">
        <x:f>F1303/1</x:f>
        <x:v>5.244635902044329</x:v>
      </x:c>
      <x:c r="AC1303" s="10" t="n">
        <x:f>AB1303/'Assumptions'!$AM$45</x:f>
        <x:v>26.22317951022164</x:v>
      </x:c>
      <x:c r="AD1303" s="10" t="n">
        <x:f>IF(AB1303=0,0,T1303/AB1303)</x:f>
        <x:v>135.61320109967582</x:v>
      </x:c>
      <x:c r="AE1303" s="10" t="n">
        <x:f>AA1303*'Assumptions'!$D$21</x:f>
        <x:v>0</x:v>
      </x:c>
    </x:row>
    <x:row r="1304" ht="16" customHeight="1">
      <x:c r="A1304" s="1"/>
      <x:c r="B1304" s="1"/>
      <x:c r="C1304" s="1" t="str">
        <x:v>DOT-017</x:v>
      </x:c>
      <x:c r="D1304" s="10" t="str">
        <x:v>BPA professional services</x:v>
      </x:c>
      <x:c r="E1304" s="10" t="n">
        <x:v>11</x:v>
      </x:c>
      <x:c r="F1304" s="21" t="n">
        <x:f>F1176*(1+'Assumptions'!$M$46)</x:f>
        <x:v>5.244635902044329</x:v>
      </x:c>
      <x:c r="G1304" s="21" t="n">
        <x:f>H1176*'Assumptions'!$K$46</x:f>
        <x:v>4.939239574452197</x:v>
      </x:c>
      <x:c r="H1304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1304+G1304,NA())</x:f>
        <x:v>10.183875476496524</x:v>
      </x:c>
      <x:c r="I1304" s="22" t="n">
        <x:f>'Assumptions'!$H$46*IF('Assumptions'!$O$46=1,1,'Assumptions'!$D$10)*(1+'Assumptions'!$N$46)^(11-1)</x:f>
        <x:v>1500</x:v>
      </x:c>
      <x:c r="J1304" s="10" t="n">
        <x:f>H1304*I1304</x:f>
        <x:v>15275.813214744787</x:v>
      </x:c>
      <x:c r="K1304" s="10" t="n">
        <x:f>J1304*'Assumptions'!$T$46</x:f>
        <x:v>15275.813214744787</x:v>
      </x:c>
      <x:c r="L1304" s="10" t="n">
        <x:f>K1304*'Assumptions'!$U$46</x:f>
        <x:v>458.2743964423436</x:v>
      </x:c>
      <x:c r="M1304" s="10" t="n">
        <x:f>K1304*'Assumptions'!$V$46</x:f>
        <x:v>0</x:v>
      </x:c>
      <x:c r="N1304" s="10" t="n">
        <x:f>K1304-L1304-M1304</x:f>
        <x:v>14817.538818302442</x:v>
      </x:c>
      <x:c r="O1304" s="10" t="n">
        <x:f>H1304*'Assumptions'!$P$46*'Assumptions'!$Q$46*'Assumptions'!$D$11*(1+'Assumptions'!$D$13)^(11-1)</x:f>
        <x:v>4927.059740903258</x:v>
      </x:c>
      <x:c r="P1304" s="10" t="n">
        <x:f>H1304*'Assumptions'!$R$46*'Assumptions'!$D$11*(1+'Assumptions'!$D$13)^(11-1)</x:f>
        <x:v>136.86277058064607</x:v>
      </x:c>
      <x:c r="Q1304" s="10" t="n">
        <x:f>J1304*'Assumptions'!$S$46</x:f>
        <x:v>0</x:v>
      </x:c>
      <x:c r="R1304" s="10" t="n">
        <x:f>H1304*'Assumptions'!$Y$46*'Assumptions'!$Z$46*'Assumptions'!$D$11*(1+'Assumptions'!$D$13)^(11-1)</x:f>
        <x:v>102.64707793548455</x:v>
      </x:c>
      <x:c r="S1304" s="10" t="n">
        <x:f>IF(I1304=0,0,J1304*'Assumptions'!$W$46+H1304*'Assumptions'!$X$46)</x:f>
        <x:v>446.0537458705478</x:v>
      </x:c>
      <x:c r="T1304" s="10" t="n">
        <x:f>N1304*'Assumptions'!$AA$46</x:f>
        <x:v>592.7015527320978</x:v>
      </x:c>
      <x:c r="U1304" s="10" t="n">
        <x:f>'Assumptions'!$AE$46*'Assumptions'!$D$11*(1+'Assumptions'!$D$13)^(11-1)</x:f>
        <x:v>0</x:v>
      </x:c>
      <x:c r="V1304" s="10" t="n">
        <x:f>0</x:f>
        <x:v>0</x:v>
      </x:c>
      <x:c r="W1304" s="10" t="n">
        <x:f>H1304*('Assumptions'!$P$46+'Assumptions'!$Y$46)</x:f>
        <x:v>63.64922172810328</x:v>
      </x:c>
      <x:c r="X1304" s="10" t="n">
        <x:f>N1304/12*'Assumptions'!$AF$46</x:f>
        <x:v>1234.7949015252036</x:v>
      </x:c>
      <x:c r="Y1304" s="10" t="n">
        <x:f>P1304/12</x:f>
        <x:v>11.405230881720506</x:v>
      </x:c>
      <x:c r="Z1304" s="10" t="n">
        <x:f>0</x:f>
        <x:v>0</x:v>
      </x:c>
      <x:c r="AA1304" s="10" t="n">
        <x:f>Z1304*'Assumptions'!$AC$46*'Assumptions'!$D$11*(1+'Assumptions'!$D$13)^(11-1)</x:f>
        <x:v>0</x:v>
      </x:c>
      <x:c r="AB1304" s="10" t="n">
        <x:f>F1304/1</x:f>
        <x:v>5.244635902044329</x:v>
      </x:c>
      <x:c r="AC1304" s="10" t="n">
        <x:f>AB1304/'Assumptions'!$AM$46</x:f>
        <x:v>26.22317951022164</x:v>
      </x:c>
      <x:c r="AD1304" s="10" t="n">
        <x:f>IF(AB1304=0,0,T1304/AB1304)</x:f>
        <x:v>113.01100091639653</x:v>
      </x:c>
      <x:c r="AE1304" s="10" t="n">
        <x:f>AA1304*'Assumptions'!$D$21</x:f>
        <x:v>0</x:v>
      </x:c>
    </x:row>
    <x:row r="1305" ht="16" customHeight="1">
      <x:c r="A1305" s="1"/>
      <x:c r="B1305" s="1"/>
      <x:c r="C1305" s="1" t="str">
        <x:v>DOT-018</x:v>
      </x:c>
      <x:c r="D1305" s="10" t="str">
        <x:v>BPA professional services</x:v>
      </x:c>
      <x:c r="E1305" s="10" t="n">
        <x:v>11</x:v>
      </x:c>
      <x:c r="F1305" s="21" t="n">
        <x:f>F1177*(1+'Assumptions'!$M$47)</x:f>
        <x:v>6.99284786939244</x:v>
      </x:c>
      <x:c r="G1305" s="21" t="n">
        <x:f>H1177*'Assumptions'!$K$47</x:f>
        <x:v>6.585652765936263</x:v>
      </x:c>
      <x:c r="H1305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1305+G1305,NA())</x:f>
        <x:v>13.578500635328703</x:v>
      </x:c>
      <x:c r="I1305" s="22" t="n">
        <x:f>'Assumptions'!$H$47*IF('Assumptions'!$O$47=1,1,'Assumptions'!$D$10)*(1+'Assumptions'!$N$47)^(11-1)</x:f>
        <x:v>1200</x:v>
      </x:c>
      <x:c r="J1305" s="10" t="n">
        <x:f>H1305*I1305</x:f>
        <x:v>16294.200762394445</x:v>
      </x:c>
      <x:c r="K1305" s="10" t="n">
        <x:f>J1305*'Assumptions'!$T$47</x:f>
        <x:v>16294.200762394445</x:v>
      </x:c>
      <x:c r="L1305" s="10" t="n">
        <x:f>K1305*'Assumptions'!$U$47</x:f>
        <x:v>488.82602287183335</x:v>
      </x:c>
      <x:c r="M1305" s="10" t="n">
        <x:f>K1305*'Assumptions'!$V$47</x:f>
        <x:v>0</x:v>
      </x:c>
      <x:c r="N1305" s="10" t="n">
        <x:f>K1305-L1305-M1305</x:f>
        <x:v>15805.374739522611</x:v>
      </x:c>
      <x:c r="O1305" s="10" t="n">
        <x:f>H1305*'Assumptions'!$P$47*'Assumptions'!$Q$47*'Assumptions'!$D$11*(1+'Assumptions'!$D$13)^(11-1)</x:f>
        <x:v>4379.608658580675</x:v>
      </x:c>
      <x:c r="P1305" s="10" t="n">
        <x:f>H1305*'Assumptions'!$R$47*'Assumptions'!$D$11*(1+'Assumptions'!$D$13)^(11-1)</x:f>
        <x:v>182.48369410752815</x:v>
      </x:c>
      <x:c r="Q1305" s="10" t="n">
        <x:f>J1305*'Assumptions'!$S$47</x:f>
        <x:v>0</x:v>
      </x:c>
      <x:c r="R1305" s="10" t="n">
        <x:f>H1305*'Assumptions'!$Y$47*'Assumptions'!$Z$47*'Assumptions'!$D$11*(1+'Assumptions'!$D$13)^(11-1)</x:f>
        <x:v>136.8627705806461</x:v>
      </x:c>
      <x:c r="S1305" s="10" t="n">
        <x:f>IF(I1305=0,0,J1305*'Assumptions'!$W$47+H1305*'Assumptions'!$X$47)</x:f>
        <x:v>476.6053723000375</x:v>
      </x:c>
      <x:c r="T1305" s="10" t="n">
        <x:f>N1305*'Assumptions'!$AA$47</x:f>
        <x:v>632.2149895809044</x:v>
      </x:c>
      <x:c r="U1305" s="10" t="n">
        <x:f>'Assumptions'!$AE$47*'Assumptions'!$D$11*(1+'Assumptions'!$D$13)^(11-1)</x:f>
        <x:v>0</x:v>
      </x:c>
      <x:c r="V1305" s="10" t="n">
        <x:f>0</x:f>
        <x:v>0</x:v>
      </x:c>
      <x:c r="W1305" s="10" t="n">
        <x:f>H1305*('Assumptions'!$P$47+'Assumptions'!$Y$47)</x:f>
        <x:v>57.70862770014699</x:v>
      </x:c>
      <x:c r="X1305" s="10" t="n">
        <x:f>N1305/12*'Assumptions'!$AF$47</x:f>
        <x:v>1317.1145616268843</x:v>
      </x:c>
      <x:c r="Y1305" s="10" t="n">
        <x:f>P1305/12</x:f>
        <x:v>15.206974508960679</x:v>
      </x:c>
      <x:c r="Z1305" s="10" t="n">
        <x:f>0</x:f>
        <x:v>0</x:v>
      </x:c>
      <x:c r="AA1305" s="10" t="n">
        <x:f>Z1305*'Assumptions'!$AC$47*'Assumptions'!$D$11*(1+'Assumptions'!$D$13)^(11-1)</x:f>
        <x:v>0</x:v>
      </x:c>
      <x:c r="AB1305" s="10" t="n">
        <x:f>F1305/1</x:f>
        <x:v>6.99284786939244</x:v>
      </x:c>
      <x:c r="AC1305" s="10" t="n">
        <x:f>AB1305/'Assumptions'!$AM$47</x:f>
        <x:v>34.964239346962195</x:v>
      </x:c>
      <x:c r="AD1305" s="10" t="n">
        <x:f>IF(AB1305=0,0,T1305/AB1305)</x:f>
        <x:v>90.40880073311722</x:v>
      </x:c>
      <x:c r="AE1305" s="10" t="n">
        <x:f>AA1305*'Assumptions'!$D$21</x:f>
        <x:v>0</x:v>
      </x:c>
    </x:row>
    <x:row r="1306" ht="16" customHeight="1">
      <x:c r="A1306" s="1"/>
      <x:c r="B1306" s="1"/>
      <x:c r="C1306" s="1" t="str">
        <x:v>DOT-019</x:v>
      </x:c>
      <x:c r="D1306" s="10" t="str">
        <x:v>BPA professional services</x:v>
      </x:c>
      <x:c r="E1306" s="10" t="n">
        <x:v>11</x:v>
      </x:c>
      <x:c r="F1306" s="21" t="n">
        <x:f>F1178*(1+'Assumptions'!$M$48)</x:f>
        <x:v>3.49642393469622</x:v>
      </x:c>
      <x:c r="G1306" s="21" t="n">
        <x:f>H1178*'Assumptions'!$K$48</x:f>
        <x:v>3.2928263829681317</x:v>
      </x:c>
      <x:c r="H1306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1306+G1306,NA())</x:f>
        <x:v>6.789250317664352</x:v>
      </x:c>
      <x:c r="I1306" s="22" t="n">
        <x:f>'Assumptions'!$H$48*IF('Assumptions'!$O$48=1,1,'Assumptions'!$D$10)*(1+'Assumptions'!$N$48)^(11-1)</x:f>
        <x:v>3000</x:v>
      </x:c>
      <x:c r="J1306" s="10" t="n">
        <x:f>H1306*I1306</x:f>
        <x:v>20367.750952993054</x:v>
      </x:c>
      <x:c r="K1306" s="10" t="n">
        <x:f>J1306*'Assumptions'!$T$48</x:f>
        <x:v>20367.750952993054</x:v>
      </x:c>
      <x:c r="L1306" s="10" t="n">
        <x:f>K1306*'Assumptions'!$U$48</x:f>
        <x:v>611.0325285897916</x:v>
      </x:c>
      <x:c r="M1306" s="10" t="n">
        <x:f>K1306*'Assumptions'!$V$48</x:f>
        <x:v>0</x:v>
      </x:c>
      <x:c r="N1306" s="10" t="n">
        <x:f>K1306-L1306-M1306</x:f>
        <x:v>19756.71842440326</x:v>
      </x:c>
      <x:c r="O1306" s="10" t="n">
        <x:f>H1306*'Assumptions'!$P$48*'Assumptions'!$Q$48*'Assumptions'!$D$11*(1+'Assumptions'!$D$13)^(11-1)</x:f>
        <x:v>6569.412987871014</x:v>
      </x:c>
      <x:c r="P1306" s="10" t="n">
        <x:f>H1306*'Assumptions'!$R$48*'Assumptions'!$D$11*(1+'Assumptions'!$D$13)^(11-1)</x:f>
        <x:v>91.24184705376408</x:v>
      </x:c>
      <x:c r="Q1306" s="10" t="n">
        <x:f>J1306*'Assumptions'!$S$48</x:f>
        <x:v>0</x:v>
      </x:c>
      <x:c r="R1306" s="10" t="n">
        <x:f>H1306*'Assumptions'!$Y$48*'Assumptions'!$Z$48*'Assumptions'!$D$11*(1+'Assumptions'!$D$13)^(11-1)</x:f>
        <x:v>68.43138529032305</x:v>
      </x:c>
      <x:c r="S1306" s="10" t="n">
        <x:f>IF(I1306=0,0,J1306*'Assumptions'!$W$48+H1306*'Assumptions'!$X$48)</x:f>
        <x:v>592.7015527320979</x:v>
      </x:c>
      <x:c r="T1306" s="10" t="n">
        <x:f>N1306*'Assumptions'!$AA$48</x:f>
        <x:v>790.2687369761305</x:v>
      </x:c>
      <x:c r="U1306" s="10" t="n">
        <x:f>'Assumptions'!$AE$48*'Assumptions'!$D$11*(1+'Assumptions'!$D$13)^(11-1)</x:f>
        <x:v>0</x:v>
      </x:c>
      <x:c r="V1306" s="10" t="n">
        <x:f>0</x:f>
        <x:v>0</x:v>
      </x:c>
      <x:c r="W1306" s="10" t="n">
        <x:f>H1306*('Assumptions'!$P$48+'Assumptions'!$Y$48)</x:f>
        <x:v>83.1683163913883</x:v>
      </x:c>
      <x:c r="X1306" s="10" t="n">
        <x:f>N1306/12*'Assumptions'!$AF$48</x:f>
        <x:v>1646.3932020336051</x:v>
      </x:c>
      <x:c r="Y1306" s="10" t="n">
        <x:f>P1306/12</x:f>
        <x:v>7.603487254480339</x:v>
      </x:c>
      <x:c r="Z1306" s="10" t="n">
        <x:f>0</x:f>
        <x:v>0</x:v>
      </x:c>
      <x:c r="AA1306" s="10" t="n">
        <x:f>Z1306*'Assumptions'!$AC$48*'Assumptions'!$D$11*(1+'Assumptions'!$D$13)^(11-1)</x:f>
        <x:v>0</x:v>
      </x:c>
      <x:c r="AB1306" s="10" t="n">
        <x:f>F1306/1</x:f>
        <x:v>3.49642393469622</x:v>
      </x:c>
      <x:c r="AC1306" s="10" t="n">
        <x:f>AB1306/'Assumptions'!$AM$48</x:f>
        <x:v>17.482119673481098</x:v>
      </x:c>
      <x:c r="AD1306" s="10" t="n">
        <x:f>IF(AB1306=0,0,T1306/AB1306)</x:f>
        <x:v>226.02200183279305</x:v>
      </x:c>
      <x:c r="AE1306" s="10" t="n">
        <x:f>AA1306*'Assumptions'!$D$21</x:f>
        <x:v>0</x:v>
      </x:c>
    </x:row>
    <x:row r="1307" ht="16" customHeight="1">
      <x:c r="A1307" s="1"/>
      <x:c r="B1307" s="1"/>
      <x:c r="C1307" s="1" t="str">
        <x:v>DOT-020</x:v>
      </x:c>
      <x:c r="D1307" s="10" t="str">
        <x:v>BPA professional services</x:v>
      </x:c>
      <x:c r="E1307" s="10" t="n">
        <x:v>11</x:v>
      </x:c>
      <x:c r="F1307" s="21" t="n">
        <x:f>F1179*(1+'Assumptions'!$M$49)</x:f>
        <x:v>5.244635902044329</x:v>
      </x:c>
      <x:c r="G1307" s="21" t="n">
        <x:f>H1179*'Assumptions'!$K$49</x:f>
        <x:v>4.939239574452197</x:v>
      </x:c>
      <x:c r="H1307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1307+G1307,NA())</x:f>
        <x:v>10.183875476496524</x:v>
      </x:c>
      <x:c r="I1307" s="22" t="n">
        <x:f>'Assumptions'!$H$49*IF('Assumptions'!$O$49=1,1,'Assumptions'!$D$10)*(1+'Assumptions'!$N$49)^(11-1)</x:f>
        <x:v>1800</x:v>
      </x:c>
      <x:c r="J1307" s="10" t="n">
        <x:f>H1307*I1307</x:f>
        <x:v>18330.975857693746</x:v>
      </x:c>
      <x:c r="K1307" s="10" t="n">
        <x:f>J1307*'Assumptions'!$T$49</x:f>
        <x:v>18330.975857693746</x:v>
      </x:c>
      <x:c r="L1307" s="10" t="n">
        <x:f>K1307*'Assumptions'!$U$49</x:f>
        <x:v>549.9292757308124</x:v>
      </x:c>
      <x:c r="M1307" s="10" t="n">
        <x:f>K1307*'Assumptions'!$V$49</x:f>
        <x:v>0</x:v>
      </x:c>
      <x:c r="N1307" s="10" t="n">
        <x:f>K1307-L1307-M1307</x:f>
        <x:v>17781.04658196293</x:v>
      </x:c>
      <x:c r="O1307" s="10" t="n">
        <x:f>H1307*'Assumptions'!$P$49*'Assumptions'!$Q$49*'Assumptions'!$D$11*(1+'Assumptions'!$D$13)^(11-1)</x:f>
        <x:v>4927.059740903258</x:v>
      </x:c>
      <x:c r="P1307" s="10" t="n">
        <x:f>H1307*'Assumptions'!$R$49*'Assumptions'!$D$11*(1+'Assumptions'!$D$13)^(11-1)</x:f>
        <x:v>136.86277058064607</x:v>
      </x:c>
      <x:c r="Q1307" s="10" t="n">
        <x:f>J1307*'Assumptions'!$S$49</x:f>
        <x:v>0</x:v>
      </x:c>
      <x:c r="R1307" s="10" t="n">
        <x:f>H1307*'Assumptions'!$Y$49*'Assumptions'!$Z$49*'Assumptions'!$D$11*(1+'Assumptions'!$D$13)^(11-1)</x:f>
        <x:v>102.64707793548455</x:v>
      </x:c>
      <x:c r="S1307" s="10" t="n">
        <x:f>IF(I1307=0,0,J1307*'Assumptions'!$W$49+H1307*'Assumptions'!$X$49)</x:f>
        <x:v>534.6534625160676</x:v>
      </x:c>
      <x:c r="T1307" s="10" t="n">
        <x:f>N1307*'Assumptions'!$AA$49</x:f>
        <x:v>711.2418632785173</x:v>
      </x:c>
      <x:c r="U1307" s="10" t="n">
        <x:f>'Assumptions'!$AE$49*'Assumptions'!$D$11*(1+'Assumptions'!$D$13)^(11-1)</x:f>
        <x:v>0</x:v>
      </x:c>
      <x:c r="V1307" s="10" t="n">
        <x:f>0</x:f>
        <x:v>0</x:v>
      </x:c>
      <x:c r="W1307" s="10" t="n">
        <x:f>H1307*('Assumptions'!$P$49+'Assumptions'!$Y$49)</x:f>
        <x:v>63.64922172810328</x:v>
      </x:c>
      <x:c r="X1307" s="10" t="n">
        <x:f>N1307/12*'Assumptions'!$AF$49</x:f>
        <x:v>1481.7538818302444</x:v>
      </x:c>
      <x:c r="Y1307" s="10" t="n">
        <x:f>P1307/12</x:f>
        <x:v>11.405230881720506</x:v>
      </x:c>
      <x:c r="Z1307" s="10" t="n">
        <x:f>0</x:f>
        <x:v>0</x:v>
      </x:c>
      <x:c r="AA1307" s="10" t="n">
        <x:f>Z1307*'Assumptions'!$AC$49*'Assumptions'!$D$11*(1+'Assumptions'!$D$13)^(11-1)</x:f>
        <x:v>0</x:v>
      </x:c>
      <x:c r="AB1307" s="10" t="n">
        <x:f>F1307/1</x:f>
        <x:v>5.244635902044329</x:v>
      </x:c>
      <x:c r="AC1307" s="10" t="n">
        <x:f>AB1307/'Assumptions'!$AM$49</x:f>
        <x:v>26.22317951022164</x:v>
      </x:c>
      <x:c r="AD1307" s="10" t="n">
        <x:f>IF(AB1307=0,0,T1307/AB1307)</x:f>
        <x:v>135.61320109967582</x:v>
      </x:c>
      <x:c r="AE1307" s="10" t="n">
        <x:f>AA1307*'Assumptions'!$D$21</x:f>
        <x:v>0</x:v>
      </x:c>
    </x:row>
    <x:row r="1308" ht="16" customHeight="1">
      <x:c r="A1308" s="1"/>
      <x:c r="B1308" s="1"/>
      <x:c r="C1308" s="1" t="str">
        <x:v>DOT-021</x:v>
      </x:c>
      <x:c r="D1308" s="10" t="str">
        <x:v>BPA professional services</x:v>
      </x:c>
      <x:c r="E1308" s="10" t="n">
        <x:v>11</x:v>
      </x:c>
      <x:c r="F1308" s="21" t="n">
        <x:f>F1180*(1+'Assumptions'!$M$50)</x:f>
        <x:v>3.49642393469622</x:v>
      </x:c>
      <x:c r="G1308" s="21" t="n">
        <x:f>H1180*'Assumptions'!$K$50</x:f>
        <x:v>3.2928263829681317</x:v>
      </x:c>
      <x:c r="H1308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1308+G1308,NA())</x:f>
        <x:v>6.789250317664352</x:v>
      </x:c>
      <x:c r="I1308" s="22" t="n">
        <x:f>'Assumptions'!$H$50*IF('Assumptions'!$O$50=1,1,'Assumptions'!$D$10)*(1+'Assumptions'!$N$50)^(11-1)</x:f>
        <x:v>4200</x:v>
      </x:c>
      <x:c r="J1308" s="10" t="n">
        <x:f>H1308*I1308</x:f>
        <x:v>28514.851334190276</x:v>
      </x:c>
      <x:c r="K1308" s="10" t="n">
        <x:f>J1308*'Assumptions'!$T$50</x:f>
        <x:v>28514.851334190276</x:v>
      </x:c>
      <x:c r="L1308" s="10" t="n">
        <x:f>K1308*'Assumptions'!$U$50</x:f>
        <x:v>855.4455400257083</x:v>
      </x:c>
      <x:c r="M1308" s="10" t="n">
        <x:f>K1308*'Assumptions'!$V$50</x:f>
        <x:v>0</x:v>
      </x:c>
      <x:c r="N1308" s="10" t="n">
        <x:f>K1308-L1308-M1308</x:f>
        <x:v>27659.40579416457</x:v>
      </x:c>
      <x:c r="O1308" s="10" t="n">
        <x:f>H1308*'Assumptions'!$P$50*'Assumptions'!$Q$50*'Assumptions'!$D$11*(1+'Assumptions'!$D$13)^(11-1)</x:f>
        <x:v>6569.412987871014</x:v>
      </x:c>
      <x:c r="P1308" s="10" t="n">
        <x:f>H1308*'Assumptions'!$R$50*'Assumptions'!$D$11*(1+'Assumptions'!$D$13)^(11-1)</x:f>
        <x:v>91.24184705376408</x:v>
      </x:c>
      <x:c r="Q1308" s="10" t="n">
        <x:f>J1308*'Assumptions'!$S$50</x:f>
        <x:v>0</x:v>
      </x:c>
      <x:c r="R1308" s="10" t="n">
        <x:f>H1308*'Assumptions'!$Y$50*'Assumptions'!$Z$50*'Assumptions'!$D$11*(1+'Assumptions'!$D$13)^(11-1)</x:f>
        <x:v>68.43138529032305</x:v>
      </x:c>
      <x:c r="S1308" s="10" t="n">
        <x:f>IF(I1308=0,0,J1308*'Assumptions'!$W$50+H1308*'Assumptions'!$X$50)</x:f>
        <x:v>828.9674637868173</x:v>
      </x:c>
      <x:c r="T1308" s="10" t="n">
        <x:f>N1308*'Assumptions'!$AA$50</x:f>
        <x:v>1106.3762317665828</x:v>
      </x:c>
      <x:c r="U1308" s="10" t="n">
        <x:f>'Assumptions'!$AE$50*'Assumptions'!$D$11*(1+'Assumptions'!$D$13)^(11-1)</x:f>
        <x:v>0</x:v>
      </x:c>
      <x:c r="V1308" s="10" t="n">
        <x:f>0</x:f>
        <x:v>0</x:v>
      </x:c>
      <x:c r="W1308" s="10" t="n">
        <x:f>H1308*('Assumptions'!$P$50+'Assumptions'!$Y$50)</x:f>
        <x:v>83.1683163913883</x:v>
      </x:c>
      <x:c r="X1308" s="10" t="n">
        <x:f>N1308/12*'Assumptions'!$AF$50</x:f>
        <x:v>2304.9504828470476</x:v>
      </x:c>
      <x:c r="Y1308" s="10" t="n">
        <x:f>P1308/12</x:f>
        <x:v>7.603487254480339</x:v>
      </x:c>
      <x:c r="Z1308" s="10" t="n">
        <x:f>0</x:f>
        <x:v>0</x:v>
      </x:c>
      <x:c r="AA1308" s="10" t="n">
        <x:f>Z1308*'Assumptions'!$AC$50*'Assumptions'!$D$11*(1+'Assumptions'!$D$13)^(11-1)</x:f>
        <x:v>0</x:v>
      </x:c>
      <x:c r="AB1308" s="10" t="n">
        <x:f>F1308/1</x:f>
        <x:v>3.49642393469622</x:v>
      </x:c>
      <x:c r="AC1308" s="10" t="n">
        <x:f>AB1308/'Assumptions'!$AM$50</x:f>
        <x:v>17.482119673481098</x:v>
      </x:c>
      <x:c r="AD1308" s="10" t="n">
        <x:f>IF(AB1308=0,0,T1308/AB1308)</x:f>
        <x:v>316.4308025659103</x:v>
      </x:c>
      <x:c r="AE1308" s="10" t="n">
        <x:f>AA1308*'Assumptions'!$D$21</x:f>
        <x:v>0</x:v>
      </x:c>
    </x:row>
    <x:row r="1309" ht="16" customHeight="1">
      <x:c r="A1309" s="1"/>
      <x:c r="B1309" s="1"/>
      <x:c r="C1309" s="1" t="str">
        <x:v>DOT-022</x:v>
      </x:c>
      <x:c r="D1309" s="10" t="str">
        <x:v>BPA professional services</x:v>
      </x:c>
      <x:c r="E1309" s="10" t="n">
        <x:v>11</x:v>
      </x:c>
      <x:c r="F1309" s="21" t="n">
        <x:f>F1181*(1+'Assumptions'!$M$51)</x:f>
        <x:v>13.98569573878488</x:v>
      </x:c>
      <x:c r="G1309" s="21" t="n">
        <x:f>H1181*'Assumptions'!$K$51</x:f>
        <x:v>13.171305531872527</x:v>
      </x:c>
      <x:c r="H1309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1309+G1309,NA())</x:f>
        <x:v>27.157001270657407</x:v>
      </x:c>
      <x:c r="I1309" s="22" t="n">
        <x:f>'Assumptions'!$H$51*IF('Assumptions'!$O$51=1,1,'Assumptions'!$D$10)*(1+'Assumptions'!$N$51)^(11-1)</x:f>
        <x:v>900</x:v>
      </x:c>
      <x:c r="J1309" s="10" t="n">
        <x:f>H1309*I1309</x:f>
        <x:v>24441.301143591667</x:v>
      </x:c>
      <x:c r="K1309" s="10" t="n">
        <x:f>J1309*'Assumptions'!$T$51</x:f>
        <x:v>24441.301143591667</x:v>
      </x:c>
      <x:c r="L1309" s="10" t="n">
        <x:f>K1309*'Assumptions'!$U$51</x:f>
        <x:v>733.23903430775</x:v>
      </x:c>
      <x:c r="M1309" s="10" t="n">
        <x:f>K1309*'Assumptions'!$V$51</x:f>
        <x:v>0</x:v>
      </x:c>
      <x:c r="N1309" s="10" t="n">
        <x:f>K1309-L1309-M1309</x:f>
        <x:v>23708.062109283917</x:v>
      </x:c>
      <x:c r="O1309" s="10" t="n">
        <x:f>H1309*'Assumptions'!$P$51*'Assumptions'!$Q$51*'Assumptions'!$D$11*(1+'Assumptions'!$D$13)^(11-1)</x:f>
        <x:v>6569.412987871014</x:v>
      </x:c>
      <x:c r="P1309" s="10" t="n">
        <x:f>H1309*'Assumptions'!$R$51*'Assumptions'!$D$11*(1+'Assumptions'!$D$13)^(11-1)</x:f>
        <x:v>364.9673882150563</x:v>
      </x:c>
      <x:c r="Q1309" s="10" t="n">
        <x:f>J1309*'Assumptions'!$S$51</x:f>
        <x:v>0</x:v>
      </x:c>
      <x:c r="R1309" s="10" t="n">
        <x:f>H1309*'Assumptions'!$Y$51*'Assumptions'!$Z$51*'Assumptions'!$D$11*(1+'Assumptions'!$D$13)^(11-1)</x:f>
        <x:v>273.7255411612922</x:v>
      </x:c>
      <x:c r="S1309" s="10" t="n">
        <x:f>IF(I1309=0,0,J1309*'Assumptions'!$W$51+H1309*'Assumptions'!$X$51)</x:f>
        <x:v>716.9448335453556</x:v>
      </x:c>
      <x:c r="T1309" s="10" t="n">
        <x:f>N1309*'Assumptions'!$AA$51</x:f>
        <x:v>948.3224843713567</x:v>
      </x:c>
      <x:c r="U1309" s="10" t="n">
        <x:f>'Assumptions'!$AE$51*'Assumptions'!$D$11*(1+'Assumptions'!$D$13)^(11-1)</x:f>
        <x:v>0</x:v>
      </x:c>
      <x:c r="V1309" s="10" t="n">
        <x:f>0</x:f>
        <x:v>0</x:v>
      </x:c>
      <x:c r="W1309" s="10" t="n">
        <x:f>H1309*('Assumptions'!$P$51+'Assumptions'!$Y$51)</x:f>
        <x:v>88.26025412963658</x:v>
      </x:c>
      <x:c r="X1309" s="10" t="n">
        <x:f>N1309/12*'Assumptions'!$AF$51</x:f>
        <x:v>1975.6718424403264</x:v>
      </x:c>
      <x:c r="Y1309" s="10" t="n">
        <x:f>P1309/12</x:f>
        <x:v>30.413949017921357</x:v>
      </x:c>
      <x:c r="Z1309" s="10" t="n">
        <x:f>0</x:f>
        <x:v>0</x:v>
      </x:c>
      <x:c r="AA1309" s="10" t="n">
        <x:f>Z1309*'Assumptions'!$AC$51*'Assumptions'!$D$11*(1+'Assumptions'!$D$13)^(11-1)</x:f>
        <x:v>0</x:v>
      </x:c>
      <x:c r="AB1309" s="10" t="n">
        <x:f>F1309/1</x:f>
        <x:v>13.98569573878488</x:v>
      </x:c>
      <x:c r="AC1309" s="10" t="n">
        <x:f>AB1309/'Assumptions'!$AM$51</x:f>
        <x:v>69.92847869392439</x:v>
      </x:c>
      <x:c r="AD1309" s="10" t="n">
        <x:f>IF(AB1309=0,0,T1309/AB1309)</x:f>
        <x:v>67.80660054983792</x:v>
      </x:c>
      <x:c r="AE1309" s="10" t="n">
        <x:f>AA1309*'Assumptions'!$D$21</x:f>
        <x:v>0</x:v>
      </x:c>
    </x:row>
    <x:row r="1310" ht="16" customHeight="1">
      <x:c r="A1310" s="1"/>
      <x:c r="B1310" s="1"/>
      <x:c r="C1310" s="1" t="str">
        <x:v>DOT-023</x:v>
      </x:c>
      <x:c r="D1310" s="10" t="str">
        <x:v>BPA professional services</x:v>
      </x:c>
      <x:c r="E1310" s="10" t="n">
        <x:v>11</x:v>
      </x:c>
      <x:c r="F1310" s="21" t="n">
        <x:f>F1182*(1+'Assumptions'!$M$52)</x:f>
        <x:v>8.741059836740549</x:v>
      </x:c>
      <x:c r="G1310" s="21" t="n">
        <x:f>H1182*'Assumptions'!$K$52</x:f>
        <x:v>8.232065957420328</x:v>
      </x:c>
      <x:c r="H1310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1310+G1310,NA())</x:f>
        <x:v>16.97312579416088</x:v>
      </x:c>
      <x:c r="I1310" s="22" t="n">
        <x:f>'Assumptions'!$H$52*IF('Assumptions'!$O$52=1,1,'Assumptions'!$D$10)*(1+'Assumptions'!$N$52)^(11-1)</x:f>
        <x:v>1800</x:v>
      </x:c>
      <x:c r="J1310" s="10" t="n">
        <x:f>H1310*I1310</x:f>
        <x:v>30551.62642948958</x:v>
      </x:c>
      <x:c r="K1310" s="10" t="n">
        <x:f>J1310*'Assumptions'!$T$52</x:f>
        <x:v>30551.62642948958</x:v>
      </x:c>
      <x:c r="L1310" s="10" t="n">
        <x:f>K1310*'Assumptions'!$U$52</x:f>
        <x:v>916.5487928846874</x:v>
      </x:c>
      <x:c r="M1310" s="10" t="n">
        <x:f>K1310*'Assumptions'!$V$52</x:f>
        <x:v>0</x:v>
      </x:c>
      <x:c r="N1310" s="10" t="n">
        <x:f>K1310-L1310-M1310</x:f>
        <x:v>29635.077636604892</x:v>
      </x:c>
      <x:c r="O1310" s="10" t="n">
        <x:f>H1310*'Assumptions'!$P$52*'Assumptions'!$Q$52*'Assumptions'!$D$11*(1+'Assumptions'!$D$13)^(11-1)</x:f>
        <x:v>8211.766234838768</x:v>
      </x:c>
      <x:c r="P1310" s="10" t="n">
        <x:f>H1310*'Assumptions'!$R$52*'Assumptions'!$D$11*(1+'Assumptions'!$D$13)^(11-1)</x:f>
        <x:v>228.10461763441018</x:v>
      </x:c>
      <x:c r="Q1310" s="10" t="n">
        <x:f>J1310*'Assumptions'!$S$52</x:f>
        <x:v>0</x:v>
      </x:c>
      <x:c r="R1310" s="10" t="n">
        <x:f>H1310*'Assumptions'!$Y$52*'Assumptions'!$Z$52*'Assumptions'!$D$11*(1+'Assumptions'!$D$13)^(11-1)</x:f>
        <x:v>171.07846322580764</x:v>
      </x:c>
      <x:c r="S1310" s="10" t="n">
        <x:f>IF(I1310=0,0,J1310*'Assumptions'!$W$52+H1310*'Assumptions'!$X$52)</x:f>
        <x:v>891.0891041934461</x:v>
      </x:c>
      <x:c r="T1310" s="10" t="n">
        <x:f>N1310*'Assumptions'!$AA$52</x:f>
        <x:v>1185.4031054641957</x:v>
      </x:c>
      <x:c r="U1310" s="10" t="n">
        <x:f>'Assumptions'!$AE$52*'Assumptions'!$D$11*(1+'Assumptions'!$D$13)^(11-1)</x:f>
        <x:v>0</x:v>
      </x:c>
      <x:c r="V1310" s="10" t="n">
        <x:f>0</x:f>
        <x:v>0</x:v>
      </x:c>
      <x:c r="W1310" s="10" t="n">
        <x:f>H1310*('Assumptions'!$P$52+'Assumptions'!$Y$52)</x:f>
        <x:v>106.08203621350549</x:v>
      </x:c>
      <x:c r="X1310" s="10" t="n">
        <x:f>N1310/12*'Assumptions'!$AF$52</x:f>
        <x:v>2469.5898030504077</x:v>
      </x:c>
      <x:c r="Y1310" s="10" t="n">
        <x:f>P1310/12</x:f>
        <x:v>19.008718136200848</x:v>
      </x:c>
      <x:c r="Z1310" s="10" t="n">
        <x:f>0</x:f>
        <x:v>0</x:v>
      </x:c>
      <x:c r="AA1310" s="10" t="n">
        <x:f>Z1310*'Assumptions'!$AC$52*'Assumptions'!$D$11*(1+'Assumptions'!$D$13)^(11-1)</x:f>
        <x:v>0</x:v>
      </x:c>
      <x:c r="AB1310" s="10" t="n">
        <x:f>F1310/1</x:f>
        <x:v>8.741059836740549</x:v>
      </x:c>
      <x:c r="AC1310" s="10" t="n">
        <x:f>AB1310/'Assumptions'!$AM$52</x:f>
        <x:v>43.70529918370274</x:v>
      </x:c>
      <x:c r="AD1310" s="10" t="n">
        <x:f>IF(AB1310=0,0,T1310/AB1310)</x:f>
        <x:v>135.61320109967585</x:v>
      </x:c>
      <x:c r="AE1310" s="10" t="n">
        <x:f>AA1310*'Assumptions'!$D$21</x:f>
        <x:v>0</x:v>
      </x:c>
    </x:row>
    <x:row r="1311" ht="16" customHeight="1">
      <x:c r="A1311" s="1"/>
      <x:c r="B1311" s="1"/>
      <x:c r="C1311" s="1" t="str">
        <x:v>DOT-024</x:v>
      </x:c>
      <x:c r="D1311" s="10" t="str">
        <x:v>BPA professional services</x:v>
      </x:c>
      <x:c r="E1311" s="10" t="n">
        <x:v>11</x:v>
      </x:c>
      <x:c r="F1311" s="21" t="n">
        <x:f>F1183*(1+'Assumptions'!$M$53)</x:f>
        <x:v>43.70529918370275</x:v>
      </x:c>
      <x:c r="G1311" s="21" t="n">
        <x:f>H1183*'Assumptions'!$K$53</x:f>
        <x:v>41.148122755851645</x:v>
      </x:c>
      <x:c r="H1311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1311+G1311,NA())</x:f>
        <x:v>84.8534219395544</x:v>
      </x:c>
      <x:c r="I1311" s="22" t="n">
        <x:f>'Assumptions'!$H$53*IF('Assumptions'!$O$53=1,1,'Assumptions'!$D$10)*(1+'Assumptions'!$N$53)^(11-1)</x:f>
        <x:v>540</x:v>
      </x:c>
      <x:c r="J1311" s="10" t="n">
        <x:f>H1311*I1311</x:f>
        <x:v>45820.84784735937</x:v>
      </x:c>
      <x:c r="K1311" s="10" t="n">
        <x:f>J1311*'Assumptions'!$T$53</x:f>
        <x:v>45820.84784735937</x:v>
      </x:c>
      <x:c r="L1311" s="10" t="n">
        <x:f>K1311*'Assumptions'!$U$53</x:f>
        <x:v>1374.625435420781</x:v>
      </x:c>
      <x:c r="M1311" s="10" t="n">
        <x:f>K1311*'Assumptions'!$V$53</x:f>
        <x:v>0</x:v>
      </x:c>
      <x:c r="N1311" s="10" t="n">
        <x:f>K1311-L1311-M1311</x:f>
        <x:v>44446.222411938594</x:v>
      </x:c>
      <x:c r="O1311" s="10" t="n">
        <x:f>H1311*'Assumptions'!$P$53*'Assumptions'!$Q$53*'Assumptions'!$D$11*(1+'Assumptions'!$D$13)^(11-1)</x:f>
        <x:v>13684.308430555806</x:v>
      </x:c>
      <x:c r="P1311" s="10" t="n">
        <x:f>H1311*'Assumptions'!$R$53*'Assumptions'!$D$11*(1+'Assumptions'!$D$13)^(11-1)</x:f>
        <x:v>1140.3590358796505</x:v>
      </x:c>
      <x:c r="Q1311" s="10" t="n">
        <x:f>J1311*'Assumptions'!$S$53</x:f>
        <x:v>0</x:v>
      </x:c>
      <x:c r="R1311" s="10" t="n">
        <x:f>H1311*'Assumptions'!$Y$53*'Assumptions'!$Z$53*'Assumptions'!$D$11*(1+'Assumptions'!$D$13)^(11-1)</x:f>
        <x:v>855.2692769097379</x:v>
      </x:c>
      <x:c r="S1311" s="10" t="n">
        <x:f>IF(I1311=0,0,J1311*'Assumptions'!$W$53+H1311*'Assumptions'!$X$53)</x:f>
        <x:v>1354.2606141552883</x:v>
      </x:c>
      <x:c r="T1311" s="10" t="n">
        <x:f>N1311*'Assumptions'!$AA$53</x:f>
        <x:v>1777.8488964775438</x:v>
      </x:c>
      <x:c r="U1311" s="10" t="n">
        <x:f>'Assumptions'!$AE$53*'Assumptions'!$D$11*(1+'Assumptions'!$D$13)^(11-1)</x:f>
        <x:v>0</x:v>
      </x:c>
      <x:c r="V1311" s="10" t="n">
        <x:f>0</x:f>
        <x:v>0</x:v>
      </x:c>
      <x:c r="W1311" s="10" t="n">
        <x:f>H1311*('Assumptions'!$P$53+'Assumptions'!$Y$53)</x:f>
        <x:v>190.9201993639974</x:v>
      </x:c>
      <x:c r="X1311" s="10" t="n">
        <x:f>N1311/12*'Assumptions'!$AF$53</x:f>
        <x:v>3703.8518676615495</x:v>
      </x:c>
      <x:c r="Y1311" s="10" t="n">
        <x:f>P1311/12</x:f>
        <x:v>95.02991965663755</x:v>
      </x:c>
      <x:c r="Z1311" s="10" t="n">
        <x:f>0</x:f>
        <x:v>0</x:v>
      </x:c>
      <x:c r="AA1311" s="10" t="n">
        <x:f>Z1311*'Assumptions'!$AC$53*'Assumptions'!$D$11*(1+'Assumptions'!$D$13)^(11-1)</x:f>
        <x:v>0</x:v>
      </x:c>
      <x:c r="AB1311" s="10" t="n">
        <x:f>F1311/1</x:f>
        <x:v>43.70529918370275</x:v>
      </x:c>
      <x:c r="AC1311" s="10" t="n">
        <x:f>AB1311/'Assumptions'!$AM$53</x:f>
        <x:v>218.52649591851375</x:v>
      </x:c>
      <x:c r="AD1311" s="10" t="n">
        <x:f>IF(AB1311=0,0,T1311/AB1311)</x:f>
        <x:v>40.67810836861826</x:v>
      </x:c>
      <x:c r="AE1311" s="10" t="n">
        <x:f>AA1311*'Assumptions'!$D$21</x:f>
        <x:v>0</x:v>
      </x:c>
    </x:row>
    <x:row r="1312" ht="16" customHeight="1">
      <x:c r="A1312" s="1"/>
      <x:c r="B1312" s="1"/>
      <x:c r="C1312" s="1" t="str">
        <x:v>DOT-025</x:v>
      </x:c>
      <x:c r="D1312" s="10" t="str">
        <x:v>BPA professional services</x:v>
      </x:c>
      <x:c r="E1312" s="10" t="n">
        <x:v>11</x:v>
      </x:c>
      <x:c r="F1312" s="21" t="n">
        <x:f>F1184*(1+'Assumptions'!$M$54)</x:f>
        <x:v>17.482119673481098</x:v>
      </x:c>
      <x:c r="G1312" s="21" t="n">
        <x:f>H1184*'Assumptions'!$K$54</x:f>
        <x:v>16.459249102340657</x:v>
      </x:c>
      <x:c r="H1312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1312+G1312,NA())</x:f>
        <x:v>33.94136877582176</x:v>
      </x:c>
      <x:c r="I1312" s="22" t="n">
        <x:f>'Assumptions'!$H$54*IF('Assumptions'!$O$54=1,1,'Assumptions'!$D$10)*(1+'Assumptions'!$N$54)^(11-1)</x:f>
        <x:v>1020</x:v>
      </x:c>
      <x:c r="J1312" s="10" t="n">
        <x:f>H1312*I1312</x:f>
        <x:v>34620.19615133819</x:v>
      </x:c>
      <x:c r="K1312" s="10" t="n">
        <x:f>J1312*'Assumptions'!$T$54</x:f>
        <x:v>34620.19615133819</x:v>
      </x:c>
      <x:c r="L1312" s="10" t="n">
        <x:f>K1312*'Assumptions'!$U$54</x:f>
        <x:v>1038.6058845401458</x:v>
      </x:c>
      <x:c r="M1312" s="10" t="n">
        <x:f>K1312*'Assumptions'!$V$54</x:f>
        <x:v>0</x:v>
      </x:c>
      <x:c r="N1312" s="10" t="n">
        <x:f>K1312-L1312-M1312</x:f>
        <x:v>33581.59026679804</x:v>
      </x:c>
      <x:c r="O1312" s="10" t="n">
        <x:f>H1312*'Assumptions'!$P$54*'Assumptions'!$Q$54*'Assumptions'!$D$11*(1+'Assumptions'!$D$13)^(11-1)</x:f>
        <x:v>13684.308430555806</x:v>
      </x:c>
      <x:c r="P1312" s="10" t="n">
        <x:f>H1312*'Assumptions'!$R$54*'Assumptions'!$D$11*(1+'Assumptions'!$D$13)^(11-1)</x:f>
        <x:v>456.1436143518602</x:v>
      </x:c>
      <x:c r="Q1312" s="10" t="n">
        <x:f>J1312*'Assumptions'!$S$54</x:f>
        <x:v>0</x:v>
      </x:c>
      <x:c r="R1312" s="10" t="n">
        <x:f>H1312*'Assumptions'!$Y$54*'Assumptions'!$Z$54*'Assumptions'!$D$11*(1+'Assumptions'!$D$13)^(11-1)</x:f>
        <x:v>342.10771076389517</x:v>
      </x:c>
      <x:c r="S1312" s="10" t="n">
        <x:f>IF(I1312=0,0,J1312*'Assumptions'!$W$54+H1312*'Assumptions'!$X$54)</x:f>
        <x:v>1014.1680990215541</x:v>
      </x:c>
      <x:c r="T1312" s="10" t="n">
        <x:f>N1312*'Assumptions'!$AA$54</x:f>
        <x:v>1343.2636106719217</x:v>
      </x:c>
      <x:c r="U1312" s="10" t="n">
        <x:f>'Assumptions'!$AE$54*'Assumptions'!$D$11*(1+'Assumptions'!$D$13)^(11-1)</x:f>
        <x:v>0</x:v>
      </x:c>
      <x:c r="V1312" s="10" t="n">
        <x:f>0</x:f>
        <x:v>0</x:v>
      </x:c>
      <x:c r="W1312" s="10" t="n">
        <x:f>H1312*('Assumptions'!$P$54+'Assumptions'!$Y$54)</x:f>
        <x:v>178.19218607306422</x:v>
      </x:c>
      <x:c r="X1312" s="10" t="n">
        <x:f>N1312/12*'Assumptions'!$AF$54</x:f>
        <x:v>2798.4658555665033</x:v>
      </x:c>
      <x:c r="Y1312" s="10" t="n">
        <x:f>P1312/12</x:f>
        <x:v>38.01196786265502</x:v>
      </x:c>
      <x:c r="Z1312" s="10" t="n">
        <x:f>0</x:f>
        <x:v>0</x:v>
      </x:c>
      <x:c r="AA1312" s="10" t="n">
        <x:f>Z1312*'Assumptions'!$AC$54*'Assumptions'!$D$11*(1+'Assumptions'!$D$13)^(11-1)</x:f>
        <x:v>0</x:v>
      </x:c>
      <x:c r="AB1312" s="10" t="n">
        <x:f>F1312/1</x:f>
        <x:v>17.482119673481098</x:v>
      </x:c>
      <x:c r="AC1312" s="10" t="n">
        <x:f>AB1312/'Assumptions'!$AM$54</x:f>
        <x:v>87.41059836740548</x:v>
      </x:c>
      <x:c r="AD1312" s="10" t="n">
        <x:f>IF(AB1312=0,0,T1312/AB1312)</x:f>
        <x:v>76.83642691850116</x:v>
      </x:c>
      <x:c r="AE1312" s="10" t="n">
        <x:f>AA1312*'Assumptions'!$D$21</x:f>
        <x:v>0</x:v>
      </x:c>
    </x:row>
    <x:row r="1313" ht="16" customHeight="1">
      <x:c r="A1313" s="1"/>
      <x:c r="B1313" s="1"/>
      <x:c r="C1313" s="1" t="str">
        <x:v>DOT-026</x:v>
      </x:c>
      <x:c r="D1313" s="10" t="str">
        <x:v>BPA professional services</x:v>
      </x:c>
      <x:c r="E1313" s="10" t="n">
        <x:v>11</x:v>
      </x:c>
      <x:c r="F1313" s="21" t="n">
        <x:f>F1185*(1+'Assumptions'!$M$55)</x:f>
        <x:v>6.99284786939244</x:v>
      </x:c>
      <x:c r="G1313" s="21" t="n">
        <x:f>H1185*'Assumptions'!$K$55</x:f>
        <x:v>6.583699640936263</x:v>
      </x:c>
      <x:c r="H1313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1313+G1313,NA())</x:f>
        <x:v>13.576547510328703</x:v>
      </x:c>
      <x:c r="I1313" s="22" t="n">
        <x:f>'Assumptions'!$H$55*IF('Assumptions'!$O$55=1,1,'Assumptions'!$D$10)*(1+'Assumptions'!$N$55)^(11-1)</x:f>
        <x:v>1800</x:v>
      </x:c>
      <x:c r="J1313" s="10" t="n">
        <x:f>H1313*I1313</x:f>
        <x:v>24437.785518591667</x:v>
      </x:c>
      <x:c r="K1313" s="10" t="n">
        <x:f>J1313*'Assumptions'!$T$55</x:f>
        <x:v>24437.785518591667</x:v>
      </x:c>
      <x:c r="L1313" s="10" t="n">
        <x:f>K1313*'Assumptions'!$U$55</x:f>
        <x:v>733.13356555775</x:v>
      </x:c>
      <x:c r="M1313" s="10" t="n">
        <x:f>K1313*'Assumptions'!$V$55</x:f>
        <x:v>0</x:v>
      </x:c>
      <x:c r="N1313" s="10" t="n">
        <x:f>K1313-L1313-M1313</x:f>
        <x:v>23704.651953033917</x:v>
      </x:c>
      <x:c r="O1313" s="10" t="n">
        <x:f>H1313*'Assumptions'!$P$55*'Assumptions'!$Q$55*'Assumptions'!$D$11*(1+'Assumptions'!$D$13)^(11-1)</x:f>
        <x:v>10947.446744444645</x:v>
      </x:c>
      <x:c r="P1313" s="10" t="n">
        <x:f>H1313*'Assumptions'!$R$55*'Assumptions'!$D$11*(1+'Assumptions'!$D$13)^(11-1)</x:f>
        <x:v>182.45744574074408</x:v>
      </x:c>
      <x:c r="Q1313" s="10" t="n">
        <x:f>J1313*'Assumptions'!$S$55</x:f>
        <x:v>0</x:v>
      </x:c>
      <x:c r="R1313" s="10" t="n">
        <x:f>H1313*'Assumptions'!$Y$55*'Assumptions'!$Z$55*'Assumptions'!$D$11*(1+'Assumptions'!$D$13)^(11-1)</x:f>
        <x:v>136.84308430555805</x:v>
      </x:c>
      <x:c r="S1313" s="10" t="n">
        <x:f>IF(I1313=0,0,J1313*'Assumptions'!$W$55+H1313*'Assumptions'!$X$55)</x:f>
        <x:v>712.768744292257</x:v>
      </x:c>
      <x:c r="T1313" s="10" t="n">
        <x:f>N1313*'Assumptions'!$AA$55</x:f>
        <x:v>948.1860781213567</x:v>
      </x:c>
      <x:c r="U1313" s="10" t="n">
        <x:f>'Assumptions'!$AE$55*'Assumptions'!$D$11*(1+'Assumptions'!$D$13)^(11-1)</x:f>
        <x:v>0</x:v>
      </x:c>
      <x:c r="V1313" s="10" t="n">
        <x:f>0</x:f>
        <x:v>0</x:v>
      </x:c>
      <x:c r="W1313" s="10" t="n">
        <x:f>H1313*('Assumptions'!$P$55+'Assumptions'!$Y$55)</x:f>
        <x:v>139.15961198086922</x:v>
      </x:c>
      <x:c r="X1313" s="10" t="n">
        <x:f>N1313/12*'Assumptions'!$AF$55</x:f>
        <x:v>1975.3876627528264</x:v>
      </x:c>
      <x:c r="Y1313" s="10" t="n">
        <x:f>P1313/12</x:f>
        <x:v>15.204787145062006</x:v>
      </x:c>
      <x:c r="Z1313" s="10" t="n">
        <x:f>0</x:f>
        <x:v>0</x:v>
      </x:c>
      <x:c r="AA1313" s="10" t="n">
        <x:f>Z1313*'Assumptions'!$AC$55*'Assumptions'!$D$11*(1+'Assumptions'!$D$13)^(11-1)</x:f>
        <x:v>0</x:v>
      </x:c>
      <x:c r="AB1313" s="10" t="n">
        <x:f>F1313/1</x:f>
        <x:v>6.99284786939244</x:v>
      </x:c>
      <x:c r="AC1313" s="10" t="n">
        <x:f>AB1313/'Assumptions'!$AM$55</x:f>
        <x:v>34.964239346962195</x:v>
      </x:c>
      <x:c r="AD1313" s="10" t="n">
        <x:f>IF(AB1313=0,0,T1313/AB1313)</x:f>
        <x:v>135.59369456206088</x:v>
      </x:c>
      <x:c r="AE1313" s="10" t="n">
        <x:f>AA1313*'Assumptions'!$D$21</x:f>
        <x:v>0</x:v>
      </x:c>
    </x:row>
    <x:row r="1314" ht="16" customHeight="1">
      <x:c r="A1314" s="1"/>
      <x:c r="B1314" s="1"/>
      <x:c r="C1314" s="1" t="str">
        <x:v>DOT-027</x:v>
      </x:c>
      <x:c r="D1314" s="10" t="str">
        <x:v>BPA professional services</x:v>
      </x:c>
      <x:c r="E1314" s="10" t="n">
        <x:v>11</x:v>
      </x:c>
      <x:c r="F1314" s="21" t="n">
        <x:f>F1186*(1+'Assumptions'!$M$56)</x:f>
        <x:v>6.99284786939244</x:v>
      </x:c>
      <x:c r="G1314" s="21" t="n">
        <x:f>H1186*'Assumptions'!$K$56</x:f>
        <x:v>6.583699640936263</x:v>
      </x:c>
      <x:c r="H1314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1314+G1314,NA())</x:f>
        <x:v>13.576547510328703</x:v>
      </x:c>
      <x:c r="I1314" s="22" t="n">
        <x:f>'Assumptions'!$H$56*IF('Assumptions'!$O$56=1,1,'Assumptions'!$D$10)*(1+'Assumptions'!$N$56)^(11-1)</x:f>
        <x:v>1800</x:v>
      </x:c>
      <x:c r="J1314" s="10" t="n">
        <x:f>H1314*I1314</x:f>
        <x:v>24437.785518591667</x:v>
      </x:c>
      <x:c r="K1314" s="10" t="n">
        <x:f>J1314*'Assumptions'!$T$56</x:f>
        <x:v>24437.785518591667</x:v>
      </x:c>
      <x:c r="L1314" s="10" t="n">
        <x:f>K1314*'Assumptions'!$U$56</x:f>
        <x:v>733.13356555775</x:v>
      </x:c>
      <x:c r="M1314" s="10" t="n">
        <x:f>K1314*'Assumptions'!$V$56</x:f>
        <x:v>0</x:v>
      </x:c>
      <x:c r="N1314" s="10" t="n">
        <x:f>K1314-L1314-M1314</x:f>
        <x:v>23704.651953033917</x:v>
      </x:c>
      <x:c r="O1314" s="10" t="n">
        <x:f>H1314*'Assumptions'!$P$56*'Assumptions'!$Q$56*'Assumptions'!$D$11*(1+'Assumptions'!$D$13)^(11-1)</x:f>
        <x:v>10947.446744444645</x:v>
      </x:c>
      <x:c r="P1314" s="10" t="n">
        <x:f>H1314*'Assumptions'!$R$56*'Assumptions'!$D$11*(1+'Assumptions'!$D$13)^(11-1)</x:f>
        <x:v>182.45744574074408</x:v>
      </x:c>
      <x:c r="Q1314" s="10" t="n">
        <x:f>J1314*'Assumptions'!$S$56</x:f>
        <x:v>0</x:v>
      </x:c>
      <x:c r="R1314" s="10" t="n">
        <x:f>H1314*'Assumptions'!$Y$56*'Assumptions'!$Z$56*'Assumptions'!$D$11*(1+'Assumptions'!$D$13)^(11-1)</x:f>
        <x:v>136.84308430555805</x:v>
      </x:c>
      <x:c r="S1314" s="10" t="n">
        <x:f>IF(I1314=0,0,J1314*'Assumptions'!$W$56+H1314*'Assumptions'!$X$56)</x:f>
        <x:v>712.768744292257</x:v>
      </x:c>
      <x:c r="T1314" s="10" t="n">
        <x:f>N1314*'Assumptions'!$AA$56</x:f>
        <x:v>948.1860781213567</x:v>
      </x:c>
      <x:c r="U1314" s="10" t="n">
        <x:f>'Assumptions'!$AE$56*'Assumptions'!$D$11*(1+'Assumptions'!$D$13)^(11-1)</x:f>
        <x:v>0</x:v>
      </x:c>
      <x:c r="V1314" s="10" t="n">
        <x:f>0</x:f>
        <x:v>0</x:v>
      </x:c>
      <x:c r="W1314" s="10" t="n">
        <x:f>H1314*('Assumptions'!$P$56+'Assumptions'!$Y$56)</x:f>
        <x:v>139.15961198086922</x:v>
      </x:c>
      <x:c r="X1314" s="10" t="n">
        <x:f>N1314/12*'Assumptions'!$AF$56</x:f>
        <x:v>1975.3876627528264</x:v>
      </x:c>
      <x:c r="Y1314" s="10" t="n">
        <x:f>P1314/12</x:f>
        <x:v>15.204787145062006</x:v>
      </x:c>
      <x:c r="Z1314" s="10" t="n">
        <x:f>0</x:f>
        <x:v>0</x:v>
      </x:c>
      <x:c r="AA1314" s="10" t="n">
        <x:f>Z1314*'Assumptions'!$AC$56*'Assumptions'!$D$11*(1+'Assumptions'!$D$13)^(11-1)</x:f>
        <x:v>0</x:v>
      </x:c>
      <x:c r="AB1314" s="10" t="n">
        <x:f>F1314/1</x:f>
        <x:v>6.99284786939244</x:v>
      </x:c>
      <x:c r="AC1314" s="10" t="n">
        <x:f>AB1314/'Assumptions'!$AM$56</x:f>
        <x:v>34.964239346962195</x:v>
      </x:c>
      <x:c r="AD1314" s="10" t="n">
        <x:f>IF(AB1314=0,0,T1314/AB1314)</x:f>
        <x:v>135.59369456206088</x:v>
      </x:c>
      <x:c r="AE1314" s="10" t="n">
        <x:f>AA1314*'Assumptions'!$D$21</x:f>
        <x:v>0</x:v>
      </x:c>
    </x:row>
    <x:row r="1315" ht="16" customHeight="1">
      <x:c r="A1315" s="1"/>
      <x:c r="B1315" s="1"/>
      <x:c r="C1315" s="1" t="str">
        <x:v>DOT-028</x:v>
      </x:c>
      <x:c r="D1315" s="10" t="str">
        <x:v>BPA professional services</x:v>
      </x:c>
      <x:c r="E1315" s="10" t="n">
        <x:v>11</x:v>
      </x:c>
      <x:c r="F1315" s="21" t="n">
        <x:f>F1187*(1+'Assumptions'!$M$57)</x:f>
        <x:v>3.49642393469622</x:v>
      </x:c>
      <x:c r="G1315" s="21" t="n">
        <x:f>H1187*'Assumptions'!$K$57</x:f>
        <x:v>3.2918498204681317</x:v>
      </x:c>
      <x:c r="H1315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1315+G1315,NA())</x:f>
        <x:v>6.788273755164352</x:v>
      </x:c>
      <x:c r="I1315" s="22" t="n">
        <x:f>'Assumptions'!$H$57*IF('Assumptions'!$O$57=1,1,'Assumptions'!$D$10)*(1+'Assumptions'!$N$57)^(11-1)</x:f>
        <x:v>1800</x:v>
      </x:c>
      <x:c r="J1315" s="10" t="n">
        <x:f>H1315*I1315</x:f>
        <x:v>12218.892759295833</x:v>
      </x:c>
      <x:c r="K1315" s="10" t="n">
        <x:f>J1315*'Assumptions'!$T$57</x:f>
        <x:v>12218.892759295833</x:v>
      </x:c>
      <x:c r="L1315" s="10" t="n">
        <x:f>K1315*'Assumptions'!$U$57</x:f>
        <x:v>366.566782778875</x:v>
      </x:c>
      <x:c r="M1315" s="10" t="n">
        <x:f>K1315*'Assumptions'!$V$57</x:f>
        <x:v>0</x:v>
      </x:c>
      <x:c r="N1315" s="10" t="n">
        <x:f>K1315-L1315-M1315</x:f>
        <x:v>11852.325976516959</x:v>
      </x:c>
      <x:c r="O1315" s="10" t="n">
        <x:f>H1315*'Assumptions'!$P$57*'Assumptions'!$Q$57*'Assumptions'!$D$11*(1+'Assumptions'!$D$13)^(11-1)</x:f>
        <x:v>6568.468046666787</x:v>
      </x:c>
      <x:c r="P1315" s="10" t="n">
        <x:f>H1315*'Assumptions'!$R$57*'Assumptions'!$D$11*(1+'Assumptions'!$D$13)^(11-1)</x:f>
        <x:v>91.22872287037204</x:v>
      </x:c>
      <x:c r="Q1315" s="10" t="n">
        <x:f>J1315*'Assumptions'!$S$57</x:f>
        <x:v>0</x:v>
      </x:c>
      <x:c r="R1315" s="10" t="n">
        <x:f>H1315*'Assumptions'!$Y$57*'Assumptions'!$Z$57*'Assumptions'!$D$11*(1+'Assumptions'!$D$13)^(11-1)</x:f>
        <x:v>68.42154215277903</x:v>
      </x:c>
      <x:c r="S1315" s="10" t="n">
        <x:f>IF(I1315=0,0,J1315*'Assumptions'!$W$57+H1315*'Assumptions'!$X$57)</x:f>
        <x:v>356.3843721461285</x:v>
      </x:c>
      <x:c r="T1315" s="10" t="n">
        <x:f>N1315*'Assumptions'!$AA$57</x:f>
        <x:v>474.09303906067834</x:v>
      </x:c>
      <x:c r="U1315" s="10" t="n">
        <x:f>'Assumptions'!$AE$57*'Assumptions'!$D$11*(1+'Assumptions'!$D$13)^(11-1)</x:f>
        <x:v>0</x:v>
      </x:c>
      <x:c r="V1315" s="10" t="n">
        <x:f>0</x:f>
        <x:v>0</x:v>
      </x:c>
      <x:c r="W1315" s="10" t="n">
        <x:f>H1315*('Assumptions'!$P$57+'Assumptions'!$Y$57)</x:f>
        <x:v>83.1563535007633</x:v>
      </x:c>
      <x:c r="X1315" s="10" t="n">
        <x:f>N1315/12*'Assumptions'!$AF$57</x:f>
        <x:v>987.6938313764132</x:v>
      </x:c>
      <x:c r="Y1315" s="10" t="n">
        <x:f>P1315/12</x:f>
        <x:v>7.602393572531003</x:v>
      </x:c>
      <x:c r="Z1315" s="10" t="n">
        <x:f>0</x:f>
        <x:v>0</x:v>
      </x:c>
      <x:c r="AA1315" s="10" t="n">
        <x:f>Z1315*'Assumptions'!$AC$57*'Assumptions'!$D$11*(1+'Assumptions'!$D$13)^(11-1)</x:f>
        <x:v>0</x:v>
      </x:c>
      <x:c r="AB1315" s="10" t="n">
        <x:f>F1315/1</x:f>
        <x:v>3.49642393469622</x:v>
      </x:c>
      <x:c r="AC1315" s="10" t="n">
        <x:f>AB1315/'Assumptions'!$AM$57</x:f>
        <x:v>17.482119673481098</x:v>
      </x:c>
      <x:c r="AD1315" s="10" t="n">
        <x:f>IF(AB1315=0,0,T1315/AB1315)</x:f>
        <x:v>135.59369456206088</x:v>
      </x:c>
      <x:c r="AE1315" s="10" t="n">
        <x:f>AA1315*'Assumptions'!$D$21</x:f>
        <x:v>0</x:v>
      </x:c>
    </x:row>
    <x:row r="1316" ht="16" customHeight="1">
      <x:c r="A1316" s="1"/>
      <x:c r="B1316" s="1"/>
      <x:c r="C1316" s="1" t="str">
        <x:v>DOT-029</x:v>
      </x:c>
      <x:c r="D1316" s="10" t="str">
        <x:v>BPA professional services</x:v>
      </x:c>
      <x:c r="E1316" s="10" t="n">
        <x:v>11</x:v>
      </x:c>
      <x:c r="F1316" s="21" t="n">
        <x:f>F1188*(1+'Assumptions'!$M$58)</x:f>
        <x:v>34.964239346962195</x:v>
      </x:c>
      <x:c r="G1316" s="21" t="n">
        <x:f>H1188*'Assumptions'!$K$58</x:f>
        <x:v>32.91849820468131</x:v>
      </x:c>
      <x:c r="H1316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1316+G1316,NA())</x:f>
        <x:v>67.88273755164352</x:v>
      </x:c>
      <x:c r="I1316" s="22" t="n">
        <x:f>'Assumptions'!$H$58*IF('Assumptions'!$O$58=1,1,'Assumptions'!$D$10)*(1+'Assumptions'!$N$58)^(11-1)</x:f>
        <x:v>180</x:v>
      </x:c>
      <x:c r="J1316" s="10" t="n">
        <x:f>H1316*I1316</x:f>
        <x:v>12218.892759295833</x:v>
      </x:c>
      <x:c r="K1316" s="10" t="n">
        <x:f>J1316*'Assumptions'!$T$58</x:f>
        <x:v>12218.892759295833</x:v>
      </x:c>
      <x:c r="L1316" s="10" t="n">
        <x:f>K1316*'Assumptions'!$U$58</x:f>
        <x:v>366.566782778875</x:v>
      </x:c>
      <x:c r="M1316" s="10" t="n">
        <x:f>K1316*'Assumptions'!$V$58</x:f>
        <x:v>0</x:v>
      </x:c>
      <x:c r="N1316" s="10" t="n">
        <x:f>K1316-L1316-M1316</x:f>
        <x:v>11852.325976516959</x:v>
      </x:c>
      <x:c r="O1316" s="10" t="n">
        <x:f>H1316*'Assumptions'!$P$58*'Assumptions'!$Q$58*'Assumptions'!$D$11*(1+'Assumptions'!$D$13)^(11-1)</x:f>
        <x:v>5473.723372222323</x:v>
      </x:c>
      <x:c r="P1316" s="10" t="n">
        <x:f>H1316*'Assumptions'!$R$58*'Assumptions'!$D$11*(1+'Assumptions'!$D$13)^(11-1)</x:f>
        <x:v>912.2872287037204</x:v>
      </x:c>
      <x:c r="Q1316" s="10" t="n">
        <x:f>J1316*'Assumptions'!$S$58</x:f>
        <x:v>0</x:v>
      </x:c>
      <x:c r="R1316" s="10" t="n">
        <x:f>H1316*'Assumptions'!$Y$58*'Assumptions'!$Z$58*'Assumptions'!$D$11*(1+'Assumptions'!$D$13)^(11-1)</x:f>
        <x:v>684.2154215277903</x:v>
      </x:c>
      <x:c r="S1316" s="10" t="n">
        <x:f>IF(I1316=0,0,J1316*'Assumptions'!$W$58+H1316*'Assumptions'!$X$58)</x:f>
        <x:v>374.71271128507226</x:v>
      </x:c>
      <x:c r="T1316" s="10" t="n">
        <x:f>N1316*'Assumptions'!$AA$58</x:f>
        <x:v>474.09303906067834</x:v>
      </x:c>
      <x:c r="U1316" s="10" t="n">
        <x:f>'Assumptions'!$AE$58*'Assumptions'!$D$11*(1+'Assumptions'!$D$13)^(11-1)</x:f>
        <x:v>0</x:v>
      </x:c>
      <x:c r="V1316" s="10" t="n">
        <x:f>0</x:f>
        <x:v>0</x:v>
      </x:c>
      <x:c r="W1316" s="10" t="n">
        <x:f>H1316*('Assumptions'!$P$58+'Assumptions'!$Y$58)</x:f>
        <x:v>84.8534219395544</x:v>
      </x:c>
      <x:c r="X1316" s="10" t="n">
        <x:f>N1316/12*'Assumptions'!$AF$58</x:f>
        <x:v>987.6938313764132</x:v>
      </x:c>
      <x:c r="Y1316" s="10" t="n">
        <x:f>P1316/12</x:f>
        <x:v>76.02393572531004</x:v>
      </x:c>
      <x:c r="Z1316" s="10" t="n">
        <x:f>0</x:f>
        <x:v>0</x:v>
      </x:c>
      <x:c r="AA1316" s="10" t="n">
        <x:f>Z1316*'Assumptions'!$AC$58*'Assumptions'!$D$11*(1+'Assumptions'!$D$13)^(11-1)</x:f>
        <x:v>0</x:v>
      </x:c>
      <x:c r="AB1316" s="10" t="n">
        <x:f>F1316/1</x:f>
        <x:v>34.964239346962195</x:v>
      </x:c>
      <x:c r="AC1316" s="10" t="n">
        <x:f>AB1316/'Assumptions'!$AM$58</x:f>
        <x:v>174.82119673481097</x:v>
      </x:c>
      <x:c r="AD1316" s="10" t="n">
        <x:f>IF(AB1316=0,0,T1316/AB1316)</x:f>
        <x:v>13.55936945620609</x:v>
      </x:c>
      <x:c r="AE1316" s="10" t="n">
        <x:f>AA1316*'Assumptions'!$D$21</x:f>
        <x:v>0</x:v>
      </x:c>
    </x:row>
    <x:row r="1317" ht="16" customHeight="1">
      <x:c r="A1317" s="1"/>
      <x:c r="B1317" s="1"/>
      <x:c r="C1317" s="1" t="str">
        <x:v>DOT-030</x:v>
      </x:c>
      <x:c r="D1317" s="10" t="str">
        <x:v>BPA professional services</x:v>
      </x:c>
      <x:c r="E1317" s="10" t="n">
        <x:v>11</x:v>
      </x:c>
      <x:c r="F1317" s="21" t="n">
        <x:f>F1189*(1+'Assumptions'!$M$59)</x:f>
        <x:v>6.99284786939244</x:v>
      </x:c>
      <x:c r="G1317" s="21" t="n">
        <x:f>H1189*'Assumptions'!$K$59</x:f>
        <x:v>6.583699640936263</x:v>
      </x:c>
      <x:c r="H1317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1317+G1317,NA())</x:f>
        <x:v>13.576547510328703</x:v>
      </x:c>
      <x:c r="I1317" s="22" t="n">
        <x:f>'Assumptions'!$H$59*IF('Assumptions'!$O$59=1,1,'Assumptions'!$D$10)*(1+'Assumptions'!$N$59)^(11-1)</x:f>
        <x:v>609.4972099973787</x:v>
      </x:c>
      <x:c r="J1317" s="10" t="n">
        <x:f>H1317*I1317</x:f>
        <x:v>8274.867828942202</x:v>
      </x:c>
      <x:c r="K1317" s="10" t="n">
        <x:f>J1317*'Assumptions'!$T$59</x:f>
        <x:v>8274.867828942202</x:v>
      </x:c>
      <x:c r="L1317" s="10" t="n">
        <x:f>K1317*'Assumptions'!$U$59</x:f>
        <x:v>248.24603486826607</x:v>
      </x:c>
      <x:c r="M1317" s="10" t="n">
        <x:f>K1317*'Assumptions'!$V$59</x:f>
        <x:v>0</x:v>
      </x:c>
      <x:c r="N1317" s="10" t="n">
        <x:f>K1317-L1317-M1317</x:f>
        <x:v>8026.621794073936</x:v>
      </x:c>
      <x:c r="O1317" s="10" t="n">
        <x:f>H1317*'Assumptions'!$P$59*'Assumptions'!$Q$59*'Assumptions'!$D$11*(1+'Assumptions'!$D$13)^(11-1)</x:f>
        <x:v>3284.2340233333935</x:v>
      </x:c>
      <x:c r="P1317" s="10" t="n">
        <x:f>H1317*'Assumptions'!$R$59*'Assumptions'!$D$11*(1+'Assumptions'!$D$13)^(11-1)</x:f>
        <x:v>182.45744574074408</x:v>
      </x:c>
      <x:c r="Q1317" s="10" t="n">
        <x:f>J1317*'Assumptions'!$S$59</x:f>
        <x:v>0</x:v>
      </x:c>
      <x:c r="R1317" s="10" t="n">
        <x:f>H1317*'Assumptions'!$Y$59*'Assumptions'!$Z$59*'Assumptions'!$D$11*(1+'Assumptions'!$D$13)^(11-1)</x:f>
        <x:v>136.84308430555805</x:v>
      </x:c>
      <x:c r="S1317" s="10" t="n">
        <x:f>IF(I1317=0,0,J1317*'Assumptions'!$W$59+H1317*'Assumptions'!$X$59)</x:f>
        <x:v>244.0441312924225</x:v>
      </x:c>
      <x:c r="T1317" s="10" t="n">
        <x:f>N1317*'Assumptions'!$AA$59</x:f>
        <x:v>321.06487176295747</x:v>
      </x:c>
      <x:c r="U1317" s="10" t="n">
        <x:f>'Assumptions'!$AE$59*'Assumptions'!$D$11*(1+'Assumptions'!$D$13)^(11-1)</x:f>
        <x:v>0</x:v>
      </x:c>
      <x:c r="V1317" s="10" t="n">
        <x:f>0</x:f>
        <x:v>0</x:v>
      </x:c>
      <x:c r="W1317" s="10" t="n">
        <x:f>H1317*('Assumptions'!$P$59+'Assumptions'!$Y$59)</x:f>
        <x:v>44.12377940856829</x:v>
      </x:c>
      <x:c r="X1317" s="10" t="n">
        <x:f>N1317/12*'Assumptions'!$AF$59</x:f>
        <x:v>668.8851495061614</x:v>
      </x:c>
      <x:c r="Y1317" s="10" t="n">
        <x:f>P1317/12</x:f>
        <x:v>15.204787145062006</x:v>
      </x:c>
      <x:c r="Z1317" s="10" t="n">
        <x:f>0</x:f>
        <x:v>0</x:v>
      </x:c>
      <x:c r="AA1317" s="10" t="n">
        <x:f>Z1317*'Assumptions'!$AC$59*'Assumptions'!$D$11*(1+'Assumptions'!$D$13)^(11-1)</x:f>
        <x:v>0</x:v>
      </x:c>
      <x:c r="AB1317" s="10" t="n">
        <x:f>F1317/1</x:f>
        <x:v>6.99284786939244</x:v>
      </x:c>
      <x:c r="AC1317" s="10" t="n">
        <x:f>AB1317/'Assumptions'!$AM$59</x:f>
        <x:v>34.964239346962195</x:v>
      </x:c>
      <x:c r="AD1317" s="10" t="n">
        <x:f>IF(AB1317=0,0,T1317/AB1317)</x:f>
        <x:v>45.913321404896024</x:v>
      </x:c>
      <x:c r="AE1317" s="10" t="n">
        <x:f>AA1317*'Assumptions'!$D$21</x:f>
        <x:v>0</x:v>
      </x:c>
    </x:row>
    <x:row r="1318" ht="16" customHeight="1">
      <x:c r="A1318" s="1"/>
      <x:c r="B1318" s="1"/>
      <x:c r="C1318" s="1" t="str">
        <x:v>DOT-031</x:v>
      </x:c>
      <x:c r="D1318" s="10" t="str">
        <x:v>BPA professional services</x:v>
      </x:c>
      <x:c r="E1318" s="10" t="n">
        <x:v>11</x:v>
      </x:c>
      <x:c r="F1318" s="21" t="n">
        <x:f>F1190*(1+'Assumptions'!$M$60)</x:f>
        <x:v>3.49642393469622</x:v>
      </x:c>
      <x:c r="G1318" s="21" t="n">
        <x:f>H1190*'Assumptions'!$K$60</x:f>
        <x:v>3.2928263829681317</x:v>
      </x:c>
      <x:c r="H1318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1318+G1318,NA())</x:f>
        <x:v>6.789250317664352</x:v>
      </x:c>
      <x:c r="I1318" s="22" t="n">
        <x:f>'Assumptions'!$H$60*IF('Assumptions'!$O$60=1,1,'Assumptions'!$D$10)*(1+'Assumptions'!$N$60)^(11-1)</x:f>
        <x:v>6094.9720999737865</x:v>
      </x:c>
      <x:c r="J1318" s="10" t="n">
        <x:f>H1318*I1318</x:f>
        <x:v>41380.29126590239</x:v>
      </x:c>
      <x:c r="K1318" s="10" t="n">
        <x:f>J1318*'Assumptions'!$T$60</x:f>
        <x:v>41380.29126590239</x:v>
      </x:c>
      <x:c r="L1318" s="10" t="n">
        <x:f>K1318*'Assumptions'!$U$60</x:f>
        <x:v>1241.4087379770717</x:v>
      </x:c>
      <x:c r="M1318" s="10" t="n">
        <x:f>K1318*'Assumptions'!$V$60</x:f>
        <x:v>0</x:v>
      </x:c>
      <x:c r="N1318" s="10" t="n">
        <x:f>K1318-L1318-M1318</x:f>
        <x:v>40138.88252792532</x:v>
      </x:c>
      <x:c r="O1318" s="10" t="n">
        <x:f>H1318*'Assumptions'!$P$60*'Assumptions'!$Q$60*'Assumptions'!$D$11*(1+'Assumptions'!$D$13)^(11-1)</x:f>
        <x:v>21898.043292903378</x:v>
      </x:c>
      <x:c r="P1318" s="10" t="n">
        <x:f>H1318*'Assumptions'!$R$60*'Assumptions'!$D$11*(1+'Assumptions'!$D$13)^(11-1)</x:f>
        <x:v>91.24184705376408</x:v>
      </x:c>
      <x:c r="Q1318" s="10" t="n">
        <x:f>J1318*'Assumptions'!$S$60</x:f>
        <x:v>0</x:v>
      </x:c>
      <x:c r="R1318" s="10" t="n">
        <x:f>H1318*'Assumptions'!$Y$60*'Assumptions'!$Z$60*'Assumptions'!$D$11*(1+'Assumptions'!$D$13)^(11-1)</x:f>
        <x:v>68.43138529032305</x:v>
      </x:c>
      <x:c r="S1318" s="10" t="n">
        <x:f>IF(I1318=0,0,J1318*'Assumptions'!$W$60+H1318*'Assumptions'!$X$60)</x:f>
        <x:v>1202.0652218064688</x:v>
      </x:c>
      <x:c r="T1318" s="10" t="n">
        <x:f>N1318*'Assumptions'!$AA$60</x:f>
        <x:v>1605.555301117013</x:v>
      </x:c>
      <x:c r="U1318" s="10" t="n">
        <x:f>'Assumptions'!$AE$60*'Assumptions'!$D$11*(1+'Assumptions'!$D$13)^(11-1)</x:f>
        <x:v>0</x:v>
      </x:c>
      <x:c r="V1318" s="10" t="n">
        <x:f>0</x:f>
        <x:v>0</x:v>
      </x:c>
      <x:c r="W1318" s="10" t="n">
        <x:f>H1318*('Assumptions'!$P$60+'Assumptions'!$Y$60)</x:f>
        <x:v>273.2673252859902</x:v>
      </x:c>
      <x:c r="X1318" s="10" t="n">
        <x:f>N1318/12*'Assumptions'!$AF$60</x:f>
        <x:v>3344.90687732711</x:v>
      </x:c>
      <x:c r="Y1318" s="10" t="n">
        <x:f>P1318/12</x:f>
        <x:v>7.603487254480339</x:v>
      </x:c>
      <x:c r="Z1318" s="10" t="n">
        <x:f>0</x:f>
        <x:v>0</x:v>
      </x:c>
      <x:c r="AA1318" s="10" t="n">
        <x:f>Z1318*'Assumptions'!$AC$60*'Assumptions'!$D$11*(1+'Assumptions'!$D$13)^(11-1)</x:f>
        <x:v>0</x:v>
      </x:c>
      <x:c r="AB1318" s="10" t="n">
        <x:f>F1318/1</x:f>
        <x:v>3.49642393469622</x:v>
      </x:c>
      <x:c r="AC1318" s="10" t="n">
        <x:f>AB1318/'Assumptions'!$AM$60</x:f>
        <x:v>17.482119673481098</x:v>
      </x:c>
      <x:c r="AD1318" s="10" t="n">
        <x:f>IF(AB1318=0,0,T1318/AB1318)</x:f>
        <x:v>459.19926505036597</x:v>
      </x:c>
      <x:c r="AE1318" s="10" t="n">
        <x:f>AA1318*'Assumptions'!$D$21</x:f>
        <x:v>0</x:v>
      </x:c>
    </x:row>
    <x:row r="1319" ht="16" customHeight="1">
      <x:c r="A1319" s="1"/>
      <x:c r="B1319" s="1"/>
      <x:c r="C1319" s="1" t="str">
        <x:v>DOT-032</x:v>
      </x:c>
      <x:c r="D1319" s="10" t="str">
        <x:v>BPA professional services</x:v>
      </x:c>
      <x:c r="E1319" s="10" t="n">
        <x:v>11</x:v>
      </x:c>
      <x:c r="F1319" s="21" t="n">
        <x:f>F1191*(1+'Assumptions'!$M$61)</x:f>
        <x:v>1.74821196734811</x:v>
      </x:c>
      <x:c r="G1319" s="21" t="n">
        <x:f>H1191*'Assumptions'!$K$61</x:f>
        <x:v>1.6464131914840658</x:v>
      </x:c>
      <x:c r="H1319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1319+G1319,NA())</x:f>
        <x:v>3.394625158832176</x:v>
      </x:c>
      <x:c r="I1319" s="22" t="n">
        <x:f>'Assumptions'!$H$61*IF('Assumptions'!$O$61=1,1,'Assumptions'!$D$10)*(1+'Assumptions'!$N$61)^(11-1)</x:f>
        <x:v>9142.45814996068</x:v>
      </x:c>
      <x:c r="J1319" s="10" t="n">
        <x:f>H1319*I1319</x:f>
        <x:v>31035.218449426793</x:v>
      </x:c>
      <x:c r="K1319" s="10" t="n">
        <x:f>J1319*'Assumptions'!$T$61</x:f>
        <x:v>31035.218449426793</x:v>
      </x:c>
      <x:c r="L1319" s="10" t="n">
        <x:f>K1319*'Assumptions'!$U$61</x:f>
        <x:v>931.0565534828038</x:v>
      </x:c>
      <x:c r="M1319" s="10" t="n">
        <x:f>K1319*'Assumptions'!$V$61</x:f>
        <x:v>0</x:v>
      </x:c>
      <x:c r="N1319" s="10" t="n">
        <x:f>K1319-L1319-M1319</x:f>
        <x:v>30104.161895943987</x:v>
      </x:c>
      <x:c r="O1319" s="10" t="n">
        <x:f>H1319*'Assumptions'!$P$61*'Assumptions'!$Q$61*'Assumptions'!$D$11*(1+'Assumptions'!$D$13)^(11-1)</x:f>
        <x:v>16423.532469677535</x:v>
      </x:c>
      <x:c r="P1319" s="10" t="n">
        <x:f>H1319*'Assumptions'!$R$61*'Assumptions'!$D$11*(1+'Assumptions'!$D$13)^(11-1)</x:f>
        <x:v>45.62092352688204</x:v>
      </x:c>
      <x:c r="Q1319" s="10" t="n">
        <x:f>J1319*'Assumptions'!$S$61</x:f>
        <x:v>0</x:v>
      </x:c>
      <x:c r="R1319" s="10" t="n">
        <x:f>H1319*'Assumptions'!$Y$61*'Assumptions'!$Z$61*'Assumptions'!$D$11*(1+'Assumptions'!$D$13)^(11-1)</x:f>
        <x:v>34.215692645161525</x:v>
      </x:c>
      <x:c r="S1319" s="10" t="n">
        <x:f>IF(I1319=0,0,J1319*'Assumptions'!$W$61+H1319*'Assumptions'!$X$61)</x:f>
        <x:v>901.0397225810267</x:v>
      </x:c>
      <x:c r="T1319" s="10" t="n">
        <x:f>N1319*'Assumptions'!$AA$61</x:f>
        <x:v>1204.1664758377594</x:v>
      </x:c>
      <x:c r="U1319" s="10" t="n">
        <x:f>'Assumptions'!$AE$61*'Assumptions'!$D$11*(1+'Assumptions'!$D$13)^(11-1)</x:f>
        <x:v>0</x:v>
      </x:c>
      <x:c r="V1319" s="10" t="n">
        <x:f>0</x:f>
        <x:v>0</x:v>
      </x:c>
      <x:c r="W1319" s="10" t="n">
        <x:f>H1319*('Assumptions'!$P$61+'Assumptions'!$Y$61)</x:f>
        <x:v>204.5261658196386</x:v>
      </x:c>
      <x:c r="X1319" s="10" t="n">
        <x:f>N1319/12*'Assumptions'!$AF$61</x:f>
        <x:v>2508.680157995332</x:v>
      </x:c>
      <x:c r="Y1319" s="10" t="n">
        <x:f>P1319/12</x:f>
        <x:v>3.8017436272401697</x:v>
      </x:c>
      <x:c r="Z1319" s="10" t="n">
        <x:f>0</x:f>
        <x:v>0</x:v>
      </x:c>
      <x:c r="AA1319" s="10" t="n">
        <x:f>Z1319*'Assumptions'!$AC$61*'Assumptions'!$D$11*(1+'Assumptions'!$D$13)^(11-1)</x:f>
        <x:v>0</x:v>
      </x:c>
      <x:c r="AB1319" s="10" t="n">
        <x:f>F1319/1</x:f>
        <x:v>1.74821196734811</x:v>
      </x:c>
      <x:c r="AC1319" s="10" t="n">
        <x:f>AB1319/'Assumptions'!$AM$61</x:f>
        <x:v>8.741059836740549</x:v>
      </x:c>
      <x:c r="AD1319" s="10" t="n">
        <x:f>IF(AB1319=0,0,T1319/AB1319)</x:f>
        <x:v>688.7988975755487</x:v>
      </x:c>
      <x:c r="AE1319" s="10" t="n">
        <x:f>AA1319*'Assumptions'!$D$21</x:f>
        <x:v>0</x:v>
      </x:c>
    </x:row>
    <x:row r="1320" ht="16" customHeight="1">
      <x:c r="A1320" s="1"/>
      <x:c r="B1320" s="1"/>
      <x:c r="C1320" s="1" t="str">
        <x:v>DOT-033</x:v>
      </x:c>
      <x:c r="D1320" s="10" t="str">
        <x:v>CornerFlow</x:v>
      </x:c>
      <x:c r="E1320" s="10" t="n">
        <x:v>11</x:v>
      </x:c>
      <x:c r="F1320" s="21" t="n">
        <x:f>F1192*(1+'Assumptions'!$M$62)</x:f>
        <x:v>89.13552631497126</x:v>
      </x:c>
      <x:c r="G1320" s="21" t="n">
        <x:f>H1192*'Assumptions'!$K$62</x:f>
        <x:v>181.99561422859355</x:v>
      </x:c>
      <x:c r="H1320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1320+G1320,NA())</x:f>
        <x:v>271.1311405435648</x:v>
      </x:c>
      <x:c r="I1320" s="22" t="n">
        <x:f>'Assumptions'!$H$62*IF('Assumptions'!$O$62=1,1,'Assumptions'!$D$10)*(1+'Assumptions'!$N$62)^(11-1)</x:f>
        <x:v>59.730726579743106</x:v>
      </x:c>
      <x:c r="J1320" s="10" t="n">
        <x:f>H1320*I1320</x:f>
        <x:v>16194.86002306157</x:v>
      </x:c>
      <x:c r="K1320" s="10" t="n">
        <x:f>J1320*'Assumptions'!$T$62</x:f>
        <x:v>16194.86002306157</x:v>
      </x:c>
      <x:c r="L1320" s="10" t="n">
        <x:f>K1320*'Assumptions'!$U$62</x:f>
        <x:v>485.8458006918471</x:v>
      </x:c>
      <x:c r="M1320" s="10" t="n">
        <x:f>K1320*'Assumptions'!$V$62</x:f>
        <x:v>0</x:v>
      </x:c>
      <x:c r="N1320" s="10" t="n">
        <x:f>K1320-L1320-M1320</x:f>
        <x:v>15709.014222369724</x:v>
      </x:c>
      <x:c r="O1320" s="10" t="n">
        <x:f>H1320*'Assumptions'!$P$62*'Assumptions'!$Q$62*'Assumptions'!$D$11*(1+'Assumptions'!$D$13)^(11-1)</x:f>
        <x:v>1912.9822988154374</x:v>
      </x:c>
      <x:c r="P1320" s="10" t="n">
        <x:f>H1320*'Assumptions'!$R$62*'Assumptions'!$D$11*(1+'Assumptions'!$D$13)^(11-1)</x:f>
        <x:v>0</x:v>
      </x:c>
      <x:c r="Q1320" s="10" t="n">
        <x:f>J1320*'Assumptions'!$S$62</x:f>
        <x:v>0</x:v>
      </x:c>
      <x:c r="R1320" s="10" t="n">
        <x:f>H1320*'Assumptions'!$Y$62*'Assumptions'!$Z$62*'Assumptions'!$D$11*(1+'Assumptions'!$D$13)^(11-1)</x:f>
        <x:v>1639.699113270375</x:v>
      </x:c>
      <x:c r="S1320" s="10" t="n">
        <x:f>IF(I1320=0,0,J1320*'Assumptions'!$W$62+H1320*'Assumptions'!$X$62)</x:f>
        <x:v>550.990282831855</x:v>
      </x:c>
      <x:c r="T1320" s="10" t="n">
        <x:f>N1320*'Assumptions'!$AA$62</x:f>
        <x:v>785.4507111184862</x:v>
      </x:c>
      <x:c r="U1320" s="10" t="n">
        <x:f>'Assumptions'!$AE$62*'Assumptions'!$D$11*(1+'Assumptions'!$D$13)^(11-1)</x:f>
        <x:v>161.26996552129467</x:v>
      </x:c>
      <x:c r="V1320" s="10" t="n">
        <x:f>0</x:f>
        <x:v>0</x:v>
      </x:c>
      <x:c r="W1320" s="10" t="n">
        <x:f>H1320*('Assumptions'!$P$62+'Assumptions'!$Y$62)</x:f>
        <x:v>81.33934216306945</x:v>
      </x:c>
      <x:c r="X1320" s="10" t="n">
        <x:f>N1320/12*'Assumptions'!$AF$62</x:f>
        <x:v>0</x:v>
      </x:c>
      <x:c r="Y1320" s="10" t="n">
        <x:f>P1320/12</x:f>
        <x:v>0</x:v>
      </x:c>
      <x:c r="Z1320" s="10" t="n">
        <x:f>0</x:f>
        <x:v>0</x:v>
      </x:c>
      <x:c r="AA1320" s="10" t="n">
        <x:f>Z1320*'Assumptions'!$AC$62*'Assumptions'!$D$11*(1+'Assumptions'!$D$13)^(11-1)</x:f>
        <x:v>0</x:v>
      </x:c>
      <x:c r="AB1320" s="10" t="n">
        <x:f>F1320/12</x:f>
        <x:v>7.427960526247605</x:v>
      </x:c>
      <x:c r="AC1320" s="10" t="n">
        <x:f>AB1320/'Assumptions'!$AM$62</x:f>
        <x:v>148.5592105249521</x:v>
      </x:c>
      <x:c r="AD1320" s="10" t="n">
        <x:f>IF(AB1320=0,0,T1320/AB1320)</x:f>
        <x:v>105.74244549940731</x:v>
      </x:c>
      <x:c r="AE1320" s="10" t="n">
        <x:f>AA1320*'Assumptions'!$D$21</x:f>
        <x:v>0</x:v>
      </x:c>
    </x:row>
    <x:row r="1321" ht="16" customHeight="1">
      <x:c r="A1321" s="1"/>
      <x:c r="B1321" s="1"/>
      <x:c r="C1321" s="1" t="str">
        <x:v>DOT-034</x:v>
      </x:c>
      <x:c r="D1321" s="10" t="str">
        <x:v>CornerFlow</x:v>
      </x:c>
      <x:c r="E1321" s="10" t="n">
        <x:v>11</x:v>
      </x:c>
      <x:c r="F1321" s="21" t="n">
        <x:f>F1193*(1+'Assumptions'!$M$63)</x:f>
        <x:v>17.482119673481098</x:v>
      </x:c>
      <x:c r="G1321" s="21" t="n">
        <x:f>H1193*'Assumptions'!$K$63</x:f>
        <x:v>16.459249102340657</x:v>
      </x:c>
      <x:c r="H1321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1321+G1321,NA())</x:f>
        <x:v>33.94136877582176</x:v>
      </x:c>
      <x:c r="I1321" s="22" t="n">
        <x:f>'Assumptions'!$H$63*IF('Assumptions'!$O$63=1,1,'Assumptions'!$D$10)*(1+'Assumptions'!$N$63)^(11-1)</x:f>
        <x:v>242.5798895789567</x:v>
      </x:c>
      <x:c r="J1321" s="10" t="n">
        <x:f>H1321*I1321</x:f>
        <x:v>8233.49348979749</x:v>
      </x:c>
      <x:c r="K1321" s="10" t="n">
        <x:f>J1321*'Assumptions'!$T$63</x:f>
        <x:v>8233.49348979749</x:v>
      </x:c>
      <x:c r="L1321" s="10" t="n">
        <x:f>K1321*'Assumptions'!$U$63</x:f>
        <x:v>247.0048046939247</x:v>
      </x:c>
      <x:c r="M1321" s="10" t="n">
        <x:f>K1321*'Assumptions'!$V$63</x:f>
        <x:v>0</x:v>
      </x:c>
      <x:c r="N1321" s="10" t="n">
        <x:f>K1321-L1321-M1321</x:f>
        <x:v>7986.488685103566</x:v>
      </x:c>
      <x:c r="O1321" s="10" t="n">
        <x:f>H1321*'Assumptions'!$P$63*'Assumptions'!$Q$63*'Assumptions'!$D$11*(1+'Assumptions'!$D$13)^(11-1)</x:f>
        <x:v>3649.1489148148817</x:v>
      </x:c>
      <x:c r="P1321" s="10" t="n">
        <x:f>H1321*'Assumptions'!$R$63*'Assumptions'!$D$11*(1+'Assumptions'!$D$13)^(11-1)</x:f>
        <x:v>0</x:v>
      </x:c>
      <x:c r="Q1321" s="10" t="n">
        <x:f>J1321*'Assumptions'!$S$63</x:f>
        <x:v>0</x:v>
      </x:c>
      <x:c r="R1321" s="10" t="n">
        <x:f>H1321*'Assumptions'!$Y$63*'Assumptions'!$Z$63*'Assumptions'!$D$11*(1+'Assumptions'!$D$13)^(11-1)</x:f>
        <x:v>342.10771076389517</x:v>
      </x:c>
      <x:c r="S1321" s="10" t="n">
        <x:f>IF(I1321=0,0,J1321*'Assumptions'!$W$63+H1321*'Assumptions'!$X$63)</x:f>
        <x:v>248.95372183687377</x:v>
      </x:c>
      <x:c r="T1321" s="10" t="n">
        <x:f>N1321*'Assumptions'!$AA$63</x:f>
        <x:v>319.45954740414265</x:v>
      </x:c>
      <x:c r="U1321" s="10" t="n">
        <x:f>'Assumptions'!$AE$63*'Assumptions'!$D$11*(1+'Assumptions'!$D$13)^(11-1)</x:f>
        <x:v>0</x:v>
      </x:c>
      <x:c r="V1321" s="10" t="n">
        <x:f>0</x:f>
        <x:v>0</x:v>
      </x:c>
      <x:c r="W1321" s="10" t="n">
        <x:f>H1321*('Assumptions'!$P$63+'Assumptions'!$Y$63)</x:f>
        <x:v>76.36807974559895</x:v>
      </x:c>
      <x:c r="X1321" s="10" t="n">
        <x:f>N1321/12*'Assumptions'!$AF$63</x:f>
        <x:v>665.5407237586305</x:v>
      </x:c>
      <x:c r="Y1321" s="10" t="n">
        <x:f>P1321/12</x:f>
        <x:v>0</x:v>
      </x:c>
      <x:c r="Z1321" s="10" t="n">
        <x:f>0</x:f>
        <x:v>0</x:v>
      </x:c>
      <x:c r="AA1321" s="10" t="n">
        <x:f>Z1321*'Assumptions'!$AC$63*'Assumptions'!$D$11*(1+'Assumptions'!$D$13)^(11-1)</x:f>
        <x:v>0</x:v>
      </x:c>
      <x:c r="AB1321" s="10" t="n">
        <x:f>F1321/1</x:f>
        <x:v>17.482119673481098</x:v>
      </x:c>
      <x:c r="AC1321" s="10" t="n">
        <x:f>AB1321/'Assumptions'!$AM$63</x:f>
        <x:v>87.41059836740548</x:v>
      </x:c>
      <x:c r="AD1321" s="10" t="n">
        <x:f>IF(AB1321=0,0,T1321/AB1321)</x:f>
        <x:v>18.273501919148618</x:v>
      </x:c>
      <x:c r="AE1321" s="10" t="n">
        <x:f>AA1321*'Assumptions'!$D$21</x:f>
        <x:v>0</x:v>
      </x:c>
    </x:row>
    <x:row r="1322" ht="16" customHeight="1">
      <x:c r="A1322" s="1"/>
      <x:c r="B1322" s="1"/>
      <x:c r="C1322" s="1" t="str">
        <x:v>DOT-035</x:v>
      </x:c>
      <x:c r="D1322" s="10" t="str">
        <x:v>Spindle</x:v>
      </x:c>
      <x:c r="E1322" s="10" t="n">
        <x:v>11</x:v>
      </x:c>
      <x:c r="F1322" s="21" t="n">
        <x:f>F1194*(1+'Assumptions'!$M$64)</x:f>
        <x:v>89.13552631497126</x:v>
      </x:c>
      <x:c r="G1322" s="21" t="n">
        <x:f>H1194*'Assumptions'!$K$64</x:f>
        <x:v>181.99561422859355</x:v>
      </x:c>
      <x:c r="H1322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1322+G1322,NA())</x:f>
        <x:v>271.1311405435648</x:v>
      </x:c>
      <x:c r="I1322" s="22" t="n">
        <x:f>'Assumptions'!$H$64*IF('Assumptions'!$O$64=1,1,'Assumptions'!$D$10)*(1+'Assumptions'!$N$64)^(11-1)</x:f>
        <x:v>59.730726579743106</x:v>
      </x:c>
      <x:c r="J1322" s="10" t="n">
        <x:f>H1322*I1322</x:f>
        <x:v>16194.86002306157</x:v>
      </x:c>
      <x:c r="K1322" s="10" t="n">
        <x:f>J1322*'Assumptions'!$T$64</x:f>
        <x:v>16194.86002306157</x:v>
      </x:c>
      <x:c r="L1322" s="10" t="n">
        <x:f>K1322*'Assumptions'!$U$64</x:f>
        <x:v>485.8458006918471</x:v>
      </x:c>
      <x:c r="M1322" s="10" t="n">
        <x:f>K1322*'Assumptions'!$V$64</x:f>
        <x:v>0</x:v>
      </x:c>
      <x:c r="N1322" s="10" t="n">
        <x:f>K1322-L1322-M1322</x:f>
        <x:v>15709.014222369724</x:v>
      </x:c>
      <x:c r="O1322" s="10" t="n">
        <x:f>H1322*'Assumptions'!$P$64*'Assumptions'!$Q$64*'Assumptions'!$D$11*(1+'Assumptions'!$D$13)^(11-1)</x:f>
        <x:v>1912.9822988154374</x:v>
      </x:c>
      <x:c r="P1322" s="10" t="n">
        <x:f>H1322*'Assumptions'!$R$64*'Assumptions'!$D$11*(1+'Assumptions'!$D$13)^(11-1)</x:f>
        <x:v>0</x:v>
      </x:c>
      <x:c r="Q1322" s="10" t="n">
        <x:f>J1322*'Assumptions'!$S$64</x:f>
        <x:v>0</x:v>
      </x:c>
      <x:c r="R1322" s="10" t="n">
        <x:f>H1322*'Assumptions'!$Y$64*'Assumptions'!$Z$64*'Assumptions'!$D$11*(1+'Assumptions'!$D$13)^(11-1)</x:f>
        <x:v>1639.699113270375</x:v>
      </x:c>
      <x:c r="S1322" s="10" t="n">
        <x:f>IF(I1322=0,0,J1322*'Assumptions'!$W$64+H1322*'Assumptions'!$X$64)</x:f>
        <x:v>550.990282831855</x:v>
      </x:c>
      <x:c r="T1322" s="10" t="n">
        <x:f>N1322*'Assumptions'!$AA$64</x:f>
        <x:v>785.4507111184862</x:v>
      </x:c>
      <x:c r="U1322" s="10" t="n">
        <x:f>'Assumptions'!$AE$64*'Assumptions'!$D$11*(1+'Assumptions'!$D$13)^(11-1)</x:f>
        <x:v>161.26996552129467</x:v>
      </x:c>
      <x:c r="V1322" s="10" t="n">
        <x:f>0</x:f>
        <x:v>0</x:v>
      </x:c>
      <x:c r="W1322" s="10" t="n">
        <x:f>H1322*('Assumptions'!$P$64+'Assumptions'!$Y$64)</x:f>
        <x:v>81.33934216306945</x:v>
      </x:c>
      <x:c r="X1322" s="10" t="n">
        <x:f>N1322/12*'Assumptions'!$AF$64</x:f>
        <x:v>0</x:v>
      </x:c>
      <x:c r="Y1322" s="10" t="n">
        <x:f>P1322/12</x:f>
        <x:v>0</x:v>
      </x:c>
      <x:c r="Z1322" s="10" t="n">
        <x:f>0</x:f>
        <x:v>0</x:v>
      </x:c>
      <x:c r="AA1322" s="10" t="n">
        <x:f>Z1322*'Assumptions'!$AC$64*'Assumptions'!$D$11*(1+'Assumptions'!$D$13)^(11-1)</x:f>
        <x:v>0</x:v>
      </x:c>
      <x:c r="AB1322" s="10" t="n">
        <x:f>F1322/12</x:f>
        <x:v>7.427960526247605</x:v>
      </x:c>
      <x:c r="AC1322" s="10" t="n">
        <x:f>AB1322/'Assumptions'!$AM$64</x:f>
        <x:v>148.5592105249521</x:v>
      </x:c>
      <x:c r="AD1322" s="10" t="n">
        <x:f>IF(AB1322=0,0,T1322/AB1322)</x:f>
        <x:v>105.74244549940731</x:v>
      </x:c>
      <x:c r="AE1322" s="10" t="n">
        <x:f>AA1322*'Assumptions'!$D$21</x:f>
        <x:v>0</x:v>
      </x:c>
    </x:row>
    <x:row r="1323" ht="16" customHeight="1">
      <x:c r="A1323" s="1"/>
      <x:c r="B1323" s="1"/>
      <x:c r="C1323" s="1" t="str">
        <x:v>DOT-036</x:v>
      </x:c>
      <x:c r="D1323" s="10" t="str">
        <x:v>Spindle</x:v>
      </x:c>
      <x:c r="E1323" s="10" t="n">
        <x:v>11</x:v>
      </x:c>
      <x:c r="F1323" s="21" t="n">
        <x:f>F1195*(1+'Assumptions'!$M$65)</x:f>
        <x:v>17.482119673481098</x:v>
      </x:c>
      <x:c r="G1323" s="21" t="n">
        <x:f>H1195*'Assumptions'!$K$65</x:f>
        <x:v>16.459249102340657</x:v>
      </x:c>
      <x:c r="H1323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1323+G1323,NA())</x:f>
        <x:v>33.94136877582176</x:v>
      </x:c>
      <x:c r="I1323" s="22" t="n">
        <x:f>'Assumptions'!$H$65*IF('Assumptions'!$O$65=1,1,'Assumptions'!$D$10)*(1+'Assumptions'!$N$65)^(11-1)</x:f>
        <x:v>242.5798895789567</x:v>
      </x:c>
      <x:c r="J1323" s="10" t="n">
        <x:f>H1323*I1323</x:f>
        <x:v>8233.49348979749</x:v>
      </x:c>
      <x:c r="K1323" s="10" t="n">
        <x:f>J1323*'Assumptions'!$T$65</x:f>
        <x:v>8233.49348979749</x:v>
      </x:c>
      <x:c r="L1323" s="10" t="n">
        <x:f>K1323*'Assumptions'!$U$65</x:f>
        <x:v>247.0048046939247</x:v>
      </x:c>
      <x:c r="M1323" s="10" t="n">
        <x:f>K1323*'Assumptions'!$V$65</x:f>
        <x:v>0</x:v>
      </x:c>
      <x:c r="N1323" s="10" t="n">
        <x:f>K1323-L1323-M1323</x:f>
        <x:v>7986.488685103566</x:v>
      </x:c>
      <x:c r="O1323" s="10" t="n">
        <x:f>H1323*'Assumptions'!$P$65*'Assumptions'!$Q$65*'Assumptions'!$D$11*(1+'Assumptions'!$D$13)^(11-1)</x:f>
        <x:v>3649.1489148148817</x:v>
      </x:c>
      <x:c r="P1323" s="10" t="n">
        <x:f>H1323*'Assumptions'!$R$65*'Assumptions'!$D$11*(1+'Assumptions'!$D$13)^(11-1)</x:f>
        <x:v>0</x:v>
      </x:c>
      <x:c r="Q1323" s="10" t="n">
        <x:f>J1323*'Assumptions'!$S$65</x:f>
        <x:v>0</x:v>
      </x:c>
      <x:c r="R1323" s="10" t="n">
        <x:f>H1323*'Assumptions'!$Y$65*'Assumptions'!$Z$65*'Assumptions'!$D$11*(1+'Assumptions'!$D$13)^(11-1)</x:f>
        <x:v>342.10771076389517</x:v>
      </x:c>
      <x:c r="S1323" s="10" t="n">
        <x:f>IF(I1323=0,0,J1323*'Assumptions'!$W$65+H1323*'Assumptions'!$X$65)</x:f>
        <x:v>248.95372183687377</x:v>
      </x:c>
      <x:c r="T1323" s="10" t="n">
        <x:f>N1323*'Assumptions'!$AA$65</x:f>
        <x:v>319.45954740414265</x:v>
      </x:c>
      <x:c r="U1323" s="10" t="n">
        <x:f>'Assumptions'!$AE$65*'Assumptions'!$D$11*(1+'Assumptions'!$D$13)^(11-1)</x:f>
        <x:v>0</x:v>
      </x:c>
      <x:c r="V1323" s="10" t="n">
        <x:f>0</x:f>
        <x:v>0</x:v>
      </x:c>
      <x:c r="W1323" s="10" t="n">
        <x:f>H1323*('Assumptions'!$P$65+'Assumptions'!$Y$65)</x:f>
        <x:v>76.36807974559895</x:v>
      </x:c>
      <x:c r="X1323" s="10" t="n">
        <x:f>N1323/12*'Assumptions'!$AF$65</x:f>
        <x:v>665.5407237586305</x:v>
      </x:c>
      <x:c r="Y1323" s="10" t="n">
        <x:f>P1323/12</x:f>
        <x:v>0</x:v>
      </x:c>
      <x:c r="Z1323" s="10" t="n">
        <x:f>0</x:f>
        <x:v>0</x:v>
      </x:c>
      <x:c r="AA1323" s="10" t="n">
        <x:f>Z1323*'Assumptions'!$AC$65*'Assumptions'!$D$11*(1+'Assumptions'!$D$13)^(11-1)</x:f>
        <x:v>0</x:v>
      </x:c>
      <x:c r="AB1323" s="10" t="n">
        <x:f>F1323/1</x:f>
        <x:v>17.482119673481098</x:v>
      </x:c>
      <x:c r="AC1323" s="10" t="n">
        <x:f>AB1323/'Assumptions'!$AM$65</x:f>
        <x:v>87.41059836740548</x:v>
      </x:c>
      <x:c r="AD1323" s="10" t="n">
        <x:f>IF(AB1323=0,0,T1323/AB1323)</x:f>
        <x:v>18.273501919148618</x:v>
      </x:c>
      <x:c r="AE1323" s="10" t="n">
        <x:f>AA1323*'Assumptions'!$D$21</x:f>
        <x:v>0</x:v>
      </x:c>
    </x:row>
    <x:row r="1324" ht="16" customHeight="1">
      <x:c r="A1324" s="1"/>
      <x:c r="B1324" s="1"/>
      <x:c r="C1324" s="1" t="str">
        <x:v>DOT-037</x:v>
      </x:c>
      <x:c r="D1324" s="10" t="str">
        <x:v>Maison Contour</x:v>
      </x:c>
      <x:c r="E1324" s="10" t="n">
        <x:v>11</x:v>
      </x:c>
      <x:c r="F1324" s="21" t="n">
        <x:f>F1196*(1+'Assumptions'!$M$66)</x:f>
        <x:v>89.13552631497126</x:v>
      </x:c>
      <x:c r="G1324" s="21" t="n">
        <x:f>H1196*'Assumptions'!$K$66</x:f>
        <x:v>181.99561422859355</x:v>
      </x:c>
      <x:c r="H1324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1324+G1324,NA())</x:f>
        <x:v>271.1311405435648</x:v>
      </x:c>
      <x:c r="I1324" s="22" t="n">
        <x:f>'Assumptions'!$H$66*IF('Assumptions'!$O$66=1,1,'Assumptions'!$D$10)*(1+'Assumptions'!$N$66)^(11-1)</x:f>
        <x:v>96.30055917958583</x:v>
      </x:c>
      <x:c r="J1324" s="10" t="n">
        <x:f>H1324*I1324</x:f>
        <x:v>26110.080445344167</x:v>
      </x:c>
      <x:c r="K1324" s="10" t="n">
        <x:f>J1324*'Assumptions'!$T$66</x:f>
        <x:v>26110.080445344167</x:v>
      </x:c>
      <x:c r="L1324" s="10" t="n">
        <x:f>K1324*'Assumptions'!$U$66</x:f>
        <x:v>783.302413360325</x:v>
      </x:c>
      <x:c r="M1324" s="10" t="n">
        <x:f>K1324*'Assumptions'!$V$66</x:f>
        <x:v>0</x:v>
      </x:c>
      <x:c r="N1324" s="10" t="n">
        <x:f>K1324-L1324-M1324</x:f>
        <x:v>25326.778031983842</x:v>
      </x:c>
      <x:c r="O1324" s="10" t="n">
        <x:f>H1324*'Assumptions'!$P$66*'Assumptions'!$Q$66*'Assumptions'!$D$11*(1+'Assumptions'!$D$13)^(11-1)</x:f>
        <x:v>1912.9822988154374</x:v>
      </x:c>
      <x:c r="P1324" s="10" t="n">
        <x:f>H1324*'Assumptions'!$R$66*'Assumptions'!$D$11*(1+'Assumptions'!$D$13)^(11-1)</x:f>
        <x:v>0</x:v>
      </x:c>
      <x:c r="Q1324" s="10" t="n">
        <x:f>J1324*'Assumptions'!$S$66</x:f>
        <x:v>0</x:v>
      </x:c>
      <x:c r="R1324" s="10" t="n">
        <x:f>H1324*'Assumptions'!$Y$66*'Assumptions'!$Z$66*'Assumptions'!$D$11*(1+'Assumptions'!$D$13)^(11-1)</x:f>
        <x:v>1639.699113270375</x:v>
      </x:c>
      <x:c r="S1324" s="10" t="n">
        <x:f>IF(I1324=0,0,J1324*'Assumptions'!$W$66+H1324*'Assumptions'!$X$66)</x:f>
        <x:v>838.5316750780503</x:v>
      </x:c>
      <x:c r="T1324" s="10" t="n">
        <x:f>N1324*'Assumptions'!$AA$66</x:f>
        <x:v>1266.3389015991922</x:v>
      </x:c>
      <x:c r="U1324" s="10" t="n">
        <x:f>'Assumptions'!$AE$66*'Assumptions'!$D$11*(1+'Assumptions'!$D$13)^(11-1)</x:f>
        <x:v>161.26996552129467</x:v>
      </x:c>
      <x:c r="V1324" s="10" t="n">
        <x:f>0</x:f>
        <x:v>0</x:v>
      </x:c>
      <x:c r="W1324" s="10" t="n">
        <x:f>H1324*('Assumptions'!$P$66+'Assumptions'!$Y$66)</x:f>
        <x:v>81.33934216306945</x:v>
      </x:c>
      <x:c r="X1324" s="10" t="n">
        <x:f>N1324/12*'Assumptions'!$AF$66</x:f>
        <x:v>0</x:v>
      </x:c>
      <x:c r="Y1324" s="10" t="n">
        <x:f>P1324/12</x:f>
        <x:v>0</x:v>
      </x:c>
      <x:c r="Z1324" s="10" t="n">
        <x:f>0</x:f>
        <x:v>0</x:v>
      </x:c>
      <x:c r="AA1324" s="10" t="n">
        <x:f>Z1324*'Assumptions'!$AC$66*'Assumptions'!$D$11*(1+'Assumptions'!$D$13)^(11-1)</x:f>
        <x:v>0</x:v>
      </x:c>
      <x:c r="AB1324" s="10" t="n">
        <x:f>F1324/12</x:f>
        <x:v>7.427960526247605</x:v>
      </x:c>
      <x:c r="AC1324" s="10" t="n">
        <x:f>AB1324/'Assumptions'!$AM$66</x:f>
        <x:v>148.5592105249521</x:v>
      </x:c>
      <x:c r="AD1324" s="10" t="n">
        <x:f>IF(AB1324=0,0,T1324/AB1324)</x:f>
        <x:v>170.4827182541465</x:v>
      </x:c>
      <x:c r="AE1324" s="10" t="n">
        <x:f>AA1324*'Assumptions'!$D$21</x:f>
        <x:v>0</x:v>
      </x:c>
    </x:row>
    <x:row r="1325" ht="16" customHeight="1">
      <x:c r="A1325" s="1"/>
      <x:c r="B1325" s="1"/>
      <x:c r="C1325" s="1" t="str">
        <x:v>DOT-038</x:v>
      </x:c>
      <x:c r="D1325" s="10" t="str">
        <x:v>Maison Contour</x:v>
      </x:c>
      <x:c r="E1325" s="10" t="n">
        <x:v>11</x:v>
      </x:c>
      <x:c r="F1325" s="21" t="n">
        <x:f>F1197*(1+'Assumptions'!$M$67)</x:f>
        <x:v>17.482119673481098</x:v>
      </x:c>
      <x:c r="G1325" s="21" t="n">
        <x:f>H1197*'Assumptions'!$K$67</x:f>
        <x:v>16.459249102340657</x:v>
      </x:c>
      <x:c r="H1325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1325+G1325,NA())</x:f>
        <x:v>33.94136877582176</x:v>
      </x:c>
      <x:c r="I1325" s="22" t="n">
        <x:f>'Assumptions'!$H$67*IF('Assumptions'!$O$67=1,1,'Assumptions'!$D$10)*(1+'Assumptions'!$N$67)^(11-1)</x:f>
        <x:v>242.5798895789567</x:v>
      </x:c>
      <x:c r="J1325" s="10" t="n">
        <x:f>H1325*I1325</x:f>
        <x:v>8233.49348979749</x:v>
      </x:c>
      <x:c r="K1325" s="10" t="n">
        <x:f>J1325*'Assumptions'!$T$67</x:f>
        <x:v>8233.49348979749</x:v>
      </x:c>
      <x:c r="L1325" s="10" t="n">
        <x:f>K1325*'Assumptions'!$U$67</x:f>
        <x:v>247.0048046939247</x:v>
      </x:c>
      <x:c r="M1325" s="10" t="n">
        <x:f>K1325*'Assumptions'!$V$67</x:f>
        <x:v>0</x:v>
      </x:c>
      <x:c r="N1325" s="10" t="n">
        <x:f>K1325-L1325-M1325</x:f>
        <x:v>7986.488685103566</x:v>
      </x:c>
      <x:c r="O1325" s="10" t="n">
        <x:f>H1325*'Assumptions'!$P$67*'Assumptions'!$Q$67*'Assumptions'!$D$11*(1+'Assumptions'!$D$13)^(11-1)</x:f>
        <x:v>3649.1489148148817</x:v>
      </x:c>
      <x:c r="P1325" s="10" t="n">
        <x:f>H1325*'Assumptions'!$R$67*'Assumptions'!$D$11*(1+'Assumptions'!$D$13)^(11-1)</x:f>
        <x:v>0</x:v>
      </x:c>
      <x:c r="Q1325" s="10" t="n">
        <x:f>J1325*'Assumptions'!$S$67</x:f>
        <x:v>0</x:v>
      </x:c>
      <x:c r="R1325" s="10" t="n">
        <x:f>H1325*'Assumptions'!$Y$67*'Assumptions'!$Z$67*'Assumptions'!$D$11*(1+'Assumptions'!$D$13)^(11-1)</x:f>
        <x:v>342.10771076389517</x:v>
      </x:c>
      <x:c r="S1325" s="10" t="n">
        <x:f>IF(I1325=0,0,J1325*'Assumptions'!$W$67+H1325*'Assumptions'!$X$67)</x:f>
        <x:v>248.95372183687377</x:v>
      </x:c>
      <x:c r="T1325" s="10" t="n">
        <x:f>N1325*'Assumptions'!$AA$67</x:f>
        <x:v>319.45954740414265</x:v>
      </x:c>
      <x:c r="U1325" s="10" t="n">
        <x:f>'Assumptions'!$AE$67*'Assumptions'!$D$11*(1+'Assumptions'!$D$13)^(11-1)</x:f>
        <x:v>0</x:v>
      </x:c>
      <x:c r="V1325" s="10" t="n">
        <x:f>0</x:f>
        <x:v>0</x:v>
      </x:c>
      <x:c r="W1325" s="10" t="n">
        <x:f>H1325*('Assumptions'!$P$67+'Assumptions'!$Y$67)</x:f>
        <x:v>76.36807974559895</x:v>
      </x:c>
      <x:c r="X1325" s="10" t="n">
        <x:f>N1325/12*'Assumptions'!$AF$67</x:f>
        <x:v>665.5407237586305</x:v>
      </x:c>
      <x:c r="Y1325" s="10" t="n">
        <x:f>P1325/12</x:f>
        <x:v>0</x:v>
      </x:c>
      <x:c r="Z1325" s="10" t="n">
        <x:f>0</x:f>
        <x:v>0</x:v>
      </x:c>
      <x:c r="AA1325" s="10" t="n">
        <x:f>Z1325*'Assumptions'!$AC$67*'Assumptions'!$D$11*(1+'Assumptions'!$D$13)^(11-1)</x:f>
        <x:v>0</x:v>
      </x:c>
      <x:c r="AB1325" s="10" t="n">
        <x:f>F1325/1</x:f>
        <x:v>17.482119673481098</x:v>
      </x:c>
      <x:c r="AC1325" s="10" t="n">
        <x:f>AB1325/'Assumptions'!$AM$67</x:f>
        <x:v>87.41059836740548</x:v>
      </x:c>
      <x:c r="AD1325" s="10" t="n">
        <x:f>IF(AB1325=0,0,T1325/AB1325)</x:f>
        <x:v>18.273501919148618</x:v>
      </x:c>
      <x:c r="AE1325" s="10" t="n">
        <x:f>AA1325*'Assumptions'!$D$21</x:f>
        <x:v>0</x:v>
      </x:c>
    </x:row>
    <x:row r="1326" ht="16" customHeight="1">
      <x:c r="A1326" s="1"/>
      <x:c r="B1326" s="1"/>
      <x:c r="C1326" s="1" t="str">
        <x:v>DOT-039</x:v>
      </x:c>
      <x:c r="D1326" s="10" t="str">
        <x:v>DishLoom US</x:v>
      </x:c>
      <x:c r="E1326" s="10" t="n">
        <x:v>11</x:v>
      </x:c>
      <x:c r="F1326" s="21" t="n">
        <x:f>F1198*(1+'Assumptions'!$M$68)</x:f>
        <x:v>89.13552631497126</x:v>
      </x:c>
      <x:c r="G1326" s="21" t="n">
        <x:f>H1198*'Assumptions'!$K$68</x:f>
        <x:v>181.99561422859355</x:v>
      </x:c>
      <x:c r="H1326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1326+G1326,NA())</x:f>
        <x:v>271.1311405435648</x:v>
      </x:c>
      <x:c r="I1326" s="22" t="n">
        <x:f>'Assumptions'!$H$68*IF('Assumptions'!$O$68=1,1,'Assumptions'!$D$10)*(1+'Assumptions'!$N$68)^(11-1)</x:f>
        <x:v>47.54078237979554</x:v>
      </x:c>
      <x:c r="J1326" s="10" t="n">
        <x:f>H1326*I1326</x:f>
        <x:v>12889.786548967373</x:v>
      </x:c>
      <x:c r="K1326" s="10" t="n">
        <x:f>J1326*'Assumptions'!$T$68</x:f>
        <x:v>12889.786548967373</x:v>
      </x:c>
      <x:c r="L1326" s="10" t="n">
        <x:f>K1326*'Assumptions'!$U$68</x:f>
        <x:v>386.6935964690212</x:v>
      </x:c>
      <x:c r="M1326" s="10" t="n">
        <x:f>K1326*'Assumptions'!$V$68</x:f>
        <x:v>0</x:v>
      </x:c>
      <x:c r="N1326" s="10" t="n">
        <x:f>K1326-L1326-M1326</x:f>
        <x:v>12503.092952498351</x:v>
      </x:c>
      <x:c r="O1326" s="10" t="n">
        <x:f>H1326*'Assumptions'!$P$68*'Assumptions'!$Q$68*'Assumptions'!$D$11*(1+'Assumptions'!$D$13)^(11-1)</x:f>
        <x:v>1912.9822988154374</x:v>
      </x:c>
      <x:c r="P1326" s="10" t="n">
        <x:f>H1326*'Assumptions'!$R$68*'Assumptions'!$D$11*(1+'Assumptions'!$D$13)^(11-1)</x:f>
        <x:v>0</x:v>
      </x:c>
      <x:c r="Q1326" s="10" t="n">
        <x:f>J1326*'Assumptions'!$S$68</x:f>
        <x:v>0</x:v>
      </x:c>
      <x:c r="R1326" s="10" t="n">
        <x:f>H1326*'Assumptions'!$Y$68*'Assumptions'!$Z$68*'Assumptions'!$D$11*(1+'Assumptions'!$D$13)^(11-1)</x:f>
        <x:v>1639.699113270375</x:v>
      </x:c>
      <x:c r="S1326" s="10" t="n">
        <x:f>IF(I1326=0,0,J1326*'Assumptions'!$W$68+H1326*'Assumptions'!$X$68)</x:f>
        <x:v>455.14315208312325</x:v>
      </x:c>
      <x:c r="T1326" s="10" t="n">
        <x:f>N1326*'Assumptions'!$AA$68</x:f>
        <x:v>625.1546476249176</x:v>
      </x:c>
      <x:c r="U1326" s="10" t="n">
        <x:f>'Assumptions'!$AE$68*'Assumptions'!$D$11*(1+'Assumptions'!$D$13)^(11-1)</x:f>
        <x:v>161.26996552129467</x:v>
      </x:c>
      <x:c r="V1326" s="10" t="n">
        <x:f>0</x:f>
        <x:v>0</x:v>
      </x:c>
      <x:c r="W1326" s="10" t="n">
        <x:f>H1326*('Assumptions'!$P$68+'Assumptions'!$Y$68)</x:f>
        <x:v>81.33934216306945</x:v>
      </x:c>
      <x:c r="X1326" s="10" t="n">
        <x:f>N1326/12*'Assumptions'!$AF$68</x:f>
        <x:v>0</x:v>
      </x:c>
      <x:c r="Y1326" s="10" t="n">
        <x:f>P1326/12</x:f>
        <x:v>0</x:v>
      </x:c>
      <x:c r="Z1326" s="10" t="n">
        <x:f>0</x:f>
        <x:v>0</x:v>
      </x:c>
      <x:c r="AA1326" s="10" t="n">
        <x:f>Z1326*'Assumptions'!$AC$68*'Assumptions'!$D$11*(1+'Assumptions'!$D$13)^(11-1)</x:f>
        <x:v>0</x:v>
      </x:c>
      <x:c r="AB1326" s="10" t="n">
        <x:f>F1326/12</x:f>
        <x:v>7.427960526247605</x:v>
      </x:c>
      <x:c r="AC1326" s="10" t="n">
        <x:f>AB1326/'Assumptions'!$AM$68</x:f>
        <x:v>148.5592105249521</x:v>
      </x:c>
      <x:c r="AD1326" s="10" t="n">
        <x:f>IF(AB1326=0,0,T1326/AB1326)</x:f>
        <x:v>84.16235458116093</x:v>
      </x:c>
      <x:c r="AE1326" s="10" t="n">
        <x:f>AA1326*'Assumptions'!$D$21</x:f>
        <x:v>0</x:v>
      </x:c>
    </x:row>
    <x:row r="1327" ht="16" customHeight="1">
      <x:c r="A1327" s="1"/>
      <x:c r="B1327" s="1"/>
      <x:c r="C1327" s="1" t="str">
        <x:v>DOT-040</x:v>
      </x:c>
      <x:c r="D1327" s="10" t="str">
        <x:v>DishLoom US</x:v>
      </x:c>
      <x:c r="E1327" s="10" t="n">
        <x:v>11</x:v>
      </x:c>
      <x:c r="F1327" s="21" t="n">
        <x:f>F1199*(1+'Assumptions'!$M$69)</x:f>
        <x:v>178.27105262994252</x:v>
      </x:c>
      <x:c r="G1327" s="21" t="n">
        <x:f>H1199*'Assumptions'!$K$69</x:f>
        <x:v>363.9912284571871</x:v>
      </x:c>
      <x:c r="H1327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1327+G1327,NA())</x:f>
        <x:v>542.2622810871296</x:v>
      </x:c>
      <x:c r="I1327" s="22" t="n">
        <x:f>'Assumptions'!$H$69*IF('Assumptions'!$O$69=1,1,'Assumptions'!$D$10)*(1+'Assumptions'!$N$69)^(11-1)</x:f>
        <x:v>10.970949779952816</x:v>
      </x:c>
      <x:c r="J1327" s="10" t="n">
        <x:f>H1327*I1327</x:f>
        <x:v>5949.132253369557</x:v>
      </x:c>
      <x:c r="K1327" s="10" t="n">
        <x:f>J1327*'Assumptions'!$T$69</x:f>
        <x:v>5949.132253369557</x:v>
      </x:c>
      <x:c r="L1327" s="10" t="n">
        <x:f>K1327*'Assumptions'!$U$69</x:f>
        <x:v>178.47396760108668</x:v>
      </x:c>
      <x:c r="M1327" s="10" t="n">
        <x:f>K1327*'Assumptions'!$V$69</x:f>
        <x:v>0</x:v>
      </x:c>
      <x:c r="N1327" s="10" t="n">
        <x:f>K1327-L1327-M1327</x:f>
        <x:v>5770.65828576847</x:v>
      </x:c>
      <x:c r="O1327" s="10" t="n">
        <x:f>H1327*'Assumptions'!$P$69*'Assumptions'!$Q$69*'Assumptions'!$D$11*(1+'Assumptions'!$D$13)^(11-1)</x:f>
        <x:v>1275.321532543625</x:v>
      </x:c>
      <x:c r="P1327" s="10" t="n">
        <x:f>H1327*'Assumptions'!$R$69*'Assumptions'!$D$11*(1+'Assumptions'!$D$13)^(11-1)</x:f>
        <x:v>0</x:v>
      </x:c>
      <x:c r="Q1327" s="10" t="n">
        <x:f>J1327*'Assumptions'!$S$69</x:f>
        <x:v>0</x:v>
      </x:c>
      <x:c r="R1327" s="10" t="n">
        <x:f>H1327*'Assumptions'!$Y$69*'Assumptions'!$Z$69*'Assumptions'!$D$11*(1+'Assumptions'!$D$13)^(11-1)</x:f>
        <x:v>3279.39822654075</x:v>
      </x:c>
      <x:c r="S1327" s="10" t="n">
        <x:f>IF(I1327=0,0,J1327*'Assumptions'!$W$69+H1327*'Assumptions'!$X$69)</x:f>
        <x:v>335.203519673856</x:v>
      </x:c>
      <x:c r="T1327" s="10" t="n">
        <x:f>N1327*'Assumptions'!$AA$69</x:f>
        <x:v>288.5329142884235</x:v>
      </x:c>
      <x:c r="U1327" s="10" t="n">
        <x:f>'Assumptions'!$AE$69*'Assumptions'!$D$11*(1+'Assumptions'!$D$13)^(11-1)</x:f>
        <x:v>0</x:v>
      </x:c>
      <x:c r="V1327" s="10" t="n">
        <x:f>0</x:f>
        <x:v>0</x:v>
      </x:c>
      <x:c r="W1327" s="10" t="n">
        <x:f>H1327*('Assumptions'!$P$69+'Assumptions'!$Y$69)</x:f>
        <x:v>108.45245621742593</x:v>
      </x:c>
      <x:c r="X1327" s="10" t="n">
        <x:f>N1327/12*'Assumptions'!$AF$69</x:f>
        <x:v>0</x:v>
      </x:c>
      <x:c r="Y1327" s="10" t="n">
        <x:f>P1327/12</x:f>
        <x:v>0</x:v>
      </x:c>
      <x:c r="Z1327" s="10" t="n">
        <x:f>0</x:f>
        <x:v>0</x:v>
      </x:c>
      <x:c r="AA1327" s="10" t="n">
        <x:f>Z1327*'Assumptions'!$AC$69*'Assumptions'!$D$11*(1+'Assumptions'!$D$13)^(11-1)</x:f>
        <x:v>0</x:v>
      </x:c>
      <x:c r="AB1327" s="10" t="n">
        <x:f>F1327/1</x:f>
        <x:v>178.27105262994252</x:v>
      </x:c>
      <x:c r="AC1327" s="10" t="n">
        <x:f>AB1327/'Assumptions'!$AM$69</x:f>
        <x:v>3565.42105259885</x:v>
      </x:c>
      <x:c r="AD1327" s="10" t="n">
        <x:f>IF(AB1327=0,0,T1327/AB1327)</x:f>
        <x:v>1.6185068188684792</x:v>
      </x:c>
      <x:c r="AE1327" s="10" t="n">
        <x:f>AA1327*'Assumptions'!$D$21</x:f>
        <x:v>0</x:v>
      </x:c>
    </x:row>
    <x:row r="1328" ht="16" customHeight="1">
      <x:c r="A1328" s="1"/>
      <x:c r="B1328" s="1"/>
      <x:c r="C1328" s="1" t="str">
        <x:v>DOT-041</x:v>
      </x:c>
      <x:c r="D1328" s="10" t="str">
        <x:v>DishLoom US</x:v>
      </x:c>
      <x:c r="E1328" s="10" t="n">
        <x:v>11</x:v>
      </x:c>
      <x:c r="F1328" s="21" t="n">
        <x:f>F1200*(1+'Assumptions'!$M$70)</x:f>
        <x:v>222.83881578742816</x:v>
      </x:c>
      <x:c r="G1328" s="21" t="n">
        <x:f>H1200*'Assumptions'!$K$70</x:f>
        <x:v>454.98903557148384</x:v>
      </x:c>
      <x:c r="H1328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1328+G1328,NA())</x:f>
        <x:v>677.827851358912</x:v>
      </x:c>
      <x:c r="I1328" s="22" t="n">
        <x:f>'Assumptions'!$H$70*IF('Assumptions'!$O$70=1,1,'Assumptions'!$D$10)*(1+'Assumptions'!$N$70)^(11-1)</x:f>
        <x:v>121.89944199947573</x:v>
      </x:c>
      <x:c r="J1328" s="10" t="n">
        <x:f>H1328*I1328</x:f>
        <x:v>82626.83685235494</x:v>
      </x:c>
      <x:c r="K1328" s="10" t="n">
        <x:f>J1328*'Assumptions'!$T$70</x:f>
        <x:v>12394.02552785324</x:v>
      </x:c>
      <x:c r="L1328" s="10" t="n">
        <x:f>K1328*'Assumptions'!$U$70</x:f>
        <x:v>371.8207658355972</x:v>
      </x:c>
      <x:c r="M1328" s="10" t="n">
        <x:f>K1328*'Assumptions'!$V$70</x:f>
        <x:v>0</x:v>
      </x:c>
      <x:c r="N1328" s="10" t="n">
        <x:f>K1328-L1328-M1328</x:f>
        <x:v>12022.204762017644</x:v>
      </x:c>
      <x:c r="O1328" s="10" t="n">
        <x:f>H1328*'Assumptions'!$P$70*'Assumptions'!$Q$70*'Assumptions'!$D$11*(1+'Assumptions'!$D$13)^(11-1)</x:f>
        <x:v>3188.3038313590623</x:v>
      </x:c>
      <x:c r="P1328" s="10" t="n">
        <x:f>H1328*'Assumptions'!$R$70*'Assumptions'!$D$11*(1+'Assumptions'!$D$13)^(11-1)</x:f>
        <x:v>0</x:v>
      </x:c>
      <x:c r="Q1328" s="10" t="n">
        <x:f>J1328*'Assumptions'!$S$70</x:f>
        <x:v>0</x:v>
      </x:c>
      <x:c r="R1328" s="10" t="n">
        <x:f>H1328*'Assumptions'!$Y$70*'Assumptions'!$Z$70*'Assumptions'!$D$11*(1+'Assumptions'!$D$13)^(11-1)</x:f>
        <x:v>4099.247783175936</x:v>
      </x:c>
      <x:c r="S1328" s="10" t="n">
        <x:f>IF(I1328=0,0,J1328*'Assumptions'!$W$70+H1328*'Assumptions'!$X$70)</x:f>
        <x:v>2599.526624125967</x:v>
      </x:c>
      <x:c r="T1328" s="10" t="n">
        <x:f>N1328*'Assumptions'!$AA$70</x:f>
        <x:v>601.1102381008822</x:v>
      </x:c>
      <x:c r="U1328" s="10" t="n">
        <x:f>'Assumptions'!$AE$70*'Assumptions'!$D$11*(1+'Assumptions'!$D$13)^(11-1)</x:f>
        <x:v>0</x:v>
      </x:c>
      <x:c r="V1328" s="10" t="n">
        <x:f>0</x:f>
        <x:v>0</x:v>
      </x:c>
      <x:c r="W1328" s="10" t="n">
        <x:f>H1328*('Assumptions'!$P$70+'Assumptions'!$Y$70)</x:f>
        <x:v>169.456962839728</x:v>
      </x:c>
      <x:c r="X1328" s="10" t="n">
        <x:f>N1328/12*'Assumptions'!$AF$70</x:f>
        <x:v>0</x:v>
      </x:c>
      <x:c r="Y1328" s="10" t="n">
        <x:f>P1328/12</x:f>
        <x:v>0</x:v>
      </x:c>
      <x:c r="Z1328" s="10" t="n">
        <x:f>0</x:f>
        <x:v>0</x:v>
      </x:c>
      <x:c r="AA1328" s="10" t="n">
        <x:f>Z1328*'Assumptions'!$AC$70*'Assumptions'!$D$11*(1+'Assumptions'!$D$13)^(11-1)</x:f>
        <x:v>0</x:v>
      </x:c>
      <x:c r="AB1328" s="10" t="n">
        <x:f>F1328/1</x:f>
        <x:v>222.83881578742816</x:v>
      </x:c>
      <x:c r="AC1328" s="10" t="n">
        <x:f>AB1328/'Assumptions'!$AM$70</x:f>
        <x:v>4456.776315748563</x:v>
      </x:c>
      <x:c r="AD1328" s="10" t="n">
        <x:f>IF(AB1328=0,0,T1328/AB1328)</x:f>
        <x:v>2.697511364780798</x:v>
      </x:c>
      <x:c r="AE1328" s="10" t="n">
        <x:f>AA1328*'Assumptions'!$D$21</x:f>
        <x:v>0</x:v>
      </x:c>
    </x:row>
    <x:row r="1329" ht="16" customHeight="1">
      <x:c r="A1329" s="1"/>
      <x:c r="B1329" s="1"/>
      <x:c r="C1329" s="1" t="str">
        <x:v>DOT-042</x:v>
      </x:c>
      <x:c r="D1329" s="10" t="str">
        <x:v>Is Makes Travel Easy</x:v>
      </x:c>
      <x:c r="E1329" s="10" t="n">
        <x:v>11</x:v>
      </x:c>
      <x:c r="F1329" s="21" t="n">
        <x:f>F1201*(1+'Assumptions'!$M$71)</x:f>
        <x:v>267.4065789449137</x:v>
      </x:c>
      <x:c r="G1329" s="21" t="n">
        <x:f>H1201*'Assumptions'!$K$71</x:f>
        <x:v>548.5291199267805</x:v>
      </x:c>
      <x:c r="H1329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1329+G1329,NA())</x:f>
        <x:v>815.9356988716942</x:v>
      </x:c>
      <x:c r="I1329" s="22" t="n">
        <x:f>'Assumptions'!$H$71*IF('Assumptions'!$O$71=1,1,'Assumptions'!$D$10)*(1+'Assumptions'!$N$71)^(11-1)</x:f>
        <x:v>35.35083817984796</x:v>
      </x:c>
      <x:c r="J1329" s="10" t="n">
        <x:f>H1329*I1329</x:f>
        <x:v>28844.010855974415</x:v>
      </x:c>
      <x:c r="K1329" s="10" t="n">
        <x:f>J1329*'Assumptions'!$T$71</x:f>
        <x:v>28844.010855974415</x:v>
      </x:c>
      <x:c r="L1329" s="10" t="n">
        <x:f>K1329*'Assumptions'!$U$71</x:f>
        <x:v>865.3203256792324</x:v>
      </x:c>
      <x:c r="M1329" s="10" t="n">
        <x:f>K1329*'Assumptions'!$V$71</x:f>
        <x:v>0</x:v>
      </x:c>
      <x:c r="N1329" s="10" t="n">
        <x:f>K1329-L1329-M1329</x:f>
        <x:v>27978.69053029518</x:v>
      </x:c>
      <x:c r="O1329" s="10" t="n">
        <x:f>H1329*'Assumptions'!$P$71*'Assumptions'!$Q$71*'Assumptions'!$D$11*(1+'Assumptions'!$D$13)^(11-1)</x:f>
        <x:v>3837.9227257184216</x:v>
      </x:c>
      <x:c r="P1329" s="10" t="n">
        <x:f>H1329*'Assumptions'!$R$71*'Assumptions'!$D$11*(1+'Assumptions'!$D$13)^(11-1)</x:f>
        <x:v>0</x:v>
      </x:c>
      <x:c r="Q1329" s="10" t="n">
        <x:f>J1329*'Assumptions'!$S$71</x:f>
        <x:v>0</x:v>
      </x:c>
      <x:c r="R1329" s="10" t="n">
        <x:f>H1329*'Assumptions'!$Y$71*'Assumptions'!$Z$71*'Assumptions'!$D$11*(1+'Assumptions'!$D$13)^(11-1)</x:f>
        <x:v>4934.472075923684</x:v>
      </x:c>
      <x:c r="S1329" s="10" t="n">
        <x:f>IF(I1329=0,0,J1329*'Assumptions'!$W$71+H1329*'Assumptions'!$X$71)</x:f>
        <x:v>1081.2570244847664</x:v>
      </x:c>
      <x:c r="T1329" s="10" t="n">
        <x:f>N1329*'Assumptions'!$AA$71</x:f>
        <x:v>1398.9345265147592</x:v>
      </x:c>
      <x:c r="U1329" s="10" t="n">
        <x:f>'Assumptions'!$AE$71*'Assumptions'!$D$11*(1+'Assumptions'!$D$13)^(11-1)</x:f>
        <x:v>322.53993104258933</x:v>
      </x:c>
      <x:c r="V1329" s="10" t="n">
        <x:f>0</x:f>
        <x:v>0</x:v>
      </x:c>
      <x:c r="W1329" s="10" t="n">
        <x:f>H1329*('Assumptions'!$P$71+'Assumptions'!$Y$71)</x:f>
        <x:v>203.98392471792354</x:v>
      </x:c>
      <x:c r="X1329" s="10" t="n">
        <x:f>N1329/12*'Assumptions'!$AF$71</x:f>
        <x:v>0</x:v>
      </x:c>
      <x:c r="Y1329" s="10" t="n">
        <x:f>P1329/12</x:f>
        <x:v>0</x:v>
      </x:c>
      <x:c r="Z1329" s="10" t="n">
        <x:f>0</x:f>
        <x:v>0</x:v>
      </x:c>
      <x:c r="AA1329" s="10" t="n">
        <x:f>Z1329*'Assumptions'!$AC$71*'Assumptions'!$D$11*(1+'Assumptions'!$D$13)^(11-1)</x:f>
        <x:v>0</x:v>
      </x:c>
      <x:c r="AB1329" s="10" t="n">
        <x:f>F1329/1</x:f>
        <x:v>267.4065789449137</x:v>
      </x:c>
      <x:c r="AC1329" s="10" t="n">
        <x:f>AB1329/'Assumptions'!$AM$71</x:f>
        <x:v>5348.131578898274</x:v>
      </x:c>
      <x:c r="AD1329" s="10" t="n">
        <x:f>IF(AB1329=0,0,T1329/AB1329)</x:f>
        <x:v>5.231488813904398</x:v>
      </x:c>
      <x:c r="AE1329" s="10" t="n">
        <x:f>AA1329*'Assumptions'!$D$21</x:f>
        <x:v>0</x:v>
      </x:c>
    </x:row>
    <x:row r="1330" ht="16" customHeight="1">
      <x:c r="A1330" s="1"/>
      <x:c r="B1330" s="1"/>
      <x:c r="C1330" s="1" t="str">
        <x:v>DOT-043</x:v>
      </x:c>
      <x:c r="D1330" s="10" t="str">
        <x:v>Is Makes Travel Easy</x:v>
      </x:c>
      <x:c r="E1330" s="10" t="n">
        <x:v>11</x:v>
      </x:c>
      <x:c r="F1330" s="21" t="n">
        <x:f>F1202*(1+'Assumptions'!$M$72)</x:f>
        <x:v>133.70328947245685</x:v>
      </x:c>
      <x:c r="G1330" s="21" t="n">
        <x:f>H1202*'Assumptions'!$K$72</x:f>
        <x:v>274.26455996339024</x:v>
      </x:c>
      <x:c r="H1330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1330+G1330,NA())</x:f>
        <x:v>407.9678494358471</x:v>
      </x:c>
      <x:c r="I1330" s="22" t="n">
        <x:f>'Assumptions'!$H$72*IF('Assumptions'!$O$72=1,1,'Assumptions'!$D$10)*(1+'Assumptions'!$N$72)^(11-1)</x:f>
        <x:v>23.16089397990039</x:v>
      </x:c>
      <x:c r="J1330" s="10" t="n">
        <x:f>H1330*I1330</x:f>
        <x:v>9448.90010799162</x:v>
      </x:c>
      <x:c r="K1330" s="10" t="n">
        <x:f>J1330*'Assumptions'!$T$72</x:f>
        <x:v>9448.90010799162</x:v>
      </x:c>
      <x:c r="L1330" s="10" t="n">
        <x:f>K1330*'Assumptions'!$U$72</x:f>
        <x:v>283.4670032397486</x:v>
      </x:c>
      <x:c r="M1330" s="10" t="n">
        <x:f>K1330*'Assumptions'!$V$72</x:f>
        <x:v>0</x:v>
      </x:c>
      <x:c r="N1330" s="10" t="n">
        <x:f>K1330-L1330-M1330</x:f>
        <x:v>9165.433104751872</x:v>
      </x:c>
      <x:c r="O1330" s="10" t="n">
        <x:f>H1330*'Assumptions'!$P$72*'Assumptions'!$Q$72*'Assumptions'!$D$11*(1+'Assumptions'!$D$13)^(11-1)</x:f>
        <x:v>1918.9613628592108</x:v>
      </x:c>
      <x:c r="P1330" s="10" t="n">
        <x:f>H1330*'Assumptions'!$R$72*'Assumptions'!$D$11*(1+'Assumptions'!$D$13)^(11-1)</x:f>
        <x:v>0</x:v>
      </x:c>
      <x:c r="Q1330" s="10" t="n">
        <x:f>J1330*'Assumptions'!$S$72</x:f>
        <x:v>0</x:v>
      </x:c>
      <x:c r="R1330" s="10" t="n">
        <x:f>H1330*'Assumptions'!$Y$72*'Assumptions'!$Z$72*'Assumptions'!$D$11*(1+'Assumptions'!$D$13)^(11-1)</x:f>
        <x:v>2467.236037961842</x:v>
      </x:c>
      <x:c r="S1330" s="10" t="n">
        <x:f>IF(I1330=0,0,J1330*'Assumptions'!$W$72+H1330*'Assumptions'!$X$72)</x:f>
        <x:v>396.4084579625111</x:v>
      </x:c>
      <x:c r="T1330" s="10" t="n">
        <x:f>N1330*'Assumptions'!$AA$72</x:f>
        <x:v>458.2716552375936</x:v>
      </x:c>
      <x:c r="U1330" s="10" t="n">
        <x:f>'Assumptions'!$AE$72*'Assumptions'!$D$11*(1+'Assumptions'!$D$13)^(11-1)</x:f>
        <x:v>0</x:v>
      </x:c>
      <x:c r="V1330" s="10" t="n">
        <x:f>0</x:f>
        <x:v>0</x:v>
      </x:c>
      <x:c r="W1330" s="10" t="n">
        <x:f>H1330*('Assumptions'!$P$72+'Assumptions'!$Y$72)</x:f>
        <x:v>101.99196235896177</x:v>
      </x:c>
      <x:c r="X1330" s="10" t="n">
        <x:f>N1330/12*'Assumptions'!$AF$72</x:f>
        <x:v>0</x:v>
      </x:c>
      <x:c r="Y1330" s="10" t="n">
        <x:f>P1330/12</x:f>
        <x:v>0</x:v>
      </x:c>
      <x:c r="Z1330" s="10" t="n">
        <x:f>0</x:f>
        <x:v>0</x:v>
      </x:c>
      <x:c r="AA1330" s="10" t="n">
        <x:f>Z1330*'Assumptions'!$AC$72*'Assumptions'!$D$11*(1+'Assumptions'!$D$13)^(11-1)</x:f>
        <x:v>0</x:v>
      </x:c>
      <x:c r="AB1330" s="10" t="n">
        <x:f>F1330/12</x:f>
        <x:v>11.141940789371404</x:v>
      </x:c>
      <x:c r="AC1330" s="10" t="n">
        <x:f>AB1330/'Assumptions'!$AM$72</x:f>
        <x:v>222.83881578742808</x:v>
      </x:c>
      <x:c r="AD1330" s="10" t="n">
        <x:f>IF(AB1330=0,0,T1330/AB1330)</x:f>
        <x:v>41.13032584724838</x:v>
      </x:c>
      <x:c r="AE1330" s="10" t="n">
        <x:f>AA1330*'Assumptions'!$D$21</x:f>
        <x:v>0</x:v>
      </x:c>
    </x:row>
    <x:row r="1331" ht="16" customHeight="1">
      <x:c r="A1331" s="1"/>
      <x:c r="B1331" s="1"/>
      <x:c r="C1331" s="1" t="str">
        <x:v>DOT-044</x:v>
      </x:c>
      <x:c r="D1331" s="10" t="str">
        <x:v>Is Makes Travel Easy</x:v>
      </x:c>
      <x:c r="E1331" s="10" t="n">
        <x:v>11</x:v>
      </x:c>
      <x:c r="F1331" s="21" t="n">
        <x:f>F1203*(1+'Assumptions'!$M$73)</x:f>
        <x:v>54.54421338126103</x:v>
      </x:c>
      <x:c r="G1331" s="21" t="n">
        <x:f>H1203*'Assumptions'!$K$73</x:f>
        <x:v>28.06992430073348</x:v>
      </x:c>
      <x:c r="H1331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1331+G1331,NA())</x:f>
        <x:v>82.6141376819945</x:v>
      </x:c>
      <x:c r="I1331" s="22" t="n">
        <x:f>'Assumptions'!$H$73*IF('Assumptions'!$O$73=1,1,'Assumptions'!$D$10)*(1+'Assumptions'!$N$73)^(11-1)</x:f>
        <x:v>59.730726579743106</x:v>
      </x:c>
      <x:c r="J1331" s="10" t="n">
        <x:f>H1331*I1331</x:f>
        <x:v>4934.602469504466</x:v>
      </x:c>
      <x:c r="K1331" s="10" t="n">
        <x:f>J1331*'Assumptions'!$T$73</x:f>
        <x:v>4934.602469504466</x:v>
      </x:c>
      <x:c r="L1331" s="10" t="n">
        <x:f>K1331*'Assumptions'!$U$73</x:f>
        <x:v>148.03807408513399</x:v>
      </x:c>
      <x:c r="M1331" s="10" t="n">
        <x:f>K1331*'Assumptions'!$V$73</x:f>
        <x:v>0</x:v>
      </x:c>
      <x:c r="N1331" s="10" t="n">
        <x:f>K1331-L1331-M1331</x:f>
        <x:v>4786.564395419332</x:v>
      </x:c>
      <x:c r="O1331" s="10" t="n">
        <x:f>H1331*'Assumptions'!$P$73*'Assumptions'!$Q$73*'Assumptions'!$D$11*(1+'Assumptions'!$D$13)^(11-1)</x:f>
        <x:v>971.4818119669501</x:v>
      </x:c>
      <x:c r="P1331" s="10" t="n">
        <x:f>H1331*'Assumptions'!$R$73*'Assumptions'!$D$11*(1+'Assumptions'!$D$13)^(11-1)</x:f>
        <x:v>0</x:v>
      </x:c>
      <x:c r="Q1331" s="10" t="n">
        <x:f>J1331*'Assumptions'!$S$73</x:f>
        <x:v>0</x:v>
      </x:c>
      <x:c r="R1331" s="10" t="n">
        <x:f>H1331*'Assumptions'!$Y$73*'Assumptions'!$Z$73*'Assumptions'!$D$11*(1+'Assumptions'!$D$13)^(11-1)</x:f>
        <x:v>1665.397391943343</x:v>
      </x:c>
      <x:c r="S1331" s="10" t="n">
        <x:f>IF(I1331=0,0,J1331*'Assumptions'!$W$73+H1331*'Assumptions'!$X$73)</x:f>
        <x:v>167.88771292022787</x:v>
      </x:c>
      <x:c r="T1331" s="10" t="n">
        <x:f>N1331*'Assumptions'!$AA$73</x:f>
        <x:v>382.9251516335466</x:v>
      </x:c>
      <x:c r="U1331" s="10" t="n">
        <x:f>'Assumptions'!$AE$73*'Assumptions'!$D$11*(1+'Assumptions'!$D$13)^(11-1)</x:f>
        <x:v>0</x:v>
      </x:c>
      <x:c r="V1331" s="10" t="n">
        <x:f>0</x:f>
        <x:v>0</x:v>
      </x:c>
      <x:c r="W1331" s="10" t="n">
        <x:f>H1331*('Assumptions'!$P$73+'Assumptions'!$Y$73)</x:f>
        <x:v>61.960603261495876</x:v>
      </x:c>
      <x:c r="X1331" s="10" t="n">
        <x:f>N1331/12*'Assumptions'!$AF$73</x:f>
        <x:v>398.88036628494433</x:v>
      </x:c>
      <x:c r="Y1331" s="10" t="n">
        <x:f>P1331/12</x:f>
        <x:v>0</x:v>
      </x:c>
      <x:c r="Z1331" s="10" t="n">
        <x:f>0</x:f>
        <x:v>0</x:v>
      </x:c>
      <x:c r="AA1331" s="10" t="n">
        <x:f>Z1331*'Assumptions'!$AC$73*'Assumptions'!$D$11*(1+'Assumptions'!$D$13)^(11-1)</x:f>
        <x:v>0</x:v>
      </x:c>
      <x:c r="AB1331" s="10" t="n">
        <x:f>F1331/1</x:f>
        <x:v>54.54421338126103</x:v>
      </x:c>
      <x:c r="AC1331" s="10" t="n">
        <x:f>AB1331/'Assumptions'!$AM$73</x:f>
        <x:v>545.4421338126102</x:v>
      </x:c>
      <x:c r="AD1331" s="10" t="n">
        <x:f>IF(AB1331=0,0,T1331/AB1331)</x:f>
        <x:v>7.020454194781782</x:v>
      </x:c>
      <x:c r="AE1331" s="10" t="n">
        <x:f>AA1331*'Assumptions'!$D$21</x:f>
        <x:v>0</x:v>
      </x:c>
    </x:row>
    <x:row r="1332" ht="16" customHeight="1">
      <x:c r="A1332" s="1"/>
      <x:c r="B1332" s="1"/>
      <x:c r="C1332" s="1" t="str">
        <x:v>DOT-045</x:v>
      </x:c>
      <x:c r="D1332" s="10" t="str">
        <x:v>Is Makes Travel Easy</x:v>
      </x:c>
      <x:c r="E1332" s="10" t="n">
        <x:v>11</x:v>
      </x:c>
      <x:c r="F1332" s="21" t="n">
        <x:f>F1204*(1+'Assumptions'!$M$74)</x:f>
        <x:v>178.27105262994252</x:v>
      </x:c>
      <x:c r="G1332" s="21" t="n">
        <x:f>H1204*'Assumptions'!$K$74</x:f>
        <x:v>365.6860799511871</x:v>
      </x:c>
      <x:c r="H1332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1332+G1332,NA())</x:f>
        <x:v>543.9571325811296</x:v>
      </x:c>
      <x:c r="I1332" s="22" t="n">
        <x:f>'Assumptions'!$H$74*IF('Assumptions'!$O$74=1,1,'Assumptions'!$D$10)*(1+'Assumptions'!$N$74)^(11-1)</x:f>
        <x:v>182.8491629992136</x:v>
      </x:c>
      <x:c r="J1332" s="10" t="n">
        <x:f>H1332*I1332</x:f>
        <x:v>99462.1063999118</x:v>
      </x:c>
      <x:c r="K1332" s="10" t="n">
        <x:f>J1332*'Assumptions'!$T$74</x:f>
        <x:v>9946.21063999118</x:v>
      </x:c>
      <x:c r="L1332" s="10" t="n">
        <x:f>K1332*'Assumptions'!$U$74</x:f>
        <x:v>298.3863191997354</x:v>
      </x:c>
      <x:c r="M1332" s="10" t="n">
        <x:f>K1332*'Assumptions'!$V$74</x:f>
        <x:v>0</x:v>
      </x:c>
      <x:c r="N1332" s="10" t="n">
        <x:f>K1332-L1332-M1332</x:f>
        <x:v>9647.824320791446</x:v>
      </x:c>
      <x:c r="O1332" s="10" t="n">
        <x:f>H1332*'Assumptions'!$P$74*'Assumptions'!$Q$74*'Assumptions'!$D$11*(1+'Assumptions'!$D$13)^(11-1)</x:f>
        <x:v>2558.615150478948</x:v>
      </x:c>
      <x:c r="P1332" s="10" t="n">
        <x:f>H1332*'Assumptions'!$R$74*'Assumptions'!$D$11*(1+'Assumptions'!$D$13)^(11-1)</x:f>
        <x:v>0</x:v>
      </x:c>
      <x:c r="Q1332" s="10" t="n">
        <x:f>J1332*'Assumptions'!$S$74</x:f>
        <x:v>0</x:v>
      </x:c>
      <x:c r="R1332" s="10" t="n">
        <x:f>H1332*'Assumptions'!$Y$74*'Assumptions'!$Z$74*'Assumptions'!$D$11*(1+'Assumptions'!$D$13)^(11-1)</x:f>
        <x:v>3289.6480506157905</x:v>
      </x:c>
      <x:c r="S1332" s="10" t="n">
        <x:f>IF(I1332=0,0,J1332*'Assumptions'!$W$74+H1332*'Assumptions'!$X$74)</x:f>
        <x:v>3047.5882253717814</x:v>
      </x:c>
      <x:c r="T1332" s="10" t="n">
        <x:f>N1332*'Assumptions'!$AA$74</x:f>
        <x:v>482.3912160395723</x:v>
      </x:c>
      <x:c r="U1332" s="10" t="n">
        <x:f>'Assumptions'!$AE$74*'Assumptions'!$D$11*(1+'Assumptions'!$D$13)^(11-1)</x:f>
        <x:v>0</x:v>
      </x:c>
      <x:c r="V1332" s="10" t="n">
        <x:f>0</x:f>
        <x:v>0</x:v>
      </x:c>
      <x:c r="W1332" s="10" t="n">
        <x:f>H1332*('Assumptions'!$P$74+'Assumptions'!$Y$74)</x:f>
        <x:v>135.9892831452824</x:v>
      </x:c>
      <x:c r="X1332" s="10" t="n">
        <x:f>N1332/12*'Assumptions'!$AF$74</x:f>
        <x:v>0</x:v>
      </x:c>
      <x:c r="Y1332" s="10" t="n">
        <x:f>P1332/12</x:f>
        <x:v>0</x:v>
      </x:c>
      <x:c r="Z1332" s="10" t="n">
        <x:f>0</x:f>
        <x:v>0</x:v>
      </x:c>
      <x:c r="AA1332" s="10" t="n">
        <x:f>Z1332*'Assumptions'!$AC$74*'Assumptions'!$D$11*(1+'Assumptions'!$D$13)^(11-1)</x:f>
        <x:v>0</x:v>
      </x:c>
      <x:c r="AB1332" s="10" t="n">
        <x:f>F1332/1</x:f>
        <x:v>178.27105262994252</x:v>
      </x:c>
      <x:c r="AC1332" s="10" t="n">
        <x:f>AB1332/'Assumptions'!$AM$74</x:f>
        <x:v>3565.42105259885</x:v>
      </x:c>
      <x:c r="AD1332" s="10" t="n">
        <x:f>IF(AB1332=0,0,T1332/AB1332)</x:f>
        <x:v>2.7059424899505506</x:v>
      </x:c>
      <x:c r="AE1332" s="10" t="n">
        <x:f>AA1332*'Assumptions'!$D$21</x:f>
        <x:v>0</x:v>
      </x:c>
    </x:row>
    <x:row r="1333" ht="16" customHeight="1">
      <x:c r="A1333" s="1"/>
      <x:c r="B1333" s="1"/>
      <x:c r="C1333" s="1" t="str">
        <x:v>DOT-046</x:v>
      </x:c>
      <x:c r="D1333" s="10" t="str">
        <x:v>Turbo Tax - Made Easy!</x:v>
      </x:c>
      <x:c r="E1333" s="10" t="n">
        <x:v>11</x:v>
      </x:c>
      <x:c r="F1333" s="21" t="n">
        <x:f>F1205*(1+'Assumptions'!$M$75)</x:f>
        <x:v>469.8911091276167</x:v>
      </x:c>
      <x:c r="G1333" s="21" t="n">
        <x:f>H1205*'Assumptions'!$K$75</x:f>
        <x:v>150.60198315492036</x:v>
      </x:c>
      <x:c r="H1333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1333+G1333,NA())</x:f>
        <x:v>620.4930922825371</x:v>
      </x:c>
      <x:c r="I1333" s="22" t="n">
        <x:f>'Assumptions'!$H$75*IF('Assumptions'!$O$75=1,1,'Assumptions'!$D$10)*(1+'Assumptions'!$N$75)^(11-1)</x:f>
        <x:v>149</x:v>
      </x:c>
      <x:c r="J1333" s="10" t="n">
        <x:f>H1333*I1333</x:f>
        <x:v>92453.47075009803</x:v>
      </x:c>
      <x:c r="K1333" s="10" t="n">
        <x:f>J1333*'Assumptions'!$T$75</x:f>
        <x:v>92453.47075009803</x:v>
      </x:c>
      <x:c r="L1333" s="10" t="n">
        <x:f>K1333*'Assumptions'!$U$75</x:f>
        <x:v>2773.6041225029408</x:v>
      </x:c>
      <x:c r="M1333" s="10" t="n">
        <x:f>K1333*'Assumptions'!$V$75</x:f>
        <x:v>0</x:v>
      </x:c>
      <x:c r="N1333" s="10" t="n">
        <x:f>K1333-L1333-M1333</x:f>
        <x:v>89679.86662759508</x:v>
      </x:c>
      <x:c r="O1333" s="10" t="n">
        <x:f>H1333*'Assumptions'!$P$75*'Assumptions'!$Q$75*'Assumptions'!$D$11*(1+'Assumptions'!$D$13)^(11-1)</x:f>
        <x:v>4377.926857439024</x:v>
      </x:c>
      <x:c r="P1333" s="10" t="n">
        <x:f>H1333*'Assumptions'!$R$75*'Assumptions'!$D$11*(1+'Assumptions'!$D$13)^(11-1)</x:f>
        <x:v>0</x:v>
      </x:c>
      <x:c r="Q1333" s="10" t="n">
        <x:f>J1333*'Assumptions'!$S$75</x:f>
        <x:v>0</x:v>
      </x:c>
      <x:c r="R1333" s="10" t="n">
        <x:f>H1333*'Assumptions'!$Y$75*'Assumptions'!$Z$75*'Assumptions'!$D$11*(1+'Assumptions'!$D$13)^(11-1)</x:f>
        <x:v>2501.6724899651567</x:v>
      </x:c>
      <x:c r="S1333" s="10" t="n">
        <x:f>IF(I1333=0,0,J1333*'Assumptions'!$W$75+H1333*'Assumptions'!$X$75)</x:f>
        <x:v>2867.298579437604</x:v>
      </x:c>
      <x:c r="T1333" s="10" t="n">
        <x:f>N1333*'Assumptions'!$AA$75</x:f>
        <x:v>4483.993331379755</x:v>
      </x:c>
      <x:c r="U1333" s="10" t="n">
        <x:f>'Assumptions'!$AE$75*'Assumptions'!$D$11*(1+'Assumptions'!$D$13)^(11-1)</x:f>
        <x:v>0</x:v>
      </x:c>
      <x:c r="V1333" s="10" t="n">
        <x:f>0</x:f>
        <x:v>0</x:v>
      </x:c>
      <x:c r="W1333" s="10" t="n">
        <x:f>H1333*('Assumptions'!$P$75+'Assumptions'!$Y$75)</x:f>
        <x:v>155.12327307063427</x:v>
      </x:c>
      <x:c r="X1333" s="10" t="n">
        <x:f>N1333/12*'Assumptions'!$AF$75</x:f>
        <x:v>0</x:v>
      </x:c>
      <x:c r="Y1333" s="10" t="n">
        <x:f>P1333/12</x:f>
        <x:v>0</x:v>
      </x:c>
      <x:c r="Z1333" s="10" t="n">
        <x:f>0</x:f>
        <x:v>0</x:v>
      </x:c>
      <x:c r="AA1333" s="10" t="n">
        <x:f>Z1333*'Assumptions'!$AC$75*'Assumptions'!$D$11*(1+'Assumptions'!$D$13)^(11-1)</x:f>
        <x:v>0</x:v>
      </x:c>
      <x:c r="AB1333" s="10" t="n">
        <x:f>F1333/1</x:f>
        <x:v>469.8911091276167</x:v>
      </x:c>
      <x:c r="AC1333" s="10" t="n">
        <x:f>AB1333/'Assumptions'!$AM$75</x:f>
        <x:v>9397.822182552332</x:v>
      </x:c>
      <x:c r="AD1333" s="10" t="n">
        <x:f>IF(AB1333=0,0,T1333/AB1333)</x:f>
        <x:v>9.542622203907154</x:v>
      </x:c>
      <x:c r="AE1333" s="10" t="n">
        <x:f>AA1333*'Assumptions'!$D$21</x:f>
        <x:v>0</x:v>
      </x:c>
    </x:row>
    <x:row r="1334" ht="16" customHeight="1">
      <x:c r="A1334" s="1"/>
      <x:c r="B1334" s="1"/>
      <x:c r="C1334" s="1" t="str">
        <x:v>DOT-047</x:v>
      </x:c>
      <x:c r="D1334" s="10" t="str">
        <x:v>LavaLearning adult</x:v>
      </x:c>
      <x:c r="E1334" s="10" t="n">
        <x:v>11</x:v>
      </x:c>
      <x:c r="F1334" s="21" t="n">
        <x:f>F1206*(1+'Assumptions'!$M$76)</x:f>
        <x:v>313.26073941841116</x:v>
      </x:c>
      <x:c r="G1334" s="21" t="n">
        <x:f>H1206*'Assumptions'!$K$76</x:f>
        <x:v>100.4013062087083</x:v>
      </x:c>
      <x:c r="H1334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1334+G1334,NA())</x:f>
        <x:v>413.6620456271195</x:v>
      </x:c>
      <x:c r="I1334" s="22" t="n">
        <x:f>'Assumptions'!$H$76*IF('Assumptions'!$O$76=1,1,'Assumptions'!$D$10)*(1+'Assumptions'!$N$76)^(11-1)</x:f>
        <x:v>79</x:v>
      </x:c>
      <x:c r="J1334" s="10" t="n">
        <x:f>H1334*I1334</x:f>
        <x:v>32679.301604542437</x:v>
      </x:c>
      <x:c r="K1334" s="10" t="n">
        <x:f>J1334*'Assumptions'!$T$76</x:f>
        <x:v>32679.301604542437</x:v>
      </x:c>
      <x:c r="L1334" s="10" t="n">
        <x:f>K1334*'Assumptions'!$U$76</x:f>
        <x:v>980.3790481362731</x:v>
      </x:c>
      <x:c r="M1334" s="10" t="n">
        <x:f>K1334*'Assumptions'!$V$76</x:f>
        <x:v>0</x:v>
      </x:c>
      <x:c r="N1334" s="10" t="n">
        <x:f>K1334-L1334-M1334</x:f>
        <x:v>31698.922556406163</x:v>
      </x:c>
      <x:c r="O1334" s="10" t="n">
        <x:f>H1334*'Assumptions'!$P$76*'Assumptions'!$Q$76*'Assumptions'!$D$11*(1+'Assumptions'!$D$13)^(11-1)</x:f>
        <x:v>2918.617792814228</x:v>
      </x:c>
      <x:c r="P1334" s="10" t="n">
        <x:f>H1334*'Assumptions'!$R$76*'Assumptions'!$D$11*(1+'Assumptions'!$D$13)^(11-1)</x:f>
        <x:v>0</x:v>
      </x:c>
      <x:c r="Q1334" s="10" t="n">
        <x:f>J1334*'Assumptions'!$S$76</x:f>
        <x:v>0</x:v>
      </x:c>
      <x:c r="R1334" s="10" t="n">
        <x:f>H1334*'Assumptions'!$Y$76*'Assumptions'!$Z$76*'Assumptions'!$D$11*(1+'Assumptions'!$D$13)^(11-1)</x:f>
        <x:v>1667.7815958938447</x:v>
      </x:c>
      <x:c r="S1334" s="10" t="n">
        <x:f>IF(I1334=0,0,J1334*'Assumptions'!$W$76+H1334*'Assumptions'!$X$76)</x:f>
        <x:v>1071.7983602198665</x:v>
      </x:c>
      <x:c r="T1334" s="10" t="n">
        <x:f>N1334*'Assumptions'!$AA$76</x:f>
        <x:v>1584.9461278203082</x:v>
      </x:c>
      <x:c r="U1334" s="10" t="n">
        <x:f>'Assumptions'!$AE$76*'Assumptions'!$D$11*(1+'Assumptions'!$D$13)^(11-1)</x:f>
        <x:v>0</x:v>
      </x:c>
      <x:c r="V1334" s="10" t="n">
        <x:f>0</x:f>
        <x:v>0</x:v>
      </x:c>
      <x:c r="W1334" s="10" t="n">
        <x:f>H1334*('Assumptions'!$P$76+'Assumptions'!$Y$76)</x:f>
        <x:v>103.41551140677987</x:v>
      </x:c>
      <x:c r="X1334" s="10" t="n">
        <x:f>N1334/12*'Assumptions'!$AF$76</x:f>
        <x:v>0</x:v>
      </x:c>
      <x:c r="Y1334" s="10" t="n">
        <x:f>P1334/12</x:f>
        <x:v>0</x:v>
      </x:c>
      <x:c r="Z1334" s="10" t="n">
        <x:f>0</x:f>
        <x:v>0</x:v>
      </x:c>
      <x:c r="AA1334" s="10" t="n">
        <x:f>Z1334*'Assumptions'!$AC$76*'Assumptions'!$D$11*(1+'Assumptions'!$D$13)^(11-1)</x:f>
        <x:v>0</x:v>
      </x:c>
      <x:c r="AB1334" s="10" t="n">
        <x:f>F1334/1</x:f>
        <x:v>313.26073941841116</x:v>
      </x:c>
      <x:c r="AC1334" s="10" t="n">
        <x:f>AB1334/'Assumptions'!$AM$76</x:f>
        <x:v>6265.214788368223</x:v>
      </x:c>
      <x:c r="AD1334" s="10" t="n">
        <x:f>IF(AB1334=0,0,T1334/AB1334)</x:f>
        <x:v>5.059510906993527</x:v>
      </x:c>
      <x:c r="AE1334" s="10" t="n">
        <x:f>AA1334*'Assumptions'!$D$21</x:f>
        <x:v>0</x:v>
      </x:c>
    </x:row>
    <x:row r="1335" ht="16" customHeight="1">
      <x:c r="A1335" s="1"/>
      <x:c r="B1335" s="1"/>
      <x:c r="C1335" s="1" t="str">
        <x:v>DOT-048</x:v>
      </x:c>
      <x:c r="D1335" s="10" t="str">
        <x:v>Turbo Tax - Made Easy!</x:v>
      </x:c>
      <x:c r="E1335" s="10" t="n">
        <x:v>11</x:v>
      </x:c>
      <x:c r="F1335" s="21" t="n">
        <x:f>F1207*(1+'Assumptions'!$M$77)</x:f>
        <x:v>939.7822182552334</x:v>
      </x:c>
      <x:c r="G1335" s="21" t="n">
        <x:f>H1207*'Assumptions'!$K$77</x:f>
        <x:v>301.2039663098407</x:v>
      </x:c>
      <x:c r="H1335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1335+G1335,NA())</x:f>
        <x:v>1240.9861845650742</x:v>
      </x:c>
      <x:c r="I1335" s="22" t="n">
        <x:f>'Assumptions'!$H$77*IF('Assumptions'!$O$77=1,1,'Assumptions'!$D$10)*(1+'Assumptions'!$N$77)^(11-1)</x:f>
        <x:v>23.16089397990039</x:v>
      </x:c>
      <x:c r="J1335" s="10" t="n">
        <x:f>H1335*I1335</x:f>
        <x:v>28742.34945123278</x:v>
      </x:c>
      <x:c r="K1335" s="10" t="n">
        <x:f>J1335*'Assumptions'!$T$77</x:f>
        <x:v>28742.34945123278</x:v>
      </x:c>
      <x:c r="L1335" s="10" t="n">
        <x:f>K1335*'Assumptions'!$U$77</x:f>
        <x:v>862.2704835369834</x:v>
      </x:c>
      <x:c r="M1335" s="10" t="n">
        <x:f>K1335*'Assumptions'!$V$77</x:f>
        <x:v>0</x:v>
      </x:c>
      <x:c r="N1335" s="10" t="n">
        <x:f>K1335-L1335-M1335</x:f>
        <x:v>27880.078967695797</x:v>
      </x:c>
      <x:c r="O1335" s="10" t="n">
        <x:f>H1335*'Assumptions'!$P$77*'Assumptions'!$Q$77*'Assumptions'!$D$11*(1+'Assumptions'!$D$13)^(11-1)</x:f>
        <x:v>8755.853714878049</x:v>
      </x:c>
      <x:c r="P1335" s="10" t="n">
        <x:f>H1335*'Assumptions'!$R$77*'Assumptions'!$D$11*(1+'Assumptions'!$D$13)^(11-1)</x:f>
        <x:v>0</x:v>
      </x:c>
      <x:c r="Q1335" s="10" t="n">
        <x:f>J1335*'Assumptions'!$S$77</x:f>
        <x:v>0</x:v>
      </x:c>
      <x:c r="R1335" s="10" t="n">
        <x:f>H1335*'Assumptions'!$Y$77*'Assumptions'!$Z$77*'Assumptions'!$D$11*(1+'Assumptions'!$D$13)^(11-1)</x:f>
        <x:v>5003.3449799303135</x:v>
      </x:c>
      <x:c r="S1335" s="10" t="n">
        <x:f>IF(I1335=0,0,J1335*'Assumptions'!$W$77+H1335*'Assumptions'!$X$77)</x:f>
        <x:v>1205.823989455273</x:v>
      </x:c>
      <x:c r="T1335" s="10" t="n">
        <x:f>N1335*'Assumptions'!$AA$77</x:f>
        <x:v>1394.00394838479</x:v>
      </x:c>
      <x:c r="U1335" s="10" t="n">
        <x:f>'Assumptions'!$AE$77*'Assumptions'!$D$11*(1+'Assumptions'!$D$13)^(11-1)</x:f>
        <x:v>0</x:v>
      </x:c>
      <x:c r="V1335" s="10" t="n">
        <x:f>0</x:f>
        <x:v>0</x:v>
      </x:c>
      <x:c r="W1335" s="10" t="n">
        <x:f>H1335*('Assumptions'!$P$77+'Assumptions'!$Y$77)</x:f>
        <x:v>310.24654614126854</x:v>
      </x:c>
      <x:c r="X1335" s="10" t="n">
        <x:f>N1335/12*'Assumptions'!$AF$77</x:f>
        <x:v>0</x:v>
      </x:c>
      <x:c r="Y1335" s="10" t="n">
        <x:f>P1335/12</x:f>
        <x:v>0</x:v>
      </x:c>
      <x:c r="Z1335" s="10" t="n">
        <x:f>0</x:f>
        <x:v>0</x:v>
      </x:c>
      <x:c r="AA1335" s="10" t="n">
        <x:f>Z1335*'Assumptions'!$AC$77*'Assumptions'!$D$11*(1+'Assumptions'!$D$13)^(11-1)</x:f>
        <x:v>0</x:v>
      </x:c>
      <x:c r="AB1335" s="10" t="n">
        <x:f>F1335/1</x:f>
        <x:v>939.7822182552334</x:v>
      </x:c>
      <x:c r="AC1335" s="10" t="n">
        <x:f>AB1335/'Assumptions'!$AM$77</x:f>
        <x:v>18795.644365104665</x:v>
      </x:c>
      <x:c r="AD1335" s="10" t="n">
        <x:f>IF(AB1335=0,0,T1335/AB1335)</x:f>
        <x:v>1.483326584932463</x:v>
      </x:c>
      <x:c r="AE1335" s="10" t="n">
        <x:f>AA1335*'Assumptions'!$D$21</x:f>
        <x:v>0</x:v>
      </x:c>
    </x:row>
    <x:row r="1336" ht="16" customHeight="1">
      <x:c r="A1336" s="1"/>
      <x:c r="B1336" s="1"/>
      <x:c r="C1336" s="1" t="str">
        <x:v>DOT-049</x:v>
      </x:c>
      <x:c r="D1336" s="10" t="str">
        <x:v>Turbo Tax - Made Easy!</x:v>
      </x:c>
      <x:c r="E1336" s="10" t="n">
        <x:v>11</x:v>
      </x:c>
      <x:c r="F1336" s="21" t="n">
        <x:f>F1208*(1+'Assumptions'!$M$78)</x:f>
        <x:v>313.26073941841116</x:v>
      </x:c>
      <x:c r="G1336" s="21" t="n">
        <x:f>H1208*'Assumptions'!$K$78</x:f>
        <x:v>100.40125852499249</x:v>
      </x:c>
      <x:c r="H1336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1336+G1336,NA())</x:f>
        <x:v>413.66199794340366</x:v>
      </x:c>
      <x:c r="I1336" s="22" t="n">
        <x:f>'Assumptions'!$H$78*IF('Assumptions'!$O$78=1,1,'Assumptions'!$D$10)*(1+'Assumptions'!$N$78)^(11-1)</x:f>
        <x:v>23.16089397990039</x:v>
      </x:c>
      <x:c r="J1336" s="10" t="n">
        <x:f>H1336*I1336</x:f>
        <x:v>9580.781677880945</x:v>
      </x:c>
      <x:c r="K1336" s="10" t="n">
        <x:f>J1336*'Assumptions'!$T$78</x:f>
        <x:v>9580.781677880945</x:v>
      </x:c>
      <x:c r="L1336" s="10" t="n">
        <x:f>K1336*'Assumptions'!$U$78</x:f>
        <x:v>287.42345033642835</x:v>
      </x:c>
      <x:c r="M1336" s="10" t="n">
        <x:f>K1336*'Assumptions'!$V$78</x:f>
        <x:v>0</x:v>
      </x:c>
      <x:c r="N1336" s="10" t="n">
        <x:f>K1336-L1336-M1336</x:f>
        <x:v>9293.358227544517</x:v>
      </x:c>
      <x:c r="O1336" s="10" t="n">
        <x:f>H1336*'Assumptions'!$P$78*'Assumptions'!$Q$78*'Assumptions'!$D$11*(1+'Assumptions'!$D$13)^(11-1)</x:f>
        <x:v>2918.6174563788622</x:v>
      </x:c>
      <x:c r="P1336" s="10" t="n">
        <x:f>H1336*'Assumptions'!$R$78*'Assumptions'!$D$11*(1+'Assumptions'!$D$13)^(11-1)</x:f>
        <x:v>0</x:v>
      </x:c>
      <x:c r="Q1336" s="10" t="n">
        <x:f>J1336*'Assumptions'!$S$78</x:f>
        <x:v>0</x:v>
      </x:c>
      <x:c r="R1336" s="10" t="n">
        <x:f>H1336*'Assumptions'!$Y$78*'Assumptions'!$Z$78*'Assumptions'!$D$11*(1+'Assumptions'!$D$13)^(11-1)</x:f>
        <x:v>1667.7814036450645</x:v>
      </x:c>
      <x:c r="S1336" s="10" t="n">
        <x:f>IF(I1336=0,0,J1336*'Assumptions'!$W$78+H1336*'Assumptions'!$X$78)</x:f>
        <x:v>401.94126804156855</x:v>
      </x:c>
      <x:c r="T1336" s="10" t="n">
        <x:f>N1336*'Assumptions'!$AA$78</x:f>
        <x:v>464.6679113772259</x:v>
      </x:c>
      <x:c r="U1336" s="10" t="n">
        <x:f>'Assumptions'!$AE$78*'Assumptions'!$D$11*(1+'Assumptions'!$D$13)^(11-1)</x:f>
        <x:v>0</x:v>
      </x:c>
      <x:c r="V1336" s="10" t="n">
        <x:f>0</x:f>
        <x:v>0</x:v>
      </x:c>
      <x:c r="W1336" s="10" t="n">
        <x:f>H1336*('Assumptions'!$P$78+'Assumptions'!$Y$78)</x:f>
        <x:v>103.41549948585092</x:v>
      </x:c>
      <x:c r="X1336" s="10" t="n">
        <x:f>N1336/12*'Assumptions'!$AF$78</x:f>
        <x:v>0</x:v>
      </x:c>
      <x:c r="Y1336" s="10" t="n">
        <x:f>P1336/12</x:f>
        <x:v>0</x:v>
      </x:c>
      <x:c r="Z1336" s="10" t="n">
        <x:f>0</x:f>
        <x:v>0</x:v>
      </x:c>
      <x:c r="AA1336" s="10" t="n">
        <x:f>Z1336*'Assumptions'!$AC$78*'Assumptions'!$D$11*(1+'Assumptions'!$D$13)^(11-1)</x:f>
        <x:v>0</x:v>
      </x:c>
      <x:c r="AB1336" s="10" t="n">
        <x:f>F1336/1</x:f>
        <x:v>313.26073941841116</x:v>
      </x:c>
      <x:c r="AC1336" s="10" t="n">
        <x:f>AB1336/'Assumptions'!$AM$78</x:f>
        <x:v>6265.214788368223</x:v>
      </x:c>
      <x:c r="AD1336" s="10" t="n">
        <x:f>IF(AB1336=0,0,T1336/AB1336)</x:f>
        <x:v>1.4833263569508006</x:v>
      </x:c>
      <x:c r="AE1336" s="10" t="n">
        <x:f>AA1336*'Assumptions'!$D$21</x:f>
        <x:v>0</x:v>
      </x:c>
    </x:row>
    <x:row r="1337" ht="16" customHeight="1">
      <x:c r="A1337" s="1"/>
      <x:c r="B1337" s="1"/>
      <x:c r="C1337" s="1" t="str">
        <x:v>DOT-050</x:v>
      </x:c>
      <x:c r="D1337" s="10" t="str">
        <x:v>LavaLearning adult</x:v>
      </x:c>
      <x:c r="E1337" s="10" t="n">
        <x:v>11</x:v>
      </x:c>
      <x:c r="F1337" s="21" t="n">
        <x:f>F1209*(1+'Assumptions'!$M$79)</x:f>
        <x:v>939.7822182552334</x:v>
      </x:c>
      <x:c r="G1337" s="21" t="n">
        <x:f>H1209*'Assumptions'!$K$79</x:f>
        <x:v>301.2039186261249</x:v>
      </x:c>
      <x:c r="H1337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1337+G1337,NA())</x:f>
        <x:v>1240.9861368813583</x:v>
      </x:c>
      <x:c r="I1337" s="22" t="n">
        <x:f>'Assumptions'!$H$79*IF('Assumptions'!$O$79=1,1,'Assumptions'!$D$10)*(1+'Assumptions'!$N$79)^(11-1)</x:f>
        <x:v>23.16089397990039</x:v>
      </x:c>
      <x:c r="J1337" s="10" t="n">
        <x:f>H1337*I1337</x:f>
        <x:v>28742.348346835293</x:v>
      </x:c>
      <x:c r="K1337" s="10" t="n">
        <x:f>J1337*'Assumptions'!$T$79</x:f>
        <x:v>28742.348346835293</x:v>
      </x:c>
      <x:c r="L1337" s="10" t="n">
        <x:f>K1337*'Assumptions'!$U$79</x:f>
        <x:v>862.2704504050588</x:v>
      </x:c>
      <x:c r="M1337" s="10" t="n">
        <x:f>K1337*'Assumptions'!$V$79</x:f>
        <x:v>0</x:v>
      </x:c>
      <x:c r="N1337" s="10" t="n">
        <x:f>K1337-L1337-M1337</x:f>
        <x:v>27880.077896430234</x:v>
      </x:c>
      <x:c r="O1337" s="10" t="n">
        <x:f>H1337*'Assumptions'!$P$79*'Assumptions'!$Q$79*'Assumptions'!$D$11*(1+'Assumptions'!$D$13)^(11-1)</x:f>
        <x:v>8755.853378442684</x:v>
      </x:c>
      <x:c r="P1337" s="10" t="n">
        <x:f>H1337*'Assumptions'!$R$79*'Assumptions'!$D$11*(1+'Assumptions'!$D$13)^(11-1)</x:f>
        <x:v>0</x:v>
      </x:c>
      <x:c r="Q1337" s="10" t="n">
        <x:f>J1337*'Assumptions'!$S$79</x:f>
        <x:v>0</x:v>
      </x:c>
      <x:c r="R1337" s="10" t="n">
        <x:f>H1337*'Assumptions'!$Y$79*'Assumptions'!$Z$79*'Assumptions'!$D$11*(1+'Assumptions'!$D$13)^(11-1)</x:f>
        <x:v>5003.3447876815335</x:v>
      </x:c>
      <x:c r="S1337" s="10" t="n">
        <x:f>IF(I1337=0,0,J1337*'Assumptions'!$W$79+H1337*'Assumptions'!$X$79)</x:f>
        <x:v>1205.8239431226311</x:v>
      </x:c>
      <x:c r="T1337" s="10" t="n">
        <x:f>N1337*'Assumptions'!$AA$79</x:f>
        <x:v>1394.0038948215117</x:v>
      </x:c>
      <x:c r="U1337" s="10" t="n">
        <x:f>'Assumptions'!$AE$79*'Assumptions'!$D$11*(1+'Assumptions'!$D$13)^(11-1)</x:f>
        <x:v>0</x:v>
      </x:c>
      <x:c r="V1337" s="10" t="n">
        <x:f>0</x:f>
        <x:v>0</x:v>
      </x:c>
      <x:c r="W1337" s="10" t="n">
        <x:f>H1337*('Assumptions'!$P$79+'Assumptions'!$Y$79)</x:f>
        <x:v>310.2465342203396</x:v>
      </x:c>
      <x:c r="X1337" s="10" t="n">
        <x:f>N1337/12*'Assumptions'!$AF$79</x:f>
        <x:v>0</x:v>
      </x:c>
      <x:c r="Y1337" s="10" t="n">
        <x:f>P1337/12</x:f>
        <x:v>0</x:v>
      </x:c>
      <x:c r="Z1337" s="10" t="n">
        <x:f>0</x:f>
        <x:v>0</x:v>
      </x:c>
      <x:c r="AA1337" s="10" t="n">
        <x:f>Z1337*'Assumptions'!$AC$79*'Assumptions'!$D$11*(1+'Assumptions'!$D$13)^(11-1)</x:f>
        <x:v>0</x:v>
      </x:c>
      <x:c r="AB1337" s="10" t="n">
        <x:f>F1337/1</x:f>
        <x:v>939.7822182552334</x:v>
      </x:c>
      <x:c r="AC1337" s="10" t="n">
        <x:f>AB1337/'Assumptions'!$AM$79</x:f>
        <x:v>18795.644365104665</x:v>
      </x:c>
      <x:c r="AD1337" s="10" t="n">
        <x:f>IF(AB1337=0,0,T1337/AB1337)</x:f>
        <x:v>1.4833265279370473</x:v>
      </x:c>
      <x:c r="AE1337" s="10" t="n">
        <x:f>AA1337*'Assumptions'!$D$21</x:f>
        <x:v>0</x:v>
      </x:c>
    </x:row>
    <x:row r="1338" ht="16" customHeight="1">
      <x:c r="A1338" s="1"/>
      <x:c r="B1338" s="1"/>
      <x:c r="C1338" s="1" t="str">
        <x:v>DOT-051</x:v>
      </x:c>
      <x:c r="D1338" s="10" t="str">
        <x:v>LavaLearning adult</x:v>
      </x:c>
      <x:c r="E1338" s="10" t="n">
        <x:v>11</x:v>
      </x:c>
      <x:c r="F1338" s="21" t="n">
        <x:f>F1210*(1+'Assumptions'!$M$80)</x:f>
        <x:v>187.95644365104667</x:v>
      </x:c>
      <x:c r="G1338" s="21" t="n">
        <x:f>H1210*'Assumptions'!$K$80</x:f>
        <x:v>60.24075511499548</x:v>
      </x:c>
      <x:c r="H1338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1338+G1338,NA())</x:f>
        <x:v>248.19719876604216</x:v>
      </x:c>
      <x:c r="I1338" s="22" t="n">
        <x:f>'Assumptions'!$H$80*IF('Assumptions'!$O$80=1,1,'Assumptions'!$D$10)*(1+'Assumptions'!$N$80)^(11-1)</x:f>
        <x:v>35.35083817984796</x:v>
      </x:c>
      <x:c r="J1338" s="10" t="n">
        <x:f>H1338*I1338</x:f>
        <x:v>8773.979010269917</x:v>
      </x:c>
      <x:c r="K1338" s="10" t="n">
        <x:f>J1338*'Assumptions'!$T$80</x:f>
        <x:v>8773.979010269917</x:v>
      </x:c>
      <x:c r="L1338" s="10" t="n">
        <x:f>K1338*'Assumptions'!$U$80</x:f>
        <x:v>263.2193703080975</x:v>
      </x:c>
      <x:c r="M1338" s="10" t="n">
        <x:f>K1338*'Assumptions'!$V$80</x:f>
        <x:v>0</x:v>
      </x:c>
      <x:c r="N1338" s="10" t="n">
        <x:f>K1338-L1338-M1338</x:f>
        <x:v>8510.75963996182</x:v>
      </x:c>
      <x:c r="O1338" s="10" t="n">
        <x:f>H1338*'Assumptions'!$P$80*'Assumptions'!$Q$80*'Assumptions'!$D$11*(1+'Assumptions'!$D$13)^(11-1)</x:f>
        <x:v>1751.1704738273172</x:v>
      </x:c>
      <x:c r="P1338" s="10" t="n">
        <x:f>H1338*'Assumptions'!$R$80*'Assumptions'!$D$11*(1+'Assumptions'!$D$13)^(11-1)</x:f>
        <x:v>0</x:v>
      </x:c>
      <x:c r="Q1338" s="10" t="n">
        <x:f>J1338*'Assumptions'!$S$80</x:f>
        <x:v>0</x:v>
      </x:c>
      <x:c r="R1338" s="10" t="n">
        <x:f>H1338*'Assumptions'!$Y$80*'Assumptions'!$Z$80*'Assumptions'!$D$11*(1+'Assumptions'!$D$13)^(11-1)</x:f>
        <x:v>1000.6688421870385</x:v>
      </x:c>
      <x:c r="S1338" s="10" t="n">
        <x:f>IF(I1338=0,0,J1338*'Assumptions'!$W$80+H1338*'Assumptions'!$X$80)</x:f>
        <x:v>328.90455092764023</x:v>
      </x:c>
      <x:c r="T1338" s="10" t="n">
        <x:f>N1338*'Assumptions'!$AA$80</x:f>
        <x:v>425.537981998091</x:v>
      </x:c>
      <x:c r="U1338" s="10" t="n">
        <x:f>'Assumptions'!$AE$80*'Assumptions'!$D$11*(1+'Assumptions'!$D$13)^(11-1)</x:f>
        <x:v>0</x:v>
      </x:c>
      <x:c r="V1338" s="10" t="n">
        <x:f>0</x:f>
        <x:v>0</x:v>
      </x:c>
      <x:c r="W1338" s="10" t="n">
        <x:f>H1338*('Assumptions'!$P$80+'Assumptions'!$Y$80)</x:f>
        <x:v>62.04929969151054</x:v>
      </x:c>
      <x:c r="X1338" s="10" t="n">
        <x:f>N1338/12*'Assumptions'!$AF$80</x:f>
        <x:v>0</x:v>
      </x:c>
      <x:c r="Y1338" s="10" t="n">
        <x:f>P1338/12</x:f>
        <x:v>0</x:v>
      </x:c>
      <x:c r="Z1338" s="10" t="n">
        <x:f>0</x:f>
        <x:v>0</x:v>
      </x:c>
      <x:c r="AA1338" s="10" t="n">
        <x:f>Z1338*'Assumptions'!$AC$80*'Assumptions'!$D$11*(1+'Assumptions'!$D$13)^(11-1)</x:f>
        <x:v>0</x:v>
      </x:c>
      <x:c r="AB1338" s="10" t="n">
        <x:f>F1338/1</x:f>
        <x:v>187.95644365104667</x:v>
      </x:c>
      <x:c r="AC1338" s="10" t="n">
        <x:f>AB1338/'Assumptions'!$AM$80</x:f>
        <x:v>3759.128873020933</x:v>
      </x:c>
      <x:c r="AD1338" s="10" t="n">
        <x:f>IF(AB1338=0,0,T1338/AB1338)</x:f>
        <x:v>2.264024439556485</x:v>
      </x:c>
      <x:c r="AE1338" s="10" t="n">
        <x:f>AA1338*'Assumptions'!$D$21</x:f>
        <x:v>0</x:v>
      </x:c>
    </x:row>
    <x:row r="1339" ht="16" customHeight="1">
      <x:c r="A1339" s="1"/>
      <x:c r="B1339" s="1"/>
      <x:c r="C1339" s="1" t="str">
        <x:v>DOT-052</x:v>
      </x:c>
      <x:c r="D1339" s="10" t="str">
        <x:v>LavaLearning Model Life</x:v>
      </x:c>
      <x:c r="E1339" s="10" t="n">
        <x:v>11</x:v>
      </x:c>
      <x:c r="F1339" s="21" t="n">
        <x:f>F1211*(1+'Assumptions'!$M$81)</x:f>
        <x:v>0</x:v>
      </x:c>
      <x:c r="G1339" s="21" t="n">
        <x:f>H1211*'Assumptions'!$K$81</x:f>
        <x:v>0</x:v>
      </x:c>
      <x:c r="H1339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1339+G1339,NA())</x:f>
        <x:v>0</x:v>
      </x:c>
      <x:c r="I1339" s="22" t="n">
        <x:f>'Assumptions'!$H$81*IF('Assumptions'!$O$81=1,1,'Assumptions'!$D$10)*(1+'Assumptions'!$N$81)^(11-1)</x:f>
        <x:v>0</x:v>
      </x:c>
      <x:c r="J1339" s="10" t="n">
        <x:f>H1339*I1339</x:f>
        <x:v>0</x:v>
      </x:c>
      <x:c r="K1339" s="10" t="n">
        <x:f>J1339*'Assumptions'!$T$81</x:f>
        <x:v>0</x:v>
      </x:c>
      <x:c r="L1339" s="10" t="n">
        <x:f>K1339*'Assumptions'!$U$81</x:f>
        <x:v>0</x:v>
      </x:c>
      <x:c r="M1339" s="10" t="n">
        <x:f>K1339*'Assumptions'!$V$81</x:f>
        <x:v>0</x:v>
      </x:c>
      <x:c r="N1339" s="10" t="n">
        <x:f>K1339-L1339-M1339</x:f>
        <x:v>0</x:v>
      </x:c>
      <x:c r="O1339" s="10" t="n">
        <x:f>H1339*'Assumptions'!$P$81*'Assumptions'!$Q$81*'Assumptions'!$D$11*(1+'Assumptions'!$D$13)^(11-1)</x:f>
        <x:v>0</x:v>
      </x:c>
      <x:c r="P1339" s="10" t="n">
        <x:f>H1339*'Assumptions'!$R$81*'Assumptions'!$D$11*(1+'Assumptions'!$D$13)^(11-1)</x:f>
        <x:v>0</x:v>
      </x:c>
      <x:c r="Q1339" s="10" t="n">
        <x:f>J1339*'Assumptions'!$S$81</x:f>
        <x:v>0</x:v>
      </x:c>
      <x:c r="R1339" s="10" t="n">
        <x:f>H1339*'Assumptions'!$Y$81*'Assumptions'!$Z$81*'Assumptions'!$D$11*(1+'Assumptions'!$D$13)^(11-1)</x:f>
        <x:v>0</x:v>
      </x:c>
      <x:c r="S1339" s="10" t="n">
        <x:f>IF(I1339=0,0,J1339*'Assumptions'!$W$81+H1339*'Assumptions'!$X$81)</x:f>
        <x:v>0</x:v>
      </x:c>
      <x:c r="T1339" s="10" t="n">
        <x:f>N1339*'Assumptions'!$AA$81</x:f>
        <x:v>0</x:v>
      </x:c>
      <x:c r="U1339" s="10" t="n">
        <x:f>'Assumptions'!$AE$81*'Assumptions'!$D$11*(1+'Assumptions'!$D$13)^(11-1)</x:f>
        <x:v>0</x:v>
      </x:c>
      <x:c r="V1339" s="10" t="n">
        <x:f>0</x:f>
        <x:v>0</x:v>
      </x:c>
      <x:c r="W1339" s="10" t="n">
        <x:f>H1339*('Assumptions'!$P$81+'Assumptions'!$Y$81)</x:f>
        <x:v>0</x:v>
      </x:c>
      <x:c r="X1339" s="10" t="n">
        <x:f>N1339/12*'Assumptions'!$AF$81</x:f>
        <x:v>0</x:v>
      </x:c>
      <x:c r="Y1339" s="10" t="n">
        <x:f>P1339/12</x:f>
        <x:v>0</x:v>
      </x:c>
      <x:c r="Z1339" s="10" t="n">
        <x:f>0</x:f>
        <x:v>0</x:v>
      </x:c>
      <x:c r="AA1339" s="10" t="n">
        <x:f>Z1339*'Assumptions'!$AC$81*'Assumptions'!$D$11*(1+'Assumptions'!$D$13)^(11-1)</x:f>
        <x:v>0</x:v>
      </x:c>
      <x:c r="AB1339" s="10" t="n">
        <x:f>F1339/1</x:f>
        <x:v>0</x:v>
      </x:c>
      <x:c r="AC1339" s="10" t="n">
        <x:f>AB1339/'Assumptions'!$AM$81</x:f>
        <x:v>0</x:v>
      </x:c>
      <x:c r="AD1339" s="10" t="n">
        <x:f>IF(AB1339=0,0,T1339/AB1339)</x:f>
        <x:v>0</x:v>
      </x:c>
      <x:c r="AE1339" s="10" t="n">
        <x:f>AA1339*'Assumptions'!$D$21</x:f>
        <x:v>0</x:v>
      </x:c>
    </x:row>
    <x:row r="1340" ht="16" customHeight="1">
      <x:c r="A1340" s="1"/>
      <x:c r="B1340" s="1"/>
      <x:c r="C1340" s="1" t="str">
        <x:v>DOT-053</x:v>
      </x:c>
      <x:c r="D1340" s="10" t="str">
        <x:v>LavaLearning Kids</x:v>
      </x:c>
      <x:c r="E1340" s="10" t="n">
        <x:v>11</x:v>
      </x:c>
      <x:c r="F1340" s="21" t="n">
        <x:f>F1212*(1+'Assumptions'!$M$82)</x:f>
        <x:v>939.7822182552334</x:v>
      </x:c>
      <x:c r="G1340" s="21" t="n">
        <x:f>H1212*'Assumptions'!$K$82</x:f>
        <x:v>301.20377557497744</x:v>
      </x:c>
      <x:c r="H1340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1340+G1340,NA())</x:f>
        <x:v>1240.9859938302109</x:v>
      </x:c>
      <x:c r="I1340" s="22" t="n">
        <x:f>'Assumptions'!$H$82*IF('Assumptions'!$O$82=1,1,'Assumptions'!$D$10)*(1+'Assumptions'!$N$82)^(11-1)</x:f>
        <x:v>23.16089397990039</x:v>
      </x:c>
      <x:c r="J1340" s="10" t="n">
        <x:f>H1340*I1340</x:f>
        <x:v>28742.345033642832</x:v>
      </x:c>
      <x:c r="K1340" s="10" t="n">
        <x:f>J1340*'Assumptions'!$T$82</x:f>
        <x:v>28742.345033642832</x:v>
      </x:c>
      <x:c r="L1340" s="10" t="n">
        <x:f>K1340*'Assumptions'!$U$82</x:f>
        <x:v>862.2703510092849</x:v>
      </x:c>
      <x:c r="M1340" s="10" t="n">
        <x:f>K1340*'Assumptions'!$V$82</x:f>
        <x:v>0</x:v>
      </x:c>
      <x:c r="N1340" s="10" t="n">
        <x:f>K1340-L1340-M1340</x:f>
        <x:v>27880.07468263355</x:v>
      </x:c>
      <x:c r="O1340" s="10" t="n">
        <x:f>H1340*'Assumptions'!$P$82*'Assumptions'!$Q$82*'Assumptions'!$D$11*(1+'Assumptions'!$D$13)^(11-1)</x:f>
        <x:v>8755.852369136588</x:v>
      </x:c>
      <x:c r="P1340" s="10" t="n">
        <x:f>H1340*'Assumptions'!$R$82*'Assumptions'!$D$11*(1+'Assumptions'!$D$13)^(11-1)</x:f>
        <x:v>0</x:v>
      </x:c>
      <x:c r="Q1340" s="10" t="n">
        <x:f>J1340*'Assumptions'!$S$82</x:f>
        <x:v>0</x:v>
      </x:c>
      <x:c r="R1340" s="10" t="n">
        <x:f>H1340*'Assumptions'!$Y$82*'Assumptions'!$Z$82*'Assumptions'!$D$11*(1+'Assumptions'!$D$13)^(11-1)</x:f>
        <x:v>5003.344210935193</x:v>
      </x:c>
      <x:c r="S1340" s="10" t="n">
        <x:f>IF(I1340=0,0,J1340*'Assumptions'!$W$82+H1340*'Assumptions'!$X$82)</x:f>
        <x:v>1205.8238041247055</x:v>
      </x:c>
      <x:c r="T1340" s="10" t="n">
        <x:f>N1340*'Assumptions'!$AA$82</x:f>
        <x:v>1394.0037341316774</x:v>
      </x:c>
      <x:c r="U1340" s="10" t="n">
        <x:f>'Assumptions'!$AE$82*'Assumptions'!$D$11*(1+'Assumptions'!$D$13)^(11-1)</x:f>
        <x:v>322.53993104258933</x:v>
      </x:c>
      <x:c r="V1340" s="10" t="n">
        <x:f>0</x:f>
        <x:v>0</x:v>
      </x:c>
      <x:c r="W1340" s="10" t="n">
        <x:f>H1340*('Assumptions'!$P$82+'Assumptions'!$Y$82)</x:f>
        <x:v>310.2464984575527</x:v>
      </x:c>
      <x:c r="X1340" s="10" t="n">
        <x:f>N1340/12*'Assumptions'!$AF$82</x:f>
        <x:v>0</x:v>
      </x:c>
      <x:c r="Y1340" s="10" t="n">
        <x:f>P1340/12</x:f>
        <x:v>0</x:v>
      </x:c>
      <x:c r="Z1340" s="10" t="n">
        <x:f>0</x:f>
        <x:v>0</x:v>
      </x:c>
      <x:c r="AA1340" s="10" t="n">
        <x:f>Z1340*'Assumptions'!$AC$82*'Assumptions'!$D$11*(1+'Assumptions'!$D$13)^(11-1)</x:f>
        <x:v>0</x:v>
      </x:c>
      <x:c r="AB1340" s="10" t="n">
        <x:f>F1340/1</x:f>
        <x:v>939.7822182552334</x:v>
      </x:c>
      <x:c r="AC1340" s="10" t="n">
        <x:f>AB1340/'Assumptions'!$AM$82</x:f>
        <x:v>18795.644365104665</x:v>
      </x:c>
      <x:c r="AD1340" s="10" t="n">
        <x:f>IF(AB1340=0,0,T1340/AB1340)</x:f>
        <x:v>1.4833263569508006</x:v>
      </x:c>
      <x:c r="AE1340" s="10" t="n">
        <x:f>AA1340*'Assumptions'!$D$21</x:f>
        <x:v>0</x:v>
      </x:c>
    </x:row>
    <x:row r="1341" ht="16" customHeight="1">
      <x:c r="A1341" s="1"/>
      <x:c r="B1341" s="1"/>
      <x:c r="C1341" s="1" t="str">
        <x:v>DOT-054</x:v>
      </x:c>
      <x:c r="D1341" s="10" t="str">
        <x:v>VraiSkill adult</x:v>
      </x:c>
      <x:c r="E1341" s="10" t="n">
        <x:v>11</x:v>
      </x:c>
      <x:c r="F1341" s="21" t="n">
        <x:f>F1213*(1+'Assumptions'!$M$83)</x:f>
        <x:v>1879.5644365104667</x:v>
      </x:c>
      <x:c r="G1341" s="21" t="n">
        <x:f>H1213*'Assumptions'!$K$83</x:f>
        <x:v>602.4078372522498</x:v>
      </x:c>
      <x:c r="H1341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1341+G1341,NA())</x:f>
        <x:v>2481.9722737627167</x:v>
      </x:c>
      <x:c r="I1341" s="22" t="n">
        <x:f>'Assumptions'!$H$83*IF('Assumptions'!$O$83=1,1,'Assumptions'!$D$10)*(1+'Assumptions'!$N$83)^(11-1)</x:f>
        <x:v>12.177754255747626</x:v>
      </x:c>
      <x:c r="J1341" s="10" t="n">
        <x:f>H1341*I1341</x:f>
        <x:v>30224.848419461534</x:v>
      </x:c>
      <x:c r="K1341" s="10" t="n">
        <x:f>J1341*'Assumptions'!$T$83</x:f>
        <x:v>30224.848419461534</x:v>
      </x:c>
      <x:c r="L1341" s="10" t="n">
        <x:f>K1341*'Assumptions'!$U$83</x:f>
        <x:v>906.745452583846</x:v>
      </x:c>
      <x:c r="M1341" s="10" t="n">
        <x:f>K1341*'Assumptions'!$V$83</x:f>
        <x:v>0</x:v>
      </x:c>
      <x:c r="N1341" s="10" t="n">
        <x:f>K1341-L1341-M1341</x:f>
        <x:v>29318.102966877686</x:v>
      </x:c>
      <x:c r="O1341" s="10" t="n">
        <x:f>H1341*'Assumptions'!$P$83*'Assumptions'!$Q$83*'Assumptions'!$D$11*(1+'Assumptions'!$D$13)^(11-1)</x:f>
        <x:v>17511.706756885367</x:v>
      </x:c>
      <x:c r="P1341" s="10" t="n">
        <x:f>H1341*'Assumptions'!$R$83*'Assumptions'!$D$11*(1+'Assumptions'!$D$13)^(11-1)</x:f>
        <x:v>0</x:v>
      </x:c>
      <x:c r="Q1341" s="10" t="n">
        <x:f>J1341*'Assumptions'!$S$83</x:f>
        <x:v>0</x:v>
      </x:c>
      <x:c r="R1341" s="10" t="n">
        <x:f>H1341*'Assumptions'!$Y$83*'Assumptions'!$Z$83*'Assumptions'!$D$11*(1+'Assumptions'!$D$13)^(11-1)</x:f>
        <x:v>10006.689575363067</x:v>
      </x:c>
      <x:c r="S1341" s="10" t="n">
        <x:f>IF(I1341=0,0,J1341*'Assumptions'!$W$83+H1341*'Assumptions'!$X$83)</x:f>
        <x:v>1621.1122862931995</x:v>
      </x:c>
      <x:c r="T1341" s="10" t="n">
        <x:f>N1341*'Assumptions'!$AA$83</x:f>
        <x:v>1465.9051483438843</x:v>
      </x:c>
      <x:c r="U1341" s="10" t="n">
        <x:f>'Assumptions'!$AE$83*'Assumptions'!$D$11*(1+'Assumptions'!$D$13)^(11-1)</x:f>
        <x:v>322.53993104258933</x:v>
      </x:c>
      <x:c r="V1341" s="10" t="n">
        <x:f>0</x:f>
        <x:v>0</x:v>
      </x:c>
      <x:c r="W1341" s="10" t="n">
        <x:f>H1341*('Assumptions'!$P$83+'Assumptions'!$Y$83)</x:f>
        <x:v>620.4930684406792</x:v>
      </x:c>
      <x:c r="X1341" s="10" t="n">
        <x:f>N1341/12*'Assumptions'!$AF$83</x:f>
        <x:v>0</x:v>
      </x:c>
      <x:c r="Y1341" s="10" t="n">
        <x:f>P1341/12</x:f>
        <x:v>0</x:v>
      </x:c>
      <x:c r="Z1341" s="10" t="n">
        <x:f>0</x:f>
        <x:v>0</x:v>
      </x:c>
      <x:c r="AA1341" s="10" t="n">
        <x:f>Z1341*'Assumptions'!$AC$83*'Assumptions'!$D$11*(1+'Assumptions'!$D$13)^(11-1)</x:f>
        <x:v>0</x:v>
      </x:c>
      <x:c r="AB1341" s="10" t="n">
        <x:f>F1341/1</x:f>
        <x:v>1879.5644365104667</x:v>
      </x:c>
      <x:c r="AC1341" s="10" t="n">
        <x:f>AB1341/'Assumptions'!$AM$83</x:f>
        <x:v>37591.28873020933</x:v>
      </x:c>
      <x:c r="AD1341" s="10" t="n">
        <x:f>IF(AB1341=0,0,T1341/AB1341)</x:f>
        <x:v>0.7799174744258475</x:v>
      </x:c>
      <x:c r="AE1341" s="10" t="n">
        <x:f>AA1341*'Assumptions'!$D$21</x:f>
        <x:v>0</x:v>
      </x:c>
    </x:row>
    <x:row r="1342" ht="16" customHeight="1">
      <x:c r="A1342" s="1"/>
      <x:c r="B1342" s="1"/>
      <x:c r="C1342" s="1" t="str">
        <x:v>DOT-055</x:v>
      </x:c>
      <x:c r="D1342" s="10" t="str">
        <x:v>VraiSkill adult</x:v>
      </x:c>
      <x:c r="E1342" s="10" t="n">
        <x:v>11</x:v>
      </x:c>
      <x:c r="F1342" s="21" t="n">
        <x:f>F1214*(1+'Assumptions'!$M$84)</x:f>
        <x:v>626.5214788368223</x:v>
      </x:c>
      <x:c r="G1342" s="21" t="n">
        <x:f>H1214*'Assumptions'!$K$84</x:f>
        <x:v>200.8026124174166</x:v>
      </x:c>
      <x:c r="H1342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1342+G1342,NA())</x:f>
        <x:v>827.324091254239</x:v>
      </x:c>
      <x:c r="I1342" s="22" t="n">
        <x:f>'Assumptions'!$H$84*IF('Assumptions'!$O$84=1,1,'Assumptions'!$D$10)*(1+'Assumptions'!$N$84)^(11-1)</x:f>
        <x:v>29.255866079874174</x:v>
      </x:c>
      <x:c r="J1342" s="10" t="n">
        <x:f>H1342*I1342</x:f>
        <x:v>24204.082818387615</x:v>
      </x:c>
      <x:c r="K1342" s="10" t="n">
        <x:f>J1342*'Assumptions'!$T$84</x:f>
        <x:v>24204.082818387615</x:v>
      </x:c>
      <x:c r="L1342" s="10" t="n">
        <x:f>K1342*'Assumptions'!$U$84</x:f>
        <x:v>726.1224845516284</x:v>
      </x:c>
      <x:c r="M1342" s="10" t="n">
        <x:f>K1342*'Assumptions'!$V$84</x:f>
        <x:v>0</x:v>
      </x:c>
      <x:c r="N1342" s="10" t="n">
        <x:f>K1342-L1342-M1342</x:f>
        <x:v>23477.960333835985</x:v>
      </x:c>
      <x:c r="O1342" s="10" t="n">
        <x:f>H1342*'Assumptions'!$P$84*'Assumptions'!$Q$84*'Assumptions'!$D$11*(1+'Assumptions'!$D$13)^(11-1)</x:f>
        <x:v>5837.235585628456</x:v>
      </x:c>
      <x:c r="P1342" s="10" t="n">
        <x:f>H1342*'Assumptions'!$R$84*'Assumptions'!$D$11*(1+'Assumptions'!$D$13)^(11-1)</x:f>
        <x:v>0</x:v>
      </x:c>
      <x:c r="Q1342" s="10" t="n">
        <x:f>J1342*'Assumptions'!$S$84</x:f>
        <x:v>0</x:v>
      </x:c>
      <x:c r="R1342" s="10" t="n">
        <x:f>H1342*'Assumptions'!$Y$84*'Assumptions'!$Z$84*'Assumptions'!$D$11*(1+'Assumptions'!$D$13)^(11-1)</x:f>
        <x:v>3335.5631917876894</x:v>
      </x:c>
      <x:c r="S1342" s="10" t="n">
        <x:f>IF(I1342=0,0,J1342*'Assumptions'!$W$84+H1342*'Assumptions'!$X$84)</x:f>
        <x:v>950.1156291095126</x:v>
      </x:c>
      <x:c r="T1342" s="10" t="n">
        <x:f>N1342*'Assumptions'!$AA$84</x:f>
        <x:v>1173.8980166917993</x:v>
      </x:c>
      <x:c r="U1342" s="10" t="n">
        <x:f>'Assumptions'!$AE$84*'Assumptions'!$D$11*(1+'Assumptions'!$D$13)^(11-1)</x:f>
        <x:v>0</x:v>
      </x:c>
      <x:c r="V1342" s="10" t="n">
        <x:f>0</x:f>
        <x:v>0</x:v>
      </x:c>
      <x:c r="W1342" s="10" t="n">
        <x:f>H1342*('Assumptions'!$P$84+'Assumptions'!$Y$84)</x:f>
        <x:v>206.83102281355974</x:v>
      </x:c>
      <x:c r="X1342" s="10" t="n">
        <x:f>N1342/12*'Assumptions'!$AF$84</x:f>
        <x:v>0</x:v>
      </x:c>
      <x:c r="Y1342" s="10" t="n">
        <x:f>P1342/12</x:f>
        <x:v>0</x:v>
      </x:c>
      <x:c r="Z1342" s="10" t="n">
        <x:f>0</x:f>
        <x:v>0</x:v>
      </x:c>
      <x:c r="AA1342" s="10" t="n">
        <x:f>Z1342*'Assumptions'!$AC$84*'Assumptions'!$D$11*(1+'Assumptions'!$D$13)^(11-1)</x:f>
        <x:v>0</x:v>
      </x:c>
      <x:c r="AB1342" s="10" t="n">
        <x:f>F1342/1</x:f>
        <x:v>626.5214788368223</x:v>
      </x:c>
      <x:c r="AC1342" s="10" t="n">
        <x:f>AB1342/'Assumptions'!$AM$84</x:f>
        <x:v>12530.429576736446</x:v>
      </x:c>
      <x:c r="AD1342" s="10" t="n">
        <x:f>IF(AB1342=0,0,T1342/AB1342)</x:f>
        <x:v>1.87367561423627</x:v>
      </x:c>
      <x:c r="AE1342" s="10" t="n">
        <x:f>AA1342*'Assumptions'!$D$21</x:f>
        <x:v>0</x:v>
      </x:c>
    </x:row>
    <x:row r="1343" ht="16" customHeight="1">
      <x:c r="A1343" s="1"/>
      <x:c r="B1343" s="1"/>
      <x:c r="C1343" s="1" t="str">
        <x:v>DOT-056</x:v>
      </x:c>
      <x:c r="D1343" s="10" t="str">
        <x:v>VraiSkill teen</x:v>
      </x:c>
      <x:c r="E1343" s="10" t="n">
        <x:v>11</x:v>
      </x:c>
      <x:c r="F1343" s="21" t="n">
        <x:f>F1215*(1+'Assumptions'!$M$85)</x:f>
        <x:v>626.5214788368223</x:v>
      </x:c>
      <x:c r="G1343" s="21" t="n">
        <x:f>H1215*'Assumptions'!$K$85</x:f>
        <x:v>200.80251704998497</x:v>
      </x:c>
      <x:c r="H1343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1343+G1343,NA())</x:f>
        <x:v>827.3239958868073</x:v>
      </x:c>
      <x:c r="I1343" s="22" t="n">
        <x:f>'Assumptions'!$H$85*IF('Assumptions'!$O$85=1,1,'Assumptions'!$D$10)*(1+'Assumptions'!$N$85)^(11-1)</x:f>
        <x:v>29.255866079874174</x:v>
      </x:c>
      <x:c r="J1343" s="10" t="n">
        <x:f>H1343*I1343</x:f>
        <x:v>24204.080028330805</x:v>
      </x:c>
      <x:c r="K1343" s="10" t="n">
        <x:f>J1343*'Assumptions'!$T$85</x:f>
        <x:v>24204.080028330805</x:v>
      </x:c>
      <x:c r="L1343" s="10" t="n">
        <x:f>K1343*'Assumptions'!$U$85</x:f>
        <x:v>726.1224008499241</x:v>
      </x:c>
      <x:c r="M1343" s="10" t="n">
        <x:f>K1343*'Assumptions'!$V$85</x:f>
        <x:v>0</x:v>
      </x:c>
      <x:c r="N1343" s="10" t="n">
        <x:f>K1343-L1343-M1343</x:f>
        <x:v>23477.957627480882</x:v>
      </x:c>
      <x:c r="O1343" s="10" t="n">
        <x:f>H1343*'Assumptions'!$P$85*'Assumptions'!$Q$85*'Assumptions'!$D$11*(1+'Assumptions'!$D$13)^(11-1)</x:f>
        <x:v>5837.2349127577245</x:v>
      </x:c>
      <x:c r="P1343" s="10" t="n">
        <x:f>H1343*'Assumptions'!$R$85*'Assumptions'!$D$11*(1+'Assumptions'!$D$13)^(11-1)</x:f>
        <x:v>0</x:v>
      </x:c>
      <x:c r="Q1343" s="10" t="n">
        <x:f>J1343*'Assumptions'!$S$85</x:f>
        <x:v>0</x:v>
      </x:c>
      <x:c r="R1343" s="10" t="n">
        <x:f>H1343*'Assumptions'!$Y$85*'Assumptions'!$Z$85*'Assumptions'!$D$11*(1+'Assumptions'!$D$13)^(11-1)</x:f>
        <x:v>3335.562807290129</x:v>
      </x:c>
      <x:c r="S1343" s="10" t="n">
        <x:f>IF(I1343=0,0,J1343*'Assumptions'!$W$85+H1343*'Assumptions'!$X$85)</x:f>
        <x:v>950.1155195876356</x:v>
      </x:c>
      <x:c r="T1343" s="10" t="n">
        <x:f>N1343*'Assumptions'!$AA$85</x:f>
        <x:v>1173.8978813740441</x:v>
      </x:c>
      <x:c r="U1343" s="10" t="n">
        <x:f>'Assumptions'!$AE$85*'Assumptions'!$D$11*(1+'Assumptions'!$D$13)^(11-1)</x:f>
        <x:v>322.53993104258933</x:v>
      </x:c>
      <x:c r="V1343" s="10" t="n">
        <x:f>0</x:f>
        <x:v>0</x:v>
      </x:c>
      <x:c r="W1343" s="10" t="n">
        <x:f>H1343*('Assumptions'!$P$85+'Assumptions'!$Y$85)</x:f>
        <x:v>206.83099897170183</x:v>
      </x:c>
      <x:c r="X1343" s="10" t="n">
        <x:f>N1343/12*'Assumptions'!$AF$85</x:f>
        <x:v>0</x:v>
      </x:c>
      <x:c r="Y1343" s="10" t="n">
        <x:f>P1343/12</x:f>
        <x:v>0</x:v>
      </x:c>
      <x:c r="Z1343" s="10" t="n">
        <x:f>0</x:f>
        <x:v>0</x:v>
      </x:c>
      <x:c r="AA1343" s="10" t="n">
        <x:f>Z1343*'Assumptions'!$AC$85*'Assumptions'!$D$11*(1+'Assumptions'!$D$13)^(11-1)</x:f>
        <x:v>0</x:v>
      </x:c>
      <x:c r="AB1343" s="10" t="n">
        <x:f>F1343/1</x:f>
        <x:v>626.5214788368223</x:v>
      </x:c>
      <x:c r="AC1343" s="10" t="n">
        <x:f>AB1343/'Assumptions'!$AM$85</x:f>
        <x:v>12530.429576736446</x:v>
      </x:c>
      <x:c r="AD1343" s="10" t="n">
        <x:f>IF(AB1343=0,0,T1343/AB1343)</x:f>
        <x:v>1.8736753982536425</x:v>
      </x:c>
      <x:c r="AE1343" s="10" t="n">
        <x:f>AA1343*'Assumptions'!$D$21</x:f>
        <x:v>0</x:v>
      </x:c>
    </x:row>
    <x:row r="1344" ht="16" customHeight="1">
      <x:c r="A1344" s="1"/>
      <x:c r="B1344" s="1"/>
      <x:c r="C1344" s="1" t="str">
        <x:v>DOT-057</x:v>
      </x:c>
      <x:c r="D1344" s="10" t="str">
        <x:v>VraiSkill Model Life</x:v>
      </x:c>
      <x:c r="E1344" s="10" t="n">
        <x:v>11</x:v>
      </x:c>
      <x:c r="F1344" s="21" t="n">
        <x:f>F1216*(1+'Assumptions'!$M$86)</x:f>
        <x:v>0</x:v>
      </x:c>
      <x:c r="G1344" s="21" t="n">
        <x:f>H1216*'Assumptions'!$K$86</x:f>
        <x:v>0</x:v>
      </x:c>
      <x:c r="H1344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1344+G1344,NA())</x:f>
        <x:v>0</x:v>
      </x:c>
      <x:c r="I1344" s="22" t="n">
        <x:f>'Assumptions'!$H$86*IF('Assumptions'!$O$86=1,1,'Assumptions'!$D$10)*(1+'Assumptions'!$N$86)^(11-1)</x:f>
        <x:v>0</x:v>
      </x:c>
      <x:c r="J1344" s="10" t="n">
        <x:f>H1344*I1344</x:f>
        <x:v>0</x:v>
      </x:c>
      <x:c r="K1344" s="10" t="n">
        <x:f>J1344*'Assumptions'!$T$86</x:f>
        <x:v>0</x:v>
      </x:c>
      <x:c r="L1344" s="10" t="n">
        <x:f>K1344*'Assumptions'!$U$86</x:f>
        <x:v>0</x:v>
      </x:c>
      <x:c r="M1344" s="10" t="n">
        <x:f>K1344*'Assumptions'!$V$86</x:f>
        <x:v>0</x:v>
      </x:c>
      <x:c r="N1344" s="10" t="n">
        <x:f>K1344-L1344-M1344</x:f>
        <x:v>0</x:v>
      </x:c>
      <x:c r="O1344" s="10" t="n">
        <x:f>H1344*'Assumptions'!$P$86*'Assumptions'!$Q$86*'Assumptions'!$D$11*(1+'Assumptions'!$D$13)^(11-1)</x:f>
        <x:v>0</x:v>
      </x:c>
      <x:c r="P1344" s="10" t="n">
        <x:f>H1344*'Assumptions'!$R$86*'Assumptions'!$D$11*(1+'Assumptions'!$D$13)^(11-1)</x:f>
        <x:v>0</x:v>
      </x:c>
      <x:c r="Q1344" s="10" t="n">
        <x:f>J1344*'Assumptions'!$S$86</x:f>
        <x:v>0</x:v>
      </x:c>
      <x:c r="R1344" s="10" t="n">
        <x:f>H1344*'Assumptions'!$Y$86*'Assumptions'!$Z$86*'Assumptions'!$D$11*(1+'Assumptions'!$D$13)^(11-1)</x:f>
        <x:v>0</x:v>
      </x:c>
      <x:c r="S1344" s="10" t="n">
        <x:f>IF(I1344=0,0,J1344*'Assumptions'!$W$86+H1344*'Assumptions'!$X$86)</x:f>
        <x:v>0</x:v>
      </x:c>
      <x:c r="T1344" s="10" t="n">
        <x:f>N1344*'Assumptions'!$AA$86</x:f>
        <x:v>0</x:v>
      </x:c>
      <x:c r="U1344" s="10" t="n">
        <x:f>'Assumptions'!$AE$86*'Assumptions'!$D$11*(1+'Assumptions'!$D$13)^(11-1)</x:f>
        <x:v>0</x:v>
      </x:c>
      <x:c r="V1344" s="10" t="n">
        <x:f>0</x:f>
        <x:v>0</x:v>
      </x:c>
      <x:c r="W1344" s="10" t="n">
        <x:f>H1344*('Assumptions'!$P$86+'Assumptions'!$Y$86)</x:f>
        <x:v>0</x:v>
      </x:c>
      <x:c r="X1344" s="10" t="n">
        <x:f>N1344/12*'Assumptions'!$AF$86</x:f>
        <x:v>0</x:v>
      </x:c>
      <x:c r="Y1344" s="10" t="n">
        <x:f>P1344/12</x:f>
        <x:v>0</x:v>
      </x:c>
      <x:c r="Z1344" s="10" t="n">
        <x:f>0</x:f>
        <x:v>0</x:v>
      </x:c>
      <x:c r="AA1344" s="10" t="n">
        <x:f>Z1344*'Assumptions'!$AC$86*'Assumptions'!$D$11*(1+'Assumptions'!$D$13)^(11-1)</x:f>
        <x:v>0</x:v>
      </x:c>
      <x:c r="AB1344" s="10" t="n">
        <x:f>F1344/1</x:f>
        <x:v>0</x:v>
      </x:c>
      <x:c r="AC1344" s="10" t="n">
        <x:f>AB1344/'Assumptions'!$AM$86</x:f>
        <x:v>0</x:v>
      </x:c>
      <x:c r="AD1344" s="10" t="n">
        <x:f>IF(AB1344=0,0,T1344/AB1344)</x:f>
        <x:v>0</x:v>
      </x:c>
      <x:c r="AE1344" s="10" t="n">
        <x:f>AA1344*'Assumptions'!$D$21</x:f>
        <x:v>0</x:v>
      </x:c>
    </x:row>
    <x:row r="1345" ht="16" customHeight="1">
      <x:c r="A1345" s="1"/>
      <x:c r="B1345" s="1"/>
      <x:c r="C1345" s="1" t="str">
        <x:v>DOT-058</x:v>
      </x:c>
      <x:c r="D1345" s="10" t="str">
        <x:v>Model Life</x:v>
      </x:c>
      <x:c r="E1345" s="10" t="n">
        <x:v>11</x:v>
      </x:c>
      <x:c r="F1345" s="21" t="n">
        <x:f>F1217*(1+'Assumptions'!$M$87)</x:f>
        <x:v>356.54210525988503</x:v>
      </x:c>
      <x:c r="G1345" s="21" t="n">
        <x:f>H1217*'Assumptions'!$K$87</x:f>
        <x:v>727.9824569143742</x:v>
      </x:c>
      <x:c r="H1345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1345+G1345,NA())</x:f>
        <x:v>1084.5245621742592</x:v>
      </x:c>
      <x:c r="I1345" s="22" t="n">
        <x:f>'Assumptions'!$H$87*IF('Assumptions'!$O$87=1,1,'Assumptions'!$D$10)*(1+'Assumptions'!$N$87)^(11-1)</x:f>
        <x:v>18.28491629992136</x:v>
      </x:c>
      <x:c r="J1345" s="10" t="n">
        <x:f>H1345*I1345</x:f>
        <x:v>19830.44084456519</x:v>
      </x:c>
      <x:c r="K1345" s="10" t="n">
        <x:f>J1345*'Assumptions'!$T$87</x:f>
        <x:v>19830.44084456519</x:v>
      </x:c>
      <x:c r="L1345" s="10" t="n">
        <x:f>K1345*'Assumptions'!$U$87</x:f>
        <x:v>594.9132253369556</x:v>
      </x:c>
      <x:c r="M1345" s="10" t="n">
        <x:f>K1345*'Assumptions'!$V$87</x:f>
        <x:v>0</x:v>
      </x:c>
      <x:c r="N1345" s="10" t="n">
        <x:f>K1345-L1345-M1345</x:f>
        <x:v>19235.527619228233</x:v>
      </x:c>
      <x:c r="O1345" s="10" t="n">
        <x:f>H1345*'Assumptions'!$P$87*'Assumptions'!$Q$87*'Assumptions'!$D$11*(1+'Assumptions'!$D$13)^(11-1)</x:f>
        <x:v>5101.2861301745</x:v>
      </x:c>
      <x:c r="P1345" s="10" t="n">
        <x:f>H1345*'Assumptions'!$R$87*'Assumptions'!$D$11*(1+'Assumptions'!$D$13)^(11-1)</x:f>
        <x:v>0</x:v>
      </x:c>
      <x:c r="Q1345" s="10" t="n">
        <x:f>J1345*'Assumptions'!$S$87</x:f>
        <x:v>0</x:v>
      </x:c>
      <x:c r="R1345" s="10" t="n">
        <x:f>H1345*'Assumptions'!$Y$87*'Assumptions'!$Z$87*'Assumptions'!$D$11*(1+'Assumptions'!$D$13)^(11-1)</x:f>
        <x:v>6558.7964530815</x:v>
      </x:c>
      <x:c r="S1345" s="10" t="n">
        <x:f>IF(I1345=0,0,J1345*'Assumptions'!$W$87+H1345*'Assumptions'!$X$87)</x:f>
        <x:v>900.4401531446683</x:v>
      </x:c>
      <x:c r="T1345" s="10" t="n">
        <x:f>N1345*'Assumptions'!$AA$87</x:f>
        <x:v>961.7763809614116</x:v>
      </x:c>
      <x:c r="U1345" s="10" t="n">
        <x:f>'Assumptions'!$AE$87*'Assumptions'!$D$11*(1+'Assumptions'!$D$13)^(11-1)</x:f>
        <x:v>80.63498276064733</x:v>
      </x:c>
      <x:c r="V1345" s="10" t="n">
        <x:f>0</x:f>
        <x:v>0</x:v>
      </x:c>
      <x:c r="W1345" s="10" t="n">
        <x:f>H1345*('Assumptions'!$P$87+'Assumptions'!$Y$87)</x:f>
        <x:v>271.1311405435648</x:v>
      </x:c>
      <x:c r="X1345" s="10" t="n">
        <x:f>N1345/12*'Assumptions'!$AF$87</x:f>
        <x:v>0</x:v>
      </x:c>
      <x:c r="Y1345" s="10" t="n">
        <x:f>P1345/12</x:f>
        <x:v>0</x:v>
      </x:c>
      <x:c r="Z1345" s="10" t="n">
        <x:f>0</x:f>
        <x:v>0</x:v>
      </x:c>
      <x:c r="AA1345" s="10" t="n">
        <x:f>Z1345*'Assumptions'!$AC$87*'Assumptions'!$D$11*(1+'Assumptions'!$D$13)^(11-1)</x:f>
        <x:v>0</x:v>
      </x:c>
      <x:c r="AB1345" s="10" t="n">
        <x:f>F1345/12</x:f>
        <x:v>29.71184210499042</x:v>
      </x:c>
      <x:c r="AC1345" s="10" t="n">
        <x:f>AB1345/'Assumptions'!$AM$87</x:f>
        <x:v>594.2368420998084</x:v>
      </x:c>
      <x:c r="AD1345" s="10" t="n">
        <x:f>IF(AB1345=0,0,T1345/AB1345)</x:f>
        <x:v>32.37013637736958</x:v>
      </x:c>
      <x:c r="AE1345" s="10" t="n">
        <x:f>AA1345*'Assumptions'!$D$21</x:f>
        <x:v>0</x:v>
      </x:c>
    </x:row>
    <x:row r="1346" ht="16" customHeight="1">
      <x:c r="A1346" s="1"/>
      <x:c r="B1346" s="1"/>
      <x:c r="C1346" s="1" t="str">
        <x:v>DOT-059</x:v>
      </x:c>
      <x:c r="D1346" s="10" t="str">
        <x:v>Model Life</x:v>
      </x:c>
      <x:c r="E1346" s="10" t="n">
        <x:v>11</x:v>
      </x:c>
      <x:c r="F1346" s="21" t="n">
        <x:f>F1218*(1+'Assumptions'!$M$88)</x:f>
        <x:v>89.13552631497126</x:v>
      </x:c>
      <x:c r="G1346" s="21" t="n">
        <x:f>H1218*'Assumptions'!$K$88</x:f>
        <x:v>181.99561422859355</x:v>
      </x:c>
      <x:c r="H1346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1346+G1346,NA())</x:f>
        <x:v>271.1311405435648</x:v>
      </x:c>
      <x:c r="I1346" s="22" t="n">
        <x:f>'Assumptions'!$H$88*IF('Assumptions'!$O$88=1,1,'Assumptions'!$D$10)*(1+'Assumptions'!$N$88)^(11-1)</x:f>
        <x:v>96.30055917958583</x:v>
      </x:c>
      <x:c r="J1346" s="10" t="n">
        <x:f>H1346*I1346</x:f>
        <x:v>26110.080445344167</x:v>
      </x:c>
      <x:c r="K1346" s="10" t="n">
        <x:f>J1346*'Assumptions'!$T$88</x:f>
        <x:v>26110.080445344167</x:v>
      </x:c>
      <x:c r="L1346" s="10" t="n">
        <x:f>K1346*'Assumptions'!$U$88</x:f>
        <x:v>783.302413360325</x:v>
      </x:c>
      <x:c r="M1346" s="10" t="n">
        <x:f>K1346*'Assumptions'!$V$88</x:f>
        <x:v>0</x:v>
      </x:c>
      <x:c r="N1346" s="10" t="n">
        <x:f>K1346-L1346-M1346</x:f>
        <x:v>25326.778031983842</x:v>
      </x:c>
      <x:c r="O1346" s="10" t="n">
        <x:f>H1346*'Assumptions'!$P$88*'Assumptions'!$Q$88*'Assumptions'!$D$11*(1+'Assumptions'!$D$13)^(11-1)</x:f>
        <x:v>1275.321532543625</x:v>
      </x:c>
      <x:c r="P1346" s="10" t="n">
        <x:f>H1346*'Assumptions'!$R$88*'Assumptions'!$D$11*(1+'Assumptions'!$D$13)^(11-1)</x:f>
        <x:v>0</x:v>
      </x:c>
      <x:c r="Q1346" s="10" t="n">
        <x:f>J1346*'Assumptions'!$S$88</x:f>
        <x:v>0</x:v>
      </x:c>
      <x:c r="R1346" s="10" t="n">
        <x:f>H1346*'Assumptions'!$Y$88*'Assumptions'!$Z$88*'Assumptions'!$D$11*(1+'Assumptions'!$D$13)^(11-1)</x:f>
        <x:v>1639.699113270375</x:v>
      </x:c>
      <x:c r="S1346" s="10" t="n">
        <x:f>IF(I1346=0,0,J1346*'Assumptions'!$W$88+H1346*'Assumptions'!$X$88)</x:f>
        <x:v>838.5316750780503</x:v>
      </x:c>
      <x:c r="T1346" s="10" t="n">
        <x:f>N1346*'Assumptions'!$AA$88</x:f>
        <x:v>1266.3389015991922</x:v>
      </x:c>
      <x:c r="U1346" s="10" t="n">
        <x:f>'Assumptions'!$AE$88*'Assumptions'!$D$11*(1+'Assumptions'!$D$13)^(11-1)</x:f>
        <x:v>80.63498276064733</x:v>
      </x:c>
      <x:c r="V1346" s="10" t="n">
        <x:f>0</x:f>
        <x:v>0</x:v>
      </x:c>
      <x:c r="W1346" s="10" t="n">
        <x:f>H1346*('Assumptions'!$P$88+'Assumptions'!$Y$88)</x:f>
        <x:v>67.7827851358912</x:v>
      </x:c>
      <x:c r="X1346" s="10" t="n">
        <x:f>N1346/12*'Assumptions'!$AF$88</x:f>
        <x:v>0</x:v>
      </x:c>
      <x:c r="Y1346" s="10" t="n">
        <x:f>P1346/12</x:f>
        <x:v>0</x:v>
      </x:c>
      <x:c r="Z1346" s="10" t="n">
        <x:f>0</x:f>
        <x:v>0</x:v>
      </x:c>
      <x:c r="AA1346" s="10" t="n">
        <x:f>Z1346*'Assumptions'!$AC$88*'Assumptions'!$D$11*(1+'Assumptions'!$D$13)^(11-1)</x:f>
        <x:v>0</x:v>
      </x:c>
      <x:c r="AB1346" s="10" t="n">
        <x:f>F1346/12</x:f>
        <x:v>7.427960526247605</x:v>
      </x:c>
      <x:c r="AC1346" s="10" t="n">
        <x:f>AB1346/'Assumptions'!$AM$88</x:f>
        <x:v>148.5592105249521</x:v>
      </x:c>
      <x:c r="AD1346" s="10" t="n">
        <x:f>IF(AB1346=0,0,T1346/AB1346)</x:f>
        <x:v>170.4827182541465</x:v>
      </x:c>
      <x:c r="AE1346" s="10" t="n">
        <x:f>AA1346*'Assumptions'!$D$21</x:f>
        <x:v>0</x:v>
      </x:c>
    </x:row>
    <x:row r="1347" ht="16" customHeight="1">
      <x:c r="A1347" s="1"/>
      <x:c r="B1347" s="1"/>
      <x:c r="C1347" s="1" t="str">
        <x:v>DOT-060</x:v>
      </x:c>
      <x:c r="D1347" s="10" t="str">
        <x:v>Model Life</x:v>
      </x:c>
      <x:c r="E1347" s="10" t="n">
        <x:v>11</x:v>
      </x:c>
      <x:c r="F1347" s="21" t="n">
        <x:f>F1219*(1+'Assumptions'!$M$89)</x:f>
        <x:v>89.13552631497126</x:v>
      </x:c>
      <x:c r="G1347" s="21" t="n">
        <x:f>H1219*'Assumptions'!$K$89</x:f>
        <x:v>181.99561422859355</x:v>
      </x:c>
      <x:c r="H1347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1347+G1347,NA())</x:f>
        <x:v>271.1311405435648</x:v>
      </x:c>
      <x:c r="I1347" s="22" t="n">
        <x:f>'Assumptions'!$H$89*IF('Assumptions'!$O$89=1,1,'Assumptions'!$D$10)*(1+'Assumptions'!$N$89)^(11-1)</x:f>
        <x:v>71.92067077969068</x:v>
      </x:c>
      <x:c r="J1347" s="10" t="n">
        <x:f>H1347*I1347</x:f>
        <x:v>19499.93349715577</x:v>
      </x:c>
      <x:c r="K1347" s="10" t="n">
        <x:f>J1347*'Assumptions'!$T$89</x:f>
        <x:v>19499.93349715577</x:v>
      </x:c>
      <x:c r="L1347" s="10" t="n">
        <x:f>K1347*'Assumptions'!$U$89</x:f>
        <x:v>584.9980049146731</x:v>
      </x:c>
      <x:c r="M1347" s="10" t="n">
        <x:f>K1347*'Assumptions'!$V$89</x:f>
        <x:v>0</x:v>
      </x:c>
      <x:c r="N1347" s="10" t="n">
        <x:f>K1347-L1347-M1347</x:f>
        <x:v>18914.935492241097</x:v>
      </x:c>
      <x:c r="O1347" s="10" t="n">
        <x:f>H1347*'Assumptions'!$P$89*'Assumptions'!$Q$89*'Assumptions'!$D$11*(1+'Assumptions'!$D$13)^(11-1)</x:f>
        <x:v>1275.321532543625</x:v>
      </x:c>
      <x:c r="P1347" s="10" t="n">
        <x:f>H1347*'Assumptions'!$R$89*'Assumptions'!$D$11*(1+'Assumptions'!$D$13)^(11-1)</x:f>
        <x:v>0</x:v>
      </x:c>
      <x:c r="Q1347" s="10" t="n">
        <x:f>J1347*'Assumptions'!$S$89</x:f>
        <x:v>0</x:v>
      </x:c>
      <x:c r="R1347" s="10" t="n">
        <x:f>H1347*'Assumptions'!$Y$89*'Assumptions'!$Z$89*'Assumptions'!$D$11*(1+'Assumptions'!$D$13)^(11-1)</x:f>
        <x:v>1639.699113270375</x:v>
      </x:c>
      <x:c r="S1347" s="10" t="n">
        <x:f>IF(I1347=0,0,J1347*'Assumptions'!$W$89+H1347*'Assumptions'!$X$89)</x:f>
        <x:v>646.8374135805867</x:v>
      </x:c>
      <x:c r="T1347" s="10" t="n">
        <x:f>N1347*'Assumptions'!$AA$89</x:f>
        <x:v>945.7467746120549</x:v>
      </x:c>
      <x:c r="U1347" s="10" t="n">
        <x:f>'Assumptions'!$AE$89*'Assumptions'!$D$11*(1+'Assumptions'!$D$13)^(11-1)</x:f>
        <x:v>80.63498276064733</x:v>
      </x:c>
      <x:c r="V1347" s="10" t="n">
        <x:f>0</x:f>
        <x:v>0</x:v>
      </x:c>
      <x:c r="W1347" s="10" t="n">
        <x:f>H1347*('Assumptions'!$P$89+'Assumptions'!$Y$89)</x:f>
        <x:v>67.7827851358912</x:v>
      </x:c>
      <x:c r="X1347" s="10" t="n">
        <x:f>N1347/12*'Assumptions'!$AF$89</x:f>
        <x:v>0</x:v>
      </x:c>
      <x:c r="Y1347" s="10" t="n">
        <x:f>P1347/12</x:f>
        <x:v>0</x:v>
      </x:c>
      <x:c r="Z1347" s="10" t="n">
        <x:f>0</x:f>
        <x:v>0</x:v>
      </x:c>
      <x:c r="AA1347" s="10" t="n">
        <x:f>Z1347*'Assumptions'!$AC$89*'Assumptions'!$D$11*(1+'Assumptions'!$D$13)^(11-1)</x:f>
        <x:v>0</x:v>
      </x:c>
      <x:c r="AB1347" s="10" t="n">
        <x:f>F1347/12</x:f>
        <x:v>7.427960526247605</x:v>
      </x:c>
      <x:c r="AC1347" s="10" t="n">
        <x:f>AB1347/'Assumptions'!$AM$89</x:f>
        <x:v>148.5592105249521</x:v>
      </x:c>
      <x:c r="AD1347" s="10" t="n">
        <x:f>IF(AB1347=0,0,T1347/AB1347)</x:f>
        <x:v>127.32253641765371</x:v>
      </x:c>
      <x:c r="AE1347" s="10" t="n">
        <x:f>AA1347*'Assumptions'!$D$21</x:f>
        <x:v>0</x:v>
      </x:c>
    </x:row>
    <x:row r="1348" ht="16" customHeight="1">
      <x:c r="A1348" s="1"/>
      <x:c r="B1348" s="1"/>
      <x:c r="C1348" s="1" t="str">
        <x:v>DOT-061</x:v>
      </x:c>
      <x:c r="D1348" s="10" t="str">
        <x:v>Model Life</x:v>
      </x:c>
      <x:c r="E1348" s="10" t="n">
        <x:v>11</x:v>
      </x:c>
      <x:c r="F1348" s="21" t="n">
        <x:f>F1220*(1+'Assumptions'!$M$90)</x:f>
        <x:v>44.56776315748563</x:v>
      </x:c>
      <x:c r="G1348" s="21" t="n">
        <x:f>H1220*'Assumptions'!$K$90</x:f>
        <x:v>90.99780711429678</x:v>
      </x:c>
      <x:c r="H1348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1348+G1348,NA())</x:f>
        <x:v>135.5655702717824</x:v>
      </x:c>
      <x:c r="I1348" s="22" t="n">
        <x:f>'Assumptions'!$H$90*IF('Assumptions'!$O$90=1,1,'Assumptions'!$D$10)*(1+'Assumptions'!$N$90)^(11-1)</x:f>
        <x:v>120.68044757948097</x:v>
      </x:c>
      <x:c r="J1348" s="10" t="n">
        <x:f>H1348*I1348</x:f>
        <x:v>16360.11369676628</x:v>
      </x:c>
      <x:c r="K1348" s="10" t="n">
        <x:f>J1348*'Assumptions'!$T$90</x:f>
        <x:v>16360.11369676628</x:v>
      </x:c>
      <x:c r="L1348" s="10" t="n">
        <x:f>K1348*'Assumptions'!$U$90</x:f>
        <x:v>490.8034109029884</x:v>
      </x:c>
      <x:c r="M1348" s="10" t="n">
        <x:f>K1348*'Assumptions'!$V$90</x:f>
        <x:v>0</x:v>
      </x:c>
      <x:c r="N1348" s="10" t="n">
        <x:f>K1348-L1348-M1348</x:f>
        <x:v>15869.310285863292</x:v>
      </x:c>
      <x:c r="O1348" s="10" t="n">
        <x:f>H1348*'Assumptions'!$P$90*'Assumptions'!$Q$90*'Assumptions'!$D$11*(1+'Assumptions'!$D$13)^(11-1)</x:f>
        <x:v>637.6607662718125</x:v>
      </x:c>
      <x:c r="P1348" s="10" t="n">
        <x:f>H1348*'Assumptions'!$R$90*'Assumptions'!$D$11*(1+'Assumptions'!$D$13)^(11-1)</x:f>
        <x:v>0</x:v>
      </x:c>
      <x:c r="Q1348" s="10" t="n">
        <x:f>J1348*'Assumptions'!$S$90</x:f>
        <x:v>0</x:v>
      </x:c>
      <x:c r="R1348" s="10" t="n">
        <x:f>H1348*'Assumptions'!$Y$90*'Assumptions'!$Z$90*'Assumptions'!$D$11*(1+'Assumptions'!$D$13)^(11-1)</x:f>
        <x:v>819.8495566351875</x:v>
      </x:c>
      <x:c r="S1348" s="10" t="n">
        <x:f>IF(I1348=0,0,J1348*'Assumptions'!$W$90+H1348*'Assumptions'!$X$90)</x:f>
        <x:v>515.1129682877569</x:v>
      </x:c>
      <x:c r="T1348" s="10" t="n">
        <x:f>N1348*'Assumptions'!$AA$90</x:f>
        <x:v>793.4655142931647</x:v>
      </x:c>
      <x:c r="U1348" s="10" t="n">
        <x:f>'Assumptions'!$AE$90*'Assumptions'!$D$11*(1+'Assumptions'!$D$13)^(11-1)</x:f>
        <x:v>80.63498276064733</x:v>
      </x:c>
      <x:c r="V1348" s="10" t="n">
        <x:f>0</x:f>
        <x:v>0</x:v>
      </x:c>
      <x:c r="W1348" s="10" t="n">
        <x:f>H1348*('Assumptions'!$P$90+'Assumptions'!$Y$90)</x:f>
        <x:v>33.8913925679456</x:v>
      </x:c>
      <x:c r="X1348" s="10" t="n">
        <x:f>N1348/12*'Assumptions'!$AF$90</x:f>
        <x:v>0</x:v>
      </x:c>
      <x:c r="Y1348" s="10" t="n">
        <x:f>P1348/12</x:f>
        <x:v>0</x:v>
      </x:c>
      <x:c r="Z1348" s="10" t="n">
        <x:f>0</x:f>
        <x:v>0</x:v>
      </x:c>
      <x:c r="AA1348" s="10" t="n">
        <x:f>Z1348*'Assumptions'!$AC$90*'Assumptions'!$D$11*(1+'Assumptions'!$D$13)^(11-1)</x:f>
        <x:v>0</x:v>
      </x:c>
      <x:c r="AB1348" s="10" t="n">
        <x:f>F1348/12</x:f>
        <x:v>3.7139802631238026</x:v>
      </x:c>
      <x:c r="AC1348" s="10" t="n">
        <x:f>AB1348/'Assumptions'!$AM$90</x:f>
        <x:v>74.27960526247605</x:v>
      </x:c>
      <x:c r="AD1348" s="10" t="n">
        <x:f>IF(AB1348=0,0,T1348/AB1348)</x:f>
        <x:v>213.64290009063927</x:v>
      </x:c>
      <x:c r="AE1348" s="10" t="n">
        <x:f>AA1348*'Assumptions'!$D$21</x:f>
        <x:v>0</x:v>
      </x:c>
    </x:row>
    <x:row r="1349" ht="16" customHeight="1">
      <x:c r="A1349" s="1"/>
      <x:c r="B1349" s="1"/>
      <x:c r="C1349" s="1" t="str">
        <x:v>DOT-062</x:v>
      </x:c>
      <x:c r="D1349" s="10" t="str">
        <x:v>Model Life</x:v>
      </x:c>
      <x:c r="E1349" s="10" t="n">
        <x:v>11</x:v>
      </x:c>
      <x:c r="F1349" s="21" t="n">
        <x:f>F1221*(1+'Assumptions'!$M$91)</x:f>
        <x:v>44.56776315748563</x:v>
      </x:c>
      <x:c r="G1349" s="21" t="n">
        <x:f>H1221*'Assumptions'!$K$91</x:f>
        <x:v>90.99780711429678</x:v>
      </x:c>
      <x:c r="H1349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1349+G1349,NA())</x:f>
        <x:v>135.5655702717824</x:v>
      </x:c>
      <x:c r="I1349" s="22" t="n">
        <x:f>'Assumptions'!$H$91*IF('Assumptions'!$O$91=1,1,'Assumptions'!$D$10)*(1+'Assumptions'!$N$91)^(11-1)</x:f>
        <x:v>59.730726579743106</x:v>
      </x:c>
      <x:c r="J1349" s="10" t="n">
        <x:f>H1349*I1349</x:f>
        <x:v>8097.430011530785</x:v>
      </x:c>
      <x:c r="K1349" s="10" t="n">
        <x:f>J1349*'Assumptions'!$T$91</x:f>
        <x:v>8097.430011530785</x:v>
      </x:c>
      <x:c r="L1349" s="10" t="n">
        <x:f>K1349*'Assumptions'!$U$91</x:f>
        <x:v>242.92290034592355</x:v>
      </x:c>
      <x:c r="M1349" s="10" t="n">
        <x:f>K1349*'Assumptions'!$V$91</x:f>
        <x:v>0</x:v>
      </x:c>
      <x:c r="N1349" s="10" t="n">
        <x:f>K1349-L1349-M1349</x:f>
        <x:v>7854.507111184862</x:v>
      </x:c>
      <x:c r="O1349" s="10" t="n">
        <x:f>H1349*'Assumptions'!$P$91*'Assumptions'!$Q$91*'Assumptions'!$D$11*(1+'Assumptions'!$D$13)^(11-1)</x:f>
        <x:v>637.6607662718125</x:v>
      </x:c>
      <x:c r="P1349" s="10" t="n">
        <x:f>H1349*'Assumptions'!$R$91*'Assumptions'!$D$11*(1+'Assumptions'!$D$13)^(11-1)</x:f>
        <x:v>0</x:v>
      </x:c>
      <x:c r="Q1349" s="10" t="n">
        <x:f>J1349*'Assumptions'!$S$91</x:f>
        <x:v>0</x:v>
      </x:c>
      <x:c r="R1349" s="10" t="n">
        <x:f>H1349*'Assumptions'!$Y$91*'Assumptions'!$Z$91*'Assumptions'!$D$11*(1+'Assumptions'!$D$13)^(11-1)</x:f>
        <x:v>819.8495566351875</x:v>
      </x:c>
      <x:c r="S1349" s="10" t="n">
        <x:f>IF(I1349=0,0,J1349*'Assumptions'!$W$91+H1349*'Assumptions'!$X$91)</x:f>
        <x:v>275.4951414159275</x:v>
      </x:c>
      <x:c r="T1349" s="10" t="n">
        <x:f>N1349*'Assumptions'!$AA$91</x:f>
        <x:v>392.7253555592431</x:v>
      </x:c>
      <x:c r="U1349" s="10" t="n">
        <x:f>'Assumptions'!$AE$91*'Assumptions'!$D$11*(1+'Assumptions'!$D$13)^(11-1)</x:f>
        <x:v>80.63498276064733</x:v>
      </x:c>
      <x:c r="V1349" s="10" t="n">
        <x:f>0</x:f>
        <x:v>0</x:v>
      </x:c>
      <x:c r="W1349" s="10" t="n">
        <x:f>H1349*('Assumptions'!$P$91+'Assumptions'!$Y$91)</x:f>
        <x:v>33.8913925679456</x:v>
      </x:c>
      <x:c r="X1349" s="10" t="n">
        <x:f>N1349/12*'Assumptions'!$AF$91</x:f>
        <x:v>0</x:v>
      </x:c>
      <x:c r="Y1349" s="10" t="n">
        <x:f>P1349/12</x:f>
        <x:v>0</x:v>
      </x:c>
      <x:c r="Z1349" s="10" t="n">
        <x:f>0</x:f>
        <x:v>0</x:v>
      </x:c>
      <x:c r="AA1349" s="10" t="n">
        <x:f>Z1349*'Assumptions'!$AC$91*'Assumptions'!$D$11*(1+'Assumptions'!$D$13)^(11-1)</x:f>
        <x:v>0</x:v>
      </x:c>
      <x:c r="AB1349" s="10" t="n">
        <x:f>F1349/12</x:f>
        <x:v>3.7139802631238026</x:v>
      </x:c>
      <x:c r="AC1349" s="10" t="n">
        <x:f>AB1349/'Assumptions'!$AM$91</x:f>
        <x:v>74.27960526247605</x:v>
      </x:c>
      <x:c r="AD1349" s="10" t="n">
        <x:f>IF(AB1349=0,0,T1349/AB1349)</x:f>
        <x:v>105.74244549940731</x:v>
      </x:c>
      <x:c r="AE1349" s="10" t="n">
        <x:f>AA1349*'Assumptions'!$D$21</x:f>
        <x:v>0</x:v>
      </x:c>
    </x:row>
    <x:row r="1350" ht="16" customHeight="1">
      <x:c r="A1350" s="1"/>
      <x:c r="B1350" s="1"/>
      <x:c r="C1350" s="1" t="str">
        <x:v>DOT-063</x:v>
      </x:c>
      <x:c r="D1350" s="10" t="str">
        <x:v>S’otality cleaning</x:v>
      </x:c>
      <x:c r="E1350" s="10" t="n">
        <x:v>11</x:v>
      </x:c>
      <x:c r="F1350" s="21" t="n">
        <x:f>F1222*(1+'Assumptions'!$M$92)</x:f>
        <x:v>83.91417443270926</x:v>
      </x:c>
      <x:c r="G1350" s="21" t="n">
        <x:f>H1222*'Assumptions'!$K$92</x:f>
        <x:v>116.35470200180825</x:v>
      </x:c>
      <x:c r="H1350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1350+G1350,NA())</x:f>
        <x:v>200.2688764345175</x:v>
      </x:c>
      <x:c r="I1350" s="22" t="n">
        <x:f>'Assumptions'!$H$92*IF('Assumptions'!$O$92=1,1,'Assumptions'!$D$10)*(1+'Assumptions'!$N$92)^(11-1)</x:f>
        <x:v>181.63016857921883</x:v>
      </x:c>
      <x:c r="J1350" s="10" t="n">
        <x:f>H1350*I1350</x:f>
        <x:v>36374.86978797216</x:v>
      </x:c>
      <x:c r="K1350" s="10" t="n">
        <x:f>J1350*'Assumptions'!$T$92</x:f>
        <x:v>36374.86978797216</x:v>
      </x:c>
      <x:c r="L1350" s="10" t="n">
        <x:f>K1350*'Assumptions'!$U$92</x:f>
        <x:v>1091.2460936391647</x:v>
      </x:c>
      <x:c r="M1350" s="10" t="n">
        <x:f>K1350*'Assumptions'!$V$92</x:f>
        <x:v>0</x:v>
      </x:c>
      <x:c r="N1350" s="10" t="n">
        <x:f>K1350-L1350-M1350</x:f>
        <x:v>35283.62369433299</x:v>
      </x:c>
      <x:c r="O1350" s="10" t="n">
        <x:f>H1350*'Assumptions'!$P$92*'Assumptions'!$Q$92*'Assumptions'!$D$11*(1+'Assumptions'!$D$13)^(11-1)</x:f>
        <x:v>942.0061815961726</x:v>
      </x:c>
      <x:c r="P1350" s="10" t="n">
        <x:f>H1350*'Assumptions'!$R$92*'Assumptions'!$D$11*(1+'Assumptions'!$D$13)^(11-1)</x:f>
        <x:v>2153.156986505537</x:v>
      </x:c>
      <x:c r="Q1350" s="10" t="n">
        <x:f>J1350*'Assumptions'!$S$92</x:f>
        <x:v>23643.665362181902</x:v>
      </x:c>
      <x:c r="R1350" s="10" t="n">
        <x:f>H1350*'Assumptions'!$Y$92*'Assumptions'!$Z$92*'Assumptions'!$D$11*(1+'Assumptions'!$D$13)^(11-1)</x:f>
        <x:v>1614.867739879153</x:v>
      </x:c>
      <x:c r="S1350" s="10" t="n">
        <x:f>IF(I1350=0,0,J1350*'Assumptions'!$W$92+H1350*'Assumptions'!$X$92)</x:f>
        <x:v>1114.9518867815477</x:v>
      </x:c>
      <x:c r="T1350" s="10" t="n">
        <x:f>N1350*'Assumptions'!$AA$92</x:f>
        <x:v>1411.3449477733197</x:v>
      </x:c>
      <x:c r="U1350" s="10" t="n">
        <x:f>'Assumptions'!$AE$92*'Assumptions'!$D$11*(1+'Assumptions'!$D$13)^(11-1)</x:f>
        <x:v>0</x:v>
      </x:c>
      <x:c r="V1350" s="10" t="n">
        <x:f>0</x:f>
        <x:v>0</x:v>
      </x:c>
      <x:c r="W1350" s="10" t="n">
        <x:f>H1350*('Assumptions'!$P$92+'Assumptions'!$Y$92)</x:f>
        <x:v>60.08066293035526</x:v>
      </x:c>
      <x:c r="X1350" s="10" t="n">
        <x:f>N1350/12*'Assumptions'!$AF$92</x:f>
        <x:v>0</x:v>
      </x:c>
      <x:c r="Y1350" s="10" t="n">
        <x:f>P1350/12</x:f>
        <x:v>179.42974887546143</x:v>
      </x:c>
      <x:c r="Z1350" s="10" t="n">
        <x:f>0</x:f>
        <x:v>0</x:v>
      </x:c>
      <x:c r="AA1350" s="10" t="n">
        <x:f>Z1350*'Assumptions'!$AC$92*'Assumptions'!$D$11*(1+'Assumptions'!$D$13)^(11-1)</x:f>
        <x:v>0</x:v>
      </x:c>
      <x:c r="AB1350" s="10" t="n">
        <x:f>F1350/1</x:f>
        <x:v>83.91417443270926</x:v>
      </x:c>
      <x:c r="AC1350" s="10" t="n">
        <x:f>AB1350/'Assumptions'!$AM$92</x:f>
        <x:v>559.4278295513951</x:v>
      </x:c>
      <x:c r="AD1350" s="10" t="n">
        <x:f>IF(AB1350=0,0,T1350/AB1350)</x:f>
        <x:v>16.818910003161346</x:v>
      </x:c>
      <x:c r="AE1350" s="10" t="n">
        <x:f>AA1350*'Assumptions'!$D$21</x:f>
        <x:v>0</x:v>
      </x:c>
    </x:row>
    <x:row r="1351" ht="16" customHeight="1">
      <x:c r="A1351" s="1"/>
      <x:c r="B1351" s="1"/>
      <x:c r="C1351" s="1" t="str">
        <x:v>DOT-064</x:v>
      </x:c>
      <x:c r="D1351" s="10" t="str">
        <x:v>S’otality cleaning</x:v>
      </x:c>
      <x:c r="E1351" s="10" t="n">
        <x:v>11</x:v>
      </x:c>
      <x:c r="F1351" s="21" t="n">
        <x:f>F1223*(1+'Assumptions'!$M$93)</x:f>
        <x:v>125.87126164906385</x:v>
      </x:c>
      <x:c r="G1351" s="21" t="n">
        <x:f>H1223*'Assumptions'!$K$93</x:f>
        <x:v>174.53205300271233</x:v>
      </x:c>
      <x:c r="H1351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1351+G1351,NA())</x:f>
        <x:v>300.4033146517762</x:v>
      </x:c>
      <x:c r="I1351" s="22" t="n">
        <x:f>'Assumptions'!$H$93*IF('Assumptions'!$O$93=1,1,'Assumptions'!$D$10)*(1+'Assumptions'!$N$93)^(11-1)</x:f>
        <x:v>169.44022437927126</x:v>
      </x:c>
      <x:c r="J1351" s="10" t="n">
        <x:f>H1351*I1351</x:f>
        <x:v>50900.40503887379</x:v>
      </x:c>
      <x:c r="K1351" s="10" t="n">
        <x:f>J1351*'Assumptions'!$T$93</x:f>
        <x:v>50900.40503887379</x:v>
      </x:c>
      <x:c r="L1351" s="10" t="n">
        <x:f>K1351*'Assumptions'!$U$93</x:f>
        <x:v>1527.0121511662137</x:v>
      </x:c>
      <x:c r="M1351" s="10" t="n">
        <x:f>K1351*'Assumptions'!$V$93</x:f>
        <x:v>0</x:v>
      </x:c>
      <x:c r="N1351" s="10" t="n">
        <x:f>K1351-L1351-M1351</x:f>
        <x:v>49373.392887707574</x:v>
      </x:c>
      <x:c r="O1351" s="10" t="n">
        <x:f>H1351*'Assumptions'!$P$93*'Assumptions'!$Q$93*'Assumptions'!$D$11*(1+'Assumptions'!$D$13)^(11-1)</x:f>
        <x:v>1413.0092723942587</x:v>
      </x:c>
      <x:c r="P1351" s="10" t="n">
        <x:f>H1351*'Assumptions'!$R$93*'Assumptions'!$D$11*(1+'Assumptions'!$D$13)^(11-1)</x:f>
        <x:v>3229.7354797583057</x:v>
      </x:c>
      <x:c r="Q1351" s="10" t="n">
        <x:f>J1351*'Assumptions'!$S$93</x:f>
        <x:v>33085.263275267964</x:v>
      </x:c>
      <x:c r="R1351" s="10" t="n">
        <x:f>H1351*'Assumptions'!$Y$93*'Assumptions'!$Z$93*'Assumptions'!$D$11*(1+'Assumptions'!$D$13)^(11-1)</x:f>
        <x:v>2422.301609818729</x:v>
      </x:c>
      <x:c r="S1351" s="10" t="n">
        <x:f>IF(I1351=0,0,J1351*'Assumptions'!$W$93+H1351*'Assumptions'!$X$93)</x:f>
        <x:v>1566.2327405228727</x:v>
      </x:c>
      <x:c r="T1351" s="10" t="n">
        <x:f>N1351*'Assumptions'!$AA$93</x:f>
        <x:v>1974.935715508303</x:v>
      </x:c>
      <x:c r="U1351" s="10" t="n">
        <x:f>'Assumptions'!$AE$93*'Assumptions'!$D$11*(1+'Assumptions'!$D$13)^(11-1)</x:f>
        <x:v>0</x:v>
      </x:c>
      <x:c r="V1351" s="10" t="n">
        <x:f>0</x:f>
        <x:v>0</x:v>
      </x:c>
      <x:c r="W1351" s="10" t="n">
        <x:f>H1351*('Assumptions'!$P$93+'Assumptions'!$Y$93)</x:f>
        <x:v>90.12099439553288</x:v>
      </x:c>
      <x:c r="X1351" s="10" t="n">
        <x:f>N1351/12*'Assumptions'!$AF$93</x:f>
        <x:v>0</x:v>
      </x:c>
      <x:c r="Y1351" s="10" t="n">
        <x:f>P1351/12</x:f>
        <x:v>269.14462331319214</x:v>
      </x:c>
      <x:c r="Z1351" s="10" t="n">
        <x:f>0</x:f>
        <x:v>0</x:v>
      </x:c>
      <x:c r="AA1351" s="10" t="n">
        <x:f>Z1351*'Assumptions'!$AC$93*'Assumptions'!$D$11*(1+'Assumptions'!$D$13)^(11-1)</x:f>
        <x:v>0</x:v>
      </x:c>
      <x:c r="AB1351" s="10" t="n">
        <x:f>F1351/1</x:f>
        <x:v>125.87126164906385</x:v>
      </x:c>
      <x:c r="AC1351" s="10" t="n">
        <x:f>AB1351/'Assumptions'!$AM$93</x:f>
        <x:v>839.1417443270924</x:v>
      </x:c>
      <x:c r="AD1351" s="10" t="n">
        <x:f>IF(AB1351=0,0,T1351/AB1351)</x:f>
        <x:v>15.690124096908908</x:v>
      </x:c>
      <x:c r="AE1351" s="10" t="n">
        <x:f>AA1351*'Assumptions'!$D$21</x:f>
        <x:v>0</x:v>
      </x:c>
    </x:row>
    <x:row r="1352" ht="16" customHeight="1">
      <x:c r="A1352" s="1"/>
      <x:c r="B1352" s="1"/>
      <x:c r="C1352" s="1" t="str">
        <x:v>DOT-065</x:v>
      </x:c>
      <x:c r="D1352" s="10" t="str">
        <x:v>S’otality cleaning</x:v>
      </x:c>
      <x:c r="E1352" s="10" t="n">
        <x:v>11</x:v>
      </x:c>
      <x:c r="F1352" s="21" t="n">
        <x:f>F1224*(1+'Assumptions'!$M$94)</x:f>
        <x:v>83.91417443270926</x:v>
      </x:c>
      <x:c r="G1352" s="21" t="n">
        <x:f>H1224*'Assumptions'!$K$94</x:f>
        <x:v>116.35470200180825</x:v>
      </x:c>
      <x:c r="H1352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1352+G1352,NA())</x:f>
        <x:v>200.2688764345175</x:v>
      </x:c>
      <x:c r="I1352" s="22" t="n">
        <x:f>'Assumptions'!$H$94*IF('Assumptions'!$O$94=1,1,'Assumptions'!$D$10)*(1+'Assumptions'!$N$94)^(11-1)</x:f>
        <x:v>193.8201127791664</x:v>
      </x:c>
      <x:c r="J1352" s="10" t="n">
        <x:f>H1352*I1352</x:f>
        <x:v>38816.13621669512</x:v>
      </x:c>
      <x:c r="K1352" s="10" t="n">
        <x:f>J1352*'Assumptions'!$T$94</x:f>
        <x:v>38816.13621669512</x:v>
      </x:c>
      <x:c r="L1352" s="10" t="n">
        <x:f>K1352*'Assumptions'!$U$94</x:f>
        <x:v>1164.4840865008537</x:v>
      </x:c>
      <x:c r="M1352" s="10" t="n">
        <x:f>K1352*'Assumptions'!$V$94</x:f>
        <x:v>0</x:v>
      </x:c>
      <x:c r="N1352" s="10" t="n">
        <x:f>K1352-L1352-M1352</x:f>
        <x:v>37651.65213019427</x:v>
      </x:c>
      <x:c r="O1352" s="10" t="n">
        <x:f>H1352*'Assumptions'!$P$94*'Assumptions'!$Q$94*'Assumptions'!$D$11*(1+'Assumptions'!$D$13)^(11-1)</x:f>
        <x:v>942.0061815961726</x:v>
      </x:c>
      <x:c r="P1352" s="10" t="n">
        <x:f>H1352*'Assumptions'!$R$94*'Assumptions'!$D$11*(1+'Assumptions'!$D$13)^(11-1)</x:f>
        <x:v>2153.156986505537</x:v>
      </x:c>
      <x:c r="Q1352" s="10" t="n">
        <x:f>J1352*'Assumptions'!$S$94</x:f>
        <x:v>25230.48854085183</x:v>
      </x:c>
      <x:c r="R1352" s="10" t="n">
        <x:f>H1352*'Assumptions'!$Y$94*'Assumptions'!$Z$94*'Assumptions'!$D$11*(1+'Assumptions'!$D$13)^(11-1)</x:f>
        <x:v>1614.867739879153</x:v>
      </x:c>
      <x:c r="S1352" s="10" t="n">
        <x:f>IF(I1352=0,0,J1352*'Assumptions'!$W$94+H1352*'Assumptions'!$X$94)</x:f>
        <x:v>1185.7486132145139</x:v>
      </x:c>
      <x:c r="T1352" s="10" t="n">
        <x:f>N1352*'Assumptions'!$AA$94</x:f>
        <x:v>1506.0660852077708</x:v>
      </x:c>
      <x:c r="U1352" s="10" t="n">
        <x:f>'Assumptions'!$AE$94*'Assumptions'!$D$11*(1+'Assumptions'!$D$13)^(11-1)</x:f>
        <x:v>0</x:v>
      </x:c>
      <x:c r="V1352" s="10" t="n">
        <x:f>0</x:f>
        <x:v>0</x:v>
      </x:c>
      <x:c r="W1352" s="10" t="n">
        <x:f>H1352*('Assumptions'!$P$94+'Assumptions'!$Y$94)</x:f>
        <x:v>60.08066293035526</x:v>
      </x:c>
      <x:c r="X1352" s="10" t="n">
        <x:f>N1352/12*'Assumptions'!$AF$94</x:f>
        <x:v>0</x:v>
      </x:c>
      <x:c r="Y1352" s="10" t="n">
        <x:f>P1352/12</x:f>
        <x:v>179.42974887546143</x:v>
      </x:c>
      <x:c r="Z1352" s="10" t="n">
        <x:f>0</x:f>
        <x:v>0</x:v>
      </x:c>
      <x:c r="AA1352" s="10" t="n">
        <x:f>Z1352*'Assumptions'!$AC$94*'Assumptions'!$D$11*(1+'Assumptions'!$D$13)^(11-1)</x:f>
        <x:v>0</x:v>
      </x:c>
      <x:c r="AB1352" s="10" t="n">
        <x:f>F1352/1</x:f>
        <x:v>83.91417443270926</x:v>
      </x:c>
      <x:c r="AC1352" s="10" t="n">
        <x:f>AB1352/'Assumptions'!$AM$94</x:f>
        <x:v>559.4278295513951</x:v>
      </x:c>
      <x:c r="AD1352" s="10" t="n">
        <x:f>IF(AB1352=0,0,T1352/AB1352)</x:f>
        <x:v>17.947695909413785</x:v>
      </x:c>
      <x:c r="AE1352" s="10" t="n">
        <x:f>AA1352*'Assumptions'!$D$21</x:f>
        <x:v>0</x:v>
      </x:c>
    </x:row>
    <x:row r="1353" ht="16" customHeight="1">
      <x:c r="A1353" s="1"/>
      <x:c r="B1353" s="1"/>
      <x:c r="C1353" s="1" t="str">
        <x:v>DOT-066</x:v>
      </x:c>
      <x:c r="D1353" s="10" t="str">
        <x:v>S’otality cleaning</x:v>
      </x:c>
      <x:c r="E1353" s="10" t="n">
        <x:v>11</x:v>
      </x:c>
      <x:c r="F1353" s="21" t="n">
        <x:f>F1225*(1+'Assumptions'!$M$95)</x:f>
        <x:v>125.87126164906385</x:v>
      </x:c>
      <x:c r="G1353" s="21" t="n">
        <x:f>H1225*'Assumptions'!$K$95</x:f>
        <x:v>174.53205300271233</x:v>
      </x:c>
      <x:c r="H1353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1353+G1353,NA())</x:f>
        <x:v>300.4033146517762</x:v>
      </x:c>
      <x:c r="I1353" s="22" t="n">
        <x:f>'Assumptions'!$H$95*IF('Assumptions'!$O$95=1,1,'Assumptions'!$D$10)*(1+'Assumptions'!$N$95)^(11-1)</x:f>
        <x:v>181.63016857921883</x:v>
      </x:c>
      <x:c r="J1353" s="10" t="n">
        <x:f>H1353*I1353</x:f>
        <x:v>54562.30468195823</x:v>
      </x:c>
      <x:c r="K1353" s="10" t="n">
        <x:f>J1353*'Assumptions'!$T$95</x:f>
        <x:v>54562.30468195823</x:v>
      </x:c>
      <x:c r="L1353" s="10" t="n">
        <x:f>K1353*'Assumptions'!$U$95</x:f>
        <x:v>1636.8691404587469</x:v>
      </x:c>
      <x:c r="M1353" s="10" t="n">
        <x:f>K1353*'Assumptions'!$V$95</x:f>
        <x:v>0</x:v>
      </x:c>
      <x:c r="N1353" s="10" t="n">
        <x:f>K1353-L1353-M1353</x:f>
        <x:v>52925.435541499486</x:v>
      </x:c>
      <x:c r="O1353" s="10" t="n">
        <x:f>H1353*'Assumptions'!$P$95*'Assumptions'!$Q$95*'Assumptions'!$D$11*(1+'Assumptions'!$D$13)^(11-1)</x:f>
        <x:v>1413.0092723942587</x:v>
      </x:c>
      <x:c r="P1353" s="10" t="n">
        <x:f>H1353*'Assumptions'!$R$95*'Assumptions'!$D$11*(1+'Assumptions'!$D$13)^(11-1)</x:f>
        <x:v>3229.7354797583057</x:v>
      </x:c>
      <x:c r="Q1353" s="10" t="n">
        <x:f>J1353*'Assumptions'!$S$95</x:f>
        <x:v>35465.49804327285</x:v>
      </x:c>
      <x:c r="R1353" s="10" t="n">
        <x:f>H1353*'Assumptions'!$Y$95*'Assumptions'!$Z$95*'Assumptions'!$D$11*(1+'Assumptions'!$D$13)^(11-1)</x:f>
        <x:v>2422.301609818729</x:v>
      </x:c>
      <x:c r="S1353" s="10" t="n">
        <x:f>IF(I1353=0,0,J1353*'Assumptions'!$W$95+H1353*'Assumptions'!$X$95)</x:f>
        <x:v>1672.4278301723216</x:v>
      </x:c>
      <x:c r="T1353" s="10" t="n">
        <x:f>N1353*'Assumptions'!$AA$95</x:f>
        <x:v>2117.0174216599794</x:v>
      </x:c>
      <x:c r="U1353" s="10" t="n">
        <x:f>'Assumptions'!$AE$95*'Assumptions'!$D$11*(1+'Assumptions'!$D$13)^(11-1)</x:f>
        <x:v>0</x:v>
      </x:c>
      <x:c r="V1353" s="10" t="n">
        <x:f>0</x:f>
        <x:v>0</x:v>
      </x:c>
      <x:c r="W1353" s="10" t="n">
        <x:f>H1353*('Assumptions'!$P$95+'Assumptions'!$Y$95)</x:f>
        <x:v>90.12099439553288</x:v>
      </x:c>
      <x:c r="X1353" s="10" t="n">
        <x:f>N1353/12*'Assumptions'!$AF$95</x:f>
        <x:v>0</x:v>
      </x:c>
      <x:c r="Y1353" s="10" t="n">
        <x:f>P1353/12</x:f>
        <x:v>269.14462331319214</x:v>
      </x:c>
      <x:c r="Z1353" s="10" t="n">
        <x:f>0</x:f>
        <x:v>0</x:v>
      </x:c>
      <x:c r="AA1353" s="10" t="n">
        <x:f>Z1353*'Assumptions'!$AC$95*'Assumptions'!$D$11*(1+'Assumptions'!$D$13)^(11-1)</x:f>
        <x:v>0</x:v>
      </x:c>
      <x:c r="AB1353" s="10" t="n">
        <x:f>F1353/1</x:f>
        <x:v>125.87126164906385</x:v>
      </x:c>
      <x:c r="AC1353" s="10" t="n">
        <x:f>AB1353/'Assumptions'!$AM$95</x:f>
        <x:v>839.1417443270924</x:v>
      </x:c>
      <x:c r="AD1353" s="10" t="n">
        <x:f>IF(AB1353=0,0,T1353/AB1353)</x:f>
        <x:v>16.81891000316135</x:v>
      </x:c>
      <x:c r="AE1353" s="10" t="n">
        <x:f>AA1353*'Assumptions'!$D$21</x:f>
        <x:v>0</x:v>
      </x:c>
    </x:row>
    <x:row r="1354" ht="16" customHeight="1">
      <x:c r="A1354" s="1"/>
      <x:c r="B1354" s="1"/>
      <x:c r="C1354" s="1" t="str">
        <x:v>DOT-067</x:v>
      </x:c>
      <x:c r="D1354" s="10" t="str">
        <x:v>S’otality cleaning</x:v>
      </x:c>
      <x:c r="E1354" s="10" t="n">
        <x:v>11</x:v>
      </x:c>
      <x:c r="F1354" s="21" t="n">
        <x:f>F1226*(1+'Assumptions'!$M$96)</x:f>
        <x:v>55.94278295513952</x:v>
      </x:c>
      <x:c r="G1354" s="21" t="n">
        <x:f>H1226*'Assumptions'!$K$96</x:f>
        <x:v>77.56980133453887</x:v>
      </x:c>
      <x:c r="H1354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1354+G1354,NA())</x:f>
        <x:v>133.5125842896784</x:v>
      </x:c>
      <x:c r="I1354" s="22" t="n">
        <x:f>'Assumptions'!$H$96*IF('Assumptions'!$O$96=1,1,'Assumptions'!$D$10)*(1+'Assumptions'!$N$96)^(11-1)</x:f>
        <x:v>242.5798895789567</x:v>
      </x:c>
      <x:c r="J1354" s="10" t="n">
        <x:f>H1354*I1354</x:f>
        <x:v>32387.467954391333</x:v>
      </x:c>
      <x:c r="K1354" s="10" t="n">
        <x:f>J1354*'Assumptions'!$T$96</x:f>
        <x:v>32387.467954391333</x:v>
      </x:c>
      <x:c r="L1354" s="10" t="n">
        <x:f>K1354*'Assumptions'!$U$96</x:f>
        <x:v>971.62403863174</x:v>
      </x:c>
      <x:c r="M1354" s="10" t="n">
        <x:f>K1354*'Assumptions'!$V$96</x:f>
        <x:v>0</x:v>
      </x:c>
      <x:c r="N1354" s="10" t="n">
        <x:f>K1354-L1354-M1354</x:f>
        <x:v>31415.843915759593</x:v>
      </x:c>
      <x:c r="O1354" s="10" t="n">
        <x:f>H1354*'Assumptions'!$P$96*'Assumptions'!$Q$96*'Assumptions'!$D$11*(1+'Assumptions'!$D$13)^(11-1)</x:f>
        <x:v>628.0041210641152</x:v>
      </x:c>
      <x:c r="P1354" s="10" t="n">
        <x:f>H1354*'Assumptions'!$R$96*'Assumptions'!$D$11*(1+'Assumptions'!$D$13)^(11-1)</x:f>
        <x:v>1435.437991003692</x:v>
      </x:c>
      <x:c r="Q1354" s="10" t="n">
        <x:f>J1354*'Assumptions'!$S$96</x:f>
        <x:v>21051.854170354367</x:v>
      </x:c>
      <x:c r="R1354" s="10" t="n">
        <x:f>H1354*'Assumptions'!$Y$96*'Assumptions'!$Z$96*'Assumptions'!$D$11*(1+'Assumptions'!$D$13)^(11-1)</x:f>
        <x:v>1076.578493252769</x:v>
      </x:c>
      <x:c r="S1354" s="10" t="n">
        <x:f>IF(I1354=0,0,J1354*'Assumptions'!$W$96+H1354*'Assumptions'!$X$96)</x:f>
        <x:v>979.2903459642522</x:v>
      </x:c>
      <x:c r="T1354" s="10" t="n">
        <x:f>N1354*'Assumptions'!$AA$96</x:f>
        <x:v>1256.6337566303837</x:v>
      </x:c>
      <x:c r="U1354" s="10" t="n">
        <x:f>'Assumptions'!$AE$96*'Assumptions'!$D$11*(1+'Assumptions'!$D$13)^(11-1)</x:f>
        <x:v>0</x:v>
      </x:c>
      <x:c r="V1354" s="10" t="n">
        <x:f>0</x:f>
        <x:v>0</x:v>
      </x:c>
      <x:c r="W1354" s="10" t="n">
        <x:f>H1354*('Assumptions'!$P$96+'Assumptions'!$Y$96)</x:f>
        <x:v>40.05377528690352</x:v>
      </x:c>
      <x:c r="X1354" s="10" t="n">
        <x:f>N1354/12*'Assumptions'!$AF$96</x:f>
        <x:v>0</x:v>
      </x:c>
      <x:c r="Y1354" s="10" t="n">
        <x:f>P1354/12</x:f>
        <x:v>119.61983258364101</x:v>
      </x:c>
      <x:c r="Z1354" s="10" t="n">
        <x:f>0</x:f>
        <x:v>0</x:v>
      </x:c>
      <x:c r="AA1354" s="10" t="n">
        <x:f>Z1354*'Assumptions'!$AC$96*'Assumptions'!$D$11*(1+'Assumptions'!$D$13)^(11-1)</x:f>
        <x:v>0</x:v>
      </x:c>
      <x:c r="AB1354" s="10" t="n">
        <x:f>F1354/1</x:f>
        <x:v>55.94278295513952</x:v>
      </x:c>
      <x:c r="AC1354" s="10" t="n">
        <x:f>AB1354/'Assumptions'!$AM$96</x:f>
        <x:v>372.95188636759684</x:v>
      </x:c>
      <x:c r="AD1354" s="10" t="n">
        <x:f>IF(AB1354=0,0,T1354/AB1354)</x:f>
        <x:v>22.462839534423544</x:v>
      </x:c>
      <x:c r="AE1354" s="10" t="n">
        <x:f>AA1354*'Assumptions'!$D$21</x:f>
        <x:v>0</x:v>
      </x:c>
    </x:row>
    <x:row r="1355" ht="16" customHeight="1">
      <x:c r="A1355" s="1"/>
      <x:c r="B1355" s="1"/>
      <x:c r="C1355" s="1" t="str">
        <x:v>DOT-068</x:v>
      </x:c>
      <x:c r="D1355" s="10" t="str">
        <x:v>S’otality cleaning</x:v>
      </x:c>
      <x:c r="E1355" s="10" t="n">
        <x:v>11</x:v>
      </x:c>
      <x:c r="F1355" s="21" t="n">
        <x:f>F1227*(1+'Assumptions'!$M$97)</x:f>
        <x:v>83.91417443270926</x:v>
      </x:c>
      <x:c r="G1355" s="21" t="n">
        <x:f>H1227*'Assumptions'!$K$97</x:f>
        <x:v>116.35470200180825</x:v>
      </x:c>
      <x:c r="H1355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1355+G1355,NA())</x:f>
        <x:v>200.2688764345175</x:v>
      </x:c>
      <x:c r="I1355" s="22" t="n">
        <x:f>'Assumptions'!$H$97*IF('Assumptions'!$O$97=1,1,'Assumptions'!$D$10)*(1+'Assumptions'!$N$97)^(11-1)</x:f>
        <x:v>230.38994537900913</x:v>
      </x:c>
      <x:c r="J1355" s="10" t="n">
        <x:f>H1355*I1355</x:f>
        <x:v>46139.93550286401</x:v>
      </x:c>
      <x:c r="K1355" s="10" t="n">
        <x:f>J1355*'Assumptions'!$T$97</x:f>
        <x:v>46139.93550286401</x:v>
      </x:c>
      <x:c r="L1355" s="10" t="n">
        <x:f>K1355*'Assumptions'!$U$97</x:f>
        <x:v>1384.1980650859202</x:v>
      </x:c>
      <x:c r="M1355" s="10" t="n">
        <x:f>K1355*'Assumptions'!$V$97</x:f>
        <x:v>0</x:v>
      </x:c>
      <x:c r="N1355" s="10" t="n">
        <x:f>K1355-L1355-M1355</x:f>
        <x:v>44755.737437778094</x:v>
      </x:c>
      <x:c r="O1355" s="10" t="n">
        <x:f>H1355*'Assumptions'!$P$97*'Assumptions'!$Q$97*'Assumptions'!$D$11*(1+'Assumptions'!$D$13)^(11-1)</x:f>
        <x:v>942.0061815961726</x:v>
      </x:c>
      <x:c r="P1355" s="10" t="n">
        <x:f>H1355*'Assumptions'!$R$97*'Assumptions'!$D$11*(1+'Assumptions'!$D$13)^(11-1)</x:f>
        <x:v>2153.156986505537</x:v>
      </x:c>
      <x:c r="Q1355" s="10" t="n">
        <x:f>J1355*'Assumptions'!$S$97</x:f>
        <x:v>29990.95807686161</x:v>
      </x:c>
      <x:c r="R1355" s="10" t="n">
        <x:f>H1355*'Assumptions'!$Y$97*'Assumptions'!$Z$97*'Assumptions'!$D$11*(1+'Assumptions'!$D$13)^(11-1)</x:f>
        <x:v>1614.867739879153</x:v>
      </x:c>
      <x:c r="S1355" s="10" t="n">
        <x:f>IF(I1355=0,0,J1355*'Assumptions'!$W$97+H1355*'Assumptions'!$X$97)</x:f>
        <x:v>1398.1387925134115</x:v>
      </x:c>
      <x:c r="T1355" s="10" t="n">
        <x:f>N1355*'Assumptions'!$AA$97</x:f>
        <x:v>1790.2294975111238</x:v>
      </x:c>
      <x:c r="U1355" s="10" t="n">
        <x:f>'Assumptions'!$AE$97*'Assumptions'!$D$11*(1+'Assumptions'!$D$13)^(11-1)</x:f>
        <x:v>0</x:v>
      </x:c>
      <x:c r="V1355" s="10" t="n">
        <x:f>0</x:f>
        <x:v>0</x:v>
      </x:c>
      <x:c r="W1355" s="10" t="n">
        <x:f>H1355*('Assumptions'!$P$97+'Assumptions'!$Y$97)</x:f>
        <x:v>60.08066293035526</x:v>
      </x:c>
      <x:c r="X1355" s="10" t="n">
        <x:f>N1355/12*'Assumptions'!$AF$97</x:f>
        <x:v>0</x:v>
      </x:c>
      <x:c r="Y1355" s="10" t="n">
        <x:f>P1355/12</x:f>
        <x:v>179.42974887546143</x:v>
      </x:c>
      <x:c r="Z1355" s="10" t="n">
        <x:f>0</x:f>
        <x:v>0</x:v>
      </x:c>
      <x:c r="AA1355" s="10" t="n">
        <x:f>Z1355*'Assumptions'!$AC$97*'Assumptions'!$D$11*(1+'Assumptions'!$D$13)^(11-1)</x:f>
        <x:v>0</x:v>
      </x:c>
      <x:c r="AB1355" s="10" t="n">
        <x:f>F1355/1</x:f>
        <x:v>83.91417443270926</x:v>
      </x:c>
      <x:c r="AC1355" s="10" t="n">
        <x:f>AB1355/'Assumptions'!$AM$97</x:f>
        <x:v>559.4278295513951</x:v>
      </x:c>
      <x:c r="AD1355" s="10" t="n">
        <x:f>IF(AB1355=0,0,T1355/AB1355)</x:f>
        <x:v>21.3340536281711</x:v>
      </x:c>
      <x:c r="AE1355" s="10" t="n">
        <x:f>AA1355*'Assumptions'!$D$21</x:f>
        <x:v>0</x:v>
      </x:c>
    </x:row>
    <x:row r="1356" ht="16" customHeight="1">
      <x:c r="A1356" s="1"/>
      <x:c r="B1356" s="1"/>
      <x:c r="C1356" s="1" t="str">
        <x:v>DOT-069</x:v>
      </x:c>
      <x:c r="D1356" s="10" t="str">
        <x:v>S’otality cleaning</x:v>
      </x:c>
      <x:c r="E1356" s="10" t="n">
        <x:v>11</x:v>
      </x:c>
      <x:c r="F1356" s="21" t="n">
        <x:f>F1228*(1+'Assumptions'!$M$98)</x:f>
        <x:v>27.97139147756976</x:v>
      </x:c>
      <x:c r="G1356" s="21" t="n">
        <x:f>H1228*'Assumptions'!$K$98</x:f>
        <x:v>38.78490066726943</x:v>
      </x:c>
      <x:c r="H1356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1356+G1356,NA())</x:f>
        <x:v>66.7562921448392</x:v>
      </x:c>
      <x:c r="I1356" s="22" t="n">
        <x:f>'Assumptions'!$H$98*IF('Assumptions'!$O$98=1,1,'Assumptions'!$D$10)*(1+'Assumptions'!$N$98)^(11-1)</x:f>
        <x:v>364.47933157843244</x:v>
      </x:c>
      <x:c r="J1356" s="10" t="n">
        <x:f>H1356*I1356</x:f>
        <x:v>24331.28873960555</x:v>
      </x:c>
      <x:c r="K1356" s="10" t="n">
        <x:f>J1356*'Assumptions'!$T$98</x:f>
        <x:v>24331.28873960555</x:v>
      </x:c>
      <x:c r="L1356" s="10" t="n">
        <x:f>K1356*'Assumptions'!$U$98</x:f>
        <x:v>729.9386621881664</x:v>
      </x:c>
      <x:c r="M1356" s="10" t="n">
        <x:f>K1356*'Assumptions'!$V$98</x:f>
        <x:v>0</x:v>
      </x:c>
      <x:c r="N1356" s="10" t="n">
        <x:f>K1356-L1356-M1356</x:f>
        <x:v>23601.35007741738</x:v>
      </x:c>
      <x:c r="O1356" s="10" t="n">
        <x:f>H1356*'Assumptions'!$P$98*'Assumptions'!$Q$98*'Assumptions'!$D$11*(1+'Assumptions'!$D$13)^(11-1)</x:f>
        <x:v>314.0020605320576</x:v>
      </x:c>
      <x:c r="P1356" s="10" t="n">
        <x:f>H1356*'Assumptions'!$R$98*'Assumptions'!$D$11*(1+'Assumptions'!$D$13)^(11-1)</x:f>
        <x:v>717.718995501846</x:v>
      </x:c>
      <x:c r="Q1356" s="10" t="n">
        <x:f>J1356*'Assumptions'!$S$98</x:f>
        <x:v>15815.337680743607</x:v>
      </x:c>
      <x:c r="R1356" s="10" t="n">
        <x:f>H1356*'Assumptions'!$Y$98*'Assumptions'!$Z$98*'Assumptions'!$D$11*(1+'Assumptions'!$D$13)^(11-1)</x:f>
        <x:v>538.2892466263845</x:v>
      </x:c>
      <x:c r="S1356" s="10" t="n">
        <x:f>IF(I1356=0,0,J1356*'Assumptions'!$W$98+H1356*'Assumptions'!$X$98)</x:f>
        <x:v>725.6342610920127</x:v>
      </x:c>
      <x:c r="T1356" s="10" t="n">
        <x:f>N1356*'Assumptions'!$AA$98</x:f>
        <x:v>944.0540030966953</x:v>
      </x:c>
      <x:c r="U1356" s="10" t="n">
        <x:f>'Assumptions'!$AE$98*'Assumptions'!$D$11*(1+'Assumptions'!$D$13)^(11-1)</x:f>
        <x:v>0</x:v>
      </x:c>
      <x:c r="V1356" s="10" t="n">
        <x:f>0</x:f>
        <x:v>0</x:v>
      </x:c>
      <x:c r="W1356" s="10" t="n">
        <x:f>H1356*('Assumptions'!$P$98+'Assumptions'!$Y$98)</x:f>
        <x:v>20.02688764345176</x:v>
      </x:c>
      <x:c r="X1356" s="10" t="n">
        <x:f>N1356/12*'Assumptions'!$AF$98</x:f>
        <x:v>0</x:v>
      </x:c>
      <x:c r="Y1356" s="10" t="n">
        <x:f>P1356/12</x:f>
        <x:v>59.80991629182051</x:v>
      </x:c>
      <x:c r="Z1356" s="10" t="n">
        <x:f>0</x:f>
        <x:v>0</x:v>
      </x:c>
      <x:c r="AA1356" s="10" t="n">
        <x:f>Z1356*'Assumptions'!$AC$98*'Assumptions'!$D$11*(1+'Assumptions'!$D$13)^(11-1)</x:f>
        <x:v>0</x:v>
      </x:c>
      <x:c r="AB1356" s="10" t="n">
        <x:f>F1356/1</x:f>
        <x:v>27.97139147756976</x:v>
      </x:c>
      <x:c r="AC1356" s="10" t="n">
        <x:f>AB1356/'Assumptions'!$AM$98</x:f>
        <x:v>186.47594318379842</x:v>
      </x:c>
      <x:c r="AD1356" s="10" t="n">
        <x:f>IF(AB1356=0,0,T1356/AB1356)</x:f>
        <x:v>33.75069859694794</x:v>
      </x:c>
      <x:c r="AE1356" s="10" t="n">
        <x:f>AA1356*'Assumptions'!$D$21</x:f>
        <x:v>0</x:v>
      </x:c>
    </x:row>
    <x:row r="1357" ht="16" customHeight="1">
      <x:c r="A1357" s="1"/>
      <x:c r="B1357" s="1"/>
      <x:c r="C1357" s="1" t="str">
        <x:v>DOT-070</x:v>
      </x:c>
      <x:c r="D1357" s="10" t="str">
        <x:v>S’otality laundry</x:v>
      </x:c>
      <x:c r="E1357" s="10" t="n">
        <x:v>11</x:v>
      </x:c>
      <x:c r="F1357" s="21" t="n">
        <x:f>F1229*(1+'Assumptions'!$M$99)</x:f>
        <x:v>251.7425232981277</x:v>
      </x:c>
      <x:c r="G1357" s="21" t="n">
        <x:f>H1229*'Assumptions'!$K$99</x:f>
        <x:v>349.06410600542466</x:v>
      </x:c>
      <x:c r="H1357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1357+G1357,NA())</x:f>
        <x:v>600.8066293035524</x:v>
      </x:c>
      <x:c r="I1357" s="22" t="n">
        <x:f>'Assumptions'!$H$99*IF('Assumptions'!$O$99=1,1,'Assumptions'!$D$10)*(1+'Assumptions'!$N$99)^(11-1)</x:f>
        <x:v>73.13966519968544</x:v>
      </x:c>
      <x:c r="J1357" s="10" t="n">
        <x:f>H1357*I1357</x:f>
        <x:v>43942.795717013345</x:v>
      </x:c>
      <x:c r="K1357" s="10" t="n">
        <x:f>J1357*'Assumptions'!$T$99</x:f>
        <x:v>43942.795717013345</x:v>
      </x:c>
      <x:c r="L1357" s="10" t="n">
        <x:f>K1357*'Assumptions'!$U$99</x:f>
        <x:v>1318.2838715104003</x:v>
      </x:c>
      <x:c r="M1357" s="10" t="n">
        <x:f>K1357*'Assumptions'!$V$99</x:f>
        <x:v>0</x:v>
      </x:c>
      <x:c r="N1357" s="10" t="n">
        <x:f>K1357-L1357-M1357</x:f>
        <x:v>42624.511845502944</x:v>
      </x:c>
      <x:c r="O1357" s="10" t="n">
        <x:f>H1357*'Assumptions'!$P$99*'Assumptions'!$Q$99*'Assumptions'!$D$11*(1+'Assumptions'!$D$13)^(11-1)</x:f>
        <x:v>2826.0185447885174</x:v>
      </x:c>
      <x:c r="P1357" s="10" t="n">
        <x:f>H1357*'Assumptions'!$R$99*'Assumptions'!$D$11*(1+'Assumptions'!$D$13)^(11-1)</x:f>
        <x:v>0</x:v>
      </x:c>
      <x:c r="Q1357" s="10" t="n">
        <x:f>J1357*'Assumptions'!$S$99</x:f>
        <x:v>28562.817216058676</x:v>
      </x:c>
      <x:c r="R1357" s="10" t="n">
        <x:f>H1357*'Assumptions'!$Y$99*'Assumptions'!$Z$99*'Assumptions'!$D$11*(1+'Assumptions'!$D$13)^(11-1)</x:f>
        <x:v>4844.603219637458</x:v>
      </x:c>
      <x:c r="S1357" s="10" t="n">
        <x:f>IF(I1357=0,0,J1357*'Assumptions'!$W$99+H1357*'Assumptions'!$X$99)</x:f>
        <x:v>1454.5830645844528</x:v>
      </x:c>
      <x:c r="T1357" s="10" t="n">
        <x:f>N1357*'Assumptions'!$AA$99</x:f>
        <x:v>1704.9804738201178</x:v>
      </x:c>
      <x:c r="U1357" s="10" t="n">
        <x:f>'Assumptions'!$AE$99*'Assumptions'!$D$11*(1+'Assumptions'!$D$13)^(11-1)</x:f>
        <x:v>0</x:v>
      </x:c>
      <x:c r="V1357" s="10" t="n">
        <x:f>0</x:f>
        <x:v>0</x:v>
      </x:c>
      <x:c r="W1357" s="10" t="n">
        <x:f>H1357*('Assumptions'!$P$99+'Assumptions'!$Y$99)</x:f>
        <x:v>180.24198879106575</x:v>
      </x:c>
      <x:c r="X1357" s="10" t="n">
        <x:f>N1357/12*'Assumptions'!$AF$99</x:f>
        <x:v>0</x:v>
      </x:c>
      <x:c r="Y1357" s="10" t="n">
        <x:f>P1357/12</x:f>
        <x:v>0</x:v>
      </x:c>
      <x:c r="Z1357" s="10" t="n">
        <x:f>0</x:f>
        <x:v>0</x:v>
      </x:c>
      <x:c r="AA1357" s="10" t="n">
        <x:f>Z1357*'Assumptions'!$AC$99*'Assumptions'!$D$11*(1+'Assumptions'!$D$13)^(11-1)</x:f>
        <x:v>0</x:v>
      </x:c>
      <x:c r="AB1357" s="10" t="n">
        <x:f>F1357/1</x:f>
        <x:v>251.7425232981277</x:v>
      </x:c>
      <x:c r="AC1357" s="10" t="n">
        <x:f>AB1357/'Assumptions'!$AM$99</x:f>
        <x:v>1678.2834886541848</x:v>
      </x:c>
      <x:c r="AD1357" s="10" t="n">
        <x:f>IF(AB1357=0,0,T1357/AB1357)</x:f>
        <x:v>6.772715437514638</x:v>
      </x:c>
      <x:c r="AE1357" s="10" t="n">
        <x:f>AA1357*'Assumptions'!$D$21</x:f>
        <x:v>0</x:v>
      </x:c>
    </x:row>
    <x:row r="1358" ht="16" customHeight="1">
      <x:c r="A1358" s="1"/>
      <x:c r="B1358" s="1"/>
      <x:c r="C1358" s="1" t="str">
        <x:v>DOT-071</x:v>
      </x:c>
      <x:c r="D1358" s="10" t="str">
        <x:v>S’otality Personal Chef</x:v>
      </x:c>
      <x:c r="E1358" s="10" t="n">
        <x:v>11</x:v>
      </x:c>
      <x:c r="F1358" s="21" t="n">
        <x:f>F1230*(1+'Assumptions'!$M$100)</x:f>
        <x:v>41.95708721635463</x:v>
      </x:c>
      <x:c r="G1358" s="21" t="n">
        <x:f>H1230*'Assumptions'!$K$100</x:f>
        <x:v>58.08665173690414</x:v>
      </x:c>
      <x:c r="H1358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1358+G1358,NA())</x:f>
        <x:v>100.04373895325877</x:v>
      </x:c>
      <x:c r="I1358" s="22" t="n">
        <x:f>'Assumptions'!$H$100*IF('Assumptions'!$O$100=1,1,'Assumptions'!$D$10)*(1+'Assumptions'!$N$100)^(11-1)</x:f>
        <x:v>792.3463729965922</x:v>
      </x:c>
      <x:c r="J1358" s="10" t="n">
        <x:f>H1358*I1358</x:f>
        <x:v>79269.29370063248</x:v>
      </x:c>
      <x:c r="K1358" s="10" t="n">
        <x:f>J1358*'Assumptions'!$T$100</x:f>
        <x:v>79269.29370063248</x:v>
      </x:c>
      <x:c r="L1358" s="10" t="n">
        <x:f>K1358*'Assumptions'!$U$100</x:f>
        <x:v>2378.078811018974</x:v>
      </x:c>
      <x:c r="M1358" s="10" t="n">
        <x:f>K1358*'Assumptions'!$V$100</x:f>
        <x:v>0</x:v>
      </x:c>
      <x:c r="N1358" s="10" t="n">
        <x:f>K1358-L1358-M1358</x:f>
        <x:v>76891.2148896135</x:v>
      </x:c>
      <x:c r="O1358" s="10" t="n">
        <x:f>H1358*'Assumptions'!$P$100*'Assumptions'!$Q$100*'Assumptions'!$D$11*(1+'Assumptions'!$D$13)^(11-1)</x:f>
        <x:v>2689.0083886022408</x:v>
      </x:c>
      <x:c r="P1358" s="10" t="n">
        <x:f>H1358*'Assumptions'!$R$100*'Assumptions'!$D$11*(1+'Assumptions'!$D$13)^(11-1)</x:f>
        <x:v>13445.041943011203</x:v>
      </x:c>
      <x:c r="Q1358" s="10" t="n">
        <x:f>J1358*'Assumptions'!$S$100</x:f>
        <x:v>39634.64685031624</x:v>
      </x:c>
      <x:c r="R1358" s="10" t="n">
        <x:f>H1358*'Assumptions'!$Y$100*'Assumptions'!$Z$100*'Assumptions'!$D$11*(1+'Assumptions'!$D$13)^(11-1)</x:f>
        <x:v>806.7025165806723</x:v>
      </x:c>
      <x:c r="S1358" s="10" t="n">
        <x:f>IF(I1358=0,0,J1358*'Assumptions'!$W$100+H1358*'Assumptions'!$X$100)</x:f>
        <x:v>2328.8226390043196</x:v>
      </x:c>
      <x:c r="T1358" s="10" t="n">
        <x:f>N1358*'Assumptions'!$AA$100</x:f>
        <x:v>3075.64859558454</x:v>
      </x:c>
      <x:c r="U1358" s="10" t="n">
        <x:f>'Assumptions'!$AE$100*'Assumptions'!$D$11*(1+'Assumptions'!$D$13)^(11-1)</x:f>
        <x:v>0</x:v>
      </x:c>
      <x:c r="V1358" s="10" t="n">
        <x:f>0</x:f>
        <x:v>0</x:v>
      </x:c>
      <x:c r="W1358" s="10" t="n">
        <x:f>H1358*('Assumptions'!$P$100+'Assumptions'!$Y$100)</x:f>
        <x:v>70.03061726728113</x:v>
      </x:c>
      <x:c r="X1358" s="10" t="n">
        <x:f>N1358/12*'Assumptions'!$AF$100</x:f>
        <x:v>0</x:v>
      </x:c>
      <x:c r="Y1358" s="10" t="n">
        <x:f>P1358/12</x:f>
        <x:v>1120.4201619176004</x:v>
      </x:c>
      <x:c r="Z1358" s="10" t="n">
        <x:f>0</x:f>
        <x:v>0</x:v>
      </x:c>
      <x:c r="AA1358" s="10" t="n">
        <x:f>Z1358*'Assumptions'!$AC$100*'Assumptions'!$D$11*(1+'Assumptions'!$D$13)^(11-1)</x:f>
        <x:v>0</x:v>
      </x:c>
      <x:c r="AB1358" s="10" t="n">
        <x:f>F1358/1</x:f>
        <x:v>41.95708721635463</x:v>
      </x:c>
      <x:c r="AC1358" s="10" t="n">
        <x:f>AB1358/'Assumptions'!$AM$100</x:f>
        <x:v>279.71391477569756</x:v>
      </x:c>
      <x:c r="AD1358" s="10" t="n">
        <x:f>IF(AB1358=0,0,T1358/AB1358)</x:f>
        <x:v>73.30462621784837</x:v>
      </x:c>
      <x:c r="AE1358" s="10" t="n">
        <x:f>AA1358*'Assumptions'!$D$21</x:f>
        <x:v>0</x:v>
      </x:c>
    </x:row>
    <x:row r="1359" ht="16" customHeight="1">
      <x:c r="A1359" s="1"/>
      <x:c r="B1359" s="1"/>
      <x:c r="C1359" s="1" t="str">
        <x:v>DOT-072</x:v>
      </x:c>
      <x:c r="D1359" s="10" t="str">
        <x:v>S’otality interiors</x:v>
      </x:c>
      <x:c r="E1359" s="10" t="n">
        <x:v>11</x:v>
      </x:c>
      <x:c r="F1359" s="21" t="n">
        <x:f>F1231*(1+'Assumptions'!$M$101)</x:f>
        <x:v>15.733907706132982</x:v>
      </x:c>
      <x:c r="G1359" s="21" t="n">
        <x:f>H1231*'Assumptions'!$K$101</x:f>
        <x:v>14.817718723356588</x:v>
      </x:c>
      <x:c r="H1359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1359+G1359,NA())</x:f>
        <x:v>30.55162642948957</x:v>
      </x:c>
      <x:c r="I1359" s="22" t="n">
        <x:f>'Assumptions'!$H$101*IF('Assumptions'!$O$101=1,1,'Assumptions'!$D$10)*(1+'Assumptions'!$N$101)^(11-1)</x:f>
        <x:v>1828.491629992136</x:v>
      </x:c>
      <x:c r="J1359" s="10" t="n">
        <x:f>H1359*I1359</x:f>
        <x:v>55863.393208968206</x:v>
      </x:c>
      <x:c r="K1359" s="10" t="n">
        <x:f>J1359*'Assumptions'!$T$101</x:f>
        <x:v>55863.393208968206</x:v>
      </x:c>
      <x:c r="L1359" s="10" t="n">
        <x:f>K1359*'Assumptions'!$U$101</x:f>
        <x:v>1675.9017962690461</x:v>
      </x:c>
      <x:c r="M1359" s="10" t="n">
        <x:f>K1359*'Assumptions'!$V$101</x:f>
        <x:v>0</x:v>
      </x:c>
      <x:c r="N1359" s="10" t="n">
        <x:f>K1359-L1359-M1359</x:f>
        <x:v>54187.49141269916</x:v>
      </x:c>
      <x:c r="O1359" s="10" t="n">
        <x:f>H1359*'Assumptions'!$P$101*'Assumptions'!$Q$101*'Assumptions'!$D$11*(1+'Assumptions'!$D$13)^(11-1)</x:f>
        <x:v>22582.357145806596</x:v>
      </x:c>
      <x:c r="P1359" s="10" t="n">
        <x:f>H1359*'Assumptions'!$R$101*'Assumptions'!$D$11*(1+'Assumptions'!$D$13)^(11-1)</x:f>
        <x:v>2052.941558709691</x:v>
      </x:c>
      <x:c r="Q1359" s="10" t="n">
        <x:f>J1359*'Assumptions'!$S$101</x:f>
        <x:v>0</x:v>
      </x:c>
      <x:c r="R1359" s="10" t="n">
        <x:f>H1359*'Assumptions'!$Y$101*'Assumptions'!$Z$101*'Assumptions'!$D$11*(1+'Assumptions'!$D$13)^(11-1)</x:f>
        <x:v>307.9412338064536</x:v>
      </x:c>
      <x:c r="S1359" s="10" t="n">
        <x:f>IF(I1359=0,0,J1359*'Assumptions'!$W$101+H1359*'Assumptions'!$X$101)</x:f>
        <x:v>1629.203890988925</x:v>
      </x:c>
      <x:c r="T1359" s="10" t="n">
        <x:f>N1359*'Assumptions'!$AA$101</x:f>
        <x:v>2167.4996565079664</x:v>
      </x:c>
      <x:c r="U1359" s="10" t="n">
        <x:f>'Assumptions'!$AE$101*'Assumptions'!$D$11*(1+'Assumptions'!$D$13)^(11-1)</x:f>
        <x:v>0</x:v>
      </x:c>
      <x:c r="V1359" s="10" t="n">
        <x:f>0</x:f>
        <x:v>0</x:v>
      </x:c>
      <x:c r="W1359" s="10" t="n">
        <x:f>H1359*('Assumptions'!$P$101+'Assumptions'!$Y$101)</x:f>
        <x:v>313.1541709022681</x:v>
      </x:c>
      <x:c r="X1359" s="10" t="n">
        <x:f>N1359/12*'Assumptions'!$AF$101</x:f>
        <x:v>4515.624284391596</x:v>
      </x:c>
      <x:c r="Y1359" s="10" t="n">
        <x:f>P1359/12</x:f>
        <x:v>171.07846322580758</x:v>
      </x:c>
      <x:c r="Z1359" s="10" t="n">
        <x:f>0</x:f>
        <x:v>0</x:v>
      </x:c>
      <x:c r="AA1359" s="10" t="n">
        <x:f>Z1359*'Assumptions'!$AC$101*'Assumptions'!$D$11*(1+'Assumptions'!$D$13)^(11-1)</x:f>
        <x:v>0</x:v>
      </x:c>
      <x:c r="AB1359" s="10" t="n">
        <x:f>F1359/1</x:f>
        <x:v>15.733907706132982</x:v>
      </x:c>
      <x:c r="AC1359" s="10" t="n">
        <x:f>AB1359/'Assumptions'!$AM$101</x:f>
        <x:v>78.66953853066491</x:v>
      </x:c>
      <x:c r="AD1359" s="10" t="n">
        <x:f>IF(AB1359=0,0,T1359/AB1359)</x:f>
        <x:v>137.75977951510978</x:v>
      </x:c>
      <x:c r="AE1359" s="10" t="n">
        <x:f>AA1359*'Assumptions'!$D$21</x:f>
        <x:v>0</x:v>
      </x:c>
    </x:row>
    <x:row r="1360" ht="16" customHeight="1">
      <x:c r="A1360" s="1"/>
      <x:c r="B1360" s="1"/>
      <x:c r="C1360" s="1" t="str">
        <x:v>DOT-073</x:v>
      </x:c>
      <x:c r="D1360" s="10" t="str">
        <x:v>S’otality interiors</x:v>
      </x:c>
      <x:c r="E1360" s="10" t="n">
        <x:v>11</x:v>
      </x:c>
      <x:c r="F1360" s="21" t="n">
        <x:f>F1232*(1+'Assumptions'!$M$102)</x:f>
        <x:v>41.95708721635463</x:v>
      </x:c>
      <x:c r="G1360" s="21" t="n">
        <x:f>H1232*'Assumptions'!$K$102</x:f>
        <x:v>58.177351000904125</x:v>
      </x:c>
      <x:c r="H1360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1360+G1360,NA())</x:f>
        <x:v>100.13443821725875</x:v>
      </x:c>
      <x:c r="I1360" s="22" t="n">
        <x:f>'Assumptions'!$H$102*IF('Assumptions'!$O$102=1,1,'Assumptions'!$D$10)*(1+'Assumptions'!$N$102)^(11-1)</x:f>
        <x:v>365.6983259984272</x:v>
      </x:c>
      <x:c r="J1360" s="10" t="n">
        <x:f>H1360*I1360</x:f>
        <x:v>36618.996430844454</x:v>
      </x:c>
      <x:c r="K1360" s="10" t="n">
        <x:f>J1360*'Assumptions'!$T$102</x:f>
        <x:v>36618.996430844454</x:v>
      </x:c>
      <x:c r="L1360" s="10" t="n">
        <x:f>K1360*'Assumptions'!$U$102</x:f>
        <x:v>1098.5698929253335</x:v>
      </x:c>
      <x:c r="M1360" s="10" t="n">
        <x:f>K1360*'Assumptions'!$V$102</x:f>
        <x:v>0</x:v>
      </x:c>
      <x:c r="N1360" s="10" t="n">
        <x:f>K1360-L1360-M1360</x:f>
        <x:v>35520.42653791912</x:v>
      </x:c>
      <x:c r="O1360" s="10" t="n">
        <x:f>H1360*'Assumptions'!$P$102*'Assumptions'!$Q$102*'Assumptions'!$D$11*(1+'Assumptions'!$D$13)^(11-1)</x:f>
        <x:v>1177.5077269952158</x:v>
      </x:c>
      <x:c r="P1360" s="10" t="n">
        <x:f>H1360*'Assumptions'!$R$102*'Assumptions'!$D$11*(1+'Assumptions'!$D$13)^(11-1)</x:f>
        <x:v>0</x:v>
      </x:c>
      <x:c r="Q1360" s="10" t="n">
        <x:f>J1360*'Assumptions'!$S$102</x:f>
        <x:v>21971.397858506672</x:v>
      </x:c>
      <x:c r="R1360" s="10" t="n">
        <x:f>H1360*'Assumptions'!$Y$102*'Assumptions'!$Z$102*'Assumptions'!$D$11*(1+'Assumptions'!$D$13)^(11-1)</x:f>
        <x:v>807.4338699395765</x:v>
      </x:c>
      <x:c r="S1360" s="10" t="n">
        <x:f>IF(I1360=0,0,J1360*'Assumptions'!$W$102+H1360*'Assumptions'!$X$102)</x:f>
        <x:v>1091.9912279596667</x:v>
      </x:c>
      <x:c r="T1360" s="10" t="n">
        <x:f>N1360*'Assumptions'!$AA$102</x:f>
        <x:v>1420.8170615167649</x:v>
      </x:c>
      <x:c r="U1360" s="10" t="n">
        <x:f>'Assumptions'!$AE$102*'Assumptions'!$D$11*(1+'Assumptions'!$D$13)^(11-1)</x:f>
        <x:v>0</x:v>
      </x:c>
      <x:c r="V1360" s="10" t="n">
        <x:f>0</x:f>
        <x:v>0</x:v>
      </x:c>
      <x:c r="W1360" s="10" t="n">
        <x:f>H1360*('Assumptions'!$P$102+'Assumptions'!$Y$102)</x:f>
        <x:v>45.06049719776644</x:v>
      </x:c>
      <x:c r="X1360" s="10" t="n">
        <x:f>N1360/12*'Assumptions'!$AF$102</x:f>
        <x:v>0</x:v>
      </x:c>
      <x:c r="Y1360" s="10" t="n">
        <x:f>P1360/12</x:f>
        <x:v>0</x:v>
      </x:c>
      <x:c r="Z1360" s="10" t="n">
        <x:f>0</x:f>
        <x:v>0</x:v>
      </x:c>
      <x:c r="AA1360" s="10" t="n">
        <x:f>Z1360*'Assumptions'!$AC$102*'Assumptions'!$D$11*(1+'Assumptions'!$D$13)^(11-1)</x:f>
        <x:v>0</x:v>
      </x:c>
      <x:c r="AB1360" s="10" t="n">
        <x:f>F1360/1</x:f>
        <x:v>41.95708721635463</x:v>
      </x:c>
      <x:c r="AC1360" s="10" t="n">
        <x:f>AB1360/'Assumptions'!$AM$102</x:f>
        <x:v>279.71391477569756</x:v>
      </x:c>
      <x:c r="AD1360" s="10" t="n">
        <x:f>IF(AB1360=0,0,T1360/AB1360)</x:f>
        <x:v>33.86357718757318</x:v>
      </x:c>
      <x:c r="AE1360" s="10" t="n">
        <x:f>AA1360*'Assumptions'!$D$21</x:f>
        <x:v>0</x:v>
      </x:c>
    </x:row>
    <x:row r="1361" ht="16" customHeight="1">
      <x:c r="A1361" s="1"/>
      <x:c r="B1361" s="1"/>
      <x:c r="C1361" s="1" t="str">
        <x:v>DOT-074</x:v>
      </x:c>
      <x:c r="D1361" s="10" t="str">
        <x:v>S’otality interiors</x:v>
      </x:c>
      <x:c r="E1361" s="10" t="n">
        <x:v>11</x:v>
      </x:c>
      <x:c r="F1361" s="21" t="n">
        <x:f>F1233*(1+'Assumptions'!$M$103)</x:f>
        <x:v>17.827105262994248</x:v>
      </x:c>
      <x:c r="G1361" s="21" t="n">
        <x:f>H1233*'Assumptions'!$K$103</x:f>
        <x:v>36.568607995118704</x:v>
      </x:c>
      <x:c r="H1361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1361+G1361,NA())</x:f>
        <x:v>54.39571325811295</x:v>
      </x:c>
      <x:c r="I1361" s="22" t="n">
        <x:f>'Assumptions'!$H$103*IF('Assumptions'!$O$103=1,1,'Assumptions'!$D$10)*(1+'Assumptions'!$N$103)^(11-1)</x:f>
        <x:v>1828.491629992136</x:v>
      </x:c>
      <x:c r="J1361" s="10" t="n">
        <x:f>H1361*I1361</x:f>
        <x:v>99462.10639991179</x:v>
      </x:c>
      <x:c r="K1361" s="10" t="n">
        <x:f>J1361*'Assumptions'!$T$103</x:f>
        <x:v>9946.210639991179</x:v>
      </x:c>
      <x:c r="L1361" s="10" t="n">
        <x:f>K1361*'Assumptions'!$U$103</x:f>
        <x:v>298.38631919973534</x:v>
      </x:c>
      <x:c r="M1361" s="10" t="n">
        <x:f>K1361*'Assumptions'!$V$103</x:f>
        <x:v>0</x:v>
      </x:c>
      <x:c r="N1361" s="10" t="n">
        <x:f>K1361-L1361-M1361</x:f>
        <x:v>9647.824320791444</x:v>
      </x:c>
      <x:c r="O1361" s="10" t="n">
        <x:f>H1361*'Assumptions'!$P$103*'Assumptions'!$Q$103*'Assumptions'!$D$11*(1+'Assumptions'!$D$13)^(11-1)</x:f>
        <x:v>2924.1316005473686</x:v>
      </x:c>
      <x:c r="P1361" s="10" t="n">
        <x:f>H1361*'Assumptions'!$R$103*'Assumptions'!$D$11*(1+'Assumptions'!$D$13)^(11-1)</x:f>
        <x:v>0</x:v>
      </x:c>
      <x:c r="Q1361" s="10" t="n">
        <x:f>J1361*'Assumptions'!$S$103</x:f>
        <x:v>0</x:v>
      </x:c>
      <x:c r="R1361" s="10" t="n">
        <x:f>H1361*'Assumptions'!$Y$103*'Assumptions'!$Z$103*'Assumptions'!$D$11*(1+'Assumptions'!$D$13)^(11-1)</x:f>
        <x:v>328.964805061579</x:v>
      </x:c>
      <x:c r="S1361" s="10" t="n">
        <x:f>IF(I1361=0,0,J1361*'Assumptions'!$W$103+H1361*'Assumptions'!$X$103)</x:f>
        <x:v>2900.719799574876</x:v>
      </x:c>
      <x:c r="T1361" s="10" t="n">
        <x:f>N1361*'Assumptions'!$AA$103</x:f>
        <x:v>482.3912160395722</x:v>
      </x:c>
      <x:c r="U1361" s="10" t="n">
        <x:f>'Assumptions'!$AE$103*'Assumptions'!$D$11*(1+'Assumptions'!$D$13)^(11-1)</x:f>
        <x:v>0</x:v>
      </x:c>
      <x:c r="V1361" s="10" t="n">
        <x:f>0</x:f>
        <x:v>0</x:v>
      </x:c>
      <x:c r="W1361" s="10" t="n">
        <x:f>H1361*('Assumptions'!$P$103+'Assumptions'!$Y$103)</x:f>
        <x:v>62.555070246829885</x:v>
      </x:c>
      <x:c r="X1361" s="10" t="n">
        <x:f>N1361/12*'Assumptions'!$AF$103</x:f>
        <x:v>0</x:v>
      </x:c>
      <x:c r="Y1361" s="10" t="n">
        <x:f>P1361/12</x:f>
        <x:v>0</x:v>
      </x:c>
      <x:c r="Z1361" s="10" t="n">
        <x:f>0</x:f>
        <x:v>0</x:v>
      </x:c>
      <x:c r="AA1361" s="10" t="n">
        <x:f>Z1361*'Assumptions'!$AC$103*'Assumptions'!$D$11*(1+'Assumptions'!$D$13)^(11-1)</x:f>
        <x:v>0</x:v>
      </x:c>
      <x:c r="AB1361" s="10" t="n">
        <x:f>F1361/1</x:f>
        <x:v>17.827105262994248</x:v>
      </x:c>
      <x:c r="AC1361" s="10" t="n">
        <x:f>AB1361/'Assumptions'!$AM$103</x:f>
        <x:v>356.5421052598849</x:v>
      </x:c>
      <x:c r="AD1361" s="10" t="n">
        <x:f>IF(AB1361=0,0,T1361/AB1361)</x:f>
        <x:v>27.059424899505505</x:v>
      </x:c>
      <x:c r="AE1361" s="10" t="n">
        <x:f>AA1361*'Assumptions'!$D$21</x:f>
        <x:v>0</x:v>
      </x:c>
    </x:row>
    <x:row r="1362" ht="16" customHeight="1">
      <x:c r="A1362" s="1"/>
      <x:c r="B1362" s="1"/>
      <x:c r="C1362" s="1" t="str">
        <x:v>DOT-075</x:v>
      </x:c>
      <x:c r="D1362" s="10" t="str">
        <x:v>S’otality concierge</x:v>
      </x:c>
      <x:c r="E1362" s="10" t="n">
        <x:v>11</x:v>
      </x:c>
      <x:c r="F1362" s="21" t="n">
        <x:f>F1234*(1+'Assumptions'!$M$104)</x:f>
        <x:v>209.78543608177313</x:v>
      </x:c>
      <x:c r="G1362" s="21" t="n">
        <x:f>H1234*'Assumptions'!$K$104</x:f>
        <x:v>197.56958297808785</x:v>
      </x:c>
      <x:c r="H1362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1362+G1362,NA())</x:f>
        <x:v>407.355019059861</x:v>
      </x:c>
      <x:c r="I1362" s="22" t="n">
        <x:f>'Assumptions'!$H$104*IF('Assumptions'!$O$104=1,1,'Assumptions'!$D$10)*(1+'Assumptions'!$N$104)^(11-1)</x:f>
        <x:v>91.4245814996068</x:v>
      </x:c>
      <x:c r="J1362" s="10" t="n">
        <x:f>H1362*I1362</x:f>
        <x:v>37242.262139312144</x:v>
      </x:c>
      <x:c r="K1362" s="10" t="n">
        <x:f>J1362*'Assumptions'!$T$104</x:f>
        <x:v>37242.262139312144</x:v>
      </x:c>
      <x:c r="L1362" s="10" t="n">
        <x:f>K1362*'Assumptions'!$U$104</x:f>
        <x:v>1117.2678641793643</x:v>
      </x:c>
      <x:c r="M1362" s="10" t="n">
        <x:f>K1362*'Assumptions'!$V$104</x:f>
        <x:v>0</x:v>
      </x:c>
      <x:c r="N1362" s="10" t="n">
        <x:f>K1362-L1362-M1362</x:f>
        <x:v>36124.99427513278</x:v>
      </x:c>
      <x:c r="O1362" s="10" t="n">
        <x:f>H1362*'Assumptions'!$P$104*'Assumptions'!$Q$104*'Assumptions'!$D$11*(1+'Assumptions'!$D$13)^(11-1)</x:f>
        <x:v>14370.590910967836</x:v>
      </x:c>
      <x:c r="P1362" s="10" t="n">
        <x:f>H1362*'Assumptions'!$R$104*'Assumptions'!$D$11*(1+'Assumptions'!$D$13)^(11-1)</x:f>
        <x:v>0</x:v>
      </x:c>
      <x:c r="Q1362" s="10" t="n">
        <x:f>J1362*'Assumptions'!$S$104</x:f>
        <x:v>0</x:v>
      </x:c>
      <x:c r="R1362" s="10" t="n">
        <x:f>H1362*'Assumptions'!$Y$104*'Assumptions'!$Z$104*'Assumptions'!$D$11*(1+'Assumptions'!$D$13)^(11-1)</x:f>
        <x:v>4105.883117419382</x:v>
      </x:c>
      <x:c r="S1362" s="10" t="n">
        <x:f>IF(I1362=0,0,J1362*'Assumptions'!$W$104+H1362*'Assumptions'!$X$104)</x:f>
        <x:v>1202.2321077580104</x:v>
      </x:c>
      <x:c r="T1362" s="10" t="n">
        <x:f>N1362*'Assumptions'!$AA$104</x:f>
        <x:v>1444.9997710053115</x:v>
      </x:c>
      <x:c r="U1362" s="10" t="n">
        <x:f>'Assumptions'!$AE$104*'Assumptions'!$D$11*(1+'Assumptions'!$D$13)^(11-1)</x:f>
        <x:v>0</x:v>
      </x:c>
      <x:c r="V1362" s="10" t="n">
        <x:f>0</x:f>
        <x:v>0</x:v>
      </x:c>
      <x:c r="W1362" s="10" t="n">
        <x:f>H1362*('Assumptions'!$P$104+'Assumptions'!$Y$104)</x:f>
        <x:v>407.355019059861</x:v>
      </x:c>
      <x:c r="X1362" s="10" t="n">
        <x:f>N1362/12*'Assumptions'!$AF$104</x:f>
        <x:v>3010.4161895943985</x:v>
      </x:c>
      <x:c r="Y1362" s="10" t="n">
        <x:f>P1362/12</x:f>
        <x:v>0</x:v>
      </x:c>
      <x:c r="Z1362" s="10" t="n">
        <x:f>0</x:f>
        <x:v>0</x:v>
      </x:c>
      <x:c r="AA1362" s="10" t="n">
        <x:f>Z1362*'Assumptions'!$AC$104*'Assumptions'!$D$11*(1+'Assumptions'!$D$13)^(11-1)</x:f>
        <x:v>0</x:v>
      </x:c>
      <x:c r="AB1362" s="10" t="n">
        <x:f>F1362/1</x:f>
        <x:v>209.78543608177313</x:v>
      </x:c>
      <x:c r="AC1362" s="10" t="n">
        <x:f>AB1362/'Assumptions'!$AM$104</x:f>
        <x:v>1048.9271804088655</x:v>
      </x:c>
      <x:c r="AD1362" s="10" t="n">
        <x:f>IF(AB1362=0,0,T1362/AB1362)</x:f>
        <x:v>6.887988975755491</x:v>
      </x:c>
      <x:c r="AE1362" s="10" t="n">
        <x:f>AA1362*'Assumptions'!$D$21</x:f>
        <x:v>0</x:v>
      </x:c>
    </x:row>
    <x:row r="1363" ht="16" customHeight="1">
      <x:c r="A1363" s="1"/>
      <x:c r="B1363" s="1"/>
      <x:c r="C1363" s="1" t="str">
        <x:v>DOT-076</x:v>
      </x:c>
      <x:c r="D1363" s="10" t="str">
        <x:v>S’otality administration</x:v>
      </x:c>
      <x:c r="E1363" s="10" t="n">
        <x:v>11</x:v>
      </x:c>
      <x:c r="F1363" s="21" t="n">
        <x:f>F1235*(1+'Assumptions'!$M$105)</x:f>
        <x:v>419.57087216354626</x:v>
      </x:c>
      <x:c r="G1363" s="21" t="n">
        <x:f>H1235*'Assumptions'!$K$105</x:f>
        <x:v>395.1391659561757</x:v>
      </x:c>
      <x:c r="H1363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1363+G1363,NA())</x:f>
        <x:v>814.710038119722</x:v>
      </x:c>
      <x:c r="I1363" s="22" t="n">
        <x:f>'Assumptions'!$H$105*IF('Assumptions'!$O$105=1,1,'Assumptions'!$D$10)*(1+'Assumptions'!$N$105)^(11-1)</x:f>
        <x:v>73.13966519968544</x:v>
      </x:c>
      <x:c r="J1363" s="10" t="n">
        <x:f>H1363*I1363</x:f>
        <x:v>59587.61942289943</x:v>
      </x:c>
      <x:c r="K1363" s="10" t="n">
        <x:f>J1363*'Assumptions'!$T$105</x:f>
        <x:v>59587.61942289943</x:v>
      </x:c>
      <x:c r="L1363" s="10" t="n">
        <x:f>K1363*'Assumptions'!$U$105</x:f>
        <x:v>1787.6285826869828</x:v>
      </x:c>
      <x:c r="M1363" s="10" t="n">
        <x:f>K1363*'Assumptions'!$V$105</x:f>
        <x:v>0</x:v>
      </x:c>
      <x:c r="N1363" s="10" t="n">
        <x:f>K1363-L1363-M1363</x:f>
        <x:v>57799.99084021244</x:v>
      </x:c>
      <x:c r="O1363" s="10" t="n">
        <x:f>H1363*'Assumptions'!$P$105*'Assumptions'!$Q$105*'Assumptions'!$D$11*(1+'Assumptions'!$D$13)^(11-1)</x:f>
        <x:v>32847.064939355056</x:v>
      </x:c>
      <x:c r="P1363" s="10" t="n">
        <x:f>H1363*'Assumptions'!$R$105*'Assumptions'!$D$11*(1+'Assumptions'!$D$13)^(11-1)</x:f>
        <x:v>0</x:v>
      </x:c>
      <x:c r="Q1363" s="10" t="n">
        <x:f>J1363*'Assumptions'!$S$105</x:f>
        <x:v>0</x:v>
      </x:c>
      <x:c r="R1363" s="10" t="n">
        <x:f>H1363*'Assumptions'!$Y$105*'Assumptions'!$Z$105*'Assumptions'!$D$11*(1+'Assumptions'!$D$13)^(11-1)</x:f>
        <x:v>8211.766234838764</x:v>
      </x:c>
      <x:c r="S1363" s="10" t="n">
        <x:f>IF(I1363=0,0,J1363*'Assumptions'!$W$105+H1363*'Assumptions'!$X$105)</x:f>
        <x:v>1972.4539747000001</x:v>
      </x:c>
      <x:c r="T1363" s="10" t="n">
        <x:f>N1363*'Assumptions'!$AA$105</x:f>
        <x:v>2311.999633608498</x:v>
      </x:c>
      <x:c r="U1363" s="10" t="n">
        <x:f>'Assumptions'!$AE$105*'Assumptions'!$D$11*(1+'Assumptions'!$D$13)^(11-1)</x:f>
        <x:v>0</x:v>
      </x:c>
      <x:c r="V1363" s="10" t="n">
        <x:f>0</x:f>
        <x:v>0</x:v>
      </x:c>
      <x:c r="W1363" s="10" t="n">
        <x:f>H1363*('Assumptions'!$P$105+'Assumptions'!$Y$105)</x:f>
        <x:v>1018.3875476496524</x:v>
      </x:c>
      <x:c r="X1363" s="10" t="n">
        <x:f>N1363/12*'Assumptions'!$AF$105</x:f>
        <x:v>4816.665903351037</x:v>
      </x:c>
      <x:c r="Y1363" s="10" t="n">
        <x:f>P1363/12</x:f>
        <x:v>0</x:v>
      </x:c>
      <x:c r="Z1363" s="10" t="n">
        <x:f>0</x:f>
        <x:v>0</x:v>
      </x:c>
      <x:c r="AA1363" s="10" t="n">
        <x:f>Z1363*'Assumptions'!$AC$105*'Assumptions'!$D$11*(1+'Assumptions'!$D$13)^(11-1)</x:f>
        <x:v>0</x:v>
      </x:c>
      <x:c r="AB1363" s="10" t="n">
        <x:f>F1363/1</x:f>
        <x:v>419.57087216354626</x:v>
      </x:c>
      <x:c r="AC1363" s="10" t="n">
        <x:f>AB1363/'Assumptions'!$AM$105</x:f>
        <x:v>2097.854360817731</x:v>
      </x:c>
      <x:c r="AD1363" s="10" t="n">
        <x:f>IF(AB1363=0,0,T1363/AB1363)</x:f>
        <x:v>5.510391180604391</x:v>
      </x:c>
      <x:c r="AE1363" s="10" t="n">
        <x:f>AA1363*'Assumptions'!$D$21</x:f>
        <x:v>0</x:v>
      </x:c>
    </x:row>
    <x:row r="1364" ht="16" customHeight="1">
      <x:c r="A1364" s="1"/>
      <x:c r="B1364" s="1"/>
      <x:c r="C1364" s="1" t="str">
        <x:v>DOT-077</x:v>
      </x:c>
      <x:c r="D1364" s="10" t="str">
        <x:v>S’otality bike tours</x:v>
      </x:c>
      <x:c r="E1364" s="10" t="n">
        <x:v>11</x:v>
      </x:c>
      <x:c r="F1364" s="21" t="n">
        <x:f>F1236*(1+'Assumptions'!$M$106)</x:f>
        <x:v>167.82834886541852</x:v>
      </x:c>
      <x:c r="G1364" s="21" t="n">
        <x:f>H1236*'Assumptions'!$K$106</x:f>
        <x:v>232.34660694761655</x:v>
      </x:c>
      <x:c r="H1364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1364+G1364,NA())</x:f>
        <x:v>400.17495581303507</x:v>
      </x:c>
      <x:c r="I1364" s="22" t="n">
        <x:f>'Assumptions'!$H$106*IF('Assumptions'!$O$106=1,1,'Assumptions'!$D$10)*(1+'Assumptions'!$N$106)^(11-1)</x:f>
        <x:v>79.23463729965923</x:v>
      </x:c>
      <x:c r="J1364" s="10" t="n">
        <x:f>H1364*I1364</x:f>
        <x:v>31707.71748025299</x:v>
      </x:c>
      <x:c r="K1364" s="10" t="n">
        <x:f>J1364*'Assumptions'!$T$106</x:f>
        <x:v>31707.71748025299</x:v>
      </x:c>
      <x:c r="L1364" s="10" t="n">
        <x:f>K1364*'Assumptions'!$U$106</x:f>
        <x:v>951.2315244075897</x:v>
      </x:c>
      <x:c r="M1364" s="10" t="n">
        <x:f>K1364*'Assumptions'!$V$106</x:f>
        <x:v>0</x:v>
      </x:c>
      <x:c r="N1364" s="10" t="n">
        <x:f>K1364-L1364-M1364</x:f>
        <x:v>30756.4859558454</x:v>
      </x:c>
      <x:c r="O1364" s="10" t="n">
        <x:f>H1364*'Assumptions'!$P$106*'Assumptions'!$Q$106*'Assumptions'!$D$11*(1+'Assumptions'!$D$13)^(11-1)</x:f>
        <x:v>2823.458808032353</x:v>
      </x:c>
      <x:c r="P1364" s="10" t="n">
        <x:f>H1364*'Assumptions'!$R$106*'Assumptions'!$D$11*(1+'Assumptions'!$D$13)^(11-1)</x:f>
        <x:v>2689.0083886022408</x:v>
      </x:c>
      <x:c r="Q1364" s="10" t="n">
        <x:f>J1364*'Assumptions'!$S$106</x:f>
        <x:v>14268.472866113847</x:v>
      </x:c>
      <x:c r="R1364" s="10" t="n">
        <x:f>H1364*'Assumptions'!$Y$106*'Assumptions'!$Z$106*'Assumptions'!$D$11*(1+'Assumptions'!$D$13)^(11-1)</x:f>
        <x:v>3226.810066322689</x:v>
      </x:c>
      <x:c r="S1364" s="10" t="n">
        <x:f>IF(I1364=0,0,J1364*'Assumptions'!$W$106+H1364*'Assumptions'!$X$106)</x:f>
        <x:v>1039.5762936712472</x:v>
      </x:c>
      <x:c r="T1364" s="10" t="n">
        <x:f>N1364*'Assumptions'!$AA$106</x:f>
        <x:v>1230.2594382338161</x:v>
      </x:c>
      <x:c r="U1364" s="10" t="n">
        <x:f>'Assumptions'!$AE$106*'Assumptions'!$D$11*(1+'Assumptions'!$D$13)^(11-1)</x:f>
        <x:v>0</x:v>
      </x:c>
      <x:c r="V1364" s="10" t="n">
        <x:f>0</x:f>
        <x:v>0</x:v>
      </x:c>
      <x:c r="W1364" s="10" t="n">
        <x:f>H1364*('Assumptions'!$P$106+'Assumptions'!$Y$106)</x:f>
        <x:v>140.06123453456226</x:v>
      </x:c>
      <x:c r="X1364" s="10" t="n">
        <x:f>N1364/12*'Assumptions'!$AF$106</x:f>
        <x:v>0</x:v>
      </x:c>
      <x:c r="Y1364" s="10" t="n">
        <x:f>P1364/12</x:f>
        <x:v>224.08403238352005</x:v>
      </x:c>
      <x:c r="Z1364" s="10" t="n">
        <x:f>0</x:f>
        <x:v>0</x:v>
      </x:c>
      <x:c r="AA1364" s="10" t="n">
        <x:f>Z1364*'Assumptions'!$AC$106*'Assumptions'!$D$11*(1+'Assumptions'!$D$13)^(11-1)</x:f>
        <x:v>0</x:v>
      </x:c>
      <x:c r="AB1364" s="10" t="n">
        <x:f>F1364/1</x:f>
        <x:v>167.82834886541852</x:v>
      </x:c>
      <x:c r="AC1364" s="10" t="n">
        <x:f>AB1364/'Assumptions'!$AM$106</x:f>
        <x:v>1118.8556591027902</x:v>
      </x:c>
      <x:c r="AD1364" s="10" t="n">
        <x:f>IF(AB1364=0,0,T1364/AB1364)</x:f>
        <x:v>7.330462621784837</x:v>
      </x:c>
      <x:c r="AE1364" s="10" t="n">
        <x:f>AA1364*'Assumptions'!$D$21</x:f>
        <x:v>0</x:v>
      </x:c>
    </x:row>
    <x:row r="1365" ht="16" customHeight="1">
      <x:c r="A1365" s="1"/>
      <x:c r="B1365" s="1"/>
      <x:c r="C1365" s="1" t="str">
        <x:v>DOT-078</x:v>
      </x:c>
      <x:c r="D1365" s="10" t="str">
        <x:v>S’otality editorial</x:v>
      </x:c>
      <x:c r="E1365" s="10" t="n">
        <x:v>11</x:v>
      </x:c>
      <x:c r="F1365" s="21" t="n">
        <x:f>F1237*(1+'Assumptions'!$M$107)</x:f>
        <x:v>13.636053345315258</x:v>
      </x:c>
      <x:c r="G1365" s="21" t="n">
        <x:f>H1237*'Assumptions'!$K$107</x:f>
        <x:v>7.0173983187627655</x:v>
      </x:c>
      <x:c r="H1365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1365+G1365,NA())</x:f>
        <x:v>20.653451664078023</x:v>
      </x:c>
      <x:c r="I1365" s="22" t="n">
        <x:f>'Assumptions'!$H$107*IF('Assumptions'!$O$107=1,1,'Assumptions'!$D$10)*(1+'Assumptions'!$N$107)^(11-1)</x:f>
        <x:v>304.74860499868936</x:v>
      </x:c>
      <x:c r="J1365" s="10" t="n">
        <x:f>H1365*I1365</x:f>
        <x:v>6294.110583035637</x:v>
      </x:c>
      <x:c r="K1365" s="10" t="n">
        <x:f>J1365*'Assumptions'!$T$107</x:f>
        <x:v>6294.110583035637</x:v>
      </x:c>
      <x:c r="L1365" s="10" t="n">
        <x:f>K1365*'Assumptions'!$U$107</x:f>
        <x:v>188.8233174910691</x:v>
      </x:c>
      <x:c r="M1365" s="10" t="n">
        <x:f>K1365*'Assumptions'!$V$107</x:f>
        <x:v>0</x:v>
      </x:c>
      <x:c r="N1365" s="10" t="n">
        <x:f>K1365-L1365-M1365</x:f>
        <x:v>6105.287265544568</x:v>
      </x:c>
      <x:c r="O1365" s="10" t="n">
        <x:f>H1365*'Assumptions'!$P$107*'Assumptions'!$Q$107*'Assumptions'!$D$11*(1+'Assumptions'!$D$13)^(11-1)</x:f>
        <x:v>2220.520958507726</x:v>
      </x:c>
      <x:c r="P1365" s="10" t="n">
        <x:f>H1365*'Assumptions'!$R$107*'Assumptions'!$D$11*(1+'Assumptions'!$D$13)^(11-1)</x:f>
        <x:v>0</x:v>
      </x:c>
      <x:c r="Q1365" s="10" t="n">
        <x:f>J1365*'Assumptions'!$S$107</x:f>
        <x:v>0</x:v>
      </x:c>
      <x:c r="R1365" s="10" t="n">
        <x:f>H1365*'Assumptions'!$Y$107*'Assumptions'!$Z$107*'Assumptions'!$D$11*(1+'Assumptions'!$D$13)^(11-1)</x:f>
        <x:v>416.3476797201986</x:v>
      </x:c>
      <x:c r="S1365" s="10" t="n">
        <x:f>IF(I1365=0,0,J1365*'Assumptions'!$W$107+H1365*'Assumptions'!$X$107)</x:f>
        <x:v>188.7252424072569</x:v>
      </x:c>
      <x:c r="T1365" s="10" t="n">
        <x:f>N1365*'Assumptions'!$AA$107</x:f>
        <x:v>488.42298124356546</x:v>
      </x:c>
      <x:c r="U1365" s="10" t="n">
        <x:f>'Assumptions'!$AE$107*'Assumptions'!$D$11*(1+'Assumptions'!$D$13)^(11-1)</x:f>
        <x:v>0</x:v>
      </x:c>
      <x:c r="V1365" s="10" t="n">
        <x:f>0</x:f>
        <x:v>0</x:v>
      </x:c>
      <x:c r="W1365" s="10" t="n">
        <x:f>H1365*('Assumptions'!$P$107+'Assumptions'!$Y$107)</x:f>
        <x:v>51.633629160195056</x:v>
      </x:c>
      <x:c r="X1365" s="10" t="n">
        <x:f>N1365/12*'Assumptions'!$AF$107</x:f>
        <x:v>508.7739387953807</x:v>
      </x:c>
      <x:c r="Y1365" s="10" t="n">
        <x:f>P1365/12</x:f>
        <x:v>0</x:v>
      </x:c>
      <x:c r="Z1365" s="10" t="n">
        <x:f>0</x:f>
        <x:v>0</x:v>
      </x:c>
      <x:c r="AA1365" s="10" t="n">
        <x:f>Z1365*'Assumptions'!$AC$107*'Assumptions'!$D$11*(1+'Assumptions'!$D$13)^(11-1)</x:f>
        <x:v>0</x:v>
      </x:c>
      <x:c r="AB1365" s="10" t="n">
        <x:f>F1365/1</x:f>
        <x:v>13.636053345315258</x:v>
      </x:c>
      <x:c r="AC1365" s="10" t="n">
        <x:f>AB1365/'Assumptions'!$AM$107</x:f>
        <x:v>136.36053345315256</x:v>
      </x:c>
      <x:c r="AD1365" s="10" t="n">
        <x:f>IF(AB1365=0,0,T1365/AB1365)</x:f>
        <x:v>35.81850032959617</x:v>
      </x:c>
      <x:c r="AE1365" s="10" t="n">
        <x:f>AA1365*'Assumptions'!$D$21</x:f>
        <x:v>0</x:v>
      </x:c>
    </x:row>
    <x:row r="1366" ht="16" customHeight="1">
      <x:c r="A1366" s="1"/>
      <x:c r="B1366" s="1"/>
      <x:c r="C1366" s="1" t="str">
        <x:v>DOT-079</x:v>
      </x:c>
      <x:c r="D1366" s="10" t="str">
        <x:v>S’otality editorial</x:v>
      </x:c>
      <x:c r="E1366" s="10" t="n">
        <x:v>11</x:v>
      </x:c>
      <x:c r="F1366" s="21" t="n">
        <x:f>F1238*(1+'Assumptions'!$M$108)</x:f>
        <x:v>4.545351115105086</x:v>
      </x:c>
      <x:c r="G1366" s="21" t="n">
        <x:f>H1238*'Assumptions'!$K$108</x:f>
        <x:v>2.3391327729209217</x:v>
      </x:c>
      <x:c r="H1366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1366+G1366,NA())</x:f>
        <x:v>6.884483888026008</x:v>
      </x:c>
      <x:c r="I1366" s="22" t="n">
        <x:f>'Assumptions'!$H$108*IF('Assumptions'!$O$108=1,1,'Assumptions'!$D$10)*(1+'Assumptions'!$N$108)^(11-1)</x:f>
        <x:v>1218.9944199947574</x:v>
      </x:c>
      <x:c r="J1366" s="10" t="n">
        <x:f>H1366*I1366</x:f>
        <x:v>8392.147444047516</x:v>
      </x:c>
      <x:c r="K1366" s="10" t="n">
        <x:f>J1366*'Assumptions'!$T$108</x:f>
        <x:v>8392.147444047516</x:v>
      </x:c>
      <x:c r="L1366" s="10" t="n">
        <x:f>K1366*'Assumptions'!$U$108</x:f>
        <x:v>251.76442332142545</x:v>
      </x:c>
      <x:c r="M1366" s="10" t="n">
        <x:f>K1366*'Assumptions'!$V$108</x:f>
        <x:v>0</x:v>
      </x:c>
      <x:c r="N1366" s="10" t="n">
        <x:f>K1366-L1366-M1366</x:f>
        <x:v>8140.383020726091</x:v>
      </x:c>
      <x:c r="O1366" s="10" t="n">
        <x:f>H1366*'Assumptions'!$P$108*'Assumptions'!$Q$108*'Assumptions'!$D$11*(1+'Assumptions'!$D$13)^(11-1)</x:f>
        <x:v>2960.6946113436347</x:v>
      </x:c>
      <x:c r="P1366" s="10" t="n">
        <x:f>H1366*'Assumptions'!$R$108*'Assumptions'!$D$11*(1+'Assumptions'!$D$13)^(11-1)</x:f>
        <x:v>925.2170660448858</x:v>
      </x:c>
      <x:c r="Q1366" s="10" t="n">
        <x:f>J1366*'Assumptions'!$S$108</x:f>
        <x:v>0</x:v>
      </x:c>
      <x:c r="R1366" s="10" t="n">
        <x:f>H1366*'Assumptions'!$Y$108*'Assumptions'!$Z$108*'Assumptions'!$D$11*(1+'Assumptions'!$D$13)^(11-1)</x:f>
        <x:v>138.78255990673287</x:v>
      </x:c>
      <x:c r="S1366" s="10" t="n">
        <x:f>IF(I1366=0,0,J1366*'Assumptions'!$W$108+H1366*'Assumptions'!$X$108)</x:f>
        <x:v>245.43762104378578</x:v>
      </x:c>
      <x:c r="T1366" s="10" t="n">
        <x:f>N1366*'Assumptions'!$AA$108</x:f>
        <x:v>651.2306416580873</x:v>
      </x:c>
      <x:c r="U1366" s="10" t="n">
        <x:f>'Assumptions'!$AE$108*'Assumptions'!$D$11*(1+'Assumptions'!$D$13)^(11-1)</x:f>
        <x:v>0</x:v>
      </x:c>
      <x:c r="V1366" s="10" t="n">
        <x:f>0</x:f>
        <x:v>0</x:v>
      </x:c>
      <x:c r="W1366" s="10" t="n">
        <x:f>H1366*('Assumptions'!$P$108+'Assumptions'!$Y$108)</x:f>
        <x:v>58.51811304822107</x:v>
      </x:c>
      <x:c r="X1366" s="10" t="n">
        <x:f>N1366/12*'Assumptions'!$AF$108</x:f>
        <x:v>678.3652517271743</x:v>
      </x:c>
      <x:c r="Y1366" s="10" t="n">
        <x:f>P1366/12</x:f>
        <x:v>77.10142217040715</x:v>
      </x:c>
      <x:c r="Z1366" s="10" t="n">
        <x:f>0</x:f>
        <x:v>0</x:v>
      </x:c>
      <x:c r="AA1366" s="10" t="n">
        <x:f>Z1366*'Assumptions'!$AC$108*'Assumptions'!$D$11*(1+'Assumptions'!$D$13)^(11-1)</x:f>
        <x:v>0</x:v>
      </x:c>
      <x:c r="AB1366" s="10" t="n">
        <x:f>F1366/1</x:f>
        <x:v>4.545351115105086</x:v>
      </x:c>
      <x:c r="AC1366" s="10" t="n">
        <x:f>AB1366/'Assumptions'!$AM$108</x:f>
        <x:v>45.453511151050854</x:v>
      </x:c>
      <x:c r="AD1366" s="10" t="n">
        <x:f>IF(AB1366=0,0,T1366/AB1366)</x:f>
        <x:v>143.27400131838468</x:v>
      </x:c>
      <x:c r="AE1366" s="10" t="n">
        <x:f>AA1366*'Assumptions'!$D$21</x:f>
        <x:v>0</x:v>
      </x:c>
    </x:row>
    <x:row r="1367" ht="16" customHeight="1">
      <x:c r="A1367" s="1"/>
      <x:c r="B1367" s="1"/>
      <x:c r="C1367" s="1" t="str">
        <x:v>DOT-080</x:v>
      </x:c>
      <x:c r="D1367" s="10" t="str">
        <x:v>Tomato Odyssey</x:v>
      </x:c>
      <x:c r="E1367" s="10" t="n">
        <x:v>11</x:v>
      </x:c>
      <x:c r="F1367" s="21" t="n">
        <x:f>F1239*(1+'Assumptions'!$M$109)</x:f>
        <x:v>13.636053345315258</x:v>
      </x:c>
      <x:c r="G1367" s="21" t="n">
        <x:f>H1239*'Assumptions'!$K$109</x:f>
        <x:v>7.0173983187627655</x:v>
      </x:c>
      <x:c r="H1367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1367+G1367,NA())</x:f>
        <x:v>20.653451664078023</x:v>
      </x:c>
      <x:c r="I1367" s="22" t="n">
        <x:f>'Assumptions'!$H$109*IF('Assumptions'!$O$109=1,1,'Assumptions'!$D$10)*(1+'Assumptions'!$N$109)^(11-1)</x:f>
        <x:v>304.74860499868936</x:v>
      </x:c>
      <x:c r="J1367" s="10" t="n">
        <x:f>H1367*I1367</x:f>
        <x:v>6294.110583035637</x:v>
      </x:c>
      <x:c r="K1367" s="10" t="n">
        <x:f>J1367*'Assumptions'!$T$109</x:f>
        <x:v>6294.110583035637</x:v>
      </x:c>
      <x:c r="L1367" s="10" t="n">
        <x:f>K1367*'Assumptions'!$U$109</x:f>
        <x:v>188.8233174910691</x:v>
      </x:c>
      <x:c r="M1367" s="10" t="n">
        <x:f>K1367*'Assumptions'!$V$109</x:f>
        <x:v>0</x:v>
      </x:c>
      <x:c r="N1367" s="10" t="n">
        <x:f>K1367-L1367-M1367</x:f>
        <x:v>6105.287265544568</x:v>
      </x:c>
      <x:c r="O1367" s="10" t="n">
        <x:f>H1367*'Assumptions'!$P$109*'Assumptions'!$Q$109*'Assumptions'!$D$11*(1+'Assumptions'!$D$13)^(11-1)</x:f>
        <x:v>2220.520958507726</x:v>
      </x:c>
      <x:c r="P1367" s="10" t="n">
        <x:f>H1367*'Assumptions'!$R$109*'Assumptions'!$D$11*(1+'Assumptions'!$D$13)^(11-1)</x:f>
        <x:v>0</x:v>
      </x:c>
      <x:c r="Q1367" s="10" t="n">
        <x:f>J1367*'Assumptions'!$S$109</x:f>
        <x:v>0</x:v>
      </x:c>
      <x:c r="R1367" s="10" t="n">
        <x:f>H1367*'Assumptions'!$Y$109*'Assumptions'!$Z$109*'Assumptions'!$D$11*(1+'Assumptions'!$D$13)^(11-1)</x:f>
        <x:v>416.3476797201986</x:v>
      </x:c>
      <x:c r="S1367" s="10" t="n">
        <x:f>IF(I1367=0,0,J1367*'Assumptions'!$W$109+H1367*'Assumptions'!$X$109)</x:f>
        <x:v>188.7252424072569</x:v>
      </x:c>
      <x:c r="T1367" s="10" t="n">
        <x:f>N1367*'Assumptions'!$AA$109</x:f>
        <x:v>488.42298124356546</x:v>
      </x:c>
      <x:c r="U1367" s="10" t="n">
        <x:f>'Assumptions'!$AE$109*'Assumptions'!$D$11*(1+'Assumptions'!$D$13)^(11-1)</x:f>
        <x:v>0</x:v>
      </x:c>
      <x:c r="V1367" s="10" t="n">
        <x:f>0</x:f>
        <x:v>0</x:v>
      </x:c>
      <x:c r="W1367" s="10" t="n">
        <x:f>H1367*('Assumptions'!$P$109+'Assumptions'!$Y$109)</x:f>
        <x:v>51.633629160195056</x:v>
      </x:c>
      <x:c r="X1367" s="10" t="n">
        <x:f>N1367/12*'Assumptions'!$AF$109</x:f>
        <x:v>508.7739387953807</x:v>
      </x:c>
      <x:c r="Y1367" s="10" t="n">
        <x:f>P1367/12</x:f>
        <x:v>0</x:v>
      </x:c>
      <x:c r="Z1367" s="10" t="n">
        <x:f>0</x:f>
        <x:v>0</x:v>
      </x:c>
      <x:c r="AA1367" s="10" t="n">
        <x:f>Z1367*'Assumptions'!$AC$109*'Assumptions'!$D$11*(1+'Assumptions'!$D$13)^(11-1)</x:f>
        <x:v>0</x:v>
      </x:c>
      <x:c r="AB1367" s="10" t="n">
        <x:f>F1367/1</x:f>
        <x:v>13.636053345315258</x:v>
      </x:c>
      <x:c r="AC1367" s="10" t="n">
        <x:f>AB1367/'Assumptions'!$AM$109</x:f>
        <x:v>136.36053345315256</x:v>
      </x:c>
      <x:c r="AD1367" s="10" t="n">
        <x:f>IF(AB1367=0,0,T1367/AB1367)</x:f>
        <x:v>35.81850032959617</x:v>
      </x:c>
      <x:c r="AE1367" s="10" t="n">
        <x:f>AA1367*'Assumptions'!$D$21</x:f>
        <x:v>0</x:v>
      </x:c>
    </x:row>
    <x:row r="1368" ht="16" customHeight="1">
      <x:c r="A1368" s="1"/>
      <x:c r="B1368" s="1"/>
      <x:c r="C1368" s="1" t="str">
        <x:v>DOT-081</x:v>
      </x:c>
      <x:c r="D1368" s="10" t="str">
        <x:v>Tomato Odyssey</x:v>
      </x:c>
      <x:c r="E1368" s="10" t="n">
        <x:v>11</x:v>
      </x:c>
      <x:c r="F1368" s="21" t="n">
        <x:f>F1240*(1+'Assumptions'!$M$110)</x:f>
        <x:v>4.545351115105086</x:v>
      </x:c>
      <x:c r="G1368" s="21" t="n">
        <x:f>H1240*'Assumptions'!$K$110</x:f>
        <x:v>2.3391327729209217</x:v>
      </x:c>
      <x:c r="H1368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1368+G1368,NA())</x:f>
        <x:v>6.884483888026008</x:v>
      </x:c>
      <x:c r="I1368" s="22" t="n">
        <x:f>'Assumptions'!$H$110*IF('Assumptions'!$O$110=1,1,'Assumptions'!$D$10)*(1+'Assumptions'!$N$110)^(11-1)</x:f>
        <x:v>1218.9944199947574</x:v>
      </x:c>
      <x:c r="J1368" s="10" t="n">
        <x:f>H1368*I1368</x:f>
        <x:v>8392.147444047516</x:v>
      </x:c>
      <x:c r="K1368" s="10" t="n">
        <x:f>J1368*'Assumptions'!$T$110</x:f>
        <x:v>8392.147444047516</x:v>
      </x:c>
      <x:c r="L1368" s="10" t="n">
        <x:f>K1368*'Assumptions'!$U$110</x:f>
        <x:v>251.76442332142545</x:v>
      </x:c>
      <x:c r="M1368" s="10" t="n">
        <x:f>K1368*'Assumptions'!$V$110</x:f>
        <x:v>0</x:v>
      </x:c>
      <x:c r="N1368" s="10" t="n">
        <x:f>K1368-L1368-M1368</x:f>
        <x:v>8140.383020726091</x:v>
      </x:c>
      <x:c r="O1368" s="10" t="n">
        <x:f>H1368*'Assumptions'!$P$110*'Assumptions'!$Q$110*'Assumptions'!$D$11*(1+'Assumptions'!$D$13)^(11-1)</x:f>
        <x:v>2960.6946113436347</x:v>
      </x:c>
      <x:c r="P1368" s="10" t="n">
        <x:f>H1368*'Assumptions'!$R$110*'Assumptions'!$D$11*(1+'Assumptions'!$D$13)^(11-1)</x:f>
        <x:v>925.2170660448858</x:v>
      </x:c>
      <x:c r="Q1368" s="10" t="n">
        <x:f>J1368*'Assumptions'!$S$110</x:f>
        <x:v>0</x:v>
      </x:c>
      <x:c r="R1368" s="10" t="n">
        <x:f>H1368*'Assumptions'!$Y$110*'Assumptions'!$Z$110*'Assumptions'!$D$11*(1+'Assumptions'!$D$13)^(11-1)</x:f>
        <x:v>138.78255990673287</x:v>
      </x:c>
      <x:c r="S1368" s="10" t="n">
        <x:f>IF(I1368=0,0,J1368*'Assumptions'!$W$110+H1368*'Assumptions'!$X$110)</x:f>
        <x:v>245.43762104378578</x:v>
      </x:c>
      <x:c r="T1368" s="10" t="n">
        <x:f>N1368*'Assumptions'!$AA$110</x:f>
        <x:v>651.2306416580873</x:v>
      </x:c>
      <x:c r="U1368" s="10" t="n">
        <x:f>'Assumptions'!$AE$110*'Assumptions'!$D$11*(1+'Assumptions'!$D$13)^(11-1)</x:f>
        <x:v>0</x:v>
      </x:c>
      <x:c r="V1368" s="10" t="n">
        <x:f>0</x:f>
        <x:v>0</x:v>
      </x:c>
      <x:c r="W1368" s="10" t="n">
        <x:f>H1368*('Assumptions'!$P$110+'Assumptions'!$Y$110)</x:f>
        <x:v>58.51811304822107</x:v>
      </x:c>
      <x:c r="X1368" s="10" t="n">
        <x:f>N1368/12*'Assumptions'!$AF$110</x:f>
        <x:v>678.3652517271743</x:v>
      </x:c>
      <x:c r="Y1368" s="10" t="n">
        <x:f>P1368/12</x:f>
        <x:v>77.10142217040715</x:v>
      </x:c>
      <x:c r="Z1368" s="10" t="n">
        <x:f>0</x:f>
        <x:v>0</x:v>
      </x:c>
      <x:c r="AA1368" s="10" t="n">
        <x:f>Z1368*'Assumptions'!$AC$110*'Assumptions'!$D$11*(1+'Assumptions'!$D$13)^(11-1)</x:f>
        <x:v>0</x:v>
      </x:c>
      <x:c r="AB1368" s="10" t="n">
        <x:f>F1368/1</x:f>
        <x:v>4.545351115105086</x:v>
      </x:c>
      <x:c r="AC1368" s="10" t="n">
        <x:f>AB1368/'Assumptions'!$AM$110</x:f>
        <x:v>45.453511151050854</x:v>
      </x:c>
      <x:c r="AD1368" s="10" t="n">
        <x:f>IF(AB1368=0,0,T1368/AB1368)</x:f>
        <x:v>143.27400131838468</x:v>
      </x:c>
      <x:c r="AE1368" s="10" t="n">
        <x:f>AA1368*'Assumptions'!$D$21</x:f>
        <x:v>0</x:v>
      </x:c>
    </x:row>
    <x:row r="1369" ht="16" customHeight="1">
      <x:c r="A1369" s="1"/>
      <x:c r="B1369" s="1"/>
      <x:c r="C1369" s="1" t="str">
        <x:v>DOT-082</x:v>
      </x:c>
      <x:c r="D1369" s="10" t="str">
        <x:v>Semajes Studio</x:v>
      </x:c>
      <x:c r="E1369" s="10" t="n">
        <x:v>11</x:v>
      </x:c>
      <x:c r="F1369" s="21" t="n">
        <x:f>F1241*(1+'Assumptions'!$M$111)</x:f>
        <x:v>31.467815412265963</x:v>
      </x:c>
      <x:c r="G1369" s="21" t="n">
        <x:f>H1241*'Assumptions'!$K$111</x:f>
        <x:v>29.635437446713176</x:v>
      </x:c>
      <x:c r="H1369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1369+G1369,NA())</x:f>
        <x:v>61.10325285897914</x:v>
      </x:c>
      <x:c r="I1369" s="22" t="n">
        <x:f>'Assumptions'!$H$111*IF('Assumptions'!$O$111=1,1,'Assumptions'!$D$10)*(1+'Assumptions'!$N$111)^(11-1)</x:f>
        <x:v>670.4469309971165</x:v>
      </x:c>
      <x:c r="J1369" s="10" t="n">
        <x:f>H1369*I1369</x:f>
        <x:v>40966.48835324335</x:v>
      </x:c>
      <x:c r="K1369" s="10" t="n">
        <x:f>J1369*'Assumptions'!$T$111</x:f>
        <x:v>40966.48835324335</x:v>
      </x:c>
      <x:c r="L1369" s="10" t="n">
        <x:f>K1369*'Assumptions'!$U$111</x:f>
        <x:v>1228.9946505973005</x:v>
      </x:c>
      <x:c r="M1369" s="10" t="n">
        <x:f>K1369*'Assumptions'!$V$111</x:f>
        <x:v>0</x:v>
      </x:c>
      <x:c r="N1369" s="10" t="n">
        <x:f>K1369-L1369-M1369</x:f>
        <x:v>39737.493702646054</x:v>
      </x:c>
      <x:c r="O1369" s="10" t="n">
        <x:f>H1369*'Assumptions'!$P$111*'Assumptions'!$Q$111*'Assumptions'!$D$11*(1+'Assumptions'!$D$13)^(11-1)</x:f>
        <x:v>24635.298704516288</x:v>
      </x:c>
      <x:c r="P1369" s="10" t="n">
        <x:f>H1369*'Assumptions'!$R$111*'Assumptions'!$D$11*(1+'Assumptions'!$D$13)^(11-1)</x:f>
        <x:v>6569.41298787101</x:v>
      </x:c>
      <x:c r="Q1369" s="10" t="n">
        <x:f>J1369*'Assumptions'!$S$111</x:f>
        <x:v>0</x:v>
      </x:c>
      <x:c r="R1369" s="10" t="n">
        <x:f>H1369*'Assumptions'!$Y$111*'Assumptions'!$Z$111*'Assumptions'!$D$11*(1+'Assumptions'!$D$13)^(11-1)</x:f>
        <x:v>615.8824676129072</x:v>
      </x:c>
      <x:c r="S1369" s="10" t="n">
        <x:f>IF(I1369=0,0,J1369*'Assumptions'!$W$111+H1369*'Assumptions'!$X$111)</x:f>
        <x:v>1206.3591381017511</x:v>
      </x:c>
      <x:c r="T1369" s="10" t="n">
        <x:f>N1369*'Assumptions'!$AA$111</x:f>
        <x:v>1589.4997481058422</x:v>
      </x:c>
      <x:c r="U1369" s="10" t="n">
        <x:f>'Assumptions'!$AE$111*'Assumptions'!$D$11*(1+'Assumptions'!$D$13)^(11-1)</x:f>
        <x:v>0</x:v>
      </x:c>
      <x:c r="V1369" s="10" t="n">
        <x:f>0</x:f>
        <x:v>0</x:v>
      </x:c>
      <x:c r="W1369" s="10" t="n">
        <x:f>H1369*('Assumptions'!$P$111+'Assumptions'!$Y$111)</x:f>
        <x:v>381.8953303686196</x:v>
      </x:c>
      <x:c r="X1369" s="10" t="n">
        <x:f>N1369/12*'Assumptions'!$AF$111</x:f>
        <x:v>3311.457808553838</x:v>
      </x:c>
      <x:c r="Y1369" s="10" t="n">
        <x:f>P1369/12</x:f>
        <x:v>547.4510823225842</x:v>
      </x:c>
      <x:c r="Z1369" s="10" t="n">
        <x:f>0</x:f>
        <x:v>0</x:v>
      </x:c>
      <x:c r="AA1369" s="10" t="n">
        <x:f>Z1369*'Assumptions'!$AC$111*'Assumptions'!$D$11*(1+'Assumptions'!$D$13)^(11-1)</x:f>
        <x:v>0</x:v>
      </x:c>
      <x:c r="AB1369" s="10" t="n">
        <x:f>F1369/1</x:f>
        <x:v>31.467815412265963</x:v>
      </x:c>
      <x:c r="AC1369" s="10" t="n">
        <x:f>AB1369/'Assumptions'!$AM$111</x:f>
        <x:v>157.33907706132982</x:v>
      </x:c>
      <x:c r="AD1369" s="10" t="n">
        <x:f>IF(AB1369=0,0,T1369/AB1369)</x:f>
        <x:v>50.51191915554026</x:v>
      </x:c>
      <x:c r="AE1369" s="10" t="n">
        <x:f>AA1369*'Assumptions'!$D$21</x:f>
        <x:v>0</x:v>
      </x:c>
    </x:row>
    <x:row r="1370" ht="16" customHeight="1">
      <x:c r="A1370" s="1"/>
      <x:c r="B1370" s="1"/>
      <x:c r="C1370" s="1" t="str">
        <x:v>DOT-083</x:v>
      </x:c>
      <x:c r="D1370" s="10" t="str">
        <x:v>Semajes Studio</x:v>
      </x:c>
      <x:c r="E1370" s="10" t="n">
        <x:v>11</x:v>
      </x:c>
      <x:c r="F1370" s="21" t="n">
        <x:f>F1242*(1+'Assumptions'!$M$112)</x:f>
        <x:v>15.733907706132982</x:v>
      </x:c>
      <x:c r="G1370" s="21" t="n">
        <x:f>H1242*'Assumptions'!$K$112</x:f>
        <x:v>14.817718723356588</x:v>
      </x:c>
      <x:c r="H1370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1370+G1370,NA())</x:f>
        <x:v>30.55162642948957</x:v>
      </x:c>
      <x:c r="I1370" s="22" t="n">
        <x:f>'Assumptions'!$H$112*IF('Assumptions'!$O$112=1,1,'Assumptions'!$D$10)*(1+'Assumptions'!$N$112)^(11-1)</x:f>
        <x:v>1462.7933039937088</x:v>
      </x:c>
      <x:c r="J1370" s="10" t="n">
        <x:f>H1370*I1370</x:f>
        <x:v>44690.71456717457</x:v>
      </x:c>
      <x:c r="K1370" s="10" t="n">
        <x:f>J1370*'Assumptions'!$T$112</x:f>
        <x:v>44690.71456717457</x:v>
      </x:c>
      <x:c r="L1370" s="10" t="n">
        <x:f>K1370*'Assumptions'!$U$112</x:f>
        <x:v>1340.721437015237</x:v>
      </x:c>
      <x:c r="M1370" s="10" t="n">
        <x:f>K1370*'Assumptions'!$V$112</x:f>
        <x:v>0</x:v>
      </x:c>
      <x:c r="N1370" s="10" t="n">
        <x:f>K1370-L1370-M1370</x:f>
        <x:v>43349.99313015933</x:v>
      </x:c>
      <x:c r="O1370" s="10" t="n">
        <x:f>H1370*'Assumptions'!$P$112*'Assumptions'!$Q$112*'Assumptions'!$D$11*(1+'Assumptions'!$D$13)^(11-1)</x:f>
        <x:v>20529.415587096904</x:v>
      </x:c>
      <x:c r="P1370" s="10" t="n">
        <x:f>H1370*'Assumptions'!$R$112*'Assumptions'!$D$11*(1+'Assumptions'!$D$13)^(11-1)</x:f>
        <x:v>6158.824676129072</x:v>
      </x:c>
      <x:c r="Q1370" s="10" t="n">
        <x:f>J1370*'Assumptions'!$S$112</x:f>
        <x:v>0</x:v>
      </x:c>
      <x:c r="R1370" s="10" t="n">
        <x:f>H1370*'Assumptions'!$Y$112*'Assumptions'!$Z$112*'Assumptions'!$D$11*(1+'Assumptions'!$D$13)^(11-1)</x:f>
        <x:v>307.9412338064536</x:v>
      </x:c>
      <x:c r="S1370" s="10" t="n">
        <x:f>IF(I1370=0,0,J1370*'Assumptions'!$W$112+H1370*'Assumptions'!$X$112)</x:f>
        <x:v>1305.1962103769094</x:v>
      </x:c>
      <x:c r="T1370" s="10" t="n">
        <x:f>N1370*'Assumptions'!$AA$112</x:f>
        <x:v>1733.9997252063733</x:v>
      </x:c>
      <x:c r="U1370" s="10" t="n">
        <x:f>'Assumptions'!$AE$112*'Assumptions'!$D$11*(1+'Assumptions'!$D$13)^(11-1)</x:f>
        <x:v>0</x:v>
      </x:c>
      <x:c r="V1370" s="10" t="n">
        <x:f>0</x:f>
        <x:v>0</x:v>
      </x:c>
      <x:c r="W1370" s="10" t="n">
        <x:f>H1370*('Assumptions'!$P$112+'Assumptions'!$Y$112)</x:f>
        <x:v>313.1541709022681</x:v>
      </x:c>
      <x:c r="X1370" s="10" t="n">
        <x:f>N1370/12*'Assumptions'!$AF$112</x:f>
        <x:v>3612.4994275132776</x:v>
      </x:c>
      <x:c r="Y1370" s="10" t="n">
        <x:f>P1370/12</x:f>
        <x:v>513.2353896774226</x:v>
      </x:c>
      <x:c r="Z1370" s="10" t="n">
        <x:f>0</x:f>
        <x:v>0</x:v>
      </x:c>
      <x:c r="AA1370" s="10" t="n">
        <x:f>Z1370*'Assumptions'!$AC$112*'Assumptions'!$D$11*(1+'Assumptions'!$D$13)^(11-1)</x:f>
        <x:v>0</x:v>
      </x:c>
      <x:c r="AB1370" s="10" t="n">
        <x:f>F1370/1</x:f>
        <x:v>15.733907706132982</x:v>
      </x:c>
      <x:c r="AC1370" s="10" t="n">
        <x:f>AB1370/'Assumptions'!$AM$112</x:f>
        <x:v>78.66953853066491</x:v>
      </x:c>
      <x:c r="AD1370" s="10" t="n">
        <x:f>IF(AB1370=0,0,T1370/AB1370)</x:f>
        <x:v>110.20782361208785</x:v>
      </x:c>
      <x:c r="AE1370" s="10" t="n">
        <x:f>AA1370*'Assumptions'!$D$21</x:f>
        <x:v>0</x:v>
      </x:c>
    </x:row>
    <x:row r="1371" ht="16" customHeight="1">
      <x:c r="A1371" s="1"/>
      <x:c r="B1371" s="1"/>
      <x:c r="C1371" s="1" t="str">
        <x:v>DOT-084</x:v>
      </x:c>
      <x:c r="D1371" s="10" t="str">
        <x:v>Semajes Studio</x:v>
      </x:c>
      <x:c r="E1371" s="10" t="n">
        <x:v>11</x:v>
      </x:c>
      <x:c r="F1371" s="21" t="n">
        <x:f>F1243*(1+'Assumptions'!$M$113)</x:f>
        <x:v>104.89271804088656</x:v>
      </x:c>
      <x:c r="G1371" s="21" t="n">
        <x:f>H1243*'Assumptions'!$K$113</x:f>
        <x:v>98.78479148904393</x:v>
      </x:c>
      <x:c r="H1371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1371+G1371,NA())</x:f>
        <x:v>203.6775095299305</x:v>
      </x:c>
      <x:c r="I1371" s="22" t="n">
        <x:f>'Assumptions'!$H$113*IF('Assumptions'!$O$113=1,1,'Assumptions'!$D$10)*(1+'Assumptions'!$N$113)^(11-1)</x:f>
        <x:v>42.66480469981651</x:v>
      </x:c>
      <x:c r="J1371" s="10" t="n">
        <x:f>H1371*I1371</x:f>
        <x:v>8689.8611658395</x:v>
      </x:c>
      <x:c r="K1371" s="10" t="n">
        <x:f>J1371*'Assumptions'!$T$113</x:f>
        <x:v>8689.8611658395</x:v>
      </x:c>
      <x:c r="L1371" s="10" t="n">
        <x:f>K1371*'Assumptions'!$U$113</x:f>
        <x:v>260.695834975185</x:v>
      </x:c>
      <x:c r="M1371" s="10" t="n">
        <x:f>K1371*'Assumptions'!$V$113</x:f>
        <x:v>0</x:v>
      </x:c>
      <x:c r="N1371" s="10" t="n">
        <x:f>K1371-L1371-M1371</x:f>
        <x:v>8429.165330864314</x:v>
      </x:c>
      <x:c r="O1371" s="10" t="n">
        <x:f>H1371*'Assumptions'!$P$113*'Assumptions'!$Q$113*'Assumptions'!$D$11*(1+'Assumptions'!$D$13)^(11-1)</x:f>
        <x:v>1368.6277058064607</x:v>
      </x:c>
      <x:c r="P1371" s="10" t="n">
        <x:f>H1371*'Assumptions'!$R$113*'Assumptions'!$D$11*(1+'Assumptions'!$D$13)^(11-1)</x:f>
        <x:v>0</x:v>
      </x:c>
      <x:c r="Q1371" s="10" t="n">
        <x:f>J1371*'Assumptions'!$S$113</x:f>
        <x:v>0</x:v>
      </x:c>
      <x:c r="R1371" s="10" t="n">
        <x:f>H1371*'Assumptions'!$Y$113*'Assumptions'!$Z$113*'Assumptions'!$D$11*(1+'Assumptions'!$D$13)^(11-1)</x:f>
        <x:v>2052.941558709691</x:v>
      </x:c>
      <x:c r="S1371" s="10" t="n">
        <x:f>IF(I1371=0,0,J1371*'Assumptions'!$W$113+H1371*'Assumptions'!$X$113)</x:f>
        <x:v>313.1092266683247</x:v>
      </x:c>
      <x:c r="T1371" s="10" t="n">
        <x:f>N1371*'Assumptions'!$AA$113</x:f>
        <x:v>337.1666132345726</x:v>
      </x:c>
      <x:c r="U1371" s="10" t="n">
        <x:f>'Assumptions'!$AE$113*'Assumptions'!$D$11*(1+'Assumptions'!$D$13)^(11-1)</x:f>
        <x:v>0</x:v>
      </x:c>
      <x:c r="V1371" s="10" t="n">
        <x:f>0</x:f>
        <x:v>0</x:v>
      </x:c>
      <x:c r="W1371" s="10" t="n">
        <x:f>H1371*('Assumptions'!$P$113+'Assumptions'!$Y$113)</x:f>
        <x:v>71.28712833547567</x:v>
      </x:c>
      <x:c r="X1371" s="10" t="n">
        <x:f>N1371/12*'Assumptions'!$AF$113</x:f>
        <x:v>702.4304442386929</x:v>
      </x:c>
      <x:c r="Y1371" s="10" t="n">
        <x:f>P1371/12</x:f>
        <x:v>0</x:v>
      </x:c>
      <x:c r="Z1371" s="10" t="n">
        <x:f>0</x:f>
        <x:v>0</x:v>
      </x:c>
      <x:c r="AA1371" s="10" t="n">
        <x:f>Z1371*'Assumptions'!$AC$113*'Assumptions'!$D$11*(1+'Assumptions'!$D$13)^(11-1)</x:f>
        <x:v>0</x:v>
      </x:c>
      <x:c r="AB1371" s="10" t="n">
        <x:f>F1371/1</x:f>
        <x:v>104.89271804088656</x:v>
      </x:c>
      <x:c r="AC1371" s="10" t="n">
        <x:f>AB1371/'Assumptions'!$AM$113</x:f>
        <x:v>524.4635902044328</x:v>
      </x:c>
      <x:c r="AD1371" s="10" t="n">
        <x:f>IF(AB1371=0,0,T1371/AB1371)</x:f>
        <x:v>3.2143948553525616</x:v>
      </x:c>
      <x:c r="AE1371" s="10" t="n">
        <x:f>AA1371*'Assumptions'!$D$21</x:f>
        <x:v>0</x:v>
      </x:c>
    </x:row>
    <x:row r="1372" ht="16" customHeight="1">
      <x:c r="A1372" s="1"/>
      <x:c r="B1372" s="1"/>
      <x:c r="C1372" s="1" t="str">
        <x:v>DOT-085</x:v>
      </x:c>
      <x:c r="D1372" s="10" t="str">
        <x:v>Semajes Studio</x:v>
      </x:c>
      <x:c r="E1372" s="10" t="n">
        <x:v>11</x:v>
      </x:c>
      <x:c r="F1372" s="21" t="n">
        <x:f>F1244*(1+'Assumptions'!$M$114)</x:f>
        <x:v>31.467815412265963</x:v>
      </x:c>
      <x:c r="G1372" s="21" t="n">
        <x:f>H1244*'Assumptions'!$K$114</x:f>
        <x:v>29.635437446713176</x:v>
      </x:c>
      <x:c r="H1372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1372+G1372,NA())</x:f>
        <x:v>61.10325285897914</x:v>
      </x:c>
      <x:c r="I1372" s="22" t="n">
        <x:f>'Assumptions'!$H$114*IF('Assumptions'!$O$114=1,1,'Assumptions'!$D$10)*(1+'Assumptions'!$N$114)^(11-1)</x:f>
        <x:v>182.8491629992136</x:v>
      </x:c>
      <x:c r="J1372" s="10" t="n">
        <x:f>H1372*I1372</x:f>
        <x:v>11172.678641793642</x:v>
      </x:c>
      <x:c r="K1372" s="10" t="n">
        <x:f>J1372*'Assumptions'!$T$114</x:f>
        <x:v>11172.678641793642</x:v>
      </x:c>
      <x:c r="L1372" s="10" t="n">
        <x:f>K1372*'Assumptions'!$U$114</x:f>
        <x:v>335.18035925380923</x:v>
      </x:c>
      <x:c r="M1372" s="10" t="n">
        <x:f>K1372*'Assumptions'!$V$114</x:f>
        <x:v>0</x:v>
      </x:c>
      <x:c r="N1372" s="10" t="n">
        <x:f>K1372-L1372-M1372</x:f>
        <x:v>10837.498282539833</x:v>
      </x:c>
      <x:c r="O1372" s="10" t="n">
        <x:f>H1372*'Assumptions'!$P$114*'Assumptions'!$Q$114*'Assumptions'!$D$11*(1+'Assumptions'!$D$13)^(11-1)</x:f>
        <x:v>1026.4707793548455</x:v>
      </x:c>
      <x:c r="P1372" s="10" t="n">
        <x:f>H1372*'Assumptions'!$R$114*'Assumptions'!$D$11*(1+'Assumptions'!$D$13)^(11-1)</x:f>
        <x:v>0</x:v>
      </x:c>
      <x:c r="Q1372" s="10" t="n">
        <x:f>J1372*'Assumptions'!$S$114</x:f>
        <x:v>0</x:v>
      </x:c>
      <x:c r="R1372" s="10" t="n">
        <x:f>H1372*'Assumptions'!$Y$114*'Assumptions'!$Z$114*'Assumptions'!$D$11*(1+'Assumptions'!$D$13)^(11-1)</x:f>
        <x:v>615.8824676129072</x:v>
      </x:c>
      <x:c r="S1372" s="10" t="n">
        <x:f>IF(I1372=0,0,J1372*'Assumptions'!$W$114+H1372*'Assumptions'!$X$114)</x:f>
        <x:v>342.33865646970935</x:v>
      </x:c>
      <x:c r="T1372" s="10" t="n">
        <x:f>N1372*'Assumptions'!$AA$114</x:f>
        <x:v>433.49993130159334</x:v>
      </x:c>
      <x:c r="U1372" s="10" t="n">
        <x:f>'Assumptions'!$AE$114*'Assumptions'!$D$11*(1+'Assumptions'!$D$13)^(11-1)</x:f>
        <x:v>0</x:v>
      </x:c>
      <x:c r="V1372" s="10" t="n">
        <x:f>0</x:f>
        <x:v>0</x:v>
      </x:c>
      <x:c r="W1372" s="10" t="n">
        <x:f>H1372*('Assumptions'!$P$114+'Assumptions'!$Y$114)</x:f>
        <x:v>30.55162642948957</x:v>
      </x:c>
      <x:c r="X1372" s="10" t="n">
        <x:f>N1372/12*'Assumptions'!$AF$114</x:f>
        <x:v>903.1248568783194</x:v>
      </x:c>
      <x:c r="Y1372" s="10" t="n">
        <x:f>P1372/12</x:f>
        <x:v>0</x:v>
      </x:c>
      <x:c r="Z1372" s="10" t="n">
        <x:f>0</x:f>
        <x:v>0</x:v>
      </x:c>
      <x:c r="AA1372" s="10" t="n">
        <x:f>Z1372*'Assumptions'!$AC$114*'Assumptions'!$D$11*(1+'Assumptions'!$D$13)^(11-1)</x:f>
        <x:v>0</x:v>
      </x:c>
      <x:c r="AB1372" s="10" t="n">
        <x:f>F1372/1</x:f>
        <x:v>31.467815412265963</x:v>
      </x:c>
      <x:c r="AC1372" s="10" t="n">
        <x:f>AB1372/'Assumptions'!$AM$114</x:f>
        <x:v>157.33907706132982</x:v>
      </x:c>
      <x:c r="AD1372" s="10" t="n">
        <x:f>IF(AB1372=0,0,T1372/AB1372)</x:f>
        <x:v>13.775977951510981</x:v>
      </x:c>
      <x:c r="AE1372" s="10" t="n">
        <x:f>AA1372*'Assumptions'!$D$21</x:f>
        <x:v>0</x:v>
      </x:c>
    </x:row>
    <x:row r="1373" ht="16" customHeight="1">
      <x:c r="A1373" s="1"/>
      <x:c r="B1373" s="1"/>
      <x:c r="C1373" s="1" t="str">
        <x:v>DOT-086</x:v>
      </x:c>
      <x:c r="D1373" s="10" t="str">
        <x:v>Semajes Studio</x:v>
      </x:c>
      <x:c r="E1373" s="10" t="n">
        <x:v>11</x:v>
      </x:c>
      <x:c r="F1373" s="21" t="n">
        <x:f>F1245*(1+'Assumptions'!$M$115)</x:f>
        <x:v>15.733907706132982</x:v>
      </x:c>
      <x:c r="G1373" s="21" t="n">
        <x:f>H1245*'Assumptions'!$K$115</x:f>
        <x:v>14.817718723356588</x:v>
      </x:c>
      <x:c r="H1373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1373+G1373,NA())</x:f>
        <x:v>30.55162642948957</x:v>
      </x:c>
      <x:c r="I1373" s="22" t="n">
        <x:f>'Assumptions'!$H$115*IF('Assumptions'!$O$115=1,1,'Assumptions'!$D$10)*(1+'Assumptions'!$N$115)^(11-1)</x:f>
        <x:v>609.4972099973787</x:v>
      </x:c>
      <x:c r="J1373" s="10" t="n">
        <x:f>H1373*I1373</x:f>
        <x:v>18621.13106965607</x:v>
      </x:c>
      <x:c r="K1373" s="10" t="n">
        <x:f>J1373*'Assumptions'!$T$115</x:f>
        <x:v>18621.13106965607</x:v>
      </x:c>
      <x:c r="L1373" s="10" t="n">
        <x:f>K1373*'Assumptions'!$U$115</x:f>
        <x:v>558.633932089682</x:v>
      </x:c>
      <x:c r="M1373" s="10" t="n">
        <x:f>K1373*'Assumptions'!$V$115</x:f>
        <x:v>0</x:v>
      </x:c>
      <x:c r="N1373" s="10" t="n">
        <x:f>K1373-L1373-M1373</x:f>
        <x:v>18062.497137566388</x:v>
      </x:c>
      <x:c r="O1373" s="10" t="n">
        <x:f>H1373*'Assumptions'!$P$115*'Assumptions'!$Q$115*'Assumptions'!$D$11*(1+'Assumptions'!$D$13)^(11-1)</x:f>
        <x:v>2052.941558709691</x:v>
      </x:c>
      <x:c r="P1373" s="10" t="n">
        <x:f>H1373*'Assumptions'!$R$115*'Assumptions'!$D$11*(1+'Assumptions'!$D$13)^(11-1)</x:f>
        <x:v>0</x:v>
      </x:c>
      <x:c r="Q1373" s="10" t="n">
        <x:f>J1373*'Assumptions'!$S$115</x:f>
        <x:v>0</x:v>
      </x:c>
      <x:c r="R1373" s="10" t="n">
        <x:f>H1373*'Assumptions'!$Y$115*'Assumptions'!$Z$115*'Assumptions'!$D$11*(1+'Assumptions'!$D$13)^(11-1)</x:f>
        <x:v>307.9412338064536</x:v>
      </x:c>
      <x:c r="S1373" s="10" t="n">
        <x:f>IF(I1373=0,0,J1373*'Assumptions'!$W$115+H1373*'Assumptions'!$X$115)</x:f>
        <x:v>549.1782889488729</x:v>
      </x:c>
      <x:c r="T1373" s="10" t="n">
        <x:f>N1373*'Assumptions'!$AA$115</x:f>
        <x:v>722.4998855026555</x:v>
      </x:c>
      <x:c r="U1373" s="10" t="n">
        <x:f>'Assumptions'!$AE$115*'Assumptions'!$D$11*(1+'Assumptions'!$D$13)^(11-1)</x:f>
        <x:v>0</x:v>
      </x:c>
      <x:c r="V1373" s="10" t="n">
        <x:f>0</x:f>
        <x:v>0</x:v>
      </x:c>
      <x:c r="W1373" s="10" t="n">
        <x:f>H1373*('Assumptions'!$P$115+'Assumptions'!$Y$115)</x:f>
        <x:v>38.18953303686196</x:v>
      </x:c>
      <x:c r="X1373" s="10" t="n">
        <x:f>N1373/12*'Assumptions'!$AF$115</x:f>
        <x:v>1505.208094797199</x:v>
      </x:c>
      <x:c r="Y1373" s="10" t="n">
        <x:f>P1373/12</x:f>
        <x:v>0</x:v>
      </x:c>
      <x:c r="Z1373" s="10" t="n">
        <x:f>0</x:f>
        <x:v>0</x:v>
      </x:c>
      <x:c r="AA1373" s="10" t="n">
        <x:f>Z1373*'Assumptions'!$AC$115*'Assumptions'!$D$11*(1+'Assumptions'!$D$13)^(11-1)</x:f>
        <x:v>0</x:v>
      </x:c>
      <x:c r="AB1373" s="10" t="n">
        <x:f>F1373/1</x:f>
        <x:v>15.733907706132982</x:v>
      </x:c>
      <x:c r="AC1373" s="10" t="n">
        <x:f>AB1373/'Assumptions'!$AM$115</x:f>
        <x:v>78.66953853066491</x:v>
      </x:c>
      <x:c r="AD1373" s="10" t="n">
        <x:f>IF(AB1373=0,0,T1373/AB1373)</x:f>
        <x:v>45.9199265050366</x:v>
      </x:c>
      <x:c r="AE1373" s="10" t="n">
        <x:f>AA1373*'Assumptions'!$D$21</x:f>
        <x:v>0</x:v>
      </x:c>
    </x:row>
    <x:row r="1374" ht="16" customHeight="1">
      <x:c r="A1374" s="1"/>
      <x:c r="B1374" s="1"/>
      <x:c r="C1374" s="1" t="str">
        <x:v>DOT-087</x:v>
      </x:c>
      <x:c r="D1374" s="10" t="str">
        <x:v>Semajes Studio</x:v>
      </x:c>
      <x:c r="E1374" s="10" t="n">
        <x:v>11</x:v>
      </x:c>
      <x:c r="F1374" s="21" t="n">
        <x:f>F1246*(1+'Assumptions'!$M$116)</x:f>
        <x:v>157.82461005703084</x:v>
      </x:c>
      <x:c r="G1374" s="21" t="n">
        <x:f>H1246*'Assumptions'!$K$116</x:f>
        <x:v>64.85493658983752</x:v>
      </x:c>
      <x:c r="H1374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1374+G1374,NA())</x:f>
        <x:v>222.67954664686835</x:v>
      </x:c>
      <x:c r="I1374" s="22" t="n">
        <x:f>'Assumptions'!$H$116*IF('Assumptions'!$O$116=1,1,'Assumptions'!$D$10)*(1+'Assumptions'!$N$116)^(11-1)</x:f>
        <x:v>115.80446989950195</x:v>
      </x:c>
      <x:c r="J1374" s="10" t="n">
        <x:f>H1374*I1374</x:f>
        <x:v>25787.286856902007</x:v>
      </x:c>
      <x:c r="K1374" s="10" t="n">
        <x:f>J1374*'Assumptions'!$T$116</x:f>
        <x:v>25787.286856902007</x:v>
      </x:c>
      <x:c r="L1374" s="10" t="n">
        <x:f>K1374*'Assumptions'!$U$116</x:f>
        <x:v>773.6186057070602</x:v>
      </x:c>
      <x:c r="M1374" s="10" t="n">
        <x:f>K1374*'Assumptions'!$V$116</x:f>
        <x:v>515.7457371380401</x:v>
      </x:c>
      <x:c r="N1374" s="10" t="n">
        <x:f>K1374-L1374-M1374</x:f>
        <x:v>24497.922514056907</x:v>
      </x:c>
      <x:c r="O1374" s="10" t="n">
        <x:f>H1374*'Assumptions'!$P$116*'Assumptions'!$Q$116*'Assumptions'!$D$11*(1+'Assumptions'!$D$13)^(11-1)</x:f>
        <x:v>2244.470175627374</x:v>
      </x:c>
      <x:c r="P1374" s="10" t="n">
        <x:f>H1374*'Assumptions'!$R$116*'Assumptions'!$D$11*(1+'Assumptions'!$D$13)^(11-1)</x:f>
        <x:v>10474.194152927746</x:v>
      </x:c>
      <x:c r="Q1374" s="10" t="n">
        <x:f>J1374*'Assumptions'!$S$116</x:f>
        <x:v>0</x:v>
      </x:c>
      <x:c r="R1374" s="10" t="n">
        <x:f>H1374*'Assumptions'!$Y$116*'Assumptions'!$Z$116*'Assumptions'!$D$11*(1+'Assumptions'!$D$13)^(11-1)</x:f>
        <x:v>1346.6821053764245</x:v>
      </x:c>
      <x:c r="S1374" s="10" t="n">
        <x:f>IF(I1374=0,0,J1374*'Assumptions'!$W$116+H1374*'Assumptions'!$X$116)</x:f>
        <x:v>814.6351828442188</x:v>
      </x:c>
      <x:c r="T1374" s="10" t="n">
        <x:f>N1374*'Assumptions'!$AA$116</x:f>
        <x:v>1959.8338011245526</x:v>
      </x:c>
      <x:c r="U1374" s="10" t="n">
        <x:f>'Assumptions'!$AE$116*'Assumptions'!$D$11*(1+'Assumptions'!$D$13)^(11-1)</x:f>
        <x:v>0</x:v>
      </x:c>
      <x:c r="V1374" s="10" t="n">
        <x:f>0</x:f>
        <x:v>0</x:v>
      </x:c>
      <x:c r="W1374" s="10" t="n">
        <x:f>H1374*('Assumptions'!$P$116+'Assumptions'!$Y$116)</x:f>
        <x:v>66.8038639940605</x:v>
      </x:c>
      <x:c r="X1374" s="10" t="n">
        <x:f>N1374/12*'Assumptions'!$AF$116</x:f>
        <x:v>0</x:v>
      </x:c>
      <x:c r="Y1374" s="10" t="n">
        <x:f>P1374/12</x:f>
        <x:v>872.8495127439788</x:v>
      </x:c>
      <x:c r="Z1374" s="10" t="n">
        <x:f>0</x:f>
        <x:v>0</x:v>
      </x:c>
      <x:c r="AA1374" s="10" t="n">
        <x:f>Z1374*'Assumptions'!$AC$116*'Assumptions'!$D$11*(1+'Assumptions'!$D$13)^(11-1)</x:f>
        <x:v>0</x:v>
      </x:c>
      <x:c r="AB1374" s="10" t="n">
        <x:f>F1374/1</x:f>
        <x:v>157.82461005703084</x:v>
      </x:c>
      <x:c r="AC1374" s="10" t="n">
        <x:f>AB1374/'Assumptions'!$AM$116</x:f>
        <x:v>5260.820335234362</x:v>
      </x:c>
      <x:c r="AD1374" s="10" t="n">
        <x:f>IF(AB1374=0,0,T1374/AB1374)</x:f>
        <x:v>12.41779593446393</x:v>
      </x:c>
      <x:c r="AE1374" s="10" t="n">
        <x:f>AA1374*'Assumptions'!$D$21</x:f>
        <x:v>0</x:v>
      </x:c>
    </x:row>
    <x:row r="1375" ht="16" customHeight="1">
      <x:c r="A1375" s="1"/>
      <x:c r="B1375" s="1"/>
      <x:c r="C1375" s="1" t="str">
        <x:v>DOT-088</x:v>
      </x:c>
      <x:c r="D1375" s="10" t="str">
        <x:v>Semajes Studio</x:v>
      </x:c>
      <x:c r="E1375" s="10" t="n">
        <x:v>11</x:v>
      </x:c>
      <x:c r="F1375" s="21" t="n">
        <x:f>F1247*(1+'Assumptions'!$M$117)</x:f>
        <x:v>78.91230502851542</x:v>
      </x:c>
      <x:c r="G1375" s="21" t="n">
        <x:f>H1247*'Assumptions'!$K$117</x:f>
        <x:v>32.42746829491876</x:v>
      </x:c>
      <x:c r="H1375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1375+G1375,NA())</x:f>
        <x:v>111.33977332343417</x:v>
      </x:c>
      <x:c r="I1375" s="22" t="n">
        <x:f>'Assumptions'!$H$117*IF('Assumptions'!$O$117=1,1,'Assumptions'!$D$10)*(1+'Assumptions'!$N$117)^(11-1)</x:f>
        <x:v>304.74860499868936</x:v>
      </x:c>
      <x:c r="J1375" s="10" t="n">
        <x:f>H1375*I1375</x:f>
        <x:v>33930.64060118685</x:v>
      </x:c>
      <x:c r="K1375" s="10" t="n">
        <x:f>J1375*'Assumptions'!$T$117</x:f>
        <x:v>33930.64060118685</x:v>
      </x:c>
      <x:c r="L1375" s="10" t="n">
        <x:f>K1375*'Assumptions'!$U$117</x:f>
        <x:v>1017.9192180356056</x:v>
      </x:c>
      <x:c r="M1375" s="10" t="n">
        <x:f>K1375*'Assumptions'!$V$117</x:f>
        <x:v>678.6128120237371</x:v>
      </x:c>
      <x:c r="N1375" s="10" t="n">
        <x:f>K1375-L1375-M1375</x:f>
        <x:v>32234.108571127512</x:v>
      </x:c>
      <x:c r="O1375" s="10" t="n">
        <x:f>H1375*'Assumptions'!$P$117*'Assumptions'!$Q$117*'Assumptions'!$D$11*(1+'Assumptions'!$D$13)^(11-1)</x:f>
        <x:v>1870.3918130228117</x:v>
      </x:c>
      <x:c r="P1375" s="10" t="n">
        <x:f>H1375*'Assumptions'!$R$117*'Assumptions'!$D$11*(1+'Assumptions'!$D$13)^(11-1)</x:f>
        <x:v>16459.447954600742</x:v>
      </x:c>
      <x:c r="Q1375" s="10" t="n">
        <x:f>J1375*'Assumptions'!$S$117</x:f>
        <x:v>0</x:v>
      </x:c>
      <x:c r="R1375" s="10" t="n">
        <x:f>H1375*'Assumptions'!$Y$117*'Assumptions'!$Z$117*'Assumptions'!$D$11*(1+'Assumptions'!$D$13)^(11-1)</x:f>
        <x:v>673.3410526882122</x:v>
      </x:c>
      <x:c r="S1375" s="10" t="n">
        <x:f>IF(I1375=0,0,J1375*'Assumptions'!$W$117+H1375*'Assumptions'!$X$117)</x:f>
        <x:v>1017.390509431449</x:v>
      </x:c>
      <x:c r="T1375" s="10" t="n">
        <x:f>N1375*'Assumptions'!$AA$117</x:f>
        <x:v>2578.728685690201</x:v>
      </x:c>
      <x:c r="U1375" s="10" t="n">
        <x:f>'Assumptions'!$AE$117*'Assumptions'!$D$11*(1+'Assumptions'!$D$13)^(11-1)</x:f>
        <x:v>0</x:v>
      </x:c>
      <x:c r="V1375" s="10" t="n">
        <x:f>0</x:f>
        <x:v>0</x:v>
      </x:c>
      <x:c r="W1375" s="10" t="n">
        <x:f>H1375*('Assumptions'!$P$117+'Assumptions'!$Y$117)</x:f>
        <x:v>44.53590932937367</x:v>
      </x:c>
      <x:c r="X1375" s="10" t="n">
        <x:f>N1375/12*'Assumptions'!$AF$117</x:f>
        <x:v>0</x:v>
      </x:c>
      <x:c r="Y1375" s="10" t="n">
        <x:f>P1375/12</x:f>
        <x:v>1371.6206628833952</x:v>
      </x:c>
      <x:c r="Z1375" s="10" t="n">
        <x:f>0</x:f>
        <x:v>0</x:v>
      </x:c>
      <x:c r="AA1375" s="10" t="n">
        <x:f>Z1375*'Assumptions'!$AC$117*'Assumptions'!$D$11*(1+'Assumptions'!$D$13)^(11-1)</x:f>
        <x:v>0</x:v>
      </x:c>
      <x:c r="AB1375" s="10" t="n">
        <x:f>F1375/1</x:f>
        <x:v>78.91230502851542</x:v>
      </x:c>
      <x:c r="AC1375" s="10" t="n">
        <x:f>AB1375/'Assumptions'!$AM$117</x:f>
        <x:v>2630.410167617181</x:v>
      </x:c>
      <x:c r="AD1375" s="10" t="n">
        <x:f>IF(AB1375=0,0,T1375/AB1375)</x:f>
        <x:v>32.67841035385245</x:v>
      </x:c>
      <x:c r="AE1375" s="10" t="n">
        <x:f>AA1375*'Assumptions'!$D$21</x:f>
        <x:v>0</x:v>
      </x:c>
    </x:row>
    <x:row r="1376" ht="16" customHeight="1">
      <x:c r="A1376" s="1"/>
      <x:c r="B1376" s="1"/>
      <x:c r="C1376" s="1" t="str">
        <x:v>DOT-089</x:v>
      </x:c>
      <x:c r="D1376" s="10" t="str">
        <x:v>Semajes Studio</x:v>
      </x:c>
      <x:c r="E1376" s="10" t="n">
        <x:v>11</x:v>
      </x:c>
      <x:c r="F1376" s="21" t="n">
        <x:f>F1248*(1+'Assumptions'!$M$118)</x:f>
        <x:v>31.564922011406157</x:v>
      </x:c>
      <x:c r="G1376" s="21" t="n">
        <x:f>H1248*'Assumptions'!$K$118</x:f>
        <x:v>12.9709873179675</x:v>
      </x:c>
      <x:c r="H1376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1376+G1376,NA())</x:f>
        <x:v>44.53590932937366</x:v>
      </x:c>
      <x:c r="I1376" s="22" t="n">
        <x:f>'Assumptions'!$H$118*IF('Assumptions'!$O$118=1,1,'Assumptions'!$D$10)*(1+'Assumptions'!$N$118)^(11-1)</x:f>
        <x:v>213.32402349908253</x:v>
      </x:c>
      <x:c r="J1376" s="10" t="n">
        <x:f>H1376*I1376</x:f>
        <x:v>9500.579368332315</x:v>
      </x:c>
      <x:c r="K1376" s="10" t="n">
        <x:f>J1376*'Assumptions'!$T$118</x:f>
        <x:v>9500.579368332315</x:v>
      </x:c>
      <x:c r="L1376" s="10" t="n">
        <x:f>K1376*'Assumptions'!$U$118</x:f>
        <x:v>285.01738104996946</x:v>
      </x:c>
      <x:c r="M1376" s="10" t="n">
        <x:f>K1376*'Assumptions'!$V$118</x:f>
        <x:v>190.01158736664632</x:v>
      </x:c>
      <x:c r="N1376" s="10" t="n">
        <x:f>K1376-L1376-M1376</x:f>
        <x:v>9025.5503999157</x:v>
      </x:c>
      <x:c r="O1376" s="10" t="n">
        <x:f>H1376*'Assumptions'!$P$118*'Assumptions'!$Q$118*'Assumptions'!$D$11*(1+'Assumptions'!$D$13)^(11-1)</x:f>
        <x:v>1496.3134504182492</x:v>
      </x:c>
      <x:c r="P1376" s="10" t="n">
        <x:f>H1376*'Assumptions'!$R$118*'Assumptions'!$D$11*(1+'Assumptions'!$D$13)^(11-1)</x:f>
        <x:v>5386.728421505697</x:v>
      </x:c>
      <x:c r="Q1376" s="10" t="n">
        <x:f>J1376*'Assumptions'!$S$118</x:f>
        <x:v>0</x:v>
      </x:c>
      <x:c r="R1376" s="10" t="n">
        <x:f>H1376*'Assumptions'!$Y$118*'Assumptions'!$Z$118*'Assumptions'!$D$11*(1+'Assumptions'!$D$13)^(11-1)</x:f>
        <x:v>269.3364210752848</x:v>
      </x:c>
      <x:c r="S1376" s="10" t="n">
        <x:f>IF(I1376=0,0,J1376*'Assumptions'!$W$118+H1376*'Assumptions'!$X$118)</x:f>
        <x:v>288.87757448044925</x:v>
      </x:c>
      <x:c r="T1376" s="10" t="n">
        <x:f>N1376*'Assumptions'!$AA$118</x:f>
        <x:v>722.0440319932561</x:v>
      </x:c>
      <x:c r="U1376" s="10" t="n">
        <x:f>'Assumptions'!$AE$118*'Assumptions'!$D$11*(1+'Assumptions'!$D$13)^(11-1)</x:f>
        <x:v>0</x:v>
      </x:c>
      <x:c r="V1376" s="10" t="n">
        <x:f>0</x:f>
        <x:v>0</x:v>
      </x:c>
      <x:c r="W1376" s="10" t="n">
        <x:f>H1376*('Assumptions'!$P$118+'Assumptions'!$Y$118)</x:f>
        <x:v>28.94834106409288</x:v>
      </x:c>
      <x:c r="X1376" s="10" t="n">
        <x:f>N1376/12*'Assumptions'!$AF$118</x:f>
        <x:v>0</x:v>
      </x:c>
      <x:c r="Y1376" s="10" t="n">
        <x:f>P1376/12</x:f>
        <x:v>448.8940351254748</x:v>
      </x:c>
      <x:c r="Z1376" s="10" t="n">
        <x:f>0</x:f>
        <x:v>0</x:v>
      </x:c>
      <x:c r="AA1376" s="10" t="n">
        <x:f>Z1376*'Assumptions'!$AC$118*'Assumptions'!$D$11*(1+'Assumptions'!$D$13)^(11-1)</x:f>
        <x:v>0</x:v>
      </x:c>
      <x:c r="AB1376" s="10" t="n">
        <x:f>F1376/1</x:f>
        <x:v>31.564922011406157</x:v>
      </x:c>
      <x:c r="AC1376" s="10" t="n">
        <x:f>AB1376/'Assumptions'!$AM$118</x:f>
        <x:v>1052.1640670468719</x:v>
      </x:c>
      <x:c r="AD1376" s="10" t="n">
        <x:f>IF(AB1376=0,0,T1376/AB1376)</x:f>
        <x:v>22.874887247696716</x:v>
      </x:c>
      <x:c r="AE1376" s="10" t="n">
        <x:f>AA1376*'Assumptions'!$D$21</x:f>
        <x:v>0</x:v>
      </x:c>
    </x:row>
    <x:row r="1377" ht="16" customHeight="1">
      <x:c r="A1377" s="1"/>
      <x:c r="B1377" s="1"/>
      <x:c r="C1377" s="1" t="str">
        <x:v>DOT-090</x:v>
      </x:c>
      <x:c r="D1377" s="10" t="str">
        <x:v>Semajes Marketplace</x:v>
      </x:c>
      <x:c r="E1377" s="10" t="n">
        <x:v>11</x:v>
      </x:c>
      <x:c r="F1377" s="21" t="n">
        <x:f>F1249*(1+'Assumptions'!$M$119)</x:f>
        <x:v>89.13552631497126</x:v>
      </x:c>
      <x:c r="G1377" s="21" t="n">
        <x:f>H1249*'Assumptions'!$K$119</x:f>
        <x:v>181.99561422859355</x:v>
      </x:c>
      <x:c r="H1377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1377+G1377,NA())</x:f>
        <x:v>271.1311405435648</x:v>
      </x:c>
      <x:c r="I1377" s="22" t="n">
        <x:f>'Assumptions'!$H$119*IF('Assumptions'!$O$119=1,1,'Assumptions'!$D$10)*(1+'Assumptions'!$N$119)^(11-1)</x:f>
        <x:v>731.3966519968544</x:v>
      </x:c>
      <x:c r="J1377" s="10" t="n">
        <x:f>H1377*I1377</x:f>
        <x:v>198304.4084456519</x:v>
      </x:c>
      <x:c r="K1377" s="10" t="n">
        <x:f>J1377*'Assumptions'!$T$119</x:f>
        <x:v>29745.661266847783</x:v>
      </x:c>
      <x:c r="L1377" s="10" t="n">
        <x:f>K1377*'Assumptions'!$U$119</x:f>
        <x:v>892.3698380054335</x:v>
      </x:c>
      <x:c r="M1377" s="10" t="n">
        <x:f>K1377*'Assumptions'!$V$119</x:f>
        <x:v>0</x:v>
      </x:c>
      <x:c r="N1377" s="10" t="n">
        <x:f>K1377-L1377-M1377</x:f>
        <x:v>28853.29142884235</x:v>
      </x:c>
      <x:c r="O1377" s="10" t="n">
        <x:f>H1377*'Assumptions'!$P$119*'Assumptions'!$Q$119*'Assumptions'!$D$11*(1+'Assumptions'!$D$13)^(11-1)</x:f>
        <x:v>3188.3038313590623</x:v>
      </x:c>
      <x:c r="P1377" s="10" t="n">
        <x:f>H1377*'Assumptions'!$R$119*'Assumptions'!$D$11*(1+'Assumptions'!$D$13)^(11-1)</x:f>
        <x:v>0</x:v>
      </x:c>
      <x:c r="Q1377" s="10" t="n">
        <x:f>J1377*'Assumptions'!$S$119</x:f>
        <x:v>0</x:v>
      </x:c>
      <x:c r="R1377" s="10" t="n">
        <x:f>H1377*'Assumptions'!$Y$119*'Assumptions'!$Z$119*'Assumptions'!$D$11*(1+'Assumptions'!$D$13)^(11-1)</x:f>
        <x:v>1639.699113270375</x:v>
      </x:c>
      <x:c r="S1377" s="10" t="n">
        <x:f>IF(I1377=0,0,J1377*'Assumptions'!$W$119+H1377*'Assumptions'!$X$119)</x:f>
        <x:v>5832.167187086975</x:v>
      </x:c>
      <x:c r="T1377" s="10" t="n">
        <x:f>N1377*'Assumptions'!$AA$119</x:f>
        <x:v>1442.6645714421174</x:v>
      </x:c>
      <x:c r="U1377" s="10" t="n">
        <x:f>'Assumptions'!$AE$119*'Assumptions'!$D$11*(1+'Assumptions'!$D$13)^(11-1)</x:f>
        <x:v>322.53993104258933</x:v>
      </x:c>
      <x:c r="V1377" s="10" t="n">
        <x:f>0</x:f>
        <x:v>0</x:v>
      </x:c>
      <x:c r="W1377" s="10" t="n">
        <x:f>H1377*('Assumptions'!$P$119+'Assumptions'!$Y$119)</x:f>
        <x:v>108.45245621742593</x:v>
      </x:c>
      <x:c r="X1377" s="10" t="n">
        <x:f>N1377/12*'Assumptions'!$AF$119</x:f>
        <x:v>0</x:v>
      </x:c>
      <x:c r="Y1377" s="10" t="n">
        <x:f>P1377/12</x:f>
        <x:v>0</x:v>
      </x:c>
      <x:c r="Z1377" s="10" t="n">
        <x:f>0</x:f>
        <x:v>0</x:v>
      </x:c>
      <x:c r="AA1377" s="10" t="n">
        <x:f>Z1377*'Assumptions'!$AC$119*'Assumptions'!$D$11*(1+'Assumptions'!$D$13)^(11-1)</x:f>
        <x:v>0</x:v>
      </x:c>
      <x:c r="AB1377" s="10" t="n">
        <x:f>F1377/1</x:f>
        <x:v>89.13552631497126</x:v>
      </x:c>
      <x:c r="AC1377" s="10" t="n">
        <x:f>AB1377/'Assumptions'!$AM$119</x:f>
        <x:v>1782.710526299425</x:v>
      </x:c>
      <x:c r="AD1377" s="10" t="n">
        <x:f>IF(AB1377=0,0,T1377/AB1377)</x:f>
        <x:v>16.18506818868479</x:v>
      </x:c>
      <x:c r="AE1377" s="10" t="n">
        <x:f>AA1377*'Assumptions'!$D$21</x:f>
        <x:v>0</x:v>
      </x:c>
    </x:row>
    <x:row r="1378" ht="16" customHeight="1">
      <x:c r="A1378" s="1"/>
      <x:c r="B1378" s="1"/>
      <x:c r="C1378" s="1" t="str">
        <x:v>DOT-091</x:v>
      </x:c>
      <x:c r="D1378" s="10" t="str">
        <x:v>Semajes Marketplace</x:v>
      </x:c>
      <x:c r="E1378" s="10" t="n">
        <x:v>11</x:v>
      </x:c>
      <x:c r="F1378" s="21" t="n">
        <x:f>F1250*(1+'Assumptions'!$M$120)</x:f>
        <x:v>178.27105262994252</x:v>
      </x:c>
      <x:c r="G1378" s="21" t="n">
        <x:f>H1250*'Assumptions'!$K$120</x:f>
        <x:v>363.9912284571871</x:v>
      </x:c>
      <x:c r="H1378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1378+G1378,NA())</x:f>
        <x:v>542.2622810871296</x:v>
      </x:c>
      <x:c r="I1378" s="22" t="n">
        <x:f>'Assumptions'!$H$120*IF('Assumptions'!$O$120=1,1,'Assumptions'!$D$10)*(1+'Assumptions'!$N$120)^(11-1)</x:f>
        <x:v>91.4245814996068</x:v>
      </x:c>
      <x:c r="J1378" s="10" t="n">
        <x:f>H1378*I1378</x:f>
        <x:v>49576.102111412976</x:v>
      </x:c>
      <x:c r="K1378" s="10" t="n">
        <x:f>J1378*'Assumptions'!$T$120</x:f>
        <x:v>9915.220422282597</x:v>
      </x:c>
      <x:c r="L1378" s="10" t="n">
        <x:f>K1378*'Assumptions'!$U$120</x:f>
        <x:v>297.4566126684779</x:v>
      </x:c>
      <x:c r="M1378" s="10" t="n">
        <x:f>K1378*'Assumptions'!$V$120</x:f>
        <x:v>0</x:v>
      </x:c>
      <x:c r="N1378" s="10" t="n">
        <x:f>K1378-L1378-M1378</x:f>
        <x:v>9617.763809614118</x:v>
      </x:c>
      <x:c r="O1378" s="10" t="n">
        <x:f>H1378*'Assumptions'!$P$120*'Assumptions'!$Q$120*'Assumptions'!$D$11*(1+'Assumptions'!$D$13)^(11-1)</x:f>
        <x:v>2550.64306508725</x:v>
      </x:c>
      <x:c r="P1378" s="10" t="n">
        <x:f>H1378*'Assumptions'!$R$120*'Assumptions'!$D$11*(1+'Assumptions'!$D$13)^(11-1)</x:f>
        <x:v>0</x:v>
      </x:c>
      <x:c r="Q1378" s="10" t="n">
        <x:f>J1378*'Assumptions'!$S$120</x:f>
        <x:v>0</x:v>
      </x:c>
      <x:c r="R1378" s="10" t="n">
        <x:f>H1378*'Assumptions'!$Y$120*'Assumptions'!$Z$120*'Assumptions'!$D$11*(1+'Assumptions'!$D$13)^(11-1)</x:f>
        <x:v>3279.39822654075</x:v>
      </x:c>
      <x:c r="S1378" s="10" t="n">
        <x:f>IF(I1378=0,0,J1378*'Assumptions'!$W$120+H1378*'Assumptions'!$X$120)</x:f>
        <x:v>1600.3856455571151</x:v>
      </x:c>
      <x:c r="T1378" s="10" t="n">
        <x:f>N1378*'Assumptions'!$AA$120</x:f>
        <x:v>480.88819048070593</x:v>
      </x:c>
      <x:c r="U1378" s="10" t="n">
        <x:f>'Assumptions'!$AE$120*'Assumptions'!$D$11*(1+'Assumptions'!$D$13)^(11-1)</x:f>
        <x:v>0</x:v>
      </x:c>
      <x:c r="V1378" s="10" t="n">
        <x:f>0</x:f>
        <x:v>0</x:v>
      </x:c>
      <x:c r="W1378" s="10" t="n">
        <x:f>H1378*('Assumptions'!$P$120+'Assumptions'!$Y$120)</x:f>
        <x:v>135.5655702717824</x:v>
      </x:c>
      <x:c r="X1378" s="10" t="n">
        <x:f>N1378/12*'Assumptions'!$AF$120</x:f>
        <x:v>0</x:v>
      </x:c>
      <x:c r="Y1378" s="10" t="n">
        <x:f>P1378/12</x:f>
        <x:v>0</x:v>
      </x:c>
      <x:c r="Z1378" s="10" t="n">
        <x:f>0</x:f>
        <x:v>0</x:v>
      </x:c>
      <x:c r="AA1378" s="10" t="n">
        <x:f>Z1378*'Assumptions'!$AC$120*'Assumptions'!$D$11*(1+'Assumptions'!$D$13)^(11-1)</x:f>
        <x:v>0</x:v>
      </x:c>
      <x:c r="AB1378" s="10" t="n">
        <x:f>F1378/1</x:f>
        <x:v>178.27105262994252</x:v>
      </x:c>
      <x:c r="AC1378" s="10" t="n">
        <x:f>AB1378/'Assumptions'!$AM$120</x:f>
        <x:v>3565.42105259885</x:v>
      </x:c>
      <x:c r="AD1378" s="10" t="n">
        <x:f>IF(AB1378=0,0,T1378/AB1378)</x:f>
        <x:v>2.6975113647807993</x:v>
      </x:c>
      <x:c r="AE1378" s="10" t="n">
        <x:f>AA1378*'Assumptions'!$D$21</x:f>
        <x:v>0</x:v>
      </x:c>
    </x:row>
    <x:row r="1379" ht="16" customHeight="1">
      <x:c r="A1379" s="1"/>
      <x:c r="B1379" s="1"/>
      <x:c r="C1379" s="1" t="str">
        <x:v>DOT-092</x:v>
      </x:c>
      <x:c r="D1379" s="10" t="str">
        <x:v>Semajes Marketplace</x:v>
      </x:c>
      <x:c r="E1379" s="10" t="n">
        <x:v>11</x:v>
      </x:c>
      <x:c r="F1379" s="21" t="n">
        <x:f>F1251*(1+'Assumptions'!$M$121)</x:f>
        <x:v>89.13552631497126</x:v>
      </x:c>
      <x:c r="G1379" s="21" t="n">
        <x:f>H1251*'Assumptions'!$K$121</x:f>
        <x:v>181.99561422859355</x:v>
      </x:c>
      <x:c r="H1379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1379+G1379,NA())</x:f>
        <x:v>271.1311405435648</x:v>
      </x:c>
      <x:c r="I1379" s="22" t="n">
        <x:f>'Assumptions'!$H$121*IF('Assumptions'!$O$121=1,1,'Assumptions'!$D$10)*(1+'Assumptions'!$N$121)^(11-1)</x:f>
        <x:v>304.74860499868936</x:v>
      </x:c>
      <x:c r="J1379" s="10" t="n">
        <x:f>H1379*I1379</x:f>
        <x:v>82626.83685235496</x:v>
      </x:c>
      <x:c r="K1379" s="10" t="n">
        <x:f>J1379*'Assumptions'!$T$121</x:f>
        <x:v>16525.36737047099</x:v>
      </x:c>
      <x:c r="L1379" s="10" t="n">
        <x:f>K1379*'Assumptions'!$U$121</x:f>
        <x:v>495.76102111412973</x:v>
      </x:c>
      <x:c r="M1379" s="10" t="n">
        <x:f>K1379*'Assumptions'!$V$121</x:f>
        <x:v>0</x:v>
      </x:c>
      <x:c r="N1379" s="10" t="n">
        <x:f>K1379-L1379-M1379</x:f>
        <x:v>16029.606349356862</x:v>
      </x:c>
      <x:c r="O1379" s="10" t="n">
        <x:f>H1379*'Assumptions'!$P$121*'Assumptions'!$Q$121*'Assumptions'!$D$11*(1+'Assumptions'!$D$13)^(11-1)</x:f>
        <x:v>1912.9822988154374</x:v>
      </x:c>
      <x:c r="P1379" s="10" t="n">
        <x:f>H1379*'Assumptions'!$R$121*'Assumptions'!$D$11*(1+'Assumptions'!$D$13)^(11-1)</x:f>
        <x:v>0</x:v>
      </x:c>
      <x:c r="Q1379" s="10" t="n">
        <x:f>J1379*'Assumptions'!$S$121</x:f>
        <x:v>0</x:v>
      </x:c>
      <x:c r="R1379" s="10" t="n">
        <x:f>H1379*'Assumptions'!$Y$121*'Assumptions'!$Z$121*'Assumptions'!$D$11*(1+'Assumptions'!$D$13)^(11-1)</x:f>
        <x:v>1639.699113270375</x:v>
      </x:c>
      <x:c r="S1379" s="10" t="n">
        <x:f>IF(I1379=0,0,J1379*'Assumptions'!$W$121+H1379*'Assumptions'!$X$121)</x:f>
        <x:v>2477.5176108813635</x:v>
      </x:c>
      <x:c r="T1379" s="10" t="n">
        <x:f>N1379*'Assumptions'!$AA$121</x:f>
        <x:v>801.4803174678432</x:v>
      </x:c>
      <x:c r="U1379" s="10" t="n">
        <x:f>'Assumptions'!$AE$121*'Assumptions'!$D$11*(1+'Assumptions'!$D$13)^(11-1)</x:f>
        <x:v>0</x:v>
      </x:c>
      <x:c r="V1379" s="10" t="n">
        <x:f>0</x:f>
        <x:v>0</x:v>
      </x:c>
      <x:c r="W1379" s="10" t="n">
        <x:f>H1379*('Assumptions'!$P$121+'Assumptions'!$Y$121)</x:f>
        <x:v>81.33934216306945</x:v>
      </x:c>
      <x:c r="X1379" s="10" t="n">
        <x:f>N1379/12*'Assumptions'!$AF$121</x:f>
        <x:v>0</x:v>
      </x:c>
      <x:c r="Y1379" s="10" t="n">
        <x:f>P1379/12</x:f>
        <x:v>0</x:v>
      </x:c>
      <x:c r="Z1379" s="10" t="n">
        <x:f>0</x:f>
        <x:v>0</x:v>
      </x:c>
      <x:c r="AA1379" s="10" t="n">
        <x:f>Z1379*'Assumptions'!$AC$121*'Assumptions'!$D$11*(1+'Assumptions'!$D$13)^(11-1)</x:f>
        <x:v>0</x:v>
      </x:c>
      <x:c r="AB1379" s="10" t="n">
        <x:f>F1379/1</x:f>
        <x:v>89.13552631497126</x:v>
      </x:c>
      <x:c r="AC1379" s="10" t="n">
        <x:f>AB1379/'Assumptions'!$AM$121</x:f>
        <x:v>1782.710526299425</x:v>
      </x:c>
      <x:c r="AD1379" s="10" t="n">
        <x:f>IF(AB1379=0,0,T1379/AB1379)</x:f>
        <x:v>8.99170454926933</x:v>
      </x:c>
      <x:c r="AE1379" s="10" t="n">
        <x:f>AA1379*'Assumptions'!$D$21</x:f>
        <x:v>0</x:v>
      </x:c>
    </x:row>
    <x:row r="1380" ht="16" customHeight="1">
      <x:c r="A1380" s="1"/>
      <x:c r="B1380" s="1"/>
      <x:c r="C1380" s="1" t="str">
        <x:v>DOT-093</x:v>
      </x:c>
      <x:c r="D1380" s="10" t="str">
        <x:v>Semajes Marketplace</x:v>
      </x:c>
      <x:c r="E1380" s="10" t="n">
        <x:v>11</x:v>
      </x:c>
      <x:c r="F1380" s="21" t="n">
        <x:f>F1252*(1+'Assumptions'!$M$122)</x:f>
        <x:v>17.827105262994248</x:v>
      </x:c>
      <x:c r="G1380" s="21" t="n">
        <x:f>H1252*'Assumptions'!$K$122</x:f>
        <x:v>36.39912284571871</x:v>
      </x:c>
      <x:c r="H1380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1380+G1380,NA())</x:f>
        <x:v>54.22622810871296</x:v>
      </x:c>
      <x:c r="I1380" s="22" t="n">
        <x:f>'Assumptions'!$H$122*IF('Assumptions'!$O$122=1,1,'Assumptions'!$D$10)*(1+'Assumptions'!$N$122)^(11-1)</x:f>
        <x:v>609.4972099973787</x:v>
      </x:c>
      <x:c r="J1380" s="10" t="n">
        <x:f>H1380*I1380</x:f>
        <x:v>33050.73474094198</x:v>
      </x:c>
      <x:c r="K1380" s="10" t="n">
        <x:f>J1380*'Assumptions'!$T$122</x:f>
        <x:v>4957.610211141297</x:v>
      </x:c>
      <x:c r="L1380" s="10" t="n">
        <x:f>K1380*'Assumptions'!$U$122</x:f>
        <x:v>148.7283063342389</x:v>
      </x:c>
      <x:c r="M1380" s="10" t="n">
        <x:f>K1380*'Assumptions'!$V$122</x:f>
        <x:v>0</x:v>
      </x:c>
      <x:c r="N1380" s="10" t="n">
        <x:f>K1380-L1380-M1380</x:f>
        <x:v>4808.881904807058</x:v>
      </x:c>
      <x:c r="O1380" s="10" t="n">
        <x:f>H1380*'Assumptions'!$P$122*'Assumptions'!$Q$122*'Assumptions'!$D$11*(1+'Assumptions'!$D$13)^(11-1)</x:f>
        <x:v>637.6607662718123</x:v>
      </x:c>
      <x:c r="P1380" s="10" t="n">
        <x:f>H1380*'Assumptions'!$R$122*'Assumptions'!$D$11*(1+'Assumptions'!$D$13)^(11-1)</x:f>
        <x:v>0</x:v>
      </x:c>
      <x:c r="Q1380" s="10" t="n">
        <x:f>J1380*'Assumptions'!$S$122</x:f>
        <x:v>0</x:v>
      </x:c>
      <x:c r="R1380" s="10" t="n">
        <x:f>H1380*'Assumptions'!$Y$122*'Assumptions'!$Z$122*'Assumptions'!$D$11*(1+'Assumptions'!$D$13)^(11-1)</x:f>
        <x:v>327.939822654075</x:v>
      </x:c>
      <x:c r="S1380" s="10" t="n">
        <x:f>IF(I1380=0,0,J1380*'Assumptions'!$W$122+H1380*'Assumptions'!$X$122)</x:f>
        <x:v>974.7391759199314</x:v>
      </x:c>
      <x:c r="T1380" s="10" t="n">
        <x:f>N1380*'Assumptions'!$AA$122</x:f>
        <x:v>240.4440952403529</x:v>
      </x:c>
      <x:c r="U1380" s="10" t="n">
        <x:f>'Assumptions'!$AE$122*'Assumptions'!$D$11*(1+'Assumptions'!$D$13)^(11-1)</x:f>
        <x:v>0</x:v>
      </x:c>
      <x:c r="V1380" s="10" t="n">
        <x:f>0</x:f>
        <x:v>0</x:v>
      </x:c>
      <x:c r="W1380" s="10" t="n">
        <x:f>H1380*('Assumptions'!$P$122+'Assumptions'!$Y$122)</x:f>
        <x:v>21.690491243485184</x:v>
      </x:c>
      <x:c r="X1380" s="10" t="n">
        <x:f>N1380/12*'Assumptions'!$AF$122</x:f>
        <x:v>0</x:v>
      </x:c>
      <x:c r="Y1380" s="10" t="n">
        <x:f>P1380/12</x:f>
        <x:v>0</x:v>
      </x:c>
      <x:c r="Z1380" s="10" t="n">
        <x:f>0</x:f>
        <x:v>0</x:v>
      </x:c>
      <x:c r="AA1380" s="10" t="n">
        <x:f>Z1380*'Assumptions'!$AC$122*'Assumptions'!$D$11*(1+'Assumptions'!$D$13)^(11-1)</x:f>
        <x:v>0</x:v>
      </x:c>
      <x:c r="AB1380" s="10" t="n">
        <x:f>F1380/1</x:f>
        <x:v>17.827105262994248</x:v>
      </x:c>
      <x:c r="AC1380" s="10" t="n">
        <x:f>AB1380/'Assumptions'!$AM$122</x:f>
        <x:v>356.5421052598849</x:v>
      </x:c>
      <x:c r="AD1380" s="10" t="n">
        <x:f>IF(AB1380=0,0,T1380/AB1380)</x:f>
        <x:v>13.487556823903995</x:v>
      </x:c>
      <x:c r="AE1380" s="10" t="n">
        <x:f>AA1380*'Assumptions'!$D$21</x:f>
        <x:v>0</x:v>
      </x:c>
    </x:row>
    <x:row r="1381" ht="16" customHeight="1">
      <x:c r="A1381" s="1"/>
      <x:c r="B1381" s="1"/>
      <x:c r="C1381" s="1" t="str">
        <x:v>DOT-094</x:v>
      </x:c>
      <x:c r="D1381" s="10" t="str">
        <x:v>Semajes premium and media</x:v>
      </x:c>
      <x:c r="E1381" s="10" t="n">
        <x:v>11</x:v>
      </x:c>
      <x:c r="F1381" s="21" t="n">
        <x:f>F1253*(1+'Assumptions'!$M$123)</x:f>
        <x:v>89.13552631497126</x:v>
      </x:c>
      <x:c r="G1381" s="21" t="n">
        <x:f>H1253*'Assumptions'!$K$123</x:f>
        <x:v>181.99561422859355</x:v>
      </x:c>
      <x:c r="H1381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1381+G1381,NA())</x:f>
        <x:v>271.1311405435648</x:v>
      </x:c>
      <x:c r="I1381" s="22" t="n">
        <x:f>'Assumptions'!$H$123*IF('Assumptions'!$O$123=1,1,'Assumptions'!$D$10)*(1+'Assumptions'!$N$123)^(11-1)</x:f>
        <x:v>10.970949779952816</x:v>
      </x:c>
      <x:c r="J1381" s="10" t="n">
        <x:f>H1381*I1381</x:f>
        <x:v>2974.5661266847783</x:v>
      </x:c>
      <x:c r="K1381" s="10" t="n">
        <x:f>J1381*'Assumptions'!$T$123</x:f>
        <x:v>2974.5661266847783</x:v>
      </x:c>
      <x:c r="L1381" s="10" t="n">
        <x:f>K1381*'Assumptions'!$U$123</x:f>
        <x:v>89.23698380054334</x:v>
      </x:c>
      <x:c r="M1381" s="10" t="n">
        <x:f>K1381*'Assumptions'!$V$123</x:f>
        <x:v>0</x:v>
      </x:c>
      <x:c r="N1381" s="10" t="n">
        <x:f>K1381-L1381-M1381</x:f>
        <x:v>2885.329142884235</x:v>
      </x:c>
      <x:c r="O1381" s="10" t="n">
        <x:f>H1381*'Assumptions'!$P$123*'Assumptions'!$Q$123*'Assumptions'!$D$11*(1+'Assumptions'!$D$13)^(11-1)</x:f>
        <x:v>637.6607662718125</x:v>
      </x:c>
      <x:c r="P1381" s="10" t="n">
        <x:f>H1381*'Assumptions'!$R$123*'Assumptions'!$D$11*(1+'Assumptions'!$D$13)^(11-1)</x:f>
        <x:v>0</x:v>
      </x:c>
      <x:c r="Q1381" s="10" t="n">
        <x:f>J1381*'Assumptions'!$S$123</x:f>
        <x:v>0</x:v>
      </x:c>
      <x:c r="R1381" s="10" t="n">
        <x:f>H1381*'Assumptions'!$Y$123*'Assumptions'!$Z$123*'Assumptions'!$D$11*(1+'Assumptions'!$D$13)^(11-1)</x:f>
        <x:v>1639.699113270375</x:v>
      </x:c>
      <x:c r="S1381" s="10" t="n">
        <x:f>IF(I1381=0,0,J1381*'Assumptions'!$W$123+H1381*'Assumptions'!$X$123)</x:f>
        <x:v>167.601759836928</x:v>
      </x:c>
      <x:c r="T1381" s="10" t="n">
        <x:f>N1381*'Assumptions'!$AA$123</x:f>
        <x:v>144.26645714421176</x:v>
      </x:c>
      <x:c r="U1381" s="10" t="n">
        <x:f>'Assumptions'!$AE$123*'Assumptions'!$D$11*(1+'Assumptions'!$D$13)^(11-1)</x:f>
        <x:v>0</x:v>
      </x:c>
      <x:c r="V1381" s="10" t="n">
        <x:f>0</x:f>
        <x:v>0</x:v>
      </x:c>
      <x:c r="W1381" s="10" t="n">
        <x:f>H1381*('Assumptions'!$P$123+'Assumptions'!$Y$123)</x:f>
        <x:v>54.22622810871297</x:v>
      </x:c>
      <x:c r="X1381" s="10" t="n">
        <x:f>N1381/12*'Assumptions'!$AF$123</x:f>
        <x:v>0</x:v>
      </x:c>
      <x:c r="Y1381" s="10" t="n">
        <x:f>P1381/12</x:f>
        <x:v>0</x:v>
      </x:c>
      <x:c r="Z1381" s="10" t="n">
        <x:f>0</x:f>
        <x:v>0</x:v>
      </x:c>
      <x:c r="AA1381" s="10" t="n">
        <x:f>Z1381*'Assumptions'!$AC$123*'Assumptions'!$D$11*(1+'Assumptions'!$D$13)^(11-1)</x:f>
        <x:v>0</x:v>
      </x:c>
      <x:c r="AB1381" s="10" t="n">
        <x:f>F1381/12</x:f>
        <x:v>7.427960526247605</x:v>
      </x:c>
      <x:c r="AC1381" s="10" t="n">
        <x:f>AB1381/'Assumptions'!$AM$123</x:f>
        <x:v>148.5592105249521</x:v>
      </x:c>
      <x:c r="AD1381" s="10" t="n">
        <x:f>IF(AB1381=0,0,T1381/AB1381)</x:f>
        <x:v>19.42208182642175</x:v>
      </x:c>
      <x:c r="AE1381" s="10" t="n">
        <x:f>AA1381*'Assumptions'!$D$21</x:f>
        <x:v>0</x:v>
      </x:c>
    </x:row>
    <x:row r="1382" ht="16" customHeight="1">
      <x:c r="A1382" s="1"/>
      <x:c r="B1382" s="1"/>
      <x:c r="C1382" s="1" t="str">
        <x:v>DOT-095</x:v>
      </x:c>
      <x:c r="D1382" s="10" t="str">
        <x:v>Semajes premium and media</x:v>
      </x:c>
      <x:c r="E1382" s="10" t="n">
        <x:v>11</x:v>
      </x:c>
      <x:c r="F1382" s="21" t="n">
        <x:f>F1254*(1+'Assumptions'!$M$124)</x:f>
        <x:v>89.13552631497126</x:v>
      </x:c>
      <x:c r="G1382" s="21" t="n">
        <x:f>H1254*'Assumptions'!$K$124</x:f>
        <x:v>181.99561422859355</x:v>
      </x:c>
      <x:c r="H1382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1382+G1382,NA())</x:f>
        <x:v>271.1311405435648</x:v>
      </x:c>
      <x:c r="I1382" s="22" t="n">
        <x:f>'Assumptions'!$H$124*IF('Assumptions'!$O$124=1,1,'Assumptions'!$D$10)*(1+'Assumptions'!$N$124)^(11-1)</x:f>
        <x:v>23.16089397990039</x:v>
      </x:c>
      <x:c r="J1382" s="10" t="n">
        <x:f>H1382*I1382</x:f>
        <x:v>6279.639600778977</x:v>
      </x:c>
      <x:c r="K1382" s="10" t="n">
        <x:f>J1382*'Assumptions'!$T$124</x:f>
        <x:v>6279.639600778977</x:v>
      </x:c>
      <x:c r="L1382" s="10" t="n">
        <x:f>K1382*'Assumptions'!$U$124</x:f>
        <x:v>188.38918802336931</x:v>
      </x:c>
      <x:c r="M1382" s="10" t="n">
        <x:f>K1382*'Assumptions'!$V$124</x:f>
        <x:v>0</x:v>
      </x:c>
      <x:c r="N1382" s="10" t="n">
        <x:f>K1382-L1382-M1382</x:f>
        <x:v>6091.250412755608</x:v>
      </x:c>
      <x:c r="O1382" s="10" t="n">
        <x:f>H1382*'Assumptions'!$P$124*'Assumptions'!$Q$124*'Assumptions'!$D$11*(1+'Assumptions'!$D$13)^(11-1)</x:f>
        <x:v>1275.321532543625</x:v>
      </x:c>
      <x:c r="P1382" s="10" t="n">
        <x:f>H1382*'Assumptions'!$R$124*'Assumptions'!$D$11*(1+'Assumptions'!$D$13)^(11-1)</x:f>
        <x:v>0</x:v>
      </x:c>
      <x:c r="Q1382" s="10" t="n">
        <x:f>J1382*'Assumptions'!$S$124</x:f>
        <x:v>0</x:v>
      </x:c>
      <x:c r="R1382" s="10" t="n">
        <x:f>H1382*'Assumptions'!$Y$124*'Assumptions'!$Z$124*'Assumptions'!$D$11*(1+'Assumptions'!$D$13)^(11-1)</x:f>
        <x:v>1639.699113270375</x:v>
      </x:c>
      <x:c r="S1382" s="10" t="n">
        <x:f>IF(I1382=0,0,J1382*'Assumptions'!$W$124+H1382*'Assumptions'!$X$124)</x:f>
        <x:v>263.4488905856598</x:v>
      </x:c>
      <x:c r="T1382" s="10" t="n">
        <x:f>N1382*'Assumptions'!$AA$124</x:f>
        <x:v>304.5625206377804</x:v>
      </x:c>
      <x:c r="U1382" s="10" t="n">
        <x:f>'Assumptions'!$AE$124*'Assumptions'!$D$11*(1+'Assumptions'!$D$13)^(11-1)</x:f>
        <x:v>0</x:v>
      </x:c>
      <x:c r="V1382" s="10" t="n">
        <x:f>0</x:f>
        <x:v>0</x:v>
      </x:c>
      <x:c r="W1382" s="10" t="n">
        <x:f>H1382*('Assumptions'!$P$124+'Assumptions'!$Y$124)</x:f>
        <x:v>67.7827851358912</x:v>
      </x:c>
      <x:c r="X1382" s="10" t="n">
        <x:f>N1382/12*'Assumptions'!$AF$124</x:f>
        <x:v>0</x:v>
      </x:c>
      <x:c r="Y1382" s="10" t="n">
        <x:f>P1382/12</x:f>
        <x:v>0</x:v>
      </x:c>
      <x:c r="Z1382" s="10" t="n">
        <x:f>0</x:f>
        <x:v>0</x:v>
      </x:c>
      <x:c r="AA1382" s="10" t="n">
        <x:f>Z1382*'Assumptions'!$AC$124*'Assumptions'!$D$11*(1+'Assumptions'!$D$13)^(11-1)</x:f>
        <x:v>0</x:v>
      </x:c>
      <x:c r="AB1382" s="10" t="n">
        <x:f>F1382/12</x:f>
        <x:v>7.427960526247605</x:v>
      </x:c>
      <x:c r="AC1382" s="10" t="n">
        <x:f>AB1382/'Assumptions'!$AM$124</x:f>
        <x:v>148.5592105249521</x:v>
      </x:c>
      <x:c r="AD1382" s="10" t="n">
        <x:f>IF(AB1382=0,0,T1382/AB1382)</x:f>
        <x:v>41.002172744668144</x:v>
      </x:c>
      <x:c r="AE1382" s="10" t="n">
        <x:f>AA1382*'Assumptions'!$D$21</x:f>
        <x:v>0</x:v>
      </x:c>
    </x:row>
    <x:row r="1383" ht="16" customHeight="1">
      <x:c r="A1383" s="1"/>
      <x:c r="B1383" s="1"/>
      <x:c r="C1383" s="1" t="str">
        <x:v>DOT-096</x:v>
      </x:c>
      <x:c r="D1383" s="10" t="str">
        <x:v>Semajes premium and media</x:v>
      </x:c>
      <x:c r="E1383" s="10" t="n">
        <x:v>11</x:v>
      </x:c>
      <x:c r="F1383" s="21" t="n">
        <x:f>F1255*(1+'Assumptions'!$M$125)</x:f>
        <x:v>44.56776315748563</x:v>
      </x:c>
      <x:c r="G1383" s="21" t="n">
        <x:f>H1255*'Assumptions'!$K$125</x:f>
        <x:v>90.99780711429678</x:v>
      </x:c>
      <x:c r="H1383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1383+G1383,NA())</x:f>
        <x:v>135.5655702717824</x:v>
      </x:c>
      <x:c r="I1383" s="22" t="n">
        <x:f>'Assumptions'!$H$125*IF('Assumptions'!$O$125=1,1,'Assumptions'!$D$10)*(1+'Assumptions'!$N$125)^(11-1)</x:f>
        <x:v>47.54078237979554</x:v>
      </x:c>
      <x:c r="J1383" s="10" t="n">
        <x:f>H1383*I1383</x:f>
        <x:v>6444.893274483687</x:v>
      </x:c>
      <x:c r="K1383" s="10" t="n">
        <x:f>J1383*'Assumptions'!$T$125</x:f>
        <x:v>6444.893274483687</x:v>
      </x:c>
      <x:c r="L1383" s="10" t="n">
        <x:f>K1383*'Assumptions'!$U$125</x:f>
        <x:v>193.3467982345106</x:v>
      </x:c>
      <x:c r="M1383" s="10" t="n">
        <x:f>K1383*'Assumptions'!$V$125</x:f>
        <x:v>0</x:v>
      </x:c>
      <x:c r="N1383" s="10" t="n">
        <x:f>K1383-L1383-M1383</x:f>
        <x:v>6251.546476249176</x:v>
      </x:c>
      <x:c r="O1383" s="10" t="n">
        <x:f>H1383*'Assumptions'!$P$125*'Assumptions'!$Q$125*'Assumptions'!$D$11*(1+'Assumptions'!$D$13)^(11-1)</x:f>
        <x:v>1275.321532543625</x:v>
      </x:c>
      <x:c r="P1383" s="10" t="n">
        <x:f>H1383*'Assumptions'!$R$125*'Assumptions'!$D$11*(1+'Assumptions'!$D$13)^(11-1)</x:f>
        <x:v>0</x:v>
      </x:c>
      <x:c r="Q1383" s="10" t="n">
        <x:f>J1383*'Assumptions'!$S$125</x:f>
        <x:v>0</x:v>
      </x:c>
      <x:c r="R1383" s="10" t="n">
        <x:f>H1383*'Assumptions'!$Y$125*'Assumptions'!$Z$125*'Assumptions'!$D$11*(1+'Assumptions'!$D$13)^(11-1)</x:f>
        <x:v>819.8495566351875</x:v>
      </x:c>
      <x:c r="S1383" s="10" t="n">
        <x:f>IF(I1383=0,0,J1383*'Assumptions'!$W$125+H1383*'Assumptions'!$X$125)</x:f>
        <x:v>227.57157604156163</x:v>
      </x:c>
      <x:c r="T1383" s="10" t="n">
        <x:f>N1383*'Assumptions'!$AA$125</x:f>
        <x:v>312.5773238124588</x:v>
      </x:c>
      <x:c r="U1383" s="10" t="n">
        <x:f>'Assumptions'!$AE$125*'Assumptions'!$D$11*(1+'Assumptions'!$D$13)^(11-1)</x:f>
        <x:v>0</x:v>
      </x:c>
      <x:c r="V1383" s="10" t="n">
        <x:f>0</x:f>
        <x:v>0</x:v>
      </x:c>
      <x:c r="W1383" s="10" t="n">
        <x:f>H1383*('Assumptions'!$P$125+'Assumptions'!$Y$125)</x:f>
        <x:v>47.44794959512384</x:v>
      </x:c>
      <x:c r="X1383" s="10" t="n">
        <x:f>N1383/12*'Assumptions'!$AF$125</x:f>
        <x:v>0</x:v>
      </x:c>
      <x:c r="Y1383" s="10" t="n">
        <x:f>P1383/12</x:f>
        <x:v>0</x:v>
      </x:c>
      <x:c r="Z1383" s="10" t="n">
        <x:f>0</x:f>
        <x:v>0</x:v>
      </x:c>
      <x:c r="AA1383" s="10" t="n">
        <x:f>Z1383*'Assumptions'!$AC$125*'Assumptions'!$D$11*(1+'Assumptions'!$D$13)^(11-1)</x:f>
        <x:v>0</x:v>
      </x:c>
      <x:c r="AB1383" s="10" t="n">
        <x:f>F1383/12</x:f>
        <x:v>3.7139802631238026</x:v>
      </x:c>
      <x:c r="AC1383" s="10" t="n">
        <x:f>AB1383/'Assumptions'!$AM$125</x:f>
        <x:v>74.27960526247605</x:v>
      </x:c>
      <x:c r="AD1383" s="10" t="n">
        <x:f>IF(AB1383=0,0,T1383/AB1383)</x:f>
        <x:v>84.16235458116093</x:v>
      </x:c>
      <x:c r="AE1383" s="10" t="n">
        <x:f>AA1383*'Assumptions'!$D$21</x:f>
        <x:v>0</x:v>
      </x:c>
    </x:row>
    <x:row r="1384" ht="16" customHeight="1">
      <x:c r="A1384" s="1"/>
      <x:c r="B1384" s="1"/>
      <x:c r="C1384" s="1" t="str">
        <x:v>DOT-097</x:v>
      </x:c>
      <x:c r="D1384" s="10" t="str">
        <x:v>Semajes premium and media</x:v>
      </x:c>
      <x:c r="E1384" s="10" t="n">
        <x:v>11</x:v>
      </x:c>
      <x:c r="F1384" s="21" t="n">
        <x:f>F1256*(1+'Assumptions'!$M$126)</x:f>
        <x:v>26.74065789449137</x:v>
      </x:c>
      <x:c r="G1384" s="21" t="n">
        <x:f>H1256*'Assumptions'!$K$126</x:f>
        <x:v>54.59868426857805</x:v>
      </x:c>
      <x:c r="H1384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1384+G1384,NA())</x:f>
        <x:v>81.33934216306942</x:v>
      </x:c>
      <x:c r="I1384" s="22" t="n">
        <x:f>'Assumptions'!$H$126*IF('Assumptions'!$O$126=1,1,'Assumptions'!$D$10)*(1+'Assumptions'!$N$126)^(11-1)</x:f>
        <x:v>120.68044757948097</x:v>
      </x:c>
      <x:c r="J1384" s="10" t="n">
        <x:f>H1384*I1384</x:f>
        <x:v>9816.068218059765</x:v>
      </x:c>
      <x:c r="K1384" s="10" t="n">
        <x:f>J1384*'Assumptions'!$T$126</x:f>
        <x:v>9816.068218059765</x:v>
      </x:c>
      <x:c r="L1384" s="10" t="n">
        <x:f>K1384*'Assumptions'!$U$126</x:f>
        <x:v>294.48204654179295</x:v>
      </x:c>
      <x:c r="M1384" s="10" t="n">
        <x:f>K1384*'Assumptions'!$V$126</x:f>
        <x:v>0</x:v>
      </x:c>
      <x:c r="N1384" s="10" t="n">
        <x:f>K1384-L1384-M1384</x:f>
        <x:v>9521.586171517973</x:v>
      </x:c>
      <x:c r="O1384" s="10" t="n">
        <x:f>H1384*'Assumptions'!$P$126*'Assumptions'!$Q$126*'Assumptions'!$D$11*(1+'Assumptions'!$D$13)^(11-1)</x:f>
        <x:v>3825.9645976308734</x:v>
      </x:c>
      <x:c r="P1384" s="10" t="n">
        <x:f>H1384*'Assumptions'!$R$126*'Assumptions'!$D$11*(1+'Assumptions'!$D$13)^(11-1)</x:f>
        <x:v>0</x:v>
      </x:c>
      <x:c r="Q1384" s="10" t="n">
        <x:f>J1384*'Assumptions'!$S$126</x:f>
        <x:v>0</x:v>
      </x:c>
      <x:c r="R1384" s="10" t="n">
        <x:f>H1384*'Assumptions'!$Y$126*'Assumptions'!$Z$126*'Assumptions'!$D$11*(1+'Assumptions'!$D$13)^(11-1)</x:f>
        <x:v>491.9097339811123</x:v>
      </x:c>
      <x:c r="S1384" s="10" t="n">
        <x:f>IF(I1384=0,0,J1384*'Assumptions'!$W$126+H1384*'Assumptions'!$X$126)</x:f>
        <x:v>309.067780972654</x:v>
      </x:c>
      <x:c r="T1384" s="10" t="n">
        <x:f>N1384*'Assumptions'!$AA$126</x:f>
        <x:v>476.07930857589866</x:v>
      </x:c>
      <x:c r="U1384" s="10" t="n">
        <x:f>'Assumptions'!$AE$126*'Assumptions'!$D$11*(1+'Assumptions'!$D$13)^(11-1)</x:f>
        <x:v>0</x:v>
      </x:c>
      <x:c r="V1384" s="10" t="n">
        <x:f>0</x:f>
        <x:v>0</x:v>
      </x:c>
      <x:c r="W1384" s="10" t="n">
        <x:f>H1384*('Assumptions'!$P$126+'Assumptions'!$Y$126)</x:f>
        <x:v>93.54024348752982</x:v>
      </x:c>
      <x:c r="X1384" s="10" t="n">
        <x:f>N1384/12*'Assumptions'!$AF$126</x:f>
        <x:v>0</x:v>
      </x:c>
      <x:c r="Y1384" s="10" t="n">
        <x:f>P1384/12</x:f>
        <x:v>0</x:v>
      </x:c>
      <x:c r="Z1384" s="10" t="n">
        <x:f>0</x:f>
        <x:v>0</x:v>
      </x:c>
      <x:c r="AA1384" s="10" t="n">
        <x:f>Z1384*'Assumptions'!$AC$126*'Assumptions'!$D$11*(1+'Assumptions'!$D$13)^(11-1)</x:f>
        <x:v>0</x:v>
      </x:c>
      <x:c r="AB1384" s="10" t="n">
        <x:f>F1384/1</x:f>
        <x:v>26.74065789449137</x:v>
      </x:c>
      <x:c r="AC1384" s="10" t="n">
        <x:f>AB1384/'Assumptions'!$AM$126</x:f>
        <x:v>534.8131578898274</x:v>
      </x:c>
      <x:c r="AD1384" s="10" t="n">
        <x:f>IF(AB1384=0,0,T1384/AB1384)</x:f>
        <x:v>17.80357500755327</x:v>
      </x:c>
      <x:c r="AE1384" s="10" t="n">
        <x:f>AA1384*'Assumptions'!$D$21</x:f>
        <x:v>0</x:v>
      </x:c>
    </x:row>
    <x:row r="1385" ht="16" customHeight="1">
      <x:c r="A1385" s="1"/>
      <x:c r="B1385" s="1"/>
      <x:c r="C1385" s="1" t="str">
        <x:v>DOT-098</x:v>
      </x:c>
      <x:c r="D1385" s="10" t="str">
        <x:v>Semajes premium and media</x:v>
      </x:c>
      <x:c r="E1385" s="10" t="n">
        <x:v>11</x:v>
      </x:c>
      <x:c r="F1385" s="21" t="n">
        <x:f>F1257*(1+'Assumptions'!$M$127)</x:f>
        <x:v>13.370328947245685</x:v>
      </x:c>
      <x:c r="G1385" s="21" t="n">
        <x:f>H1257*'Assumptions'!$K$127</x:f>
        <x:v>27.299342134289024</x:v>
      </x:c>
      <x:c r="H1385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1385+G1385,NA())</x:f>
        <x:v>40.66967108153471</x:v>
      </x:c>
      <x:c r="I1385" s="22" t="n">
        <x:f>'Assumptions'!$H$127*IF('Assumptions'!$O$127=1,1,'Assumptions'!$D$10)*(1+'Assumptions'!$N$127)^(11-1)</x:f>
        <x:v>303.5296105786946</x:v>
      </x:c>
      <x:c r="J1385" s="10" t="n">
        <x:f>H1385*I1385</x:f>
        <x:v>12344.449425741826</x:v>
      </x:c>
      <x:c r="K1385" s="10" t="n">
        <x:f>J1385*'Assumptions'!$T$127</x:f>
        <x:v>12344.449425741826</x:v>
      </x:c>
      <x:c r="L1385" s="10" t="n">
        <x:f>K1385*'Assumptions'!$U$127</x:f>
        <x:v>370.3334827722548</x:v>
      </x:c>
      <x:c r="M1385" s="10" t="n">
        <x:f>K1385*'Assumptions'!$V$127</x:f>
        <x:v>0</x:v>
      </x:c>
      <x:c r="N1385" s="10" t="n">
        <x:f>K1385-L1385-M1385</x:f>
        <x:v>11974.11594296957</x:v>
      </x:c>
      <x:c r="O1385" s="10" t="n">
        <x:f>H1385*'Assumptions'!$P$127*'Assumptions'!$Q$127*'Assumptions'!$D$11*(1+'Assumptions'!$D$13)^(11-1)</x:f>
        <x:v>5738.94689644631</x:v>
      </x:c>
      <x:c r="P1385" s="10" t="n">
        <x:f>H1385*'Assumptions'!$R$127*'Assumptions'!$D$11*(1+'Assumptions'!$D$13)^(11-1)</x:f>
        <x:v>0</x:v>
      </x:c>
      <x:c r="Q1385" s="10" t="n">
        <x:f>J1385*'Assumptions'!$S$127</x:f>
        <x:v>0</x:v>
      </x:c>
      <x:c r="R1385" s="10" t="n">
        <x:f>H1385*'Assumptions'!$Y$127*'Assumptions'!$Z$127*'Assumptions'!$D$11*(1+'Assumptions'!$D$13)^(11-1)</x:f>
        <x:v>245.95486699055616</x:v>
      </x:c>
      <x:c r="S1385" s="10" t="n">
        <x:f>IF(I1385=0,0,J1385*'Assumptions'!$W$127+H1385*'Assumptions'!$X$127)</x:f>
        <x:v>370.1899346709734</x:v>
      </x:c>
      <x:c r="T1385" s="10" t="n">
        <x:f>N1385*'Assumptions'!$AA$127</x:f>
        <x:v>598.7057971484786</x:v>
      </x:c>
      <x:c r="U1385" s="10" t="n">
        <x:f>'Assumptions'!$AE$127*'Assumptions'!$D$11*(1+'Assumptions'!$D$13)^(11-1)</x:f>
        <x:v>0</x:v>
      </x:c>
      <x:c r="V1385" s="10" t="n">
        <x:f>0</x:f>
        <x:v>0</x:v>
      </x:c>
      <x:c r="W1385" s="10" t="n">
        <x:f>H1385*('Assumptions'!$P$127+'Assumptions'!$Y$127)</x:f>
        <x:v>128.10946390683432</x:v>
      </x:c>
      <x:c r="X1385" s="10" t="n">
        <x:f>N1385/12*'Assumptions'!$AF$127</x:f>
        <x:v>0</x:v>
      </x:c>
      <x:c r="Y1385" s="10" t="n">
        <x:f>P1385/12</x:f>
        <x:v>0</x:v>
      </x:c>
      <x:c r="Z1385" s="10" t="n">
        <x:f>0</x:f>
        <x:v>0</x:v>
      </x:c>
      <x:c r="AA1385" s="10" t="n">
        <x:f>Z1385*'Assumptions'!$AC$127*'Assumptions'!$D$11*(1+'Assumptions'!$D$13)^(11-1)</x:f>
        <x:v>0</x:v>
      </x:c>
      <x:c r="AB1385" s="10" t="n">
        <x:f>F1385/1</x:f>
        <x:v>13.370328947245685</x:v>
      </x:c>
      <x:c r="AC1385" s="10" t="n">
        <x:f>AB1385/'Assumptions'!$AM$127</x:f>
        <x:v>267.4065789449137</x:v>
      </x:c>
      <x:c r="AD1385" s="10" t="n">
        <x:f>IF(AB1385=0,0,T1385/AB1385)</x:f>
        <x:v>44.77868865536126</x:v>
      </x:c>
      <x:c r="AE1385" s="10" t="n">
        <x:f>AA1385*'Assumptions'!$D$21</x:f>
        <x:v>0</x:v>
      </x:c>
    </x:row>
    <x:row r="1386" ht="16" customHeight="1">
      <x:c r="A1386" s="1"/>
      <x:c r="B1386" s="1"/>
      <x:c r="C1386" s="1" t="str">
        <x:v>DOT-099</x:v>
      </x:c>
      <x:c r="D1386" s="10" t="str">
        <x:v>Semajes premium and media</x:v>
      </x:c>
      <x:c r="E1386" s="10" t="n">
        <x:v>11</x:v>
      </x:c>
      <x:c r="F1386" s="21" t="n">
        <x:f>F1258*(1+'Assumptions'!$M$128)</x:f>
        <x:v>44.56776315748563</x:v>
      </x:c>
      <x:c r="G1386" s="21" t="n">
        <x:f>H1258*'Assumptions'!$K$128</x:f>
        <x:v>90.99780711429678</x:v>
      </x:c>
      <x:c r="H1386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1386+G1386,NA())</x:f>
        <x:v>135.5655702717824</x:v>
      </x:c>
      <x:c r="I1386" s="22" t="n">
        <x:f>'Assumptions'!$H$128*IF('Assumptions'!$O$128=1,1,'Assumptions'!$D$10)*(1+'Assumptions'!$N$128)^(11-1)</x:f>
        <x:v>35.35083817984796</x:v>
      </x:c>
      <x:c r="J1386" s="10" t="n">
        <x:f>H1386*I1386</x:f>
        <x:v>4792.356537436587</x:v>
      </x:c>
      <x:c r="K1386" s="10" t="n">
        <x:f>J1386*'Assumptions'!$T$128</x:f>
        <x:v>4792.356537436587</x:v>
      </x:c>
      <x:c r="L1386" s="10" t="n">
        <x:f>K1386*'Assumptions'!$U$128</x:f>
        <x:v>143.77069612309762</x:v>
      </x:c>
      <x:c r="M1386" s="10" t="n">
        <x:f>K1386*'Assumptions'!$V$128</x:f>
        <x:v>0</x:v>
      </x:c>
      <x:c r="N1386" s="10" t="n">
        <x:f>K1386-L1386-M1386</x:f>
        <x:v>4648.585841313489</x:v>
      </x:c>
      <x:c r="O1386" s="10" t="n">
        <x:f>H1386*'Assumptions'!$P$128*'Assumptions'!$Q$128*'Assumptions'!$D$11*(1+'Assumptions'!$D$13)^(11-1)</x:f>
        <x:v>956.4911494077187</x:v>
      </x:c>
      <x:c r="P1386" s="10" t="n">
        <x:f>H1386*'Assumptions'!$R$128*'Assumptions'!$D$11*(1+'Assumptions'!$D$13)^(11-1)</x:f>
        <x:v>0</x:v>
      </x:c>
      <x:c r="Q1386" s="10" t="n">
        <x:f>J1386*'Assumptions'!$S$128</x:f>
        <x:v>0</x:v>
      </x:c>
      <x:c r="R1386" s="10" t="n">
        <x:f>H1386*'Assumptions'!$Y$128*'Assumptions'!$Z$128*'Assumptions'!$D$11*(1+'Assumptions'!$D$13)^(11-1)</x:f>
        <x:v>819.8495566351875</x:v>
      </x:c>
      <x:c r="S1386" s="10" t="n">
        <x:f>IF(I1386=0,0,J1386*'Assumptions'!$W$128+H1386*'Assumptions'!$X$128)</x:f>
        <x:v>179.64801066719576</x:v>
      </x:c>
      <x:c r="T1386" s="10" t="n">
        <x:f>N1386*'Assumptions'!$AA$128</x:f>
        <x:v>232.42929206567447</x:v>
      </x:c>
      <x:c r="U1386" s="10" t="n">
        <x:f>'Assumptions'!$AE$128*'Assumptions'!$D$11*(1+'Assumptions'!$D$13)^(11-1)</x:f>
        <x:v>0</x:v>
      </x:c>
      <x:c r="V1386" s="10" t="n">
        <x:f>0</x:f>
        <x:v>0</x:v>
      </x:c>
      <x:c r="W1386" s="10" t="n">
        <x:f>H1386*('Assumptions'!$P$128+'Assumptions'!$Y$128)</x:f>
        <x:v>40.66967108153472</x:v>
      </x:c>
      <x:c r="X1386" s="10" t="n">
        <x:f>N1386/12*'Assumptions'!$AF$128</x:f>
        <x:v>0</x:v>
      </x:c>
      <x:c r="Y1386" s="10" t="n">
        <x:f>P1386/12</x:f>
        <x:v>0</x:v>
      </x:c>
      <x:c r="Z1386" s="10" t="n">
        <x:f>0</x:f>
        <x:v>0</x:v>
      </x:c>
      <x:c r="AA1386" s="10" t="n">
        <x:f>Z1386*'Assumptions'!$AC$128*'Assumptions'!$D$11*(1+'Assumptions'!$D$13)^(11-1)</x:f>
        <x:v>0</x:v>
      </x:c>
      <x:c r="AB1386" s="10" t="n">
        <x:f>F1386/1</x:f>
        <x:v>44.56776315748563</x:v>
      </x:c>
      <x:c r="AC1386" s="10" t="n">
        <x:f>AB1386/'Assumptions'!$AM$128</x:f>
        <x:v>891.3552631497125</x:v>
      </x:c>
      <x:c r="AD1386" s="10" t="n">
        <x:f>IF(AB1386=0,0,T1386/AB1386)</x:f>
        <x:v>5.215188638576211</x:v>
      </x:c>
      <x:c r="AE1386" s="10" t="n">
        <x:f>AA1386*'Assumptions'!$D$21</x:f>
        <x:v>0</x:v>
      </x:c>
    </x:row>
    <x:row r="1387" ht="16" customHeight="1">
      <x:c r="A1387" s="1"/>
      <x:c r="B1387" s="1"/>
      <x:c r="C1387" s="1" t="str">
        <x:v>DOT-100</x:v>
      </x:c>
      <x:c r="D1387" s="10" t="str">
        <x:v>Semajes courses</x:v>
      </x:c>
      <x:c r="E1387" s="10" t="n">
        <x:v>11</x:v>
      </x:c>
      <x:c r="F1387" s="21" t="n">
        <x:f>F1259*(1+'Assumptions'!$M$129)</x:f>
        <x:v>375.91288730209334</x:v>
      </x:c>
      <x:c r="G1387" s="21" t="n">
        <x:f>H1259*'Assumptions'!$K$129</x:f>
        <x:v>120.48156745044994</x:v>
      </x:c>
      <x:c r="H1387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1387+G1387,NA())</x:f>
        <x:v>496.3944547525433</x:v>
      </x:c>
      <x:c r="I1387" s="22" t="n">
        <x:f>'Assumptions'!$H$129*IF('Assumptions'!$O$129=1,1,'Assumptions'!$D$10)*(1+'Assumptions'!$N$129)^(11-1)</x:f>
        <x:v>47.54078237979554</x:v>
      </x:c>
      <x:c r="J1387" s="10" t="n">
        <x:f>H1387*I1387</x:f>
        <x:v>23598.980747927922</x:v>
      </x:c>
      <x:c r="K1387" s="10" t="n">
        <x:f>J1387*'Assumptions'!$T$129</x:f>
        <x:v>23598.980747927922</x:v>
      </x:c>
      <x:c r="L1387" s="10" t="n">
        <x:f>K1387*'Assumptions'!$U$129</x:f>
        <x:v>707.9694224378377</x:v>
      </x:c>
      <x:c r="M1387" s="10" t="n">
        <x:f>K1387*'Assumptions'!$V$129</x:f>
        <x:v>0</x:v>
      </x:c>
      <x:c r="N1387" s="10" t="n">
        <x:f>K1387-L1387-M1387</x:f>
        <x:v>22891.011325490086</x:v>
      </x:c>
      <x:c r="O1387" s="10" t="n">
        <x:f>H1387*'Assumptions'!$P$129*'Assumptions'!$Q$129*'Assumptions'!$D$11*(1+'Assumptions'!$D$13)^(11-1)</x:f>
        <x:v>3502.341351377073</x:v>
      </x:c>
      <x:c r="P1387" s="10" t="n">
        <x:f>H1387*'Assumptions'!$R$129*'Assumptions'!$D$11*(1+'Assumptions'!$D$13)^(11-1)</x:f>
        <x:v>0</x:v>
      </x:c>
      <x:c r="Q1387" s="10" t="n">
        <x:f>J1387*'Assumptions'!$S$129</x:f>
        <x:v>0</x:v>
      </x:c>
      <x:c r="R1387" s="10" t="n">
        <x:f>H1387*'Assumptions'!$Y$129*'Assumptions'!$Z$129*'Assumptions'!$D$11*(1+'Assumptions'!$D$13)^(11-1)</x:f>
        <x:v>2001.3379150726132</x:v>
      </x:c>
      <x:c r="S1387" s="10" t="n">
        <x:f>IF(I1387=0,0,J1387*'Assumptions'!$W$129+H1387*'Assumptions'!$X$129)</x:f>
        <x:v>833.2887781156727</x:v>
      </x:c>
      <x:c r="T1387" s="10" t="n">
        <x:f>N1387*'Assumptions'!$AA$129</x:f>
        <x:v>1144.5505662745043</x:v>
      </x:c>
      <x:c r="U1387" s="10" t="n">
        <x:f>'Assumptions'!$AE$129*'Assumptions'!$D$11*(1+'Assumptions'!$D$13)^(11-1)</x:f>
        <x:v>0</x:v>
      </x:c>
      <x:c r="V1387" s="10" t="n">
        <x:f>0</x:f>
        <x:v>0</x:v>
      </x:c>
      <x:c r="W1387" s="10" t="n">
        <x:f>H1387*('Assumptions'!$P$129+'Assumptions'!$Y$129)</x:f>
        <x:v>124.09861368813583</x:v>
      </x:c>
      <x:c r="X1387" s="10" t="n">
        <x:f>N1387/12*'Assumptions'!$AF$129</x:f>
        <x:v>0</x:v>
      </x:c>
      <x:c r="Y1387" s="10" t="n">
        <x:f>P1387/12</x:f>
        <x:v>0</x:v>
      </x:c>
      <x:c r="Z1387" s="10" t="n">
        <x:f>0</x:f>
        <x:v>0</x:v>
      </x:c>
      <x:c r="AA1387" s="10" t="n">
        <x:f>Z1387*'Assumptions'!$AC$129*'Assumptions'!$D$11*(1+'Assumptions'!$D$13)^(11-1)</x:f>
        <x:v>0</x:v>
      </x:c>
      <x:c r="AB1387" s="10" t="n">
        <x:f>F1387/1</x:f>
        <x:v>375.91288730209334</x:v>
      </x:c>
      <x:c r="AC1387" s="10" t="n">
        <x:f>AB1387/'Assumptions'!$AM$129</x:f>
        <x:v>7518.257746041866</x:v>
      </x:c>
      <x:c r="AD1387" s="10" t="n">
        <x:f>IF(AB1387=0,0,T1387/AB1387)</x:f>
        <x:v>3.044722873133939</x:v>
      </x:c>
      <x:c r="AE1387" s="10" t="n">
        <x:f>AA1387*'Assumptions'!$D$21</x:f>
        <x:v>0</x:v>
      </x:c>
    </x:row>
    <x:row r="1388" ht="16" customHeight="1">
      <x:c r="A1388" s="1"/>
      <x:c r="B1388" s="1"/>
      <x:c r="C1388" s="1" t="str">
        <x:v>DOT-101</x:v>
      </x:c>
      <x:c r="D1388" s="10" t="str">
        <x:v>Sleepy Face</x:v>
      </x:c>
      <x:c r="E1388" s="10" t="n">
        <x:v>11</x:v>
      </x:c>
      <x:c r="F1388" s="21" t="n">
        <x:f>F1260*(1+'Assumptions'!$M$130)</x:f>
        <x:v>315.6492201140617</x:v>
      </x:c>
      <x:c r="G1388" s="21" t="n">
        <x:f>H1260*'Assumptions'!$K$130</x:f>
        <x:v>129.70951888567504</x:v>
      </x:c>
      <x:c r="H1388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1388+G1388,NA())</x:f>
        <x:v>445.3587389997367</x:v>
      </x:c>
      <x:c r="I1388" s="22" t="n">
        <x:f>'Assumptions'!$H$130*IF('Assumptions'!$O$130=1,1,'Assumptions'!$D$10)*(1+'Assumptions'!$N$130)^(11-1)</x:f>
        <x:v>115.80446989950195</x:v>
      </x:c>
      <x:c r="J1388" s="10" t="n">
        <x:f>H1388*I1388</x:f>
        <x:v>51574.53268497516</x:v>
      </x:c>
      <x:c r="K1388" s="10" t="n">
        <x:f>J1388*'Assumptions'!$T$130</x:f>
        <x:v>51574.53268497516</x:v>
      </x:c>
      <x:c r="L1388" s="10" t="n">
        <x:f>K1388*'Assumptions'!$U$130</x:f>
        <x:v>4125.9626147980125</x:v>
      </x:c>
      <x:c r="M1388" s="10" t="n">
        <x:f>K1388*'Assumptions'!$V$130</x:f>
        <x:v>1031.4906536995031</x:v>
      </x:c>
      <x:c r="N1388" s="10" t="n">
        <x:f>K1388-L1388-M1388</x:f>
        <x:v>46417.07941647764</x:v>
      </x:c>
      <x:c r="O1388" s="10" t="n">
        <x:f>H1388*'Assumptions'!$P$130*'Assumptions'!$Q$130*'Assumptions'!$D$11*(1+'Assumptions'!$D$13)^(11-1)</x:f>
        <x:v>3142.255746135397</x:v>
      </x:c>
      <x:c r="P1388" s="10" t="n">
        <x:f>H1388*'Assumptions'!$R$130*'Assumptions'!$D$11*(1+'Assumptions'!$D$13)^(11-1)</x:f>
        <x:v>17955.747120773704</x:v>
      </x:c>
      <x:c r="Q1388" s="10" t="n">
        <x:f>J1388*'Assumptions'!$S$130</x:f>
        <x:v>0</x:v>
      </x:c>
      <x:c r="R1388" s="10" t="n">
        <x:f>H1388*'Assumptions'!$Y$130*'Assumptions'!$Z$130*'Assumptions'!$D$11*(1+'Assumptions'!$D$13)^(11-1)</x:f>
        <x:v>2693.362068116055</x:v>
      </x:c>
      <x:c r="S1388" s="10" t="n">
        <x:f>IF(I1388=0,0,J1388*'Assumptions'!$W$130+H1388*'Assumptions'!$X$130)</x:f>
        <x:v>1629.2690695642007</x:v>
      </x:c>
      <x:c r="T1388" s="10" t="n">
        <x:f>N1388*'Assumptions'!$AA$130</x:f>
        <x:v>3713.366353318211</x:v>
      </x:c>
      <x:c r="U1388" s="10" t="n">
        <x:f>'Assumptions'!$AE$130*'Assumptions'!$D$11*(1+'Assumptions'!$D$13)^(11-1)</x:f>
        <x:v>0</x:v>
      </x:c>
      <x:c r="V1388" s="10" t="n">
        <x:f>0</x:f>
        <x:v>0</x:v>
      </x:c>
      <x:c r="W1388" s="10" t="n">
        <x:f>H1388*('Assumptions'!$P$130+'Assumptions'!$Y$130)</x:f>
        <x:v>133.607621699921</x:v>
      </x:c>
      <x:c r="X1388" s="10" t="n">
        <x:f>N1388/12*'Assumptions'!$AF$130</x:f>
        <x:v>0</x:v>
      </x:c>
      <x:c r="Y1388" s="10" t="n">
        <x:f>P1388/12</x:f>
        <x:v>1496.3122600644754</x:v>
      </x:c>
      <x:c r="Z1388" s="10" t="n">
        <x:f>0</x:f>
        <x:v>0</x:v>
      </x:c>
      <x:c r="AA1388" s="10" t="n">
        <x:f>Z1388*'Assumptions'!$AC$130*'Assumptions'!$D$11*(1+'Assumptions'!$D$13)^(11-1)</x:f>
        <x:v>0</x:v>
      </x:c>
      <x:c r="AB1388" s="10" t="n">
        <x:f>F1388/1</x:f>
        <x:v>315.6492201140617</x:v>
      </x:c>
      <x:c r="AC1388" s="10" t="n">
        <x:f>AB1388/'Assumptions'!$AM$130</x:f>
        <x:v>10521.640670468723</x:v>
      </x:c>
      <x:c r="AD1388" s="10" t="n">
        <x:f>IF(AB1388=0,0,T1388/AB1388)</x:f>
        <x:v>11.76421836865735</x:v>
      </x:c>
      <x:c r="AE1388" s="10" t="n">
        <x:f>AA1388*'Assumptions'!$D$21</x:f>
        <x:v>0</x:v>
      </x:c>
    </x:row>
    <x:row r="1389" ht="16" customHeight="1">
      <x:c r="A1389" s="1"/>
      <x:c r="B1389" s="1"/>
      <x:c r="C1389" s="1" t="str">
        <x:v>DOT-102</x:v>
      </x:c>
      <x:c r="D1389" s="10" t="str">
        <x:v>Sleepy Face</x:v>
      </x:c>
      <x:c r="E1389" s="10" t="n">
        <x:v>11</x:v>
      </x:c>
      <x:c r="F1389" s="21" t="n">
        <x:f>F1261*(1+'Assumptions'!$M$131)</x:f>
        <x:v>473.47383017109235</x:v>
      </x:c>
      <x:c r="G1389" s="21" t="n">
        <x:f>H1261*'Assumptions'!$K$131</x:f>
        <x:v>194.56427832851253</x:v>
      </x:c>
      <x:c r="H1389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1389+G1389,NA())</x:f>
        <x:v>668.0381084996048</x:v>
      </x:c>
      <x:c r="I1389" s="22" t="n">
        <x:f>'Assumptions'!$H$131*IF('Assumptions'!$O$131=1,1,'Assumptions'!$D$10)*(1+'Assumptions'!$N$131)^(11-1)</x:f>
        <x:v>201.13407929913495</x:v>
      </x:c>
      <x:c r="J1389" s="10" t="n">
        <x:f>H1389*I1389</x:f>
        <x:v>134365.22988980365</x:v>
      </x:c>
      <x:c r="K1389" s="10" t="n">
        <x:f>J1389*'Assumptions'!$T$131</x:f>
        <x:v>134365.22988980365</x:v>
      </x:c>
      <x:c r="L1389" s="10" t="n">
        <x:f>K1389*'Assumptions'!$U$131</x:f>
        <x:v>10749.218391184293</x:v>
      </x:c>
      <x:c r="M1389" s="10" t="n">
        <x:f>K1389*'Assumptions'!$V$131</x:f>
        <x:v>2687.3045977960733</x:v>
      </x:c>
      <x:c r="N1389" s="10" t="n">
        <x:f>K1389-L1389-M1389</x:f>
        <x:v>120928.7069008233</x:v>
      </x:c>
      <x:c r="O1389" s="10" t="n">
        <x:f>H1389*'Assumptions'!$P$131*'Assumptions'!$Q$131*'Assumptions'!$D$11*(1+'Assumptions'!$D$13)^(11-1)</x:f>
        <x:v>4713.383619203096</x:v>
      </x:c>
      <x:c r="P1389" s="10" t="n">
        <x:f>H1389*'Assumptions'!$R$131*'Assumptions'!$D$11*(1+'Assumptions'!$D$13)^(11-1)</x:f>
        <x:v>53867.241362321096</x:v>
      </x:c>
      <x:c r="Q1389" s="10" t="n">
        <x:f>J1389*'Assumptions'!$S$131</x:f>
        <x:v>0</x:v>
      </x:c>
      <x:c r="R1389" s="10" t="n">
        <x:f>H1389*'Assumptions'!$Y$131*'Assumptions'!$Z$131*'Assumptions'!$D$11*(1+'Assumptions'!$D$13)^(11-1)</x:f>
        <x:v>4040.043102174082</x:v>
      </x:c>
      <x:c r="S1389" s="10" t="n">
        <x:f>IF(I1389=0,0,J1389*'Assumptions'!$W$131+H1389*'Assumptions'!$X$131)</x:f>
        <x:v>4097.003099354188</x:v>
      </x:c>
      <x:c r="T1389" s="10" t="n">
        <x:f>N1389*'Assumptions'!$AA$131</x:f>
        <x:v>9674.296552065864</x:v>
      </x:c>
      <x:c r="U1389" s="10" t="n">
        <x:f>'Assumptions'!$AE$131*'Assumptions'!$D$11*(1+'Assumptions'!$D$13)^(11-1)</x:f>
        <x:v>0</x:v>
      </x:c>
      <x:c r="V1389" s="10" t="n">
        <x:f>0</x:f>
        <x:v>0</x:v>
      </x:c>
      <x:c r="W1389" s="10" t="n">
        <x:f>H1389*('Assumptions'!$P$131+'Assumptions'!$Y$131)</x:f>
        <x:v>200.41143254988145</x:v>
      </x:c>
      <x:c r="X1389" s="10" t="n">
        <x:f>N1389/12*'Assumptions'!$AF$131</x:f>
        <x:v>0</x:v>
      </x:c>
      <x:c r="Y1389" s="10" t="n">
        <x:f>P1389/12</x:f>
        <x:v>4488.936780193425</x:v>
      </x:c>
      <x:c r="Z1389" s="10" t="n">
        <x:f>0</x:f>
        <x:v>0</x:v>
      </x:c>
      <x:c r="AA1389" s="10" t="n">
        <x:f>Z1389*'Assumptions'!$AC$131*'Assumptions'!$D$11*(1+'Assumptions'!$D$13)^(11-1)</x:f>
        <x:v>0</x:v>
      </x:c>
      <x:c r="AB1389" s="10" t="n">
        <x:f>F1389/1</x:f>
        <x:v>473.47383017109235</x:v>
      </x:c>
      <x:c r="AC1389" s="10" t="n">
        <x:f>AB1389/'Assumptions'!$AM$131</x:f>
        <x:v>15782.461005703079</x:v>
      </x:c>
      <x:c r="AD1389" s="10" t="n">
        <x:f>IF(AB1389=0,0,T1389/AB1389)</x:f>
        <x:v>20.432589798194346</x:v>
      </x:c>
      <x:c r="AE1389" s="10" t="n">
        <x:f>AA1389*'Assumptions'!$D$21</x:f>
        <x:v>0</x:v>
      </x:c>
    </x:row>
    <x:row r="1390" ht="16" customHeight="1">
      <x:c r="A1390" s="1"/>
      <x:c r="B1390" s="1"/>
      <x:c r="C1390" s="1" t="str">
        <x:v>DOT-103</x:v>
      </x:c>
      <x:c r="D1390" s="10" t="str">
        <x:v>Sleepy Face</x:v>
      </x:c>
      <x:c r="E1390" s="10" t="n">
        <x:v>11</x:v>
      </x:c>
      <x:c r="F1390" s="21" t="n">
        <x:f>F1262*(1+'Assumptions'!$M$132)</x:f>
        <x:v>105.21640670468719</x:v>
      </x:c>
      <x:c r="G1390" s="21" t="n">
        <x:f>H1262*'Assumptions'!$K$132</x:f>
        <x:v>43.236506295225</x:v>
      </x:c>
      <x:c r="H1390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1390+G1390,NA())</x:f>
        <x:v>148.4529129999122</x:v>
      </x:c>
      <x:c r="I1390" s="22" t="n">
        <x:f>'Assumptions'!$H$132*IF('Assumptions'!$O$132=1,1,'Assumptions'!$D$10)*(1+'Assumptions'!$N$132)^(11-1)</x:f>
        <x:v>274.2737444988204</x:v>
      </x:c>
      <x:c r="J1390" s="10" t="n">
        <x:f>H1390*I1390</x:f>
        <x:v>40716.73633024353</x:v>
      </x:c>
      <x:c r="K1390" s="10" t="n">
        <x:f>J1390*'Assumptions'!$T$132</x:f>
        <x:v>40716.73633024353</x:v>
      </x:c>
      <x:c r="L1390" s="10" t="n">
        <x:f>K1390*'Assumptions'!$U$132</x:f>
        <x:v>3257.3389064194826</x:v>
      </x:c>
      <x:c r="M1390" s="10" t="n">
        <x:f>K1390*'Assumptions'!$V$132</x:f>
        <x:v>814.3347266048706</x:v>
      </x:c>
      <x:c r="N1390" s="10" t="n">
        <x:f>K1390-L1390-M1390</x:f>
        <x:v>36645.062697219175</x:v>
      </x:c>
      <x:c r="O1390" s="10" t="n">
        <x:f>H1390*'Assumptions'!$P$132*'Assumptions'!$Q$132*'Assumptions'!$D$11*(1+'Assumptions'!$D$13)^(11-1)</x:f>
        <x:v>1047.4185820451323</x:v>
      </x:c>
      <x:c r="P1390" s="10" t="n">
        <x:f>H1390*'Assumptions'!$R$132*'Assumptions'!$D$11*(1+'Assumptions'!$D$13)^(11-1)</x:f>
        <x:v>17955.7471207737</x:v>
      </x:c>
      <x:c r="Q1390" s="10" t="n">
        <x:f>J1390*'Assumptions'!$S$132</x:f>
        <x:v>0</x:v>
      </x:c>
      <x:c r="R1390" s="10" t="n">
        <x:f>H1390*'Assumptions'!$Y$132*'Assumptions'!$Z$132*'Assumptions'!$D$11*(1+'Assumptions'!$D$13)^(11-1)</x:f>
        <x:v>897.7873560386848</x:v>
      </x:c>
      <x:c r="S1390" s="10" t="n">
        <x:f>IF(I1390=0,0,J1390*'Assumptions'!$W$132+H1390*'Assumptions'!$X$132)</x:f>
        <x:v>1225.3212274770362</x:v>
      </x:c>
      <x:c r="T1390" s="10" t="n">
        <x:f>N1390*'Assumptions'!$AA$132</x:f>
        <x:v>2931.605015777534</x:v>
      </x:c>
      <x:c r="U1390" s="10" t="n">
        <x:f>'Assumptions'!$AE$132*'Assumptions'!$D$11*(1+'Assumptions'!$D$13)^(11-1)</x:f>
        <x:v>0</x:v>
      </x:c>
      <x:c r="V1390" s="10" t="n">
        <x:f>0</x:f>
        <x:v>0</x:v>
      </x:c>
      <x:c r="W1390" s="10" t="n">
        <x:f>H1390*('Assumptions'!$P$132+'Assumptions'!$Y$132)</x:f>
        <x:v>44.53587389997366</x:v>
      </x:c>
      <x:c r="X1390" s="10" t="n">
        <x:f>N1390/12*'Assumptions'!$AF$132</x:f>
        <x:v>0</x:v>
      </x:c>
      <x:c r="Y1390" s="10" t="n">
        <x:f>P1390/12</x:f>
        <x:v>1496.312260064475</x:v>
      </x:c>
      <x:c r="Z1390" s="10" t="n">
        <x:f>0</x:f>
        <x:v>0</x:v>
      </x:c>
      <x:c r="AA1390" s="10" t="n">
        <x:f>Z1390*'Assumptions'!$AC$132*'Assumptions'!$D$11*(1+'Assumptions'!$D$13)^(11-1)</x:f>
        <x:v>0</x:v>
      </x:c>
      <x:c r="AB1390" s="10" t="n">
        <x:f>F1390/1</x:f>
        <x:v>105.21640670468719</x:v>
      </x:c>
      <x:c r="AC1390" s="10" t="n">
        <x:f>AB1390/'Assumptions'!$AM$132</x:f>
        <x:v>3507.2135568229064</x:v>
      </x:c>
      <x:c r="AD1390" s="10" t="n">
        <x:f>IF(AB1390=0,0,T1390/AB1390)</x:f>
        <x:v>27.862622452083194</x:v>
      </x:c>
      <x:c r="AE1390" s="10" t="n">
        <x:f>AA1390*'Assumptions'!$D$21</x:f>
        <x:v>0</x:v>
      </x:c>
    </x:row>
    <x:row r="1391" ht="16" customHeight="1">
      <x:c r="A1391" s="1"/>
      <x:c r="B1391" s="1"/>
      <x:c r="C1391" s="1" t="str">
        <x:v>DOT-104</x:v>
      </x:c>
      <x:c r="D1391" s="10" t="str">
        <x:v>Sleepy Face</x:v>
      </x:c>
      <x:c r="E1391" s="10" t="n">
        <x:v>11</x:v>
      </x:c>
      <x:c r="F1391" s="21" t="n">
        <x:f>F1263*(1+'Assumptions'!$M$133)</x:f>
        <x:v>315.6492201140617</x:v>
      </x:c>
      <x:c r="G1391" s="21" t="n">
        <x:f>H1263*'Assumptions'!$K$133</x:f>
        <x:v>129.70951888567504</x:v>
      </x:c>
      <x:c r="H1391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1391+G1391,NA())</x:f>
        <x:v>445.3587389997367</x:v>
      </x:c>
      <x:c r="I1391" s="22" t="n">
        <x:f>'Assumptions'!$H$133*IF('Assumptions'!$O$133=1,1,'Assumptions'!$D$10)*(1+'Assumptions'!$N$133)^(11-1)</x:f>
        <x:v>115.80446989950195</x:v>
      </x:c>
      <x:c r="J1391" s="10" t="n">
        <x:f>H1391*I1391</x:f>
        <x:v>51574.53268497516</x:v>
      </x:c>
      <x:c r="K1391" s="10" t="n">
        <x:f>J1391*'Assumptions'!$T$133</x:f>
        <x:v>51574.53268497516</x:v>
      </x:c>
      <x:c r="L1391" s="10" t="n">
        <x:f>K1391*'Assumptions'!$U$133</x:f>
        <x:v>4125.9626147980125</x:v>
      </x:c>
      <x:c r="M1391" s="10" t="n">
        <x:f>K1391*'Assumptions'!$V$133</x:f>
        <x:v>1031.4906536995031</x:v>
      </x:c>
      <x:c r="N1391" s="10" t="n">
        <x:f>K1391-L1391-M1391</x:f>
        <x:v>46417.07941647764</x:v>
      </x:c>
      <x:c r="O1391" s="10" t="n">
        <x:f>H1391*'Assumptions'!$P$133*'Assumptions'!$Q$133*'Assumptions'!$D$11*(1+'Assumptions'!$D$13)^(11-1)</x:f>
        <x:v>3142.255746135397</x:v>
      </x:c>
      <x:c r="P1391" s="10" t="n">
        <x:f>H1391*'Assumptions'!$R$133*'Assumptions'!$D$11*(1+'Assumptions'!$D$13)^(11-1)</x:f>
        <x:v>20948.371640902653</x:v>
      </x:c>
      <x:c r="Q1391" s="10" t="n">
        <x:f>J1391*'Assumptions'!$S$133</x:f>
        <x:v>0</x:v>
      </x:c>
      <x:c r="R1391" s="10" t="n">
        <x:f>H1391*'Assumptions'!$Y$133*'Assumptions'!$Z$133*'Assumptions'!$D$11*(1+'Assumptions'!$D$13)^(11-1)</x:f>
        <x:v>2693.362068116055</x:v>
      </x:c>
      <x:c r="S1391" s="10" t="n">
        <x:f>IF(I1391=0,0,J1391*'Assumptions'!$W$133+H1391*'Assumptions'!$X$133)</x:f>
        <x:v>1629.2690695642007</x:v>
      </x:c>
      <x:c r="T1391" s="10" t="n">
        <x:f>N1391*'Assumptions'!$AA$133</x:f>
        <x:v>3713.366353318211</x:v>
      </x:c>
      <x:c r="U1391" s="10" t="n">
        <x:f>'Assumptions'!$AE$133*'Assumptions'!$D$11*(1+'Assumptions'!$D$13)^(11-1)</x:f>
        <x:v>0</x:v>
      </x:c>
      <x:c r="V1391" s="10" t="n">
        <x:f>0</x:f>
        <x:v>0</x:v>
      </x:c>
      <x:c r="W1391" s="10" t="n">
        <x:f>H1391*('Assumptions'!$P$133+'Assumptions'!$Y$133)</x:f>
        <x:v>133.607621699921</x:v>
      </x:c>
      <x:c r="X1391" s="10" t="n">
        <x:f>N1391/12*'Assumptions'!$AF$133</x:f>
        <x:v>0</x:v>
      </x:c>
      <x:c r="Y1391" s="10" t="n">
        <x:f>P1391/12</x:f>
        <x:v>1745.6976367418877</x:v>
      </x:c>
      <x:c r="Z1391" s="10" t="n">
        <x:f>0</x:f>
        <x:v>0</x:v>
      </x:c>
      <x:c r="AA1391" s="10" t="n">
        <x:f>Z1391*'Assumptions'!$AC$133*'Assumptions'!$D$11*(1+'Assumptions'!$D$13)^(11-1)</x:f>
        <x:v>0</x:v>
      </x:c>
      <x:c r="AB1391" s="10" t="n">
        <x:f>F1391/1</x:f>
        <x:v>315.6492201140617</x:v>
      </x:c>
      <x:c r="AC1391" s="10" t="n">
        <x:f>AB1391/'Assumptions'!$AM$133</x:f>
        <x:v>10521.640670468723</x:v>
      </x:c>
      <x:c r="AD1391" s="10" t="n">
        <x:f>IF(AB1391=0,0,T1391/AB1391)</x:f>
        <x:v>11.76421836865735</x:v>
      </x:c>
      <x:c r="AE1391" s="10" t="n">
        <x:f>AA1391*'Assumptions'!$D$21</x:f>
        <x:v>0</x:v>
      </x:c>
    </x:row>
    <x:row r="1392" ht="16" customHeight="1">
      <x:c r="A1392" s="1"/>
      <x:c r="B1392" s="1"/>
      <x:c r="C1392" s="1" t="str">
        <x:v>DOT-105</x:v>
      </x:c>
      <x:c r="D1392" s="10" t="str">
        <x:v>Sleepy Face</x:v>
      </x:c>
      <x:c r="E1392" s="10" t="n">
        <x:v>11</x:v>
      </x:c>
      <x:c r="F1392" s="21" t="n">
        <x:f>F1264*(1+'Assumptions'!$M$134)</x:f>
        <x:v>157.82461005703084</x:v>
      </x:c>
      <x:c r="G1392" s="21" t="n">
        <x:f>H1264*'Assumptions'!$K$134</x:f>
        <x:v>64.85475944283752</x:v>
      </x:c>
      <x:c r="H1392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1392+G1392,NA())</x:f>
        <x:v>222.67936949986836</x:v>
      </x:c>
      <x:c r="I1392" s="22" t="n">
        <x:f>'Assumptions'!$H$134*IF('Assumptions'!$O$134=1,1,'Assumptions'!$D$10)*(1+'Assumptions'!$N$134)^(11-1)</x:f>
        <x:v>213.32402349908253</x:v>
      </x:c>
      <x:c r="J1392" s="10" t="n">
        <x:f>H1392*I1392</x:f>
        <x:v>47502.8590519508</x:v>
      </x:c>
      <x:c r="K1392" s="10" t="n">
        <x:f>J1392*'Assumptions'!$T$134</x:f>
        <x:v>47502.8590519508</x:v>
      </x:c>
      <x:c r="L1392" s="10" t="n">
        <x:f>K1392*'Assumptions'!$U$134</x:f>
        <x:v>3800.228724156064</x:v>
      </x:c>
      <x:c r="M1392" s="10" t="n">
        <x:f>K1392*'Assumptions'!$V$134</x:f>
        <x:v>950.057181039016</x:v>
      </x:c>
      <x:c r="N1392" s="10" t="n">
        <x:f>K1392-L1392-M1392</x:f>
        <x:v>42752.57314675572</x:v>
      </x:c>
      <x:c r="O1392" s="10" t="n">
        <x:f>H1392*'Assumptions'!$P$134*'Assumptions'!$Q$134*'Assumptions'!$D$11*(1+'Assumptions'!$D$13)^(11-1)</x:f>
        <x:v>1571.1278730676986</x:v>
      </x:c>
      <x:c r="P1392" s="10" t="n">
        <x:f>H1392*'Assumptions'!$R$134*'Assumptions'!$D$11*(1+'Assumptions'!$D$13)^(11-1)</x:f>
        <x:v>19452.05938083818</x:v>
      </x:c>
      <x:c r="Q1392" s="10" t="n">
        <x:f>J1392*'Assumptions'!$S$134</x:f>
        <x:v>0</x:v>
      </x:c>
      <x:c r="R1392" s="10" t="n">
        <x:f>H1392*'Assumptions'!$Y$134*'Assumptions'!$Z$134*'Assumptions'!$D$11*(1+'Assumptions'!$D$13)^(11-1)</x:f>
        <x:v>1346.6810340580275</x:v>
      </x:c>
      <x:c r="S1392" s="10" t="n">
        <x:f>IF(I1392=0,0,J1392*'Assumptions'!$W$134+H1392*'Assumptions'!$X$134)</x:f>
        <x:v>1444.3867233565336</x:v>
      </x:c>
      <x:c r="T1392" s="10" t="n">
        <x:f>N1392*'Assumptions'!$AA$134</x:f>
        <x:v>3420.2058517404575</x:v>
      </x:c>
      <x:c r="U1392" s="10" t="n">
        <x:f>'Assumptions'!$AE$134*'Assumptions'!$D$11*(1+'Assumptions'!$D$13)^(11-1)</x:f>
        <x:v>0</x:v>
      </x:c>
      <x:c r="V1392" s="10" t="n">
        <x:f>0</x:f>
        <x:v>0</x:v>
      </x:c>
      <x:c r="W1392" s="10" t="n">
        <x:f>H1392*('Assumptions'!$P$134+'Assumptions'!$Y$134)</x:f>
        <x:v>66.8038108499605</x:v>
      </x:c>
      <x:c r="X1392" s="10" t="n">
        <x:f>N1392/12*'Assumptions'!$AF$134</x:f>
        <x:v>0</x:v>
      </x:c>
      <x:c r="Y1392" s="10" t="n">
        <x:f>P1392/12</x:f>
        <x:v>1621.0049484031815</x:v>
      </x:c>
      <x:c r="Z1392" s="10" t="n">
        <x:f>0</x:f>
        <x:v>0</x:v>
      </x:c>
      <x:c r="AA1392" s="10" t="n">
        <x:f>Z1392*'Assumptions'!$AC$134*'Assumptions'!$D$11*(1+'Assumptions'!$D$13)^(11-1)</x:f>
        <x:v>0</x:v>
      </x:c>
      <x:c r="AB1392" s="10" t="n">
        <x:f>F1392/1</x:f>
        <x:v>157.82461005703084</x:v>
      </x:c>
      <x:c r="AC1392" s="10" t="n">
        <x:f>AB1392/'Assumptions'!$AM$134</x:f>
        <x:v>5260.820335234362</x:v>
      </x:c>
      <x:c r="AD1392" s="10" t="n">
        <x:f>IF(AB1392=0,0,T1392/AB1392)</x:f>
        <x:v>21.670928573842485</x:v>
      </x:c>
      <x:c r="AE1392" s="10" t="n">
        <x:f>AA1392*'Assumptions'!$D$21</x:f>
        <x:v>0</x:v>
      </x:c>
    </x:row>
    <x:row r="1393" ht="16" customHeight="1">
      <x:c r="A1393" s="1"/>
      <x:c r="B1393" s="1"/>
      <x:c r="C1393" s="1" t="str">
        <x:v>DOT-106</x:v>
      </x:c>
      <x:c r="D1393" s="10" t="str">
        <x:v>QzoticMusic</x:v>
      </x:c>
      <x:c r="E1393" s="10" t="n">
        <x:v>11</x:v>
      </x:c>
      <x:c r="F1393" s="21" t="n">
        <x:f>F1265*(1+'Assumptions'!$M$135)</x:f>
        <x:v>939.7822182552334</x:v>
      </x:c>
      <x:c r="G1393" s="21" t="n">
        <x:f>H1265*'Assumptions'!$K$135</x:f>
        <x:v>301.20377557497744</x:v>
      </x:c>
      <x:c r="H1393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1393+G1393,NA())</x:f>
        <x:v>1240.9859938302109</x:v>
      </x:c>
      <x:c r="I1393" s="22" t="n">
        <x:f>'Assumptions'!$H$135*IF('Assumptions'!$O$135=1,1,'Assumptions'!$D$10)*(1+'Assumptions'!$N$135)^(11-1)</x:f>
        <x:v>6.094972099973787</x:v>
      </x:c>
      <x:c r="J1393" s="10" t="n">
        <x:f>H1393*I1393</x:f>
        <x:v>7563.775008853378</x:v>
      </x:c>
      <x:c r="K1393" s="10" t="n">
        <x:f>J1393*'Assumptions'!$T$135</x:f>
        <x:v>7563.775008853378</x:v>
      </x:c>
      <x:c r="L1393" s="10" t="n">
        <x:f>K1393*'Assumptions'!$U$135</x:f>
        <x:v>226.9132502656013</x:v>
      </x:c>
      <x:c r="M1393" s="10" t="n">
        <x:f>K1393*'Assumptions'!$V$135</x:f>
        <x:v>0</x:v>
      </x:c>
      <x:c r="N1393" s="10" t="n">
        <x:f>K1393-L1393-M1393</x:f>
        <x:v>7336.861758587776</x:v>
      </x:c>
      <x:c r="O1393" s="10" t="n">
        <x:f>H1393*'Assumptions'!$P$135*'Assumptions'!$Q$135*'Assumptions'!$D$11*(1+'Assumptions'!$D$13)^(11-1)</x:f>
        <x:v>1167.446982551545</x:v>
      </x:c>
      <x:c r="P1393" s="10" t="n">
        <x:f>H1393*'Assumptions'!$R$135*'Assumptions'!$D$11*(1+'Assumptions'!$D$13)^(11-1)</x:f>
        <x:v>0</x:v>
      </x:c>
      <x:c r="Q1393" s="10" t="n">
        <x:f>J1393*'Assumptions'!$S$135</x:f>
        <x:v>0</x:v>
      </x:c>
      <x:c r="R1393" s="10" t="n">
        <x:f>H1393*'Assumptions'!$Y$135*'Assumptions'!$Z$135*'Assumptions'!$D$11*(1+'Assumptions'!$D$13)^(11-1)</x:f>
        <x:v>5003.344210935193</x:v>
      </x:c>
      <x:c r="S1393" s="10" t="n">
        <x:f>IF(I1393=0,0,J1393*'Assumptions'!$W$135+H1393*'Assumptions'!$X$135)</x:f>
        <x:v>591.6452734058112</x:v>
      </x:c>
      <x:c r="T1393" s="10" t="n">
        <x:f>N1393*'Assumptions'!$AA$135</x:f>
        <x:v>366.84308792938884</x:v>
      </x:c>
      <x:c r="U1393" s="10" t="n">
        <x:f>'Assumptions'!$AE$135*'Assumptions'!$D$11*(1+'Assumptions'!$D$13)^(11-1)</x:f>
        <x:v>0</x:v>
      </x:c>
      <x:c r="V1393" s="10" t="n">
        <x:f>0</x:f>
        <x:v>0</x:v>
      </x:c>
      <x:c r="W1393" s="10" t="n">
        <x:f>H1393*('Assumptions'!$P$135+'Assumptions'!$Y$135)</x:f>
        <x:v>148.91831925962532</x:v>
      </x:c>
      <x:c r="X1393" s="10" t="n">
        <x:f>N1393/12*'Assumptions'!$AF$135</x:f>
        <x:v>0</x:v>
      </x:c>
      <x:c r="Y1393" s="10" t="n">
        <x:f>P1393/12</x:f>
        <x:v>0</x:v>
      </x:c>
      <x:c r="Z1393" s="10" t="n">
        <x:f>0</x:f>
        <x:v>0</x:v>
      </x:c>
      <x:c r="AA1393" s="10" t="n">
        <x:f>Z1393*'Assumptions'!$AC$135*'Assumptions'!$D$11*(1+'Assumptions'!$D$13)^(11-1)</x:f>
        <x:v>0</x:v>
      </x:c>
      <x:c r="AB1393" s="10" t="n">
        <x:f>F1393/12</x:f>
        <x:v>78.31518485460278</x:v>
      </x:c>
      <x:c r="AC1393" s="10" t="n">
        <x:f>AB1393/'Assumptions'!$AM$135</x:f>
        <x:v>1566.3036970920555</x:v>
      </x:c>
      <x:c r="AD1393" s="10" t="n">
        <x:f>IF(AB1393=0,0,T1393/AB1393)</x:f>
        <x:v>4.684188495634108</x:v>
      </x:c>
      <x:c r="AE1393" s="10" t="n">
        <x:f>AA1393*'Assumptions'!$D$21</x:f>
        <x:v>0</x:v>
      </x:c>
    </x:row>
    <x:row r="1394" ht="16" customHeight="1">
      <x:c r="A1394" s="1"/>
      <x:c r="B1394" s="1"/>
      <x:c r="C1394" s="1" t="str">
        <x:v>DOT-107</x:v>
      </x:c>
      <x:c r="D1394" s="10" t="str">
        <x:v>QzoticMusic</x:v>
      </x:c>
      <x:c r="E1394" s="10" t="n">
        <x:v>11</x:v>
      </x:c>
      <x:c r="F1394" s="21" t="n">
        <x:f>F1266*(1+'Assumptions'!$M$136)</x:f>
        <x:v>272.7210669063051</x:v>
      </x:c>
      <x:c r="G1394" s="21" t="n">
        <x:f>H1266*'Assumptions'!$K$136</x:f>
        <x:v>140.34796637525528</x:v>
      </x:c>
      <x:c r="H1394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1394+G1394,NA())</x:f>
        <x:v>413.0690332815604</x:v>
      </x:c>
      <x:c r="I1394" s="22" t="n">
        <x:f>'Assumptions'!$H$136*IF('Assumptions'!$O$136=1,1,'Assumptions'!$D$10)*(1+'Assumptions'!$N$136)^(11-1)</x:f>
        <x:v>30.47486049986893</x:v>
      </x:c>
      <x:c r="J1394" s="10" t="n">
        <x:f>H1394*I1394</x:f>
        <x:v>12588.22116607127</x:v>
      </x:c>
      <x:c r="K1394" s="10" t="n">
        <x:f>J1394*'Assumptions'!$T$136</x:f>
        <x:v>12588.22116607127</x:v>
      </x:c>
      <x:c r="L1394" s="10" t="n">
        <x:f>K1394*'Assumptions'!$U$136</x:f>
        <x:v>377.64663498213804</x:v>
      </x:c>
      <x:c r="M1394" s="10" t="n">
        <x:f>K1394*'Assumptions'!$V$136</x:f>
        <x:v>0</x:v>
      </x:c>
      <x:c r="N1394" s="10" t="n">
        <x:f>K1394-L1394-M1394</x:f>
        <x:v>12210.57453108913</x:v>
      </x:c>
      <x:c r="O1394" s="10" t="n">
        <x:f>H1394*'Assumptions'!$P$136*'Assumptions'!$Q$136*'Assumptions'!$D$11*(1+'Assumptions'!$D$13)^(11-1)</x:f>
        <x:v>2914.4337580413894</x:v>
      </x:c>
      <x:c r="P1394" s="10" t="n">
        <x:f>H1394*'Assumptions'!$R$136*'Assumptions'!$D$11*(1+'Assumptions'!$D$13)^(11-1)</x:f>
        <x:v>5551.302396269314</x:v>
      </x:c>
      <x:c r="Q1394" s="10" t="n">
        <x:f>J1394*'Assumptions'!$S$136</x:f>
        <x:v>0</x:v>
      </x:c>
      <x:c r="R1394" s="10" t="n">
        <x:f>H1394*'Assumptions'!$Y$136*'Assumptions'!$Z$136*'Assumptions'!$D$11*(1+'Assumptions'!$D$13)^(11-1)</x:f>
        <x:v>8326.95359440397</x:v>
      </x:c>
      <x:c r="S1394" s="10" t="n">
        <x:f>IF(I1394=0,0,J1394*'Assumptions'!$W$136+H1394*'Assumptions'!$X$136)</x:f>
        <x:v>488.9791238005349</x:v>
      </x:c>
      <x:c r="T1394" s="10" t="n">
        <x:f>N1394*'Assumptions'!$AA$136</x:f>
        <x:v>976.8459624871305</x:v>
      </x:c>
      <x:c r="U1394" s="10" t="n">
        <x:f>'Assumptions'!$AE$136*'Assumptions'!$D$11*(1+'Assumptions'!$D$13)^(11-1)</x:f>
        <x:v>0</x:v>
      </x:c>
      <x:c r="V1394" s="10" t="n">
        <x:f>0</x:f>
        <x:v>0</x:v>
      </x:c>
      <x:c r="W1394" s="10" t="n">
        <x:f>H1394*('Assumptions'!$P$136+'Assumptions'!$Y$136)</x:f>
        <x:v>268.49487163301427</x:v>
      </x:c>
      <x:c r="X1394" s="10" t="n">
        <x:f>N1394/12*'Assumptions'!$AF$136</x:f>
        <x:v>1017.5478775907609</x:v>
      </x:c>
      <x:c r="Y1394" s="10" t="n">
        <x:f>P1394/12</x:f>
        <x:v>462.6085330224428</x:v>
      </x:c>
      <x:c r="Z1394" s="10" t="n">
        <x:f>0</x:f>
        <x:v>0</x:v>
      </x:c>
      <x:c r="AA1394" s="10" t="n">
        <x:f>Z1394*'Assumptions'!$AC$136*'Assumptions'!$D$11*(1+'Assumptions'!$D$13)^(11-1)</x:f>
        <x:v>0</x:v>
      </x:c>
      <x:c r="AB1394" s="10" t="n">
        <x:f>F1394/1</x:f>
        <x:v>272.7210669063051</x:v>
      </x:c>
      <x:c r="AC1394" s="10" t="n">
        <x:f>AB1394/'Assumptions'!$AM$136</x:f>
        <x:v>2727.210669063051</x:v>
      </x:c>
      <x:c r="AD1394" s="10" t="n">
        <x:f>IF(AB1394=0,0,T1394/AB1394)</x:f>
        <x:v>3.5818500329596157</x:v>
      </x:c>
      <x:c r="AE1394" s="10" t="n">
        <x:f>AA1394*'Assumptions'!$D$21</x:f>
        <x:v>0</x:v>
      </x:c>
    </x:row>
    <x:row r="1395" ht="16" customHeight="1">
      <x:c r="A1395" s="1"/>
      <x:c r="B1395" s="1"/>
      <x:c r="C1395" s="1" t="str">
        <x:v>DOT-108</x:v>
      </x:c>
      <x:c r="D1395" s="10" t="str">
        <x:v>QzoticMusic</x:v>
      </x:c>
      <x:c r="E1395" s="10" t="n">
        <x:v>11</x:v>
      </x:c>
      <x:c r="F1395" s="21" t="n">
        <x:f>F1267*(1+'Assumptions'!$M$137)</x:f>
        <x:v>13.636053345315258</x:v>
      </x:c>
      <x:c r="G1395" s="21" t="n">
        <x:f>H1267*'Assumptions'!$K$137</x:f>
        <x:v>7.0173983187627655</x:v>
      </x:c>
      <x:c r="H1395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1395+G1395,NA())</x:f>
        <x:v>20.653451664078023</x:v>
      </x:c>
      <x:c r="I1395" s="22" t="n">
        <x:f>'Assumptions'!$H$137*IF('Assumptions'!$O$137=1,1,'Assumptions'!$D$10)*(1+'Assumptions'!$N$137)^(11-1)</x:f>
        <x:v>304.74860499868936</x:v>
      </x:c>
      <x:c r="J1395" s="10" t="n">
        <x:f>H1395*I1395</x:f>
        <x:v>6294.110583035637</x:v>
      </x:c>
      <x:c r="K1395" s="10" t="n">
        <x:f>J1395*'Assumptions'!$T$137</x:f>
        <x:v>6294.110583035637</x:v>
      </x:c>
      <x:c r="L1395" s="10" t="n">
        <x:f>K1395*'Assumptions'!$U$137</x:f>
        <x:v>188.8233174910691</x:v>
      </x:c>
      <x:c r="M1395" s="10" t="n">
        <x:f>K1395*'Assumptions'!$V$137</x:f>
        <x:v>0</x:v>
      </x:c>
      <x:c r="N1395" s="10" t="n">
        <x:f>K1395-L1395-M1395</x:f>
        <x:v>6105.287265544568</x:v>
      </x:c>
      <x:c r="O1395" s="10" t="n">
        <x:f>H1395*'Assumptions'!$P$137*'Assumptions'!$Q$137*'Assumptions'!$D$11*(1+'Assumptions'!$D$13)^(11-1)</x:f>
        <x:v>2220.520958507726</x:v>
      </x:c>
      <x:c r="P1395" s="10" t="n">
        <x:f>H1395*'Assumptions'!$R$137*'Assumptions'!$D$11*(1+'Assumptions'!$D$13)^(11-1)</x:f>
        <x:v>0</x:v>
      </x:c>
      <x:c r="Q1395" s="10" t="n">
        <x:f>J1395*'Assumptions'!$S$137</x:f>
        <x:v>0</x:v>
      </x:c>
      <x:c r="R1395" s="10" t="n">
        <x:f>H1395*'Assumptions'!$Y$137*'Assumptions'!$Z$137*'Assumptions'!$D$11*(1+'Assumptions'!$D$13)^(11-1)</x:f>
        <x:v>416.3476797201986</x:v>
      </x:c>
      <x:c r="S1395" s="10" t="n">
        <x:f>IF(I1395=0,0,J1395*'Assumptions'!$W$137+H1395*'Assumptions'!$X$137)</x:f>
        <x:v>188.7252424072569</x:v>
      </x:c>
      <x:c r="T1395" s="10" t="n">
        <x:f>N1395*'Assumptions'!$AA$137</x:f>
        <x:v>488.42298124356546</x:v>
      </x:c>
      <x:c r="U1395" s="10" t="n">
        <x:f>'Assumptions'!$AE$137*'Assumptions'!$D$11*(1+'Assumptions'!$D$13)^(11-1)</x:f>
        <x:v>0</x:v>
      </x:c>
      <x:c r="V1395" s="10" t="n">
        <x:f>0</x:f>
        <x:v>0</x:v>
      </x:c>
      <x:c r="W1395" s="10" t="n">
        <x:f>H1395*('Assumptions'!$P$137+'Assumptions'!$Y$137)</x:f>
        <x:v>51.633629160195056</x:v>
      </x:c>
      <x:c r="X1395" s="10" t="n">
        <x:f>N1395/12*'Assumptions'!$AF$137</x:f>
        <x:v>508.7739387953807</x:v>
      </x:c>
      <x:c r="Y1395" s="10" t="n">
        <x:f>P1395/12</x:f>
        <x:v>0</x:v>
      </x:c>
      <x:c r="Z1395" s="10" t="n">
        <x:f>0</x:f>
        <x:v>0</x:v>
      </x:c>
      <x:c r="AA1395" s="10" t="n">
        <x:f>Z1395*'Assumptions'!$AC$137*'Assumptions'!$D$11*(1+'Assumptions'!$D$13)^(11-1)</x:f>
        <x:v>0</x:v>
      </x:c>
      <x:c r="AB1395" s="10" t="n">
        <x:f>F1395/1</x:f>
        <x:v>13.636053345315258</x:v>
      </x:c>
      <x:c r="AC1395" s="10" t="n">
        <x:f>AB1395/'Assumptions'!$AM$137</x:f>
        <x:v>136.36053345315256</x:v>
      </x:c>
      <x:c r="AD1395" s="10" t="n">
        <x:f>IF(AB1395=0,0,T1395/AB1395)</x:f>
        <x:v>35.81850032959617</x:v>
      </x:c>
      <x:c r="AE1395" s="10" t="n">
        <x:f>AA1395*'Assumptions'!$D$21</x:f>
        <x:v>0</x:v>
      </x:c>
    </x:row>
    <x:row r="1396" ht="16" customHeight="1">
      <x:c r="A1396" s="1"/>
      <x:c r="B1396" s="1"/>
      <x:c r="C1396" s="1" t="str">
        <x:v>DOT-109</x:v>
      </x:c>
      <x:c r="D1396" s="10" t="str">
        <x:v>LesPetitFilms</x:v>
      </x:c>
      <x:c r="E1396" s="10" t="n">
        <x:v>11</x:v>
      </x:c>
      <x:c r="F1396" s="21" t="n">
        <x:f>F1268*(1+'Assumptions'!$M$138)</x:f>
        <x:v>9.090702230210171</x:v>
      </x:c>
      <x:c r="G1396" s="21" t="n">
        <x:f>H1268*'Assumptions'!$K$138</x:f>
        <x:v>4.678265545841843</x:v>
      </x:c>
      <x:c r="H1396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1396+G1396,NA())</x:f>
        <x:v>13.768967776052015</x:v>
      </x:c>
      <x:c r="I1396" s="22" t="n">
        <x:f>'Assumptions'!$H$138*IF('Assumptions'!$O$138=1,1,'Assumptions'!$D$10)*(1+'Assumptions'!$N$138)^(11-1)</x:f>
        <x:v>4266.4804699816505</x:v>
      </x:c>
      <x:c r="J1396" s="10" t="n">
        <x:f>H1396*I1396</x:f>
        <x:v>58745.032108332605</x:v>
      </x:c>
      <x:c r="K1396" s="10" t="n">
        <x:f>J1396*'Assumptions'!$T$138</x:f>
        <x:v>58745.032108332605</x:v>
      </x:c>
      <x:c r="L1396" s="10" t="n">
        <x:f>K1396*'Assumptions'!$U$138</x:f>
        <x:v>1762.3509632499781</x:v>
      </x:c>
      <x:c r="M1396" s="10" t="n">
        <x:f>K1396*'Assumptions'!$V$138</x:f>
        <x:v>0</x:v>
      </x:c>
      <x:c r="N1396" s="10" t="n">
        <x:f>K1396-L1396-M1396</x:f>
        <x:v>56982.68114508263</x:v>
      </x:c>
      <x:c r="O1396" s="10" t="n">
        <x:f>H1396*'Assumptions'!$P$138*'Assumptions'!$Q$138*'Assumptions'!$D$11*(1+'Assumptions'!$D$13)^(11-1)</x:f>
        <x:v>20817.38398600993</x:v>
      </x:c>
      <x:c r="P1396" s="10" t="n">
        <x:f>H1396*'Assumptions'!$R$138*'Assumptions'!$D$11*(1+'Assumptions'!$D$13)^(11-1)</x:f>
        <x:v>6476.519462314201</x:v>
      </x:c>
      <x:c r="Q1396" s="10" t="n">
        <x:f>J1396*'Assumptions'!$S$138</x:f>
        <x:v>0</x:v>
      </x:c>
      <x:c r="R1396" s="10" t="n">
        <x:f>H1396*'Assumptions'!$Y$138*'Assumptions'!$Z$138*'Assumptions'!$D$11*(1+'Assumptions'!$D$13)^(11-1)</x:f>
        <x:v>277.56511981346574</x:v>
      </x:c>
      <x:c r="S1396" s="10" t="n">
        <x:f>IF(I1396=0,0,J1396*'Assumptions'!$W$138+H1396*'Assumptions'!$X$138)</x:f>
        <x:v>1707.7366214744613</x:v>
      </x:c>
      <x:c r="T1396" s="10" t="n">
        <x:f>N1396*'Assumptions'!$AA$138</x:f>
        <x:v>4558.6144916066105</x:v>
      </x:c>
      <x:c r="U1396" s="10" t="n">
        <x:f>'Assumptions'!$AE$138*'Assumptions'!$D$11*(1+'Assumptions'!$D$13)^(11-1)</x:f>
        <x:v>0</x:v>
      </x:c>
      <x:c r="V1396" s="10" t="n">
        <x:f>0</x:f>
        <x:v>0</x:v>
      </x:c>
      <x:c r="W1396" s="10" t="n">
        <x:f>H1396*('Assumptions'!$P$138+'Assumptions'!$Y$138)</x:f>
        <x:v>351.1086782893264</x:v>
      </x:c>
      <x:c r="X1396" s="10" t="n">
        <x:f>N1396/12*'Assumptions'!$AF$138</x:f>
        <x:v>4748.556762090219</x:v>
      </x:c>
      <x:c r="Y1396" s="10" t="n">
        <x:f>P1396/12</x:f>
        <x:v>539.7099551928501</x:v>
      </x:c>
      <x:c r="Z1396" s="10" t="n">
        <x:f>0</x:f>
        <x:v>0</x:v>
      </x:c>
      <x:c r="AA1396" s="10" t="n">
        <x:f>Z1396*'Assumptions'!$AC$138*'Assumptions'!$D$11*(1+'Assumptions'!$D$13)^(11-1)</x:f>
        <x:v>0</x:v>
      </x:c>
      <x:c r="AB1396" s="10" t="n">
        <x:f>F1396/1</x:f>
        <x:v>9.090702230210171</x:v>
      </x:c>
      <x:c r="AC1396" s="10" t="n">
        <x:f>AB1396/'Assumptions'!$AM$138</x:f>
        <x:v>90.90702230210171</x:v>
      </x:c>
      <x:c r="AD1396" s="10" t="n">
        <x:f>IF(AB1396=0,0,T1396/AB1396)</x:f>
        <x:v>501.4590046143463</x:v>
      </x:c>
      <x:c r="AE1396" s="10" t="n">
        <x:f>AA1396*'Assumptions'!$D$21</x:f>
        <x:v>0</x:v>
      </x:c>
    </x:row>
    <x:row r="1397" ht="16" customHeight="1">
      <x:c r="A1397" s="1"/>
      <x:c r="B1397" s="1"/>
      <x:c r="C1397" s="1" t="str">
        <x:v>DOT-110</x:v>
      </x:c>
      <x:c r="D1397" s="10" t="str">
        <x:v>LesPetitFilms</x:v>
      </x:c>
      <x:c r="E1397" s="10" t="n">
        <x:v>11</x:v>
      </x:c>
      <x:c r="F1397" s="21" t="n">
        <x:f>F1269*(1+'Assumptions'!$M$139)</x:f>
        <x:v>9.090702230210171</x:v>
      </x:c>
      <x:c r="G1397" s="21" t="n">
        <x:f>H1269*'Assumptions'!$K$139</x:f>
        <x:v>4.678265545841843</x:v>
      </x:c>
      <x:c r="H1397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1397+G1397,NA())</x:f>
        <x:v>13.768967776052015</x:v>
      </x:c>
      <x:c r="I1397" s="22" t="n">
        <x:f>'Assumptions'!$H$139*IF('Assumptions'!$O$139=1,1,'Assumptions'!$D$10)*(1+'Assumptions'!$N$139)^(11-1)</x:f>
        <x:v>1828.491629992136</x:v>
      </x:c>
      <x:c r="J1397" s="10" t="n">
        <x:f>H1397*I1397</x:f>
        <x:v>25176.442332142546</x:v>
      </x:c>
      <x:c r="K1397" s="10" t="n">
        <x:f>J1397*'Assumptions'!$T$139</x:f>
        <x:v>25176.442332142546</x:v>
      </x:c>
      <x:c r="L1397" s="10" t="n">
        <x:f>K1397*'Assumptions'!$U$139</x:f>
        <x:v>755.2932699642763</x:v>
      </x:c>
      <x:c r="M1397" s="10" t="n">
        <x:f>K1397*'Assumptions'!$V$139</x:f>
        <x:v>0</x:v>
      </x:c>
      <x:c r="N1397" s="10" t="n">
        <x:f>K1397-L1397-M1397</x:f>
        <x:v>24421.14906217827</x:v>
      </x:c>
      <x:c r="O1397" s="10" t="n">
        <x:f>H1397*'Assumptions'!$P$139*'Assumptions'!$Q$139*'Assumptions'!$D$11*(1+'Assumptions'!$D$13)^(11-1)</x:f>
        <x:v>8326.953594403973</x:v>
      </x:c>
      <x:c r="P1397" s="10" t="n">
        <x:f>H1397*'Assumptions'!$R$139*'Assumptions'!$D$11*(1+'Assumptions'!$D$13)^(11-1)</x:f>
        <x:v>3700.868264179543</x:v>
      </x:c>
      <x:c r="Q1397" s="10" t="n">
        <x:f>J1397*'Assumptions'!$S$139</x:f>
        <x:v>0</x:v>
      </x:c>
      <x:c r="R1397" s="10" t="n">
        <x:f>H1397*'Assumptions'!$Y$139*'Assumptions'!$Z$139*'Assumptions'!$D$11*(1+'Assumptions'!$D$13)^(11-1)</x:f>
        <x:v>277.56511981346574</x:v>
      </x:c>
      <x:c r="S1397" s="10" t="n">
        <x:f>IF(I1397=0,0,J1397*'Assumptions'!$W$139+H1397*'Assumptions'!$X$139)</x:f>
        <x:v>734.2475179649495</x:v>
      </x:c>
      <x:c r="T1397" s="10" t="n">
        <x:f>N1397*'Assumptions'!$AA$139</x:f>
        <x:v>1953.6919249742616</x:v>
      </x:c>
      <x:c r="U1397" s="10" t="n">
        <x:f>'Assumptions'!$AE$139*'Assumptions'!$D$11*(1+'Assumptions'!$D$13)^(11-1)</x:f>
        <x:v>0</x:v>
      </x:c>
      <x:c r="V1397" s="10" t="n">
        <x:f>0</x:f>
        <x:v>0</x:v>
      </x:c>
      <x:c r="W1397" s="10" t="n">
        <x:f>H1397*('Assumptions'!$P$139+'Assumptions'!$Y$139)</x:f>
        <x:v>144.57416164854615</x:v>
      </x:c>
      <x:c r="X1397" s="10" t="n">
        <x:f>N1397/12*'Assumptions'!$AF$139</x:f>
        <x:v>2035.0957551815225</x:v>
      </x:c>
      <x:c r="Y1397" s="10" t="n">
        <x:f>P1397/12</x:f>
        <x:v>308.4056886816286</x:v>
      </x:c>
      <x:c r="Z1397" s="10" t="n">
        <x:f>0</x:f>
        <x:v>0</x:v>
      </x:c>
      <x:c r="AA1397" s="10" t="n">
        <x:f>Z1397*'Assumptions'!$AC$139*'Assumptions'!$D$11*(1+'Assumptions'!$D$13)^(11-1)</x:f>
        <x:v>0</x:v>
      </x:c>
      <x:c r="AB1397" s="10" t="n">
        <x:f>F1397/1</x:f>
        <x:v>9.090702230210171</x:v>
      </x:c>
      <x:c r="AC1397" s="10" t="n">
        <x:f>AB1397/'Assumptions'!$AM$139</x:f>
        <x:v>90.90702230210171</x:v>
      </x:c>
      <x:c r="AD1397" s="10" t="n">
        <x:f>IF(AB1397=0,0,T1397/AB1397)</x:f>
        <x:v>214.91100197757697</x:v>
      </x:c>
      <x:c r="AE1397" s="10" t="n">
        <x:f>AA1397*'Assumptions'!$D$21</x:f>
        <x:v>0</x:v>
      </x:c>
    </x:row>
    <x:row r="1398" ht="16" customHeight="1">
      <x:c r="A1398" s="1"/>
      <x:c r="B1398" s="1"/>
      <x:c r="C1398" s="1" t="str">
        <x:v>DOT-111</x:v>
      </x:c>
      <x:c r="D1398" s="10" t="str">
        <x:v>LesPetitFilms</x:v>
      </x:c>
      <x:c r="E1398" s="10" t="n">
        <x:v>11</x:v>
      </x:c>
      <x:c r="F1398" s="21" t="n">
        <x:f>F1270*(1+'Assumptions'!$M$140)</x:f>
        <x:v>13.636053345315258</x:v>
      </x:c>
      <x:c r="G1398" s="21" t="n">
        <x:f>H1270*'Assumptions'!$K$140</x:f>
        <x:v>7.0173983187627655</x:v>
      </x:c>
      <x:c r="H1398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1398+G1398,NA())</x:f>
        <x:v>20.653451664078023</x:v>
      </x:c>
      <x:c r="I1398" s="22" t="n">
        <x:f>'Assumptions'!$H$140*IF('Assumptions'!$O$140=1,1,'Assumptions'!$D$10)*(1+'Assumptions'!$N$140)^(11-1)</x:f>
        <x:v>609.4972099973787</x:v>
      </x:c>
      <x:c r="J1398" s="10" t="n">
        <x:f>H1398*I1398</x:f>
        <x:v>12588.221166071275</x:v>
      </x:c>
      <x:c r="K1398" s="10" t="n">
        <x:f>J1398*'Assumptions'!$T$140</x:f>
        <x:v>12588.221166071275</x:v>
      </x:c>
      <x:c r="L1398" s="10" t="n">
        <x:f>K1398*'Assumptions'!$U$140</x:f>
        <x:v>377.6466349821382</x:v>
      </x:c>
      <x:c r="M1398" s="10" t="n">
        <x:f>K1398*'Assumptions'!$V$140</x:f>
        <x:v>0</x:v>
      </x:c>
      <x:c r="N1398" s="10" t="n">
        <x:f>K1398-L1398-M1398</x:f>
        <x:v>12210.574531089136</x:v>
      </x:c>
      <x:c r="O1398" s="10" t="n">
        <x:f>H1398*'Assumptions'!$P$140*'Assumptions'!$Q$140*'Assumptions'!$D$11*(1+'Assumptions'!$D$13)^(11-1)</x:f>
        <x:v>3330.781437761589</x:v>
      </x:c>
      <x:c r="P1398" s="10" t="n">
        <x:f>H1398*'Assumptions'!$R$140*'Assumptions'!$D$11*(1+'Assumptions'!$D$13)^(11-1)</x:f>
        <x:v>1387.8255990673288</x:v>
      </x:c>
      <x:c r="Q1398" s="10" t="n">
        <x:f>J1398*'Assumptions'!$S$140</x:f>
        <x:v>0</x:v>
      </x:c>
      <x:c r="R1398" s="10" t="n">
        <x:f>H1398*'Assumptions'!$Y$140*'Assumptions'!$Z$140*'Assumptions'!$D$11*(1+'Assumptions'!$D$13)^(11-1)</x:f>
        <x:v>416.3476797201986</x:v>
      </x:c>
      <x:c r="S1398" s="10" t="n">
        <x:f>IF(I1398=0,0,J1398*'Assumptions'!$W$140+H1398*'Assumptions'!$X$140)</x:f>
        <x:v>371.2544493152904</x:v>
      </x:c>
      <x:c r="T1398" s="10" t="n">
        <x:f>N1398*'Assumptions'!$AA$140</x:f>
        <x:v>976.8459624871309</x:v>
      </x:c>
      <x:c r="U1398" s="10" t="n">
        <x:f>'Assumptions'!$AE$140*'Assumptions'!$D$11*(1+'Assumptions'!$D$13)^(11-1)</x:f>
        <x:v>0</x:v>
      </x:c>
      <x:c r="V1398" s="10" t="n">
        <x:f>0</x:f>
        <x:v>0</x:v>
      </x:c>
      <x:c r="W1398" s="10" t="n">
        <x:f>H1398*('Assumptions'!$P$140+'Assumptions'!$Y$140)</x:f>
        <x:v>72.28708082427308</x:v>
      </x:c>
      <x:c r="X1398" s="10" t="n">
        <x:f>N1398/12*'Assumptions'!$AF$140</x:f>
        <x:v>1017.5478775907613</x:v>
      </x:c>
      <x:c r="Y1398" s="10" t="n">
        <x:f>P1398/12</x:f>
        <x:v>115.65213325561074</x:v>
      </x:c>
      <x:c r="Z1398" s="10" t="n">
        <x:f>0</x:f>
        <x:v>0</x:v>
      </x:c>
      <x:c r="AA1398" s="10" t="n">
        <x:f>Z1398*'Assumptions'!$AC$140*'Assumptions'!$D$11*(1+'Assumptions'!$D$13)^(11-1)</x:f>
        <x:v>0</x:v>
      </x:c>
      <x:c r="AB1398" s="10" t="n">
        <x:f>F1398/1</x:f>
        <x:v>13.636053345315258</x:v>
      </x:c>
      <x:c r="AC1398" s="10" t="n">
        <x:f>AB1398/'Assumptions'!$AM$140</x:f>
        <x:v>136.36053345315256</x:v>
      </x:c>
      <x:c r="AD1398" s="10" t="n">
        <x:f>IF(AB1398=0,0,T1398/AB1398)</x:f>
        <x:v>71.63700065919234</x:v>
      </x:c>
      <x:c r="AE1398" s="10" t="n">
        <x:f>AA1398*'Assumptions'!$D$21</x:f>
        <x:v>0</x:v>
      </x:c>
    </x:row>
    <x:row r="1399" ht="16" customHeight="1">
      <x:c r="A1399" s="1"/>
      <x:c r="B1399" s="1"/>
      <x:c r="C1399" s="1" t="str">
        <x:v>DOT-112</x:v>
      </x:c>
      <x:c r="D1399" s="10" t="str">
        <x:v>Learn Anglais</x:v>
      </x:c>
      <x:c r="E1399" s="10" t="n">
        <x:v>11</x:v>
      </x:c>
      <x:c r="F1399" s="21" t="n">
        <x:f>F1271*(1+'Assumptions'!$M$141)</x:f>
        <x:v>445.6776315748563</x:v>
      </x:c>
      <x:c r="G1399" s="21" t="n">
        <x:f>H1271*'Assumptions'!$K$141</x:f>
        <x:v>914.2151998779676</x:v>
      </x:c>
      <x:c r="H1399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1399+G1399,NA())</x:f>
        <x:v>1359.8928314528239</x:v>
      </x:c>
      <x:c r="I1399" s="22" t="n">
        <x:f>'Assumptions'!$H$141*IF('Assumptions'!$O$141=1,1,'Assumptions'!$D$10)*(1+'Assumptions'!$N$141)^(11-1)</x:f>
        <x:v>54.85474889976408</x:v>
      </x:c>
      <x:c r="J1399" s="10" t="n">
        <x:f>H1399*I1399</x:f>
        <x:v>74596.57979993385</x:v>
      </x:c>
      <x:c r="K1399" s="10" t="n">
        <x:f>J1399*'Assumptions'!$T$141</x:f>
        <x:v>24865.52659997795</x:v>
      </x:c>
      <x:c r="L1399" s="10" t="n">
        <x:f>K1399*'Assumptions'!$U$141</x:f>
        <x:v>745.9657979993385</x:v>
      </x:c>
      <x:c r="M1399" s="10" t="n">
        <x:f>K1399*'Assumptions'!$V$141</x:f>
        <x:v>0</x:v>
      </x:c>
      <x:c r="N1399" s="10" t="n">
        <x:f>K1399-L1399-M1399</x:f>
        <x:v>24119.560801978612</x:v>
      </x:c>
      <x:c r="O1399" s="10" t="n">
        <x:f>H1399*'Assumptions'!$P$141*'Assumptions'!$Q$141*'Assumptions'!$D$11*(1+'Assumptions'!$D$13)^(11-1)</x:f>
        <x:v>6396.53787619737</x:v>
      </x:c>
      <x:c r="P1399" s="10" t="n">
        <x:f>H1399*'Assumptions'!$R$141*'Assumptions'!$D$11*(1+'Assumptions'!$D$13)^(11-1)</x:f>
        <x:v>0</x:v>
      </x:c>
      <x:c r="Q1399" s="10" t="n">
        <x:f>J1399*'Assumptions'!$S$141</x:f>
        <x:v>0</x:v>
      </x:c>
      <x:c r="R1399" s="10" t="n">
        <x:f>H1399*'Assumptions'!$Y$141*'Assumptions'!$Z$141*'Assumptions'!$D$11*(1+'Assumptions'!$D$13)^(11-1)</x:f>
        <x:v>8224.120126539476</x:v>
      </x:c>
      <x:c r="S1399" s="10" t="n">
        <x:f>IF(I1399=0,0,J1399*'Assumptions'!$W$141+H1399*'Assumptions'!$X$141)</x:f>
        <x:v>2571.268663633929</x:v>
      </x:c>
      <x:c r="T1399" s="10" t="n">
        <x:f>N1399*'Assumptions'!$AA$141</x:f>
        <x:v>1205.9780400989307</x:v>
      </x:c>
      <x:c r="U1399" s="10" t="n">
        <x:f>'Assumptions'!$AE$141*'Assumptions'!$D$11*(1+'Assumptions'!$D$13)^(11-1)</x:f>
        <x:v>0</x:v>
      </x:c>
      <x:c r="V1399" s="10" t="n">
        <x:f>0</x:f>
        <x:v>0</x:v>
      </x:c>
      <x:c r="W1399" s="10" t="n">
        <x:f>H1399*('Assumptions'!$P$141+'Assumptions'!$Y$141)</x:f>
        <x:v>339.97320786320597</x:v>
      </x:c>
      <x:c r="X1399" s="10" t="n">
        <x:f>N1399/12*'Assumptions'!$AF$141</x:f>
        <x:v>0</x:v>
      </x:c>
      <x:c r="Y1399" s="10" t="n">
        <x:f>P1399/12</x:f>
        <x:v>0</x:v>
      </x:c>
      <x:c r="Z1399" s="10" t="n">
        <x:f>0</x:f>
        <x:v>0</x:v>
      </x:c>
      <x:c r="AA1399" s="10" t="n">
        <x:f>Z1399*'Assumptions'!$AC$141*'Assumptions'!$D$11*(1+'Assumptions'!$D$13)^(11-1)</x:f>
        <x:v>0</x:v>
      </x:c>
      <x:c r="AB1399" s="10" t="n">
        <x:f>F1399/1</x:f>
        <x:v>445.6776315748563</x:v>
      </x:c>
      <x:c r="AC1399" s="10" t="n">
        <x:f>AB1399/'Assumptions'!$AM$141</x:f>
        <x:v>8913.552631497127</x:v>
      </x:c>
      <x:c r="AD1399" s="10" t="n">
        <x:f>IF(AB1399=0,0,T1399/AB1399)</x:f>
        <x:v>2.70594248995055</x:v>
      </x:c>
      <x:c r="AE1399" s="10" t="n">
        <x:f>AA1399*'Assumptions'!$D$21</x:f>
        <x:v>0</x:v>
      </x:c>
    </x:row>
    <x:row r="1400" ht="16" customHeight="1">
      <x:c r="A1400" s="1"/>
      <x:c r="B1400" s="1"/>
      <x:c r="C1400" s="1" t="str">
        <x:v>DOT-113</x:v>
      </x:c>
      <x:c r="D1400" s="10" t="str">
        <x:v>Learn Anglais</x:v>
      </x:c>
      <x:c r="E1400" s="10" t="n">
        <x:v>11</x:v>
      </x:c>
      <x:c r="F1400" s="21" t="n">
        <x:f>F1272*(1+'Assumptions'!$M$142)</x:f>
        <x:v>267.4065789449137</x:v>
      </x:c>
      <x:c r="G1400" s="21" t="n">
        <x:f>H1272*'Assumptions'!$K$142</x:f>
        <x:v>548.5291199267805</x:v>
      </x:c>
      <x:c r="H1400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1400+G1400,NA())</x:f>
        <x:v>815.9356988716942</x:v>
      </x:c>
      <x:c r="I1400" s="22" t="n">
        <x:f>'Assumptions'!$H$142*IF('Assumptions'!$O$142=1,1,'Assumptions'!$D$10)*(1+'Assumptions'!$N$142)^(11-1)</x:f>
        <x:v>103.61452569955438</x:v>
      </x:c>
      <x:c r="J1400" s="10" t="n">
        <x:f>H1400*I1400</x:f>
        <x:v>84542.79043992501</x:v>
      </x:c>
      <x:c r="K1400" s="10" t="n">
        <x:f>J1400*'Assumptions'!$T$142</x:f>
        <x:v>25362.837131977503</x:v>
      </x:c>
      <x:c r="L1400" s="10" t="n">
        <x:f>K1400*'Assumptions'!$U$142</x:f>
        <x:v>760.885113959325</x:v>
      </x:c>
      <x:c r="M1400" s="10" t="n">
        <x:f>K1400*'Assumptions'!$V$142</x:f>
        <x:v>0</x:v>
      </x:c>
      <x:c r="N1400" s="10" t="n">
        <x:f>K1400-L1400-M1400</x:f>
        <x:v>24601.95201801818</x:v>
      </x:c>
      <x:c r="O1400" s="10" t="n">
        <x:f>H1400*'Assumptions'!$P$142*'Assumptions'!$Q$142*'Assumptions'!$D$11*(1+'Assumptions'!$D$13)^(11-1)</x:f>
        <x:v>3837.9227257184216</x:v>
      </x:c>
      <x:c r="P1400" s="10" t="n">
        <x:f>H1400*'Assumptions'!$R$142*'Assumptions'!$D$11*(1+'Assumptions'!$D$13)^(11-1)</x:f>
        <x:v>0</x:v>
      </x:c>
      <x:c r="Q1400" s="10" t="n">
        <x:f>J1400*'Assumptions'!$S$142</x:f>
        <x:v>0</x:v>
      </x:c>
      <x:c r="R1400" s="10" t="n">
        <x:f>H1400*'Assumptions'!$Y$142*'Assumptions'!$Z$142*'Assumptions'!$D$11*(1+'Assumptions'!$D$13)^(11-1)</x:f>
        <x:v>4934.472075923684</x:v>
      </x:c>
      <x:c r="S1400" s="10" t="n">
        <x:f>IF(I1400=0,0,J1400*'Assumptions'!$W$142+H1400*'Assumptions'!$X$142)</x:f>
        <x:v>2696.521632419334</x:v>
      </x:c>
      <x:c r="T1400" s="10" t="n">
        <x:f>N1400*'Assumptions'!$AA$142</x:f>
        <x:v>1230.0976009009091</x:v>
      </x:c>
      <x:c r="U1400" s="10" t="n">
        <x:f>'Assumptions'!$AE$142*'Assumptions'!$D$11*(1+'Assumptions'!$D$13)^(11-1)</x:f>
        <x:v>0</x:v>
      </x:c>
      <x:c r="V1400" s="10" t="n">
        <x:f>0</x:f>
        <x:v>0</x:v>
      </x:c>
      <x:c r="W1400" s="10" t="n">
        <x:f>H1400*('Assumptions'!$P$142+'Assumptions'!$Y$142)</x:f>
        <x:v>203.98392471792354</x:v>
      </x:c>
      <x:c r="X1400" s="10" t="n">
        <x:f>N1400/12*'Assumptions'!$AF$142</x:f>
        <x:v>0</x:v>
      </x:c>
      <x:c r="Y1400" s="10" t="n">
        <x:f>P1400/12</x:f>
        <x:v>0</x:v>
      </x:c>
      <x:c r="Z1400" s="10" t="n">
        <x:f>0</x:f>
        <x:v>0</x:v>
      </x:c>
      <x:c r="AA1400" s="10" t="n">
        <x:f>Z1400*'Assumptions'!$AC$142*'Assumptions'!$D$11*(1+'Assumptions'!$D$13)^(11-1)</x:f>
        <x:v>0</x:v>
      </x:c>
      <x:c r="AB1400" s="10" t="n">
        <x:f>F1400/1</x:f>
        <x:v>267.4065789449137</x:v>
      </x:c>
      <x:c r="AC1400" s="10" t="n">
        <x:f>AB1400/'Assumptions'!$AM$142</x:f>
        <x:v>5348.131578898274</x:v>
      </x:c>
      <x:c r="AD1400" s="10" t="n">
        <x:f>IF(AB1400=0,0,T1400/AB1400)</x:f>
        <x:v>4.600102232915937</x:v>
      </x:c>
      <x:c r="AE1400" s="10" t="n">
        <x:f>AA1400*'Assumptions'!$D$21</x:f>
        <x:v>0</x:v>
      </x:c>
    </x:row>
    <x:row r="1401" ht="16" customHeight="1">
      <x:c r="A1401" s="1"/>
      <x:c r="B1401" s="1"/>
      <x:c r="C1401" s="1" t="str">
        <x:v>DOT-114</x:v>
      </x:c>
      <x:c r="D1401" s="10" t="str">
        <x:v>Learn Anglais</x:v>
      </x:c>
      <x:c r="E1401" s="10" t="n">
        <x:v>11</x:v>
      </x:c>
      <x:c r="F1401" s="21" t="n">
        <x:f>F1273*(1+'Assumptions'!$M$143)</x:f>
        <x:v>375.91288730209334</x:v>
      </x:c>
      <x:c r="G1401" s="21" t="n">
        <x:f>H1273*'Assumptions'!$K$143</x:f>
        <x:v>120.48156745044994</x:v>
      </x:c>
      <x:c r="H1401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1401+G1401,NA())</x:f>
        <x:v>496.3944547525433</x:v>
      </x:c>
      <x:c r="I1401" s="22" t="n">
        <x:f>'Assumptions'!$H$143*IF('Assumptions'!$O$143=1,1,'Assumptions'!$D$10)*(1+'Assumptions'!$N$143)^(11-1)</x:f>
        <x:v>35.35083817984796</x:v>
      </x:c>
      <x:c r="J1401" s="10" t="n">
        <x:f>H1401*I1401</x:f>
        <x:v>17547.96004333102</x:v>
      </x:c>
      <x:c r="K1401" s="10" t="n">
        <x:f>J1401*'Assumptions'!$T$143</x:f>
        <x:v>17547.96004333102</x:v>
      </x:c>
      <x:c r="L1401" s="10" t="n">
        <x:f>K1401*'Assumptions'!$U$143</x:f>
        <x:v>526.4388012999306</x:v>
      </x:c>
      <x:c r="M1401" s="10" t="n">
        <x:f>K1401*'Assumptions'!$V$143</x:f>
        <x:v>0</x:v>
      </x:c>
      <x:c r="N1401" s="10" t="n">
        <x:f>K1401-L1401-M1401</x:f>
        <x:v>17021.52124203109</x:v>
      </x:c>
      <x:c r="O1401" s="10" t="n">
        <x:f>H1401*'Assumptions'!$P$143*'Assumptions'!$Q$143*'Assumptions'!$D$11*(1+'Assumptions'!$D$13)^(11-1)</x:f>
        <x:v>3502.341351377073</x:v>
      </x:c>
      <x:c r="P1401" s="10" t="n">
        <x:f>H1401*'Assumptions'!$R$143*'Assumptions'!$D$11*(1+'Assumptions'!$D$13)^(11-1)</x:f>
        <x:v>0</x:v>
      </x:c>
      <x:c r="Q1401" s="10" t="n">
        <x:f>J1401*'Assumptions'!$S$143</x:f>
        <x:v>0</x:v>
      </x:c>
      <x:c r="R1401" s="10" t="n">
        <x:f>H1401*'Assumptions'!$Y$143*'Assumptions'!$Z$143*'Assumptions'!$D$11*(1+'Assumptions'!$D$13)^(11-1)</x:f>
        <x:v>2001.3379150726132</x:v>
      </x:c>
      <x:c r="S1401" s="10" t="n">
        <x:f>IF(I1401=0,0,J1401*'Assumptions'!$W$143+H1401*'Assumptions'!$X$143)</x:f>
        <x:v>657.8091776823626</x:v>
      </x:c>
      <x:c r="T1401" s="10" t="n">
        <x:f>N1401*'Assumptions'!$AA$143</x:f>
        <x:v>851.0760621015545</x:v>
      </x:c>
      <x:c r="U1401" s="10" t="n">
        <x:f>'Assumptions'!$AE$143*'Assumptions'!$D$11*(1+'Assumptions'!$D$13)^(11-1)</x:f>
        <x:v>0</x:v>
      </x:c>
      <x:c r="V1401" s="10" t="n">
        <x:f>0</x:f>
        <x:v>0</x:v>
      </x:c>
      <x:c r="W1401" s="10" t="n">
        <x:f>H1401*('Assumptions'!$P$143+'Assumptions'!$Y$143)</x:f>
        <x:v>124.09861368813583</x:v>
      </x:c>
      <x:c r="X1401" s="10" t="n">
        <x:f>N1401/12*'Assumptions'!$AF$143</x:f>
        <x:v>0</x:v>
      </x:c>
      <x:c r="Y1401" s="10" t="n">
        <x:f>P1401/12</x:f>
        <x:v>0</x:v>
      </x:c>
      <x:c r="Z1401" s="10" t="n">
        <x:f>0</x:f>
        <x:v>0</x:v>
      </x:c>
      <x:c r="AA1401" s="10" t="n">
        <x:f>Z1401*'Assumptions'!$AC$143*'Assumptions'!$D$11*(1+'Assumptions'!$D$13)^(11-1)</x:f>
        <x:v>0</x:v>
      </x:c>
      <x:c r="AB1401" s="10" t="n">
        <x:f>F1401/1</x:f>
        <x:v>375.91288730209334</x:v>
      </x:c>
      <x:c r="AC1401" s="10" t="n">
        <x:f>AB1401/'Assumptions'!$AM$143</x:f>
        <x:v>7518.257746041866</x:v>
      </x:c>
      <x:c r="AD1401" s="10" t="n">
        <x:f>IF(AB1401=0,0,T1401/AB1401)</x:f>
        <x:v>2.264024700535493</x:v>
      </x:c>
      <x:c r="AE1401" s="10" t="n">
        <x:f>AA1401*'Assumptions'!$D$21</x:f>
        <x:v>0</x:v>
      </x:c>
    </x:row>
    <x:row r="1402" ht="16" customHeight="1">
      <x:c r="A1402" s="1"/>
      <x:c r="B1402" s="1"/>
      <x:c r="C1402" s="1" t="str">
        <x:v>DOT-115</x:v>
      </x:c>
      <x:c r="D1402" s="10" t="str">
        <x:v>Learn Anglais</x:v>
      </x:c>
      <x:c r="E1402" s="10" t="n">
        <x:v>11</x:v>
      </x:c>
      <x:c r="F1402" s="21" t="n">
        <x:f>F1274*(1+'Assumptions'!$M$144)</x:f>
        <x:v>178.27105262994252</x:v>
      </x:c>
      <x:c r="G1402" s="21" t="n">
        <x:f>H1274*'Assumptions'!$K$144</x:f>
        <x:v>363.9912284571871</x:v>
      </x:c>
      <x:c r="H1402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1402+G1402,NA())</x:f>
        <x:v>542.2622810871296</x:v>
      </x:c>
      <x:c r="I1402" s="22" t="n">
        <x:f>'Assumptions'!$H$144*IF('Assumptions'!$O$144=1,1,'Assumptions'!$D$10)*(1+'Assumptions'!$N$144)^(11-1)</x:f>
        <x:v>54.85474889976408</x:v>
      </x:c>
      <x:c r="J1402" s="10" t="n">
        <x:f>H1402*I1402</x:f>
        <x:v>29745.661266847786</x:v>
      </x:c>
      <x:c r="K1402" s="10" t="n">
        <x:f>J1402*'Assumptions'!$T$144</x:f>
        <x:v>9915.220422282595</x:v>
      </x:c>
      <x:c r="L1402" s="10" t="n">
        <x:f>K1402*'Assumptions'!$U$144</x:f>
        <x:v>297.4566126684778</x:v>
      </x:c>
      <x:c r="M1402" s="10" t="n">
        <x:f>K1402*'Assumptions'!$V$144</x:f>
        <x:v>0</x:v>
      </x:c>
      <x:c r="N1402" s="10" t="n">
        <x:f>K1402-L1402-M1402</x:f>
        <x:v>9617.763809614116</x:v>
      </x:c>
      <x:c r="O1402" s="10" t="n">
        <x:f>H1402*'Assumptions'!$P$144*'Assumptions'!$Q$144*'Assumptions'!$D$11*(1+'Assumptions'!$D$13)^(11-1)</x:f>
        <x:v>3825.964597630875</x:v>
      </x:c>
      <x:c r="P1402" s="10" t="n">
        <x:f>H1402*'Assumptions'!$R$144*'Assumptions'!$D$11*(1+'Assumptions'!$D$13)^(11-1)</x:f>
        <x:v>0</x:v>
      </x:c>
      <x:c r="Q1402" s="10" t="n">
        <x:f>J1402*'Assumptions'!$S$144</x:f>
        <x:v>0</x:v>
      </x:c>
      <x:c r="R1402" s="10" t="n">
        <x:f>H1402*'Assumptions'!$Y$144*'Assumptions'!$Z$144*'Assumptions'!$D$11*(1+'Assumptions'!$D$13)^(11-1)</x:f>
        <x:v>3279.39822654075</x:v>
      </x:c>
      <x:c r="S1402" s="10" t="n">
        <x:f>IF(I1402=0,0,J1402*'Assumptions'!$W$144+H1402*'Assumptions'!$X$144)</x:f>
        <x:v>1025.3028610647248</x:v>
      </x:c>
      <x:c r="T1402" s="10" t="n">
        <x:f>N1402*'Assumptions'!$AA$144</x:f>
        <x:v>480.8881904807058</x:v>
      </x:c>
      <x:c r="U1402" s="10" t="n">
        <x:f>'Assumptions'!$AE$144*'Assumptions'!$D$11*(1+'Assumptions'!$D$13)^(11-1)</x:f>
        <x:v>0</x:v>
      </x:c>
      <x:c r="V1402" s="10" t="n">
        <x:f>0</x:f>
        <x:v>0</x:v>
      </x:c>
      <x:c r="W1402" s="10" t="n">
        <x:f>H1402*('Assumptions'!$P$144+'Assumptions'!$Y$144)</x:f>
        <x:v>162.6786843261389</x:v>
      </x:c>
      <x:c r="X1402" s="10" t="n">
        <x:f>N1402/12*'Assumptions'!$AF$144</x:f>
        <x:v>0</x:v>
      </x:c>
      <x:c r="Y1402" s="10" t="n">
        <x:f>P1402/12</x:f>
        <x:v>0</x:v>
      </x:c>
      <x:c r="Z1402" s="10" t="n">
        <x:f>0</x:f>
        <x:v>0</x:v>
      </x:c>
      <x:c r="AA1402" s="10" t="n">
        <x:f>Z1402*'Assumptions'!$AC$144*'Assumptions'!$D$11*(1+'Assumptions'!$D$13)^(11-1)</x:f>
        <x:v>0</x:v>
      </x:c>
      <x:c r="AB1402" s="10" t="n">
        <x:f>F1402/1</x:f>
        <x:v>178.27105262994252</x:v>
      </x:c>
      <x:c r="AC1402" s="10" t="n">
        <x:f>AB1402/'Assumptions'!$AM$144</x:f>
        <x:v>3565.42105259885</x:v>
      </x:c>
      <x:c r="AD1402" s="10" t="n">
        <x:f>IF(AB1402=0,0,T1402/AB1402)</x:f>
        <x:v>2.6975113647807984</x:v>
      </x:c>
      <x:c r="AE1402" s="10" t="n">
        <x:f>AA1402*'Assumptions'!$D$21</x:f>
        <x:v>0</x:v>
      </x:c>
    </x:row>
    <x:row r="1403" ht="16" customHeight="1">
      <x:c r="A1403" s="1"/>
      <x:c r="B1403" s="1"/>
      <x:c r="C1403" s="1" t="str">
        <x:v>DOT-116</x:v>
      </x:c>
      <x:c r="D1403" s="10" t="str">
        <x:v>Fiefé</x:v>
      </x:c>
      <x:c r="E1403" s="10" t="n">
        <x:v>11</x:v>
      </x:c>
      <x:c r="F1403" s="21" t="n">
        <x:f>F1275*(1+'Assumptions'!$M$145)</x:f>
        <x:v>63.129844022812314</x:v>
      </x:c>
      <x:c r="G1403" s="21" t="n">
        <x:f>H1275*'Assumptions'!$K$145</x:f>
        <x:v>25.941903777135003</x:v>
      </x:c>
      <x:c r="H1403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1403+G1403,NA())</x:f>
        <x:v>89.07174779994732</x:v>
      </x:c>
      <x:c r="I1403" s="22" t="n">
        <x:f>'Assumptions'!$H$145*IF('Assumptions'!$O$145=1,1,'Assumptions'!$D$10)*(1+'Assumptions'!$N$145)^(11-1)</x:f>
        <x:v>548.5474889976408</x:v>
      </x:c>
      <x:c r="J1403" s="10" t="n">
        <x:f>H1403*I1403</x:f>
        <x:v>48860.083596292236</x:v>
      </x:c>
      <x:c r="K1403" s="10" t="n">
        <x:f>J1403*'Assumptions'!$T$145</x:f>
        <x:v>48860.083596292236</x:v>
      </x:c>
      <x:c r="L1403" s="10" t="n">
        <x:f>K1403*'Assumptions'!$U$145</x:f>
        <x:v>1465.802507888767</x:v>
      </x:c>
      <x:c r="M1403" s="10" t="n">
        <x:f>K1403*'Assumptions'!$V$145</x:f>
        <x:v>977.2016719258447</x:v>
      </x:c>
      <x:c r="N1403" s="10" t="n">
        <x:f>K1403-L1403-M1403</x:f>
        <x:v>46417.07941647762</x:v>
      </x:c>
      <x:c r="O1403" s="10" t="n">
        <x:f>H1403*'Assumptions'!$P$145*'Assumptions'!$Q$145*'Assumptions'!$D$11*(1+'Assumptions'!$D$13)^(11-1)</x:f>
        <x:v>2992.6245201289494</x:v>
      </x:c>
      <x:c r="P1403" s="10" t="n">
        <x:f>H1403*'Assumptions'!$R$145*'Assumptions'!$D$11*(1+'Assumptions'!$D$13)^(11-1)</x:f>
        <x:v>29926.245201289497</x:v>
      </x:c>
      <x:c r="Q1403" s="10" t="n">
        <x:f>J1403*'Assumptions'!$S$145</x:f>
        <x:v>0</x:v>
      </x:c>
      <x:c r="R1403" s="10" t="n">
        <x:f>H1403*'Assumptions'!$Y$145*'Assumptions'!$Z$145*'Assumptions'!$D$11*(1+'Assumptions'!$D$13)^(11-1)</x:f>
        <x:v>538.672413623211</x:v>
      </x:c>
      <x:c r="S1403" s="10" t="n">
        <x:f>IF(I1403=0,0,J1403*'Assumptions'!$W$145+H1403*'Assumptions'!$X$145)</x:f>
        <x:v>1443.663948632459</x:v>
      </x:c>
      <x:c r="T1403" s="10" t="n">
        <x:f>N1403*'Assumptions'!$AA$145</x:f>
        <x:v>3713.36635331821</x:v>
      </x:c>
      <x:c r="U1403" s="10" t="n">
        <x:f>'Assumptions'!$AE$145*'Assumptions'!$D$11*(1+'Assumptions'!$D$13)^(11-1)</x:f>
        <x:v>0</x:v>
      </x:c>
      <x:c r="V1403" s="10" t="n">
        <x:f>0</x:f>
        <x:v>0</x:v>
      </x:c>
      <x:c r="W1403" s="10" t="n">
        <x:f>H1403*('Assumptions'!$P$145+'Assumptions'!$Y$145)</x:f>
        <x:v>57.89663606996576</x:v>
      </x:c>
      <x:c r="X1403" s="10" t="n">
        <x:f>N1403/12*'Assumptions'!$AF$145</x:f>
        <x:v>0</x:v>
      </x:c>
      <x:c r="Y1403" s="10" t="n">
        <x:f>P1403/12</x:f>
        <x:v>2493.853766774125</x:v>
      </x:c>
      <x:c r="Z1403" s="10" t="n">
        <x:f>0</x:f>
        <x:v>0</x:v>
      </x:c>
      <x:c r="AA1403" s="10" t="n">
        <x:f>Z1403*'Assumptions'!$AC$145*'Assumptions'!$D$11*(1+'Assumptions'!$D$13)^(11-1)</x:f>
        <x:v>0</x:v>
      </x:c>
      <x:c r="AB1403" s="10" t="n">
        <x:f>F1403/1</x:f>
        <x:v>63.129844022812314</x:v>
      </x:c>
      <x:c r="AC1403" s="10" t="n">
        <x:f>AB1403/'Assumptions'!$AM$145</x:f>
        <x:v>2104.3281340937438</x:v>
      </x:c>
      <x:c r="AD1403" s="10" t="n">
        <x:f>IF(AB1403=0,0,T1403/AB1403)</x:f>
        <x:v>58.821091843286744</x:v>
      </x:c>
      <x:c r="AE1403" s="10" t="n">
        <x:f>AA1403*'Assumptions'!$D$21</x:f>
        <x:v>0</x:v>
      </x:c>
    </x:row>
    <x:row r="1404" ht="16" customHeight="1">
      <x:c r="A1404" s="1"/>
      <x:c r="B1404" s="1"/>
      <x:c r="C1404" s="1" t="str">
        <x:v>DOT-117</x:v>
      </x:c>
      <x:c r="D1404" s="10" t="str">
        <x:v>Fiefé</x:v>
      </x:c>
      <x:c r="E1404" s="10" t="n">
        <x:v>11</x:v>
      </x:c>
      <x:c r="F1404" s="21" t="n">
        <x:f>F1276*(1+'Assumptions'!$M$146)</x:f>
        <x:v>78.91230502851542</x:v>
      </x:c>
      <x:c r="G1404" s="21" t="n">
        <x:f>H1276*'Assumptions'!$K$146</x:f>
        <x:v>32.42737972141876</x:v>
      </x:c>
      <x:c r="H1404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1404+G1404,NA())</x:f>
        <x:v>111.33968474993418</x:v>
      </x:c>
      <x:c r="I1404" s="22" t="n">
        <x:f>'Assumptions'!$H$146*IF('Assumptions'!$O$146=1,1,'Assumptions'!$D$10)*(1+'Assumptions'!$N$146)^(11-1)</x:f>
        <x:v>213.32402349908253</x:v>
      </x:c>
      <x:c r="J1404" s="10" t="n">
        <x:f>H1404*I1404</x:f>
        <x:v>23751.4295259754</x:v>
      </x:c>
      <x:c r="K1404" s="10" t="n">
        <x:f>J1404*'Assumptions'!$T$146</x:f>
        <x:v>23751.4295259754</x:v>
      </x:c>
      <x:c r="L1404" s="10" t="n">
        <x:f>K1404*'Assumptions'!$U$146</x:f>
        <x:v>712.542885779262</x:v>
      </x:c>
      <x:c r="M1404" s="10" t="n">
        <x:f>K1404*'Assumptions'!$V$146</x:f>
        <x:v>475.028590519508</x:v>
      </x:c>
      <x:c r="N1404" s="10" t="n">
        <x:f>K1404-L1404-M1404</x:f>
        <x:v>22563.85804967663</x:v>
      </x:c>
      <x:c r="O1404" s="10" t="n">
        <x:f>H1404*'Assumptions'!$P$146*'Assumptions'!$Q$146*'Assumptions'!$D$11*(1+'Assumptions'!$D$13)^(11-1)</x:f>
        <x:v>1683.3512925725347</x:v>
      </x:c>
      <x:c r="P1404" s="10" t="n">
        <x:f>H1404*'Assumptions'!$R$146*'Assumptions'!$D$11*(1+'Assumptions'!$D$13)^(11-1)</x:f>
        <x:v>11970.498080515801</x:v>
      </x:c>
      <x:c r="Q1404" s="10" t="n">
        <x:f>J1404*'Assumptions'!$S$146</x:f>
        <x:v>0</x:v>
      </x:c>
      <x:c r="R1404" s="10" t="n">
        <x:f>H1404*'Assumptions'!$Y$146*'Assumptions'!$Z$146*'Assumptions'!$D$11*(1+'Assumptions'!$D$13)^(11-1)</x:f>
        <x:v>673.3405170290138</x:v>
      </x:c>
      <x:c r="S1404" s="10" t="n">
        <x:f>IF(I1404=0,0,J1404*'Assumptions'!$W$146+H1404*'Assumptions'!$X$146)</x:f>
        <x:v>722.1933616782668</x:v>
      </x:c>
      <x:c r="T1404" s="10" t="n">
        <x:f>N1404*'Assumptions'!$AA$146</x:f>
        <x:v>1805.1086439741305</x:v>
      </x:c>
      <x:c r="U1404" s="10" t="n">
        <x:f>'Assumptions'!$AE$146*'Assumptions'!$D$11*(1+'Assumptions'!$D$13)^(11-1)</x:f>
        <x:v>0</x:v>
      </x:c>
      <x:c r="V1404" s="10" t="n">
        <x:f>0</x:f>
        <x:v>0</x:v>
      </x:c>
      <x:c r="W1404" s="10" t="n">
        <x:f>H1404*('Assumptions'!$P$146+'Assumptions'!$Y$146)</x:f>
        <x:v>44.53587389997367</x:v>
      </x:c>
      <x:c r="X1404" s="10" t="n">
        <x:f>N1404/12*'Assumptions'!$AF$146</x:f>
        <x:v>0</x:v>
      </x:c>
      <x:c r="Y1404" s="10" t="n">
        <x:f>P1404/12</x:f>
        <x:v>997.5415067096501</x:v>
      </x:c>
      <x:c r="Z1404" s="10" t="n">
        <x:f>0</x:f>
        <x:v>0</x:v>
      </x:c>
      <x:c r="AA1404" s="10" t="n">
        <x:f>Z1404*'Assumptions'!$AC$146*'Assumptions'!$D$11*(1+'Assumptions'!$D$13)^(11-1)</x:f>
        <x:v>0</x:v>
      </x:c>
      <x:c r="AB1404" s="10" t="n">
        <x:f>F1404/1</x:f>
        <x:v>78.91230502851542</x:v>
      </x:c>
      <x:c r="AC1404" s="10" t="n">
        <x:f>AB1404/'Assumptions'!$AM$146</x:f>
        <x:v>2630.410167617181</x:v>
      </x:c>
      <x:c r="AD1404" s="10" t="n">
        <x:f>IF(AB1404=0,0,T1404/AB1404)</x:f>
        <x:v>22.874869050167067</x:v>
      </x:c>
      <x:c r="AE1404" s="10" t="n">
        <x:f>AA1404*'Assumptions'!$D$21</x:f>
        <x:v>0</x:v>
      </x:c>
    </x:row>
    <x:row r="1405" ht="16" customHeight="1">
      <x:c r="A1405" s="1"/>
      <x:c r="B1405" s="1"/>
      <x:c r="C1405" s="1" t="str">
        <x:v>DOT-118</x:v>
      </x:c>
      <x:c r="D1405" s="10" t="str">
        <x:v>Fiefé Design</x:v>
      </x:c>
      <x:c r="E1405" s="10" t="n">
        <x:v>11</x:v>
      </x:c>
      <x:c r="F1405" s="21" t="n">
        <x:f>F1277*(1+'Assumptions'!$M$147)</x:f>
        <x:v>10.521640670468722</x:v>
      </x:c>
      <x:c r="G1405" s="21" t="n">
        <x:f>H1277*'Assumptions'!$K$147</x:f>
        <x:v>4.3236506295225015</x:v>
      </x:c>
      <x:c r="H1405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1405+G1405,NA())</x:f>
        <x:v>14.845291299991224</x:v>
      </x:c>
      <x:c r="I1405" s="22" t="n">
        <x:f>'Assumptions'!$H$147*IF('Assumptions'!$O$147=1,1,'Assumptions'!$D$10)*(1+'Assumptions'!$N$147)^(11-1)</x:f>
        <x:v>3047.4860499868932</x:v>
      </x:c>
      <x:c r="J1405" s="10" t="n">
        <x:f>H1405*I1405</x:f>
        <x:v>45240.81814471505</x:v>
      </x:c>
      <x:c r="K1405" s="10" t="n">
        <x:f>J1405*'Assumptions'!$T$147</x:f>
        <x:v>45240.81814471505</x:v>
      </x:c>
      <x:c r="L1405" s="10" t="n">
        <x:f>K1405*'Assumptions'!$U$147</x:f>
        <x:v>1357.2245443414515</x:v>
      </x:c>
      <x:c r="M1405" s="10" t="n">
        <x:f>K1405*'Assumptions'!$V$147</x:f>
        <x:v>904.816362894301</x:v>
      </x:c>
      <x:c r="N1405" s="10" t="n">
        <x:f>K1405-L1405-M1405</x:f>
        <x:v>42978.7772374793</x:v>
      </x:c>
      <x:c r="O1405" s="10" t="n">
        <x:f>H1405*'Assumptions'!$P$147*'Assumptions'!$Q$147*'Assumptions'!$D$11*(1+'Assumptions'!$D$13)^(11-1)</x:f>
        <x:v>9576.398464412641</x:v>
      </x:c>
      <x:c r="P1405" s="10" t="n">
        <x:f>H1405*'Assumptions'!$R$147*'Assumptions'!$D$11*(1+'Assumptions'!$D$13)^(11-1)</x:f>
        <x:v>17955.747120773704</x:v>
      </x:c>
      <x:c r="Q1405" s="10" t="n">
        <x:f>J1405*'Assumptions'!$S$147</x:f>
        <x:v>0</x:v>
      </x:c>
      <x:c r="R1405" s="10" t="n">
        <x:f>H1405*'Assumptions'!$Y$147*'Assumptions'!$Z$147*'Assumptions'!$D$11*(1+'Assumptions'!$D$13)^(11-1)</x:f>
        <x:v>89.77873560386853</x:v>
      </x:c>
      <x:c r="S1405" s="10" t="n">
        <x:f>IF(I1405=0,0,J1405*'Assumptions'!$W$147+H1405*'Assumptions'!$X$147)</x:f>
        <x:v>1316.437313586734</x:v>
      </x:c>
      <x:c r="T1405" s="10" t="n">
        <x:f>N1405*'Assumptions'!$AA$147</x:f>
        <x:v>3438.302178998344</x:v>
      </x:c>
      <x:c r="U1405" s="10" t="n">
        <x:f>'Assumptions'!$AE$147*'Assumptions'!$D$11*(1+'Assumptions'!$D$13)^(11-1)</x:f>
        <x:v>0</x:v>
      </x:c>
      <x:c r="V1405" s="10" t="n">
        <x:f>0</x:f>
        <x:v>0</x:v>
      </x:c>
      <x:c r="W1405" s="10" t="n">
        <x:f>H1405*('Assumptions'!$P$147+'Assumptions'!$Y$147)</x:f>
        <x:v>120.98912409492848</x:v>
      </x:c>
      <x:c r="X1405" s="10" t="n">
        <x:f>N1405/12*'Assumptions'!$AF$147</x:f>
        <x:v>0</x:v>
      </x:c>
      <x:c r="Y1405" s="10" t="n">
        <x:f>P1405/12</x:f>
        <x:v>1496.3122600644754</x:v>
      </x:c>
      <x:c r="Z1405" s="10" t="n">
        <x:f>0</x:f>
        <x:v>0</x:v>
      </x:c>
      <x:c r="AA1405" s="10" t="n">
        <x:f>Z1405*'Assumptions'!$AC$147*'Assumptions'!$D$11*(1+'Assumptions'!$D$13)^(11-1)</x:f>
        <x:v>0</x:v>
      </x:c>
      <x:c r="AB1405" s="10" t="n">
        <x:f>F1405/1</x:f>
        <x:v>10.521640670468722</x:v>
      </x:c>
      <x:c r="AC1405" s="10" t="n">
        <x:f>AB1405/'Assumptions'!$AM$147</x:f>
        <x:v>350.7213556822907</x:v>
      </x:c>
      <x:c r="AD1405" s="10" t="n">
        <x:f>IF(AB1405=0,0,T1405/AB1405)</x:f>
        <x:v>326.7838435738153</x:v>
      </x:c>
      <x:c r="AE1405" s="10" t="n">
        <x:f>AA1405*'Assumptions'!$D$21</x:f>
        <x:v>0</x:v>
      </x:c>
    </x:row>
    <x:row r="1406" ht="16" customHeight="1">
      <x:c r="A1406" s="1"/>
      <x:c r="B1406" s="1"/>
      <x:c r="C1406" s="1" t="str">
        <x:v>DOT-119</x:v>
      </x:c>
      <x:c r="D1406" s="10" t="str">
        <x:v>OsezArt</x:v>
      </x:c>
      <x:c r="E1406" s="10" t="n">
        <x:v>11</x:v>
      </x:c>
      <x:c r="F1406" s="21" t="n">
        <x:f>F1278*(1+'Assumptions'!$M$148)</x:f>
        <x:v>8.913552631497124</x:v>
      </x:c>
      <x:c r="G1406" s="21" t="n">
        <x:f>H1278*'Assumptions'!$K$148</x:f>
        <x:v>18.199561422859354</x:v>
      </x:c>
      <x:c r="H1406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1406+G1406,NA())</x:f>
        <x:v>27.11311405435648</x:v>
      </x:c>
      <x:c r="I1406" s="22" t="n">
        <x:f>'Assumptions'!$H$148*IF('Assumptions'!$O$148=1,1,'Assumptions'!$D$10)*(1+'Assumptions'!$N$148)^(11-1)</x:f>
        <x:v>6094.9720999737865</x:v>
      </x:c>
      <x:c r="J1406" s="10" t="n">
        <x:f>H1406*I1406</x:f>
        <x:v>165253.6737047099</x:v>
      </x:c>
      <x:c r="K1406" s="10" t="n">
        <x:f>J1406*'Assumptions'!$T$148</x:f>
        <x:v>33050.73474094198</x:v>
      </x:c>
      <x:c r="L1406" s="10" t="n">
        <x:f>K1406*'Assumptions'!$U$148</x:f>
        <x:v>991.5220422282595</x:v>
      </x:c>
      <x:c r="M1406" s="10" t="n">
        <x:f>K1406*'Assumptions'!$V$148</x:f>
        <x:v>0</x:v>
      </x:c>
      <x:c r="N1406" s="10" t="n">
        <x:f>K1406-L1406-M1406</x:f>
        <x:v>32059.212698713724</x:v>
      </x:c>
      <x:c r="O1406" s="10" t="n">
        <x:f>H1406*'Assumptions'!$P$148*'Assumptions'!$Q$148*'Assumptions'!$D$11*(1+'Assumptions'!$D$13)^(11-1)</x:f>
        <x:v>8745.061937441998</x:v>
      </x:c>
      <x:c r="P1406" s="10" t="n">
        <x:f>H1406*'Assumptions'!$R$148*'Assumptions'!$D$11*(1+'Assumptions'!$D$13)^(11-1)</x:f>
        <x:v>0</x:v>
      </x:c>
      <x:c r="Q1406" s="10" t="n">
        <x:f>J1406*'Assumptions'!$S$148</x:f>
        <x:v>0</x:v>
      </x:c>
      <x:c r="R1406" s="10" t="n">
        <x:f>H1406*'Assumptions'!$Y$148*'Assumptions'!$Z$148*'Assumptions'!$D$11*(1+'Assumptions'!$D$13)^(11-1)</x:f>
        <x:v>163.9699113270375</x:v>
      </x:c>
      <x:c r="S1406" s="10" t="n">
        <x:f>IF(I1406=0,0,J1406*'Assumptions'!$W$148+H1406*'Assumptions'!$X$148)</x:f>
        <x:v>4800.4904716528945</x:v>
      </x:c>
      <x:c r="T1406" s="10" t="n">
        <x:f>N1406*'Assumptions'!$AA$148</x:f>
        <x:v>1602.9606349356864</x:v>
      </x:c>
      <x:c r="U1406" s="10" t="n">
        <x:f>'Assumptions'!$AE$148*'Assumptions'!$D$11*(1+'Assumptions'!$D$13)^(11-1)</x:f>
        <x:v>0</x:v>
      </x:c>
      <x:c r="V1406" s="10" t="n">
        <x:f>0</x:f>
        <x:v>0</x:v>
      </x:c>
      <x:c r="W1406" s="10" t="n">
        <x:f>H1406*('Assumptions'!$P$148+'Assumptions'!$Y$148)</x:f>
        <x:v>112.5194233255794</x:v>
      </x:c>
      <x:c r="X1406" s="10" t="n">
        <x:f>N1406/12*'Assumptions'!$AF$148</x:f>
        <x:v>0</x:v>
      </x:c>
      <x:c r="Y1406" s="10" t="n">
        <x:f>P1406/12</x:f>
        <x:v>0</x:v>
      </x:c>
      <x:c r="Z1406" s="10" t="n">
        <x:f>0</x:f>
        <x:v>0</x:v>
      </x:c>
      <x:c r="AA1406" s="10" t="n">
        <x:f>Z1406*'Assumptions'!$AC$148*'Assumptions'!$D$11*(1+'Assumptions'!$D$13)^(11-1)</x:f>
        <x:v>0</x:v>
      </x:c>
      <x:c r="AB1406" s="10" t="n">
        <x:f>F1406/1</x:f>
        <x:v>8.913552631497124</x:v>
      </x:c>
      <x:c r="AC1406" s="10" t="n">
        <x:f>AB1406/'Assumptions'!$AM$148</x:f>
        <x:v>178.27105262994246</x:v>
      </x:c>
      <x:c r="AD1406" s="10" t="n">
        <x:f>IF(AB1406=0,0,T1406/AB1406)</x:f>
        <x:v>179.83409098538664</x:v>
      </x:c>
      <x:c r="AE1406" s="10" t="n">
        <x:f>AA1406*'Assumptions'!$D$21</x:f>
        <x:v>0</x:v>
      </x:c>
    </x:row>
    <x:row r="1407" ht="16" customHeight="1">
      <x:c r="A1407" s="1"/>
      <x:c r="B1407" s="1"/>
      <x:c r="C1407" s="1" t="str">
        <x:v>DOT-120</x:v>
      </x:c>
      <x:c r="D1407" s="10" t="str">
        <x:v>OsezArt</x:v>
      </x:c>
      <x:c r="E1407" s="10" t="n">
        <x:v>11</x:v>
      </x:c>
      <x:c r="F1407" s="21" t="n">
        <x:f>F1279*(1+'Assumptions'!$M$149)</x:f>
        <x:v>5.244635902044329</x:v>
      </x:c>
      <x:c r="G1407" s="21" t="n">
        <x:f>H1279*'Assumptions'!$K$149</x:f>
        <x:v>4.939239574452197</x:v>
      </x:c>
      <x:c r="H1407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1407+G1407,NA())</x:f>
        <x:v>10.183875476496524</x:v>
      </x:c>
      <x:c r="I1407" s="22" t="n">
        <x:f>'Assumptions'!$H$149*IF('Assumptions'!$O$149=1,1,'Assumptions'!$D$10)*(1+'Assumptions'!$N$149)^(11-1)</x:f>
        <x:v>6094.9720999737865</x:v>
      </x:c>
      <x:c r="J1407" s="10" t="n">
        <x:f>H1407*I1407</x:f>
        <x:v>62070.436898853564</x:v>
      </x:c>
      <x:c r="K1407" s="10" t="n">
        <x:f>J1407*'Assumptions'!$T$149</x:f>
        <x:v>62070.436898853564</x:v>
      </x:c>
      <x:c r="L1407" s="10" t="n">
        <x:f>K1407*'Assumptions'!$U$149</x:f>
        <x:v>1862.113106965607</x:v>
      </x:c>
      <x:c r="M1407" s="10" t="n">
        <x:f>K1407*'Assumptions'!$V$149</x:f>
        <x:v>0</x:v>
      </x:c>
      <x:c r="N1407" s="10" t="n">
        <x:f>K1407-L1407-M1407</x:f>
        <x:v>60208.32379188796</x:v>
      </x:c>
      <x:c r="O1407" s="10" t="n">
        <x:f>H1407*'Assumptions'!$P$149*'Assumptions'!$Q$149*'Assumptions'!$D$11*(1+'Assumptions'!$D$13)^(11-1)</x:f>
        <x:v>26688.240263225984</x:v>
      </x:c>
      <x:c r="P1407" s="10" t="n">
        <x:f>H1407*'Assumptions'!$R$149*'Assumptions'!$D$11*(1+'Assumptions'!$D$13)^(11-1)</x:f>
        <x:v>3421.569264516152</x:v>
      </x:c>
      <x:c r="Q1407" s="10" t="n">
        <x:f>J1407*'Assumptions'!$S$149</x:f>
        <x:v>0</x:v>
      </x:c>
      <x:c r="R1407" s="10" t="n">
        <x:f>H1407*'Assumptions'!$Y$149*'Assumptions'!$Z$149*'Assumptions'!$D$11*(1+'Assumptions'!$D$13)^(11-1)</x:f>
        <x:v>102.64707793548455</x:v>
      </x:c>
      <x:c r="S1407" s="10" t="n">
        <x:f>IF(I1407=0,0,J1407*'Assumptions'!$W$149+H1407*'Assumptions'!$X$149)</x:f>
        <x:v>1803.0978327097025</x:v>
      </x:c>
      <x:c r="T1407" s="10" t="n">
        <x:f>N1407*'Assumptions'!$AA$149</x:f>
        <x:v>2408.3329516755184</x:v>
      </x:c>
      <x:c r="U1407" s="10" t="n">
        <x:f>'Assumptions'!$AE$149*'Assumptions'!$D$11*(1+'Assumptions'!$D$13)^(11-1)</x:f>
        <x:v>0</x:v>
      </x:c>
      <x:c r="V1407" s="10" t="n">
        <x:f>0</x:f>
        <x:v>0</x:v>
      </x:c>
      <x:c r="W1407" s="10" t="n">
        <x:f>H1407*('Assumptions'!$P$149+'Assumptions'!$Y$149)</x:f>
        <x:v>308.06223316401986</x:v>
      </x:c>
      <x:c r="X1407" s="10" t="n">
        <x:f>N1407/12*'Assumptions'!$AF$149</x:f>
        <x:v>5017.360315990663</x:v>
      </x:c>
      <x:c r="Y1407" s="10" t="n">
        <x:f>P1407/12</x:f>
        <x:v>285.13077204301266</x:v>
      </x:c>
      <x:c r="Z1407" s="10" t="n">
        <x:f>0</x:f>
        <x:v>0</x:v>
      </x:c>
      <x:c r="AA1407" s="10" t="n">
        <x:f>Z1407*'Assumptions'!$AC$149*'Assumptions'!$D$11*(1+'Assumptions'!$D$13)^(11-1)</x:f>
        <x:v>0</x:v>
      </x:c>
      <x:c r="AB1407" s="10" t="n">
        <x:f>F1407/1</x:f>
        <x:v>5.244635902044329</x:v>
      </x:c>
      <x:c r="AC1407" s="10" t="n">
        <x:f>AB1407/'Assumptions'!$AM$149</x:f>
        <x:v>26.22317951022164</x:v>
      </x:c>
      <x:c r="AD1407" s="10" t="n">
        <x:f>IF(AB1407=0,0,T1407/AB1407)</x:f>
        <x:v>459.19926505036585</x:v>
      </x:c>
      <x:c r="AE1407" s="10" t="n">
        <x:f>AA1407*'Assumptions'!$D$21</x:f>
        <x:v>0</x:v>
      </x:c>
    </x:row>
    <x:row r="1408" ht="16" customHeight="1">
      <x:c r="A1408" s="1"/>
      <x:c r="B1408" s="1"/>
      <x:c r="C1408" s="1" t="str">
        <x:v>DOT-121</x:v>
      </x:c>
      <x:c r="D1408" s="10" t="str">
        <x:v>OsezArt</x:v>
      </x:c>
      <x:c r="E1408" s="10" t="n">
        <x:v>11</x:v>
      </x:c>
      <x:c r="F1408" s="21" t="n">
        <x:f>F1280*(1+'Assumptions'!$M$150)</x:f>
        <x:v>5.244635902044329</x:v>
      </x:c>
      <x:c r="G1408" s="21" t="n">
        <x:f>H1280*'Assumptions'!$K$150</x:f>
        <x:v>4.937774730702197</x:v>
      </x:c>
      <x:c r="H1408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1408+G1408,NA())</x:f>
        <x:v>10.182410632746524</x:v>
      </x:c>
      <x:c r="I1408" s="22" t="n">
        <x:f>'Assumptions'!$H$150*IF('Assumptions'!$O$150=1,1,'Assumptions'!$D$10)*(1+'Assumptions'!$N$150)^(11-1)</x:f>
        <x:v>3656.983259984272</x:v>
      </x:c>
      <x:c r="J1408" s="10" t="n">
        <x:f>H1408*I1408</x:f>
        <x:v>37236.9052302399</x:v>
      </x:c>
      <x:c r="K1408" s="10" t="n">
        <x:f>J1408*'Assumptions'!$T$150</x:f>
        <x:v>37236.9052302399</x:v>
      </x:c>
      <x:c r="L1408" s="10" t="n">
        <x:f>K1408*'Assumptions'!$U$150</x:f>
        <x:v>1117.107156907197</x:v>
      </x:c>
      <x:c r="M1408" s="10" t="n">
        <x:f>K1408*'Assumptions'!$V$150</x:f>
        <x:v>0</x:v>
      </x:c>
      <x:c r="N1408" s="10" t="n">
        <x:f>K1408-L1408-M1408</x:f>
        <x:v>36119.798073332706</x:v>
      </x:c>
      <x:c r="O1408" s="10" t="n">
        <x:f>H1408*'Assumptions'!$P$150*'Assumptions'!$Q$150*'Assumptions'!$D$11*(1+'Assumptions'!$D$13)^(11-1)</x:f>
        <x:v>16010.640863750288</x:v>
      </x:c>
      <x:c r="P1408" s="10" t="n">
        <x:f>H1408*'Assumptions'!$R$150*'Assumptions'!$D$11*(1+'Assumptions'!$D$13)^(11-1)</x:f>
        <x:v>2736.8616861111605</x:v>
      </x:c>
      <x:c r="Q1408" s="10" t="n">
        <x:f>J1408*'Assumptions'!$S$150</x:f>
        <x:v>0</x:v>
      </x:c>
      <x:c r="R1408" s="10" t="n">
        <x:f>H1408*'Assumptions'!$Y$150*'Assumptions'!$Z$150*'Assumptions'!$D$11*(1+'Assumptions'!$D$13)^(11-1)</x:f>
        <x:v>102.63231322916852</x:v>
      </x:c>
      <x:c r="S1408" s="10" t="n">
        <x:f>IF(I1408=0,0,J1408*'Assumptions'!$W$150+H1408*'Assumptions'!$X$150)</x:f>
        <x:v>1082.9249748667812</x:v>
      </x:c>
      <x:c r="T1408" s="10" t="n">
        <x:f>N1408*'Assumptions'!$AA$150</x:f>
        <x:v>1444.7919229333083</x:v>
      </x:c>
      <x:c r="U1408" s="10" t="n">
        <x:f>'Assumptions'!$AE$150*'Assumptions'!$D$11*(1+'Assumptions'!$D$13)^(11-1)</x:f>
        <x:v>0</x:v>
      </x:c>
      <x:c r="V1408" s="10" t="n">
        <x:f>0</x:f>
        <x:v>0</x:v>
      </x:c>
      <x:c r="W1408" s="10" t="n">
        <x:f>H1408*('Assumptions'!$P$150+'Assumptions'!$Y$150)</x:f>
        <x:v>185.82899404762406</x:v>
      </x:c>
      <x:c r="X1408" s="10" t="n">
        <x:f>N1408/12*'Assumptions'!$AF$150</x:f>
        <x:v>3009.9831727777255</x:v>
      </x:c>
      <x:c r="Y1408" s="10" t="n">
        <x:f>P1408/12</x:f>
        <x:v>228.07180717593005</x:v>
      </x:c>
      <x:c r="Z1408" s="10" t="n">
        <x:f>0</x:f>
        <x:v>0</x:v>
      </x:c>
      <x:c r="AA1408" s="10" t="n">
        <x:f>Z1408*'Assumptions'!$AC$150*'Assumptions'!$D$11*(1+'Assumptions'!$D$13)^(11-1)</x:f>
        <x:v>0</x:v>
      </x:c>
      <x:c r="AB1408" s="10" t="n">
        <x:f>F1408/1</x:f>
        <x:v>5.244635902044329</x:v>
      </x:c>
      <x:c r="AC1408" s="10" t="n">
        <x:f>AB1408/'Assumptions'!$AM$150</x:f>
        <x:v>26.22317951022164</x:v>
      </x:c>
      <x:c r="AD1408" s="10" t="n">
        <x:f>IF(AB1408=0,0,T1408/AB1408)</x:f>
        <x:v>275.4799284293762</x:v>
      </x:c>
      <x:c r="AE1408" s="10" t="n">
        <x:f>AA1408*'Assumptions'!$D$21</x:f>
        <x:v>0</x:v>
      </x:c>
    </x:row>
    <x:row r="1409" ht="16" customHeight="1">
      <x:c r="A1409" s="1"/>
      <x:c r="B1409" s="1"/>
      <x:c r="C1409" s="1" t="str">
        <x:v>DOT-122</x:v>
      </x:c>
      <x:c r="D1409" s="10" t="str">
        <x:v>OsezArt</x:v>
      </x:c>
      <x:c r="E1409" s="10" t="n">
        <x:v>11</x:v>
      </x:c>
      <x:c r="F1409" s="21" t="n">
        <x:f>F1281*(1+'Assumptions'!$M$151)</x:f>
        <x:v>1.74821196734811</x:v>
      </x:c>
      <x:c r="G1409" s="21" t="n">
        <x:f>H1281*'Assumptions'!$K$151</x:f>
        <x:v>1.6459249102340658</x:v>
      </x:c>
      <x:c r="H1409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1409+G1409,NA())</x:f>
        <x:v>3.394136877582176</x:v>
      </x:c>
      <x:c r="I1409" s="22" t="n">
        <x:f>'Assumptions'!$H$151*IF('Assumptions'!$O$151=1,1,'Assumptions'!$D$10)*(1+'Assumptions'!$N$151)^(11-1)</x:f>
        <x:v>12189.944199947573</x:v>
      </x:c>
      <x:c r="J1409" s="10" t="n">
        <x:f>H1409*I1409</x:f>
        <x:v>41374.33914471101</x:v>
      </x:c>
      <x:c r="K1409" s="10" t="n">
        <x:f>J1409*'Assumptions'!$T$151</x:f>
        <x:v>41374.33914471101</x:v>
      </x:c>
      <x:c r="L1409" s="10" t="n">
        <x:f>K1409*'Assumptions'!$U$151</x:f>
        <x:v>1241.2301743413302</x:v>
      </x:c>
      <x:c r="M1409" s="10" t="n">
        <x:f>K1409*'Assumptions'!$V$151</x:f>
        <x:v>0</x:v>
      </x:c>
      <x:c r="N1409" s="10" t="n">
        <x:f>K1409-L1409-M1409</x:f>
        <x:v>40133.10897036968</x:v>
      </x:c>
      <x:c r="O1409" s="10" t="n">
        <x:f>H1409*'Assumptions'!$P$151*'Assumptions'!$Q$151*'Assumptions'!$D$11*(1+'Assumptions'!$D$13)^(11-1)</x:f>
        <x:v>17789.60095972255</x:v>
      </x:c>
      <x:c r="P1409" s="10" t="n">
        <x:f>H1409*'Assumptions'!$R$151*'Assumptions'!$D$11*(1+'Assumptions'!$D$13)^(11-1)</x:f>
        <x:v>2280.718071759301</x:v>
      </x:c>
      <x:c r="Q1409" s="10" t="n">
        <x:f>J1409*'Assumptions'!$S$151</x:f>
        <x:v>0</x:v>
      </x:c>
      <x:c r="R1409" s="10" t="n">
        <x:f>H1409*'Assumptions'!$Y$151*'Assumptions'!$Z$151*'Assumptions'!$D$11*(1+'Assumptions'!$D$13)^(11-1)</x:f>
        <x:v>34.21077107638951</x:v>
      </x:c>
      <x:c r="S1409" s="10" t="n">
        <x:f>IF(I1409=0,0,J1409*'Assumptions'!$W$151+H1409*'Assumptions'!$X$151)</x:f>
        <x:v>1200.874076259894</x:v>
      </x:c>
      <x:c r="T1409" s="10" t="n">
        <x:f>N1409*'Assumptions'!$AA$151</x:f>
        <x:v>1605.324358814787</x:v>
      </x:c>
      <x:c r="U1409" s="10" t="n">
        <x:f>'Assumptions'!$AE$151*'Assumptions'!$D$11*(1+'Assumptions'!$D$13)^(11-1)</x:f>
        <x:v>0</x:v>
      </x:c>
      <x:c r="V1409" s="10" t="n">
        <x:f>0</x:f>
        <x:v>0</x:v>
      </x:c>
      <x:c r="W1409" s="10" t="n">
        <x:f>H1409*('Assumptions'!$P$151+'Assumptions'!$Y$151)</x:f>
        <x:v>204.4967468743261</x:v>
      </x:c>
      <x:c r="X1409" s="10" t="n">
        <x:f>N1409/12*'Assumptions'!$AF$151</x:f>
        <x:v>3344.4257475308063</x:v>
      </x:c>
      <x:c r="Y1409" s="10" t="n">
        <x:f>P1409/12</x:f>
        <x:v>190.0598393132751</x:v>
      </x:c>
      <x:c r="Z1409" s="10" t="n">
        <x:f>0</x:f>
        <x:v>0</x:v>
      </x:c>
      <x:c r="AA1409" s="10" t="n">
        <x:f>Z1409*'Assumptions'!$AC$151*'Assumptions'!$D$11*(1+'Assumptions'!$D$13)^(11-1)</x:f>
        <x:v>0</x:v>
      </x:c>
      <x:c r="AB1409" s="10" t="n">
        <x:f>F1409/1</x:f>
        <x:v>1.74821196734811</x:v>
      </x:c>
      <x:c r="AC1409" s="10" t="n">
        <x:f>AB1409/'Assumptions'!$AM$151</x:f>
        <x:v>8.741059836740549</x:v>
      </x:c>
      <x:c r="AD1409" s="10" t="n">
        <x:f>IF(AB1409=0,0,T1409/AB1409)</x:f>
        <x:v>918.2664280979203</x:v>
      </x:c>
      <x:c r="AE1409" s="10" t="n">
        <x:f>AA1409*'Assumptions'!$D$21</x:f>
        <x:v>0</x:v>
      </x:c>
    </x:row>
    <x:row r="1410" ht="16" customHeight="1">
      <x:c r="A1410" s="1"/>
      <x:c r="B1410" s="1"/>
      <x:c r="C1410" s="1" t="str">
        <x:v>DOT-123</x:v>
      </x:c>
      <x:c r="D1410" s="10" t="str">
        <x:v>FinBot research</x:v>
      </x:c>
      <x:c r="E1410" s="10" t="n">
        <x:v>11</x:v>
      </x:c>
      <x:c r="F1410" s="21" t="n">
        <x:f>F1282*(1+'Assumptions'!$M$152)</x:f>
        <x:v>187.95644365104667</x:v>
      </x:c>
      <x:c r="G1410" s="21" t="n">
        <x:f>H1282*'Assumptions'!$K$152</x:f>
        <x:v>60.24075511499548</x:v>
      </x:c>
      <x:c r="H1410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1410+G1410,NA())</x:f>
        <x:v>248.19719876604216</x:v>
      </x:c>
      <x:c r="I1410" s="22" t="n">
        <x:f>'Assumptions'!$H$152*IF('Assumptions'!$O$152=1,1,'Assumptions'!$D$10)*(1+'Assumptions'!$N$152)^(11-1)</x:f>
        <x:v>35.35083817984796</x:v>
      </x:c>
      <x:c r="J1410" s="10" t="n">
        <x:f>H1410*I1410</x:f>
        <x:v>8773.979010269917</x:v>
      </x:c>
      <x:c r="K1410" s="10" t="n">
        <x:f>J1410*'Assumptions'!$T$152</x:f>
        <x:v>8773.979010269917</x:v>
      </x:c>
      <x:c r="L1410" s="10" t="n">
        <x:f>K1410*'Assumptions'!$U$152</x:f>
        <x:v>263.2193703080975</x:v>
      </x:c>
      <x:c r="M1410" s="10" t="n">
        <x:f>K1410*'Assumptions'!$V$152</x:f>
        <x:v>0</x:v>
      </x:c>
      <x:c r="N1410" s="10" t="n">
        <x:f>K1410-L1410-M1410</x:f>
        <x:v>8510.75963996182</x:v>
      </x:c>
      <x:c r="O1410" s="10" t="n">
        <x:f>H1410*'Assumptions'!$P$152*'Assumptions'!$Q$152*'Assumptions'!$D$11*(1+'Assumptions'!$D$13)^(11-1)</x:f>
        <x:v>3002.0065265611156</x:v>
      </x:c>
      <x:c r="P1410" s="10" t="n">
        <x:f>H1410*'Assumptions'!$R$152*'Assumptions'!$D$11*(1+'Assumptions'!$D$13)^(11-1)</x:f>
        <x:v>0</x:v>
      </x:c>
      <x:c r="Q1410" s="10" t="n">
        <x:f>J1410*'Assumptions'!$S$152</x:f>
        <x:v>0</x:v>
      </x:c>
      <x:c r="R1410" s="10" t="n">
        <x:f>H1410*'Assumptions'!$Y$152*'Assumptions'!$Z$152*'Assumptions'!$D$11*(1+'Assumptions'!$D$13)^(11-1)</x:f>
        <x:v>1000.6688421870385</x:v>
      </x:c>
      <x:c r="S1410" s="10" t="n">
        <x:f>IF(I1410=0,0,J1410*'Assumptions'!$W$152+H1410*'Assumptions'!$X$152)</x:f>
        <x:v>328.90455092764023</x:v>
      </x:c>
      <x:c r="T1410" s="10" t="n">
        <x:f>N1410*'Assumptions'!$AA$152</x:f>
        <x:v>425.537981998091</x:v>
      </x:c>
      <x:c r="U1410" s="10" t="n">
        <x:f>'Assumptions'!$AE$152*'Assumptions'!$D$11*(1+'Assumptions'!$D$13)^(11-1)</x:f>
        <x:v>322.53993104258933</x:v>
      </x:c>
      <x:c r="V1410" s="10" t="n">
        <x:f>0</x:f>
        <x:v>0</x:v>
      </x:c>
      <x:c r="W1410" s="10" t="n">
        <x:f>H1410*('Assumptions'!$P$152+'Assumptions'!$Y$152)</x:f>
        <x:v>74.45915962981266</x:v>
      </x:c>
      <x:c r="X1410" s="10" t="n">
        <x:f>N1410/12*'Assumptions'!$AF$152</x:f>
        <x:v>0</x:v>
      </x:c>
      <x:c r="Y1410" s="10" t="n">
        <x:f>P1410/12</x:f>
        <x:v>0</x:v>
      </x:c>
      <x:c r="Z1410" s="10" t="n">
        <x:f>0</x:f>
        <x:v>0</x:v>
      </x:c>
      <x:c r="AA1410" s="10" t="n">
        <x:f>Z1410*'Assumptions'!$AC$152*'Assumptions'!$D$11*(1+'Assumptions'!$D$13)^(11-1)</x:f>
        <x:v>0</x:v>
      </x:c>
      <x:c r="AB1410" s="10" t="n">
        <x:f>F1410/12</x:f>
        <x:v>15.663036970920556</x:v>
      </x:c>
      <x:c r="AC1410" s="10" t="n">
        <x:f>AB1410/'Assumptions'!$AM$152</x:f>
        <x:v>313.2607394184111</x:v>
      </x:c>
      <x:c r="AD1410" s="10" t="n">
        <x:f>IF(AB1410=0,0,T1410/AB1410)</x:f>
        <x:v>27.168293274677822</x:v>
      </x:c>
      <x:c r="AE1410" s="10" t="n">
        <x:f>AA1410*'Assumptions'!$D$21</x:f>
        <x:v>0</x:v>
      </x:c>
    </x:row>
    <x:row r="1411" ht="16" customHeight="1">
      <x:c r="A1411" s="1"/>
      <x:c r="B1411" s="1"/>
      <x:c r="C1411" s="1" t="str">
        <x:v>DOT-124</x:v>
      </x:c>
      <x:c r="D1411" s="10" t="str">
        <x:v>Functional Analysis</x:v>
      </x:c>
      <x:c r="E1411" s="10" t="n">
        <x:v>11</x:v>
      </x:c>
      <x:c r="F1411" s="21" t="n">
        <x:f>F1283*(1+'Assumptions'!$M$153)</x:f>
        <x:v>375.91288730209334</x:v>
      </x:c>
      <x:c r="G1411" s="21" t="n">
        <x:f>H1283*'Assumptions'!$K$153</x:f>
        <x:v>120.48151022999096</x:v>
      </x:c>
      <x:c r="H1411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1411+G1411,NA())</x:f>
        <x:v>496.3943975320843</x:v>
      </x:c>
      <x:c r="I1411" s="22" t="n">
        <x:f>'Assumptions'!$H$153*IF('Assumptions'!$O$153=1,1,'Assumptions'!$D$10)*(1+'Assumptions'!$N$153)^(11-1)</x:f>
        <x:v>23.16089397990039</x:v>
      </x:c>
      <x:c r="J1411" s="10" t="n">
        <x:f>H1411*I1411</x:f>
        <x:v>11496.938013457133</x:v>
      </x:c>
      <x:c r="K1411" s="10" t="n">
        <x:f>J1411*'Assumptions'!$T$153</x:f>
        <x:v>11496.938013457133</x:v>
      </x:c>
      <x:c r="L1411" s="10" t="n">
        <x:f>K1411*'Assumptions'!$U$153</x:f>
        <x:v>344.90814040371396</x:v>
      </x:c>
      <x:c r="M1411" s="10" t="n">
        <x:f>K1411*'Assumptions'!$V$153</x:f>
        <x:v>0</x:v>
      </x:c>
      <x:c r="N1411" s="10" t="n">
        <x:f>K1411-L1411-M1411</x:f>
        <x:v>11152.02987305342</x:v>
      </x:c>
      <x:c r="O1411" s="10" t="n">
        <x:f>H1411*'Assumptions'!$P$153*'Assumptions'!$Q$153*'Assumptions'!$D$11*(1+'Assumptions'!$D$13)^(11-1)</x:f>
        <x:v>2334.89396510309</x:v>
      </x:c>
      <x:c r="P1411" s="10" t="n">
        <x:f>H1411*'Assumptions'!$R$153*'Assumptions'!$D$11*(1+'Assumptions'!$D$13)^(11-1)</x:f>
        <x:v>0</x:v>
      </x:c>
      <x:c r="Q1411" s="10" t="n">
        <x:f>J1411*'Assumptions'!$S$153</x:f>
        <x:v>0</x:v>
      </x:c>
      <x:c r="R1411" s="10" t="n">
        <x:f>H1411*'Assumptions'!$Y$153*'Assumptions'!$Z$153*'Assumptions'!$D$11*(1+'Assumptions'!$D$13)^(11-1)</x:f>
        <x:v>2001.337684374077</x:v>
      </x:c>
      <x:c r="S1411" s="10" t="n">
        <x:f>IF(I1411=0,0,J1411*'Assumptions'!$W$153+H1411*'Assumptions'!$X$153)</x:f>
        <x:v>482.32952164988217</x:v>
      </x:c>
      <x:c r="T1411" s="10" t="n">
        <x:f>N1411*'Assumptions'!$AA$153</x:f>
        <x:v>557.601493652671</x:v>
      </x:c>
      <x:c r="U1411" s="10" t="n">
        <x:f>'Assumptions'!$AE$153*'Assumptions'!$D$11*(1+'Assumptions'!$D$13)^(11-1)</x:f>
        <x:v>0</x:v>
      </x:c>
      <x:c r="V1411" s="10" t="n">
        <x:f>0</x:f>
        <x:v>0</x:v>
      </x:c>
      <x:c r="W1411" s="10" t="n">
        <x:f>H1411*('Assumptions'!$P$153+'Assumptions'!$Y$153)</x:f>
        <x:v>99.27887950641687</x:v>
      </x:c>
      <x:c r="X1411" s="10" t="n">
        <x:f>N1411/12*'Assumptions'!$AF$153</x:f>
        <x:v>0</x:v>
      </x:c>
      <x:c r="Y1411" s="10" t="n">
        <x:f>P1411/12</x:f>
        <x:v>0</x:v>
      </x:c>
      <x:c r="Z1411" s="10" t="n">
        <x:f>0</x:f>
        <x:v>0</x:v>
      </x:c>
      <x:c r="AA1411" s="10" t="n">
        <x:f>Z1411*'Assumptions'!$AC$153*'Assumptions'!$D$11*(1+'Assumptions'!$D$13)^(11-1)</x:f>
        <x:v>0</x:v>
      </x:c>
      <x:c r="AB1411" s="10" t="n">
        <x:f>F1411/1</x:f>
        <x:v>375.91288730209334</x:v>
      </x:c>
      <x:c r="AC1411" s="10" t="n">
        <x:f>AB1411/'Assumptions'!$AM$153</x:f>
        <x:v>7518.257746041866</x:v>
      </x:c>
      <x:c r="AD1411" s="10" t="n">
        <x:f>IF(AB1411=0,0,T1411/AB1411)</x:f>
        <x:v>1.4833263569508006</x:v>
      </x:c>
      <x:c r="AE1411" s="10" t="n">
        <x:f>AA1411*'Assumptions'!$D$21</x:f>
        <x:v>0</x:v>
      </x:c>
    </x:row>
    <x:row r="1412" ht="16" customHeight="1">
      <x:c r="A1412" s="1"/>
      <x:c r="B1412" s="1"/>
      <x:c r="C1412" s="1" t="str">
        <x:v>DOT-125</x:v>
      </x:c>
      <x:c r="D1412" s="10" t="str">
        <x:v>Functional Analysis</x:v>
      </x:c>
      <x:c r="E1412" s="10" t="n">
        <x:v>11</x:v>
      </x:c>
      <x:c r="F1412" s="21" t="n">
        <x:f>F1284*(1+'Assumptions'!$M$154)</x:f>
        <x:v>31.467815412265963</x:v>
      </x:c>
      <x:c r="G1412" s="21" t="n">
        <x:f>H1284*'Assumptions'!$K$154</x:f>
        <x:v>29.626648384213176</x:v>
      </x:c>
      <x:c r="H1412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1412+G1412,NA())</x:f>
        <x:v>61.09446379647914</x:v>
      </x:c>
      <x:c r="I1412" s="22" t="n">
        <x:f>'Assumptions'!$H$154*IF('Assumptions'!$O$154=1,1,'Assumptions'!$D$10)*(1+'Assumptions'!$N$154)^(11-1)</x:f>
        <x:v>120.68044757948097</x:v>
      </x:c>
      <x:c r="J1412" s="10" t="n">
        <x:f>H1412*I1412</x:f>
        <x:v>7372.907235587499</x:v>
      </x:c>
      <x:c r="K1412" s="10" t="n">
        <x:f>J1412*'Assumptions'!$T$154</x:f>
        <x:v>7372.907235587499</x:v>
      </x:c>
      <x:c r="L1412" s="10" t="n">
        <x:f>K1412*'Assumptions'!$U$154</x:f>
        <x:v>221.18721706762494</x:v>
      </x:c>
      <x:c r="M1412" s="10" t="n">
        <x:f>K1412*'Assumptions'!$V$154</x:f>
        <x:v>0</x:v>
      </x:c>
      <x:c r="N1412" s="10" t="n">
        <x:f>K1412-L1412-M1412</x:f>
        <x:v>7151.7200185198735</x:v>
      </x:c>
      <x:c r="O1412" s="10" t="n">
        <x:f>H1412*'Assumptions'!$P$154*'Assumptions'!$Q$154*'Assumptions'!$D$11*(1+'Assumptions'!$D$13)^(11-1)</x:f>
        <x:v>3284.2340233333916</x:v>
      </x:c>
      <x:c r="P1412" s="10" t="n">
        <x:f>H1412*'Assumptions'!$R$154*'Assumptions'!$D$11*(1+'Assumptions'!$D$13)^(11-1)</x:f>
        <x:v>0</x:v>
      </x:c>
      <x:c r="Q1412" s="10" t="n">
        <x:f>J1412*'Assumptions'!$S$154</x:f>
        <x:v>0</x:v>
      </x:c>
      <x:c r="R1412" s="10" t="n">
        <x:f>H1412*'Assumptions'!$Y$154*'Assumptions'!$Z$154*'Assumptions'!$D$11*(1+'Assumptions'!$D$13)^(11-1)</x:f>
        <x:v>615.793879375011</x:v>
      </x:c>
      <x:c r="S1412" s="10" t="n">
        <x:f>IF(I1412=0,0,J1412*'Assumptions'!$W$154+H1412*'Assumptions'!$X$154)</x:f>
        <x:v>232.1426489709812</x:v>
      </x:c>
      <x:c r="T1412" s="10" t="n">
        <x:f>N1412*'Assumptions'!$AA$154</x:f>
        <x:v>286.0688007407949</x:v>
      </x:c>
      <x:c r="U1412" s="10" t="n">
        <x:f>'Assumptions'!$AE$154*'Assumptions'!$D$11*(1+'Assumptions'!$D$13)^(11-1)</x:f>
        <x:v>0</x:v>
      </x:c>
      <x:c r="V1412" s="10" t="n">
        <x:f>0</x:f>
        <x:v>0</x:v>
      </x:c>
      <x:c r="W1412" s="10" t="n">
        <x:f>H1412*('Assumptions'!$P$154+'Assumptions'!$Y$154)</x:f>
        <x:v>76.36807974559892</x:v>
      </x:c>
      <x:c r="X1412" s="10" t="n">
        <x:f>N1412/12*'Assumptions'!$AF$154</x:f>
        <x:v>595.9766682099895</x:v>
      </x:c>
      <x:c r="Y1412" s="10" t="n">
        <x:f>P1412/12</x:f>
        <x:v>0</x:v>
      </x:c>
      <x:c r="Z1412" s="10" t="n">
        <x:f>0</x:f>
        <x:v>0</x:v>
      </x:c>
      <x:c r="AA1412" s="10" t="n">
        <x:f>Z1412*'Assumptions'!$AC$154*'Assumptions'!$D$11*(1+'Assumptions'!$D$13)^(11-1)</x:f>
        <x:v>0</x:v>
      </x:c>
      <x:c r="AB1412" s="10" t="n">
        <x:f>F1412/1</x:f>
        <x:v>31.467815412265963</x:v>
      </x:c>
      <x:c r="AC1412" s="10" t="n">
        <x:f>AB1412/'Assumptions'!$AM$154</x:f>
        <x:v>157.33907706132982</x:v>
      </x:c>
      <x:c r="AD1412" s="10" t="n">
        <x:f>IF(AB1412=0,0,T1412/AB1412)</x:f>
        <x:v>9.090837638169411</x:v>
      </x:c>
      <x:c r="AE1412" s="10" t="n">
        <x:f>AA1412*'Assumptions'!$D$21</x:f>
        <x:v>0</x:v>
      </x:c>
    </x:row>
    <x:row r="1413" ht="16" customHeight="1">
      <x:c r="A1413" s="1"/>
      <x:c r="B1413" s="1"/>
      <x:c r="C1413" s="1" t="str">
        <x:v>DOT-126</x:v>
      </x:c>
      <x:c r="D1413" s="10" t="str">
        <x:v>Independent candy game</x:v>
      </x:c>
      <x:c r="E1413" s="10" t="n">
        <x:v>11</x:v>
      </x:c>
      <x:c r="F1413" s="21" t="n">
        <x:f>F1285*(1+'Assumptions'!$M$155)</x:f>
        <x:v>939.7822182552334</x:v>
      </x:c>
      <x:c r="G1413" s="21" t="n">
        <x:f>H1285*'Assumptions'!$K$155</x:f>
        <x:v>301.20377557497744</x:v>
      </x:c>
      <x:c r="H1413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1413+G1413,NA())</x:f>
        <x:v>1240.9859938302109</x:v>
      </x:c>
      <x:c r="I1413" s="22" t="n">
        <x:f>'Assumptions'!$H$155*IF('Assumptions'!$O$155=1,1,'Assumptions'!$D$10)*(1+'Assumptions'!$N$155)^(11-1)</x:f>
        <x:v>6.082782155773839</x:v>
      </x:c>
      <x:c r="J1413" s="10" t="n">
        <x:f>H1413*I1413</x:f>
        <x:v>7548.6474588356705</x:v>
      </x:c>
      <x:c r="K1413" s="10" t="n">
        <x:f>J1413*'Assumptions'!$T$155</x:f>
        <x:v>7548.6474588356705</x:v>
      </x:c>
      <x:c r="L1413" s="10" t="n">
        <x:f>K1413*'Assumptions'!$U$155</x:f>
        <x:v>226.4594237650701</x:v>
      </x:c>
      <x:c r="M1413" s="10" t="n">
        <x:f>K1413*'Assumptions'!$V$155</x:f>
        <x:v>0</x:v>
      </x:c>
      <x:c r="N1413" s="10" t="n">
        <x:f>K1413-L1413-M1413</x:f>
        <x:v>7322.188035070601</x:v>
      </x:c>
      <x:c r="O1413" s="10" t="n">
        <x:f>H1413*'Assumptions'!$P$155*'Assumptions'!$Q$155*'Assumptions'!$D$11*(1+'Assumptions'!$D$13)^(11-1)</x:f>
        <x:v>1167.446982551545</x:v>
      </x:c>
      <x:c r="P1413" s="10" t="n">
        <x:f>H1413*'Assumptions'!$R$155*'Assumptions'!$D$11*(1+'Assumptions'!$D$13)^(11-1)</x:f>
        <x:v>0</x:v>
      </x:c>
      <x:c r="Q1413" s="10" t="n">
        <x:f>J1413*'Assumptions'!$S$155</x:f>
        <x:v>0</x:v>
      </x:c>
      <x:c r="R1413" s="10" t="n">
        <x:f>H1413*'Assumptions'!$Y$155*'Assumptions'!$Z$155*'Assumptions'!$D$11*(1+'Assumptions'!$D$13)^(11-1)</x:f>
        <x:v>5003.344210935193</x:v>
      </x:c>
      <x:c r="S1413" s="10" t="n">
        <x:f>IF(I1413=0,0,J1413*'Assumptions'!$W$155+H1413*'Assumptions'!$X$155)</x:f>
        <x:v>591.2065744552978</x:v>
      </x:c>
      <x:c r="T1413" s="10" t="n">
        <x:f>N1413*'Assumptions'!$AA$155</x:f>
        <x:v>366.10940175353005</x:v>
      </x:c>
      <x:c r="U1413" s="10" t="n">
        <x:f>'Assumptions'!$AE$155*'Assumptions'!$D$11*(1+'Assumptions'!$D$13)^(11-1)</x:f>
        <x:v>0</x:v>
      </x:c>
      <x:c r="V1413" s="10" t="n">
        <x:f>0</x:f>
        <x:v>0</x:v>
      </x:c>
      <x:c r="W1413" s="10" t="n">
        <x:f>H1413*('Assumptions'!$P$155+'Assumptions'!$Y$155)</x:f>
        <x:v>148.91831925962532</x:v>
      </x:c>
      <x:c r="X1413" s="10" t="n">
        <x:f>N1413/12*'Assumptions'!$AF$155</x:f>
        <x:v>0</x:v>
      </x:c>
      <x:c r="Y1413" s="10" t="n">
        <x:f>P1413/12</x:f>
        <x:v>0</x:v>
      </x:c>
      <x:c r="Z1413" s="10" t="n">
        <x:f>0</x:f>
        <x:v>0</x:v>
      </x:c>
      <x:c r="AA1413" s="10" t="n">
        <x:f>Z1413*'Assumptions'!$AC$155*'Assumptions'!$D$11*(1+'Assumptions'!$D$13)^(11-1)</x:f>
        <x:v>0</x:v>
      </x:c>
      <x:c r="AB1413" s="10" t="n">
        <x:f>F1413/1</x:f>
        <x:v>939.7822182552334</x:v>
      </x:c>
      <x:c r="AC1413" s="10" t="n">
        <x:f>AB1413/'Assumptions'!$AM$155</x:f>
        <x:v>18795.644365104665</x:v>
      </x:c>
      <x:c r="AD1413" s="10" t="n">
        <x:f>IF(AB1413=0,0,T1413/AB1413)</x:f>
        <x:v>0.3895683432202366</x:v>
      </x:c>
      <x:c r="AE1413" s="10" t="n">
        <x:f>AA1413*'Assumptions'!$D$21</x:f>
        <x:v>0</x:v>
      </x:c>
    </x:row>
    <x:row r="1414" ht="16" customHeight="1">
      <x:c r="A1414" s="1"/>
      <x:c r="B1414" s="1"/>
      <x:c r="C1414" s="1" t="str">
        <x:v>DOT-127</x:v>
      </x:c>
      <x:c r="D1414" s="10" t="str">
        <x:v>Learn Anglais</x:v>
      </x:c>
      <x:c r="E1414" s="10" t="n">
        <x:v>11</x:v>
      </x:c>
      <x:c r="F1414" s="21" t="n">
        <x:f>F1286*(1+'Assumptions'!$M$156)</x:f>
        <x:v>222.83881578742816</x:v>
      </x:c>
      <x:c r="G1414" s="21" t="n">
        <x:f>H1286*'Assumptions'!$K$156</x:f>
        <x:v>457.1075999389838</x:v>
      </x:c>
      <x:c r="H1414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1414+G1414,NA())</x:f>
        <x:v>679.9464157264119</x:v>
      </x:c>
      <x:c r="I1414" s="22" t="n">
        <x:f>'Assumptions'!$H$156*IF('Assumptions'!$O$156=1,1,'Assumptions'!$D$10)*(1+'Assumptions'!$N$156)^(11-1)</x:f>
        <x:v>29.255866079874174</x:v>
      </x:c>
      <x:c r="J1414" s="10" t="n">
        <x:f>H1414*I1414</x:f>
        <x:v>19892.421279982358</x:v>
      </x:c>
      <x:c r="K1414" s="10" t="n">
        <x:f>J1414*'Assumptions'!$T$156</x:f>
        <x:v>6630.807093327452</x:v>
      </x:c>
      <x:c r="L1414" s="10" t="n">
        <x:f>K1414*'Assumptions'!$U$156</x:f>
        <x:v>198.92421279982355</x:v>
      </x:c>
      <x:c r="M1414" s="10" t="n">
        <x:f>K1414*'Assumptions'!$V$156</x:f>
        <x:v>0</x:v>
      </x:c>
      <x:c r="N1414" s="10" t="n">
        <x:f>K1414-L1414-M1414</x:f>
        <x:v>6431.882880527629</x:v>
      </x:c>
      <x:c r="O1414" s="10" t="n">
        <x:f>H1414*'Assumptions'!$P$156*'Assumptions'!$Q$156*'Assumptions'!$D$11*(1+'Assumptions'!$D$13)^(11-1)</x:f>
        <x:v>3198.268938098685</x:v>
      </x:c>
      <x:c r="P1414" s="10" t="n">
        <x:f>H1414*'Assumptions'!$R$156*'Assumptions'!$D$11*(1+'Assumptions'!$D$13)^(11-1)</x:f>
        <x:v>0</x:v>
      </x:c>
      <x:c r="Q1414" s="10" t="n">
        <x:f>J1414*'Assumptions'!$S$156</x:f>
        <x:v>0</x:v>
      </x:c>
      <x:c r="R1414" s="10" t="n">
        <x:f>H1414*'Assumptions'!$Y$156*'Assumptions'!$Z$156*'Assumptions'!$D$11*(1+'Assumptions'!$D$13)^(11-1)</x:f>
        <x:v>4112.060063269738</x:v>
      </x:c>
      <x:c r="S1414" s="10" t="n">
        <x:f>IF(I1414=0,0,J1414*'Assumptions'!$W$156+H1414*'Assumptions'!$X$156)</x:f>
        <x:v>780.864141837412</x:v>
      </x:c>
      <x:c r="T1414" s="10" t="n">
        <x:f>N1414*'Assumptions'!$AA$156</x:f>
        <x:v>321.59414402638146</x:v>
      </x:c>
      <x:c r="U1414" s="10" t="n">
        <x:f>'Assumptions'!$AE$156*'Assumptions'!$D$11*(1+'Assumptions'!$D$13)^(11-1)</x:f>
        <x:v>0</x:v>
      </x:c>
      <x:c r="V1414" s="10" t="n">
        <x:f>0</x:f>
        <x:v>0</x:v>
      </x:c>
      <x:c r="W1414" s="10" t="n">
        <x:f>H1414*('Assumptions'!$P$156+'Assumptions'!$Y$156)</x:f>
        <x:v>169.98660393160299</x:v>
      </x:c>
      <x:c r="X1414" s="10" t="n">
        <x:f>N1414/12*'Assumptions'!$AF$156</x:f>
        <x:v>0</x:v>
      </x:c>
      <x:c r="Y1414" s="10" t="n">
        <x:f>P1414/12</x:f>
        <x:v>0</x:v>
      </x:c>
      <x:c r="Z1414" s="10" t="n">
        <x:f>0</x:f>
        <x:v>0</x:v>
      </x:c>
      <x:c r="AA1414" s="10" t="n">
        <x:f>Z1414*'Assumptions'!$AC$156*'Assumptions'!$D$11*(1+'Assumptions'!$D$13)^(11-1)</x:f>
        <x:v>0</x:v>
      </x:c>
      <x:c r="AB1414" s="10" t="n">
        <x:f>F1414/1</x:f>
        <x:v>222.83881578742816</x:v>
      </x:c>
      <x:c r="AC1414" s="10" t="n">
        <x:f>AB1414/'Assumptions'!$AM$156</x:f>
        <x:v>4456.776315748563</x:v>
      </x:c>
      <x:c r="AD1414" s="10" t="n">
        <x:f>IF(AB1414=0,0,T1414/AB1414)</x:f>
        <x:v>1.4431693279736266</x:v>
      </x:c>
      <x:c r="AE1414" s="10" t="n">
        <x:f>AA1414*'Assumptions'!$D$21</x:f>
        <x:v>0</x:v>
      </x:c>
    </x:row>
    <x:row r="1415" ht="16" customHeight="1">
      <x:c r="A1415" s="1"/>
      <x:c r="B1415" s="1"/>
      <x:c r="C1415" s="1" t="str">
        <x:v>DOT-128</x:v>
      </x:c>
      <x:c r="D1415" s="10" t="str">
        <x:v>Learn Anglais</x:v>
      </x:c>
      <x:c r="E1415" s="10" t="n">
        <x:v>11</x:v>
      </x:c>
      <x:c r="F1415" s="21" t="n">
        <x:f>F1287*(1+'Assumptions'!$M$157)</x:f>
        <x:v>89.13552631497126</x:v>
      </x:c>
      <x:c r="G1415" s="21" t="n">
        <x:f>H1287*'Assumptions'!$K$157</x:f>
        <x:v>182.84303997559354</x:v>
      </x:c>
      <x:c r="H1415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1415+G1415,NA())</x:f>
        <x:v>271.9785662905648</x:v>
      </x:c>
      <x:c r="I1415" s="22" t="n">
        <x:f>'Assumptions'!$H$157*IF('Assumptions'!$O$157=1,1,'Assumptions'!$D$10)*(1+'Assumptions'!$N$157)^(11-1)</x:f>
        <x:v>201.13407929913495</x:v>
      </x:c>
      <x:c r="J1415" s="10" t="n">
        <x:f>H1415*I1415</x:f>
        <x:v>54704.158519951496</x:v>
      </x:c>
      <x:c r="K1415" s="10" t="n">
        <x:f>J1415*'Assumptions'!$T$157</x:f>
        <x:v>16411.247555985447</x:v>
      </x:c>
      <x:c r="L1415" s="10" t="n">
        <x:f>K1415*'Assumptions'!$U$157</x:f>
        <x:v>492.33742667956335</x:v>
      </x:c>
      <x:c r="M1415" s="10" t="n">
        <x:f>K1415*'Assumptions'!$V$157</x:f>
        <x:v>0</x:v>
      </x:c>
      <x:c r="N1415" s="10" t="n">
        <x:f>K1415-L1415-M1415</x:f>
        <x:v>15918.910129305883</x:v>
      </x:c>
      <x:c r="O1415" s="10" t="n">
        <x:f>H1415*'Assumptions'!$P$157*'Assumptions'!$Q$157*'Assumptions'!$D$11*(1+'Assumptions'!$D$13)^(11-1)</x:f>
        <x:v>1279.307575239474</x:v>
      </x:c>
      <x:c r="P1415" s="10" t="n">
        <x:f>H1415*'Assumptions'!$R$157*'Assumptions'!$D$11*(1+'Assumptions'!$D$13)^(11-1)</x:f>
        <x:v>0</x:v>
      </x:c>
      <x:c r="Q1415" s="10" t="n">
        <x:f>J1415*'Assumptions'!$S$157</x:f>
        <x:v>0</x:v>
      </x:c>
      <x:c r="R1415" s="10" t="n">
        <x:f>H1415*'Assumptions'!$Y$157*'Assumptions'!$Z$157*'Assumptions'!$D$11*(1+'Assumptions'!$D$13)^(11-1)</x:f>
        <x:v>1644.8240253078952</x:v>
      </x:c>
      <x:c r="S1415" s="10" t="n">
        <x:f>IF(I1415=0,0,J1415*'Assumptions'!$W$157+H1415*'Assumptions'!$X$157)</x:f>
        <x:v>1668.0141669657628</x:v>
      </x:c>
      <x:c r="T1415" s="10" t="n">
        <x:f>N1415*'Assumptions'!$AA$157</x:f>
        <x:v>795.9455064652942</x:v>
      </x:c>
      <x:c r="U1415" s="10" t="n">
        <x:f>'Assumptions'!$AE$157*'Assumptions'!$D$11*(1+'Assumptions'!$D$13)^(11-1)</x:f>
        <x:v>0</x:v>
      </x:c>
      <x:c r="V1415" s="10" t="n">
        <x:f>0</x:f>
        <x:v>0</x:v>
      </x:c>
      <x:c r="W1415" s="10" t="n">
        <x:f>H1415*('Assumptions'!$P$157+'Assumptions'!$Y$157)</x:f>
        <x:v>67.9946415726412</x:v>
      </x:c>
      <x:c r="X1415" s="10" t="n">
        <x:f>N1415/12*'Assumptions'!$AF$157</x:f>
        <x:v>0</x:v>
      </x:c>
      <x:c r="Y1415" s="10" t="n">
        <x:f>P1415/12</x:f>
        <x:v>0</x:v>
      </x:c>
      <x:c r="Z1415" s="10" t="n">
        <x:f>0</x:f>
        <x:v>0</x:v>
      </x:c>
      <x:c r="AA1415" s="10" t="n">
        <x:f>Z1415*'Assumptions'!$AC$157*'Assumptions'!$D$11*(1+'Assumptions'!$D$13)^(11-1)</x:f>
        <x:v>0</x:v>
      </x:c>
      <x:c r="AB1415" s="10" t="n">
        <x:f>F1415/1</x:f>
        <x:v>89.13552631497126</x:v>
      </x:c>
      <x:c r="AC1415" s="10" t="n">
        <x:f>AB1415/'Assumptions'!$AM$157</x:f>
        <x:v>1782.710526299425</x:v>
      </x:c>
      <x:c r="AD1415" s="10" t="n">
        <x:f>IF(AB1415=0,0,T1415/AB1415)</x:f>
        <x:v>8.929610216836815</x:v>
      </x:c>
      <x:c r="AE1415" s="10" t="n">
        <x:f>AA1415*'Assumptions'!$D$21</x:f>
        <x:v>0</x:v>
      </x:c>
    </x:row>
    <x:row r="1416" ht="16" customHeight="1">
      <x:c r="A1416" s="1"/>
      <x:c r="B1416" s="1"/>
      <x:c r="C1416" s="1" t="str">
        <x:v>DOT-001</x:v>
      </x:c>
      <x:c r="D1416" s="10" t="str">
        <x:v>ETV courses</x:v>
      </x:c>
      <x:c r="E1416" s="10" t="n">
        <x:v>12</x:v>
      </x:c>
      <x:c r="F1416" s="21" t="n">
        <x:f>F1288*(1+'Assumptions'!$M$30)</x:f>
        <x:v>387.1902739211562</x:v>
      </x:c>
      <x:c r="G1416" s="21" t="n">
        <x:f>H1288*'Assumptions'!$K$30</x:f>
        <x:v>124.09862799325057</x:v>
      </x:c>
      <x:c r="H1416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1416+G1416,NA())</x:f>
        <x:v>511.2889019144068</x:v>
      </x:c>
      <x:c r="I1416" s="22" t="n">
        <x:f>'Assumptions'!$H$30*IF('Assumptions'!$O$30=1,1,'Assumptions'!$D$10)*(1+'Assumptions'!$N$30)^(12-1)</x:f>
        <x:v>29</x:v>
      </x:c>
      <x:c r="J1416" s="10" t="n">
        <x:f>H1416*I1416</x:f>
        <x:v>14827.378155517796</x:v>
      </x:c>
      <x:c r="K1416" s="10" t="n">
        <x:f>J1416*'Assumptions'!$T$30</x:f>
        <x:v>14827.378155517796</x:v>
      </x:c>
      <x:c r="L1416" s="10" t="n">
        <x:f>K1416*'Assumptions'!$U$30</x:f>
        <x:v>444.82134466553384</x:v>
      </x:c>
      <x:c r="M1416" s="10" t="n">
        <x:f>K1416*'Assumptions'!$V$30</x:f>
        <x:v>0</x:v>
      </x:c>
      <x:c r="N1416" s="10" t="n">
        <x:f>K1416-L1416-M1416</x:f>
        <x:v>14382.556810852262</x:v>
      </x:c>
      <x:c r="O1416" s="10" t="n">
        <x:f>H1416*'Assumptions'!$P$30*'Assumptions'!$Q$30*'Assumptions'!$D$11*(1+'Assumptions'!$D$13)^(12-1)</x:f>
        <x:v>3715.6529327160124</x:v>
      </x:c>
      <x:c r="P1416" s="10" t="n">
        <x:f>H1416*'Assumptions'!$R$30*'Assumptions'!$D$11*(1+'Assumptions'!$D$13)^(12-1)</x:f>
        <x:v>0</x:v>
      </x:c>
      <x:c r="Q1416" s="10" t="n">
        <x:f>J1416*'Assumptions'!$S$30</x:f>
        <x:v>0</x:v>
      </x:c>
      <x:c r="R1416" s="10" t="n">
        <x:f>H1416*'Assumptions'!$Y$30*'Assumptions'!$Z$30*'Assumptions'!$D$11*(1+'Assumptions'!$D$13)^(12-1)</x:f>
        <x:v>2123.2302472662927</x:v>
      </x:c>
      <x:c r="S1416" s="10" t="n">
        <x:f>IF(I1416=0,0,J1416*'Assumptions'!$W$30+H1416*'Assumptions'!$X$30)</x:f>
        <x:v>583.3806370843381</x:v>
      </x:c>
      <x:c r="T1416" s="10" t="n">
        <x:f>N1416*'Assumptions'!$AA$30</x:f>
        <x:v>719.1278405426132</x:v>
      </x:c>
      <x:c r="U1416" s="10" t="n">
        <x:f>'Assumptions'!$AE$30*'Assumptions'!$D$11*(1+'Assumptions'!$D$13)^(12-1)</x:f>
        <x:v>0</x:v>
      </x:c>
      <x:c r="V1416" s="10" t="n">
        <x:f>0</x:f>
        <x:v>0</x:v>
      </x:c>
      <x:c r="W1416" s="10" t="n">
        <x:f>H1416*('Assumptions'!$P$30+'Assumptions'!$Y$30)</x:f>
        <x:v>127.8222254786017</x:v>
      </x:c>
      <x:c r="X1416" s="10" t="n">
        <x:f>N1416/12*'Assumptions'!$AF$30</x:f>
        <x:v>0</x:v>
      </x:c>
      <x:c r="Y1416" s="10" t="n">
        <x:f>P1416/12</x:f>
        <x:v>0</x:v>
      </x:c>
      <x:c r="Z1416" s="10" t="n">
        <x:f>0</x:f>
        <x:v>0</x:v>
      </x:c>
      <x:c r="AA1416" s="10" t="n">
        <x:f>Z1416*'Assumptions'!$AC$30*'Assumptions'!$D$11*(1+'Assumptions'!$D$13)^(12-1)</x:f>
        <x:v>0</x:v>
      </x:c>
      <x:c r="AB1416" s="10" t="n">
        <x:f>F1416/1</x:f>
        <x:v>387.1902739211562</x:v>
      </x:c>
      <x:c r="AC1416" s="10" t="n">
        <x:f>AB1416/'Assumptions'!$AM$30</x:f>
        <x:v>7743.8054784231235</x:v>
      </x:c>
      <x:c r="AD1416" s="10" t="n">
        <x:f>IF(AB1416=0,0,T1416/AB1416)</x:f>
        <x:v>1.8572983077799359</x:v>
      </x:c>
      <x:c r="AE1416" s="10" t="n">
        <x:f>AA1416*'Assumptions'!$D$21</x:f>
        <x:v>0</x:v>
      </x:c>
    </x:row>
    <x:row r="1417" ht="16" customHeight="1">
      <x:c r="A1417" s="1"/>
      <x:c r="B1417" s="1"/>
      <x:c r="C1417" s="1" t="str">
        <x:v>DOT-002</x:v>
      </x:c>
      <x:c r="D1417" s="10" t="str">
        <x:v>ETV courses</x:v>
      </x:c>
      <x:c r="E1417" s="10" t="n">
        <x:v>12</x:v>
      </x:c>
      <x:c r="F1417" s="21" t="n">
        <x:f>F1289*(1+'Assumptions'!$M$31)</x:f>
        <x:v>613.0512670418306</x:v>
      </x:c>
      <x:c r="G1417" s="21" t="n">
        <x:f>H1289*'Assumptions'!$K$31</x:f>
        <x:v>196.48949432264675</x:v>
      </x:c>
      <x:c r="H1417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1417+G1417,NA())</x:f>
        <x:v>809.5407613644772</x:v>
      </x:c>
      <x:c r="I1417" s="22" t="n">
        <x:f>'Assumptions'!$H$31*IF('Assumptions'!$O$31=1,1,'Assumptions'!$D$10)*(1+'Assumptions'!$N$31)^(12-1)</x:f>
        <x:v>48.49159802739145</x:v>
      </x:c>
      <x:c r="J1417" s="10" t="n">
        <x:f>H1417*I1417</x:f>
        <x:v>39255.92518687466</x:v>
      </x:c>
      <x:c r="K1417" s="10" t="n">
        <x:f>J1417*'Assumptions'!$T$31</x:f>
        <x:v>39255.92518687466</x:v>
      </x:c>
      <x:c r="L1417" s="10" t="n">
        <x:f>K1417*'Assumptions'!$U$31</x:f>
        <x:v>1177.6777556062398</x:v>
      </x:c>
      <x:c r="M1417" s="10" t="n">
        <x:f>K1417*'Assumptions'!$V$31</x:f>
        <x:v>0</x:v>
      </x:c>
      <x:c r="N1417" s="10" t="n">
        <x:f>K1417-L1417-M1417</x:f>
        <x:v>38078.24743126842</x:v>
      </x:c>
      <x:c r="O1417" s="10" t="n">
        <x:f>H1417*'Assumptions'!$P$31*'Assumptions'!$Q$31*'Assumptions'!$D$11*(1+'Assumptions'!$D$13)^(12-1)</x:f>
        <x:v>5883.117143467018</x:v>
      </x:c>
      <x:c r="P1417" s="10" t="n">
        <x:f>H1417*'Assumptions'!$R$31*'Assumptions'!$D$11*(1+'Assumptions'!$D$13)^(12-1)</x:f>
        <x:v>0</x:v>
      </x:c>
      <x:c r="Q1417" s="10" t="n">
        <x:f>J1417*'Assumptions'!$S$31</x:f>
        <x:v>0</x:v>
      </x:c>
      <x:c r="R1417" s="10" t="n">
        <x:f>H1417*'Assumptions'!$Y$31*'Assumptions'!$Z$31*'Assumptions'!$D$11*(1+'Assumptions'!$D$13)^(12-1)</x:f>
        <x:v>3361.7812248382957</x:v>
      </x:c>
      <x:c r="S1417" s="10" t="n">
        <x:f>IF(I1417=0,0,J1417*'Assumptions'!$W$31+H1417*'Assumptions'!$X$31)</x:f>
        <x:v>1381.284058828708</x:v>
      </x:c>
      <x:c r="T1417" s="10" t="n">
        <x:f>N1417*'Assumptions'!$AA$31</x:f>
        <x:v>1903.9123715634212</x:v>
      </x:c>
      <x:c r="U1417" s="10" t="n">
        <x:f>'Assumptions'!$AE$31*'Assumptions'!$D$11*(1+'Assumptions'!$D$13)^(12-1)</x:f>
        <x:v>0</x:v>
      </x:c>
      <x:c r="V1417" s="10" t="n">
        <x:f>0</x:f>
        <x:v>0</x:v>
      </x:c>
      <x:c r="W1417" s="10" t="n">
        <x:f>H1417*('Assumptions'!$P$31+'Assumptions'!$Y$31)</x:f>
        <x:v>202.3851903411193</x:v>
      </x:c>
      <x:c r="X1417" s="10" t="n">
        <x:f>N1417/12*'Assumptions'!$AF$31</x:f>
        <x:v>0</x:v>
      </x:c>
      <x:c r="Y1417" s="10" t="n">
        <x:f>P1417/12</x:f>
        <x:v>0</x:v>
      </x:c>
      <x:c r="Z1417" s="10" t="n">
        <x:f>0</x:f>
        <x:v>0</x:v>
      </x:c>
      <x:c r="AA1417" s="10" t="n">
        <x:f>Z1417*'Assumptions'!$AC$31*'Assumptions'!$D$11*(1+'Assumptions'!$D$13)^(12-1)</x:f>
        <x:v>0</x:v>
      </x:c>
      <x:c r="AB1417" s="10" t="n">
        <x:f>F1417/1</x:f>
        <x:v>613.0512670418306</x:v>
      </x:c>
      <x:c r="AC1417" s="10" t="n">
        <x:f>AB1417/'Assumptions'!$AM$31</x:f>
        <x:v>12261.02534083661</x:v>
      </x:c>
      <x:c r="AD1417" s="10" t="n">
        <x:f>IF(AB1417=0,0,T1417/AB1417)</x:f>
        <x:v>3.105633205442035</x:v>
      </x:c>
      <x:c r="AE1417" s="10" t="n">
        <x:f>AA1417*'Assumptions'!$D$21</x:f>
        <x:v>0</x:v>
      </x:c>
    </x:row>
    <x:row r="1418" ht="16" customHeight="1">
      <x:c r="A1418" s="1"/>
      <x:c r="B1418" s="1"/>
      <x:c r="C1418" s="1" t="str">
        <x:v>DOT-003</x:v>
      </x:c>
      <x:c r="D1418" s="10" t="str">
        <x:v>ETV services</x:v>
      </x:c>
      <x:c r="E1418" s="10" t="n">
        <x:v>12</x:v>
      </x:c>
      <x:c r="F1418" s="21" t="n">
        <x:f>F1290*(1+'Assumptions'!$M$32)</x:f>
        <x:v>10.803949958211318</x:v>
      </x:c>
      <x:c r="G1418" s="21" t="n">
        <x:f>H1290*'Assumptions'!$K$32</x:f>
        <x:v>10.185340320246524</x:v>
      </x:c>
      <x:c r="H1418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1418+G1418,NA())</x:f>
        <x:v>20.989290278457844</x:v>
      </x:c>
      <x:c r="I1418" s="22" t="n">
        <x:f>'Assumptions'!$H$32*IF('Assumptions'!$O$32=1,1,'Assumptions'!$D$10)*(1+'Assumptions'!$N$32)^(12-1)</x:f>
        <x:v>2175.905039690642</x:v>
      </x:c>
      <x:c r="J1418" s="10" t="n">
        <x:f>H1418*I1418</x:f>
        <x:v>45670.70249642622</x:v>
      </x:c>
      <x:c r="K1418" s="10" t="n">
        <x:f>J1418*'Assumptions'!$T$32</x:f>
        <x:v>45670.70249642622</x:v>
      </x:c>
      <x:c r="L1418" s="10" t="n">
        <x:f>K1418*'Assumptions'!$U$32</x:f>
        <x:v>1370.1210748927865</x:v>
      </x:c>
      <x:c r="M1418" s="10" t="n">
        <x:f>K1418*'Assumptions'!$V$32</x:f>
        <x:v>0</x:v>
      </x:c>
      <x:c r="N1418" s="10" t="n">
        <x:f>K1418-L1418-M1418</x:f>
        <x:v>44300.58142153343</x:v>
      </x:c>
      <x:c r="O1418" s="10" t="n">
        <x:f>H1418*'Assumptions'!$P$32*'Assumptions'!$Q$32*'Assumptions'!$D$11*(1+'Assumptions'!$D$13)^(12-1)</x:f>
        <x:v>26148.677873317814</x:v>
      </x:c>
      <x:c r="P1418" s="10" t="n">
        <x:f>H1418*'Assumptions'!$R$32*'Assumptions'!$D$11*(1+'Assumptions'!$D$13)^(12-1)</x:f>
        <x:v>726.3521631477171</x:v>
      </x:c>
      <x:c r="Q1418" s="10" t="n">
        <x:f>J1418*'Assumptions'!$S$32</x:f>
        <x:v>0</x:v>
      </x:c>
      <x:c r="R1418" s="10" t="n">
        <x:f>H1418*'Assumptions'!$Y$32*'Assumptions'!$Z$32*'Assumptions'!$D$11*(1+'Assumptions'!$D$13)^(12-1)</x:f>
        <x:v>217.90564894431515</x:v>
      </x:c>
      <x:c r="S1418" s="10" t="n">
        <x:f>IF(I1418=0,0,J1418*'Assumptions'!$W$32+H1418*'Assumptions'!$X$32)</x:f>
        <x:v>1330.7471594798976</x:v>
      </x:c>
      <x:c r="T1418" s="10" t="n">
        <x:f>N1418*'Assumptions'!$AA$32</x:f>
        <x:v>1772.0232568613374</x:v>
      </x:c>
      <x:c r="U1418" s="10" t="n">
        <x:f>'Assumptions'!$AE$32*'Assumptions'!$D$11*(1+'Assumptions'!$D$13)^(12-1)</x:f>
        <x:v>0</x:v>
      </x:c>
      <x:c r="V1418" s="10" t="n">
        <x:f>0</x:f>
        <x:v>0</x:v>
      </x:c>
      <x:c r="W1418" s="10" t="n">
        <x:f>H1418*('Assumptions'!$P$32+'Assumptions'!$Y$32)</x:f>
        <x:v>425.03312813877136</x:v>
      </x:c>
      <x:c r="X1418" s="10" t="n">
        <x:f>N1418/12*'Assumptions'!$AF$32</x:f>
        <x:v>3691.7151184611193</x:v>
      </x:c>
      <x:c r="Y1418" s="10" t="n">
        <x:f>P1418/12</x:f>
        <x:v>60.52934692897642</x:v>
      </x:c>
      <x:c r="Z1418" s="10" t="n">
        <x:f>0</x:f>
        <x:v>0</x:v>
      </x:c>
      <x:c r="AA1418" s="10" t="n">
        <x:f>Z1418*'Assumptions'!$AC$32*'Assumptions'!$D$11*(1+'Assumptions'!$D$13)^(12-1)</x:f>
        <x:v>0</x:v>
      </x:c>
      <x:c r="AB1418" s="10" t="n">
        <x:f>F1418/1</x:f>
        <x:v>10.803949958211318</x:v>
      </x:c>
      <x:c r="AC1418" s="10" t="n">
        <x:f>AB1418/'Assumptions'!$AM$32</x:f>
        <x:v>54.01974979105658</x:v>
      </x:c>
      <x:c r="AD1418" s="10" t="n">
        <x:f>IF(AB1418=0,0,T1418/AB1418)</x:f>
        <x:v>164.0162407004253</x:v>
      </x:c>
      <x:c r="AE1418" s="10" t="n">
        <x:f>AA1418*'Assumptions'!$D$21</x:f>
        <x:v>0</x:v>
      </x:c>
    </x:row>
    <x:row r="1419" ht="16" customHeight="1">
      <x:c r="A1419" s="1"/>
      <x:c r="B1419" s="1"/>
      <x:c r="C1419" s="1" t="str">
        <x:v>DOT-004</x:v>
      </x:c>
      <x:c r="D1419" s="10" t="str">
        <x:v>ETV services</x:v>
      </x:c>
      <x:c r="E1419" s="10" t="n">
        <x:v>12</x:v>
      </x:c>
      <x:c r="F1419" s="21" t="n">
        <x:f>F1291*(1+'Assumptions'!$M$33)</x:f>
        <x:v>7.2026333054742135</x:v>
      </x:c>
      <x:c r="G1419" s="21" t="n">
        <x:f>H1291*'Assumptions'!$K$33</x:f>
        <x:v>6.790226880164352</x:v>
      </x:c>
      <x:c r="H1419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1419+G1419,NA())</x:f>
        <x:v>13.992860185638566</x:v>
      </x:c>
      <x:c r="I1419" s="22" t="n">
        <x:f>'Assumptions'!$H$33*IF('Assumptions'!$O$33=1,1,'Assumptions'!$D$10)*(1+'Assumptions'!$N$33)^(12-1)</x:f>
        <x:v>3108.4357709866313</x:v>
      </x:c>
      <x:c r="J1419" s="10" t="n">
        <x:f>H1419*I1419</x:f>
        <x:v>43495.90713945355</x:v>
      </x:c>
      <x:c r="K1419" s="10" t="n">
        <x:f>J1419*'Assumptions'!$T$33</x:f>
        <x:v>43495.90713945355</x:v>
      </x:c>
      <x:c r="L1419" s="10" t="n">
        <x:f>K1419*'Assumptions'!$U$33</x:f>
        <x:v>1304.8772141836064</x:v>
      </x:c>
      <x:c r="M1419" s="10" t="n">
        <x:f>K1419*'Assumptions'!$V$33</x:f>
        <x:v>0</x:v>
      </x:c>
      <x:c r="N1419" s="10" t="n">
        <x:f>K1419-L1419-M1419</x:f>
        <x:v>42191.02992526994</x:v>
      </x:c>
      <x:c r="O1419" s="10" t="n">
        <x:f>H1419*'Assumptions'!$P$33*'Assumptions'!$Q$33*'Assumptions'!$D$11*(1+'Assumptions'!$D$13)^(12-1)</x:f>
        <x:v>26148.677873317825</x:v>
      </x:c>
      <x:c r="P1419" s="10" t="n">
        <x:f>H1419*'Assumptions'!$R$33*'Assumptions'!$D$11*(1+'Assumptions'!$D$13)^(12-1)</x:f>
        <x:v>484.23477543181156</x:v>
      </x:c>
      <x:c r="Q1419" s="10" t="n">
        <x:f>J1419*'Assumptions'!$S$33</x:f>
        <x:v>0</x:v>
      </x:c>
      <x:c r="R1419" s="10" t="n">
        <x:f>H1419*'Assumptions'!$Y$33*'Assumptions'!$Z$33*'Assumptions'!$D$11*(1+'Assumptions'!$D$13)^(12-1)</x:f>
        <x:v>145.27043262954345</x:v>
      </x:c>
      <x:c r="S1419" s="10" t="n">
        <x:f>IF(I1419=0,0,J1419*'Assumptions'!$W$33+H1419*'Assumptions'!$X$33)</x:f>
        <x:v>1265.5791650998444</x:v>
      </x:c>
      <x:c r="T1419" s="10" t="n">
        <x:f>N1419*'Assumptions'!$AA$33</x:f>
        <x:v>1687.6411970107977</x:v>
      </x:c>
      <x:c r="U1419" s="10" t="n">
        <x:f>'Assumptions'!$AE$33*'Assumptions'!$D$11*(1+'Assumptions'!$D$13)^(12-1)</x:f>
        <x:v>0</x:v>
      </x:c>
      <x:c r="V1419" s="10" t="n">
        <x:f>0</x:f>
        <x:v>0</x:v>
      </x:c>
      <x:c r="W1419" s="10" t="n">
        <x:f>H1419*('Assumptions'!$P$33+'Assumptions'!$Y$33)</x:f>
        <x:v>423.28402061556665</x:v>
      </x:c>
      <x:c r="X1419" s="10" t="n">
        <x:f>N1419/12*'Assumptions'!$AF$33</x:f>
        <x:v>3515.9191604391617</x:v>
      </x:c>
      <x:c r="Y1419" s="10" t="n">
        <x:f>P1419/12</x:f>
        <x:v>40.35289795265096</x:v>
      </x:c>
      <x:c r="Z1419" s="10" t="n">
        <x:f>0</x:f>
        <x:v>0</x:v>
      </x:c>
      <x:c r="AA1419" s="10" t="n">
        <x:f>Z1419*'Assumptions'!$AC$33*'Assumptions'!$D$11*(1+'Assumptions'!$D$13)^(12-1)</x:f>
        <x:v>0</x:v>
      </x:c>
      <x:c r="AB1419" s="10" t="n">
        <x:f>F1419/1</x:f>
        <x:v>7.2026333054742135</x:v>
      </x:c>
      <x:c r="AC1419" s="10" t="n">
        <x:f>AB1419/'Assumptions'!$AM$33</x:f>
        <x:v>36.01316652737106</x:v>
      </x:c>
      <x:c r="AD1419" s="10" t="n">
        <x:f>IF(AB1419=0,0,T1419/AB1419)</x:f>
        <x:v>234.30891528632182</x:v>
      </x:c>
      <x:c r="AE1419" s="10" t="n">
        <x:f>AA1419*'Assumptions'!$D$21</x:f>
        <x:v>0</x:v>
      </x:c>
    </x:row>
    <x:row r="1420" ht="16" customHeight="1">
      <x:c r="A1420" s="1"/>
      <x:c r="B1420" s="1"/>
      <x:c r="C1420" s="1" t="str">
        <x:v>DOT-005</x:v>
      </x:c>
      <x:c r="D1420" s="10" t="str">
        <x:v>ETV services</x:v>
      </x:c>
      <x:c r="E1420" s="10" t="n">
        <x:v>12</x:v>
      </x:c>
      <x:c r="F1420" s="21" t="n">
        <x:f>F1292*(1+'Assumptions'!$M$34)</x:f>
        <x:v>7.2026333054742135</x:v>
      </x:c>
      <x:c r="G1420" s="21" t="n">
        <x:f>H1292*'Assumptions'!$K$34</x:f>
        <x:v>6.790226880164352</x:v>
      </x:c>
      <x:c r="H1420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1420+G1420,NA())</x:f>
        <x:v>13.992860185638566</x:v>
      </x:c>
      <x:c r="I1420" s="22" t="n">
        <x:f>'Assumptions'!$H$34*IF('Assumptions'!$O$34=1,1,'Assumptions'!$D$10)*(1+'Assumptions'!$N$34)^(12-1)</x:f>
        <x:v>1865.0614625919786</x:v>
      </x:c>
      <x:c r="J1420" s="10" t="n">
        <x:f>H1420*I1420</x:f>
        <x:v>26097.54428367213</x:v>
      </x:c>
      <x:c r="K1420" s="10" t="n">
        <x:f>J1420*'Assumptions'!$T$34</x:f>
        <x:v>26097.54428367213</x:v>
      </x:c>
      <x:c r="L1420" s="10" t="n">
        <x:f>K1420*'Assumptions'!$U$34</x:f>
        <x:v>782.9263285101639</x:v>
      </x:c>
      <x:c r="M1420" s="10" t="n">
        <x:f>K1420*'Assumptions'!$V$34</x:f>
        <x:v>0</x:v>
      </x:c>
      <x:c r="N1420" s="10" t="n">
        <x:f>K1420-L1420-M1420</x:f>
        <x:v>25314.617955161968</x:v>
      </x:c>
      <x:c r="O1420" s="10" t="n">
        <x:f>H1420*'Assumptions'!$P$34*'Assumptions'!$Q$34*'Assumptions'!$D$11*(1+'Assumptions'!$D$13)^(12-1)</x:f>
        <x:v>15689.206723990694</x:v>
      </x:c>
      <x:c r="P1420" s="10" t="n">
        <x:f>H1420*'Assumptions'!$R$34*'Assumptions'!$D$11*(1+'Assumptions'!$D$13)^(12-1)</x:f>
        <x:v>484.23477543181156</x:v>
      </x:c>
      <x:c r="Q1420" s="10" t="n">
        <x:f>J1420*'Assumptions'!$S$34</x:f>
        <x:v>0</x:v>
      </x:c>
      <x:c r="R1420" s="10" t="n">
        <x:f>H1420*'Assumptions'!$Y$34*'Assumptions'!$Z$34*'Assumptions'!$D$11*(1+'Assumptions'!$D$13)^(12-1)</x:f>
        <x:v>145.27043262954345</x:v>
      </x:c>
      <x:c r="S1420" s="10" t="n">
        <x:f>IF(I1420=0,0,J1420*'Assumptions'!$W$34+H1420*'Assumptions'!$X$34)</x:f>
        <x:v>761.0266422821834</x:v>
      </x:c>
      <x:c r="T1420" s="10" t="n">
        <x:f>N1420*'Assumptions'!$AA$34</x:f>
        <x:v>1012.5847182064788</x:v>
      </x:c>
      <x:c r="U1420" s="10" t="n">
        <x:f>'Assumptions'!$AE$34*'Assumptions'!$D$11*(1+'Assumptions'!$D$13)^(12-1)</x:f>
        <x:v>0</x:v>
      </x:c>
      <x:c r="V1420" s="10" t="n">
        <x:f>0</x:f>
        <x:v>0</x:v>
      </x:c>
      <x:c r="W1420" s="10" t="n">
        <x:f>H1420*('Assumptions'!$P$34+'Assumptions'!$Y$34)</x:f>
        <x:v>255.36969838790384</x:v>
      </x:c>
      <x:c r="X1420" s="10" t="n">
        <x:f>N1420/12*'Assumptions'!$AF$34</x:f>
        <x:v>2109.5514962634975</x:v>
      </x:c>
      <x:c r="Y1420" s="10" t="n">
        <x:f>P1420/12</x:f>
        <x:v>40.35289795265096</x:v>
      </x:c>
      <x:c r="Z1420" s="10" t="n">
        <x:f>0</x:f>
        <x:v>0</x:v>
      </x:c>
      <x:c r="AA1420" s="10" t="n">
        <x:f>Z1420*'Assumptions'!$AC$34*'Assumptions'!$D$11*(1+'Assumptions'!$D$13)^(12-1)</x:f>
        <x:v>0</x:v>
      </x:c>
      <x:c r="AB1420" s="10" t="n">
        <x:f>F1420/1</x:f>
        <x:v>7.2026333054742135</x:v>
      </x:c>
      <x:c r="AC1420" s="10" t="n">
        <x:f>AB1420/'Assumptions'!$AM$34</x:f>
        <x:v>36.01316652737106</x:v>
      </x:c>
      <x:c r="AD1420" s="10" t="n">
        <x:f>IF(AB1420=0,0,T1420/AB1420)</x:f>
        <x:v>140.58534917179313</x:v>
      </x:c>
      <x:c r="AE1420" s="10" t="n">
        <x:f>AA1420*'Assumptions'!$D$21</x:f>
        <x:v>0</x:v>
      </x:c>
    </x:row>
    <x:row r="1421" ht="16" customHeight="1">
      <x:c r="A1421" s="1"/>
      <x:c r="B1421" s="1"/>
      <x:c r="C1421" s="1" t="str">
        <x:v>DOT-006</x:v>
      </x:c>
      <x:c r="D1421" s="10" t="str">
        <x:v>ETV services</x:v>
      </x:c>
      <x:c r="E1421" s="10" t="n">
        <x:v>12</x:v>
      </x:c>
      <x:c r="F1421" s="21" t="n">
        <x:f>F1293*(1+'Assumptions'!$M$35)</x:f>
        <x:v>10.803949958211318</x:v>
      </x:c>
      <x:c r="G1421" s="21" t="n">
        <x:f>H1293*'Assumptions'!$K$35</x:f>
        <x:v>10.185340320246524</x:v>
      </x:c>
      <x:c r="H1421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1421+G1421,NA())</x:f>
        <x:v>20.989290278457844</x:v>
      </x:c>
      <x:c r="I1421" s="22" t="n">
        <x:f>'Assumptions'!$H$35*IF('Assumptions'!$O$35=1,1,'Assumptions'!$D$10)*(1+'Assumptions'!$N$35)^(12-1)</x:f>
        <x:v>932.5307312959893</x:v>
      </x:c>
      <x:c r="J1421" s="10" t="n">
        <x:f>H1421*I1421</x:f>
        <x:v>19573.158212754093</x:v>
      </x:c>
      <x:c r="K1421" s="10" t="n">
        <x:f>J1421*'Assumptions'!$T$35</x:f>
        <x:v>19573.158212754093</x:v>
      </x:c>
      <x:c r="L1421" s="10" t="n">
        <x:f>K1421*'Assumptions'!$U$35</x:f>
        <x:v>587.1947463826227</x:v>
      </x:c>
      <x:c r="M1421" s="10" t="n">
        <x:f>K1421*'Assumptions'!$V$35</x:f>
        <x:v>0</x:v>
      </x:c>
      <x:c r="N1421" s="10" t="n">
        <x:f>K1421-L1421-M1421</x:f>
        <x:v>18985.96346637147</x:v>
      </x:c>
      <x:c r="O1421" s="10" t="n">
        <x:f>H1421*'Assumptions'!$P$35*'Assumptions'!$Q$35*'Assumptions'!$D$11*(1+'Assumptions'!$D$13)^(12-1)</x:f>
        <x:v>10459.471149327126</x:v>
      </x:c>
      <x:c r="P1421" s="10" t="n">
        <x:f>H1421*'Assumptions'!$R$35*'Assumptions'!$D$11*(1+'Assumptions'!$D$13)^(12-1)</x:f>
        <x:v>726.3521631477171</x:v>
      </x:c>
      <x:c r="Q1421" s="10" t="n">
        <x:f>J1421*'Assumptions'!$S$35</x:f>
        <x:v>0</x:v>
      </x:c>
      <x:c r="R1421" s="10" t="n">
        <x:f>H1421*'Assumptions'!$Y$35*'Assumptions'!$Z$35*'Assumptions'!$D$11*(1+'Assumptions'!$D$13)^(12-1)</x:f>
        <x:v>217.90564894431515</x:v>
      </x:c>
      <x:c r="S1421" s="10" t="n">
        <x:f>IF(I1421=0,0,J1421*'Assumptions'!$W$35+H1421*'Assumptions'!$X$35)</x:f>
        <x:v>573.918375253406</x:v>
      </x:c>
      <x:c r="T1421" s="10" t="n">
        <x:f>N1421*'Assumptions'!$AA$35</x:f>
        <x:v>759.4385386548589</x:v>
      </x:c>
      <x:c r="U1421" s="10" t="n">
        <x:f>'Assumptions'!$AE$35*'Assumptions'!$D$11*(1+'Assumptions'!$D$13)^(12-1)</x:f>
        <x:v>0</x:v>
      </x:c>
      <x:c r="V1421" s="10" t="n">
        <x:f>0</x:f>
        <x:v>0</x:v>
      </x:c>
      <x:c r="W1421" s="10" t="n">
        <x:f>H1421*('Assumptions'!$P$35+'Assumptions'!$Y$35)</x:f>
        <x:v>173.1616447972772</x:v>
      </x:c>
      <x:c r="X1421" s="10" t="n">
        <x:f>N1421/12*'Assumptions'!$AF$35</x:f>
        <x:v>1582.1636221976225</x:v>
      </x:c>
      <x:c r="Y1421" s="10" t="n">
        <x:f>P1421/12</x:f>
        <x:v>60.52934692897642</x:v>
      </x:c>
      <x:c r="Z1421" s="10" t="n">
        <x:f>0</x:f>
        <x:v>0</x:v>
      </x:c>
      <x:c r="AA1421" s="10" t="n">
        <x:f>Z1421*'Assumptions'!$AC$35*'Assumptions'!$D$11*(1+'Assumptions'!$D$13)^(12-1)</x:f>
        <x:v>0</x:v>
      </x:c>
      <x:c r="AB1421" s="10" t="n">
        <x:f>F1421/1</x:f>
        <x:v>10.803949958211318</x:v>
      </x:c>
      <x:c r="AC1421" s="10" t="n">
        <x:f>AB1421/'Assumptions'!$AM$35</x:f>
        <x:v>54.01974979105658</x:v>
      </x:c>
      <x:c r="AD1421" s="10" t="n">
        <x:f>IF(AB1421=0,0,T1421/AB1421)</x:f>
        <x:v>70.29267458589656</x:v>
      </x:c>
      <x:c r="AE1421" s="10" t="n">
        <x:f>AA1421*'Assumptions'!$D$21</x:f>
        <x:v>0</x:v>
      </x:c>
    </x:row>
    <x:row r="1422" ht="16" customHeight="1">
      <x:c r="A1422" s="1"/>
      <x:c r="B1422" s="1"/>
      <x:c r="C1422" s="1" t="str">
        <x:v>DOT-007</x:v>
      </x:c>
      <x:c r="D1422" s="10" t="str">
        <x:v>BPA professional services</x:v>
      </x:c>
      <x:c r="E1422" s="10" t="n">
        <x:v>12</x:v>
      </x:c>
      <x:c r="F1422" s="21" t="n">
        <x:f>F1294*(1+'Assumptions'!$M$36)</x:f>
        <x:v>43.21579983284527</x:v>
      </x:c>
      <x:c r="G1422" s="21" t="n">
        <x:f>H1294*'Assumptions'!$K$36</x:f>
        <x:v>40.7355019059861</x:v>
      </x:c>
      <x:c r="H1422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1422+G1422,NA())</x:f>
        <x:v>83.95130173883138</x:v>
      </x:c>
      <x:c r="I1422" s="22" t="n">
        <x:f>'Assumptions'!$H$36*IF('Assumptions'!$O$36=1,1,'Assumptions'!$D$10)*(1+'Assumptions'!$N$36)^(12-1)</x:f>
        <x:v>250</x:v>
      </x:c>
      <x:c r="J1422" s="10" t="n">
        <x:f>H1422*I1422</x:f>
        <x:v>20987.825434707844</x:v>
      </x:c>
      <x:c r="K1422" s="10" t="n">
        <x:f>J1422*'Assumptions'!$T$36</x:f>
        <x:v>20987.825434707844</x:v>
      </x:c>
      <x:c r="L1422" s="10" t="n">
        <x:f>K1422*'Assumptions'!$U$36</x:f>
        <x:v>629.6347630412353</x:v>
      </x:c>
      <x:c r="M1422" s="10" t="n">
        <x:f>K1422*'Assumptions'!$V$36</x:f>
        <x:v>0</x:v>
      </x:c>
      <x:c r="N1422" s="10" t="n">
        <x:f>K1422-L1422-M1422</x:f>
        <x:v>20358.19067166661</x:v>
      </x:c>
      <x:c r="O1422" s="10" t="n">
        <x:f>H1422*'Assumptions'!$P$36*'Assumptions'!$Q$36*'Assumptions'!$D$11*(1+'Assumptions'!$D$13)^(12-1)</x:f>
        <x:v>5808.087603207756</x:v>
      </x:c>
      <x:c r="P1422" s="10" t="n">
        <x:f>H1422*'Assumptions'!$R$36*'Assumptions'!$D$11*(1+'Assumptions'!$D$13)^(12-1)</x:f>
        <x:v>1162.0823535829845</x:v>
      </x:c>
      <x:c r="Q1422" s="10" t="n">
        <x:f>J1422*'Assumptions'!$S$36</x:f>
        <x:v>0</x:v>
      </x:c>
      <x:c r="R1422" s="10" t="n">
        <x:f>H1422*'Assumptions'!$Y$36*'Assumptions'!$Z$36*'Assumptions'!$D$11*(1+'Assumptions'!$D$13)^(12-1)</x:f>
        <x:v>871.5617651872385</x:v>
      </x:c>
      <x:c r="S1422" s="10" t="n">
        <x:f>IF(I1422=0,0,J1422*'Assumptions'!$W$36+H1422*'Assumptions'!$X$36)</x:f>
        <x:v>633.8323281281769</x:v>
      </x:c>
      <x:c r="T1422" s="10" t="n">
        <x:f>N1422*'Assumptions'!$AA$36</x:f>
        <x:v>814.3276268666643</x:v>
      </x:c>
      <x:c r="U1422" s="10" t="n">
        <x:f>'Assumptions'!$AE$36*'Assumptions'!$D$11*(1+'Assumptions'!$D$13)^(12-1)</x:f>
        <x:v>0</x:v>
      </x:c>
      <x:c r="V1422" s="10" t="n">
        <x:f>0</x:f>
        <x:v>0</x:v>
      </x:c>
      <x:c r="W1422" s="10" t="n">
        <x:f>H1422*('Assumptions'!$P$36+'Assumptions'!$Y$36)</x:f>
        <x:v>90.91925978315437</x:v>
      </x:c>
      <x:c r="X1422" s="10" t="n">
        <x:f>N1422/12*'Assumptions'!$AF$36</x:f>
        <x:v>1696.5158893055507</x:v>
      </x:c>
      <x:c r="Y1422" s="10" t="n">
        <x:f>P1422/12</x:f>
        <x:v>96.84019613191538</x:v>
      </x:c>
      <x:c r="Z1422" s="10" t="n">
        <x:f>0</x:f>
        <x:v>0</x:v>
      </x:c>
      <x:c r="AA1422" s="10" t="n">
        <x:f>Z1422*'Assumptions'!$AC$36*'Assumptions'!$D$11*(1+'Assumptions'!$D$13)^(12-1)</x:f>
        <x:v>0</x:v>
      </x:c>
      <x:c r="AB1422" s="10" t="n">
        <x:f>F1422/1</x:f>
        <x:v>43.21579983284527</x:v>
      </x:c>
      <x:c r="AC1422" s="10" t="n">
        <x:f>AB1422/'Assumptions'!$AM$36</x:f>
        <x:v>216.07899916422633</x:v>
      </x:c>
      <x:c r="AD1422" s="10" t="n">
        <x:f>IF(AB1422=0,0,T1422/AB1422)</x:f>
        <x:v>18.843284863786128</x:v>
      </x:c>
      <x:c r="AE1422" s="10" t="n">
        <x:f>AA1422*'Assumptions'!$D$21</x:f>
        <x:v>0</x:v>
      </x:c>
    </x:row>
    <x:row r="1423" ht="16" customHeight="1">
      <x:c r="A1423" s="1"/>
      <x:c r="B1423" s="1"/>
      <x:c r="C1423" s="1" t="str">
        <x:v>DOT-008</x:v>
      </x:c>
      <x:c r="D1423" s="10" t="str">
        <x:v>BPA professional services</x:v>
      </x:c>
      <x:c r="E1423" s="10" t="n">
        <x:v>12</x:v>
      </x:c>
      <x:c r="F1423" s="21" t="n">
        <x:f>F1295*(1+'Assumptions'!$M$37)</x:f>
        <x:v>16.205924937316972</x:v>
      </x:c>
      <x:c r="G1423" s="21" t="n">
        <x:f>H1295*'Assumptions'!$K$37</x:f>
        <x:v>15.275813214744785</x:v>
      </x:c>
      <x:c r="H1423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1423+G1423,NA())</x:f>
        <x:v>31.48173815206176</x:v>
      </x:c>
      <x:c r="I1423" s="22" t="n">
        <x:f>'Assumptions'!$H$37*IF('Assumptions'!$O$37=1,1,'Assumptions'!$D$10)*(1+'Assumptions'!$N$37)^(12-1)</x:f>
        <x:v>600</x:v>
      </x:c>
      <x:c r="J1423" s="10" t="n">
        <x:f>H1423*I1423</x:f>
        <x:v>18889.042891237055</x:v>
      </x:c>
      <x:c r="K1423" s="10" t="n">
        <x:f>J1423*'Assumptions'!$T$37</x:f>
        <x:v>18889.042891237055</x:v>
      </x:c>
      <x:c r="L1423" s="10" t="n">
        <x:f>K1423*'Assumptions'!$U$37</x:f>
        <x:v>566.6712867371116</x:v>
      </x:c>
      <x:c r="M1423" s="10" t="n">
        <x:f>K1423*'Assumptions'!$V$37</x:f>
        <x:v>0</x:v>
      </x:c>
      <x:c r="N1423" s="10" t="n">
        <x:f>K1423-L1423-M1423</x:f>
        <x:v>18322.371604499946</x:v>
      </x:c>
      <x:c r="O1423" s="10" t="n">
        <x:f>H1423*'Assumptions'!$P$37*'Assumptions'!$Q$37*'Assumptions'!$D$11*(1+'Assumptions'!$D$13)^(12-1)</x:f>
        <x:v>10458.741182246858</x:v>
      </x:c>
      <x:c r="P1423" s="10" t="n">
        <x:f>H1423*'Assumptions'!$R$37*'Assumptions'!$D$11*(1+'Assumptions'!$D$13)^(12-1)</x:f>
        <x:v>435.78088259361914</x:v>
      </x:c>
      <x:c r="Q1423" s="10" t="n">
        <x:f>J1423*'Assumptions'!$S$37</x:f>
        <x:v>0</x:v>
      </x:c>
      <x:c r="R1423" s="10" t="n">
        <x:f>H1423*'Assumptions'!$Y$37*'Assumptions'!$Z$37*'Assumptions'!$D$11*(1+'Assumptions'!$D$13)^(12-1)</x:f>
        <x:v>326.8356619452143</x:v>
      </x:c>
      <x:c r="S1423" s="10" t="n">
        <x:f>IF(I1423=0,0,J1423*'Assumptions'!$W$37+H1423*'Assumptions'!$X$37)</x:f>
        <x:v>557.2267652914932</x:v>
      </x:c>
      <x:c r="T1423" s="10" t="n">
        <x:f>N1423*'Assumptions'!$AA$37</x:f>
        <x:v>732.8948641799979</x:v>
      </x:c>
      <x:c r="U1423" s="10" t="n">
        <x:f>'Assumptions'!$AE$37*'Assumptions'!$D$11*(1+'Assumptions'!$D$13)^(12-1)</x:f>
        <x:v>0</x:v>
      </x:c>
      <x:c r="V1423" s="10" t="n">
        <x:f>0</x:f>
        <x:v>0</x:v>
      </x:c>
      <x:c r="W1423" s="10" t="n">
        <x:f>H1423*('Assumptions'!$P$37+'Assumptions'!$Y$37)</x:f>
        <x:v>133.79738714626248</x:v>
      </x:c>
      <x:c r="X1423" s="10" t="n">
        <x:f>N1423/12*'Assumptions'!$AF$37</x:f>
        <x:v>1526.8643003749955</x:v>
      </x:c>
      <x:c r="Y1423" s="10" t="n">
        <x:f>P1423/12</x:f>
        <x:v>36.31507354946826</x:v>
      </x:c>
      <x:c r="Z1423" s="10" t="n">
        <x:f>0</x:f>
        <x:v>0</x:v>
      </x:c>
      <x:c r="AA1423" s="10" t="n">
        <x:f>Z1423*'Assumptions'!$AC$37*'Assumptions'!$D$11*(1+'Assumptions'!$D$13)^(12-1)</x:f>
        <x:v>0</x:v>
      </x:c>
      <x:c r="AB1423" s="10" t="n">
        <x:f>F1423/1</x:f>
        <x:v>16.205924937316972</x:v>
      </x:c>
      <x:c r="AC1423" s="10" t="n">
        <x:f>AB1423/'Assumptions'!$AM$37</x:f>
        <x:v>81.02962468658485</x:v>
      </x:c>
      <x:c r="AD1423" s="10" t="n">
        <x:f>IF(AB1423=0,0,T1423/AB1423)</x:f>
        <x:v>45.22388367308672</x:v>
      </x:c>
      <x:c r="AE1423" s="10" t="n">
        <x:f>AA1423*'Assumptions'!$D$21</x:f>
        <x:v>0</x:v>
      </x:c>
    </x:row>
    <x:row r="1424" ht="16" customHeight="1">
      <x:c r="A1424" s="1"/>
      <x:c r="B1424" s="1"/>
      <x:c r="C1424" s="1" t="str">
        <x:v>DOT-009</x:v>
      </x:c>
      <x:c r="D1424" s="10" t="str">
        <x:v>BPA professional services</x:v>
      </x:c>
      <x:c r="E1424" s="10" t="n">
        <x:v>12</x:v>
      </x:c>
      <x:c r="F1424" s="21" t="n">
        <x:f>F1296*(1+'Assumptions'!$M$38)</x:f>
        <x:v>10.803949958211318</x:v>
      </x:c>
      <x:c r="G1424" s="21" t="n">
        <x:f>H1296*'Assumptions'!$K$38</x:f>
        <x:v>10.183875476496524</x:v>
      </x:c>
      <x:c r="H1424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1424+G1424,NA())</x:f>
        <x:v>20.987825434707844</x:v>
      </x:c>
      <x:c r="I1424" s="22" t="n">
        <x:f>'Assumptions'!$H$38*IF('Assumptions'!$O$38=1,1,'Assumptions'!$D$10)*(1+'Assumptions'!$N$38)^(12-1)</x:f>
        <x:v>900</x:v>
      </x:c>
      <x:c r="J1424" s="10" t="n">
        <x:f>H1424*I1424</x:f>
        <x:v>18889.04289123706</x:v>
      </x:c>
      <x:c r="K1424" s="10" t="n">
        <x:f>J1424*'Assumptions'!$T$38</x:f>
        <x:v>18889.04289123706</x:v>
      </x:c>
      <x:c r="L1424" s="10" t="n">
        <x:f>K1424*'Assumptions'!$U$38</x:f>
        <x:v>566.6712867371117</x:v>
      </x:c>
      <x:c r="M1424" s="10" t="n">
        <x:f>K1424*'Assumptions'!$V$38</x:f>
        <x:v>0</x:v>
      </x:c>
      <x:c r="N1424" s="10" t="n">
        <x:f>K1424-L1424-M1424</x:f>
        <x:v>18322.371604499946</x:v>
      </x:c>
      <x:c r="O1424" s="10" t="n">
        <x:f>H1424*'Assumptions'!$P$38*'Assumptions'!$Q$38*'Assumptions'!$D$11*(1+'Assumptions'!$D$13)^(12-1)</x:f>
        <x:v>10458.741182246862</x:v>
      </x:c>
      <x:c r="P1424" s="10" t="n">
        <x:f>H1424*'Assumptions'!$R$38*'Assumptions'!$D$11*(1+'Assumptions'!$D$13)^(12-1)</x:f>
        <x:v>290.52058839574613</x:v>
      </x:c>
      <x:c r="Q1424" s="10" t="n">
        <x:f>J1424*'Assumptions'!$S$38</x:f>
        <x:v>0</x:v>
      </x:c>
      <x:c r="R1424" s="10" t="n">
        <x:f>H1424*'Assumptions'!$Y$38*'Assumptions'!$Z$38*'Assumptions'!$D$11*(1+'Assumptions'!$D$13)^(12-1)</x:f>
        <x:v>217.89044129680963</x:v>
      </x:c>
      <x:c r="S1424" s="10" t="n">
        <x:f>IF(I1424=0,0,J1424*'Assumptions'!$W$38+H1424*'Assumptions'!$X$38)</x:f>
        <x:v>554.0785914762871</x:v>
      </x:c>
      <x:c r="T1424" s="10" t="n">
        <x:f>N1424*'Assumptions'!$AA$38</x:f>
        <x:v>732.8948641799979</x:v>
      </x:c>
      <x:c r="U1424" s="10" t="n">
        <x:f>'Assumptions'!$AE$38*'Assumptions'!$D$11*(1+'Assumptions'!$D$13)^(12-1)</x:f>
        <x:v>0</x:v>
      </x:c>
      <x:c r="V1424" s="10" t="n">
        <x:f>0</x:f>
        <x:v>0</x:v>
      </x:c>
      <x:c r="W1424" s="10" t="n">
        <x:f>H1424*('Assumptions'!$P$38+'Assumptions'!$Y$38)</x:f>
        <x:v>131.17390896692402</x:v>
      </x:c>
      <x:c r="X1424" s="10" t="n">
        <x:f>N1424/12*'Assumptions'!$AF$38</x:f>
        <x:v>1526.8643003749955</x:v>
      </x:c>
      <x:c r="Y1424" s="10" t="n">
        <x:f>P1424/12</x:f>
        <x:v>24.210049032978844</x:v>
      </x:c>
      <x:c r="Z1424" s="10" t="n">
        <x:f>0</x:f>
        <x:v>0</x:v>
      </x:c>
      <x:c r="AA1424" s="10" t="n">
        <x:f>Z1424*'Assumptions'!$AC$38*'Assumptions'!$D$11*(1+'Assumptions'!$D$13)^(12-1)</x:f>
        <x:v>0</x:v>
      </x:c>
      <x:c r="AB1424" s="10" t="n">
        <x:f>F1424/1</x:f>
        <x:v>10.803949958211318</x:v>
      </x:c>
      <x:c r="AC1424" s="10" t="n">
        <x:f>AB1424/'Assumptions'!$AM$38</x:f>
        <x:v>54.01974979105658</x:v>
      </x:c>
      <x:c r="AD1424" s="10" t="n">
        <x:f>IF(AB1424=0,0,T1424/AB1424)</x:f>
        <x:v>67.83582550963006</x:v>
      </x:c>
      <x:c r="AE1424" s="10" t="n">
        <x:f>AA1424*'Assumptions'!$D$21</x:f>
        <x:v>0</x:v>
      </x:c>
    </x:row>
    <x:row r="1425" ht="16" customHeight="1">
      <x:c r="A1425" s="1"/>
      <x:c r="B1425" s="1"/>
      <x:c r="C1425" s="1" t="str">
        <x:v>DOT-010</x:v>
      </x:c>
      <x:c r="D1425" s="10" t="str">
        <x:v>BPA professional services</x:v>
      </x:c>
      <x:c r="E1425" s="10" t="n">
        <x:v>12</x:v>
      </x:c>
      <x:c r="F1425" s="21" t="n">
        <x:f>F1297*(1+'Assumptions'!$M$39)</x:f>
        <x:v>10.803949958211318</x:v>
      </x:c>
      <x:c r="G1425" s="21" t="n">
        <x:f>H1297*'Assumptions'!$K$39</x:f>
        <x:v>10.183875476496524</x:v>
      </x:c>
      <x:c r="H1425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1425+G1425,NA())</x:f>
        <x:v>20.987825434707844</x:v>
      </x:c>
      <x:c r="I1425" s="22" t="n">
        <x:f>'Assumptions'!$H$39*IF('Assumptions'!$O$39=1,1,'Assumptions'!$D$10)*(1+'Assumptions'!$N$39)^(12-1)</x:f>
        <x:v>1800</x:v>
      </x:c>
      <x:c r="J1425" s="10" t="n">
        <x:f>H1425*I1425</x:f>
        <x:v>37778.08578247412</x:v>
      </x:c>
      <x:c r="K1425" s="10" t="n">
        <x:f>J1425*'Assumptions'!$T$39</x:f>
        <x:v>37778.08578247412</x:v>
      </x:c>
      <x:c r="L1425" s="10" t="n">
        <x:f>K1425*'Assumptions'!$U$39</x:f>
        <x:v>1133.3425734742234</x:v>
      </x:c>
      <x:c r="M1425" s="10" t="n">
        <x:f>K1425*'Assumptions'!$V$39</x:f>
        <x:v>0</x:v>
      </x:c>
      <x:c r="N1425" s="10" t="n">
        <x:f>K1425-L1425-M1425</x:f>
        <x:v>36644.74320899989</x:v>
      </x:c>
      <x:c r="O1425" s="10" t="n">
        <x:f>H1425*'Assumptions'!$P$39*'Assumptions'!$Q$39*'Assumptions'!$D$11*(1+'Assumptions'!$D$13)^(12-1)</x:f>
        <x:v>20917.482364493724</x:v>
      </x:c>
      <x:c r="P1425" s="10" t="n">
        <x:f>H1425*'Assumptions'!$R$39*'Assumptions'!$D$11*(1+'Assumptions'!$D$13)^(12-1)</x:f>
        <x:v>290.52058839574613</x:v>
      </x:c>
      <x:c r="Q1425" s="10" t="n">
        <x:f>J1425*'Assumptions'!$S$39</x:f>
        <x:v>0</x:v>
      </x:c>
      <x:c r="R1425" s="10" t="n">
        <x:f>H1425*'Assumptions'!$Y$39*'Assumptions'!$Z$39*'Assumptions'!$D$11*(1+'Assumptions'!$D$13)^(12-1)</x:f>
        <x:v>217.89044129680963</x:v>
      </x:c>
      <x:c r="S1425" s="10" t="n">
        <x:f>IF(I1425=0,0,J1425*'Assumptions'!$W$39+H1425*'Assumptions'!$X$39)</x:f>
        <x:v>1101.8608353221618</x:v>
      </x:c>
      <x:c r="T1425" s="10" t="n">
        <x:f>N1425*'Assumptions'!$AA$39</x:f>
        <x:v>1465.7897283599957</x:v>
      </x:c>
      <x:c r="U1425" s="10" t="n">
        <x:f>'Assumptions'!$AE$39*'Assumptions'!$D$11*(1+'Assumptions'!$D$13)^(12-1)</x:f>
        <x:v>0</x:v>
      </x:c>
      <x:c r="V1425" s="10" t="n">
        <x:f>0</x:f>
        <x:v>0</x:v>
      </x:c>
      <x:c r="W1425" s="10" t="n">
        <x:f>H1425*('Assumptions'!$P$39+'Assumptions'!$Y$39)</x:f>
        <x:v>257.1008615751711</x:v>
      </x:c>
      <x:c r="X1425" s="10" t="n">
        <x:f>N1425/12*'Assumptions'!$AF$39</x:f>
        <x:v>3053.728600749991</x:v>
      </x:c>
      <x:c r="Y1425" s="10" t="n">
        <x:f>P1425/12</x:f>
        <x:v>24.210049032978844</x:v>
      </x:c>
      <x:c r="Z1425" s="10" t="n">
        <x:f>0</x:f>
        <x:v>0</x:v>
      </x:c>
      <x:c r="AA1425" s="10" t="n">
        <x:f>Z1425*'Assumptions'!$AC$39*'Assumptions'!$D$11*(1+'Assumptions'!$D$13)^(12-1)</x:f>
        <x:v>0</x:v>
      </x:c>
      <x:c r="AB1425" s="10" t="n">
        <x:f>F1425/1</x:f>
        <x:v>10.803949958211318</x:v>
      </x:c>
      <x:c r="AC1425" s="10" t="n">
        <x:f>AB1425/'Assumptions'!$AM$39</x:f>
        <x:v>54.01974979105658</x:v>
      </x:c>
      <x:c r="AD1425" s="10" t="n">
        <x:f>IF(AB1425=0,0,T1425/AB1425)</x:f>
        <x:v>135.6716510192601</x:v>
      </x:c>
      <x:c r="AE1425" s="10" t="n">
        <x:f>AA1425*'Assumptions'!$D$21</x:f>
        <x:v>0</x:v>
      </x:c>
    </x:row>
    <x:row r="1426" ht="16" customHeight="1">
      <x:c r="A1426" s="1"/>
      <x:c r="B1426" s="1"/>
      <x:c r="C1426" s="1" t="str">
        <x:v>DOT-011</x:v>
      </x:c>
      <x:c r="D1426" s="10" t="str">
        <x:v>BPA professional services</x:v>
      </x:c>
      <x:c r="E1426" s="10" t="n">
        <x:v>12</x:v>
      </x:c>
      <x:c r="F1426" s="21" t="n">
        <x:f>F1298*(1+'Assumptions'!$M$40)</x:f>
        <x:v>32.411849874633944</x:v>
      </x:c>
      <x:c r="G1426" s="21" t="n">
        <x:f>H1298*'Assumptions'!$K$40</x:f>
        <x:v>30.55162642948957</x:v>
      </x:c>
      <x:c r="H1426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1426+G1426,NA())</x:f>
        <x:v>62.96347630412352</x:v>
      </x:c>
      <x:c r="I1426" s="22" t="n">
        <x:f>'Assumptions'!$H$40*IF('Assumptions'!$O$40=1,1,'Assumptions'!$D$10)*(1+'Assumptions'!$N$40)^(12-1)</x:f>
        <x:v>600</x:v>
      </x:c>
      <x:c r="J1426" s="10" t="n">
        <x:f>H1426*I1426</x:f>
        <x:v>37778.08578247411</x:v>
      </x:c>
      <x:c r="K1426" s="10" t="n">
        <x:f>J1426*'Assumptions'!$T$40</x:f>
        <x:v>37778.08578247411</x:v>
      </x:c>
      <x:c r="L1426" s="10" t="n">
        <x:f>K1426*'Assumptions'!$U$40</x:f>
        <x:v>1133.3425734742232</x:v>
      </x:c>
      <x:c r="M1426" s="10" t="n">
        <x:f>K1426*'Assumptions'!$V$40</x:f>
        <x:v>0</x:v>
      </x:c>
      <x:c r="N1426" s="10" t="n">
        <x:f>K1426-L1426-M1426</x:f>
        <x:v>36644.74320899989</x:v>
      </x:c>
      <x:c r="O1426" s="10" t="n">
        <x:f>H1426*'Assumptions'!$P$40*'Assumptions'!$Q$40*'Assumptions'!$D$11*(1+'Assumptions'!$D$13)^(12-1)</x:f>
        <x:v>20917.482364493717</x:v>
      </x:c>
      <x:c r="P1426" s="10" t="n">
        <x:f>H1426*'Assumptions'!$R$40*'Assumptions'!$D$11*(1+'Assumptions'!$D$13)^(12-1)</x:f>
        <x:v>871.5617651872383</x:v>
      </x:c>
      <x:c r="Q1426" s="10" t="n">
        <x:f>J1426*'Assumptions'!$S$40</x:f>
        <x:v>0</x:v>
      </x:c>
      <x:c r="R1426" s="10" t="n">
        <x:f>H1426*'Assumptions'!$Y$40*'Assumptions'!$Z$40*'Assumptions'!$D$11*(1+'Assumptions'!$D$13)^(12-1)</x:f>
        <x:v>653.6713238904287</x:v>
      </x:c>
      <x:c r="S1426" s="10" t="n">
        <x:f>IF(I1426=0,0,J1426*'Assumptions'!$W$40+H1426*'Assumptions'!$X$40)</x:f>
        <x:v>1114.4535305829863</x:v>
      </x:c>
      <x:c r="T1426" s="10" t="n">
        <x:f>N1426*'Assumptions'!$AA$40</x:f>
        <x:v>1465.7897283599957</x:v>
      </x:c>
      <x:c r="U1426" s="10" t="n">
        <x:f>'Assumptions'!$AE$40*'Assumptions'!$D$11*(1+'Assumptions'!$D$13)^(12-1)</x:f>
        <x:v>0</x:v>
      </x:c>
      <x:c r="V1426" s="10" t="n">
        <x:f>0</x:f>
        <x:v>0</x:v>
      </x:c>
      <x:c r="W1426" s="10" t="n">
        <x:f>H1426*('Assumptions'!$P$40+'Assumptions'!$Y$40)</x:f>
        <x:v>267.59477429252496</x:v>
      </x:c>
      <x:c r="X1426" s="10" t="n">
        <x:f>N1426/12*'Assumptions'!$AF$40</x:f>
        <x:v>3053.728600749991</x:v>
      </x:c>
      <x:c r="Y1426" s="10" t="n">
        <x:f>P1426/12</x:f>
        <x:v>72.63014709893652</x:v>
      </x:c>
      <x:c r="Z1426" s="10" t="n">
        <x:f>0</x:f>
        <x:v>0</x:v>
      </x:c>
      <x:c r="AA1426" s="10" t="n">
        <x:f>Z1426*'Assumptions'!$AC$40*'Assumptions'!$D$11*(1+'Assumptions'!$D$13)^(12-1)</x:f>
        <x:v>0</x:v>
      </x:c>
      <x:c r="AB1426" s="10" t="n">
        <x:f>F1426/12</x:f>
        <x:v>2.7009874895528285</x:v>
      </x:c>
      <x:c r="AC1426" s="10" t="n">
        <x:f>AB1426/'Assumptions'!$AM$40</x:f>
        <x:v>13.504937447764142</x:v>
      </x:c>
      <x:c r="AD1426" s="10" t="n">
        <x:f>IF(AB1426=0,0,T1426/AB1426)</x:f>
        <x:v>542.6866040770406</x:v>
      </x:c>
      <x:c r="AE1426" s="10" t="n">
        <x:f>AA1426*'Assumptions'!$D$21</x:f>
        <x:v>0</x:v>
      </x:c>
    </x:row>
    <x:row r="1427" ht="16" customHeight="1">
      <x:c r="A1427" s="1"/>
      <x:c r="B1427" s="1"/>
      <x:c r="C1427" s="1" t="str">
        <x:v>DOT-012</x:v>
      </x:c>
      <x:c r="D1427" s="10" t="str">
        <x:v>BPA professional services</x:v>
      </x:c>
      <x:c r="E1427" s="10" t="n">
        <x:v>12</x:v>
      </x:c>
      <x:c r="F1427" s="21" t="n">
        <x:f>F1299*(1+'Assumptions'!$M$41)</x:f>
        <x:v>21.607899916422635</x:v>
      </x:c>
      <x:c r="G1427" s="21" t="n">
        <x:f>H1299*'Assumptions'!$K$41</x:f>
        <x:v>20.36775095299305</x:v>
      </x:c>
      <x:c r="H1427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1427+G1427,NA())</x:f>
        <x:v>41.97565086941569</x:v>
      </x:c>
      <x:c r="I1427" s="22" t="n">
        <x:f>'Assumptions'!$H$41*IF('Assumptions'!$O$41=1,1,'Assumptions'!$D$10)*(1+'Assumptions'!$N$41)^(12-1)</x:f>
        <x:v>1080</x:v>
      </x:c>
      <x:c r="J1427" s="10" t="n">
        <x:f>H1427*I1427</x:f>
        <x:v>45333.70293896894</x:v>
      </x:c>
      <x:c r="K1427" s="10" t="n">
        <x:f>J1427*'Assumptions'!$T$41</x:f>
        <x:v>45333.70293896894</x:v>
      </x:c>
      <x:c r="L1427" s="10" t="n">
        <x:f>K1427*'Assumptions'!$U$41</x:f>
        <x:v>1360.0110881690682</x:v>
      </x:c>
      <x:c r="M1427" s="10" t="n">
        <x:f>K1427*'Assumptions'!$V$41</x:f>
        <x:v>0</x:v>
      </x:c>
      <x:c r="N1427" s="10" t="n">
        <x:f>K1427-L1427-M1427</x:f>
        <x:v>43973.69185079987</x:v>
      </x:c>
      <x:c r="O1427" s="10" t="n">
        <x:f>H1427*'Assumptions'!$P$41*'Assumptions'!$Q$41*'Assumptions'!$D$11*(1+'Assumptions'!$D$13)^(12-1)</x:f>
        <x:v>27889.976485991632</x:v>
      </x:c>
      <x:c r="P1427" s="10" t="n">
        <x:f>H1427*'Assumptions'!$R$41*'Assumptions'!$D$11*(1+'Assumptions'!$D$13)^(12-1)</x:f>
        <x:v>581.0411767914923</x:v>
      </x:c>
      <x:c r="Q1427" s="10" t="n">
        <x:f>J1427*'Assumptions'!$S$41</x:f>
        <x:v>0</x:v>
      </x:c>
      <x:c r="R1427" s="10" t="n">
        <x:f>H1427*'Assumptions'!$Y$41*'Assumptions'!$Z$41*'Assumptions'!$D$11*(1+'Assumptions'!$D$13)^(12-1)</x:f>
        <x:v>435.78088259361925</x:v>
      </x:c>
      <x:c r="S1427" s="10" t="n">
        <x:f>IF(I1427=0,0,J1427*'Assumptions'!$W$41+H1427*'Assumptions'!$X$41)</x:f>
        <x:v>1327.270080490924</x:v>
      </x:c>
      <x:c r="T1427" s="10" t="n">
        <x:f>N1427*'Assumptions'!$AA$41</x:f>
        <x:v>1758.947674031995</x:v>
      </x:c>
      <x:c r="U1427" s="10" t="n">
        <x:f>'Assumptions'!$AE$41*'Assumptions'!$D$11*(1+'Assumptions'!$D$13)^(12-1)</x:f>
        <x:v>0</x:v>
      </x:c>
      <x:c r="V1427" s="10" t="n">
        <x:f>0</x:f>
        <x:v>0</x:v>
      </x:c>
      <x:c r="W1427" s="10" t="n">
        <x:f>H1427*('Assumptions'!$P$41+'Assumptions'!$Y$41)</x:f>
        <x:v>346.2991196726794</x:v>
      </x:c>
      <x:c r="X1427" s="10" t="n">
        <x:f>N1427/12*'Assumptions'!$AF$41</x:f>
        <x:v>3664.4743208999894</x:v>
      </x:c>
      <x:c r="Y1427" s="10" t="n">
        <x:f>P1427/12</x:f>
        <x:v>48.42009806595769</x:v>
      </x:c>
      <x:c r="Z1427" s="10" t="n">
        <x:f>0</x:f>
        <x:v>0</x:v>
      </x:c>
      <x:c r="AA1427" s="10" t="n">
        <x:f>Z1427*'Assumptions'!$AC$41*'Assumptions'!$D$11*(1+'Assumptions'!$D$13)^(12-1)</x:f>
        <x:v>0</x:v>
      </x:c>
      <x:c r="AB1427" s="10" t="n">
        <x:f>F1427/12</x:f>
        <x:v>1.800658326368553</x:v>
      </x:c>
      <x:c r="AC1427" s="10" t="n">
        <x:f>AB1427/'Assumptions'!$AM$41</x:f>
        <x:v>9.003291631842764</x:v>
      </x:c>
      <x:c r="AD1427" s="10" t="n">
        <x:f>IF(AB1427=0,0,T1427/AB1427)</x:f>
        <x:v>976.8358873386728</x:v>
      </x:c>
      <x:c r="AE1427" s="10" t="n">
        <x:f>AA1427*'Assumptions'!$D$21</x:f>
        <x:v>0</x:v>
      </x:c>
    </x:row>
    <x:row r="1428" ht="16" customHeight="1">
      <x:c r="A1428" s="1"/>
      <x:c r="B1428" s="1"/>
      <x:c r="C1428" s="1" t="str">
        <x:v>DOT-013</x:v>
      </x:c>
      <x:c r="D1428" s="10" t="str">
        <x:v>BPA professional services</x:v>
      </x:c>
      <x:c r="E1428" s="10" t="n">
        <x:v>12</x:v>
      </x:c>
      <x:c r="F1428" s="21" t="n">
        <x:f>F1300*(1+'Assumptions'!$M$42)</x:f>
        <x:v>16.205924937316972</x:v>
      </x:c>
      <x:c r="G1428" s="21" t="n">
        <x:f>H1300*'Assumptions'!$K$42</x:f>
        <x:v>15.275813214744785</x:v>
      </x:c>
      <x:c r="H1428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1428+G1428,NA())</x:f>
        <x:v>31.48173815206176</x:v>
      </x:c>
      <x:c r="I1428" s="22" t="n">
        <x:f>'Assumptions'!$H$42*IF('Assumptions'!$O$42=1,1,'Assumptions'!$D$10)*(1+'Assumptions'!$N$42)^(12-1)</x:f>
        <x:v>2160</x:v>
      </x:c>
      <x:c r="J1428" s="10" t="n">
        <x:f>H1428*I1428</x:f>
        <x:v>68000.5544084534</x:v>
      </x:c>
      <x:c r="K1428" s="10" t="n">
        <x:f>J1428*'Assumptions'!$T$42</x:f>
        <x:v>68000.5544084534</x:v>
      </x:c>
      <x:c r="L1428" s="10" t="n">
        <x:f>K1428*'Assumptions'!$U$42</x:f>
        <x:v>2040.016632253602</x:v>
      </x:c>
      <x:c r="M1428" s="10" t="n">
        <x:f>K1428*'Assumptions'!$V$42</x:f>
        <x:v>0</x:v>
      </x:c>
      <x:c r="N1428" s="10" t="n">
        <x:f>K1428-L1428-M1428</x:f>
        <x:v>65960.53777619981</x:v>
      </x:c>
      <x:c r="O1428" s="10" t="n">
        <x:f>H1428*'Assumptions'!$P$42*'Assumptions'!$Q$42*'Assumptions'!$D$11*(1+'Assumptions'!$D$13)^(12-1)</x:f>
        <x:v>41834.964728987434</x:v>
      </x:c>
      <x:c r="P1428" s="10" t="n">
        <x:f>H1428*'Assumptions'!$R$42*'Assumptions'!$D$11*(1+'Assumptions'!$D$13)^(12-1)</x:f>
        <x:v>435.78088259361914</x:v>
      </x:c>
      <x:c r="Q1428" s="10" t="n">
        <x:f>J1428*'Assumptions'!$S$42</x:f>
        <x:v>0</x:v>
      </x:c>
      <x:c r="R1428" s="10" t="n">
        <x:f>H1428*'Assumptions'!$Y$42*'Assumptions'!$Z$42*'Assumptions'!$D$11*(1+'Assumptions'!$D$13)^(12-1)</x:f>
        <x:v>326.8356619452143</x:v>
      </x:c>
      <x:c r="S1428" s="10" t="n">
        <x:f>IF(I1428=0,0,J1428*'Assumptions'!$W$42+H1428*'Assumptions'!$X$42)</x:f>
        <x:v>1981.4605992907673</x:v>
      </x:c>
      <x:c r="T1428" s="10" t="n">
        <x:f>N1428*'Assumptions'!$AA$42</x:f>
        <x:v>2638.421511047992</x:v>
      </x:c>
      <x:c r="U1428" s="10" t="n">
        <x:f>'Assumptions'!$AE$42*'Assumptions'!$D$11*(1+'Assumptions'!$D$13)^(12-1)</x:f>
        <x:v>0</x:v>
      </x:c>
      <x:c r="V1428" s="10" t="n">
        <x:f>0</x:f>
        <x:v>0</x:v>
      </x:c>
      <x:c r="W1428" s="10" t="n">
        <x:f>H1428*('Assumptions'!$P$42+'Assumptions'!$Y$42)</x:f>
        <x:v>511.5782449710036</x:v>
      </x:c>
      <x:c r="X1428" s="10" t="n">
        <x:f>N1428/12*'Assumptions'!$AF$42</x:f>
        <x:v>5496.711481349984</x:v>
      </x:c>
      <x:c r="Y1428" s="10" t="n">
        <x:f>P1428/12</x:f>
        <x:v>36.31507354946826</x:v>
      </x:c>
      <x:c r="Z1428" s="10" t="n">
        <x:f>0</x:f>
        <x:v>0</x:v>
      </x:c>
      <x:c r="AA1428" s="10" t="n">
        <x:f>Z1428*'Assumptions'!$AC$42*'Assumptions'!$D$11*(1+'Assumptions'!$D$13)^(12-1)</x:f>
        <x:v>0</x:v>
      </x:c>
      <x:c r="AB1428" s="10" t="n">
        <x:f>F1428/12</x:f>
        <x:v>1.3504937447764143</x:v>
      </x:c>
      <x:c r="AC1428" s="10" t="n">
        <x:f>AB1428/'Assumptions'!$AM$42</x:f>
        <x:v>6.752468723882071</x:v>
      </x:c>
      <x:c r="AD1428" s="10" t="n">
        <x:f>IF(AB1428=0,0,T1428/AB1428)</x:f>
        <x:v>1953.671774677346</x:v>
      </x:c>
      <x:c r="AE1428" s="10" t="n">
        <x:f>AA1428*'Assumptions'!$D$21</x:f>
        <x:v>0</x:v>
      </x:c>
    </x:row>
    <x:row r="1429" ht="16" customHeight="1">
      <x:c r="A1429" s="1"/>
      <x:c r="B1429" s="1"/>
      <x:c r="C1429" s="1" t="str">
        <x:v>DOT-014</x:v>
      </x:c>
      <x:c r="D1429" s="10" t="str">
        <x:v>BPA professional services</x:v>
      </x:c>
      <x:c r="E1429" s="10" t="n">
        <x:v>12</x:v>
      </x:c>
      <x:c r="F1429" s="21" t="n">
        <x:f>F1301*(1+'Assumptions'!$M$43)</x:f>
        <x:v>10.803949958211318</x:v>
      </x:c>
      <x:c r="G1429" s="21" t="n">
        <x:f>H1301*'Assumptions'!$K$43</x:f>
        <x:v>10.183875476496524</x:v>
      </x:c>
      <x:c r="H1429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1429+G1429,NA())</x:f>
        <x:v>20.987825434707844</x:v>
      </x:c>
      <x:c r="I1429" s="22" t="n">
        <x:f>'Assumptions'!$H$43*IF('Assumptions'!$O$43=1,1,'Assumptions'!$D$10)*(1+'Assumptions'!$N$43)^(12-1)</x:f>
        <x:v>3000</x:v>
      </x:c>
      <x:c r="J1429" s="10" t="n">
        <x:f>H1429*I1429</x:f>
        <x:v>62963.476304123535</x:v>
      </x:c>
      <x:c r="K1429" s="10" t="n">
        <x:f>J1429*'Assumptions'!$T$43</x:f>
        <x:v>62963.476304123535</x:v>
      </x:c>
      <x:c r="L1429" s="10" t="n">
        <x:f>K1429*'Assumptions'!$U$43</x:f>
        <x:v>1888.904289123706</x:v>
      </x:c>
      <x:c r="M1429" s="10" t="n">
        <x:f>K1429*'Assumptions'!$V$43</x:f>
        <x:v>0</x:v>
      </x:c>
      <x:c r="N1429" s="10" t="n">
        <x:f>K1429-L1429-M1429</x:f>
        <x:v>61074.57201499983</x:v>
      </x:c>
      <x:c r="O1429" s="10" t="n">
        <x:f>H1429*'Assumptions'!$P$43*'Assumptions'!$Q$43*'Assumptions'!$D$11*(1+'Assumptions'!$D$13)^(12-1)</x:f>
        <x:v>34862.47060748954</x:v>
      </x:c>
      <x:c r="P1429" s="10" t="n">
        <x:f>H1429*'Assumptions'!$R$43*'Assumptions'!$D$11*(1+'Assumptions'!$D$13)^(12-1)</x:f>
        <x:v>290.52058839574613</x:v>
      </x:c>
      <x:c r="Q1429" s="10" t="n">
        <x:f>J1429*'Assumptions'!$S$43</x:f>
        <x:v>0</x:v>
      </x:c>
      <x:c r="R1429" s="10" t="n">
        <x:f>H1429*'Assumptions'!$Y$43*'Assumptions'!$Z$43*'Assumptions'!$D$11*(1+'Assumptions'!$D$13)^(12-1)</x:f>
        <x:v>217.89044129680963</x:v>
      </x:c>
      <x:c r="S1429" s="10" t="n">
        <x:f>IF(I1429=0,0,J1429*'Assumptions'!$W$43+H1429*'Assumptions'!$X$43)</x:f>
        <x:v>1832.237160449995</x:v>
      </x:c>
      <x:c r="T1429" s="10" t="n">
        <x:f>N1429*'Assumptions'!$AA$43</x:f>
        <x:v>2442.982880599993</x:v>
      </x:c>
      <x:c r="U1429" s="10" t="n">
        <x:f>'Assumptions'!$AE$43*'Assumptions'!$D$11*(1+'Assumptions'!$D$13)^(12-1)</x:f>
        <x:v>0</x:v>
      </x:c>
      <x:c r="V1429" s="10" t="n">
        <x:f>0</x:f>
        <x:v>0</x:v>
      </x:c>
      <x:c r="W1429" s="10" t="n">
        <x:f>H1429*('Assumptions'!$P$43+'Assumptions'!$Y$43)</x:f>
        <x:v>425.00346505283386</x:v>
      </x:c>
      <x:c r="X1429" s="10" t="n">
        <x:f>N1429/12*'Assumptions'!$AF$43</x:f>
        <x:v>5089.547667916652</x:v>
      </x:c>
      <x:c r="Y1429" s="10" t="n">
        <x:f>P1429/12</x:f>
        <x:v>24.210049032978844</x:v>
      </x:c>
      <x:c r="Z1429" s="10" t="n">
        <x:f>0</x:f>
        <x:v>0</x:v>
      </x:c>
      <x:c r="AA1429" s="10" t="n">
        <x:f>Z1429*'Assumptions'!$AC$43*'Assumptions'!$D$11*(1+'Assumptions'!$D$13)^(12-1)</x:f>
        <x:v>0</x:v>
      </x:c>
      <x:c r="AB1429" s="10" t="n">
        <x:f>F1429/12</x:f>
        <x:v>0.9003291631842765</x:v>
      </x:c>
      <x:c r="AC1429" s="10" t="n">
        <x:f>AB1429/'Assumptions'!$AM$43</x:f>
        <x:v>4.501645815921382</x:v>
      </x:c>
      <x:c r="AD1429" s="10" t="n">
        <x:f>IF(AB1429=0,0,T1429/AB1429)</x:f>
        <x:v>2713.433020385203</x:v>
      </x:c>
      <x:c r="AE1429" s="10" t="n">
        <x:f>AA1429*'Assumptions'!$D$21</x:f>
        <x:v>0</x:v>
      </x:c>
    </x:row>
    <x:row r="1430" ht="16" customHeight="1">
      <x:c r="A1430" s="1"/>
      <x:c r="B1430" s="1"/>
      <x:c r="C1430" s="1" t="str">
        <x:v>DOT-015</x:v>
      </x:c>
      <x:c r="D1430" s="10" t="str">
        <x:v>BPA professional services</x:v>
      </x:c>
      <x:c r="E1430" s="10" t="n">
        <x:v>12</x:v>
      </x:c>
      <x:c r="F1430" s="21" t="n">
        <x:f>F1302*(1+'Assumptions'!$M$44)</x:f>
        <x:v>9.003291631842766</x:v>
      </x:c>
      <x:c r="G1430" s="21" t="n">
        <x:f>H1302*'Assumptions'!$K$44</x:f>
        <x:v>8.48656289708044</x:v>
      </x:c>
      <x:c r="H1430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1430+G1430,NA())</x:f>
        <x:v>17.489854528923203</x:v>
      </x:c>
      <x:c r="I1430" s="22" t="n">
        <x:f>'Assumptions'!$H$44*IF('Assumptions'!$O$44=1,1,'Assumptions'!$D$10)*(1+'Assumptions'!$N$44)^(12-1)</x:f>
        <x:v>1200</x:v>
      </x:c>
      <x:c r="J1430" s="10" t="n">
        <x:f>H1430*I1430</x:f>
        <x:v>20987.825434707844</x:v>
      </x:c>
      <x:c r="K1430" s="10" t="n">
        <x:f>J1430*'Assumptions'!$T$44</x:f>
        <x:v>20987.825434707844</x:v>
      </x:c>
      <x:c r="L1430" s="10" t="n">
        <x:f>K1430*'Assumptions'!$U$44</x:f>
        <x:v>629.6347630412353</x:v>
      </x:c>
      <x:c r="M1430" s="10" t="n">
        <x:f>K1430*'Assumptions'!$V$44</x:f>
        <x:v>0</x:v>
      </x:c>
      <x:c r="N1430" s="10" t="n">
        <x:f>K1430-L1430-M1430</x:f>
        <x:v>20358.19067166661</x:v>
      </x:c>
      <x:c r="O1430" s="10" t="n">
        <x:f>H1430*'Assumptions'!$P$44*'Assumptions'!$Q$44*'Assumptions'!$D$11*(1+'Assumptions'!$D$13)^(12-1)</x:f>
        <x:v>14526.029419787308</x:v>
      </x:c>
      <x:c r="P1430" s="10" t="n">
        <x:f>H1430*'Assumptions'!$R$44*'Assumptions'!$D$11*(1+'Assumptions'!$D$13)^(12-1)</x:f>
        <x:v>242.10049032978847</x:v>
      </x:c>
      <x:c r="Q1430" s="10" t="n">
        <x:f>J1430*'Assumptions'!$S$44</x:f>
        <x:v>0</x:v>
      </x:c>
      <x:c r="R1430" s="10" t="n">
        <x:f>H1430*'Assumptions'!$Y$44*'Assumptions'!$Z$44*'Assumptions'!$D$11*(1+'Assumptions'!$D$13)^(12-1)</x:f>
        <x:v>181.57536774734135</x:v>
      </x:c>
      <x:c r="S1430" s="10" t="n">
        <x:f>IF(I1430=0,0,J1430*'Assumptions'!$W$44+H1430*'Assumptions'!$X$44)</x:f>
        <x:v>613.8938939652044</x:v>
      </x:c>
      <x:c r="T1430" s="10" t="n">
        <x:f>N1430*'Assumptions'!$AA$44</x:f>
        <x:v>814.3276268666643</x:v>
      </x:c>
      <x:c r="U1430" s="10" t="n">
        <x:f>'Assumptions'!$AE$44*'Assumptions'!$D$11*(1+'Assumptions'!$D$13)^(12-1)</x:f>
        <x:v>0</x:v>
      </x:c>
      <x:c r="V1430" s="10" t="n">
        <x:f>0</x:f>
        <x:v>0</x:v>
      </x:c>
      <x:c r="W1430" s="10" t="n">
        <x:f>H1430*('Assumptions'!$P$44+'Assumptions'!$Y$44)</x:f>
        <x:v>179.27100892146282</x:v>
      </x:c>
      <x:c r="X1430" s="10" t="n">
        <x:f>N1430/12*'Assumptions'!$AF$44</x:f>
        <x:v>1696.5158893055507</x:v>
      </x:c>
      <x:c r="Y1430" s="10" t="n">
        <x:f>P1430/12</x:f>
        <x:v>20.175040860815706</x:v>
      </x:c>
      <x:c r="Z1430" s="10" t="n">
        <x:f>0</x:f>
        <x:v>0</x:v>
      </x:c>
      <x:c r="AA1430" s="10" t="n">
        <x:f>Z1430*'Assumptions'!$AC$44*'Assumptions'!$D$11*(1+'Assumptions'!$D$13)^(12-1)</x:f>
        <x:v>0</x:v>
      </x:c>
      <x:c r="AB1430" s="10" t="n">
        <x:f>F1430/1</x:f>
        <x:v>9.003291631842766</x:v>
      </x:c>
      <x:c r="AC1430" s="10" t="n">
        <x:f>AB1430/'Assumptions'!$AM$44</x:f>
        <x:v>45.016458159213826</x:v>
      </x:c>
      <x:c r="AD1430" s="10" t="n">
        <x:f>IF(AB1430=0,0,T1430/AB1430)</x:f>
        <x:v>90.4477673461734</x:v>
      </x:c>
      <x:c r="AE1430" s="10" t="n">
        <x:f>AA1430*'Assumptions'!$D$21</x:f>
        <x:v>0</x:v>
      </x:c>
    </x:row>
    <x:row r="1431" ht="16" customHeight="1">
      <x:c r="A1431" s="1"/>
      <x:c r="B1431" s="1"/>
      <x:c r="C1431" s="1" t="str">
        <x:v>DOT-016</x:v>
      </x:c>
      <x:c r="D1431" s="10" t="str">
        <x:v>BPA professional services</x:v>
      </x:c>
      <x:c r="E1431" s="10" t="n">
        <x:v>12</x:v>
      </x:c>
      <x:c r="F1431" s="21" t="n">
        <x:f>F1303*(1+'Assumptions'!$M$45)</x:f>
        <x:v>5.401974979105659</x:v>
      </x:c>
      <x:c r="G1431" s="21" t="n">
        <x:f>H1303*'Assumptions'!$K$45</x:f>
        <x:v>5.091937738248262</x:v>
      </x:c>
      <x:c r="H1431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1431+G1431,NA())</x:f>
        <x:v>10.493912717353922</x:v>
      </x:c>
      <x:c r="I1431" s="22" t="n">
        <x:f>'Assumptions'!$H$45*IF('Assumptions'!$O$45=1,1,'Assumptions'!$D$10)*(1+'Assumptions'!$N$45)^(12-1)</x:f>
        <x:v>1800</x:v>
      </x:c>
      <x:c r="J1431" s="10" t="n">
        <x:f>H1431*I1431</x:f>
        <x:v>18889.04289123706</x:v>
      </x:c>
      <x:c r="K1431" s="10" t="n">
        <x:f>J1431*'Assumptions'!$T$45</x:f>
        <x:v>18889.04289123706</x:v>
      </x:c>
      <x:c r="L1431" s="10" t="n">
        <x:f>K1431*'Assumptions'!$U$45</x:f>
        <x:v>566.6712867371117</x:v>
      </x:c>
      <x:c r="M1431" s="10" t="n">
        <x:f>K1431*'Assumptions'!$V$45</x:f>
        <x:v>0</x:v>
      </x:c>
      <x:c r="N1431" s="10" t="n">
        <x:f>K1431-L1431-M1431</x:f>
        <x:v>18322.371604499946</x:v>
      </x:c>
      <x:c r="O1431" s="10" t="n">
        <x:f>H1431*'Assumptions'!$P$45*'Assumptions'!$Q$45*'Assumptions'!$D$11*(1+'Assumptions'!$D$13)^(12-1)</x:f>
        <x:v>4357.808825936192</x:v>
      </x:c>
      <x:c r="P1431" s="10" t="n">
        <x:f>H1431*'Assumptions'!$R$45*'Assumptions'!$D$11*(1+'Assumptions'!$D$13)^(12-1)</x:f>
        <x:v>145.26029419787307</x:v>
      </x:c>
      <x:c r="Q1431" s="10" t="n">
        <x:f>J1431*'Assumptions'!$S$45</x:f>
        <x:v>0</x:v>
      </x:c>
      <x:c r="R1431" s="10" t="n">
        <x:f>H1431*'Assumptions'!$Y$45*'Assumptions'!$Z$45*'Assumptions'!$D$11*(1+'Assumptions'!$D$13)^(12-1)</x:f>
        <x:v>108.94522064840481</x:v>
      </x:c>
      <x:c r="S1431" s="10" t="n">
        <x:f>IF(I1431=0,0,J1431*'Assumptions'!$W$45+H1431*'Assumptions'!$X$45)</x:f>
        <x:v>550.9304176610809</x:v>
      </x:c>
      <x:c r="T1431" s="10" t="n">
        <x:f>N1431*'Assumptions'!$AA$45</x:f>
        <x:v>732.8948641799979</x:v>
      </x:c>
      <x:c r="U1431" s="10" t="n">
        <x:f>'Assumptions'!$AE$45*'Assumptions'!$D$11*(1+'Assumptions'!$D$13)^(12-1)</x:f>
        <x:v>0</x:v>
      </x:c>
      <x:c r="V1431" s="10" t="n">
        <x:f>0</x:f>
        <x:v>0</x:v>
      </x:c>
      <x:c r="W1431" s="10" t="n">
        <x:f>H1431*('Assumptions'!$P$45+'Assumptions'!$Y$45)</x:f>
        <x:v>55.09304176610809</x:v>
      </x:c>
      <x:c r="X1431" s="10" t="n">
        <x:f>N1431/12*'Assumptions'!$AF$45</x:f>
        <x:v>1526.8643003749955</x:v>
      </x:c>
      <x:c r="Y1431" s="10" t="n">
        <x:f>P1431/12</x:f>
        <x:v>12.105024516489422</x:v>
      </x:c>
      <x:c r="Z1431" s="10" t="n">
        <x:f>0</x:f>
        <x:v>0</x:v>
      </x:c>
      <x:c r="AA1431" s="10" t="n">
        <x:f>Z1431*'Assumptions'!$AC$45*'Assumptions'!$D$11*(1+'Assumptions'!$D$13)^(12-1)</x:f>
        <x:v>0</x:v>
      </x:c>
      <x:c r="AB1431" s="10" t="n">
        <x:f>F1431/1</x:f>
        <x:v>5.401974979105659</x:v>
      </x:c>
      <x:c r="AC1431" s="10" t="n">
        <x:f>AB1431/'Assumptions'!$AM$45</x:f>
        <x:v>27.00987489552829</x:v>
      </x:c>
      <x:c r="AD1431" s="10" t="n">
        <x:f>IF(AB1431=0,0,T1431/AB1431)</x:f>
        <x:v>135.6716510192601</x:v>
      </x:c>
      <x:c r="AE1431" s="10" t="n">
        <x:f>AA1431*'Assumptions'!$D$21</x:f>
        <x:v>0</x:v>
      </x:c>
    </x:row>
    <x:row r="1432" ht="16" customHeight="1">
      <x:c r="A1432" s="1"/>
      <x:c r="B1432" s="1"/>
      <x:c r="C1432" s="1" t="str">
        <x:v>DOT-017</x:v>
      </x:c>
      <x:c r="D1432" s="10" t="str">
        <x:v>BPA professional services</x:v>
      </x:c>
      <x:c r="E1432" s="10" t="n">
        <x:v>12</x:v>
      </x:c>
      <x:c r="F1432" s="21" t="n">
        <x:f>F1304*(1+'Assumptions'!$M$46)</x:f>
        <x:v>5.401974979105659</x:v>
      </x:c>
      <x:c r="G1432" s="21" t="n">
        <x:f>H1304*'Assumptions'!$K$46</x:f>
        <x:v>5.091937738248262</x:v>
      </x:c>
      <x:c r="H1432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1432+G1432,NA())</x:f>
        <x:v>10.493912717353922</x:v>
      </x:c>
      <x:c r="I1432" s="22" t="n">
        <x:f>'Assumptions'!$H$46*IF('Assumptions'!$O$46=1,1,'Assumptions'!$D$10)*(1+'Assumptions'!$N$46)^(12-1)</x:f>
        <x:v>1500</x:v>
      </x:c>
      <x:c r="J1432" s="10" t="n">
        <x:f>H1432*I1432</x:f>
        <x:v>15740.869076030884</x:v>
      </x:c>
      <x:c r="K1432" s="10" t="n">
        <x:f>J1432*'Assumptions'!$T$46</x:f>
        <x:v>15740.869076030884</x:v>
      </x:c>
      <x:c r="L1432" s="10" t="n">
        <x:f>K1432*'Assumptions'!$U$46</x:f>
        <x:v>472.2260722809265</x:v>
      </x:c>
      <x:c r="M1432" s="10" t="n">
        <x:f>K1432*'Assumptions'!$V$46</x:f>
        <x:v>0</x:v>
      </x:c>
      <x:c r="N1432" s="10" t="n">
        <x:f>K1432-L1432-M1432</x:f>
        <x:v>15268.643003749958</x:v>
      </x:c>
      <x:c r="O1432" s="10" t="n">
        <x:f>H1432*'Assumptions'!$P$46*'Assumptions'!$Q$46*'Assumptions'!$D$11*(1+'Assumptions'!$D$13)^(12-1)</x:f>
        <x:v>5229.370591123431</x:v>
      </x:c>
      <x:c r="P1432" s="10" t="n">
        <x:f>H1432*'Assumptions'!$R$46*'Assumptions'!$D$11*(1+'Assumptions'!$D$13)^(12-1)</x:f>
        <x:v>145.26029419787307</x:v>
      </x:c>
      <x:c r="Q1432" s="10" t="n">
        <x:f>J1432*'Assumptions'!$S$46</x:f>
        <x:v>0</x:v>
      </x:c>
      <x:c r="R1432" s="10" t="n">
        <x:f>H1432*'Assumptions'!$Y$46*'Assumptions'!$Z$46*'Assumptions'!$D$11*(1+'Assumptions'!$D$13)^(12-1)</x:f>
        <x:v>108.94522064840481</x:v>
      </x:c>
      <x:c r="S1432" s="10" t="n">
        <x:f>IF(I1432=0,0,J1432*'Assumptions'!$W$46+H1432*'Assumptions'!$X$46)</x:f>
        <x:v>459.6333770201018</x:v>
      </x:c>
      <x:c r="T1432" s="10" t="n">
        <x:f>N1432*'Assumptions'!$AA$46</x:f>
        <x:v>610.7457201499983</x:v>
      </x:c>
      <x:c r="U1432" s="10" t="n">
        <x:f>'Assumptions'!$AE$46*'Assumptions'!$D$11*(1+'Assumptions'!$D$13)^(12-1)</x:f>
        <x:v>0</x:v>
      </x:c>
      <x:c r="V1432" s="10" t="n">
        <x:f>0</x:f>
        <x:v>0</x:v>
      </x:c>
      <x:c r="W1432" s="10" t="n">
        <x:f>H1432*('Assumptions'!$P$46+'Assumptions'!$Y$46)</x:f>
        <x:v>65.58695448346201</x:v>
      </x:c>
      <x:c r="X1432" s="10" t="n">
        <x:f>N1432/12*'Assumptions'!$AF$46</x:f>
        <x:v>1272.386916979163</x:v>
      </x:c>
      <x:c r="Y1432" s="10" t="n">
        <x:f>P1432/12</x:f>
        <x:v>12.105024516489422</x:v>
      </x:c>
      <x:c r="Z1432" s="10" t="n">
        <x:f>0</x:f>
        <x:v>0</x:v>
      </x:c>
      <x:c r="AA1432" s="10" t="n">
        <x:f>Z1432*'Assumptions'!$AC$46*'Assumptions'!$D$11*(1+'Assumptions'!$D$13)^(12-1)</x:f>
        <x:v>0</x:v>
      </x:c>
      <x:c r="AB1432" s="10" t="n">
        <x:f>F1432/1</x:f>
        <x:v>5.401974979105659</x:v>
      </x:c>
      <x:c r="AC1432" s="10" t="n">
        <x:f>AB1432/'Assumptions'!$AM$46</x:f>
        <x:v>27.00987489552829</x:v>
      </x:c>
      <x:c r="AD1432" s="10" t="n">
        <x:f>IF(AB1432=0,0,T1432/AB1432)</x:f>
        <x:v>113.05970918271677</x:v>
      </x:c>
      <x:c r="AE1432" s="10" t="n">
        <x:f>AA1432*'Assumptions'!$D$21</x:f>
        <x:v>0</x:v>
      </x:c>
    </x:row>
    <x:row r="1433" ht="16" customHeight="1">
      <x:c r="A1433" s="1"/>
      <x:c r="B1433" s="1"/>
      <x:c r="C1433" s="1" t="str">
        <x:v>DOT-018</x:v>
      </x:c>
      <x:c r="D1433" s="10" t="str">
        <x:v>BPA professional services</x:v>
      </x:c>
      <x:c r="E1433" s="10" t="n">
        <x:v>12</x:v>
      </x:c>
      <x:c r="F1433" s="21" t="n">
        <x:f>F1305*(1+'Assumptions'!$M$47)</x:f>
        <x:v>7.2026333054742135</x:v>
      </x:c>
      <x:c r="G1433" s="21" t="n">
        <x:f>H1305*'Assumptions'!$K$47</x:f>
        <x:v>6.789250317664352</x:v>
      </x:c>
      <x:c r="H1433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1433+G1433,NA())</x:f>
        <x:v>13.991883623138566</x:v>
      </x:c>
      <x:c r="I1433" s="22" t="n">
        <x:f>'Assumptions'!$H$47*IF('Assumptions'!$O$47=1,1,'Assumptions'!$D$10)*(1+'Assumptions'!$N$47)^(12-1)</x:f>
        <x:v>1200</x:v>
      </x:c>
      <x:c r="J1433" s="10" t="n">
        <x:f>H1433*I1433</x:f>
        <x:v>16790.260347766278</x:v>
      </x:c>
      <x:c r="K1433" s="10" t="n">
        <x:f>J1433*'Assumptions'!$T$47</x:f>
        <x:v>16790.260347766278</x:v>
      </x:c>
      <x:c r="L1433" s="10" t="n">
        <x:f>K1433*'Assumptions'!$U$47</x:f>
        <x:v>503.7078104329883</x:v>
      </x:c>
      <x:c r="M1433" s="10" t="n">
        <x:f>K1433*'Assumptions'!$V$47</x:f>
        <x:v>0</x:v>
      </x:c>
      <x:c r="N1433" s="10" t="n">
        <x:f>K1433-L1433-M1433</x:f>
        <x:v>16286.55253733329</x:v>
      </x:c>
      <x:c r="O1433" s="10" t="n">
        <x:f>H1433*'Assumptions'!$P$47*'Assumptions'!$Q$47*'Assumptions'!$D$11*(1+'Assumptions'!$D$13)^(12-1)</x:f>
        <x:v>4648.32941433194</x:v>
      </x:c>
      <x:c r="P1433" s="10" t="n">
        <x:f>H1433*'Assumptions'!$R$47*'Assumptions'!$D$11*(1+'Assumptions'!$D$13)^(12-1)</x:f>
        <x:v>193.6803922638308</x:v>
      </x:c>
      <x:c r="Q1433" s="10" t="n">
        <x:f>J1433*'Assumptions'!$S$47</x:f>
        <x:v>0</x:v>
      </x:c>
      <x:c r="R1433" s="10" t="n">
        <x:f>H1433*'Assumptions'!$Y$47*'Assumptions'!$Z$47*'Assumptions'!$D$11*(1+'Assumptions'!$D$13)^(12-1)</x:f>
        <x:v>145.26029419787312</x:v>
      </x:c>
      <x:c r="S1433" s="10" t="n">
        <x:f>IF(I1433=0,0,J1433*'Assumptions'!$W$47+H1433*'Assumptions'!$X$47)</x:f>
        <x:v>491.11511517216366</x:v>
      </x:c>
      <x:c r="T1433" s="10" t="n">
        <x:f>N1433*'Assumptions'!$AA$47</x:f>
        <x:v>651.4621014933316</x:v>
      </x:c>
      <x:c r="U1433" s="10" t="n">
        <x:f>'Assumptions'!$AE$47*'Assumptions'!$D$11*(1+'Assumptions'!$D$13)^(12-1)</x:f>
        <x:v>0</x:v>
      </x:c>
      <x:c r="V1433" s="10" t="n">
        <x:f>0</x:f>
        <x:v>0</x:v>
      </x:c>
      <x:c r="W1433" s="10" t="n">
        <x:f>H1433*('Assumptions'!$P$47+'Assumptions'!$Y$47)</x:f>
        <x:v>59.465505398338905</x:v>
      </x:c>
      <x:c r="X1433" s="10" t="n">
        <x:f>N1433/12*'Assumptions'!$AF$47</x:f>
        <x:v>1357.2127114444409</x:v>
      </x:c>
      <x:c r="Y1433" s="10" t="n">
        <x:f>P1433/12</x:f>
        <x:v>16.140032688652568</x:v>
      </x:c>
      <x:c r="Z1433" s="10" t="n">
        <x:f>0</x:f>
        <x:v>0</x:v>
      </x:c>
      <x:c r="AA1433" s="10" t="n">
        <x:f>Z1433*'Assumptions'!$AC$47*'Assumptions'!$D$11*(1+'Assumptions'!$D$13)^(12-1)</x:f>
        <x:v>0</x:v>
      </x:c>
      <x:c r="AB1433" s="10" t="n">
        <x:f>F1433/1</x:f>
        <x:v>7.2026333054742135</x:v>
      </x:c>
      <x:c r="AC1433" s="10" t="n">
        <x:f>AB1433/'Assumptions'!$AM$47</x:f>
        <x:v>36.01316652737106</x:v>
      </x:c>
      <x:c r="AD1433" s="10" t="n">
        <x:f>IF(AB1433=0,0,T1433/AB1433)</x:f>
        <x:v>90.4477673461734</x:v>
      </x:c>
      <x:c r="AE1433" s="10" t="n">
        <x:f>AA1433*'Assumptions'!$D$21</x:f>
        <x:v>0</x:v>
      </x:c>
    </x:row>
    <x:row r="1434" ht="16" customHeight="1">
      <x:c r="A1434" s="1"/>
      <x:c r="B1434" s="1"/>
      <x:c r="C1434" s="1" t="str">
        <x:v>DOT-019</x:v>
      </x:c>
      <x:c r="D1434" s="10" t="str">
        <x:v>BPA professional services</x:v>
      </x:c>
      <x:c r="E1434" s="10" t="n">
        <x:v>12</x:v>
      </x:c>
      <x:c r="F1434" s="21" t="n">
        <x:f>F1306*(1+'Assumptions'!$M$48)</x:f>
        <x:v>3.6013166527371068</x:v>
      </x:c>
      <x:c r="G1434" s="21" t="n">
        <x:f>H1306*'Assumptions'!$K$48</x:f>
        <x:v>3.394625158832176</x:v>
      </x:c>
      <x:c r="H1434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1434+G1434,NA())</x:f>
        <x:v>6.995941811569283</x:v>
      </x:c>
      <x:c r="I1434" s="22" t="n">
        <x:f>'Assumptions'!$H$48*IF('Assumptions'!$O$48=1,1,'Assumptions'!$D$10)*(1+'Assumptions'!$N$48)^(12-1)</x:f>
        <x:v>3000</x:v>
      </x:c>
      <x:c r="J1434" s="10" t="n">
        <x:f>H1434*I1434</x:f>
        <x:v>20987.82543470785</x:v>
      </x:c>
      <x:c r="K1434" s="10" t="n">
        <x:f>J1434*'Assumptions'!$T$48</x:f>
        <x:v>20987.82543470785</x:v>
      </x:c>
      <x:c r="L1434" s="10" t="n">
        <x:f>K1434*'Assumptions'!$U$48</x:f>
        <x:v>629.6347630412355</x:v>
      </x:c>
      <x:c r="M1434" s="10" t="n">
        <x:f>K1434*'Assumptions'!$V$48</x:f>
        <x:v>0</x:v>
      </x:c>
      <x:c r="N1434" s="10" t="n">
        <x:f>K1434-L1434-M1434</x:f>
        <x:v>20358.190671666616</x:v>
      </x:c>
      <x:c r="O1434" s="10" t="n">
        <x:f>H1434*'Assumptions'!$P$48*'Assumptions'!$Q$48*'Assumptions'!$D$11*(1+'Assumptions'!$D$13)^(12-1)</x:f>
        <x:v>6972.49412149791</x:v>
      </x:c>
      <x:c r="P1434" s="10" t="n">
        <x:f>H1434*'Assumptions'!$R$48*'Assumptions'!$D$11*(1+'Assumptions'!$D$13)^(12-1)</x:f>
        <x:v>96.8401961319154</x:v>
      </x:c>
      <x:c r="Q1434" s="10" t="n">
        <x:f>J1434*'Assumptions'!$S$48</x:f>
        <x:v>0</x:v>
      </x:c>
      <x:c r="R1434" s="10" t="n">
        <x:f>H1434*'Assumptions'!$Y$48*'Assumptions'!$Z$48*'Assumptions'!$D$11*(1+'Assumptions'!$D$13)^(12-1)</x:f>
        <x:v>72.63014709893656</x:v>
      </x:c>
      <x:c r="S1434" s="10" t="n">
        <x:f>IF(I1434=0,0,J1434*'Assumptions'!$W$48+H1434*'Assumptions'!$X$48)</x:f>
        <x:v>610.7457201499984</x:v>
      </x:c>
      <x:c r="T1434" s="10" t="n">
        <x:f>N1434*'Assumptions'!$AA$48</x:f>
        <x:v>814.3276268666647</x:v>
      </x:c>
      <x:c r="U1434" s="10" t="n">
        <x:f>'Assumptions'!$AE$48*'Assumptions'!$D$11*(1+'Assumptions'!$D$13)^(12-1)</x:f>
        <x:v>0</x:v>
      </x:c>
      <x:c r="V1434" s="10" t="n">
        <x:f>0</x:f>
        <x:v>0</x:v>
      </x:c>
      <x:c r="W1434" s="10" t="n">
        <x:f>H1434*('Assumptions'!$P$48+'Assumptions'!$Y$48)</x:f>
        <x:v>85.70028719172372</x:v>
      </x:c>
      <x:c r="X1434" s="10" t="n">
        <x:f>N1434/12*'Assumptions'!$AF$48</x:f>
        <x:v>1696.5158893055514</x:v>
      </x:c>
      <x:c r="Y1434" s="10" t="n">
        <x:f>P1434/12</x:f>
        <x:v>8.070016344326284</x:v>
      </x:c>
      <x:c r="Z1434" s="10" t="n">
        <x:f>0</x:f>
        <x:v>0</x:v>
      </x:c>
      <x:c r="AA1434" s="10" t="n">
        <x:f>Z1434*'Assumptions'!$AC$48*'Assumptions'!$D$11*(1+'Assumptions'!$D$13)^(12-1)</x:f>
        <x:v>0</x:v>
      </x:c>
      <x:c r="AB1434" s="10" t="n">
        <x:f>F1434/1</x:f>
        <x:v>3.6013166527371068</x:v>
      </x:c>
      <x:c r="AC1434" s="10" t="n">
        <x:f>AB1434/'Assumptions'!$AM$48</x:f>
        <x:v>18.00658326368553</x:v>
      </x:c>
      <x:c r="AD1434" s="10" t="n">
        <x:f>IF(AB1434=0,0,T1434/AB1434)</x:f>
        <x:v>226.11941836543357</x:v>
      </x:c>
      <x:c r="AE1434" s="10" t="n">
        <x:f>AA1434*'Assumptions'!$D$21</x:f>
        <x:v>0</x:v>
      </x:c>
    </x:row>
    <x:row r="1435" ht="16" customHeight="1">
      <x:c r="A1435" s="1"/>
      <x:c r="B1435" s="1"/>
      <x:c r="C1435" s="1" t="str">
        <x:v>DOT-020</x:v>
      </x:c>
      <x:c r="D1435" s="10" t="str">
        <x:v>BPA professional services</x:v>
      </x:c>
      <x:c r="E1435" s="10" t="n">
        <x:v>12</x:v>
      </x:c>
      <x:c r="F1435" s="21" t="n">
        <x:f>F1307*(1+'Assumptions'!$M$49)</x:f>
        <x:v>5.401974979105659</x:v>
      </x:c>
      <x:c r="G1435" s="21" t="n">
        <x:f>H1307*'Assumptions'!$K$49</x:f>
        <x:v>5.091937738248262</x:v>
      </x:c>
      <x:c r="H1435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1435+G1435,NA())</x:f>
        <x:v>10.493912717353922</x:v>
      </x:c>
      <x:c r="I1435" s="22" t="n">
        <x:f>'Assumptions'!$H$49*IF('Assumptions'!$O$49=1,1,'Assumptions'!$D$10)*(1+'Assumptions'!$N$49)^(12-1)</x:f>
        <x:v>1800</x:v>
      </x:c>
      <x:c r="J1435" s="10" t="n">
        <x:f>H1435*I1435</x:f>
        <x:v>18889.04289123706</x:v>
      </x:c>
      <x:c r="K1435" s="10" t="n">
        <x:f>J1435*'Assumptions'!$T$49</x:f>
        <x:v>18889.04289123706</x:v>
      </x:c>
      <x:c r="L1435" s="10" t="n">
        <x:f>K1435*'Assumptions'!$U$49</x:f>
        <x:v>566.6712867371117</x:v>
      </x:c>
      <x:c r="M1435" s="10" t="n">
        <x:f>K1435*'Assumptions'!$V$49</x:f>
        <x:v>0</x:v>
      </x:c>
      <x:c r="N1435" s="10" t="n">
        <x:f>K1435-L1435-M1435</x:f>
        <x:v>18322.371604499946</x:v>
      </x:c>
      <x:c r="O1435" s="10" t="n">
        <x:f>H1435*'Assumptions'!$P$49*'Assumptions'!$Q$49*'Assumptions'!$D$11*(1+'Assumptions'!$D$13)^(12-1)</x:f>
        <x:v>5229.370591123431</x:v>
      </x:c>
      <x:c r="P1435" s="10" t="n">
        <x:f>H1435*'Assumptions'!$R$49*'Assumptions'!$D$11*(1+'Assumptions'!$D$13)^(12-1)</x:f>
        <x:v>145.26029419787307</x:v>
      </x:c>
      <x:c r="Q1435" s="10" t="n">
        <x:f>J1435*'Assumptions'!$S$49</x:f>
        <x:v>0</x:v>
      </x:c>
      <x:c r="R1435" s="10" t="n">
        <x:f>H1435*'Assumptions'!$Y$49*'Assumptions'!$Z$49*'Assumptions'!$D$11*(1+'Assumptions'!$D$13)^(12-1)</x:f>
        <x:v>108.94522064840481</x:v>
      </x:c>
      <x:c r="S1435" s="10" t="n">
        <x:f>IF(I1435=0,0,J1435*'Assumptions'!$W$49+H1435*'Assumptions'!$X$49)</x:f>
        <x:v>550.9304176610809</x:v>
      </x:c>
      <x:c r="T1435" s="10" t="n">
        <x:f>N1435*'Assumptions'!$AA$49</x:f>
        <x:v>732.8948641799979</x:v>
      </x:c>
      <x:c r="U1435" s="10" t="n">
        <x:f>'Assumptions'!$AE$49*'Assumptions'!$D$11*(1+'Assumptions'!$D$13)^(12-1)</x:f>
        <x:v>0</x:v>
      </x:c>
      <x:c r="V1435" s="10" t="n">
        <x:f>0</x:f>
        <x:v>0</x:v>
      </x:c>
      <x:c r="W1435" s="10" t="n">
        <x:f>H1435*('Assumptions'!$P$49+'Assumptions'!$Y$49)</x:f>
        <x:v>65.58695448346201</x:v>
      </x:c>
      <x:c r="X1435" s="10" t="n">
        <x:f>N1435/12*'Assumptions'!$AF$49</x:f>
        <x:v>1526.8643003749955</x:v>
      </x:c>
      <x:c r="Y1435" s="10" t="n">
        <x:f>P1435/12</x:f>
        <x:v>12.105024516489422</x:v>
      </x:c>
      <x:c r="Z1435" s="10" t="n">
        <x:f>0</x:f>
        <x:v>0</x:v>
      </x:c>
      <x:c r="AA1435" s="10" t="n">
        <x:f>Z1435*'Assumptions'!$AC$49*'Assumptions'!$D$11*(1+'Assumptions'!$D$13)^(12-1)</x:f>
        <x:v>0</x:v>
      </x:c>
      <x:c r="AB1435" s="10" t="n">
        <x:f>F1435/1</x:f>
        <x:v>5.401974979105659</x:v>
      </x:c>
      <x:c r="AC1435" s="10" t="n">
        <x:f>AB1435/'Assumptions'!$AM$49</x:f>
        <x:v>27.00987489552829</x:v>
      </x:c>
      <x:c r="AD1435" s="10" t="n">
        <x:f>IF(AB1435=0,0,T1435/AB1435)</x:f>
        <x:v>135.6716510192601</x:v>
      </x:c>
      <x:c r="AE1435" s="10" t="n">
        <x:f>AA1435*'Assumptions'!$D$21</x:f>
        <x:v>0</x:v>
      </x:c>
    </x:row>
    <x:row r="1436" ht="16" customHeight="1">
      <x:c r="A1436" s="1"/>
      <x:c r="B1436" s="1"/>
      <x:c r="C1436" s="1" t="str">
        <x:v>DOT-021</x:v>
      </x:c>
      <x:c r="D1436" s="10" t="str">
        <x:v>BPA professional services</x:v>
      </x:c>
      <x:c r="E1436" s="10" t="n">
        <x:v>12</x:v>
      </x:c>
      <x:c r="F1436" s="21" t="n">
        <x:f>F1308*(1+'Assumptions'!$M$50)</x:f>
        <x:v>3.6013166527371068</x:v>
      </x:c>
      <x:c r="G1436" s="21" t="n">
        <x:f>H1308*'Assumptions'!$K$50</x:f>
        <x:v>3.394625158832176</x:v>
      </x:c>
      <x:c r="H1436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1436+G1436,NA())</x:f>
        <x:v>6.995941811569283</x:v>
      </x:c>
      <x:c r="I1436" s="22" t="n">
        <x:f>'Assumptions'!$H$50*IF('Assumptions'!$O$50=1,1,'Assumptions'!$D$10)*(1+'Assumptions'!$N$50)^(12-1)</x:f>
        <x:v>4200</x:v>
      </x:c>
      <x:c r="J1436" s="10" t="n">
        <x:f>H1436*I1436</x:f>
        <x:v>29382.95560859099</x:v>
      </x:c>
      <x:c r="K1436" s="10" t="n">
        <x:f>J1436*'Assumptions'!$T$50</x:f>
        <x:v>29382.95560859099</x:v>
      </x:c>
      <x:c r="L1436" s="10" t="n">
        <x:f>K1436*'Assumptions'!$U$50</x:f>
        <x:v>881.4886682577296</x:v>
      </x:c>
      <x:c r="M1436" s="10" t="n">
        <x:f>K1436*'Assumptions'!$V$50</x:f>
        <x:v>0</x:v>
      </x:c>
      <x:c r="N1436" s="10" t="n">
        <x:f>K1436-L1436-M1436</x:f>
        <x:v>28501.46694033326</x:v>
      </x:c>
      <x:c r="O1436" s="10" t="n">
        <x:f>H1436*'Assumptions'!$P$50*'Assumptions'!$Q$50*'Assumptions'!$D$11*(1+'Assumptions'!$D$13)^(12-1)</x:f>
        <x:v>6972.49412149791</x:v>
      </x:c>
      <x:c r="P1436" s="10" t="n">
        <x:f>H1436*'Assumptions'!$R$50*'Assumptions'!$D$11*(1+'Assumptions'!$D$13)^(12-1)</x:f>
        <x:v>96.8401961319154</x:v>
      </x:c>
      <x:c r="Q1436" s="10" t="n">
        <x:f>J1436*'Assumptions'!$S$50</x:f>
        <x:v>0</x:v>
      </x:c>
      <x:c r="R1436" s="10" t="n">
        <x:f>H1436*'Assumptions'!$Y$50*'Assumptions'!$Z$50*'Assumptions'!$D$11*(1+'Assumptions'!$D$13)^(12-1)</x:f>
        <x:v>72.63014709893656</x:v>
      </x:c>
      <x:c r="S1436" s="10" t="n">
        <x:f>IF(I1436=0,0,J1436*'Assumptions'!$W$50+H1436*'Assumptions'!$X$50)</x:f>
        <x:v>854.2044951926094</x:v>
      </x:c>
      <x:c r="T1436" s="10" t="n">
        <x:f>N1436*'Assumptions'!$AA$50</x:f>
        <x:v>1140.0586776133305</x:v>
      </x:c>
      <x:c r="U1436" s="10" t="n">
        <x:f>'Assumptions'!$AE$50*'Assumptions'!$D$11*(1+'Assumptions'!$D$13)^(12-1)</x:f>
        <x:v>0</x:v>
      </x:c>
      <x:c r="V1436" s="10" t="n">
        <x:f>0</x:f>
        <x:v>0</x:v>
      </x:c>
      <x:c r="W1436" s="10" t="n">
        <x:f>H1436*('Assumptions'!$P$50+'Assumptions'!$Y$50)</x:f>
        <x:v>85.70028719172372</x:v>
      </x:c>
      <x:c r="X1436" s="10" t="n">
        <x:f>N1436/12*'Assumptions'!$AF$50</x:f>
        <x:v>2375.1222450277714</x:v>
      </x:c>
      <x:c r="Y1436" s="10" t="n">
        <x:f>P1436/12</x:f>
        <x:v>8.070016344326284</x:v>
      </x:c>
      <x:c r="Z1436" s="10" t="n">
        <x:f>0</x:f>
        <x:v>0</x:v>
      </x:c>
      <x:c r="AA1436" s="10" t="n">
        <x:f>Z1436*'Assumptions'!$AC$50*'Assumptions'!$D$11*(1+'Assumptions'!$D$13)^(12-1)</x:f>
        <x:v>0</x:v>
      </x:c>
      <x:c r="AB1436" s="10" t="n">
        <x:f>F1436/1</x:f>
        <x:v>3.6013166527371068</x:v>
      </x:c>
      <x:c r="AC1436" s="10" t="n">
        <x:f>AB1436/'Assumptions'!$AM$50</x:f>
        <x:v>18.00658326368553</x:v>
      </x:c>
      <x:c r="AD1436" s="10" t="n">
        <x:f>IF(AB1436=0,0,T1436/AB1436)</x:f>
        <x:v>316.56718571160695</x:v>
      </x:c>
      <x:c r="AE1436" s="10" t="n">
        <x:f>AA1436*'Assumptions'!$D$21</x:f>
        <x:v>0</x:v>
      </x:c>
    </x:row>
    <x:row r="1437" ht="16" customHeight="1">
      <x:c r="A1437" s="1"/>
      <x:c r="B1437" s="1"/>
      <x:c r="C1437" s="1" t="str">
        <x:v>DOT-022</x:v>
      </x:c>
      <x:c r="D1437" s="10" t="str">
        <x:v>BPA professional services</x:v>
      </x:c>
      <x:c r="E1437" s="10" t="n">
        <x:v>12</x:v>
      </x:c>
      <x:c r="F1437" s="21" t="n">
        <x:f>F1309*(1+'Assumptions'!$M$51)</x:f>
        <x:v>14.405266610948427</x:v>
      </x:c>
      <x:c r="G1437" s="21" t="n">
        <x:f>H1309*'Assumptions'!$K$51</x:f>
        <x:v>13.578500635328703</x:v>
      </x:c>
      <x:c r="H1437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1437+G1437,NA())</x:f>
        <x:v>27.983767246277132</x:v>
      </x:c>
      <x:c r="I1437" s="22" t="n">
        <x:f>'Assumptions'!$H$51*IF('Assumptions'!$O$51=1,1,'Assumptions'!$D$10)*(1+'Assumptions'!$N$51)^(12-1)</x:f>
        <x:v>900</x:v>
      </x:c>
      <x:c r="J1437" s="10" t="n">
        <x:f>H1437*I1437</x:f>
        <x:v>25185.39052164942</x:v>
      </x:c>
      <x:c r="K1437" s="10" t="n">
        <x:f>J1437*'Assumptions'!$T$51</x:f>
        <x:v>25185.39052164942</x:v>
      </x:c>
      <x:c r="L1437" s="10" t="n">
        <x:f>K1437*'Assumptions'!$U$51</x:f>
        <x:v>755.5617156494826</x:v>
      </x:c>
      <x:c r="M1437" s="10" t="n">
        <x:f>K1437*'Assumptions'!$V$51</x:f>
        <x:v>0</x:v>
      </x:c>
      <x:c r="N1437" s="10" t="n">
        <x:f>K1437-L1437-M1437</x:f>
        <x:v>24429.82880599994</x:v>
      </x:c>
      <x:c r="O1437" s="10" t="n">
        <x:f>H1437*'Assumptions'!$P$51*'Assumptions'!$Q$51*'Assumptions'!$D$11*(1+'Assumptions'!$D$13)^(12-1)</x:f>
        <x:v>6972.49412149791</x:v>
      </x:c>
      <x:c r="P1437" s="10" t="n">
        <x:f>H1437*'Assumptions'!$R$51*'Assumptions'!$D$11*(1+'Assumptions'!$D$13)^(12-1)</x:f>
        <x:v>387.3607845276616</x:v>
      </x:c>
      <x:c r="Q1437" s="10" t="n">
        <x:f>J1437*'Assumptions'!$S$51</x:f>
        <x:v>0</x:v>
      </x:c>
      <x:c r="R1437" s="10" t="n">
        <x:f>H1437*'Assumptions'!$Y$51*'Assumptions'!$Z$51*'Assumptions'!$D$11*(1+'Assumptions'!$D$13)^(12-1)</x:f>
        <x:v>290.52058839574624</x:v>
      </x:c>
      <x:c r="S1437" s="10" t="n">
        <x:f>IF(I1437=0,0,J1437*'Assumptions'!$W$51+H1437*'Assumptions'!$X$51)</x:f>
        <x:v>738.7714553017163</x:v>
      </x:c>
      <x:c r="T1437" s="10" t="n">
        <x:f>N1437*'Assumptions'!$AA$51</x:f>
        <x:v>977.1931522399976</x:v>
      </x:c>
      <x:c r="U1437" s="10" t="n">
        <x:f>'Assumptions'!$AE$51*'Assumptions'!$D$11*(1+'Assumptions'!$D$13)^(12-1)</x:f>
        <x:v>0</x:v>
      </x:c>
      <x:c r="V1437" s="10" t="n">
        <x:f>0</x:f>
        <x:v>0</x:v>
      </x:c>
      <x:c r="W1437" s="10" t="n">
        <x:f>H1437*('Assumptions'!$P$51+'Assumptions'!$Y$51)</x:f>
        <x:v>90.94724355040069</x:v>
      </x:c>
      <x:c r="X1437" s="10" t="n">
        <x:f>N1437/12*'Assumptions'!$AF$51</x:f>
        <x:v>2035.8190671666616</x:v>
      </x:c>
      <x:c r="Y1437" s="10" t="n">
        <x:f>P1437/12</x:f>
        <x:v>32.280065377305135</x:v>
      </x:c>
      <x:c r="Z1437" s="10" t="n">
        <x:f>0</x:f>
        <x:v>0</x:v>
      </x:c>
      <x:c r="AA1437" s="10" t="n">
        <x:f>Z1437*'Assumptions'!$AC$51*'Assumptions'!$D$11*(1+'Assumptions'!$D$13)^(12-1)</x:f>
        <x:v>0</x:v>
      </x:c>
      <x:c r="AB1437" s="10" t="n">
        <x:f>F1437/1</x:f>
        <x:v>14.405266610948427</x:v>
      </x:c>
      <x:c r="AC1437" s="10" t="n">
        <x:f>AB1437/'Assumptions'!$AM$51</x:f>
        <x:v>72.02633305474212</x:v>
      </x:c>
      <x:c r="AD1437" s="10" t="n">
        <x:f>IF(AB1437=0,0,T1437/AB1437)</x:f>
        <x:v>67.83582550963007</x:v>
      </x:c>
      <x:c r="AE1437" s="10" t="n">
        <x:f>AA1437*'Assumptions'!$D$21</x:f>
        <x:v>0</x:v>
      </x:c>
    </x:row>
    <x:row r="1438" ht="16" customHeight="1">
      <x:c r="A1438" s="1"/>
      <x:c r="B1438" s="1"/>
      <x:c r="C1438" s="1" t="str">
        <x:v>DOT-023</x:v>
      </x:c>
      <x:c r="D1438" s="10" t="str">
        <x:v>BPA professional services</x:v>
      </x:c>
      <x:c r="E1438" s="10" t="n">
        <x:v>12</x:v>
      </x:c>
      <x:c r="F1438" s="21" t="n">
        <x:f>F1310*(1+'Assumptions'!$M$52)</x:f>
        <x:v>9.003291631842766</x:v>
      </x:c>
      <x:c r="G1438" s="21" t="n">
        <x:f>H1310*'Assumptions'!$K$52</x:f>
        <x:v>8.48656289708044</x:v>
      </x:c>
      <x:c r="H1438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1438+G1438,NA())</x:f>
        <x:v>17.489854528923203</x:v>
      </x:c>
      <x:c r="I1438" s="22" t="n">
        <x:f>'Assumptions'!$H$52*IF('Assumptions'!$O$52=1,1,'Assumptions'!$D$10)*(1+'Assumptions'!$N$52)^(12-1)</x:f>
        <x:v>1800</x:v>
      </x:c>
      <x:c r="J1438" s="10" t="n">
        <x:f>H1438*I1438</x:f>
        <x:v>31481.738152061767</x:v>
      </x:c>
      <x:c r="K1438" s="10" t="n">
        <x:f>J1438*'Assumptions'!$T$52</x:f>
        <x:v>31481.738152061767</x:v>
      </x:c>
      <x:c r="L1438" s="10" t="n">
        <x:f>K1438*'Assumptions'!$U$52</x:f>
        <x:v>944.452144561853</x:v>
      </x:c>
      <x:c r="M1438" s="10" t="n">
        <x:f>K1438*'Assumptions'!$V$52</x:f>
        <x:v>0</x:v>
      </x:c>
      <x:c r="N1438" s="10" t="n">
        <x:f>K1438-L1438-M1438</x:f>
        <x:v>30537.286007499915</x:v>
      </x:c>
      <x:c r="O1438" s="10" t="n">
        <x:f>H1438*'Assumptions'!$P$52*'Assumptions'!$Q$52*'Assumptions'!$D$11*(1+'Assumptions'!$D$13)^(12-1)</x:f>
        <x:v>8715.617651872384</x:v>
      </x:c>
      <x:c r="P1438" s="10" t="n">
        <x:f>H1438*'Assumptions'!$R$52*'Assumptions'!$D$11*(1+'Assumptions'!$D$13)^(12-1)</x:f>
        <x:v>242.10049032978847</x:v>
      </x:c>
      <x:c r="Q1438" s="10" t="n">
        <x:f>J1438*'Assumptions'!$S$52</x:f>
        <x:v>0</x:v>
      </x:c>
      <x:c r="R1438" s="10" t="n">
        <x:f>H1438*'Assumptions'!$Y$52*'Assumptions'!$Z$52*'Assumptions'!$D$11*(1+'Assumptions'!$D$13)^(12-1)</x:f>
        <x:v>181.57536774734135</x:v>
      </x:c>
      <x:c r="S1438" s="10" t="n">
        <x:f>IF(I1438=0,0,J1438*'Assumptions'!$W$52+H1438*'Assumptions'!$X$52)</x:f>
        <x:v>918.2173627684682</x:v>
      </x:c>
      <x:c r="T1438" s="10" t="n">
        <x:f>N1438*'Assumptions'!$AA$52</x:f>
        <x:v>1221.4914402999966</x:v>
      </x:c>
      <x:c r="U1438" s="10" t="n">
        <x:f>'Assumptions'!$AE$52*'Assumptions'!$D$11*(1+'Assumptions'!$D$13)^(12-1)</x:f>
        <x:v>0</x:v>
      </x:c>
      <x:c r="V1438" s="10" t="n">
        <x:f>0</x:f>
        <x:v>0</x:v>
      </x:c>
      <x:c r="W1438" s="10" t="n">
        <x:f>H1438*('Assumptions'!$P$52+'Assumptions'!$Y$52)</x:f>
        <x:v>109.31159080577002</x:v>
      </x:c>
      <x:c r="X1438" s="10" t="n">
        <x:f>N1438/12*'Assumptions'!$AF$52</x:f>
        <x:v>2544.773833958326</x:v>
      </x:c>
      <x:c r="Y1438" s="10" t="n">
        <x:f>P1438/12</x:f>
        <x:v>20.175040860815706</x:v>
      </x:c>
      <x:c r="Z1438" s="10" t="n">
        <x:f>0</x:f>
        <x:v>0</x:v>
      </x:c>
      <x:c r="AA1438" s="10" t="n">
        <x:f>Z1438*'Assumptions'!$AC$52*'Assumptions'!$D$11*(1+'Assumptions'!$D$13)^(12-1)</x:f>
        <x:v>0</x:v>
      </x:c>
      <x:c r="AB1438" s="10" t="n">
        <x:f>F1438/1</x:f>
        <x:v>9.003291631842766</x:v>
      </x:c>
      <x:c r="AC1438" s="10" t="n">
        <x:f>AB1438/'Assumptions'!$AM$52</x:f>
        <x:v>45.016458159213826</x:v>
      </x:c>
      <x:c r="AD1438" s="10" t="n">
        <x:f>IF(AB1438=0,0,T1438/AB1438)</x:f>
        <x:v>135.6716510192601</x:v>
      </x:c>
      <x:c r="AE1438" s="10" t="n">
        <x:f>AA1438*'Assumptions'!$D$21</x:f>
        <x:v>0</x:v>
      </x:c>
    </x:row>
    <x:row r="1439" ht="16" customHeight="1">
      <x:c r="A1439" s="1"/>
      <x:c r="B1439" s="1"/>
      <x:c r="C1439" s="1" t="str">
        <x:v>DOT-024</x:v>
      </x:c>
      <x:c r="D1439" s="10" t="str">
        <x:v>BPA professional services</x:v>
      </x:c>
      <x:c r="E1439" s="10" t="n">
        <x:v>12</x:v>
      </x:c>
      <x:c r="F1439" s="21" t="n">
        <x:f>F1311*(1+'Assumptions'!$M$53)</x:f>
        <x:v>45.01645815921383</x:v>
      </x:c>
      <x:c r="G1439" s="21" t="n">
        <x:f>H1311*'Assumptions'!$K$53</x:f>
        <x:v>42.4267109697772</x:v>
      </x:c>
      <x:c r="H1439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1439+G1439,NA())</x:f>
        <x:v>87.44316912899103</x:v>
      </x:c>
      <x:c r="I1439" s="22" t="n">
        <x:f>'Assumptions'!$H$53*IF('Assumptions'!$O$53=1,1,'Assumptions'!$D$10)*(1+'Assumptions'!$N$53)^(12-1)</x:f>
        <x:v>540</x:v>
      </x:c>
      <x:c r="J1439" s="10" t="n">
        <x:f>H1439*I1439</x:f>
        <x:v>47219.31132965516</x:v>
      </x:c>
      <x:c r="K1439" s="10" t="n">
        <x:f>J1439*'Assumptions'!$T$53</x:f>
        <x:v>47219.31132965516</x:v>
      </x:c>
      <x:c r="L1439" s="10" t="n">
        <x:f>K1439*'Assumptions'!$U$53</x:f>
        <x:v>1416.5793398896546</x:v>
      </x:c>
      <x:c r="M1439" s="10" t="n">
        <x:f>K1439*'Assumptions'!$V$53</x:f>
        <x:v>0</x:v>
      </x:c>
      <x:c r="N1439" s="10" t="n">
        <x:f>K1439-L1439-M1439</x:f>
        <x:v>45802.7319897655</x:v>
      </x:c>
      <x:c r="O1439" s="10" t="n">
        <x:f>H1439*'Assumptions'!$P$53*'Assumptions'!$Q$53*'Assumptions'!$D$11*(1+'Assumptions'!$D$13)^(12-1)</x:f>
        <x:v>14525.015576620275</x:v>
      </x:c>
      <x:c r="P1439" s="10" t="n">
        <x:f>H1439*'Assumptions'!$R$53*'Assumptions'!$D$11*(1+'Assumptions'!$D$13)^(12-1)</x:f>
        <x:v>1210.4179647183564</x:v>
      </x:c>
      <x:c r="Q1439" s="10" t="n">
        <x:f>J1439*'Assumptions'!$S$53</x:f>
        <x:v>0</x:v>
      </x:c>
      <x:c r="R1439" s="10" t="n">
        <x:f>H1439*'Assumptions'!$Y$53*'Assumptions'!$Z$53*'Assumptions'!$D$11*(1+'Assumptions'!$D$13)^(12-1)</x:f>
        <x:v>907.8134735387672</x:v>
      </x:c>
      <x:c r="S1439" s="10" t="n">
        <x:f>IF(I1439=0,0,J1439*'Assumptions'!$W$53+H1439*'Assumptions'!$X$53)</x:f>
        <x:v>1395.5929792986972</x:v>
      </x:c>
      <x:c r="T1439" s="10" t="n">
        <x:f>N1439*'Assumptions'!$AA$53</x:f>
        <x:v>1832.1092795906202</x:v>
      </x:c>
      <x:c r="U1439" s="10" t="n">
        <x:f>'Assumptions'!$AE$53*'Assumptions'!$D$11*(1+'Assumptions'!$D$13)^(12-1)</x:f>
        <x:v>0</x:v>
      </x:c>
      <x:c r="V1439" s="10" t="n">
        <x:f>0</x:f>
        <x:v>0</x:v>
      </x:c>
      <x:c r="W1439" s="10" t="n">
        <x:f>H1439*('Assumptions'!$P$53+'Assumptions'!$Y$53)</x:f>
        <x:v>196.74713054022982</x:v>
      </x:c>
      <x:c r="X1439" s="10" t="n">
        <x:f>N1439/12*'Assumptions'!$AF$53</x:f>
        <x:v>3816.8943324804586</x:v>
      </x:c>
      <x:c r="Y1439" s="10" t="n">
        <x:f>P1439/12</x:f>
        <x:v>100.8681637265297</x:v>
      </x:c>
      <x:c r="Z1439" s="10" t="n">
        <x:f>0</x:f>
        <x:v>0</x:v>
      </x:c>
      <x:c r="AA1439" s="10" t="n">
        <x:f>Z1439*'Assumptions'!$AC$53*'Assumptions'!$D$11*(1+'Assumptions'!$D$13)^(12-1)</x:f>
        <x:v>0</x:v>
      </x:c>
      <x:c r="AB1439" s="10" t="n">
        <x:f>F1439/1</x:f>
        <x:v>45.01645815921383</x:v>
      </x:c>
      <x:c r="AC1439" s="10" t="n">
        <x:f>AB1439/'Assumptions'!$AM$53</x:f>
        <x:v>225.08229079606915</x:v>
      </x:c>
      <x:c r="AD1439" s="10" t="n">
        <x:f>IF(AB1439=0,0,T1439/AB1439)</x:f>
        <x:v>40.69865454787294</x:v>
      </x:c>
      <x:c r="AE1439" s="10" t="n">
        <x:f>AA1439*'Assumptions'!$D$21</x:f>
        <x:v>0</x:v>
      </x:c>
    </x:row>
    <x:row r="1440" ht="16" customHeight="1">
      <x:c r="A1440" s="1"/>
      <x:c r="B1440" s="1"/>
      <x:c r="C1440" s="1" t="str">
        <x:v>DOT-025</x:v>
      </x:c>
      <x:c r="D1440" s="10" t="str">
        <x:v>BPA professional services</x:v>
      </x:c>
      <x:c r="E1440" s="10" t="n">
        <x:v>12</x:v>
      </x:c>
      <x:c r="F1440" s="21" t="n">
        <x:f>F1312*(1+'Assumptions'!$M$54)</x:f>
        <x:v>18.00658326368553</x:v>
      </x:c>
      <x:c r="G1440" s="21" t="n">
        <x:f>H1312*'Assumptions'!$K$54</x:f>
        <x:v>16.97068438791088</x:v>
      </x:c>
      <x:c r="H1440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1440+G1440,NA())</x:f>
        <x:v>34.97726765159641</x:v>
      </x:c>
      <x:c r="I1440" s="22" t="n">
        <x:f>'Assumptions'!$H$54*IF('Assumptions'!$O$54=1,1,'Assumptions'!$D$10)*(1+'Assumptions'!$N$54)^(12-1)</x:f>
        <x:v>1020</x:v>
      </x:c>
      <x:c r="J1440" s="10" t="n">
        <x:f>H1440*I1440</x:f>
        <x:v>35676.81300462833</x:v>
      </x:c>
      <x:c r="K1440" s="10" t="n">
        <x:f>J1440*'Assumptions'!$T$54</x:f>
        <x:v>35676.81300462833</x:v>
      </x:c>
      <x:c r="L1440" s="10" t="n">
        <x:f>K1440*'Assumptions'!$U$54</x:f>
        <x:v>1070.30439013885</x:v>
      </x:c>
      <x:c r="M1440" s="10" t="n">
        <x:f>K1440*'Assumptions'!$V$54</x:f>
        <x:v>0</x:v>
      </x:c>
      <x:c r="N1440" s="10" t="n">
        <x:f>K1440-L1440-M1440</x:f>
        <x:v>34606.50861448948</x:v>
      </x:c>
      <x:c r="O1440" s="10" t="n">
        <x:f>H1440*'Assumptions'!$P$54*'Assumptions'!$Q$54*'Assumptions'!$D$11*(1+'Assumptions'!$D$13)^(12-1)</x:f>
        <x:v>14525.015576620273</x:v>
      </x:c>
      <x:c r="P1440" s="10" t="n">
        <x:f>H1440*'Assumptions'!$R$54*'Assumptions'!$D$11*(1+'Assumptions'!$D$13)^(12-1)</x:f>
        <x:v>484.16718588734244</x:v>
      </x:c>
      <x:c r="Q1440" s="10" t="n">
        <x:f>J1440*'Assumptions'!$S$54</x:f>
        <x:v>0</x:v>
      </x:c>
      <x:c r="R1440" s="10" t="n">
        <x:f>H1440*'Assumptions'!$Y$54*'Assumptions'!$Z$54*'Assumptions'!$D$11*(1+'Assumptions'!$D$13)^(12-1)</x:f>
        <x:v>363.1253894155068</x:v>
      </x:c>
      <x:c r="S1440" s="10" t="n">
        <x:f>IF(I1440=0,0,J1440*'Assumptions'!$W$54+H1440*'Assumptions'!$X$54)</x:f>
        <x:v>1045.1207574297005</x:v>
      </x:c>
      <x:c r="T1440" s="10" t="n">
        <x:f>N1440*'Assumptions'!$AA$54</x:f>
        <x:v>1384.2603445795792</x:v>
      </x:c>
      <x:c r="U1440" s="10" t="n">
        <x:f>'Assumptions'!$AE$54*'Assumptions'!$D$11*(1+'Assumptions'!$D$13)^(12-1)</x:f>
        <x:v>0</x:v>
      </x:c>
      <x:c r="V1440" s="10" t="n">
        <x:f>0</x:f>
        <x:v>0</x:v>
      </x:c>
      <x:c r="W1440" s="10" t="n">
        <x:f>H1440*('Assumptions'!$P$54+'Assumptions'!$Y$54)</x:f>
        <x:v>183.63065517088114</x:v>
      </x:c>
      <x:c r="X1440" s="10" t="n">
        <x:f>N1440/12*'Assumptions'!$AF$54</x:f>
        <x:v>2883.8757178741234</x:v>
      </x:c>
      <x:c r="Y1440" s="10" t="n">
        <x:f>P1440/12</x:f>
        <x:v>40.34726549061187</x:v>
      </x:c>
      <x:c r="Z1440" s="10" t="n">
        <x:f>0</x:f>
        <x:v>0</x:v>
      </x:c>
      <x:c r="AA1440" s="10" t="n">
        <x:f>Z1440*'Assumptions'!$AC$54*'Assumptions'!$D$11*(1+'Assumptions'!$D$13)^(12-1)</x:f>
        <x:v>0</x:v>
      </x:c>
      <x:c r="AB1440" s="10" t="n">
        <x:f>F1440/1</x:f>
        <x:v>18.00658326368553</x:v>
      </x:c>
      <x:c r="AC1440" s="10" t="n">
        <x:f>AB1440/'Assumptions'!$AM$54</x:f>
        <x:v>90.03291631842765</x:v>
      </x:c>
      <x:c r="AD1440" s="10" t="n">
        <x:f>IF(AB1440=0,0,T1440/AB1440)</x:f>
        <x:v>76.87523636820443</x:v>
      </x:c>
      <x:c r="AE1440" s="10" t="n">
        <x:f>AA1440*'Assumptions'!$D$21</x:f>
        <x:v>0</x:v>
      </x:c>
    </x:row>
    <x:row r="1441" ht="16" customHeight="1">
      <x:c r="A1441" s="1"/>
      <x:c r="B1441" s="1"/>
      <x:c r="C1441" s="1" t="str">
        <x:v>DOT-026</x:v>
      </x:c>
      <x:c r="D1441" s="10" t="str">
        <x:v>BPA professional services</x:v>
      </x:c>
      <x:c r="E1441" s="10" t="n">
        <x:v>12</x:v>
      </x:c>
      <x:c r="F1441" s="21" t="n">
        <x:f>F1313*(1+'Assumptions'!$M$55)</x:f>
        <x:v>7.2026333054742135</x:v>
      </x:c>
      <x:c r="G1441" s="21" t="n">
        <x:f>H1313*'Assumptions'!$K$55</x:f>
        <x:v>6.788273755164352</x:v>
      </x:c>
      <x:c r="H1441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1441+G1441,NA())</x:f>
        <x:v>13.990907060638566</x:v>
      </x:c>
      <x:c r="I1441" s="22" t="n">
        <x:f>'Assumptions'!$H$55*IF('Assumptions'!$O$55=1,1,'Assumptions'!$D$10)*(1+'Assumptions'!$N$55)^(12-1)</x:f>
        <x:v>1800</x:v>
      </x:c>
      <x:c r="J1441" s="10" t="n">
        <x:f>H1441*I1441</x:f>
        <x:v>25183.63270914942</x:v>
      </x:c>
      <x:c r="K1441" s="10" t="n">
        <x:f>J1441*'Assumptions'!$T$55</x:f>
        <x:v>25183.63270914942</x:v>
      </x:c>
      <x:c r="L1441" s="10" t="n">
        <x:f>K1441*'Assumptions'!$U$55</x:f>
        <x:v>755.5089812744826</x:v>
      </x:c>
      <x:c r="M1441" s="10" t="n">
        <x:f>K1441*'Assumptions'!$V$55</x:f>
        <x:v>0</x:v>
      </x:c>
      <x:c r="N1441" s="10" t="n">
        <x:f>K1441-L1441-M1441</x:f>
        <x:v>24428.12372787494</x:v>
      </x:c>
      <x:c r="O1441" s="10" t="n">
        <x:f>H1441*'Assumptions'!$P$55*'Assumptions'!$Q$55*'Assumptions'!$D$11*(1+'Assumptions'!$D$13)^(12-1)</x:f>
        <x:v>11620.01246129622</x:v>
      </x:c>
      <x:c r="P1441" s="10" t="n">
        <x:f>H1441*'Assumptions'!$R$55*'Assumptions'!$D$11*(1+'Assumptions'!$D$13)^(12-1)</x:f>
        <x:v>193.66687435493702</x:v>
      </x:c>
      <x:c r="Q1441" s="10" t="n">
        <x:f>J1441*'Assumptions'!$S$55</x:f>
        <x:v>0</x:v>
      </x:c>
      <x:c r="R1441" s="10" t="n">
        <x:f>H1441*'Assumptions'!$Y$55*'Assumptions'!$Z$55*'Assumptions'!$D$11*(1+'Assumptions'!$D$13)^(12-1)</x:f>
        <x:v>145.25015576620277</x:v>
      </x:c>
      <x:c r="S1441" s="10" t="n">
        <x:f>IF(I1441=0,0,J1441*'Assumptions'!$W$55+H1441*'Assumptions'!$X$55)</x:f>
        <x:v>734.5226206835248</x:v>
      </x:c>
      <x:c r="T1441" s="10" t="n">
        <x:f>N1441*'Assumptions'!$AA$55</x:f>
        <x:v>977.1249491149975</x:v>
      </x:c>
      <x:c r="U1441" s="10" t="n">
        <x:f>'Assumptions'!$AE$55*'Assumptions'!$D$11*(1+'Assumptions'!$D$13)^(12-1)</x:f>
        <x:v>0</x:v>
      </x:c>
      <x:c r="V1441" s="10" t="n">
        <x:f>0</x:f>
        <x:v>0</x:v>
      </x:c>
      <x:c r="W1441" s="10" t="n">
        <x:f>H1441*('Assumptions'!$P$55+'Assumptions'!$Y$55)</x:f>
        <x:v>143.4067973715453</x:v>
      </x:c>
      <x:c r="X1441" s="10" t="n">
        <x:f>N1441/12*'Assumptions'!$AF$55</x:f>
        <x:v>2035.6769773229116</x:v>
      </x:c>
      <x:c r="Y1441" s="10" t="n">
        <x:f>P1441/12</x:f>
        <x:v>16.13890619624475</x:v>
      </x:c>
      <x:c r="Z1441" s="10" t="n">
        <x:f>0</x:f>
        <x:v>0</x:v>
      </x:c>
      <x:c r="AA1441" s="10" t="n">
        <x:f>Z1441*'Assumptions'!$AC$55*'Assumptions'!$D$11*(1+'Assumptions'!$D$13)^(12-1)</x:f>
        <x:v>0</x:v>
      </x:c>
      <x:c r="AB1441" s="10" t="n">
        <x:f>F1441/1</x:f>
        <x:v>7.2026333054742135</x:v>
      </x:c>
      <x:c r="AC1441" s="10" t="n">
        <x:f>AB1441/'Assumptions'!$AM$55</x:f>
        <x:v>36.01316652737106</x:v>
      </x:c>
      <x:c r="AD1441" s="10" t="n">
        <x:f>IF(AB1441=0,0,T1441/AB1441)</x:f>
        <x:v>135.66218182624317</x:v>
      </x:c>
      <x:c r="AE1441" s="10" t="n">
        <x:f>AA1441*'Assumptions'!$D$21</x:f>
        <x:v>0</x:v>
      </x:c>
    </x:row>
    <x:row r="1442" ht="16" customHeight="1">
      <x:c r="A1442" s="1"/>
      <x:c r="B1442" s="1"/>
      <x:c r="C1442" s="1" t="str">
        <x:v>DOT-027</x:v>
      </x:c>
      <x:c r="D1442" s="10" t="str">
        <x:v>BPA professional services</x:v>
      </x:c>
      <x:c r="E1442" s="10" t="n">
        <x:v>12</x:v>
      </x:c>
      <x:c r="F1442" s="21" t="n">
        <x:f>F1314*(1+'Assumptions'!$M$56)</x:f>
        <x:v>7.2026333054742135</x:v>
      </x:c>
      <x:c r="G1442" s="21" t="n">
        <x:f>H1314*'Assumptions'!$K$56</x:f>
        <x:v>6.788273755164352</x:v>
      </x:c>
      <x:c r="H1442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1442+G1442,NA())</x:f>
        <x:v>13.990907060638566</x:v>
      </x:c>
      <x:c r="I1442" s="22" t="n">
        <x:f>'Assumptions'!$H$56*IF('Assumptions'!$O$56=1,1,'Assumptions'!$D$10)*(1+'Assumptions'!$N$56)^(12-1)</x:f>
        <x:v>1800</x:v>
      </x:c>
      <x:c r="J1442" s="10" t="n">
        <x:f>H1442*I1442</x:f>
        <x:v>25183.63270914942</x:v>
      </x:c>
      <x:c r="K1442" s="10" t="n">
        <x:f>J1442*'Assumptions'!$T$56</x:f>
        <x:v>25183.63270914942</x:v>
      </x:c>
      <x:c r="L1442" s="10" t="n">
        <x:f>K1442*'Assumptions'!$U$56</x:f>
        <x:v>755.5089812744826</x:v>
      </x:c>
      <x:c r="M1442" s="10" t="n">
        <x:f>K1442*'Assumptions'!$V$56</x:f>
        <x:v>0</x:v>
      </x:c>
      <x:c r="N1442" s="10" t="n">
        <x:f>K1442-L1442-M1442</x:f>
        <x:v>24428.12372787494</x:v>
      </x:c>
      <x:c r="O1442" s="10" t="n">
        <x:f>H1442*'Assumptions'!$P$56*'Assumptions'!$Q$56*'Assumptions'!$D$11*(1+'Assumptions'!$D$13)^(12-1)</x:f>
        <x:v>11620.01246129622</x:v>
      </x:c>
      <x:c r="P1442" s="10" t="n">
        <x:f>H1442*'Assumptions'!$R$56*'Assumptions'!$D$11*(1+'Assumptions'!$D$13)^(12-1)</x:f>
        <x:v>193.66687435493702</x:v>
      </x:c>
      <x:c r="Q1442" s="10" t="n">
        <x:f>J1442*'Assumptions'!$S$56</x:f>
        <x:v>0</x:v>
      </x:c>
      <x:c r="R1442" s="10" t="n">
        <x:f>H1442*'Assumptions'!$Y$56*'Assumptions'!$Z$56*'Assumptions'!$D$11*(1+'Assumptions'!$D$13)^(12-1)</x:f>
        <x:v>145.25015576620277</x:v>
      </x:c>
      <x:c r="S1442" s="10" t="n">
        <x:f>IF(I1442=0,0,J1442*'Assumptions'!$W$56+H1442*'Assumptions'!$X$56)</x:f>
        <x:v>734.5226206835248</x:v>
      </x:c>
      <x:c r="T1442" s="10" t="n">
        <x:f>N1442*'Assumptions'!$AA$56</x:f>
        <x:v>977.1249491149975</x:v>
      </x:c>
      <x:c r="U1442" s="10" t="n">
        <x:f>'Assumptions'!$AE$56*'Assumptions'!$D$11*(1+'Assumptions'!$D$13)^(12-1)</x:f>
        <x:v>0</x:v>
      </x:c>
      <x:c r="V1442" s="10" t="n">
        <x:f>0</x:f>
        <x:v>0</x:v>
      </x:c>
      <x:c r="W1442" s="10" t="n">
        <x:f>H1442*('Assumptions'!$P$56+'Assumptions'!$Y$56)</x:f>
        <x:v>143.4067973715453</x:v>
      </x:c>
      <x:c r="X1442" s="10" t="n">
        <x:f>N1442/12*'Assumptions'!$AF$56</x:f>
        <x:v>2035.6769773229116</x:v>
      </x:c>
      <x:c r="Y1442" s="10" t="n">
        <x:f>P1442/12</x:f>
        <x:v>16.13890619624475</x:v>
      </x:c>
      <x:c r="Z1442" s="10" t="n">
        <x:f>0</x:f>
        <x:v>0</x:v>
      </x:c>
      <x:c r="AA1442" s="10" t="n">
        <x:f>Z1442*'Assumptions'!$AC$56*'Assumptions'!$D$11*(1+'Assumptions'!$D$13)^(12-1)</x:f>
        <x:v>0</x:v>
      </x:c>
      <x:c r="AB1442" s="10" t="n">
        <x:f>F1442/1</x:f>
        <x:v>7.2026333054742135</x:v>
      </x:c>
      <x:c r="AC1442" s="10" t="n">
        <x:f>AB1442/'Assumptions'!$AM$56</x:f>
        <x:v>36.01316652737106</x:v>
      </x:c>
      <x:c r="AD1442" s="10" t="n">
        <x:f>IF(AB1442=0,0,T1442/AB1442)</x:f>
        <x:v>135.66218182624317</x:v>
      </x:c>
      <x:c r="AE1442" s="10" t="n">
        <x:f>AA1442*'Assumptions'!$D$21</x:f>
        <x:v>0</x:v>
      </x:c>
    </x:row>
    <x:row r="1443" ht="16" customHeight="1">
      <x:c r="A1443" s="1"/>
      <x:c r="B1443" s="1"/>
      <x:c r="C1443" s="1" t="str">
        <x:v>DOT-028</x:v>
      </x:c>
      <x:c r="D1443" s="10" t="str">
        <x:v>BPA professional services</x:v>
      </x:c>
      <x:c r="E1443" s="10" t="n">
        <x:v>12</x:v>
      </x:c>
      <x:c r="F1443" s="21" t="n">
        <x:f>F1315*(1+'Assumptions'!$M$57)</x:f>
        <x:v>3.6013166527371068</x:v>
      </x:c>
      <x:c r="G1443" s="21" t="n">
        <x:f>H1315*'Assumptions'!$K$57</x:f>
        <x:v>3.394136877582176</x:v>
      </x:c>
      <x:c r="H1443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1443+G1443,NA())</x:f>
        <x:v>6.995453530319283</x:v>
      </x:c>
      <x:c r="I1443" s="22" t="n">
        <x:f>'Assumptions'!$H$57*IF('Assumptions'!$O$57=1,1,'Assumptions'!$D$10)*(1+'Assumptions'!$N$57)^(12-1)</x:f>
        <x:v>1800</x:v>
      </x:c>
      <x:c r="J1443" s="10" t="n">
        <x:f>H1443*I1443</x:f>
        <x:v>12591.81635457471</x:v>
      </x:c>
      <x:c r="K1443" s="10" t="n">
        <x:f>J1443*'Assumptions'!$T$57</x:f>
        <x:v>12591.81635457471</x:v>
      </x:c>
      <x:c r="L1443" s="10" t="n">
        <x:f>K1443*'Assumptions'!$U$57</x:f>
        <x:v>377.7544906372413</x:v>
      </x:c>
      <x:c r="M1443" s="10" t="n">
        <x:f>K1443*'Assumptions'!$V$57</x:f>
        <x:v>0</x:v>
      </x:c>
      <x:c r="N1443" s="10" t="n">
        <x:f>K1443-L1443-M1443</x:f>
        <x:v>12214.06186393747</x:v>
      </x:c>
      <x:c r="O1443" s="10" t="n">
        <x:f>H1443*'Assumptions'!$P$57*'Assumptions'!$Q$57*'Assumptions'!$D$11*(1+'Assumptions'!$D$13)^(12-1)</x:f>
        <x:v>6972.007476777733</x:v>
      </x:c>
      <x:c r="P1443" s="10" t="n">
        <x:f>H1443*'Assumptions'!$R$57*'Assumptions'!$D$11*(1+'Assumptions'!$D$13)^(12-1)</x:f>
        <x:v>96.83343717746851</x:v>
      </x:c>
      <x:c r="Q1443" s="10" t="n">
        <x:f>J1443*'Assumptions'!$S$57</x:f>
        <x:v>0</x:v>
      </x:c>
      <x:c r="R1443" s="10" t="n">
        <x:f>H1443*'Assumptions'!$Y$57*'Assumptions'!$Z$57*'Assumptions'!$D$11*(1+'Assumptions'!$D$13)^(12-1)</x:f>
        <x:v>72.62507788310138</x:v>
      </x:c>
      <x:c r="S1443" s="10" t="n">
        <x:f>IF(I1443=0,0,J1443*'Assumptions'!$W$57+H1443*'Assumptions'!$X$57)</x:f>
        <x:v>367.2613103417624</x:v>
      </x:c>
      <x:c r="T1443" s="10" t="n">
        <x:f>N1443*'Assumptions'!$AA$57</x:f>
        <x:v>488.5624745574988</x:v>
      </x:c>
      <x:c r="U1443" s="10" t="n">
        <x:f>'Assumptions'!$AE$57*'Assumptions'!$D$11*(1+'Assumptions'!$D$13)^(12-1)</x:f>
        <x:v>0</x:v>
      </x:c>
      <x:c r="V1443" s="10" t="n">
        <x:f>0</x:f>
        <x:v>0</x:v>
      </x:c>
      <x:c r="W1443" s="10" t="n">
        <x:f>H1443*('Assumptions'!$P$57+'Assumptions'!$Y$57)</x:f>
        <x:v>85.69430574641122</x:v>
      </x:c>
      <x:c r="X1443" s="10" t="n">
        <x:f>N1443/12*'Assumptions'!$AF$57</x:f>
        <x:v>1017.8384886614558</x:v>
      </x:c>
      <x:c r="Y1443" s="10" t="n">
        <x:f>P1443/12</x:f>
        <x:v>8.069453098122375</x:v>
      </x:c>
      <x:c r="Z1443" s="10" t="n">
        <x:f>0</x:f>
        <x:v>0</x:v>
      </x:c>
      <x:c r="AA1443" s="10" t="n">
        <x:f>Z1443*'Assumptions'!$AC$57*'Assumptions'!$D$11*(1+'Assumptions'!$D$13)^(12-1)</x:f>
        <x:v>0</x:v>
      </x:c>
      <x:c r="AB1443" s="10" t="n">
        <x:f>F1443/1</x:f>
        <x:v>3.6013166527371068</x:v>
      </x:c>
      <x:c r="AC1443" s="10" t="n">
        <x:f>AB1443/'Assumptions'!$AM$57</x:f>
        <x:v>18.00658326368553</x:v>
      </x:c>
      <x:c r="AD1443" s="10" t="n">
        <x:f>IF(AB1443=0,0,T1443/AB1443)</x:f>
        <x:v>135.66218182624317</x:v>
      </x:c>
      <x:c r="AE1443" s="10" t="n">
        <x:f>AA1443*'Assumptions'!$D$21</x:f>
        <x:v>0</x:v>
      </x:c>
    </x:row>
    <x:row r="1444" ht="16" customHeight="1">
      <x:c r="A1444" s="1"/>
      <x:c r="B1444" s="1"/>
      <x:c r="C1444" s="1" t="str">
        <x:v>DOT-029</x:v>
      </x:c>
      <x:c r="D1444" s="10" t="str">
        <x:v>BPA professional services</x:v>
      </x:c>
      <x:c r="E1444" s="10" t="n">
        <x:v>12</x:v>
      </x:c>
      <x:c r="F1444" s="21" t="n">
        <x:f>F1316*(1+'Assumptions'!$M$58)</x:f>
        <x:v>36.01316652737106</x:v>
      </x:c>
      <x:c r="G1444" s="21" t="n">
        <x:f>H1316*'Assumptions'!$K$58</x:f>
        <x:v>33.94136877582176</x:v>
      </x:c>
      <x:c r="H1444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1444+G1444,NA())</x:f>
        <x:v>69.95453530319281</x:v>
      </x:c>
      <x:c r="I1444" s="22" t="n">
        <x:f>'Assumptions'!$H$58*IF('Assumptions'!$O$58=1,1,'Assumptions'!$D$10)*(1+'Assumptions'!$N$58)^(12-1)</x:f>
        <x:v>180</x:v>
      </x:c>
      <x:c r="J1444" s="10" t="n">
        <x:f>H1444*I1444</x:f>
        <x:v>12591.816354574707</x:v>
      </x:c>
      <x:c r="K1444" s="10" t="n">
        <x:f>J1444*'Assumptions'!$T$58</x:f>
        <x:v>12591.816354574707</x:v>
      </x:c>
      <x:c r="L1444" s="10" t="n">
        <x:f>K1444*'Assumptions'!$U$58</x:f>
        <x:v>377.7544906372412</x:v>
      </x:c>
      <x:c r="M1444" s="10" t="n">
        <x:f>K1444*'Assumptions'!$V$58</x:f>
        <x:v>0</x:v>
      </x:c>
      <x:c r="N1444" s="10" t="n">
        <x:f>K1444-L1444-M1444</x:f>
        <x:v>12214.061863937466</x:v>
      </x:c>
      <x:c r="O1444" s="10" t="n">
        <x:f>H1444*'Assumptions'!$P$58*'Assumptions'!$Q$58*'Assumptions'!$D$11*(1+'Assumptions'!$D$13)^(12-1)</x:f>
        <x:v>5810.006230648109</x:v>
      </x:c>
      <x:c r="P1444" s="10" t="n">
        <x:f>H1444*'Assumptions'!$R$58*'Assumptions'!$D$11*(1+'Assumptions'!$D$13)^(12-1)</x:f>
        <x:v>968.3343717746849</x:v>
      </x:c>
      <x:c r="Q1444" s="10" t="n">
        <x:f>J1444*'Assumptions'!$S$58</x:f>
        <x:v>0</x:v>
      </x:c>
      <x:c r="R1444" s="10" t="n">
        <x:f>H1444*'Assumptions'!$Y$58*'Assumptions'!$Z$58*'Assumptions'!$D$11*(1+'Assumptions'!$D$13)^(12-1)</x:f>
        <x:v>726.2507788310136</x:v>
      </x:c>
      <x:c r="S1444" s="10" t="n">
        <x:f>IF(I1444=0,0,J1444*'Assumptions'!$W$58+H1444*'Assumptions'!$X$58)</x:f>
        <x:v>386.1490348736244</x:v>
      </x:c>
      <x:c r="T1444" s="10" t="n">
        <x:f>N1444*'Assumptions'!$AA$58</x:f>
        <x:v>488.56247455749866</x:v>
      </x:c>
      <x:c r="U1444" s="10" t="n">
        <x:f>'Assumptions'!$AE$58*'Assumptions'!$D$11*(1+'Assumptions'!$D$13)^(12-1)</x:f>
        <x:v>0</x:v>
      </x:c>
      <x:c r="V1444" s="10" t="n">
        <x:f>0</x:f>
        <x:v>0</x:v>
      </x:c>
      <x:c r="W1444" s="10" t="n">
        <x:f>H1444*('Assumptions'!$P$58+'Assumptions'!$Y$58)</x:f>
        <x:v>87.44316912899102</x:v>
      </x:c>
      <x:c r="X1444" s="10" t="n">
        <x:f>N1444/12*'Assumptions'!$AF$58</x:f>
        <x:v>1017.8384886614555</x:v>
      </x:c>
      <x:c r="Y1444" s="10" t="n">
        <x:f>P1444/12</x:f>
        <x:v>80.69453098122374</x:v>
      </x:c>
      <x:c r="Z1444" s="10" t="n">
        <x:f>0</x:f>
        <x:v>0</x:v>
      </x:c>
      <x:c r="AA1444" s="10" t="n">
        <x:f>Z1444*'Assumptions'!$AC$58*'Assumptions'!$D$11*(1+'Assumptions'!$D$13)^(12-1)</x:f>
        <x:v>0</x:v>
      </x:c>
      <x:c r="AB1444" s="10" t="n">
        <x:f>F1444/1</x:f>
        <x:v>36.01316652737106</x:v>
      </x:c>
      <x:c r="AC1444" s="10" t="n">
        <x:f>AB1444/'Assumptions'!$AM$58</x:f>
        <x:v>180.0658326368553</x:v>
      </x:c>
      <x:c r="AD1444" s="10" t="n">
        <x:f>IF(AB1444=0,0,T1444/AB1444)</x:f>
        <x:v>13.566218182624315</x:v>
      </x:c>
      <x:c r="AE1444" s="10" t="n">
        <x:f>AA1444*'Assumptions'!$D$21</x:f>
        <x:v>0</x:v>
      </x:c>
    </x:row>
    <x:row r="1445" ht="16" customHeight="1">
      <x:c r="A1445" s="1"/>
      <x:c r="B1445" s="1"/>
      <x:c r="C1445" s="1" t="str">
        <x:v>DOT-030</x:v>
      </x:c>
      <x:c r="D1445" s="10" t="str">
        <x:v>BPA professional services</x:v>
      </x:c>
      <x:c r="E1445" s="10" t="n">
        <x:v>12</x:v>
      </x:c>
      <x:c r="F1445" s="21" t="n">
        <x:f>F1317*(1+'Assumptions'!$M$59)</x:f>
        <x:v>7.2026333054742135</x:v>
      </x:c>
      <x:c r="G1445" s="21" t="n">
        <x:f>H1317*'Assumptions'!$K$59</x:f>
        <x:v>6.788273755164352</x:v>
      </x:c>
      <x:c r="H1445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1445+G1445,NA())</x:f>
        <x:v>13.990907060638566</x:v>
      </x:c>
      <x:c r="I1445" s="22" t="n">
        <x:f>'Assumptions'!$H$59*IF('Assumptions'!$O$59=1,1,'Assumptions'!$D$10)*(1+'Assumptions'!$N$59)^(12-1)</x:f>
        <x:v>621.6871541973262</x:v>
      </x:c>
      <x:c r="J1445" s="10" t="n">
        <x:f>H1445*I1445</x:f>
        <x:v>8697.967195167668</x:v>
      </x:c>
      <x:c r="K1445" s="10" t="n">
        <x:f>J1445*'Assumptions'!$T$59</x:f>
        <x:v>8697.967195167668</x:v>
      </x:c>
      <x:c r="L1445" s="10" t="n">
        <x:f>K1445*'Assumptions'!$U$59</x:f>
        <x:v>260.93901585503005</x:v>
      </x:c>
      <x:c r="M1445" s="10" t="n">
        <x:f>K1445*'Assumptions'!$V$59</x:f>
        <x:v>0</x:v>
      </x:c>
      <x:c r="N1445" s="10" t="n">
        <x:f>K1445-L1445-M1445</x:f>
        <x:v>8437.028179312638</x:v>
      </x:c>
      <x:c r="O1445" s="10" t="n">
        <x:f>H1445*'Assumptions'!$P$59*'Assumptions'!$Q$59*'Assumptions'!$D$11*(1+'Assumptions'!$D$13)^(12-1)</x:f>
        <x:v>3486.0037383888666</x:v>
      </x:c>
      <x:c r="P1445" s="10" t="n">
        <x:f>H1445*'Assumptions'!$R$59*'Assumptions'!$D$11*(1+'Assumptions'!$D$13)^(12-1)</x:f>
        <x:v>193.66687435493702</x:v>
      </x:c>
      <x:c r="Q1445" s="10" t="n">
        <x:f>J1445*'Assumptions'!$S$59</x:f>
        <x:v>0</x:v>
      </x:c>
      <x:c r="R1445" s="10" t="n">
        <x:f>H1445*'Assumptions'!$Y$59*'Assumptions'!$Z$59*'Assumptions'!$D$11*(1+'Assumptions'!$D$13)^(12-1)</x:f>
        <x:v>145.25015576620277</x:v>
      </x:c>
      <x:c r="S1445" s="10" t="n">
        <x:f>IF(I1445=0,0,J1445*'Assumptions'!$W$59+H1445*'Assumptions'!$X$59)</x:f>
        <x:v>256.438320778054</x:v>
      </x:c>
      <x:c r="T1445" s="10" t="n">
        <x:f>N1445*'Assumptions'!$AA$59</x:f>
        <x:v>337.4811271725055</x:v>
      </x:c>
      <x:c r="U1445" s="10" t="n">
        <x:f>'Assumptions'!$AE$59*'Assumptions'!$D$11*(1+'Assumptions'!$D$13)^(12-1)</x:f>
        <x:v>0</x:v>
      </x:c>
      <x:c r="V1445" s="10" t="n">
        <x:f>0</x:f>
        <x:v>0</x:v>
      </x:c>
      <x:c r="W1445" s="10" t="n">
        <x:f>H1445*('Assumptions'!$P$59+'Assumptions'!$Y$59)</x:f>
        <x:v>45.47044794707534</x:v>
      </x:c>
      <x:c r="X1445" s="10" t="n">
        <x:f>N1445/12*'Assumptions'!$AF$59</x:f>
        <x:v>703.0856816093865</x:v>
      </x:c>
      <x:c r="Y1445" s="10" t="n">
        <x:f>P1445/12</x:f>
        <x:v>16.13890619624475</x:v>
      </x:c>
      <x:c r="Z1445" s="10" t="n">
        <x:f>0</x:f>
        <x:v>0</x:v>
      </x:c>
      <x:c r="AA1445" s="10" t="n">
        <x:f>Z1445*'Assumptions'!$AC$59*'Assumptions'!$D$11*(1+'Assumptions'!$D$13)^(12-1)</x:f>
        <x:v>0</x:v>
      </x:c>
      <x:c r="AB1445" s="10" t="n">
        <x:f>F1445/1</x:f>
        <x:v>7.2026333054742135</x:v>
      </x:c>
      <x:c r="AC1445" s="10" t="n">
        <x:f>AB1445/'Assumptions'!$AM$59</x:f>
        <x:v>36.01316652737106</x:v>
      </x:c>
      <x:c r="AD1445" s="10" t="n">
        <x:f>IF(AB1445=0,0,T1445/AB1445)</x:f>
        <x:v>46.85524208430962</x:v>
      </x:c>
      <x:c r="AE1445" s="10" t="n">
        <x:f>AA1445*'Assumptions'!$D$21</x:f>
        <x:v>0</x:v>
      </x:c>
    </x:row>
    <x:row r="1446" ht="16" customHeight="1">
      <x:c r="A1446" s="1"/>
      <x:c r="B1446" s="1"/>
      <x:c r="C1446" s="1" t="str">
        <x:v>DOT-031</x:v>
      </x:c>
      <x:c r="D1446" s="10" t="str">
        <x:v>BPA professional services</x:v>
      </x:c>
      <x:c r="E1446" s="10" t="n">
        <x:v>12</x:v>
      </x:c>
      <x:c r="F1446" s="21" t="n">
        <x:f>F1318*(1+'Assumptions'!$M$60)</x:f>
        <x:v>3.6013166527371068</x:v>
      </x:c>
      <x:c r="G1446" s="21" t="n">
        <x:f>H1318*'Assumptions'!$K$60</x:f>
        <x:v>3.394625158832176</x:v>
      </x:c>
      <x:c r="H1446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1446+G1446,NA())</x:f>
        <x:v>6.995941811569283</x:v>
      </x:c>
      <x:c r="I1446" s="22" t="n">
        <x:f>'Assumptions'!$H$60*IF('Assumptions'!$O$60=1,1,'Assumptions'!$D$10)*(1+'Assumptions'!$N$60)^(12-1)</x:f>
        <x:v>6216.8715419732625</x:v>
      </x:c>
      <x:c r="J1446" s="10" t="n">
        <x:f>H1446*I1446</x:f>
        <x:v>43492.87155764595</x:v>
      </x:c>
      <x:c r="K1446" s="10" t="n">
        <x:f>J1446*'Assumptions'!$T$60</x:f>
        <x:v>43492.87155764595</x:v>
      </x:c>
      <x:c r="L1446" s="10" t="n">
        <x:f>K1446*'Assumptions'!$U$60</x:f>
        <x:v>1304.7861467293785</x:v>
      </x:c>
      <x:c r="M1446" s="10" t="n">
        <x:f>K1446*'Assumptions'!$V$60</x:f>
        <x:v>0</x:v>
      </x:c>
      <x:c r="N1446" s="10" t="n">
        <x:f>K1446-L1446-M1446</x:f>
        <x:v>42188.085410916574</x:v>
      </x:c>
      <x:c r="O1446" s="10" t="n">
        <x:f>H1446*'Assumptions'!$P$60*'Assumptions'!$Q$60*'Assumptions'!$D$11*(1+'Assumptions'!$D$13)^(12-1)</x:f>
        <x:v>23241.647071659696</x:v>
      </x:c>
      <x:c r="P1446" s="10" t="n">
        <x:f>H1446*'Assumptions'!$R$60*'Assumptions'!$D$11*(1+'Assumptions'!$D$13)^(12-1)</x:f>
        <x:v>96.8401961319154</x:v>
      </x:c>
      <x:c r="Q1446" s="10" t="n">
        <x:f>J1446*'Assumptions'!$S$60</x:f>
        <x:v>0</x:v>
      </x:c>
      <x:c r="R1446" s="10" t="n">
        <x:f>H1446*'Assumptions'!$Y$60*'Assumptions'!$Z$60*'Assumptions'!$D$11*(1+'Assumptions'!$D$13)^(12-1)</x:f>
        <x:v>72.63014709893656</x:v>
      </x:c>
      <x:c r="S1446" s="10" t="n">
        <x:f>IF(I1446=0,0,J1446*'Assumptions'!$W$60+H1446*'Assumptions'!$X$60)</x:f>
        <x:v>1263.3920577152035</x:v>
      </x:c>
      <x:c r="T1446" s="10" t="n">
        <x:f>N1446*'Assumptions'!$AA$60</x:f>
        <x:v>1687.523416436663</x:v>
      </x:c>
      <x:c r="U1446" s="10" t="n">
        <x:f>'Assumptions'!$AE$60*'Assumptions'!$D$11*(1+'Assumptions'!$D$13)^(12-1)</x:f>
        <x:v>0</x:v>
      </x:c>
      <x:c r="V1446" s="10" t="n">
        <x:f>0</x:f>
        <x:v>0</x:v>
      </x:c>
      <x:c r="W1446" s="10" t="n">
        <x:f>H1446*('Assumptions'!$P$60+'Assumptions'!$Y$60)</x:f>
        <x:v>281.58665791566364</x:v>
      </x:c>
      <x:c r="X1446" s="10" t="n">
        <x:f>N1446/12*'Assumptions'!$AF$60</x:f>
        <x:v>3515.673784243048</x:v>
      </x:c>
      <x:c r="Y1446" s="10" t="n">
        <x:f>P1446/12</x:f>
        <x:v>8.070016344326284</x:v>
      </x:c>
      <x:c r="Z1446" s="10" t="n">
        <x:f>0</x:f>
        <x:v>0</x:v>
      </x:c>
      <x:c r="AA1446" s="10" t="n">
        <x:f>Z1446*'Assumptions'!$AC$60*'Assumptions'!$D$11*(1+'Assumptions'!$D$13)^(12-1)</x:f>
        <x:v>0</x:v>
      </x:c>
      <x:c r="AB1446" s="10" t="n">
        <x:f>F1446/1</x:f>
        <x:v>3.6013166527371068</x:v>
      </x:c>
      <x:c r="AC1446" s="10" t="n">
        <x:f>AB1446/'Assumptions'!$AM$60</x:f>
        <x:v>18.00658326368553</x:v>
      </x:c>
      <x:c r="AD1446" s="10" t="n">
        <x:f>IF(AB1446=0,0,T1446/AB1446)</x:f>
        <x:v>468.58512570787</x:v>
      </x:c>
      <x:c r="AE1446" s="10" t="n">
        <x:f>AA1446*'Assumptions'!$D$21</x:f>
        <x:v>0</x:v>
      </x:c>
    </x:row>
    <x:row r="1447" ht="16" customHeight="1">
      <x:c r="A1447" s="1"/>
      <x:c r="B1447" s="1"/>
      <x:c r="C1447" s="1" t="str">
        <x:v>DOT-032</x:v>
      </x:c>
      <x:c r="D1447" s="10" t="str">
        <x:v>BPA professional services</x:v>
      </x:c>
      <x:c r="E1447" s="10" t="n">
        <x:v>12</x:v>
      </x:c>
      <x:c r="F1447" s="21" t="n">
        <x:f>F1319*(1+'Assumptions'!$M$61)</x:f>
        <x:v>1.8006583263685534</x:v>
      </x:c>
      <x:c r="G1447" s="21" t="n">
        <x:f>H1319*'Assumptions'!$K$61</x:f>
        <x:v>1.697312579416088</x:v>
      </x:c>
      <x:c r="H1447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1447+G1447,NA())</x:f>
        <x:v>3.4979709057846415</x:v>
      </x:c>
      <x:c r="I1447" s="22" t="n">
        <x:f>'Assumptions'!$H$61*IF('Assumptions'!$O$61=1,1,'Assumptions'!$D$10)*(1+'Assumptions'!$N$61)^(12-1)</x:f>
        <x:v>9325.307312959894</x:v>
      </x:c>
      <x:c r="J1447" s="10" t="n">
        <x:f>H1447*I1447</x:f>
        <x:v>32619.653668234463</x:v>
      </x:c>
      <x:c r="K1447" s="10" t="n">
        <x:f>J1447*'Assumptions'!$T$61</x:f>
        <x:v>32619.653668234463</x:v>
      </x:c>
      <x:c r="L1447" s="10" t="n">
        <x:f>K1447*'Assumptions'!$U$61</x:f>
        <x:v>978.5896100470338</x:v>
      </x:c>
      <x:c r="M1447" s="10" t="n">
        <x:f>K1447*'Assumptions'!$V$61</x:f>
        <x:v>0</x:v>
      </x:c>
      <x:c r="N1447" s="10" t="n">
        <x:f>K1447-L1447-M1447</x:f>
        <x:v>31641.06405818743</x:v>
      </x:c>
      <x:c r="O1447" s="10" t="n">
        <x:f>H1447*'Assumptions'!$P$61*'Assumptions'!$Q$61*'Assumptions'!$D$11*(1+'Assumptions'!$D$13)^(12-1)</x:f>
        <x:v>17431.235303744776</x:v>
      </x:c>
      <x:c r="P1447" s="10" t="n">
        <x:f>H1447*'Assumptions'!$R$61*'Assumptions'!$D$11*(1+'Assumptions'!$D$13)^(12-1)</x:f>
        <x:v>48.4200980659577</x:v>
      </x:c>
      <x:c r="Q1447" s="10" t="n">
        <x:f>J1447*'Assumptions'!$S$61</x:f>
        <x:v>0</x:v>
      </x:c>
      <x:c r="R1447" s="10" t="n">
        <x:f>H1447*'Assumptions'!$Y$61*'Assumptions'!$Z$61*'Assumptions'!$D$11*(1+'Assumptions'!$D$13)^(12-1)</x:f>
        <x:v>36.31507354946828</x:v>
      </x:c>
      <x:c r="S1447" s="10" t="n">
        <x:f>IF(I1447=0,0,J1447*'Assumptions'!$W$61+H1447*'Assumptions'!$X$61)</x:f>
        <x:v>947.0193476505349</x:v>
      </x:c>
      <x:c r="T1447" s="10" t="n">
        <x:f>N1447*'Assumptions'!$AA$61</x:f>
        <x:v>1265.6425623274972</x:v>
      </x:c>
      <x:c r="U1447" s="10" t="n">
        <x:f>'Assumptions'!$AE$61*'Assumptions'!$D$11*(1+'Assumptions'!$D$13)^(12-1)</x:f>
        <x:v>0</x:v>
      </x:c>
      <x:c r="V1447" s="10" t="n">
        <x:f>0</x:f>
        <x:v>0</x:v>
      </x:c>
      <x:c r="W1447" s="10" t="n">
        <x:f>H1447*('Assumptions'!$P$61+'Assumptions'!$Y$61)</x:f>
        <x:v>210.75274707352466</x:v>
      </x:c>
      <x:c r="X1447" s="10" t="n">
        <x:f>N1447/12*'Assumptions'!$AF$61</x:f>
        <x:v>2636.755338182286</x:v>
      </x:c>
      <x:c r="Y1447" s="10" t="n">
        <x:f>P1447/12</x:f>
        <x:v>4.035008172163142</x:v>
      </x:c>
      <x:c r="Z1447" s="10" t="n">
        <x:f>0</x:f>
        <x:v>0</x:v>
      </x:c>
      <x:c r="AA1447" s="10" t="n">
        <x:f>Z1447*'Assumptions'!$AC$61*'Assumptions'!$D$11*(1+'Assumptions'!$D$13)^(12-1)</x:f>
        <x:v>0</x:v>
      </x:c>
      <x:c r="AB1447" s="10" t="n">
        <x:f>F1447/1</x:f>
        <x:v>1.8006583263685534</x:v>
      </x:c>
      <x:c r="AC1447" s="10" t="n">
        <x:f>AB1447/'Assumptions'!$AM$61</x:f>
        <x:v>9.003291631842766</x:v>
      </x:c>
      <x:c r="AD1447" s="10" t="n">
        <x:f>IF(AB1447=0,0,T1447/AB1447)</x:f>
        <x:v>702.877688561805</x:v>
      </x:c>
      <x:c r="AE1447" s="10" t="n">
        <x:f>AA1447*'Assumptions'!$D$21</x:f>
        <x:v>0</x:v>
      </x:c>
    </x:row>
    <x:row r="1448" ht="16" customHeight="1">
      <x:c r="A1448" s="1"/>
      <x:c r="B1448" s="1"/>
      <x:c r="C1448" s="1" t="str">
        <x:v>DOT-033</x:v>
      </x:c>
      <x:c r="D1448" s="10" t="str">
        <x:v>CornerFlow</x:v>
      </x:c>
      <x:c r="E1448" s="10" t="n">
        <x:v>12</x:v>
      </x:c>
      <x:c r="F1448" s="21" t="n">
        <x:f>F1320*(1+'Assumptions'!$M$62)</x:f>
        <x:v>91.8095921044204</x:v>
      </x:c>
      <x:c r="G1448" s="21" t="n">
        <x:f>H1320*'Assumptions'!$K$62</x:f>
        <x:v>189.79179838049535</x:v>
      </x:c>
      <x:c r="H1448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1448+G1448,NA())</x:f>
        <x:v>281.6013904849158</x:v>
      </x:c>
      <x:c r="I1448" s="22" t="n">
        <x:f>'Assumptions'!$H$62*IF('Assumptions'!$O$62=1,1,'Assumptions'!$D$10)*(1+'Assumptions'!$N$62)^(12-1)</x:f>
        <x:v>60.92534111133797</x:v>
      </x:c>
      <x:c r="J1448" s="10" t="n">
        <x:f>H1448*I1448</x:f>
        <x:v>17156.660772720577</x:v>
      </x:c>
      <x:c r="K1448" s="10" t="n">
        <x:f>J1448*'Assumptions'!$T$62</x:f>
        <x:v>17156.660772720577</x:v>
      </x:c>
      <x:c r="L1448" s="10" t="n">
        <x:f>K1448*'Assumptions'!$U$62</x:f>
        <x:v>514.6998231816173</x:v>
      </x:c>
      <x:c r="M1448" s="10" t="n">
        <x:f>K1448*'Assumptions'!$V$62</x:f>
        <x:v>0</x:v>
      </x:c>
      <x:c r="N1448" s="10" t="n">
        <x:f>K1448-L1448-M1448</x:f>
        <x:v>16641.96094953896</x:v>
      </x:c>
      <x:c r="O1448" s="10" t="n">
        <x:f>H1448*'Assumptions'!$P$62*'Assumptions'!$Q$62*'Assumptions'!$D$11*(1+'Assumptions'!$D$13)^(12-1)</x:f>
        <x:v>2046.4614594496861</x:v>
      </x:c>
      <x:c r="P1448" s="10" t="n">
        <x:f>H1448*'Assumptions'!$R$62*'Assumptions'!$D$11*(1+'Assumptions'!$D$13)^(12-1)</x:f>
        <x:v>0</x:v>
      </x:c>
      <x:c r="Q1448" s="10" t="n">
        <x:f>J1448*'Assumptions'!$S$62</x:f>
        <x:v>0</x:v>
      </x:c>
      <x:c r="R1448" s="10" t="n">
        <x:f>H1448*'Assumptions'!$Y$62*'Assumptions'!$Z$62*'Assumptions'!$D$11*(1+'Assumptions'!$D$13)^(12-1)</x:f>
        <x:v>1754.1098223854449</x:v>
      </x:c>
      <x:c r="S1448" s="10" t="n">
        <x:f>IF(I1448=0,0,J1448*'Assumptions'!$W$62+H1448*'Assumptions'!$X$62)</x:f>
        <x:v>582.0235795543715</x:v>
      </x:c>
      <x:c r="T1448" s="10" t="n">
        <x:f>N1448*'Assumptions'!$AA$62</x:f>
        <x:v>832.0980474769481</x:v>
      </x:c>
      <x:c r="U1448" s="10" t="n">
        <x:f>'Assumptions'!$AE$62*'Assumptions'!$D$11*(1+'Assumptions'!$D$13)^(12-1)</x:f>
        <x:v>166.1080644869335</x:v>
      </x:c>
      <x:c r="V1448" s="10" t="n">
        <x:f>0</x:f>
        <x:v>0</x:v>
      </x:c>
      <x:c r="W1448" s="10" t="n">
        <x:f>H1448*('Assumptions'!$P$62+'Assumptions'!$Y$62)</x:f>
        <x:v>84.48041714547473</x:v>
      </x:c>
      <x:c r="X1448" s="10" t="n">
        <x:f>N1448/12*'Assumptions'!$AF$62</x:f>
        <x:v>0</x:v>
      </x:c>
      <x:c r="Y1448" s="10" t="n">
        <x:f>P1448/12</x:f>
        <x:v>0</x:v>
      </x:c>
      <x:c r="Z1448" s="10" t="n">
        <x:f>0</x:f>
        <x:v>0</x:v>
      </x:c>
      <x:c r="AA1448" s="10" t="n">
        <x:f>Z1448*'Assumptions'!$AC$62*'Assumptions'!$D$11*(1+'Assumptions'!$D$13)^(12-1)</x:f>
        <x:v>0</x:v>
      </x:c>
      <x:c r="AB1448" s="10" t="n">
        <x:f>F1448/12</x:f>
        <x:v>7.650799342035033</x:v>
      </x:c>
      <x:c r="AC1448" s="10" t="n">
        <x:f>AB1448/'Assumptions'!$AM$62</x:f>
        <x:v>153.01598684070066</x:v>
      </x:c>
      <x:c r="AD1448" s="10" t="n">
        <x:f>IF(AB1448=0,0,T1448/AB1448)</x:f>
        <x:v>108.75962239726165</x:v>
      </x:c>
      <x:c r="AE1448" s="10" t="n">
        <x:f>AA1448*'Assumptions'!$D$21</x:f>
        <x:v>0</x:v>
      </x:c>
    </x:row>
    <x:row r="1449" ht="16" customHeight="1">
      <x:c r="A1449" s="1"/>
      <x:c r="B1449" s="1"/>
      <x:c r="C1449" s="1" t="str">
        <x:v>DOT-034</x:v>
      </x:c>
      <x:c r="D1449" s="10" t="str">
        <x:v>CornerFlow</x:v>
      </x:c>
      <x:c r="E1449" s="10" t="n">
        <x:v>12</x:v>
      </x:c>
      <x:c r="F1449" s="21" t="n">
        <x:f>F1321*(1+'Assumptions'!$M$63)</x:f>
        <x:v>18.00658326368553</x:v>
      </x:c>
      <x:c r="G1449" s="21" t="n">
        <x:f>H1321*'Assumptions'!$K$63</x:f>
        <x:v>16.97068438791088</x:v>
      </x:c>
      <x:c r="H1449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1449+G1449,NA())</x:f>
        <x:v>34.97726765159641</x:v>
      </x:c>
      <x:c r="I1449" s="22" t="n">
        <x:f>'Assumptions'!$H$63*IF('Assumptions'!$O$63=1,1,'Assumptions'!$D$10)*(1+'Assumptions'!$N$63)^(12-1)</x:f>
        <x:v>247.43148737053585</x:v>
      </x:c>
      <x:c r="J1449" s="10" t="n">
        <x:f>H1449*I1449</x:f>
        <x:v>8654.477359191827</x:v>
      </x:c>
      <x:c r="K1449" s="10" t="n">
        <x:f>J1449*'Assumptions'!$T$63</x:f>
        <x:v>8654.477359191827</x:v>
      </x:c>
      <x:c r="L1449" s="10" t="n">
        <x:f>K1449*'Assumptions'!$U$63</x:f>
        <x:v>259.6343207757548</x:v>
      </x:c>
      <x:c r="M1449" s="10" t="n">
        <x:f>K1449*'Assumptions'!$V$63</x:f>
        <x:v>0</x:v>
      </x:c>
      <x:c r="N1449" s="10" t="n">
        <x:f>K1449-L1449-M1449</x:f>
        <x:v>8394.843038416073</x:v>
      </x:c>
      <x:c r="O1449" s="10" t="n">
        <x:f>H1449*'Assumptions'!$P$63*'Assumptions'!$Q$63*'Assumptions'!$D$11*(1+'Assumptions'!$D$13)^(12-1)</x:f>
        <x:v>3873.3374870987395</x:v>
      </x:c>
      <x:c r="P1449" s="10" t="n">
        <x:f>H1449*'Assumptions'!$R$63*'Assumptions'!$D$11*(1+'Assumptions'!$D$13)^(12-1)</x:f>
        <x:v>0</x:v>
      </x:c>
      <x:c r="Q1449" s="10" t="n">
        <x:f>J1449*'Assumptions'!$S$63</x:f>
        <x:v>0</x:v>
      </x:c>
      <x:c r="R1449" s="10" t="n">
        <x:f>H1449*'Assumptions'!$Y$63*'Assumptions'!$Z$63*'Assumptions'!$D$11*(1+'Assumptions'!$D$13)^(12-1)</x:f>
        <x:v>363.1253894155068</x:v>
      </x:c>
      <x:c r="S1449" s="10" t="n">
        <x:f>IF(I1449=0,0,J1449*'Assumptions'!$W$63+H1449*'Assumptions'!$X$63)</x:f>
        <x:v>261.47302371204194</x:v>
      </x:c>
      <x:c r="T1449" s="10" t="n">
        <x:f>N1449*'Assumptions'!$AA$63</x:f>
        <x:v>335.7937215366429</x:v>
      </x:c>
      <x:c r="U1449" s="10" t="n">
        <x:f>'Assumptions'!$AE$63*'Assumptions'!$D$11*(1+'Assumptions'!$D$13)^(12-1)</x:f>
        <x:v>0</x:v>
      </x:c>
      <x:c r="V1449" s="10" t="n">
        <x:f>0</x:f>
        <x:v>0</x:v>
      </x:c>
      <x:c r="W1449" s="10" t="n">
        <x:f>H1449*('Assumptions'!$P$63+'Assumptions'!$Y$63)</x:f>
        <x:v>78.69885221609192</x:v>
      </x:c>
      <x:c r="X1449" s="10" t="n">
        <x:f>N1449/12*'Assumptions'!$AF$63</x:f>
        <x:v>699.5702532013394</x:v>
      </x:c>
      <x:c r="Y1449" s="10" t="n">
        <x:f>P1449/12</x:f>
        <x:v>0</x:v>
      </x:c>
      <x:c r="Z1449" s="10" t="n">
        <x:f>0</x:f>
        <x:v>0</x:v>
      </x:c>
      <x:c r="AA1449" s="10" t="n">
        <x:f>Z1449*'Assumptions'!$AC$63*'Assumptions'!$D$11*(1+'Assumptions'!$D$13)^(12-1)</x:f>
        <x:v>0</x:v>
      </x:c>
      <x:c r="AB1449" s="10" t="n">
        <x:f>F1449/1</x:f>
        <x:v>18.00658326368553</x:v>
      </x:c>
      <x:c r="AC1449" s="10" t="n">
        <x:f>AB1449/'Assumptions'!$AM$63</x:f>
        <x:v>90.03291631842765</x:v>
      </x:c>
      <x:c r="AD1449" s="10" t="n">
        <x:f>IF(AB1449=0,0,T1449/AB1449)</x:f>
        <x:v>18.64838634955523</x:v>
      </x:c>
      <x:c r="AE1449" s="10" t="n">
        <x:f>AA1449*'Assumptions'!$D$21</x:f>
        <x:v>0</x:v>
      </x:c>
    </x:row>
    <x:row r="1450" ht="16" customHeight="1">
      <x:c r="A1450" s="1"/>
      <x:c r="B1450" s="1"/>
      <x:c r="C1450" s="1" t="str">
        <x:v>DOT-035</x:v>
      </x:c>
      <x:c r="D1450" s="10" t="str">
        <x:v>Spindle</x:v>
      </x:c>
      <x:c r="E1450" s="10" t="n">
        <x:v>12</x:v>
      </x:c>
      <x:c r="F1450" s="21" t="n">
        <x:f>F1322*(1+'Assumptions'!$M$64)</x:f>
        <x:v>91.8095921044204</x:v>
      </x:c>
      <x:c r="G1450" s="21" t="n">
        <x:f>H1322*'Assumptions'!$K$64</x:f>
        <x:v>189.79179838049535</x:v>
      </x:c>
      <x:c r="H1450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1450+G1450,NA())</x:f>
        <x:v>281.6013904849158</x:v>
      </x:c>
      <x:c r="I1450" s="22" t="n">
        <x:f>'Assumptions'!$H$64*IF('Assumptions'!$O$64=1,1,'Assumptions'!$D$10)*(1+'Assumptions'!$N$64)^(12-1)</x:f>
        <x:v>60.92534111133797</x:v>
      </x:c>
      <x:c r="J1450" s="10" t="n">
        <x:f>H1450*I1450</x:f>
        <x:v>17156.660772720577</x:v>
      </x:c>
      <x:c r="K1450" s="10" t="n">
        <x:f>J1450*'Assumptions'!$T$64</x:f>
        <x:v>17156.660772720577</x:v>
      </x:c>
      <x:c r="L1450" s="10" t="n">
        <x:f>K1450*'Assumptions'!$U$64</x:f>
        <x:v>514.6998231816173</x:v>
      </x:c>
      <x:c r="M1450" s="10" t="n">
        <x:f>K1450*'Assumptions'!$V$64</x:f>
        <x:v>0</x:v>
      </x:c>
      <x:c r="N1450" s="10" t="n">
        <x:f>K1450-L1450-M1450</x:f>
        <x:v>16641.96094953896</x:v>
      </x:c>
      <x:c r="O1450" s="10" t="n">
        <x:f>H1450*'Assumptions'!$P$64*'Assumptions'!$Q$64*'Assumptions'!$D$11*(1+'Assumptions'!$D$13)^(12-1)</x:f>
        <x:v>2046.4614594496861</x:v>
      </x:c>
      <x:c r="P1450" s="10" t="n">
        <x:f>H1450*'Assumptions'!$R$64*'Assumptions'!$D$11*(1+'Assumptions'!$D$13)^(12-1)</x:f>
        <x:v>0</x:v>
      </x:c>
      <x:c r="Q1450" s="10" t="n">
        <x:f>J1450*'Assumptions'!$S$64</x:f>
        <x:v>0</x:v>
      </x:c>
      <x:c r="R1450" s="10" t="n">
        <x:f>H1450*'Assumptions'!$Y$64*'Assumptions'!$Z$64*'Assumptions'!$D$11*(1+'Assumptions'!$D$13)^(12-1)</x:f>
        <x:v>1754.1098223854449</x:v>
      </x:c>
      <x:c r="S1450" s="10" t="n">
        <x:f>IF(I1450=0,0,J1450*'Assumptions'!$W$64+H1450*'Assumptions'!$X$64)</x:f>
        <x:v>582.0235795543715</x:v>
      </x:c>
      <x:c r="T1450" s="10" t="n">
        <x:f>N1450*'Assumptions'!$AA$64</x:f>
        <x:v>832.0980474769481</x:v>
      </x:c>
      <x:c r="U1450" s="10" t="n">
        <x:f>'Assumptions'!$AE$64*'Assumptions'!$D$11*(1+'Assumptions'!$D$13)^(12-1)</x:f>
        <x:v>166.1080644869335</x:v>
      </x:c>
      <x:c r="V1450" s="10" t="n">
        <x:f>0</x:f>
        <x:v>0</x:v>
      </x:c>
      <x:c r="W1450" s="10" t="n">
        <x:f>H1450*('Assumptions'!$P$64+'Assumptions'!$Y$64)</x:f>
        <x:v>84.48041714547473</x:v>
      </x:c>
      <x:c r="X1450" s="10" t="n">
        <x:f>N1450/12*'Assumptions'!$AF$64</x:f>
        <x:v>0</x:v>
      </x:c>
      <x:c r="Y1450" s="10" t="n">
        <x:f>P1450/12</x:f>
        <x:v>0</x:v>
      </x:c>
      <x:c r="Z1450" s="10" t="n">
        <x:f>0</x:f>
        <x:v>0</x:v>
      </x:c>
      <x:c r="AA1450" s="10" t="n">
        <x:f>Z1450*'Assumptions'!$AC$64*'Assumptions'!$D$11*(1+'Assumptions'!$D$13)^(12-1)</x:f>
        <x:v>0</x:v>
      </x:c>
      <x:c r="AB1450" s="10" t="n">
        <x:f>F1450/12</x:f>
        <x:v>7.650799342035033</x:v>
      </x:c>
      <x:c r="AC1450" s="10" t="n">
        <x:f>AB1450/'Assumptions'!$AM$64</x:f>
        <x:v>153.01598684070066</x:v>
      </x:c>
      <x:c r="AD1450" s="10" t="n">
        <x:f>IF(AB1450=0,0,T1450/AB1450)</x:f>
        <x:v>108.75962239726165</x:v>
      </x:c>
      <x:c r="AE1450" s="10" t="n">
        <x:f>AA1450*'Assumptions'!$D$21</x:f>
        <x:v>0</x:v>
      </x:c>
    </x:row>
    <x:row r="1451" ht="16" customHeight="1">
      <x:c r="A1451" s="1"/>
      <x:c r="B1451" s="1"/>
      <x:c r="C1451" s="1" t="str">
        <x:v>DOT-036</x:v>
      </x:c>
      <x:c r="D1451" s="10" t="str">
        <x:v>Spindle</x:v>
      </x:c>
      <x:c r="E1451" s="10" t="n">
        <x:v>12</x:v>
      </x:c>
      <x:c r="F1451" s="21" t="n">
        <x:f>F1323*(1+'Assumptions'!$M$65)</x:f>
        <x:v>18.00658326368553</x:v>
      </x:c>
      <x:c r="G1451" s="21" t="n">
        <x:f>H1323*'Assumptions'!$K$65</x:f>
        <x:v>16.97068438791088</x:v>
      </x:c>
      <x:c r="H1451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1451+G1451,NA())</x:f>
        <x:v>34.97726765159641</x:v>
      </x:c>
      <x:c r="I1451" s="22" t="n">
        <x:f>'Assumptions'!$H$65*IF('Assumptions'!$O$65=1,1,'Assumptions'!$D$10)*(1+'Assumptions'!$N$65)^(12-1)</x:f>
        <x:v>247.43148737053585</x:v>
      </x:c>
      <x:c r="J1451" s="10" t="n">
        <x:f>H1451*I1451</x:f>
        <x:v>8654.477359191827</x:v>
      </x:c>
      <x:c r="K1451" s="10" t="n">
        <x:f>J1451*'Assumptions'!$T$65</x:f>
        <x:v>8654.477359191827</x:v>
      </x:c>
      <x:c r="L1451" s="10" t="n">
        <x:f>K1451*'Assumptions'!$U$65</x:f>
        <x:v>259.6343207757548</x:v>
      </x:c>
      <x:c r="M1451" s="10" t="n">
        <x:f>K1451*'Assumptions'!$V$65</x:f>
        <x:v>0</x:v>
      </x:c>
      <x:c r="N1451" s="10" t="n">
        <x:f>K1451-L1451-M1451</x:f>
        <x:v>8394.843038416073</x:v>
      </x:c>
      <x:c r="O1451" s="10" t="n">
        <x:f>H1451*'Assumptions'!$P$65*'Assumptions'!$Q$65*'Assumptions'!$D$11*(1+'Assumptions'!$D$13)^(12-1)</x:f>
        <x:v>3873.3374870987395</x:v>
      </x:c>
      <x:c r="P1451" s="10" t="n">
        <x:f>H1451*'Assumptions'!$R$65*'Assumptions'!$D$11*(1+'Assumptions'!$D$13)^(12-1)</x:f>
        <x:v>0</x:v>
      </x:c>
      <x:c r="Q1451" s="10" t="n">
        <x:f>J1451*'Assumptions'!$S$65</x:f>
        <x:v>0</x:v>
      </x:c>
      <x:c r="R1451" s="10" t="n">
        <x:f>H1451*'Assumptions'!$Y$65*'Assumptions'!$Z$65*'Assumptions'!$D$11*(1+'Assumptions'!$D$13)^(12-1)</x:f>
        <x:v>363.1253894155068</x:v>
      </x:c>
      <x:c r="S1451" s="10" t="n">
        <x:f>IF(I1451=0,0,J1451*'Assumptions'!$W$65+H1451*'Assumptions'!$X$65)</x:f>
        <x:v>261.47302371204194</x:v>
      </x:c>
      <x:c r="T1451" s="10" t="n">
        <x:f>N1451*'Assumptions'!$AA$65</x:f>
        <x:v>335.7937215366429</x:v>
      </x:c>
      <x:c r="U1451" s="10" t="n">
        <x:f>'Assumptions'!$AE$65*'Assumptions'!$D$11*(1+'Assumptions'!$D$13)^(12-1)</x:f>
        <x:v>0</x:v>
      </x:c>
      <x:c r="V1451" s="10" t="n">
        <x:f>0</x:f>
        <x:v>0</x:v>
      </x:c>
      <x:c r="W1451" s="10" t="n">
        <x:f>H1451*('Assumptions'!$P$65+'Assumptions'!$Y$65)</x:f>
        <x:v>78.69885221609192</x:v>
      </x:c>
      <x:c r="X1451" s="10" t="n">
        <x:f>N1451/12*'Assumptions'!$AF$65</x:f>
        <x:v>699.5702532013394</x:v>
      </x:c>
      <x:c r="Y1451" s="10" t="n">
        <x:f>P1451/12</x:f>
        <x:v>0</x:v>
      </x:c>
      <x:c r="Z1451" s="10" t="n">
        <x:f>0</x:f>
        <x:v>0</x:v>
      </x:c>
      <x:c r="AA1451" s="10" t="n">
        <x:f>Z1451*'Assumptions'!$AC$65*'Assumptions'!$D$11*(1+'Assumptions'!$D$13)^(12-1)</x:f>
        <x:v>0</x:v>
      </x:c>
      <x:c r="AB1451" s="10" t="n">
        <x:f>F1451/1</x:f>
        <x:v>18.00658326368553</x:v>
      </x:c>
      <x:c r="AC1451" s="10" t="n">
        <x:f>AB1451/'Assumptions'!$AM$65</x:f>
        <x:v>90.03291631842765</x:v>
      </x:c>
      <x:c r="AD1451" s="10" t="n">
        <x:f>IF(AB1451=0,0,T1451/AB1451)</x:f>
        <x:v>18.64838634955523</x:v>
      </x:c>
      <x:c r="AE1451" s="10" t="n">
        <x:f>AA1451*'Assumptions'!$D$21</x:f>
        <x:v>0</x:v>
      </x:c>
    </x:row>
    <x:row r="1452" ht="16" customHeight="1">
      <x:c r="A1452" s="1"/>
      <x:c r="B1452" s="1"/>
      <x:c r="C1452" s="1" t="str">
        <x:v>DOT-037</x:v>
      </x:c>
      <x:c r="D1452" s="10" t="str">
        <x:v>Maison Contour</x:v>
      </x:c>
      <x:c r="E1452" s="10" t="n">
        <x:v>12</x:v>
      </x:c>
      <x:c r="F1452" s="21" t="n">
        <x:f>F1324*(1+'Assumptions'!$M$66)</x:f>
        <x:v>91.8095921044204</x:v>
      </x:c>
      <x:c r="G1452" s="21" t="n">
        <x:f>H1324*'Assumptions'!$K$66</x:f>
        <x:v>189.79179838049535</x:v>
      </x:c>
      <x:c r="H1452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1452+G1452,NA())</x:f>
        <x:v>281.6013904849158</x:v>
      </x:c>
      <x:c r="I1452" s="22" t="n">
        <x:f>'Assumptions'!$H$66*IF('Assumptions'!$O$66=1,1,'Assumptions'!$D$10)*(1+'Assumptions'!$N$66)^(12-1)</x:f>
        <x:v>98.22657036317754</x:v>
      </x:c>
      <x:c r="J1452" s="10" t="n">
        <x:f>H1452*I1452</x:f>
        <x:v>27660.738796835216</x:v>
      </x:c>
      <x:c r="K1452" s="10" t="n">
        <x:f>J1452*'Assumptions'!$T$66</x:f>
        <x:v>27660.738796835216</x:v>
      </x:c>
      <x:c r="L1452" s="10" t="n">
        <x:f>K1452*'Assumptions'!$U$66</x:f>
        <x:v>829.8221639050564</x:v>
      </x:c>
      <x:c r="M1452" s="10" t="n">
        <x:f>K1452*'Assumptions'!$V$66</x:f>
        <x:v>0</x:v>
      </x:c>
      <x:c r="N1452" s="10" t="n">
        <x:f>K1452-L1452-M1452</x:f>
        <x:v>26830.91663293016</x:v>
      </x:c>
      <x:c r="O1452" s="10" t="n">
        <x:f>H1452*'Assumptions'!$P$66*'Assumptions'!$Q$66*'Assumptions'!$D$11*(1+'Assumptions'!$D$13)^(12-1)</x:f>
        <x:v>2046.4614594496861</x:v>
      </x:c>
      <x:c r="P1452" s="10" t="n">
        <x:f>H1452*'Assumptions'!$R$66*'Assumptions'!$D$11*(1+'Assumptions'!$D$13)^(12-1)</x:f>
        <x:v>0</x:v>
      </x:c>
      <x:c r="Q1452" s="10" t="n">
        <x:f>J1452*'Assumptions'!$S$66</x:f>
        <x:v>0</x:v>
      </x:c>
      <x:c r="R1452" s="10" t="n">
        <x:f>H1452*'Assumptions'!$Y$66*'Assumptions'!$Z$66*'Assumptions'!$D$11*(1+'Assumptions'!$D$13)^(12-1)</x:f>
        <x:v>1754.1098223854449</x:v>
      </x:c>
      <x:c r="S1452" s="10" t="n">
        <x:f>IF(I1452=0,0,J1452*'Assumptions'!$W$66+H1452*'Assumptions'!$X$66)</x:f>
        <x:v>886.641842253696</x:v>
      </x:c>
      <x:c r="T1452" s="10" t="n">
        <x:f>N1452*'Assumptions'!$AA$66</x:f>
        <x:v>1341.545831646508</x:v>
      </x:c>
      <x:c r="U1452" s="10" t="n">
        <x:f>'Assumptions'!$AE$66*'Assumptions'!$D$11*(1+'Assumptions'!$D$13)^(12-1)</x:f>
        <x:v>166.1080644869335</x:v>
      </x:c>
      <x:c r="V1452" s="10" t="n">
        <x:f>0</x:f>
        <x:v>0</x:v>
      </x:c>
      <x:c r="W1452" s="10" t="n">
        <x:f>H1452*('Assumptions'!$P$66+'Assumptions'!$Y$66)</x:f>
        <x:v>84.48041714547473</x:v>
      </x:c>
      <x:c r="X1452" s="10" t="n">
        <x:f>N1452/12*'Assumptions'!$AF$66</x:f>
        <x:v>0</x:v>
      </x:c>
      <x:c r="Y1452" s="10" t="n">
        <x:f>P1452/12</x:f>
        <x:v>0</x:v>
      </x:c>
      <x:c r="Z1452" s="10" t="n">
        <x:f>0</x:f>
        <x:v>0</x:v>
      </x:c>
      <x:c r="AA1452" s="10" t="n">
        <x:f>Z1452*'Assumptions'!$AC$66*'Assumptions'!$D$11*(1+'Assumptions'!$D$13)^(12-1)</x:f>
        <x:v>0</x:v>
      </x:c>
      <x:c r="AB1452" s="10" t="n">
        <x:f>F1452/12</x:f>
        <x:v>7.650799342035033</x:v>
      </x:c>
      <x:c r="AC1452" s="10" t="n">
        <x:f>AB1452/'Assumptions'!$AM$66</x:f>
        <x:v>153.01598684070066</x:v>
      </x:c>
      <x:c r="AD1452" s="10" t="n">
        <x:f>IF(AB1452=0,0,T1452/AB1452)</x:f>
        <x:v>175.34714631395244</x:v>
      </x:c>
      <x:c r="AE1452" s="10" t="n">
        <x:f>AA1452*'Assumptions'!$D$21</x:f>
        <x:v>0</x:v>
      </x:c>
    </x:row>
    <x:row r="1453" ht="16" customHeight="1">
      <x:c r="A1453" s="1"/>
      <x:c r="B1453" s="1"/>
      <x:c r="C1453" s="1" t="str">
        <x:v>DOT-038</x:v>
      </x:c>
      <x:c r="D1453" s="10" t="str">
        <x:v>Maison Contour</x:v>
      </x:c>
      <x:c r="E1453" s="10" t="n">
        <x:v>12</x:v>
      </x:c>
      <x:c r="F1453" s="21" t="n">
        <x:f>F1325*(1+'Assumptions'!$M$67)</x:f>
        <x:v>18.00658326368553</x:v>
      </x:c>
      <x:c r="G1453" s="21" t="n">
        <x:f>H1325*'Assumptions'!$K$67</x:f>
        <x:v>16.97068438791088</x:v>
      </x:c>
      <x:c r="H1453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1453+G1453,NA())</x:f>
        <x:v>34.97726765159641</x:v>
      </x:c>
      <x:c r="I1453" s="22" t="n">
        <x:f>'Assumptions'!$H$67*IF('Assumptions'!$O$67=1,1,'Assumptions'!$D$10)*(1+'Assumptions'!$N$67)^(12-1)</x:f>
        <x:v>247.43148737053585</x:v>
      </x:c>
      <x:c r="J1453" s="10" t="n">
        <x:f>H1453*I1453</x:f>
        <x:v>8654.477359191827</x:v>
      </x:c>
      <x:c r="K1453" s="10" t="n">
        <x:f>J1453*'Assumptions'!$T$67</x:f>
        <x:v>8654.477359191827</x:v>
      </x:c>
      <x:c r="L1453" s="10" t="n">
        <x:f>K1453*'Assumptions'!$U$67</x:f>
        <x:v>259.6343207757548</x:v>
      </x:c>
      <x:c r="M1453" s="10" t="n">
        <x:f>K1453*'Assumptions'!$V$67</x:f>
        <x:v>0</x:v>
      </x:c>
      <x:c r="N1453" s="10" t="n">
        <x:f>K1453-L1453-M1453</x:f>
        <x:v>8394.843038416073</x:v>
      </x:c>
      <x:c r="O1453" s="10" t="n">
        <x:f>H1453*'Assumptions'!$P$67*'Assumptions'!$Q$67*'Assumptions'!$D$11*(1+'Assumptions'!$D$13)^(12-1)</x:f>
        <x:v>3873.3374870987395</x:v>
      </x:c>
      <x:c r="P1453" s="10" t="n">
        <x:f>H1453*'Assumptions'!$R$67*'Assumptions'!$D$11*(1+'Assumptions'!$D$13)^(12-1)</x:f>
        <x:v>0</x:v>
      </x:c>
      <x:c r="Q1453" s="10" t="n">
        <x:f>J1453*'Assumptions'!$S$67</x:f>
        <x:v>0</x:v>
      </x:c>
      <x:c r="R1453" s="10" t="n">
        <x:f>H1453*'Assumptions'!$Y$67*'Assumptions'!$Z$67*'Assumptions'!$D$11*(1+'Assumptions'!$D$13)^(12-1)</x:f>
        <x:v>363.1253894155068</x:v>
      </x:c>
      <x:c r="S1453" s="10" t="n">
        <x:f>IF(I1453=0,0,J1453*'Assumptions'!$W$67+H1453*'Assumptions'!$X$67)</x:f>
        <x:v>261.47302371204194</x:v>
      </x:c>
      <x:c r="T1453" s="10" t="n">
        <x:f>N1453*'Assumptions'!$AA$67</x:f>
        <x:v>335.7937215366429</x:v>
      </x:c>
      <x:c r="U1453" s="10" t="n">
        <x:f>'Assumptions'!$AE$67*'Assumptions'!$D$11*(1+'Assumptions'!$D$13)^(12-1)</x:f>
        <x:v>0</x:v>
      </x:c>
      <x:c r="V1453" s="10" t="n">
        <x:f>0</x:f>
        <x:v>0</x:v>
      </x:c>
      <x:c r="W1453" s="10" t="n">
        <x:f>H1453*('Assumptions'!$P$67+'Assumptions'!$Y$67)</x:f>
        <x:v>78.69885221609192</x:v>
      </x:c>
      <x:c r="X1453" s="10" t="n">
        <x:f>N1453/12*'Assumptions'!$AF$67</x:f>
        <x:v>699.5702532013394</x:v>
      </x:c>
      <x:c r="Y1453" s="10" t="n">
        <x:f>P1453/12</x:f>
        <x:v>0</x:v>
      </x:c>
      <x:c r="Z1453" s="10" t="n">
        <x:f>0</x:f>
        <x:v>0</x:v>
      </x:c>
      <x:c r="AA1453" s="10" t="n">
        <x:f>Z1453*'Assumptions'!$AC$67*'Assumptions'!$D$11*(1+'Assumptions'!$D$13)^(12-1)</x:f>
        <x:v>0</x:v>
      </x:c>
      <x:c r="AB1453" s="10" t="n">
        <x:f>F1453/1</x:f>
        <x:v>18.00658326368553</x:v>
      </x:c>
      <x:c r="AC1453" s="10" t="n">
        <x:f>AB1453/'Assumptions'!$AM$67</x:f>
        <x:v>90.03291631842765</x:v>
      </x:c>
      <x:c r="AD1453" s="10" t="n">
        <x:f>IF(AB1453=0,0,T1453/AB1453)</x:f>
        <x:v>18.64838634955523</x:v>
      </x:c>
      <x:c r="AE1453" s="10" t="n">
        <x:f>AA1453*'Assumptions'!$D$21</x:f>
        <x:v>0</x:v>
      </x:c>
    </x:row>
    <x:row r="1454" ht="16" customHeight="1">
      <x:c r="A1454" s="1"/>
      <x:c r="B1454" s="1"/>
      <x:c r="C1454" s="1" t="str">
        <x:v>DOT-039</x:v>
      </x:c>
      <x:c r="D1454" s="10" t="str">
        <x:v>DishLoom US</x:v>
      </x:c>
      <x:c r="E1454" s="10" t="n">
        <x:v>12</x:v>
      </x:c>
      <x:c r="F1454" s="21" t="n">
        <x:f>F1326*(1+'Assumptions'!$M$68)</x:f>
        <x:v>91.8095921044204</x:v>
      </x:c>
      <x:c r="G1454" s="21" t="n">
        <x:f>H1326*'Assumptions'!$K$68</x:f>
        <x:v>189.79179838049535</x:v>
      </x:c>
      <x:c r="H1454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1454+G1454,NA())</x:f>
        <x:v>281.6013904849158</x:v>
      </x:c>
      <x:c r="I1454" s="22" t="n">
        <x:f>'Assumptions'!$H$68*IF('Assumptions'!$O$68=1,1,'Assumptions'!$D$10)*(1+'Assumptions'!$N$68)^(12-1)</x:f>
        <x:v>48.49159802739145</x:v>
      </x:c>
      <x:c r="J1454" s="10" t="n">
        <x:f>H1454*I1454</x:f>
        <x:v>13655.301431349031</x:v>
      </x:c>
      <x:c r="K1454" s="10" t="n">
        <x:f>J1454*'Assumptions'!$T$68</x:f>
        <x:v>13655.301431349031</x:v>
      </x:c>
      <x:c r="L1454" s="10" t="n">
        <x:f>K1454*'Assumptions'!$U$68</x:f>
        <x:v>409.6590429404709</x:v>
      </x:c>
      <x:c r="M1454" s="10" t="n">
        <x:f>K1454*'Assumptions'!$V$68</x:f>
        <x:v>0</x:v>
      </x:c>
      <x:c r="N1454" s="10" t="n">
        <x:f>K1454-L1454-M1454</x:f>
        <x:v>13245.64238840856</x:v>
      </x:c>
      <x:c r="O1454" s="10" t="n">
        <x:f>H1454*'Assumptions'!$P$68*'Assumptions'!$Q$68*'Assumptions'!$D$11*(1+'Assumptions'!$D$13)^(12-1)</x:f>
        <x:v>2046.4614594496861</x:v>
      </x:c>
      <x:c r="P1454" s="10" t="n">
        <x:f>H1454*'Assumptions'!$R$68*'Assumptions'!$D$11*(1+'Assumptions'!$D$13)^(12-1)</x:f>
        <x:v>0</x:v>
      </x:c>
      <x:c r="Q1454" s="10" t="n">
        <x:f>J1454*'Assumptions'!$S$68</x:f>
        <x:v>0</x:v>
      </x:c>
      <x:c r="R1454" s="10" t="n">
        <x:f>H1454*'Assumptions'!$Y$68*'Assumptions'!$Z$68*'Assumptions'!$D$11*(1+'Assumptions'!$D$13)^(12-1)</x:f>
        <x:v>1754.1098223854449</x:v>
      </x:c>
      <x:c r="S1454" s="10" t="n">
        <x:f>IF(I1454=0,0,J1454*'Assumptions'!$W$68+H1454*'Assumptions'!$X$68)</x:f>
        <x:v>480.4841586545967</x:v>
      </x:c>
      <x:c r="T1454" s="10" t="n">
        <x:f>N1454*'Assumptions'!$AA$68</x:f>
        <x:v>662.282119420428</x:v>
      </x:c>
      <x:c r="U1454" s="10" t="n">
        <x:f>'Assumptions'!$AE$68*'Assumptions'!$D$11*(1+'Assumptions'!$D$13)^(12-1)</x:f>
        <x:v>166.1080644869335</x:v>
      </x:c>
      <x:c r="V1454" s="10" t="n">
        <x:f>0</x:f>
        <x:v>0</x:v>
      </x:c>
      <x:c r="W1454" s="10" t="n">
        <x:f>H1454*('Assumptions'!$P$68+'Assumptions'!$Y$68)</x:f>
        <x:v>84.48041714547473</x:v>
      </x:c>
      <x:c r="X1454" s="10" t="n">
        <x:f>N1454/12*'Assumptions'!$AF$68</x:f>
        <x:v>0</x:v>
      </x:c>
      <x:c r="Y1454" s="10" t="n">
        <x:f>P1454/12</x:f>
        <x:v>0</x:v>
      </x:c>
      <x:c r="Z1454" s="10" t="n">
        <x:f>0</x:f>
        <x:v>0</x:v>
      </x:c>
      <x:c r="AA1454" s="10" t="n">
        <x:f>Z1454*'Assumptions'!$AC$68*'Assumptions'!$D$11*(1+'Assumptions'!$D$13)^(12-1)</x:f>
        <x:v>0</x:v>
      </x:c>
      <x:c r="AB1454" s="10" t="n">
        <x:f>F1454/12</x:f>
        <x:v>7.650799342035033</x:v>
      </x:c>
      <x:c r="AC1454" s="10" t="n">
        <x:f>AB1454/'Assumptions'!$AM$68</x:f>
        <x:v>153.01598684070066</x:v>
      </x:c>
      <x:c r="AD1454" s="10" t="n">
        <x:f>IF(AB1454=0,0,T1454/AB1454)</x:f>
        <x:v>86.56378109169803</x:v>
      </x:c>
      <x:c r="AE1454" s="10" t="n">
        <x:f>AA1454*'Assumptions'!$D$21</x:f>
        <x:v>0</x:v>
      </x:c>
    </x:row>
    <x:row r="1455" ht="16" customHeight="1">
      <x:c r="A1455" s="1"/>
      <x:c r="B1455" s="1"/>
      <x:c r="C1455" s="1" t="str">
        <x:v>DOT-040</x:v>
      </x:c>
      <x:c r="D1455" s="10" t="str">
        <x:v>DishLoom US</x:v>
      </x:c>
      <x:c r="E1455" s="10" t="n">
        <x:v>12</x:v>
      </x:c>
      <x:c r="F1455" s="21" t="n">
        <x:f>F1327*(1+'Assumptions'!$M$69)</x:f>
        <x:v>183.6191842088408</x:v>
      </x:c>
      <x:c r="G1455" s="21" t="n">
        <x:f>H1327*'Assumptions'!$K$69</x:f>
        <x:v>379.5835967609907</x:v>
      </x:c>
      <x:c r="H1455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1455+G1455,NA())</x:f>
        <x:v>563.2027809698316</x:v>
      </x:c>
      <x:c r="I1455" s="22" t="n">
        <x:f>'Assumptions'!$H$69*IF('Assumptions'!$O$69=1,1,'Assumptions'!$D$10)*(1+'Assumptions'!$N$69)^(12-1)</x:f>
        <x:v>11.190368775551873</x:v>
      </x:c>
      <x:c r="J1455" s="10" t="n">
        <x:f>H1455*I1455</x:f>
        <x:v>6302.4468144687835</x:v>
      </x:c>
      <x:c r="K1455" s="10" t="n">
        <x:f>J1455*'Assumptions'!$T$69</x:f>
        <x:v>6302.4468144687835</x:v>
      </x:c>
      <x:c r="L1455" s="10" t="n">
        <x:f>K1455*'Assumptions'!$U$69</x:f>
        <x:v>189.0734044340635</x:v>
      </x:c>
      <x:c r="M1455" s="10" t="n">
        <x:f>K1455*'Assumptions'!$V$69</x:f>
        <x:v>0</x:v>
      </x:c>
      <x:c r="N1455" s="10" t="n">
        <x:f>K1455-L1455-M1455</x:f>
        <x:v>6113.37341003472</x:v>
      </x:c>
      <x:c r="O1455" s="10" t="n">
        <x:f>H1455*'Assumptions'!$P$69*'Assumptions'!$Q$69*'Assumptions'!$D$11*(1+'Assumptions'!$D$13)^(12-1)</x:f>
        <x:v>1364.307639633124</x:v>
      </x:c>
      <x:c r="P1455" s="10" t="n">
        <x:f>H1455*'Assumptions'!$R$69*'Assumptions'!$D$11*(1+'Assumptions'!$D$13)^(12-1)</x:f>
        <x:v>0</x:v>
      </x:c>
      <x:c r="Q1455" s="10" t="n">
        <x:f>J1455*'Assumptions'!$S$69</x:f>
        <x:v>0</x:v>
      </x:c>
      <x:c r="R1455" s="10" t="n">
        <x:f>H1455*'Assumptions'!$Y$69*'Assumptions'!$Z$69*'Assumptions'!$D$11*(1+'Assumptions'!$D$13)^(12-1)</x:f>
        <x:v>3508.2196447708898</x:v>
      </x:c>
      <x:c r="S1455" s="10" t="n">
        <x:f>IF(I1455=0,0,J1455*'Assumptions'!$W$69+H1455*'Assumptions'!$X$69)</x:f>
        <x:v>351.7317919105442</x:v>
      </x:c>
      <x:c r="T1455" s="10" t="n">
        <x:f>N1455*'Assumptions'!$AA$69</x:f>
        <x:v>305.668670501736</x:v>
      </x:c>
      <x:c r="U1455" s="10" t="n">
        <x:f>'Assumptions'!$AE$69*'Assumptions'!$D$11*(1+'Assumptions'!$D$13)^(12-1)</x:f>
        <x:v>0</x:v>
      </x:c>
      <x:c r="V1455" s="10" t="n">
        <x:f>0</x:f>
        <x:v>0</x:v>
      </x:c>
      <x:c r="W1455" s="10" t="n">
        <x:f>H1455*('Assumptions'!$P$69+'Assumptions'!$Y$69)</x:f>
        <x:v>112.64055619396632</x:v>
      </x:c>
      <x:c r="X1455" s="10" t="n">
        <x:f>N1455/12*'Assumptions'!$AF$69</x:f>
        <x:v>0</x:v>
      </x:c>
      <x:c r="Y1455" s="10" t="n">
        <x:f>P1455/12</x:f>
        <x:v>0</x:v>
      </x:c>
      <x:c r="Z1455" s="10" t="n">
        <x:f>0</x:f>
        <x:v>0</x:v>
      </x:c>
      <x:c r="AA1455" s="10" t="n">
        <x:f>Z1455*'Assumptions'!$AC$69*'Assumptions'!$D$11*(1+'Assumptions'!$D$13)^(12-1)</x:f>
        <x:v>0</x:v>
      </x:c>
      <x:c r="AB1455" s="10" t="n">
        <x:f>F1455/1</x:f>
        <x:v>183.6191842088408</x:v>
      </x:c>
      <x:c r="AC1455" s="10" t="n">
        <x:f>AB1455/'Assumptions'!$AM$69</x:f>
        <x:v>3672.383684176816</x:v>
      </x:c>
      <x:c r="AD1455" s="10" t="n">
        <x:f>IF(AB1455=0,0,T1455/AB1455)</x:f>
        <x:v>1.66468809791727</x:v>
      </x:c>
      <x:c r="AE1455" s="10" t="n">
        <x:f>AA1455*'Assumptions'!$D$21</x:f>
        <x:v>0</x:v>
      </x:c>
    </x:row>
    <x:row r="1456" ht="16" customHeight="1">
      <x:c r="A1456" s="1"/>
      <x:c r="B1456" s="1"/>
      <x:c r="C1456" s="1" t="str">
        <x:v>DOT-041</x:v>
      </x:c>
      <x:c r="D1456" s="10" t="str">
        <x:v>DishLoom US</x:v>
      </x:c>
      <x:c r="E1456" s="10" t="n">
        <x:v>12</x:v>
      </x:c>
      <x:c r="F1456" s="21" t="n">
        <x:f>F1328*(1+'Assumptions'!$M$70)</x:f>
        <x:v>229.523980261051</x:v>
      </x:c>
      <x:c r="G1456" s="21" t="n">
        <x:f>H1328*'Assumptions'!$K$70</x:f>
        <x:v>474.47949595123833</x:v>
      </x:c>
      <x:c r="H1456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1456+G1456,NA())</x:f>
        <x:v>704.0034762122893</x:v>
      </x:c>
      <x:c r="I1456" s="22" t="n">
        <x:f>'Assumptions'!$H$70*IF('Assumptions'!$O$70=1,1,'Assumptions'!$D$10)*(1+'Assumptions'!$N$70)^(12-1)</x:f>
        <x:v>124.33743083946524</x:v>
      </x:c>
      <x:c r="J1456" s="10" t="n">
        <x:f>H1456*I1456</x:f>
        <x:v>87533.98353428864</x:v>
      </x:c>
      <x:c r="K1456" s="10" t="n">
        <x:f>J1456*'Assumptions'!$T$70</x:f>
        <x:v>13130.097530143295</x:v>
      </x:c>
      <x:c r="L1456" s="10" t="n">
        <x:f>K1456*'Assumptions'!$U$70</x:f>
        <x:v>393.90292590429885</x:v>
      </x:c>
      <x:c r="M1456" s="10" t="n">
        <x:f>K1456*'Assumptions'!$V$70</x:f>
        <x:v>0</x:v>
      </x:c>
      <x:c r="N1456" s="10" t="n">
        <x:f>K1456-L1456-M1456</x:f>
        <x:v>12736.194604238997</x:v>
      </x:c>
      <x:c r="O1456" s="10" t="n">
        <x:f>H1456*'Assumptions'!$P$70*'Assumptions'!$Q$70*'Assumptions'!$D$11*(1+'Assumptions'!$D$13)^(12-1)</x:f>
        <x:v>3410.769099082809</x:v>
      </x:c>
      <x:c r="P1456" s="10" t="n">
        <x:f>H1456*'Assumptions'!$R$70*'Assumptions'!$D$11*(1+'Assumptions'!$D$13)^(12-1)</x:f>
        <x:v>0</x:v>
      </x:c>
      <x:c r="Q1456" s="10" t="n">
        <x:f>J1456*'Assumptions'!$S$70</x:f>
        <x:v>0</x:v>
      </x:c>
      <x:c r="R1456" s="10" t="n">
        <x:f>H1456*'Assumptions'!$Y$70*'Assumptions'!$Z$70*'Assumptions'!$D$11*(1+'Assumptions'!$D$13)^(12-1)</x:f>
        <x:v>4385.274555963612</x:v>
      </x:c>
      <x:c r="S1456" s="10" t="n">
        <x:f>IF(I1456=0,0,J1456*'Assumptions'!$W$70+H1456*'Assumptions'!$X$70)</x:f>
        <x:v>2749.6865653580576</x:v>
      </x:c>
      <x:c r="T1456" s="10" t="n">
        <x:f>N1456*'Assumptions'!$AA$70</x:f>
        <x:v>636.80973021195</x:v>
      </x:c>
      <x:c r="U1456" s="10" t="n">
        <x:f>'Assumptions'!$AE$70*'Assumptions'!$D$11*(1+'Assumptions'!$D$13)^(12-1)</x:f>
        <x:v>0</x:v>
      </x:c>
      <x:c r="V1456" s="10" t="n">
        <x:f>0</x:f>
        <x:v>0</x:v>
      </x:c>
      <x:c r="W1456" s="10" t="n">
        <x:f>H1456*('Assumptions'!$P$70+'Assumptions'!$Y$70)</x:f>
        <x:v>176.00086905307234</x:v>
      </x:c>
      <x:c r="X1456" s="10" t="n">
        <x:f>N1456/12*'Assumptions'!$AF$70</x:f>
        <x:v>0</x:v>
      </x:c>
      <x:c r="Y1456" s="10" t="n">
        <x:f>P1456/12</x:f>
        <x:v>0</x:v>
      </x:c>
      <x:c r="Z1456" s="10" t="n">
        <x:f>0</x:f>
        <x:v>0</x:v>
      </x:c>
      <x:c r="AA1456" s="10" t="n">
        <x:f>Z1456*'Assumptions'!$AC$70*'Assumptions'!$D$11*(1+'Assumptions'!$D$13)^(12-1)</x:f>
        <x:v>0</x:v>
      </x:c>
      <x:c r="AB1456" s="10" t="n">
        <x:f>F1456/1</x:f>
        <x:v>229.523980261051</x:v>
      </x:c>
      <x:c r="AC1456" s="10" t="n">
        <x:f>AB1456/'Assumptions'!$AM$70</x:f>
        <x:v>4590.4796052210195</x:v>
      </x:c>
      <x:c r="AD1456" s="10" t="n">
        <x:f>IF(AB1456=0,0,T1456/AB1456)</x:f>
        <x:v>2.7744801631954497</x:v>
      </x:c>
      <x:c r="AE1456" s="10" t="n">
        <x:f>AA1456*'Assumptions'!$D$21</x:f>
        <x:v>0</x:v>
      </x:c>
    </x:row>
    <x:row r="1457" ht="16" customHeight="1">
      <x:c r="A1457" s="1"/>
      <x:c r="B1457" s="1"/>
      <x:c r="C1457" s="1" t="str">
        <x:v>DOT-042</x:v>
      </x:c>
      <x:c r="D1457" s="10" t="str">
        <x:v>Is Makes Travel Easy</x:v>
      </x:c>
      <x:c r="E1457" s="10" t="n">
        <x:v>12</x:v>
      </x:c>
      <x:c r="F1457" s="21" t="n">
        <x:f>F1329*(1+'Assumptions'!$M$71)</x:f>
        <x:v>275.4287763132611</x:v>
      </x:c>
      <x:c r="G1457" s="21" t="n">
        <x:f>H1329*'Assumptions'!$K$71</x:f>
        <x:v>571.1549892101859</x:v>
      </x:c>
      <x:c r="H1457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1457+G1457,NA())</x:f>
        <x:v>846.583765523447</x:v>
      </x:c>
      <x:c r="I1457" s="22" t="n">
        <x:f>'Assumptions'!$H$71*IF('Assumptions'!$O$71=1,1,'Assumptions'!$D$10)*(1+'Assumptions'!$N$71)^(12-1)</x:f>
        <x:v>36.05785494344492</x:v>
      </x:c>
      <x:c r="J1457" s="10" t="n">
        <x:f>H1457*I1457</x:f>
        <x:v>30525.994614719843</x:v>
      </x:c>
      <x:c r="K1457" s="10" t="n">
        <x:f>J1457*'Assumptions'!$T$71</x:f>
        <x:v>30525.994614719843</x:v>
      </x:c>
      <x:c r="L1457" s="10" t="n">
        <x:f>K1457*'Assumptions'!$U$71</x:f>
        <x:v>915.7798384415952</x:v>
      </x:c>
      <x:c r="M1457" s="10" t="n">
        <x:f>K1457*'Assumptions'!$V$71</x:f>
        <x:v>0</x:v>
      </x:c>
      <x:c r="N1457" s="10" t="n">
        <x:f>K1457-L1457-M1457</x:f>
        <x:v>29610.214776278248</x:v>
      </x:c>
      <x:c r="O1457" s="10" t="n">
        <x:f>H1457*'Assumptions'!$P$71*'Assumptions'!$Q$71*'Assumptions'!$D$11*(1+'Assumptions'!$D$13)^(12-1)</x:f>
        <x:v>4101.544729250492</x:v>
      </x:c>
      <x:c r="P1457" s="10" t="n">
        <x:f>H1457*'Assumptions'!$R$71*'Assumptions'!$D$11*(1+'Assumptions'!$D$13)^(12-1)</x:f>
        <x:v>0</x:v>
      </x:c>
      <x:c r="Q1457" s="10" t="n">
        <x:f>J1457*'Assumptions'!$S$71</x:f>
        <x:v>0</x:v>
      </x:c>
      <x:c r="R1457" s="10" t="n">
        <x:f>H1457*'Assumptions'!$Y$71*'Assumptions'!$Z$71*'Assumptions'!$D$11*(1+'Assumptions'!$D$13)^(12-1)</x:f>
        <x:v>5273.41465189349</x:v>
      </x:c>
      <x:c r="S1457" s="10" t="n">
        <x:f>IF(I1457=0,0,J1457*'Assumptions'!$W$71+H1457*'Assumptions'!$X$71)</x:f>
        <x:v>1139.2289734839096</x:v>
      </x:c>
      <x:c r="T1457" s="10" t="n">
        <x:f>N1457*'Assumptions'!$AA$71</x:f>
        <x:v>1480.5107388139124</x:v>
      </x:c>
      <x:c r="U1457" s="10" t="n">
        <x:f>'Assumptions'!$AE$71*'Assumptions'!$D$11*(1+'Assumptions'!$D$13)^(12-1)</x:f>
        <x:v>332.216128973867</x:v>
      </x:c>
      <x:c r="V1457" s="10" t="n">
        <x:f>0</x:f>
        <x:v>0</x:v>
      </x:c>
      <x:c r="W1457" s="10" t="n">
        <x:f>H1457*('Assumptions'!$P$71+'Assumptions'!$Y$71)</x:f>
        <x:v>211.64594138086176</x:v>
      </x:c>
      <x:c r="X1457" s="10" t="n">
        <x:f>N1457/12*'Assumptions'!$AF$71</x:f>
        <x:v>0</x:v>
      </x:c>
      <x:c r="Y1457" s="10" t="n">
        <x:f>P1457/12</x:f>
        <x:v>0</x:v>
      </x:c>
      <x:c r="Z1457" s="10" t="n">
        <x:f>0</x:f>
        <x:v>0</x:v>
      </x:c>
      <x:c r="AA1457" s="10" t="n">
        <x:f>Z1457*'Assumptions'!$AC$71*'Assumptions'!$D$11*(1+'Assumptions'!$D$13)^(12-1)</x:f>
        <x:v>0</x:v>
      </x:c>
      <x:c r="AB1457" s="10" t="n">
        <x:f>F1457/1</x:f>
        <x:v>275.4287763132611</x:v>
      </x:c>
      <x:c r="AC1457" s="10" t="n">
        <x:f>AB1457/'Assumptions'!$AM$71</x:f>
        <x:v>5508.575526265222</x:v>
      </x:c>
      <x:c r="AD1457" s="10" t="n">
        <x:f>IF(AB1457=0,0,T1457/AB1457)</x:f>
        <x:v>5.375294327017021</x:v>
      </x:c>
      <x:c r="AE1457" s="10" t="n">
        <x:f>AA1457*'Assumptions'!$D$21</x:f>
        <x:v>0</x:v>
      </x:c>
    </x:row>
    <x:row r="1458" ht="16" customHeight="1">
      <x:c r="A1458" s="1"/>
      <x:c r="B1458" s="1"/>
      <x:c r="C1458" s="1" t="str">
        <x:v>DOT-043</x:v>
      </x:c>
      <x:c r="D1458" s="10" t="str">
        <x:v>Is Makes Travel Easy</x:v>
      </x:c>
      <x:c r="E1458" s="10" t="n">
        <x:v>12</x:v>
      </x:c>
      <x:c r="F1458" s="21" t="n">
        <x:f>F1330*(1+'Assumptions'!$M$72)</x:f>
        <x:v>137.71438815663055</x:v>
      </x:c>
      <x:c r="G1458" s="21" t="n">
        <x:f>H1330*'Assumptions'!$K$72</x:f>
        <x:v>285.57749460509297</x:v>
      </x:c>
      <x:c r="H1458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1458+G1458,NA())</x:f>
        <x:v>423.2918827617235</x:v>
      </x:c>
      <x:c r="I1458" s="22" t="n">
        <x:f>'Assumptions'!$H$72*IF('Assumptions'!$O$72=1,1,'Assumptions'!$D$10)*(1+'Assumptions'!$N$72)^(12-1)</x:f>
        <x:v>23.624111859498395</x:v>
      </x:c>
      <x:c r="J1458" s="10" t="n">
        <x:f>H1458*I1458</x:f>
        <x:v>9999.894787580637</x:v>
      </x:c>
      <x:c r="K1458" s="10" t="n">
        <x:f>J1458*'Assumptions'!$T$72</x:f>
        <x:v>9999.894787580637</x:v>
      </x:c>
      <x:c r="L1458" s="10" t="n">
        <x:f>K1458*'Assumptions'!$U$72</x:f>
        <x:v>299.9968436274191</x:v>
      </x:c>
      <x:c r="M1458" s="10" t="n">
        <x:f>K1458*'Assumptions'!$V$72</x:f>
        <x:v>0</x:v>
      </x:c>
      <x:c r="N1458" s="10" t="n">
        <x:f>K1458-L1458-M1458</x:f>
        <x:v>9699.897943953218</x:v>
      </x:c>
      <x:c r="O1458" s="10" t="n">
        <x:f>H1458*'Assumptions'!$P$72*'Assumptions'!$Q$72*'Assumptions'!$D$11*(1+'Assumptions'!$D$13)^(12-1)</x:f>
        <x:v>2050.772364625246</x:v>
      </x:c>
      <x:c r="P1458" s="10" t="n">
        <x:f>H1458*'Assumptions'!$R$72*'Assumptions'!$D$11*(1+'Assumptions'!$D$13)^(12-1)</x:f>
        <x:v>0</x:v>
      </x:c>
      <x:c r="Q1458" s="10" t="n">
        <x:f>J1458*'Assumptions'!$S$72</x:f>
        <x:v>0</x:v>
      </x:c>
      <x:c r="R1458" s="10" t="n">
        <x:f>H1458*'Assumptions'!$Y$72*'Assumptions'!$Z$72*'Assumptions'!$D$11*(1+'Assumptions'!$D$13)^(12-1)</x:f>
        <x:v>2636.707325946745</x:v>
      </x:c>
      <x:c r="S1458" s="10" t="n">
        <x:f>IF(I1458=0,0,J1458*'Assumptions'!$W$72+H1458*'Assumptions'!$X$72)</x:f>
        <x:v>416.98451366835553</x:v>
      </x:c>
      <x:c r="T1458" s="10" t="n">
        <x:f>N1458*'Assumptions'!$AA$72</x:f>
        <x:v>484.9948971976609</x:v>
      </x:c>
      <x:c r="U1458" s="10" t="n">
        <x:f>'Assumptions'!$AE$72*'Assumptions'!$D$11*(1+'Assumptions'!$D$13)^(12-1)</x:f>
        <x:v>0</x:v>
      </x:c>
      <x:c r="V1458" s="10" t="n">
        <x:f>0</x:f>
        <x:v>0</x:v>
      </x:c>
      <x:c r="W1458" s="10" t="n">
        <x:f>H1458*('Assumptions'!$P$72+'Assumptions'!$Y$72)</x:f>
        <x:v>105.82297069043088</x:v>
      </x:c>
      <x:c r="X1458" s="10" t="n">
        <x:f>N1458/12*'Assumptions'!$AF$72</x:f>
        <x:v>0</x:v>
      </x:c>
      <x:c r="Y1458" s="10" t="n">
        <x:f>P1458/12</x:f>
        <x:v>0</x:v>
      </x:c>
      <x:c r="Z1458" s="10" t="n">
        <x:f>0</x:f>
        <x:v>0</x:v>
      </x:c>
      <x:c r="AA1458" s="10" t="n">
        <x:f>Z1458*'Assumptions'!$AC$72*'Assumptions'!$D$11*(1+'Assumptions'!$D$13)^(12-1)</x:f>
        <x:v>0</x:v>
      </x:c>
      <x:c r="AB1458" s="10" t="n">
        <x:f>F1458/12</x:f>
        <x:v>11.476199013052545</x:v>
      </x:c>
      <x:c r="AC1458" s="10" t="n">
        <x:f>AB1458/'Assumptions'!$AM$72</x:f>
        <x:v>229.5239802610509</x:v>
      </x:c>
      <x:c r="AD1458" s="10" t="n">
        <x:f>IF(AB1458=0,0,T1458/AB1458)</x:f>
        <x:v>42.26093470896141</x:v>
      </x:c>
      <x:c r="AE1458" s="10" t="n">
        <x:f>AA1458*'Assumptions'!$D$21</x:f>
        <x:v>0</x:v>
      </x:c>
    </x:row>
    <x:row r="1459" ht="16" customHeight="1">
      <x:c r="A1459" s="1"/>
      <x:c r="B1459" s="1"/>
      <x:c r="C1459" s="1" t="str">
        <x:v>DOT-044</x:v>
      </x:c>
      <x:c r="D1459" s="10" t="str">
        <x:v>Is Makes Travel Easy</x:v>
      </x:c>
      <x:c r="E1459" s="10" t="n">
        <x:v>12</x:v>
      </x:c>
      <x:c r="F1459" s="21" t="n">
        <x:f>F1331*(1+'Assumptions'!$M$73)</x:f>
        <x:v>56.180539782698865</x:v>
      </x:c>
      <x:c r="G1459" s="21" t="n">
        <x:f>H1331*'Assumptions'!$K$73</x:f>
        <x:v>28.914948188698077</x:v>
      </x:c>
      <x:c r="H1459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1459+G1459,NA())</x:f>
        <x:v>85.09548797139695</x:v>
      </x:c>
      <x:c r="I1459" s="22" t="n">
        <x:f>'Assumptions'!$H$73*IF('Assumptions'!$O$73=1,1,'Assumptions'!$D$10)*(1+'Assumptions'!$N$73)^(12-1)</x:f>
        <x:v>60.92534111133797</x:v>
      </x:c>
      <x:c r="J1459" s="10" t="n">
        <x:f>H1459*I1459</x:f>
        <x:v>5184.471631693116</x:v>
      </x:c>
      <x:c r="K1459" s="10" t="n">
        <x:f>J1459*'Assumptions'!$T$73</x:f>
        <x:v>5184.471631693116</x:v>
      </x:c>
      <x:c r="L1459" s="10" t="n">
        <x:f>K1459*'Assumptions'!$U$73</x:f>
        <x:v>155.53414895079348</x:v>
      </x:c>
      <x:c r="M1459" s="10" t="n">
        <x:f>K1459*'Assumptions'!$V$73</x:f>
        <x:v>0</x:v>
      </x:c>
      <x:c r="N1459" s="10" t="n">
        <x:f>K1459-L1459-M1459</x:f>
        <x:v>5028.937482742323</x:v>
      </x:c>
      <x:c r="O1459" s="10" t="n">
        <x:f>H1459*'Assumptions'!$P$73*'Assumptions'!$Q$73*'Assumptions'!$D$11*(1+'Assumptions'!$D$13)^(12-1)</x:f>
        <x:v>1030.680496088533</x:v>
      </x:c>
      <x:c r="P1459" s="10" t="n">
        <x:f>H1459*'Assumptions'!$R$73*'Assumptions'!$D$11*(1+'Assumptions'!$D$13)^(12-1)</x:f>
        <x:v>0</x:v>
      </x:c>
      <x:c r="Q1459" s="10" t="n">
        <x:f>J1459*'Assumptions'!$S$73</x:f>
        <x:v>0</x:v>
      </x:c>
      <x:c r="R1459" s="10" t="n">
        <x:f>H1459*'Assumptions'!$Y$73*'Assumptions'!$Z$73*'Assumptions'!$D$11*(1+'Assumptions'!$D$13)^(12-1)</x:f>
        <x:v>1766.880850437485</x:v>
      </x:c>
      <x:c r="S1459" s="10" t="n">
        <x:f>IF(I1459=0,0,J1459*'Assumptions'!$W$73+H1459*'Assumptions'!$X$73)</x:f>
        <x:v>175.87832371051945</x:v>
      </x:c>
      <x:c r="T1459" s="10" t="n">
        <x:f>N1459*'Assumptions'!$AA$73</x:f>
        <x:v>402.3149986193858</x:v>
      </x:c>
      <x:c r="U1459" s="10" t="n">
        <x:f>'Assumptions'!$AE$73*'Assumptions'!$D$11*(1+'Assumptions'!$D$13)^(12-1)</x:f>
        <x:v>0</x:v>
      </x:c>
      <x:c r="V1459" s="10" t="n">
        <x:f>0</x:f>
        <x:v>0</x:v>
      </x:c>
      <x:c r="W1459" s="10" t="n">
        <x:f>H1459*('Assumptions'!$P$73+'Assumptions'!$Y$73)</x:f>
        <x:v>63.82161597854771</x:v>
      </x:c>
      <x:c r="X1459" s="10" t="n">
        <x:f>N1459/12*'Assumptions'!$AF$73</x:f>
        <x:v>419.0781235618602</x:v>
      </x:c>
      <x:c r="Y1459" s="10" t="n">
        <x:f>P1459/12</x:f>
        <x:v>0</x:v>
      </x:c>
      <x:c r="Z1459" s="10" t="n">
        <x:f>0</x:f>
        <x:v>0</x:v>
      </x:c>
      <x:c r="AA1459" s="10" t="n">
        <x:f>Z1459*'Assumptions'!$AC$73*'Assumptions'!$D$11*(1+'Assumptions'!$D$13)^(12-1)</x:f>
        <x:v>0</x:v>
      </x:c>
      <x:c r="AB1459" s="10" t="n">
        <x:f>F1459/1</x:f>
        <x:v>56.180539782698865</x:v>
      </x:c>
      <x:c r="AC1459" s="10" t="n">
        <x:f>AB1459/'Assumptions'!$AM$73</x:f>
        <x:v>561.8053978269886</x:v>
      </x:c>
      <x:c r="AD1459" s="10" t="n">
        <x:f>IF(AB1459=0,0,T1459/AB1459)</x:f>
        <x:v>7.161109526101084</x:v>
      </x:c>
      <x:c r="AE1459" s="10" t="n">
        <x:f>AA1459*'Assumptions'!$D$21</x:f>
        <x:v>0</x:v>
      </x:c>
    </x:row>
    <x:row r="1460" ht="16" customHeight="1">
      <x:c r="A1460" s="1"/>
      <x:c r="B1460" s="1"/>
      <x:c r="C1460" s="1" t="str">
        <x:v>DOT-045</x:v>
      </x:c>
      <x:c r="D1460" s="10" t="str">
        <x:v>Is Makes Travel Easy</x:v>
      </x:c>
      <x:c r="E1460" s="10" t="n">
        <x:v>12</x:v>
      </x:c>
      <x:c r="F1460" s="21" t="n">
        <x:f>F1332*(1+'Assumptions'!$M$74)</x:f>
        <x:v>183.6191842088408</x:v>
      </x:c>
      <x:c r="G1460" s="21" t="n">
        <x:f>H1332*'Assumptions'!$K$74</x:f>
        <x:v>380.7699928067907</x:v>
      </x:c>
      <x:c r="H1460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1460+G1460,NA())</x:f>
        <x:v>564.3891770156315</x:v>
      </x:c>
      <x:c r="I1460" s="22" t="n">
        <x:f>'Assumptions'!$H$74*IF('Assumptions'!$O$74=1,1,'Assumptions'!$D$10)*(1+'Assumptions'!$N$74)^(12-1)</x:f>
        <x:v>186.50614625919786</x:v>
      </x:c>
      <x:c r="J1460" s="10" t="n">
        <x:f>H1460*I1460</x:f>
        <x:v>105262.05039558568</x:v>
      </x:c>
      <x:c r="K1460" s="10" t="n">
        <x:f>J1460*'Assumptions'!$T$74</x:f>
        <x:v>10526.205039558568</x:v>
      </x:c>
      <x:c r="L1460" s="10" t="n">
        <x:f>K1460*'Assumptions'!$U$74</x:f>
        <x:v>315.786151186757</x:v>
      </x:c>
      <x:c r="M1460" s="10" t="n">
        <x:f>K1460*'Assumptions'!$V$74</x:f>
        <x:v>0</x:v>
      </x:c>
      <x:c r="N1460" s="10" t="n">
        <x:f>K1460-L1460-M1460</x:f>
        <x:v>10210.41888837181</x:v>
      </x:c>
      <x:c r="O1460" s="10" t="n">
        <x:f>H1460*'Assumptions'!$P$74*'Assumptions'!$Q$74*'Assumptions'!$D$11*(1+'Assumptions'!$D$13)^(12-1)</x:f>
        <x:v>2734.3631528336628</x:v>
      </x:c>
      <x:c r="P1460" s="10" t="n">
        <x:f>H1460*'Assumptions'!$R$74*'Assumptions'!$D$11*(1+'Assumptions'!$D$13)^(12-1)</x:f>
        <x:v>0</x:v>
      </x:c>
      <x:c r="Q1460" s="10" t="n">
        <x:f>J1460*'Assumptions'!$S$74</x:f>
        <x:v>0</x:v>
      </x:c>
      <x:c r="R1460" s="10" t="n">
        <x:f>H1460*'Assumptions'!$Y$74*'Assumptions'!$Z$74*'Assumptions'!$D$11*(1+'Assumptions'!$D$13)^(12-1)</x:f>
        <x:v>3515.609767928994</x:v>
      </x:c>
      <x:c r="S1460" s="10" t="n">
        <x:f>IF(I1460=0,0,J1460*'Assumptions'!$W$74+H1460*'Assumptions'!$X$74)</x:f>
        <x:v>3221.916214576674</x:v>
      </x:c>
      <x:c r="T1460" s="10" t="n">
        <x:f>N1460*'Assumptions'!$AA$74</x:f>
        <x:v>510.52094441859055</x:v>
      </x:c>
      <x:c r="U1460" s="10" t="n">
        <x:f>'Assumptions'!$AE$74*'Assumptions'!$D$11*(1+'Assumptions'!$D$13)^(12-1)</x:f>
        <x:v>0</x:v>
      </x:c>
      <x:c r="V1460" s="10" t="n">
        <x:f>0</x:f>
        <x:v>0</x:v>
      </x:c>
      <x:c r="W1460" s="10" t="n">
        <x:f>H1460*('Assumptions'!$P$74+'Assumptions'!$Y$74)</x:f>
        <x:v>141.09729425390788</x:v>
      </x:c>
      <x:c r="X1460" s="10" t="n">
        <x:f>N1460/12*'Assumptions'!$AF$74</x:f>
        <x:v>0</x:v>
      </x:c>
      <x:c r="Y1460" s="10" t="n">
        <x:f>P1460/12</x:f>
        <x:v>0</x:v>
      </x:c>
      <x:c r="Z1460" s="10" t="n">
        <x:f>0</x:f>
        <x:v>0</x:v>
      </x:c>
      <x:c r="AA1460" s="10" t="n">
        <x:f>Z1460*'Assumptions'!$AC$74*'Assumptions'!$D$11*(1+'Assumptions'!$D$13)^(12-1)</x:f>
        <x:v>0</x:v>
      </x:c>
      <x:c r="AB1460" s="10" t="n">
        <x:f>F1460/1</x:f>
        <x:v>183.6191842088408</x:v>
      </x:c>
      <x:c r="AC1460" s="10" t="n">
        <x:f>AB1460/'Assumptions'!$AM$74</x:f>
        <x:v>3672.383684176816</x:v>
      </x:c>
      <x:c r="AD1460" s="10" t="n">
        <x:f>IF(AB1460=0,0,T1460/AB1460)</x:f>
        <x:v>2.780324651905355</x:v>
      </x:c>
      <x:c r="AE1460" s="10" t="n">
        <x:f>AA1460*'Assumptions'!$D$21</x:f>
        <x:v>0</x:v>
      </x:c>
    </x:row>
    <x:row r="1461" ht="16" customHeight="1">
      <x:c r="A1461" s="1"/>
      <x:c r="B1461" s="1"/>
      <x:c r="C1461" s="1" t="str">
        <x:v>DOT-046</x:v>
      </x:c>
      <x:c r="D1461" s="10" t="str">
        <x:v>Turbo Tax - Made Easy!</x:v>
      </x:c>
      <x:c r="E1461" s="10" t="n">
        <x:v>12</x:v>
      </x:c>
      <x:c r="F1461" s="21" t="n">
        <x:f>F1333*(1+'Assumptions'!$M$75)</x:f>
        <x:v>483.9878424014452</x:v>
      </x:c>
      <x:c r="G1461" s="21" t="n">
        <x:f>H1333*'Assumptions'!$K$75</x:f>
        <x:v>155.12327307063427</x:v>
      </x:c>
      <x:c r="H1461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1461+G1461,NA())</x:f>
        <x:v>639.1111154720795</x:v>
      </x:c>
      <x:c r="I1461" s="22" t="n">
        <x:f>'Assumptions'!$H$75*IF('Assumptions'!$O$75=1,1,'Assumptions'!$D$10)*(1+'Assumptions'!$N$75)^(12-1)</x:f>
        <x:v>149</x:v>
      </x:c>
      <x:c r="J1461" s="10" t="n">
        <x:f>H1461*I1461</x:f>
        <x:v>95227.55620533985</x:v>
      </x:c>
      <x:c r="K1461" s="10" t="n">
        <x:f>J1461*'Assumptions'!$T$75</x:f>
        <x:v>95227.55620533985</x:v>
      </x:c>
      <x:c r="L1461" s="10" t="n">
        <x:f>K1461*'Assumptions'!$U$75</x:f>
        <x:v>2856.826686160195</x:v>
      </x:c>
      <x:c r="M1461" s="10" t="n">
        <x:f>K1461*'Assumptions'!$V$75</x:f>
        <x:v>0</x:v>
      </x:c>
      <x:c r="N1461" s="10" t="n">
        <x:f>K1461-L1461-M1461</x:f>
        <x:v>92370.72951917964</x:v>
      </x:c>
      <x:c r="O1461" s="10" t="n">
        <x:f>H1461*'Assumptions'!$P$75*'Assumptions'!$Q$75*'Assumptions'!$D$11*(1+'Assumptions'!$D$13)^(12-1)</x:f>
        <x:v>4644.566079262909</x:v>
      </x:c>
      <x:c r="P1461" s="10" t="n">
        <x:f>H1461*'Assumptions'!$R$75*'Assumptions'!$D$11*(1+'Assumptions'!$D$13)^(12-1)</x:f>
        <x:v>0</x:v>
      </x:c>
      <x:c r="Q1461" s="10" t="n">
        <x:f>J1461*'Assumptions'!$S$75</x:f>
        <x:v>0</x:v>
      </x:c>
      <x:c r="R1461" s="10" t="n">
        <x:f>H1461*'Assumptions'!$Y$75*'Assumptions'!$Z$75*'Assumptions'!$D$11*(1+'Assumptions'!$D$13)^(12-1)</x:f>
        <x:v>2654.037759578805</x:v>
      </x:c>
      <x:c r="S1461" s="10" t="n">
        <x:f>IF(I1461=0,0,J1461*'Assumptions'!$W$75+H1461*'Assumptions'!$X$75)</x:f>
        <x:v>2953.3324645964794</x:v>
      </x:c>
      <x:c r="T1461" s="10" t="n">
        <x:f>N1461*'Assumptions'!$AA$75</x:f>
        <x:v>4618.536475958982</x:v>
      </x:c>
      <x:c r="U1461" s="10" t="n">
        <x:f>'Assumptions'!$AE$75*'Assumptions'!$D$11*(1+'Assumptions'!$D$13)^(12-1)</x:f>
        <x:v>0</x:v>
      </x:c>
      <x:c r="V1461" s="10" t="n">
        <x:f>0</x:f>
        <x:v>0</x:v>
      </x:c>
      <x:c r="W1461" s="10" t="n">
        <x:f>H1461*('Assumptions'!$P$75+'Assumptions'!$Y$75)</x:f>
        <x:v>159.77777886801988</x:v>
      </x:c>
      <x:c r="X1461" s="10" t="n">
        <x:f>N1461/12*'Assumptions'!$AF$75</x:f>
        <x:v>0</x:v>
      </x:c>
      <x:c r="Y1461" s="10" t="n">
        <x:f>P1461/12</x:f>
        <x:v>0</x:v>
      </x:c>
      <x:c r="Z1461" s="10" t="n">
        <x:f>0</x:f>
        <x:v>0</x:v>
      </x:c>
      <x:c r="AA1461" s="10" t="n">
        <x:f>Z1461*'Assumptions'!$AC$75*'Assumptions'!$D$11*(1+'Assumptions'!$D$13)^(12-1)</x:f>
        <x:v>0</x:v>
      </x:c>
      <x:c r="AB1461" s="10" t="n">
        <x:f>F1461/1</x:f>
        <x:v>483.9878424014452</x:v>
      </x:c>
      <x:c r="AC1461" s="10" t="n">
        <x:f>AB1461/'Assumptions'!$AM$75</x:f>
        <x:v>9679.756848028905</x:v>
      </x:c>
      <x:c r="AD1461" s="10" t="n">
        <x:f>IF(AB1461=0,0,T1461/AB1461)</x:f>
        <x:v>9.54267043784154</x:v>
      </x:c>
      <x:c r="AE1461" s="10" t="n">
        <x:f>AA1461*'Assumptions'!$D$21</x:f>
        <x:v>0</x:v>
      </x:c>
    </x:row>
    <x:row r="1462" ht="16" customHeight="1">
      <x:c r="A1462" s="1"/>
      <x:c r="B1462" s="1"/>
      <x:c r="C1462" s="1" t="str">
        <x:v>DOT-047</x:v>
      </x:c>
      <x:c r="D1462" s="10" t="str">
        <x:v>LavaLearning adult</x:v>
      </x:c>
      <x:c r="E1462" s="10" t="n">
        <x:v>12</x:v>
      </x:c>
      <x:c r="F1462" s="21" t="n">
        <x:f>F1334*(1+'Assumptions'!$M$76)</x:f>
        <x:v>322.6585616009635</x:v>
      </x:c>
      <x:c r="G1462" s="21" t="n">
        <x:f>H1334*'Assumptions'!$K$76</x:f>
        <x:v>103.41551140677987</x:v>
      </x:c>
      <x:c r="H1462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1462+G1462,NA())</x:f>
        <x:v>426.0740730077433</x:v>
      </x:c>
      <x:c r="I1462" s="22" t="n">
        <x:f>'Assumptions'!$H$76*IF('Assumptions'!$O$76=1,1,'Assumptions'!$D$10)*(1+'Assumptions'!$N$76)^(12-1)</x:f>
        <x:v>79</x:v>
      </x:c>
      <x:c r="J1462" s="10" t="n">
        <x:f>H1462*I1462</x:f>
        <x:v>33659.85176761172</x:v>
      </x:c>
      <x:c r="K1462" s="10" t="n">
        <x:f>J1462*'Assumptions'!$T$76</x:f>
        <x:v>33659.85176761172</x:v>
      </x:c>
      <x:c r="L1462" s="10" t="n">
        <x:f>K1462*'Assumptions'!$U$76</x:f>
        <x:v>1009.7955530283515</x:v>
      </x:c>
      <x:c r="M1462" s="10" t="n">
        <x:f>K1462*'Assumptions'!$V$76</x:f>
        <x:v>0</x:v>
      </x:c>
      <x:c r="N1462" s="10" t="n">
        <x:f>K1462-L1462-M1462</x:f>
        <x:v>32650.05621458337</x:v>
      </x:c>
      <x:c r="O1462" s="10" t="n">
        <x:f>H1462*'Assumptions'!$P$76*'Assumptions'!$Q$76*'Assumptions'!$D$11*(1+'Assumptions'!$D$13)^(12-1)</x:f>
        <x:v>3096.377357297903</x:v>
      </x:c>
      <x:c r="P1462" s="10" t="n">
        <x:f>H1462*'Assumptions'!$R$76*'Assumptions'!$D$11*(1+'Assumptions'!$D$13)^(12-1)</x:f>
        <x:v>0</x:v>
      </x:c>
      <x:c r="Q1462" s="10" t="n">
        <x:f>J1462*'Assumptions'!$S$76</x:f>
        <x:v>0</x:v>
      </x:c>
      <x:c r="R1462" s="10" t="n">
        <x:f>H1462*'Assumptions'!$Y$76*'Assumptions'!$Z$76*'Assumptions'!$D$11*(1+'Assumptions'!$D$13)^(12-1)</x:f>
        <x:v>1769.3584898845163</x:v>
      </x:c>
      <x:c r="S1462" s="10" t="n">
        <x:f>IF(I1462=0,0,J1462*'Assumptions'!$W$76+H1462*'Assumptions'!$X$76)</x:f>
        <x:v>1103.9579231630628</x:v>
      </x:c>
      <x:c r="T1462" s="10" t="n">
        <x:f>N1462*'Assumptions'!$AA$76</x:f>
        <x:v>1632.5028107291685</x:v>
      </x:c>
      <x:c r="U1462" s="10" t="n">
        <x:f>'Assumptions'!$AE$76*'Assumptions'!$D$11*(1+'Assumptions'!$D$13)^(12-1)</x:f>
        <x:v>0</x:v>
      </x:c>
      <x:c r="V1462" s="10" t="n">
        <x:f>0</x:f>
        <x:v>0</x:v>
      </x:c>
      <x:c r="W1462" s="10" t="n">
        <x:f>H1462*('Assumptions'!$P$76+'Assumptions'!$Y$76)</x:f>
        <x:v>106.51851825193583</x:v>
      </x:c>
      <x:c r="X1462" s="10" t="n">
        <x:f>N1462/12*'Assumptions'!$AF$76</x:f>
        <x:v>0</x:v>
      </x:c>
      <x:c r="Y1462" s="10" t="n">
        <x:f>P1462/12</x:f>
        <x:v>0</x:v>
      </x:c>
      <x:c r="Z1462" s="10" t="n">
        <x:f>0</x:f>
        <x:v>0</x:v>
      </x:c>
      <x:c r="AA1462" s="10" t="n">
        <x:f>Z1462*'Assumptions'!$AC$76*'Assumptions'!$D$11*(1+'Assumptions'!$D$13)^(12-1)</x:f>
        <x:v>0</x:v>
      </x:c>
      <x:c r="AB1462" s="10" t="n">
        <x:f>F1462/1</x:f>
        <x:v>322.6585616009635</x:v>
      </x:c>
      <x:c r="AC1462" s="10" t="n">
        <x:f>AB1462/'Assumptions'!$AM$76</x:f>
        <x:v>6453.171232019269</x:v>
      </x:c>
      <x:c r="AD1462" s="10" t="n">
        <x:f>IF(AB1462=0,0,T1462/AB1462)</x:f>
        <x:v>5.05953662791105</x:v>
      </x:c>
      <x:c r="AE1462" s="10" t="n">
        <x:f>AA1462*'Assumptions'!$D$21</x:f>
        <x:v>0</x:v>
      </x:c>
    </x:row>
    <x:row r="1463" ht="16" customHeight="1">
      <x:c r="A1463" s="1"/>
      <x:c r="B1463" s="1"/>
      <x:c r="C1463" s="1" t="str">
        <x:v>DOT-048</x:v>
      </x:c>
      <x:c r="D1463" s="10" t="str">
        <x:v>Turbo Tax - Made Easy!</x:v>
      </x:c>
      <x:c r="E1463" s="10" t="n">
        <x:v>12</x:v>
      </x:c>
      <x:c r="F1463" s="21" t="n">
        <x:f>F1335*(1+'Assumptions'!$M$77)</x:f>
        <x:v>967.9756848028904</x:v>
      </x:c>
      <x:c r="G1463" s="21" t="n">
        <x:f>H1335*'Assumptions'!$K$77</x:f>
        <x:v>310.24654614126854</x:v>
      </x:c>
      <x:c r="H1463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1463+G1463,NA())</x:f>
        <x:v>1278.222230944159</x:v>
      </x:c>
      <x:c r="I1463" s="22" t="n">
        <x:f>'Assumptions'!$H$77*IF('Assumptions'!$O$77=1,1,'Assumptions'!$D$10)*(1+'Assumptions'!$N$77)^(12-1)</x:f>
        <x:v>23.624111859498395</x:v>
      </x:c>
      <x:c r="J1463" s="10" t="n">
        <x:f>H1463*I1463</x:f>
        <x:v>30196.864965122404</x:v>
      </x:c>
      <x:c r="K1463" s="10" t="n">
        <x:f>J1463*'Assumptions'!$T$77</x:f>
        <x:v>30196.864965122404</x:v>
      </x:c>
      <x:c r="L1463" s="10" t="n">
        <x:f>K1463*'Assumptions'!$U$77</x:f>
        <x:v>905.9059489536721</x:v>
      </x:c>
      <x:c r="M1463" s="10" t="n">
        <x:f>K1463*'Assumptions'!$V$77</x:f>
        <x:v>0</x:v>
      </x:c>
      <x:c r="N1463" s="10" t="n">
        <x:f>K1463-L1463-M1463</x:f>
        <x:v>29290.95901616873</x:v>
      </x:c>
      <x:c r="O1463" s="10" t="n">
        <x:f>H1463*'Assumptions'!$P$77*'Assumptions'!$Q$77*'Assumptions'!$D$11*(1+'Assumptions'!$D$13)^(12-1)</x:f>
        <x:v>9289.132158525817</x:v>
      </x:c>
      <x:c r="P1463" s="10" t="n">
        <x:f>H1463*'Assumptions'!$R$77*'Assumptions'!$D$11*(1+'Assumptions'!$D$13)^(12-1)</x:f>
        <x:v>0</x:v>
      </x:c>
      <x:c r="Q1463" s="10" t="n">
        <x:f>J1463*'Assumptions'!$S$77</x:f>
        <x:v>0</x:v>
      </x:c>
      <x:c r="R1463" s="10" t="n">
        <x:f>H1463*'Assumptions'!$Y$77*'Assumptions'!$Z$77*'Assumptions'!$D$11*(1+'Assumptions'!$D$13)^(12-1)</x:f>
        <x:v>5308.07551915761</x:v>
      </x:c>
      <x:c r="S1463" s="10" t="n">
        <x:f>IF(I1463=0,0,J1463*'Assumptions'!$W$77+H1463*'Assumptions'!$X$77)</x:f>
        <x:v>1259.1757532717975</x:v>
      </x:c>
      <x:c r="T1463" s="10" t="n">
        <x:f>N1463*'Assumptions'!$AA$77</x:f>
        <x:v>1464.5479508084366</x:v>
      </x:c>
      <x:c r="U1463" s="10" t="n">
        <x:f>'Assumptions'!$AE$77*'Assumptions'!$D$11*(1+'Assumptions'!$D$13)^(12-1)</x:f>
        <x:v>0</x:v>
      </x:c>
      <x:c r="V1463" s="10" t="n">
        <x:f>0</x:f>
        <x:v>0</x:v>
      </x:c>
      <x:c r="W1463" s="10" t="n">
        <x:f>H1463*('Assumptions'!$P$77+'Assumptions'!$Y$77)</x:f>
        <x:v>319.55555773603976</x:v>
      </x:c>
      <x:c r="X1463" s="10" t="n">
        <x:f>N1463/12*'Assumptions'!$AF$77</x:f>
        <x:v>0</x:v>
      </x:c>
      <x:c r="Y1463" s="10" t="n">
        <x:f>P1463/12</x:f>
        <x:v>0</x:v>
      </x:c>
      <x:c r="Z1463" s="10" t="n">
        <x:f>0</x:f>
        <x:v>0</x:v>
      </x:c>
      <x:c r="AA1463" s="10" t="n">
        <x:f>Z1463*'Assumptions'!$AC$77*'Assumptions'!$D$11*(1+'Assumptions'!$D$13)^(12-1)</x:f>
        <x:v>0</x:v>
      </x:c>
      <x:c r="AB1463" s="10" t="n">
        <x:f>F1463/1</x:f>
        <x:v>967.9756848028904</x:v>
      </x:c>
      <x:c r="AC1463" s="10" t="n">
        <x:f>AB1463/'Assumptions'!$AM$77</x:f>
        <x:v>19359.51369605781</x:v>
      </x:c>
      <x:c r="AD1463" s="10" t="n">
        <x:f>IF(AB1463=0,0,T1463/AB1463)</x:f>
        <x:v>1.5130007641738061</x:v>
      </x:c>
      <x:c r="AE1463" s="10" t="n">
        <x:f>AA1463*'Assumptions'!$D$21</x:f>
        <x:v>0</x:v>
      </x:c>
    </x:row>
    <x:row r="1464" ht="16" customHeight="1">
      <x:c r="A1464" s="1"/>
      <x:c r="B1464" s="1"/>
      <x:c r="C1464" s="1" t="str">
        <x:v>DOT-049</x:v>
      </x:c>
      <x:c r="D1464" s="10" t="str">
        <x:v>Turbo Tax - Made Easy!</x:v>
      </x:c>
      <x:c r="E1464" s="10" t="n">
        <x:v>12</x:v>
      </x:c>
      <x:c r="F1464" s="21" t="n">
        <x:f>F1336*(1+'Assumptions'!$M$78)</x:f>
        <x:v>322.6585616009635</x:v>
      </x:c>
      <x:c r="G1464" s="21" t="n">
        <x:f>H1336*'Assumptions'!$K$78</x:f>
        <x:v>103.41549948585092</x:v>
      </x:c>
      <x:c r="H1464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1464+G1464,NA())</x:f>
        <x:v>426.07406108681437</x:v>
      </x:c>
      <x:c r="I1464" s="22" t="n">
        <x:f>'Assumptions'!$H$78*IF('Assumptions'!$O$78=1,1,'Assumptions'!$D$10)*(1+'Assumptions'!$N$78)^(12-1)</x:f>
        <x:v>23.624111859498395</x:v>
      </x:c>
      <x:c r="J1464" s="10" t="n">
        <x:f>H1464*I1464</x:f>
        <x:v>10065.621279545656</x:v>
      </x:c>
      <x:c r="K1464" s="10" t="n">
        <x:f>J1464*'Assumptions'!$T$78</x:f>
        <x:v>10065.621279545656</x:v>
      </x:c>
      <x:c r="L1464" s="10" t="n">
        <x:f>K1464*'Assumptions'!$U$78</x:f>
        <x:v>301.96863838636966</x:v>
      </x:c>
      <x:c r="M1464" s="10" t="n">
        <x:f>K1464*'Assumptions'!$V$78</x:f>
        <x:v>0</x:v>
      </x:c>
      <x:c r="N1464" s="10" t="n">
        <x:f>K1464-L1464-M1464</x:f>
        <x:v>9763.652641159286</x:v>
      </x:c>
      <x:c r="O1464" s="10" t="n">
        <x:f>H1464*'Assumptions'!$P$78*'Assumptions'!$Q$78*'Assumptions'!$D$11*(1+'Assumptions'!$D$13)^(12-1)</x:f>
        <x:v>3096.3772706657965</x:v>
      </x:c>
      <x:c r="P1464" s="10" t="n">
        <x:f>H1464*'Assumptions'!$R$78*'Assumptions'!$D$11*(1+'Assumptions'!$D$13)^(12-1)</x:f>
        <x:v>0</x:v>
      </x:c>
      <x:c r="Q1464" s="10" t="n">
        <x:f>J1464*'Assumptions'!$S$78</x:f>
        <x:v>0</x:v>
      </x:c>
      <x:c r="R1464" s="10" t="n">
        <x:f>H1464*'Assumptions'!$Y$78*'Assumptions'!$Z$78*'Assumptions'!$D$11*(1+'Assumptions'!$D$13)^(12-1)</x:f>
        <x:v>1769.3584403804555</x:v>
      </x:c>
      <x:c r="S1464" s="10" t="n">
        <x:f>IF(I1464=0,0,J1464*'Assumptions'!$W$78+H1464*'Assumptions'!$X$78)</x:f>
        <x:v>419.7252354328684</x:v>
      </x:c>
      <x:c r="T1464" s="10" t="n">
        <x:f>N1464*'Assumptions'!$AA$78</x:f>
        <x:v>488.1826320579643</x:v>
      </x:c>
      <x:c r="U1464" s="10" t="n">
        <x:f>'Assumptions'!$AE$78*'Assumptions'!$D$11*(1+'Assumptions'!$D$13)^(12-1)</x:f>
        <x:v>0</x:v>
      </x:c>
      <x:c r="V1464" s="10" t="n">
        <x:f>0</x:f>
        <x:v>0</x:v>
      </x:c>
      <x:c r="W1464" s="10" t="n">
        <x:f>H1464*('Assumptions'!$P$78+'Assumptions'!$Y$78)</x:f>
        <x:v>106.51851527170359</x:v>
      </x:c>
      <x:c r="X1464" s="10" t="n">
        <x:f>N1464/12*'Assumptions'!$AF$78</x:f>
        <x:v>0</x:v>
      </x:c>
      <x:c r="Y1464" s="10" t="n">
        <x:f>P1464/12</x:f>
        <x:v>0</x:v>
      </x:c>
      <x:c r="Z1464" s="10" t="n">
        <x:f>0</x:f>
        <x:v>0</x:v>
      </x:c>
      <x:c r="AA1464" s="10" t="n">
        <x:f>Z1464*'Assumptions'!$AC$78*'Assumptions'!$D$11*(1+'Assumptions'!$D$13)^(12-1)</x:f>
        <x:v>0</x:v>
      </x:c>
      <x:c r="AB1464" s="10" t="n">
        <x:f>F1464/1</x:f>
        <x:v>322.6585616009635</x:v>
      </x:c>
      <x:c r="AC1464" s="10" t="n">
        <x:f>AB1464/'Assumptions'!$AM$78</x:f>
        <x:v>6453.171232019269</x:v>
      </x:c>
      <x:c r="AD1464" s="10" t="n">
        <x:f>IF(AB1464=0,0,T1464/AB1464)</x:f>
        <x:v>1.5130007077317442</x:v>
      </x:c>
      <x:c r="AE1464" s="10" t="n">
        <x:f>AA1464*'Assumptions'!$D$21</x:f>
        <x:v>0</x:v>
      </x:c>
    </x:row>
    <x:row r="1465" ht="16" customHeight="1">
      <x:c r="A1465" s="1"/>
      <x:c r="B1465" s="1"/>
      <x:c r="C1465" s="1" t="str">
        <x:v>DOT-050</x:v>
      </x:c>
      <x:c r="D1465" s="10" t="str">
        <x:v>LavaLearning adult</x:v>
      </x:c>
      <x:c r="E1465" s="10" t="n">
        <x:v>12</x:v>
      </x:c>
      <x:c r="F1465" s="21" t="n">
        <x:f>F1337*(1+'Assumptions'!$M$79)</x:f>
        <x:v>967.9756848028904</x:v>
      </x:c>
      <x:c r="G1465" s="21" t="n">
        <x:f>H1337*'Assumptions'!$K$79</x:f>
        <x:v>310.2465342203396</x:v>
      </x:c>
      <x:c r="H1465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1465+G1465,NA())</x:f>
        <x:v>1278.22221902323</x:v>
      </x:c>
      <x:c r="I1465" s="22" t="n">
        <x:f>'Assumptions'!$H$79*IF('Assumptions'!$O$79=1,1,'Assumptions'!$D$10)*(1+'Assumptions'!$N$79)^(12-1)</x:f>
        <x:v>23.624111859498395</x:v>
      </x:c>
      <x:c r="J1465" s="10" t="n">
        <x:f>H1465*I1465</x:f>
        <x:v>30196.864683501044</x:v>
      </x:c>
      <x:c r="K1465" s="10" t="n">
        <x:f>J1465*'Assumptions'!$T$79</x:f>
        <x:v>30196.864683501044</x:v>
      </x:c>
      <x:c r="L1465" s="10" t="n">
        <x:f>K1465*'Assumptions'!$U$79</x:f>
        <x:v>905.9059405050313</x:v>
      </x:c>
      <x:c r="M1465" s="10" t="n">
        <x:f>K1465*'Assumptions'!$V$79</x:f>
        <x:v>0</x:v>
      </x:c>
      <x:c r="N1465" s="10" t="n">
        <x:f>K1465-L1465-M1465</x:f>
        <x:v>29290.958742996012</x:v>
      </x:c>
      <x:c r="O1465" s="10" t="n">
        <x:f>H1465*'Assumptions'!$P$79*'Assumptions'!$Q$79*'Assumptions'!$D$11*(1+'Assumptions'!$D$13)^(12-1)</x:f>
        <x:v>9289.13207189371</x:v>
      </x:c>
      <x:c r="P1465" s="10" t="n">
        <x:f>H1465*'Assumptions'!$R$79*'Assumptions'!$D$11*(1+'Assumptions'!$D$13)^(12-1)</x:f>
        <x:v>0</x:v>
      </x:c>
      <x:c r="Q1465" s="10" t="n">
        <x:f>J1465*'Assumptions'!$S$79</x:f>
        <x:v>0</x:v>
      </x:c>
      <x:c r="R1465" s="10" t="n">
        <x:f>H1465*'Assumptions'!$Y$79*'Assumptions'!$Z$79*'Assumptions'!$D$11*(1+'Assumptions'!$D$13)^(12-1)</x:f>
        <x:v>5308.075469653549</x:v>
      </x:c>
      <x:c r="S1465" s="10" t="n">
        <x:f>IF(I1465=0,0,J1465*'Assumptions'!$W$79+H1465*'Assumptions'!$X$79)</x:f>
        <x:v>1259.1757415284992</x:v>
      </x:c>
      <x:c r="T1465" s="10" t="n">
        <x:f>N1465*'Assumptions'!$AA$79</x:f>
        <x:v>1464.5479371498006</x:v>
      </x:c>
      <x:c r="U1465" s="10" t="n">
        <x:f>'Assumptions'!$AE$79*'Assumptions'!$D$11*(1+'Assumptions'!$D$13)^(12-1)</x:f>
        <x:v>0</x:v>
      </x:c>
      <x:c r="V1465" s="10" t="n">
        <x:f>0</x:f>
        <x:v>0</x:v>
      </x:c>
      <x:c r="W1465" s="10" t="n">
        <x:f>H1465*('Assumptions'!$P$79+'Assumptions'!$Y$79)</x:f>
        <x:v>319.5555547558075</x:v>
      </x:c>
      <x:c r="X1465" s="10" t="n">
        <x:f>N1465/12*'Assumptions'!$AF$79</x:f>
        <x:v>0</x:v>
      </x:c>
      <x:c r="Y1465" s="10" t="n">
        <x:f>P1465/12</x:f>
        <x:v>0</x:v>
      </x:c>
      <x:c r="Z1465" s="10" t="n">
        <x:f>0</x:f>
        <x:v>0</x:v>
      </x:c>
      <x:c r="AA1465" s="10" t="n">
        <x:f>Z1465*'Assumptions'!$AC$79*'Assumptions'!$D$11*(1+'Assumptions'!$D$13)^(12-1)</x:f>
        <x:v>0</x:v>
      </x:c>
      <x:c r="AB1465" s="10" t="n">
        <x:f>F1465/1</x:f>
        <x:v>967.9756848028904</x:v>
      </x:c>
      <x:c r="AC1465" s="10" t="n">
        <x:f>AB1465/'Assumptions'!$AM$79</x:f>
        <x:v>19359.51369605781</x:v>
      </x:c>
      <x:c r="AD1465" s="10" t="n">
        <x:f>IF(AB1465=0,0,T1465/AB1465)</x:f>
        <x:v>1.5130007500632907</x:v>
      </x:c>
      <x:c r="AE1465" s="10" t="n">
        <x:f>AA1465*'Assumptions'!$D$21</x:f>
        <x:v>0</x:v>
      </x:c>
    </x:row>
    <x:row r="1466" ht="16" customHeight="1">
      <x:c r="A1466" s="1"/>
      <x:c r="B1466" s="1"/>
      <x:c r="C1466" s="1" t="str">
        <x:v>DOT-051</x:v>
      </x:c>
      <x:c r="D1466" s="10" t="str">
        <x:v>LavaLearning adult</x:v>
      </x:c>
      <x:c r="E1466" s="10" t="n">
        <x:v>12</x:v>
      </x:c>
      <x:c r="F1466" s="21" t="n">
        <x:f>F1338*(1+'Assumptions'!$M$80)</x:f>
        <x:v>193.5951369605781</x:v>
      </x:c>
      <x:c r="G1466" s="21" t="n">
        <x:f>H1338*'Assumptions'!$K$80</x:f>
        <x:v>62.04929969151054</x:v>
      </x:c>
      <x:c r="H1466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1466+G1466,NA())</x:f>
        <x:v>255.64443665208864</x:v>
      </x:c>
      <x:c r="I1466" s="22" t="n">
        <x:f>'Assumptions'!$H$80*IF('Assumptions'!$O$80=1,1,'Assumptions'!$D$10)*(1+'Assumptions'!$N$80)^(12-1)</x:f>
        <x:v>36.05785494344492</x:v>
      </x:c>
      <x:c r="J1466" s="10" t="n">
        <x:f>H1466*I1466</x:f>
        <x:v>9217.990013899707</x:v>
      </x:c>
      <x:c r="K1466" s="10" t="n">
        <x:f>J1466*'Assumptions'!$T$80</x:f>
        <x:v>9217.990013899707</x:v>
      </x:c>
      <x:c r="L1466" s="10" t="n">
        <x:f>K1466*'Assumptions'!$U$80</x:f>
        <x:v>276.5397004169912</x:v>
      </x:c>
      <x:c r="M1466" s="10" t="n">
        <x:f>K1466*'Assumptions'!$V$80</x:f>
        <x:v>0</x:v>
      </x:c>
      <x:c r="N1466" s="10" t="n">
        <x:f>K1466-L1466-M1466</x:f>
        <x:v>8941.450313482716</x:v>
      </x:c>
      <x:c r="O1466" s="10" t="n">
        <x:f>H1466*'Assumptions'!$P$80*'Assumptions'!$Q$80*'Assumptions'!$D$11*(1+'Assumptions'!$D$13)^(12-1)</x:f>
        <x:v>1857.8263623994783</x:v>
      </x:c>
      <x:c r="P1466" s="10" t="n">
        <x:f>H1466*'Assumptions'!$R$80*'Assumptions'!$D$11*(1+'Assumptions'!$D$13)^(12-1)</x:f>
        <x:v>0</x:v>
      </x:c>
      <x:c r="Q1466" s="10" t="n">
        <x:f>J1466*'Assumptions'!$S$80</x:f>
        <x:v>0</x:v>
      </x:c>
      <x:c r="R1466" s="10" t="n">
        <x:f>H1466*'Assumptions'!$Y$80*'Assumptions'!$Z$80*'Assumptions'!$D$11*(1+'Assumptions'!$D$13)^(12-1)</x:f>
        <x:v>1061.6150642282735</x:v>
      </x:c>
      <x:c r="S1466" s="10" t="n">
        <x:f>IF(I1466=0,0,J1466*'Assumptions'!$W$80+H1466*'Assumptions'!$X$80)</x:f>
        <x:v>344.0150413987181</x:v>
      </x:c>
      <x:c r="T1466" s="10" t="n">
        <x:f>N1466*'Assumptions'!$AA$80</x:f>
        <x:v>447.0725156741358</x:v>
      </x:c>
      <x:c r="U1466" s="10" t="n">
        <x:f>'Assumptions'!$AE$80*'Assumptions'!$D$11*(1+'Assumptions'!$D$13)^(12-1)</x:f>
        <x:v>0</x:v>
      </x:c>
      <x:c r="V1466" s="10" t="n">
        <x:f>0</x:f>
        <x:v>0</x:v>
      </x:c>
      <x:c r="W1466" s="10" t="n">
        <x:f>H1466*('Assumptions'!$P$80+'Assumptions'!$Y$80)</x:f>
        <x:v>63.91110916302216</x:v>
      </x:c>
      <x:c r="X1466" s="10" t="n">
        <x:f>N1466/12*'Assumptions'!$AF$80</x:f>
        <x:v>0</x:v>
      </x:c>
      <x:c r="Y1466" s="10" t="n">
        <x:f>P1466/12</x:f>
        <x:v>0</x:v>
      </x:c>
      <x:c r="Z1466" s="10" t="n">
        <x:f>0</x:f>
        <x:v>0</x:v>
      </x:c>
      <x:c r="AA1466" s="10" t="n">
        <x:f>Z1466*'Assumptions'!$AC$80*'Assumptions'!$D$11*(1+'Assumptions'!$D$13)^(12-1)</x:f>
        <x:v>0</x:v>
      </x:c>
      <x:c r="AB1466" s="10" t="n">
        <x:f>F1466/1</x:f>
        <x:v>193.5951369605781</x:v>
      </x:c>
      <x:c r="AC1466" s="10" t="n">
        <x:f>AB1466/'Assumptions'!$AM$80</x:f>
        <x:v>3871.9027392115618</x:v>
      </x:c>
      <x:c r="AD1466" s="10" t="n">
        <x:f>IF(AB1466=0,0,T1466/AB1466)</x:f>
        <x:v>2.30931686969582</x:v>
      </x:c>
      <x:c r="AE1466" s="10" t="n">
        <x:f>AA1466*'Assumptions'!$D$21</x:f>
        <x:v>0</x:v>
      </x:c>
    </x:row>
    <x:row r="1467" ht="16" customHeight="1">
      <x:c r="A1467" s="1"/>
      <x:c r="B1467" s="1"/>
      <x:c r="C1467" s="1" t="str">
        <x:v>DOT-052</x:v>
      </x:c>
      <x:c r="D1467" s="10" t="str">
        <x:v>LavaLearning Model Life</x:v>
      </x:c>
      <x:c r="E1467" s="10" t="n">
        <x:v>12</x:v>
      </x:c>
      <x:c r="F1467" s="21" t="n">
        <x:f>F1339*(1+'Assumptions'!$M$81)</x:f>
        <x:v>0</x:v>
      </x:c>
      <x:c r="G1467" s="21" t="n">
        <x:f>H1339*'Assumptions'!$K$81</x:f>
        <x:v>0</x:v>
      </x:c>
      <x:c r="H1467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1467+G1467,NA())</x:f>
        <x:v>0</x:v>
      </x:c>
      <x:c r="I1467" s="22" t="n">
        <x:f>'Assumptions'!$H$81*IF('Assumptions'!$O$81=1,1,'Assumptions'!$D$10)*(1+'Assumptions'!$N$81)^(12-1)</x:f>
        <x:v>0</x:v>
      </x:c>
      <x:c r="J1467" s="10" t="n">
        <x:f>H1467*I1467</x:f>
        <x:v>0</x:v>
      </x:c>
      <x:c r="K1467" s="10" t="n">
        <x:f>J1467*'Assumptions'!$T$81</x:f>
        <x:v>0</x:v>
      </x:c>
      <x:c r="L1467" s="10" t="n">
        <x:f>K1467*'Assumptions'!$U$81</x:f>
        <x:v>0</x:v>
      </x:c>
      <x:c r="M1467" s="10" t="n">
        <x:f>K1467*'Assumptions'!$V$81</x:f>
        <x:v>0</x:v>
      </x:c>
      <x:c r="N1467" s="10" t="n">
        <x:f>K1467-L1467-M1467</x:f>
        <x:v>0</x:v>
      </x:c>
      <x:c r="O1467" s="10" t="n">
        <x:f>H1467*'Assumptions'!$P$81*'Assumptions'!$Q$81*'Assumptions'!$D$11*(1+'Assumptions'!$D$13)^(12-1)</x:f>
        <x:v>0</x:v>
      </x:c>
      <x:c r="P1467" s="10" t="n">
        <x:f>H1467*'Assumptions'!$R$81*'Assumptions'!$D$11*(1+'Assumptions'!$D$13)^(12-1)</x:f>
        <x:v>0</x:v>
      </x:c>
      <x:c r="Q1467" s="10" t="n">
        <x:f>J1467*'Assumptions'!$S$81</x:f>
        <x:v>0</x:v>
      </x:c>
      <x:c r="R1467" s="10" t="n">
        <x:f>H1467*'Assumptions'!$Y$81*'Assumptions'!$Z$81*'Assumptions'!$D$11*(1+'Assumptions'!$D$13)^(12-1)</x:f>
        <x:v>0</x:v>
      </x:c>
      <x:c r="S1467" s="10" t="n">
        <x:f>IF(I1467=0,0,J1467*'Assumptions'!$W$81+H1467*'Assumptions'!$X$81)</x:f>
        <x:v>0</x:v>
      </x:c>
      <x:c r="T1467" s="10" t="n">
        <x:f>N1467*'Assumptions'!$AA$81</x:f>
        <x:v>0</x:v>
      </x:c>
      <x:c r="U1467" s="10" t="n">
        <x:f>'Assumptions'!$AE$81*'Assumptions'!$D$11*(1+'Assumptions'!$D$13)^(12-1)</x:f>
        <x:v>0</x:v>
      </x:c>
      <x:c r="V1467" s="10" t="n">
        <x:f>0</x:f>
        <x:v>0</x:v>
      </x:c>
      <x:c r="W1467" s="10" t="n">
        <x:f>H1467*('Assumptions'!$P$81+'Assumptions'!$Y$81)</x:f>
        <x:v>0</x:v>
      </x:c>
      <x:c r="X1467" s="10" t="n">
        <x:f>N1467/12*'Assumptions'!$AF$81</x:f>
        <x:v>0</x:v>
      </x:c>
      <x:c r="Y1467" s="10" t="n">
        <x:f>P1467/12</x:f>
        <x:v>0</x:v>
      </x:c>
      <x:c r="Z1467" s="10" t="n">
        <x:f>0</x:f>
        <x:v>0</x:v>
      </x:c>
      <x:c r="AA1467" s="10" t="n">
        <x:f>Z1467*'Assumptions'!$AC$81*'Assumptions'!$D$11*(1+'Assumptions'!$D$13)^(12-1)</x:f>
        <x:v>0</x:v>
      </x:c>
      <x:c r="AB1467" s="10" t="n">
        <x:f>F1467/1</x:f>
        <x:v>0</x:v>
      </x:c>
      <x:c r="AC1467" s="10" t="n">
        <x:f>AB1467/'Assumptions'!$AM$81</x:f>
        <x:v>0</x:v>
      </x:c>
      <x:c r="AD1467" s="10" t="n">
        <x:f>IF(AB1467=0,0,T1467/AB1467)</x:f>
        <x:v>0</x:v>
      </x:c>
      <x:c r="AE1467" s="10" t="n">
        <x:f>AA1467*'Assumptions'!$D$21</x:f>
        <x:v>0</x:v>
      </x:c>
    </x:row>
    <x:row r="1468" ht="16" customHeight="1">
      <x:c r="A1468" s="1"/>
      <x:c r="B1468" s="1"/>
      <x:c r="C1468" s="1" t="str">
        <x:v>DOT-053</x:v>
      </x:c>
      <x:c r="D1468" s="10" t="str">
        <x:v>LavaLearning Kids</x:v>
      </x:c>
      <x:c r="E1468" s="10" t="n">
        <x:v>12</x:v>
      </x:c>
      <x:c r="F1468" s="21" t="n">
        <x:f>F1340*(1+'Assumptions'!$M$82)</x:f>
        <x:v>967.9756848028904</x:v>
      </x:c>
      <x:c r="G1468" s="21" t="n">
        <x:f>H1340*'Assumptions'!$K$82</x:f>
        <x:v>310.2464984575527</x:v>
      </x:c>
      <x:c r="H1468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1468+G1468,NA())</x:f>
        <x:v>1278.2221832604432</x:v>
      </x:c>
      <x:c r="I1468" s="22" t="n">
        <x:f>'Assumptions'!$H$82*IF('Assumptions'!$O$82=1,1,'Assumptions'!$D$10)*(1+'Assumptions'!$N$82)^(12-1)</x:f>
        <x:v>23.624111859498395</x:v>
      </x:c>
      <x:c r="J1468" s="10" t="n">
        <x:f>H1468*I1468</x:f>
        <x:v>30196.863838636968</x:v>
      </x:c>
      <x:c r="K1468" s="10" t="n">
        <x:f>J1468*'Assumptions'!$T$82</x:f>
        <x:v>30196.863838636968</x:v>
      </x:c>
      <x:c r="L1468" s="10" t="n">
        <x:f>K1468*'Assumptions'!$U$82</x:f>
        <x:v>905.905915159109</x:v>
      </x:c>
      <x:c r="M1468" s="10" t="n">
        <x:f>K1468*'Assumptions'!$V$82</x:f>
        <x:v>0</x:v>
      </x:c>
      <x:c r="N1468" s="10" t="n">
        <x:f>K1468-L1468-M1468</x:f>
        <x:v>29290.957923477858</x:v>
      </x:c>
      <x:c r="O1468" s="10" t="n">
        <x:f>H1468*'Assumptions'!$P$82*'Assumptions'!$Q$82*'Assumptions'!$D$11*(1+'Assumptions'!$D$13)^(12-1)</x:f>
        <x:v>9289.131811997391</x:v>
      </x:c>
      <x:c r="P1468" s="10" t="n">
        <x:f>H1468*'Assumptions'!$R$82*'Assumptions'!$D$11*(1+'Assumptions'!$D$13)^(12-1)</x:f>
        <x:v>0</x:v>
      </x:c>
      <x:c r="Q1468" s="10" t="n">
        <x:f>J1468*'Assumptions'!$S$82</x:f>
        <x:v>0</x:v>
      </x:c>
      <x:c r="R1468" s="10" t="n">
        <x:f>H1468*'Assumptions'!$Y$82*'Assumptions'!$Z$82*'Assumptions'!$D$11*(1+'Assumptions'!$D$13)^(12-1)</x:f>
        <x:v>5308.075321141366</x:v>
      </x:c>
      <x:c r="S1468" s="10" t="n">
        <x:f>IF(I1468=0,0,J1468*'Assumptions'!$W$82+H1468*'Assumptions'!$X$82)</x:f>
        <x:v>1259.175706298605</x:v>
      </x:c>
      <x:c r="T1468" s="10" t="n">
        <x:f>N1468*'Assumptions'!$AA$82</x:f>
        <x:v>1464.547896173893</x:v>
      </x:c>
      <x:c r="U1468" s="10" t="n">
        <x:f>'Assumptions'!$AE$82*'Assumptions'!$D$11*(1+'Assumptions'!$D$13)^(12-1)</x:f>
        <x:v>332.216128973867</x:v>
      </x:c>
      <x:c r="V1468" s="10" t="n">
        <x:f>0</x:f>
        <x:v>0</x:v>
      </x:c>
      <x:c r="W1468" s="10" t="n">
        <x:f>H1468*('Assumptions'!$P$82+'Assumptions'!$Y$82)</x:f>
        <x:v>319.5555458151108</x:v>
      </x:c>
      <x:c r="X1468" s="10" t="n">
        <x:f>N1468/12*'Assumptions'!$AF$82</x:f>
        <x:v>0</x:v>
      </x:c>
      <x:c r="Y1468" s="10" t="n">
        <x:f>P1468/12</x:f>
        <x:v>0</x:v>
      </x:c>
      <x:c r="Z1468" s="10" t="n">
        <x:f>0</x:f>
        <x:v>0</x:v>
      </x:c>
      <x:c r="AA1468" s="10" t="n">
        <x:f>Z1468*'Assumptions'!$AC$82*'Assumptions'!$D$11*(1+'Assumptions'!$D$13)^(12-1)</x:f>
        <x:v>0</x:v>
      </x:c>
      <x:c r="AB1468" s="10" t="n">
        <x:f>F1468/1</x:f>
        <x:v>967.9756848028904</x:v>
      </x:c>
      <x:c r="AC1468" s="10" t="n">
        <x:f>AB1468/'Assumptions'!$AM$82</x:f>
        <x:v>19359.51369605781</x:v>
      </x:c>
      <x:c r="AD1468" s="10" t="n">
        <x:f>IF(AB1468=0,0,T1468/AB1468)</x:f>
        <x:v>1.5130007077317442</x:v>
      </x:c>
      <x:c r="AE1468" s="10" t="n">
        <x:f>AA1468*'Assumptions'!$D$21</x:f>
        <x:v>0</x:v>
      </x:c>
    </x:row>
    <x:row r="1469" ht="16" customHeight="1">
      <x:c r="A1469" s="1"/>
      <x:c r="B1469" s="1"/>
      <x:c r="C1469" s="1" t="str">
        <x:v>DOT-054</x:v>
      </x:c>
      <x:c r="D1469" s="10" t="str">
        <x:v>VraiSkill adult</x:v>
      </x:c>
      <x:c r="E1469" s="10" t="n">
        <x:v>12</x:v>
      </x:c>
      <x:c r="F1469" s="21" t="n">
        <x:f>F1341*(1+'Assumptions'!$M$83)</x:f>
        <x:v>1935.9513696057809</x:v>
      </x:c>
      <x:c r="G1469" s="21" t="n">
        <x:f>H1341*'Assumptions'!$K$83</x:f>
        <x:v>620.4930684406792</x:v>
      </x:c>
      <x:c r="H1469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1469+G1469,NA())</x:f>
        <x:v>2556.44443804646</x:v>
      </x:c>
      <x:c r="I1469" s="22" t="n">
        <x:f>'Assumptions'!$H$83*IF('Assumptions'!$O$83=1,1,'Assumptions'!$D$10)*(1+'Assumptions'!$N$83)^(12-1)</x:f>
        <x:v>12.421309340862578</x:v>
      </x:c>
      <x:c r="J1469" s="10" t="n">
        <x:f>H1469*I1469</x:f>
        <x:v>31754.38717770268</x:v>
      </x:c>
      <x:c r="K1469" s="10" t="n">
        <x:f>J1469*'Assumptions'!$T$83</x:f>
        <x:v>31754.38717770268</x:v>
      </x:c>
      <x:c r="L1469" s="10" t="n">
        <x:f>K1469*'Assumptions'!$U$83</x:f>
        <x:v>952.6316153310804</x:v>
      </x:c>
      <x:c r="M1469" s="10" t="n">
        <x:f>K1469*'Assumptions'!$V$83</x:f>
        <x:v>0</x:v>
      </x:c>
      <x:c r="N1469" s="10" t="n">
        <x:f>K1469-L1469-M1469</x:f>
        <x:v>30801.7555623716</x:v>
      </x:c>
      <x:c r="O1469" s="10" t="n">
        <x:f>H1469*'Assumptions'!$P$83*'Assumptions'!$Q$83*'Assumptions'!$D$11*(1+'Assumptions'!$D$13)^(12-1)</x:f>
        <x:v>18578.26414378742</x:v>
      </x:c>
      <x:c r="P1469" s="10" t="n">
        <x:f>H1469*'Assumptions'!$R$83*'Assumptions'!$D$11*(1+'Assumptions'!$D$13)^(12-1)</x:f>
        <x:v>0</x:v>
      </x:c>
      <x:c r="Q1469" s="10" t="n">
        <x:f>J1469*'Assumptions'!$S$83</x:f>
        <x:v>0</x:v>
      </x:c>
      <x:c r="R1469" s="10" t="n">
        <x:f>H1469*'Assumptions'!$Y$83*'Assumptions'!$Z$83*'Assumptions'!$D$11*(1+'Assumptions'!$D$13)^(12-1)</x:f>
        <x:v>10616.150939307097</x:v>
      </x:c>
      <x:c r="S1469" s="10" t="n">
        <x:f>IF(I1469=0,0,J1469*'Assumptions'!$W$83+H1469*'Assumptions'!$X$83)</x:f>
        <x:v>1687.810559567316</x:v>
      </x:c>
      <x:c r="T1469" s="10" t="n">
        <x:f>N1469*'Assumptions'!$AA$83</x:f>
        <x:v>1540.08777811858</x:v>
      </x:c>
      <x:c r="U1469" s="10" t="n">
        <x:f>'Assumptions'!$AE$83*'Assumptions'!$D$11*(1+'Assumptions'!$D$13)^(12-1)</x:f>
        <x:v>332.216128973867</x:v>
      </x:c>
      <x:c r="V1469" s="10" t="n">
        <x:f>0</x:f>
        <x:v>0</x:v>
      </x:c>
      <x:c r="W1469" s="10" t="n">
        <x:f>H1469*('Assumptions'!$P$83+'Assumptions'!$Y$83)</x:f>
        <x:v>639.111109511615</x:v>
      </x:c>
      <x:c r="X1469" s="10" t="n">
        <x:f>N1469/12*'Assumptions'!$AF$83</x:f>
        <x:v>0</x:v>
      </x:c>
      <x:c r="Y1469" s="10" t="n">
        <x:f>P1469/12</x:f>
        <x:v>0</x:v>
      </x:c>
      <x:c r="Z1469" s="10" t="n">
        <x:f>0</x:f>
        <x:v>0</x:v>
      </x:c>
      <x:c r="AA1469" s="10" t="n">
        <x:f>Z1469*'Assumptions'!$AC$83*'Assumptions'!$D$11*(1+'Assumptions'!$D$13)^(12-1)</x:f>
        <x:v>0</x:v>
      </x:c>
      <x:c r="AB1469" s="10" t="n">
        <x:f>F1469/1</x:f>
        <x:v>1935.9513696057809</x:v>
      </x:c>
      <x:c r="AC1469" s="10" t="n">
        <x:f>AB1469/'Assumptions'!$AM$83</x:f>
        <x:v>38719.02739211562</x:v>
      </x:c>
      <x:c r="AD1469" s="10" t="n">
        <x:f>IF(AB1469=0,0,T1469/AB1469)</x:f>
        <x:v>0.7955198680595934</x:v>
      </x:c>
      <x:c r="AE1469" s="10" t="n">
        <x:f>AA1469*'Assumptions'!$D$21</x:f>
        <x:v>0</x:v>
      </x:c>
    </x:row>
    <x:row r="1470" ht="16" customHeight="1">
      <x:c r="A1470" s="1"/>
      <x:c r="B1470" s="1"/>
      <x:c r="C1470" s="1" t="str">
        <x:v>DOT-055</x:v>
      </x:c>
      <x:c r="D1470" s="10" t="str">
        <x:v>VraiSkill adult</x:v>
      </x:c>
      <x:c r="E1470" s="10" t="n">
        <x:v>12</x:v>
      </x:c>
      <x:c r="F1470" s="21" t="n">
        <x:f>F1342*(1+'Assumptions'!$M$84)</x:f>
        <x:v>645.317123201927</x:v>
      </x:c>
      <x:c r="G1470" s="21" t="n">
        <x:f>H1342*'Assumptions'!$K$84</x:f>
        <x:v>206.83102281355974</x:v>
      </x:c>
      <x:c r="H1470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1470+G1470,NA())</x:f>
        <x:v>852.1481460154866</x:v>
      </x:c>
      <x:c r="I1470" s="22" t="n">
        <x:f>'Assumptions'!$H$84*IF('Assumptions'!$O$84=1,1,'Assumptions'!$D$10)*(1+'Assumptions'!$N$84)^(12-1)</x:f>
        <x:v>29.84098340147166</x:v>
      </x:c>
      <x:c r="J1470" s="10" t="n">
        <x:f>H1470*I1470</x:f>
        <x:v>25428.938680842984</x:v>
      </x:c>
      <x:c r="K1470" s="10" t="n">
        <x:f>J1470*'Assumptions'!$T$84</x:f>
        <x:v>25428.938680842984</x:v>
      </x:c>
      <x:c r="L1470" s="10" t="n">
        <x:f>K1470*'Assumptions'!$U$84</x:f>
        <x:v>762.8681604252895</x:v>
      </x:c>
      <x:c r="M1470" s="10" t="n">
        <x:f>K1470*'Assumptions'!$V$84</x:f>
        <x:v>0</x:v>
      </x:c>
      <x:c r="N1470" s="10" t="n">
        <x:f>K1470-L1470-M1470</x:f>
        <x:v>24666.070520417696</x:v>
      </x:c>
      <x:c r="O1470" s="10" t="n">
        <x:f>H1470*'Assumptions'!$P$84*'Assumptions'!$Q$84*'Assumptions'!$D$11*(1+'Assumptions'!$D$13)^(12-1)</x:f>
        <x:v>6192.754714595806</x:v>
      </x:c>
      <x:c r="P1470" s="10" t="n">
        <x:f>H1470*'Assumptions'!$R$84*'Assumptions'!$D$11*(1+'Assumptions'!$D$13)^(12-1)</x:f>
        <x:v>0</x:v>
      </x:c>
      <x:c r="Q1470" s="10" t="n">
        <x:f>J1470*'Assumptions'!$S$84</x:f>
        <x:v>0</x:v>
      </x:c>
      <x:c r="R1470" s="10" t="n">
        <x:f>H1470*'Assumptions'!$Y$84*'Assumptions'!$Z$84*'Assumptions'!$D$11*(1+'Assumptions'!$D$13)^(12-1)</x:f>
        <x:v>3538.7169797690326</x:v>
      </x:c>
      <x:c r="S1470" s="10" t="n">
        <x:f>IF(I1470=0,0,J1470*'Assumptions'!$W$84+H1470*'Assumptions'!$X$84)</x:f>
        <x:v>993.0836655490926</x:v>
      </x:c>
      <x:c r="T1470" s="10" t="n">
        <x:f>N1470*'Assumptions'!$AA$84</x:f>
        <x:v>1233.3035260208849</x:v>
      </x:c>
      <x:c r="U1470" s="10" t="n">
        <x:f>'Assumptions'!$AE$84*'Assumptions'!$D$11*(1+'Assumptions'!$D$13)^(12-1)</x:f>
        <x:v>0</x:v>
      </x:c>
      <x:c r="V1470" s="10" t="n">
        <x:f>0</x:f>
        <x:v>0</x:v>
      </x:c>
      <x:c r="W1470" s="10" t="n">
        <x:f>H1470*('Assumptions'!$P$84+'Assumptions'!$Y$84)</x:f>
        <x:v>213.03703650387166</x:v>
      </x:c>
      <x:c r="X1470" s="10" t="n">
        <x:f>N1470/12*'Assumptions'!$AF$84</x:f>
        <x:v>0</x:v>
      </x:c>
      <x:c r="Y1470" s="10" t="n">
        <x:f>P1470/12</x:f>
        <x:v>0</x:v>
      </x:c>
      <x:c r="Z1470" s="10" t="n">
        <x:f>0</x:f>
        <x:v>0</x:v>
      </x:c>
      <x:c r="AA1470" s="10" t="n">
        <x:f>Z1470*'Assumptions'!$AC$84*'Assumptions'!$D$11*(1+'Assumptions'!$D$13)^(12-1)</x:f>
        <x:v>0</x:v>
      </x:c>
      <x:c r="AB1470" s="10" t="n">
        <x:f>F1470/1</x:f>
        <x:v>645.317123201927</x:v>
      </x:c>
      <x:c r="AC1470" s="10" t="n">
        <x:f>AB1470/'Assumptions'!$AM$84</x:f>
        <x:v>12906.342464038538</x:v>
      </x:c>
      <x:c r="AD1470" s="10" t="n">
        <x:f>IF(AB1470=0,0,T1470/AB1470)</x:f>
        <x:v>1.9111588421852095</x:v>
      </x:c>
      <x:c r="AE1470" s="10" t="n">
        <x:f>AA1470*'Assumptions'!$D$21</x:f>
        <x:v>0</x:v>
      </x:c>
    </x:row>
    <x:row r="1471" ht="16" customHeight="1">
      <x:c r="A1471" s="1"/>
      <x:c r="B1471" s="1"/>
      <x:c r="C1471" s="1" t="str">
        <x:v>DOT-056</x:v>
      </x:c>
      <x:c r="D1471" s="10" t="str">
        <x:v>VraiSkill teen</x:v>
      </x:c>
      <x:c r="E1471" s="10" t="n">
        <x:v>12</x:v>
      </x:c>
      <x:c r="F1471" s="21" t="n">
        <x:f>F1343*(1+'Assumptions'!$M$85)</x:f>
        <x:v>645.317123201927</x:v>
      </x:c>
      <x:c r="G1471" s="21" t="n">
        <x:f>H1343*'Assumptions'!$K$85</x:f>
        <x:v>206.83099897170183</x:v>
      </x:c>
      <x:c r="H1471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1471+G1471,NA())</x:f>
        <x:v>852.1481221736287</x:v>
      </x:c>
      <x:c r="I1471" s="22" t="n">
        <x:f>'Assumptions'!$H$85*IF('Assumptions'!$O$85=1,1,'Assumptions'!$D$10)*(1+'Assumptions'!$N$85)^(12-1)</x:f>
        <x:v>29.84098340147166</x:v>
      </x:c>
      <x:c r="J1471" s="10" t="n">
        <x:f>H1471*I1471</x:f>
        <x:v>25428.9379693785</x:v>
      </x:c>
      <x:c r="K1471" s="10" t="n">
        <x:f>J1471*'Assumptions'!$T$85</x:f>
        <x:v>25428.9379693785</x:v>
      </x:c>
      <x:c r="L1471" s="10" t="n">
        <x:f>K1471*'Assumptions'!$U$85</x:f>
        <x:v>762.868139081355</x:v>
      </x:c>
      <x:c r="M1471" s="10" t="n">
        <x:f>K1471*'Assumptions'!$V$85</x:f>
        <x:v>0</x:v>
      </x:c>
      <x:c r="N1471" s="10" t="n">
        <x:f>K1471-L1471-M1471</x:f>
        <x:v>24666.069830297147</x:v>
      </x:c>
      <x:c r="O1471" s="10" t="n">
        <x:f>H1471*'Assumptions'!$P$85*'Assumptions'!$Q$85*'Assumptions'!$D$11*(1+'Assumptions'!$D$13)^(12-1)</x:f>
        <x:v>6192.754541331593</x:v>
      </x:c>
      <x:c r="P1471" s="10" t="n">
        <x:f>H1471*'Assumptions'!$R$85*'Assumptions'!$D$11*(1+'Assumptions'!$D$13)^(12-1)</x:f>
        <x:v>0</x:v>
      </x:c>
      <x:c r="Q1471" s="10" t="n">
        <x:f>J1471*'Assumptions'!$S$85</x:f>
        <x:v>0</x:v>
      </x:c>
      <x:c r="R1471" s="10" t="n">
        <x:f>H1471*'Assumptions'!$Y$85*'Assumptions'!$Z$85*'Assumptions'!$D$11*(1+'Assumptions'!$D$13)^(12-1)</x:f>
        <x:v>3538.716880760911</x:v>
      </x:c>
      <x:c r="S1471" s="10" t="n">
        <x:f>IF(I1471=0,0,J1471*'Assumptions'!$W$85+H1471*'Assumptions'!$X$85)</x:f>
        <x:v>993.0836377640652</x:v>
      </x:c>
      <x:c r="T1471" s="10" t="n">
        <x:f>N1471*'Assumptions'!$AA$85</x:f>
        <x:v>1233.3034915148573</x:v>
      </x:c>
      <x:c r="U1471" s="10" t="n">
        <x:f>'Assumptions'!$AE$85*'Assumptions'!$D$11*(1+'Assumptions'!$D$13)^(12-1)</x:f>
        <x:v>332.216128973867</x:v>
      </x:c>
      <x:c r="V1471" s="10" t="n">
        <x:f>0</x:f>
        <x:v>0</x:v>
      </x:c>
      <x:c r="W1471" s="10" t="n">
        <x:f>H1471*('Assumptions'!$P$85+'Assumptions'!$Y$85)</x:f>
        <x:v>213.03703054340718</x:v>
      </x:c>
      <x:c r="X1471" s="10" t="n">
        <x:f>N1471/12*'Assumptions'!$AF$85</x:f>
        <x:v>0</x:v>
      </x:c>
      <x:c r="Y1471" s="10" t="n">
        <x:f>P1471/12</x:f>
        <x:v>0</x:v>
      </x:c>
      <x:c r="Z1471" s="10" t="n">
        <x:f>0</x:f>
        <x:v>0</x:v>
      </x:c>
      <x:c r="AA1471" s="10" t="n">
        <x:f>Z1471*'Assumptions'!$AC$85*'Assumptions'!$D$11*(1+'Assumptions'!$D$13)^(12-1)</x:f>
        <x:v>0</x:v>
      </x:c>
      <x:c r="AB1471" s="10" t="n">
        <x:f>F1471/1</x:f>
        <x:v>645.317123201927</x:v>
      </x:c>
      <x:c r="AC1471" s="10" t="n">
        <x:f>AB1471/'Assumptions'!$AM$85</x:f>
        <x:v>12906.342464038538</x:v>
      </x:c>
      <x:c r="AD1471" s="10" t="n">
        <x:f>IF(AB1471=0,0,T1471/AB1471)</x:f>
        <x:v>1.9111587887137822</x:v>
      </x:c>
      <x:c r="AE1471" s="10" t="n">
        <x:f>AA1471*'Assumptions'!$D$21</x:f>
        <x:v>0</x:v>
      </x:c>
    </x:row>
    <x:row r="1472" ht="16" customHeight="1">
      <x:c r="A1472" s="1"/>
      <x:c r="B1472" s="1"/>
      <x:c r="C1472" s="1" t="str">
        <x:v>DOT-057</x:v>
      </x:c>
      <x:c r="D1472" s="10" t="str">
        <x:v>VraiSkill Model Life</x:v>
      </x:c>
      <x:c r="E1472" s="10" t="n">
        <x:v>12</x:v>
      </x:c>
      <x:c r="F1472" s="21" t="n">
        <x:f>F1344*(1+'Assumptions'!$M$86)</x:f>
        <x:v>0</x:v>
      </x:c>
      <x:c r="G1472" s="21" t="n">
        <x:f>H1344*'Assumptions'!$K$86</x:f>
        <x:v>0</x:v>
      </x:c>
      <x:c r="H1472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1472+G1472,NA())</x:f>
        <x:v>0</x:v>
      </x:c>
      <x:c r="I1472" s="22" t="n">
        <x:f>'Assumptions'!$H$86*IF('Assumptions'!$O$86=1,1,'Assumptions'!$D$10)*(1+'Assumptions'!$N$86)^(12-1)</x:f>
        <x:v>0</x:v>
      </x:c>
      <x:c r="J1472" s="10" t="n">
        <x:f>H1472*I1472</x:f>
        <x:v>0</x:v>
      </x:c>
      <x:c r="K1472" s="10" t="n">
        <x:f>J1472*'Assumptions'!$T$86</x:f>
        <x:v>0</x:v>
      </x:c>
      <x:c r="L1472" s="10" t="n">
        <x:f>K1472*'Assumptions'!$U$86</x:f>
        <x:v>0</x:v>
      </x:c>
      <x:c r="M1472" s="10" t="n">
        <x:f>K1472*'Assumptions'!$V$86</x:f>
        <x:v>0</x:v>
      </x:c>
      <x:c r="N1472" s="10" t="n">
        <x:f>K1472-L1472-M1472</x:f>
        <x:v>0</x:v>
      </x:c>
      <x:c r="O1472" s="10" t="n">
        <x:f>H1472*'Assumptions'!$P$86*'Assumptions'!$Q$86*'Assumptions'!$D$11*(1+'Assumptions'!$D$13)^(12-1)</x:f>
        <x:v>0</x:v>
      </x:c>
      <x:c r="P1472" s="10" t="n">
        <x:f>H1472*'Assumptions'!$R$86*'Assumptions'!$D$11*(1+'Assumptions'!$D$13)^(12-1)</x:f>
        <x:v>0</x:v>
      </x:c>
      <x:c r="Q1472" s="10" t="n">
        <x:f>J1472*'Assumptions'!$S$86</x:f>
        <x:v>0</x:v>
      </x:c>
      <x:c r="R1472" s="10" t="n">
        <x:f>H1472*'Assumptions'!$Y$86*'Assumptions'!$Z$86*'Assumptions'!$D$11*(1+'Assumptions'!$D$13)^(12-1)</x:f>
        <x:v>0</x:v>
      </x:c>
      <x:c r="S1472" s="10" t="n">
        <x:f>IF(I1472=0,0,J1472*'Assumptions'!$W$86+H1472*'Assumptions'!$X$86)</x:f>
        <x:v>0</x:v>
      </x:c>
      <x:c r="T1472" s="10" t="n">
        <x:f>N1472*'Assumptions'!$AA$86</x:f>
        <x:v>0</x:v>
      </x:c>
      <x:c r="U1472" s="10" t="n">
        <x:f>'Assumptions'!$AE$86*'Assumptions'!$D$11*(1+'Assumptions'!$D$13)^(12-1)</x:f>
        <x:v>0</x:v>
      </x:c>
      <x:c r="V1472" s="10" t="n">
        <x:f>0</x:f>
        <x:v>0</x:v>
      </x:c>
      <x:c r="W1472" s="10" t="n">
        <x:f>H1472*('Assumptions'!$P$86+'Assumptions'!$Y$86)</x:f>
        <x:v>0</x:v>
      </x:c>
      <x:c r="X1472" s="10" t="n">
        <x:f>N1472/12*'Assumptions'!$AF$86</x:f>
        <x:v>0</x:v>
      </x:c>
      <x:c r="Y1472" s="10" t="n">
        <x:f>P1472/12</x:f>
        <x:v>0</x:v>
      </x:c>
      <x:c r="Z1472" s="10" t="n">
        <x:f>0</x:f>
        <x:v>0</x:v>
      </x:c>
      <x:c r="AA1472" s="10" t="n">
        <x:f>Z1472*'Assumptions'!$AC$86*'Assumptions'!$D$11*(1+'Assumptions'!$D$13)^(12-1)</x:f>
        <x:v>0</x:v>
      </x:c>
      <x:c r="AB1472" s="10" t="n">
        <x:f>F1472/1</x:f>
        <x:v>0</x:v>
      </x:c>
      <x:c r="AC1472" s="10" t="n">
        <x:f>AB1472/'Assumptions'!$AM$86</x:f>
        <x:v>0</x:v>
      </x:c>
      <x:c r="AD1472" s="10" t="n">
        <x:f>IF(AB1472=0,0,T1472/AB1472)</x:f>
        <x:v>0</x:v>
      </x:c>
      <x:c r="AE1472" s="10" t="n">
        <x:f>AA1472*'Assumptions'!$D$21</x:f>
        <x:v>0</x:v>
      </x:c>
    </x:row>
    <x:row r="1473" ht="16" customHeight="1">
      <x:c r="A1473" s="1"/>
      <x:c r="B1473" s="1"/>
      <x:c r="C1473" s="1" t="str">
        <x:v>DOT-058</x:v>
      </x:c>
      <x:c r="D1473" s="10" t="str">
        <x:v>Model Life</x:v>
      </x:c>
      <x:c r="E1473" s="10" t="n">
        <x:v>12</x:v>
      </x:c>
      <x:c r="F1473" s="21" t="n">
        <x:f>F1345*(1+'Assumptions'!$M$87)</x:f>
        <x:v>367.2383684176816</x:v>
      </x:c>
      <x:c r="G1473" s="21" t="n">
        <x:f>H1345*'Assumptions'!$K$87</x:f>
        <x:v>759.1671935219814</x:v>
      </x:c>
      <x:c r="H1473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1473+G1473,NA())</x:f>
        <x:v>1126.4055619396631</x:v>
      </x:c>
      <x:c r="I1473" s="22" t="n">
        <x:f>'Assumptions'!$H$87*IF('Assumptions'!$O$87=1,1,'Assumptions'!$D$10)*(1+'Assumptions'!$N$87)^(12-1)</x:f>
        <x:v>18.650614625919786</x:v>
      </x:c>
      <x:c r="J1473" s="10" t="n">
        <x:f>H1473*I1473</x:f>
        <x:v>21008.156048229277</x:v>
      </x:c>
      <x:c r="K1473" s="10" t="n">
        <x:f>J1473*'Assumptions'!$T$87</x:f>
        <x:v>21008.156048229277</x:v>
      </x:c>
      <x:c r="L1473" s="10" t="n">
        <x:f>K1473*'Assumptions'!$U$87</x:f>
        <x:v>630.2446814468783</x:v>
      </x:c>
      <x:c r="M1473" s="10" t="n">
        <x:f>K1473*'Assumptions'!$V$87</x:f>
        <x:v>0</x:v>
      </x:c>
      <x:c r="N1473" s="10" t="n">
        <x:f>K1473-L1473-M1473</x:f>
        <x:v>20377.9113667824</x:v>
      </x:c>
      <x:c r="O1473" s="10" t="n">
        <x:f>H1473*'Assumptions'!$P$87*'Assumptions'!$Q$87*'Assumptions'!$D$11*(1+'Assumptions'!$D$13)^(12-1)</x:f>
        <x:v>5457.230558532496</x:v>
      </x:c>
      <x:c r="P1473" s="10" t="n">
        <x:f>H1473*'Assumptions'!$R$87*'Assumptions'!$D$11*(1+'Assumptions'!$D$13)^(12-1)</x:f>
        <x:v>0</x:v>
      </x:c>
      <x:c r="Q1473" s="10" t="n">
        <x:f>J1473*'Assumptions'!$S$87</x:f>
        <x:v>0</x:v>
      </x:c>
      <x:c r="R1473" s="10" t="n">
        <x:f>H1473*'Assumptions'!$Y$87*'Assumptions'!$Z$87*'Assumptions'!$D$11*(1+'Assumptions'!$D$13)^(12-1)</x:f>
        <x:v>7016.4392895417795</x:v>
      </x:c>
      <x:c r="S1473" s="10" t="n">
        <x:f>IF(I1473=0,0,J1473*'Assumptions'!$W$87+H1473*'Assumptions'!$X$87)</x:f>
        <x:v>947.158193980548</x:v>
      </x:c>
      <x:c r="T1473" s="10" t="n">
        <x:f>N1473*'Assumptions'!$AA$87</x:f>
        <x:v>1018.89556833912</x:v>
      </x:c>
      <x:c r="U1473" s="10" t="n">
        <x:f>'Assumptions'!$AE$87*'Assumptions'!$D$11*(1+'Assumptions'!$D$13)^(12-1)</x:f>
        <x:v>83.05403224346675</x:v>
      </x:c>
      <x:c r="V1473" s="10" t="n">
        <x:f>0</x:f>
        <x:v>0</x:v>
      </x:c>
      <x:c r="W1473" s="10" t="n">
        <x:f>H1473*('Assumptions'!$P$87+'Assumptions'!$Y$87)</x:f>
        <x:v>281.6013904849158</x:v>
      </x:c>
      <x:c r="X1473" s="10" t="n">
        <x:f>N1473/12*'Assumptions'!$AF$87</x:f>
        <x:v>0</x:v>
      </x:c>
      <x:c r="Y1473" s="10" t="n">
        <x:f>P1473/12</x:f>
        <x:v>0</x:v>
      </x:c>
      <x:c r="Z1473" s="10" t="n">
        <x:f>0</x:f>
        <x:v>0</x:v>
      </x:c>
      <x:c r="AA1473" s="10" t="n">
        <x:f>Z1473*'Assumptions'!$AC$87*'Assumptions'!$D$11*(1+'Assumptions'!$D$13)^(12-1)</x:f>
        <x:v>0</x:v>
      </x:c>
      <x:c r="AB1473" s="10" t="n">
        <x:f>F1473/12</x:f>
        <x:v>30.603197368140133</x:v>
      </x:c>
      <x:c r="AC1473" s="10" t="n">
        <x:f>AB1473/'Assumptions'!$AM$87</x:f>
        <x:v>612.0639473628027</x:v>
      </x:c>
      <x:c r="AD1473" s="10" t="n">
        <x:f>IF(AB1473=0,0,T1473/AB1473)</x:f>
        <x:v>33.2937619583454</x:v>
      </x:c>
      <x:c r="AE1473" s="10" t="n">
        <x:f>AA1473*'Assumptions'!$D$21</x:f>
        <x:v>0</x:v>
      </x:c>
    </x:row>
    <x:row r="1474" ht="16" customHeight="1">
      <x:c r="A1474" s="1"/>
      <x:c r="B1474" s="1"/>
      <x:c r="C1474" s="1" t="str">
        <x:v>DOT-059</x:v>
      </x:c>
      <x:c r="D1474" s="10" t="str">
        <x:v>Model Life</x:v>
      </x:c>
      <x:c r="E1474" s="10" t="n">
        <x:v>12</x:v>
      </x:c>
      <x:c r="F1474" s="21" t="n">
        <x:f>F1346*(1+'Assumptions'!$M$88)</x:f>
        <x:v>91.8095921044204</x:v>
      </x:c>
      <x:c r="G1474" s="21" t="n">
        <x:f>H1346*'Assumptions'!$K$88</x:f>
        <x:v>189.79179838049535</x:v>
      </x:c>
      <x:c r="H1474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1474+G1474,NA())</x:f>
        <x:v>281.6013904849158</x:v>
      </x:c>
      <x:c r="I1474" s="22" t="n">
        <x:f>'Assumptions'!$H$88*IF('Assumptions'!$O$88=1,1,'Assumptions'!$D$10)*(1+'Assumptions'!$N$88)^(12-1)</x:f>
        <x:v>98.22657036317754</x:v>
      </x:c>
      <x:c r="J1474" s="10" t="n">
        <x:f>H1474*I1474</x:f>
        <x:v>27660.738796835216</x:v>
      </x:c>
      <x:c r="K1474" s="10" t="n">
        <x:f>J1474*'Assumptions'!$T$88</x:f>
        <x:v>27660.738796835216</x:v>
      </x:c>
      <x:c r="L1474" s="10" t="n">
        <x:f>K1474*'Assumptions'!$U$88</x:f>
        <x:v>829.8221639050564</x:v>
      </x:c>
      <x:c r="M1474" s="10" t="n">
        <x:f>K1474*'Assumptions'!$V$88</x:f>
        <x:v>0</x:v>
      </x:c>
      <x:c r="N1474" s="10" t="n">
        <x:f>K1474-L1474-M1474</x:f>
        <x:v>26830.91663293016</x:v>
      </x:c>
      <x:c r="O1474" s="10" t="n">
        <x:f>H1474*'Assumptions'!$P$88*'Assumptions'!$Q$88*'Assumptions'!$D$11*(1+'Assumptions'!$D$13)^(12-1)</x:f>
        <x:v>1364.307639633124</x:v>
      </x:c>
      <x:c r="P1474" s="10" t="n">
        <x:f>H1474*'Assumptions'!$R$88*'Assumptions'!$D$11*(1+'Assumptions'!$D$13)^(12-1)</x:f>
        <x:v>0</x:v>
      </x:c>
      <x:c r="Q1474" s="10" t="n">
        <x:f>J1474*'Assumptions'!$S$88</x:f>
        <x:v>0</x:v>
      </x:c>
      <x:c r="R1474" s="10" t="n">
        <x:f>H1474*'Assumptions'!$Y$88*'Assumptions'!$Z$88*'Assumptions'!$D$11*(1+'Assumptions'!$D$13)^(12-1)</x:f>
        <x:v>1754.1098223854449</x:v>
      </x:c>
      <x:c r="S1474" s="10" t="n">
        <x:f>IF(I1474=0,0,J1474*'Assumptions'!$W$88+H1474*'Assumptions'!$X$88)</x:f>
        <x:v>886.641842253696</x:v>
      </x:c>
      <x:c r="T1474" s="10" t="n">
        <x:f>N1474*'Assumptions'!$AA$88</x:f>
        <x:v>1341.545831646508</x:v>
      </x:c>
      <x:c r="U1474" s="10" t="n">
        <x:f>'Assumptions'!$AE$88*'Assumptions'!$D$11*(1+'Assumptions'!$D$13)^(12-1)</x:f>
        <x:v>83.05403224346675</x:v>
      </x:c>
      <x:c r="V1474" s="10" t="n">
        <x:f>0</x:f>
        <x:v>0</x:v>
      </x:c>
      <x:c r="W1474" s="10" t="n">
        <x:f>H1474*('Assumptions'!$P$88+'Assumptions'!$Y$88)</x:f>
        <x:v>70.40034762122895</x:v>
      </x:c>
      <x:c r="X1474" s="10" t="n">
        <x:f>N1474/12*'Assumptions'!$AF$88</x:f>
        <x:v>0</x:v>
      </x:c>
      <x:c r="Y1474" s="10" t="n">
        <x:f>P1474/12</x:f>
        <x:v>0</x:v>
      </x:c>
      <x:c r="Z1474" s="10" t="n">
        <x:f>0</x:f>
        <x:v>0</x:v>
      </x:c>
      <x:c r="AA1474" s="10" t="n">
        <x:f>Z1474*'Assumptions'!$AC$88*'Assumptions'!$D$11*(1+'Assumptions'!$D$13)^(12-1)</x:f>
        <x:v>0</x:v>
      </x:c>
      <x:c r="AB1474" s="10" t="n">
        <x:f>F1474/12</x:f>
        <x:v>7.650799342035033</x:v>
      </x:c>
      <x:c r="AC1474" s="10" t="n">
        <x:f>AB1474/'Assumptions'!$AM$88</x:f>
        <x:v>153.01598684070066</x:v>
      </x:c>
      <x:c r="AD1474" s="10" t="n">
        <x:f>IF(AB1474=0,0,T1474/AB1474)</x:f>
        <x:v>175.34714631395244</x:v>
      </x:c>
      <x:c r="AE1474" s="10" t="n">
        <x:f>AA1474*'Assumptions'!$D$21</x:f>
        <x:v>0</x:v>
      </x:c>
    </x:row>
    <x:row r="1475" ht="16" customHeight="1">
      <x:c r="A1475" s="1"/>
      <x:c r="B1475" s="1"/>
      <x:c r="C1475" s="1" t="str">
        <x:v>DOT-060</x:v>
      </x:c>
      <x:c r="D1475" s="10" t="str">
        <x:v>Model Life</x:v>
      </x:c>
      <x:c r="E1475" s="10" t="n">
        <x:v>12</x:v>
      </x:c>
      <x:c r="F1475" s="21" t="n">
        <x:f>F1347*(1+'Assumptions'!$M$89)</x:f>
        <x:v>91.8095921044204</x:v>
      </x:c>
      <x:c r="G1475" s="21" t="n">
        <x:f>H1347*'Assumptions'!$K$89</x:f>
        <x:v>189.79179838049535</x:v>
      </x:c>
      <x:c r="H1475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1475+G1475,NA())</x:f>
        <x:v>281.6013904849158</x:v>
      </x:c>
      <x:c r="I1475" s="22" t="n">
        <x:f>'Assumptions'!$H$89*IF('Assumptions'!$O$89=1,1,'Assumptions'!$D$10)*(1+'Assumptions'!$N$89)^(12-1)</x:f>
        <x:v>73.3590841952845</x:v>
      </x:c>
      <x:c r="J1475" s="10" t="n">
        <x:f>H1475*I1475</x:f>
        <x:v>20658.020114092124</x:v>
      </x:c>
      <x:c r="K1475" s="10" t="n">
        <x:f>J1475*'Assumptions'!$T$89</x:f>
        <x:v>20658.020114092124</x:v>
      </x:c>
      <x:c r="L1475" s="10" t="n">
        <x:f>K1475*'Assumptions'!$U$89</x:f>
        <x:v>619.7406034227637</x:v>
      </x:c>
      <x:c r="M1475" s="10" t="n">
        <x:f>K1475*'Assumptions'!$V$89</x:f>
        <x:v>0</x:v>
      </x:c>
      <x:c r="N1475" s="10" t="n">
        <x:f>K1475-L1475-M1475</x:f>
        <x:v>20038.27951066936</x:v>
      </x:c>
      <x:c r="O1475" s="10" t="n">
        <x:f>H1475*'Assumptions'!$P$89*'Assumptions'!$Q$89*'Assumptions'!$D$11*(1+'Assumptions'!$D$13)^(12-1)</x:f>
        <x:v>1364.307639633124</x:v>
      </x:c>
      <x:c r="P1475" s="10" t="n">
        <x:f>H1475*'Assumptions'!$R$89*'Assumptions'!$D$11*(1+'Assumptions'!$D$13)^(12-1)</x:f>
        <x:v>0</x:v>
      </x:c>
      <x:c r="Q1475" s="10" t="n">
        <x:f>J1475*'Assumptions'!$S$89</x:f>
        <x:v>0</x:v>
      </x:c>
      <x:c r="R1475" s="10" t="n">
        <x:f>H1475*'Assumptions'!$Y$89*'Assumptions'!$Z$89*'Assumptions'!$D$11*(1+'Assumptions'!$D$13)^(12-1)</x:f>
        <x:v>1754.1098223854449</x:v>
      </x:c>
      <x:c r="S1475" s="10" t="n">
        <x:f>IF(I1475=0,0,J1475*'Assumptions'!$W$89+H1475*'Assumptions'!$X$89)</x:f>
        <x:v>683.5630004541463</x:v>
      </x:c>
      <x:c r="T1475" s="10" t="n">
        <x:f>N1475*'Assumptions'!$AA$89</x:f>
        <x:v>1001.913975533468</x:v>
      </x:c>
      <x:c r="U1475" s="10" t="n">
        <x:f>'Assumptions'!$AE$89*'Assumptions'!$D$11*(1+'Assumptions'!$D$13)^(12-1)</x:f>
        <x:v>83.05403224346675</x:v>
      </x:c>
      <x:c r="V1475" s="10" t="n">
        <x:f>0</x:f>
        <x:v>0</x:v>
      </x:c>
      <x:c r="W1475" s="10" t="n">
        <x:f>H1475*('Assumptions'!$P$89+'Assumptions'!$Y$89)</x:f>
        <x:v>70.40034762122895</x:v>
      </x:c>
      <x:c r="X1475" s="10" t="n">
        <x:f>N1475/12*'Assumptions'!$AF$89</x:f>
        <x:v>0</x:v>
      </x:c>
      <x:c r="Y1475" s="10" t="n">
        <x:f>P1475/12</x:f>
        <x:v>0</x:v>
      </x:c>
      <x:c r="Z1475" s="10" t="n">
        <x:f>0</x:f>
        <x:v>0</x:v>
      </x:c>
      <x:c r="AA1475" s="10" t="n">
        <x:f>Z1475*'Assumptions'!$AC$89*'Assumptions'!$D$11*(1+'Assumptions'!$D$13)^(12-1)</x:f>
        <x:v>0</x:v>
      </x:c>
      <x:c r="AB1475" s="10" t="n">
        <x:f>F1475/12</x:f>
        <x:v>7.650799342035033</x:v>
      </x:c>
      <x:c r="AC1475" s="10" t="n">
        <x:f>AB1475/'Assumptions'!$AM$89</x:f>
        <x:v>153.01598684070066</x:v>
      </x:c>
      <x:c r="AD1475" s="10" t="n">
        <x:f>IF(AB1475=0,0,T1475/AB1475)</x:f>
        <x:v>130.95546370282523</x:v>
      </x:c>
      <x:c r="AE1475" s="10" t="n">
        <x:f>AA1475*'Assumptions'!$D$21</x:f>
        <x:v>0</x:v>
      </x:c>
    </x:row>
    <x:row r="1476" ht="16" customHeight="1">
      <x:c r="A1476" s="1"/>
      <x:c r="B1476" s="1"/>
      <x:c r="C1476" s="1" t="str">
        <x:v>DOT-061</x:v>
      </x:c>
      <x:c r="D1476" s="10" t="str">
        <x:v>Model Life</x:v>
      </x:c>
      <x:c r="E1476" s="10" t="n">
        <x:v>12</x:v>
      </x:c>
      <x:c r="F1476" s="21" t="n">
        <x:f>F1348*(1+'Assumptions'!$M$90)</x:f>
        <x:v>45.9047960522102</x:v>
      </x:c>
      <x:c r="G1476" s="21" t="n">
        <x:f>H1348*'Assumptions'!$K$90</x:f>
        <x:v>94.89589919024768</x:v>
      </x:c>
      <x:c r="H1476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1476+G1476,NA())</x:f>
        <x:v>140.8006952424579</x:v>
      </x:c>
      <x:c r="I1476" s="22" t="n">
        <x:f>'Assumptions'!$H$90*IF('Assumptions'!$O$90=1,1,'Assumptions'!$D$10)*(1+'Assumptions'!$N$90)^(12-1)</x:f>
        <x:v>123.09405653107059</x:v>
      </x:c>
      <x:c r="J1476" s="10" t="n">
        <x:f>H1476*I1476</x:f>
        <x:v>17331.728739789152</x:v>
      </x:c>
      <x:c r="K1476" s="10" t="n">
        <x:f>J1476*'Assumptions'!$T$90</x:f>
        <x:v>17331.728739789152</x:v>
      </x:c>
      <x:c r="L1476" s="10" t="n">
        <x:f>K1476*'Assumptions'!$U$90</x:f>
        <x:v>519.9518621936745</x:v>
      </x:c>
      <x:c r="M1476" s="10" t="n">
        <x:f>K1476*'Assumptions'!$V$90</x:f>
        <x:v>0</x:v>
      </x:c>
      <x:c r="N1476" s="10" t="n">
        <x:f>K1476-L1476-M1476</x:f>
        <x:v>16811.77687759548</x:v>
      </x:c>
      <x:c r="O1476" s="10" t="n">
        <x:f>H1476*'Assumptions'!$P$90*'Assumptions'!$Q$90*'Assumptions'!$D$11*(1+'Assumptions'!$D$13)^(12-1)</x:f>
        <x:v>682.153819816562</x:v>
      </x:c>
      <x:c r="P1476" s="10" t="n">
        <x:f>H1476*'Assumptions'!$R$90*'Assumptions'!$D$11*(1+'Assumptions'!$D$13)^(12-1)</x:f>
        <x:v>0</x:v>
      </x:c>
      <x:c r="Q1476" s="10" t="n">
        <x:f>J1476*'Assumptions'!$S$90</x:f>
        <x:v>0</x:v>
      </x:c>
      <x:c r="R1476" s="10" t="n">
        <x:f>H1476*'Assumptions'!$Y$90*'Assumptions'!$Z$90*'Assumptions'!$D$11*(1+'Assumptions'!$D$13)^(12-1)</x:f>
        <x:v>877.0549111927224</x:v>
      </x:c>
      <x:c r="S1476" s="10" t="n">
        <x:f>IF(I1476=0,0,J1476*'Assumptions'!$W$90+H1476*'Assumptions'!$X$90)</x:f>
        <x:v>544.8603420266228</x:v>
      </x:c>
      <x:c r="T1476" s="10" t="n">
        <x:f>N1476*'Assumptions'!$AA$90</x:f>
        <x:v>840.588843879774</x:v>
      </x:c>
      <x:c r="U1476" s="10" t="n">
        <x:f>'Assumptions'!$AE$90*'Assumptions'!$D$11*(1+'Assumptions'!$D$13)^(12-1)</x:f>
        <x:v>83.05403224346675</x:v>
      </x:c>
      <x:c r="V1476" s="10" t="n">
        <x:f>0</x:f>
        <x:v>0</x:v>
      </x:c>
      <x:c r="W1476" s="10" t="n">
        <x:f>H1476*('Assumptions'!$P$90+'Assumptions'!$Y$90)</x:f>
        <x:v>35.20017381061447</x:v>
      </x:c>
      <x:c r="X1476" s="10" t="n">
        <x:f>N1476/12*'Assumptions'!$AF$90</x:f>
        <x:v>0</x:v>
      </x:c>
      <x:c r="Y1476" s="10" t="n">
        <x:f>P1476/12</x:f>
        <x:v>0</x:v>
      </x:c>
      <x:c r="Z1476" s="10" t="n">
        <x:f>0</x:f>
        <x:v>0</x:v>
      </x:c>
      <x:c r="AA1476" s="10" t="n">
        <x:f>Z1476*'Assumptions'!$AC$90*'Assumptions'!$D$11*(1+'Assumptions'!$D$13)^(12-1)</x:f>
        <x:v>0</x:v>
      </x:c>
      <x:c r="AB1476" s="10" t="n">
        <x:f>F1476/12</x:f>
        <x:v>3.8253996710175167</x:v>
      </x:c>
      <x:c r="AC1476" s="10" t="n">
        <x:f>AB1476/'Assumptions'!$AM$90</x:f>
        <x:v>76.50799342035033</x:v>
      </x:c>
      <x:c r="AD1476" s="10" t="n">
        <x:f>IF(AB1476=0,0,T1476/AB1476)</x:f>
        <x:v>219.73882892507964</x:v>
      </x:c>
      <x:c r="AE1476" s="10" t="n">
        <x:f>AA1476*'Assumptions'!$D$21</x:f>
        <x:v>0</x:v>
      </x:c>
    </x:row>
    <x:row r="1477" ht="16" customHeight="1">
      <x:c r="A1477" s="1"/>
      <x:c r="B1477" s="1"/>
      <x:c r="C1477" s="1" t="str">
        <x:v>DOT-062</x:v>
      </x:c>
      <x:c r="D1477" s="10" t="str">
        <x:v>Model Life</x:v>
      </x:c>
      <x:c r="E1477" s="10" t="n">
        <x:v>12</x:v>
      </x:c>
      <x:c r="F1477" s="21" t="n">
        <x:f>F1349*(1+'Assumptions'!$M$91)</x:f>
        <x:v>45.9047960522102</x:v>
      </x:c>
      <x:c r="G1477" s="21" t="n">
        <x:f>H1349*'Assumptions'!$K$91</x:f>
        <x:v>94.89589919024768</x:v>
      </x:c>
      <x:c r="H1477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1477+G1477,NA())</x:f>
        <x:v>140.8006952424579</x:v>
      </x:c>
      <x:c r="I1477" s="22" t="n">
        <x:f>'Assumptions'!$H$91*IF('Assumptions'!$O$91=1,1,'Assumptions'!$D$10)*(1+'Assumptions'!$N$91)^(12-1)</x:f>
        <x:v>60.92534111133797</x:v>
      </x:c>
      <x:c r="J1477" s="10" t="n">
        <x:f>H1477*I1477</x:f>
        <x:v>8578.330386360289</x:v>
      </x:c>
      <x:c r="K1477" s="10" t="n">
        <x:f>J1477*'Assumptions'!$T$91</x:f>
        <x:v>8578.330386360289</x:v>
      </x:c>
      <x:c r="L1477" s="10" t="n">
        <x:f>K1477*'Assumptions'!$U$91</x:f>
        <x:v>257.34991159080863</x:v>
      </x:c>
      <x:c r="M1477" s="10" t="n">
        <x:f>K1477*'Assumptions'!$V$91</x:f>
        <x:v>0</x:v>
      </x:c>
      <x:c r="N1477" s="10" t="n">
        <x:f>K1477-L1477-M1477</x:f>
        <x:v>8320.98047476948</x:v>
      </x:c>
      <x:c r="O1477" s="10" t="n">
        <x:f>H1477*'Assumptions'!$P$91*'Assumptions'!$Q$91*'Assumptions'!$D$11*(1+'Assumptions'!$D$13)^(12-1)</x:f>
        <x:v>682.153819816562</x:v>
      </x:c>
      <x:c r="P1477" s="10" t="n">
        <x:f>H1477*'Assumptions'!$R$91*'Assumptions'!$D$11*(1+'Assumptions'!$D$13)^(12-1)</x:f>
        <x:v>0</x:v>
      </x:c>
      <x:c r="Q1477" s="10" t="n">
        <x:f>J1477*'Assumptions'!$S$91</x:f>
        <x:v>0</x:v>
      </x:c>
      <x:c r="R1477" s="10" t="n">
        <x:f>H1477*'Assumptions'!$Y$91*'Assumptions'!$Z$91*'Assumptions'!$D$11*(1+'Assumptions'!$D$13)^(12-1)</x:f>
        <x:v>877.0549111927224</x:v>
      </x:c>
      <x:c r="S1477" s="10" t="n">
        <x:f>IF(I1477=0,0,J1477*'Assumptions'!$W$91+H1477*'Assumptions'!$X$91)</x:f>
        <x:v>291.01178977718575</x:v>
      </x:c>
      <x:c r="T1477" s="10" t="n">
        <x:f>N1477*'Assumptions'!$AA$91</x:f>
        <x:v>416.04902373847403</x:v>
      </x:c>
      <x:c r="U1477" s="10" t="n">
        <x:f>'Assumptions'!$AE$91*'Assumptions'!$D$11*(1+'Assumptions'!$D$13)^(12-1)</x:f>
        <x:v>83.05403224346675</x:v>
      </x:c>
      <x:c r="V1477" s="10" t="n">
        <x:f>0</x:f>
        <x:v>0</x:v>
      </x:c>
      <x:c r="W1477" s="10" t="n">
        <x:f>H1477*('Assumptions'!$P$91+'Assumptions'!$Y$91)</x:f>
        <x:v>35.20017381061447</x:v>
      </x:c>
      <x:c r="X1477" s="10" t="n">
        <x:f>N1477/12*'Assumptions'!$AF$91</x:f>
        <x:v>0</x:v>
      </x:c>
      <x:c r="Y1477" s="10" t="n">
        <x:f>P1477/12</x:f>
        <x:v>0</x:v>
      </x:c>
      <x:c r="Z1477" s="10" t="n">
        <x:f>0</x:f>
        <x:v>0</x:v>
      </x:c>
      <x:c r="AA1477" s="10" t="n">
        <x:f>Z1477*'Assumptions'!$AC$91*'Assumptions'!$D$11*(1+'Assumptions'!$D$13)^(12-1)</x:f>
        <x:v>0</x:v>
      </x:c>
      <x:c r="AB1477" s="10" t="n">
        <x:f>F1477/12</x:f>
        <x:v>3.8253996710175167</x:v>
      </x:c>
      <x:c r="AC1477" s="10" t="n">
        <x:f>AB1477/'Assumptions'!$AM$91</x:f>
        <x:v>76.50799342035033</x:v>
      </x:c>
      <x:c r="AD1477" s="10" t="n">
        <x:f>IF(AB1477=0,0,T1477/AB1477)</x:f>
        <x:v>108.75962239726165</x:v>
      </x:c>
      <x:c r="AE1477" s="10" t="n">
        <x:f>AA1477*'Assumptions'!$D$21</x:f>
        <x:v>0</x:v>
      </x:c>
    </x:row>
    <x:row r="1478" ht="16" customHeight="1">
      <x:c r="A1478" s="1"/>
      <x:c r="B1478" s="1"/>
      <x:c r="C1478" s="1" t="str">
        <x:v>DOT-063</x:v>
      </x:c>
      <x:c r="D1478" s="10" t="str">
        <x:v>S’otality cleaning</x:v>
      </x:c>
      <x:c r="E1478" s="10" t="n">
        <x:v>12</x:v>
      </x:c>
      <x:c r="F1478" s="21" t="n">
        <x:f>F1350*(1+'Assumptions'!$M$92)</x:f>
        <x:v>86.43159966569054</x:v>
      </x:c>
      <x:c r="G1478" s="21" t="n">
        <x:f>H1350*'Assumptions'!$K$92</x:f>
        <x:v>120.16132586071049</x:v>
      </x:c>
      <x:c r="H1478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1478+G1478,NA())</x:f>
        <x:v>206.59292552640102</x:v>
      </x:c>
      <x:c r="I1478" s="22" t="n">
        <x:f>'Assumptions'!$H$92*IF('Assumptions'!$O$92=1,1,'Assumptions'!$D$10)*(1+'Assumptions'!$N$92)^(12-1)</x:f>
        <x:v>185.26277195080323</x:v>
      </x:c>
      <x:c r="J1478" s="10" t="n">
        <x:f>H1478*I1478</x:f>
        <x:v>38273.97804844691</x:v>
      </x:c>
      <x:c r="K1478" s="10" t="n">
        <x:f>J1478*'Assumptions'!$T$92</x:f>
        <x:v>38273.97804844691</x:v>
      </x:c>
      <x:c r="L1478" s="10" t="n">
        <x:f>K1478*'Assumptions'!$U$92</x:f>
        <x:v>1148.2193414534072</x:v>
      </x:c>
      <x:c r="M1478" s="10" t="n">
        <x:f>K1478*'Assumptions'!$V$92</x:f>
        <x:v>0</x:v>
      </x:c>
      <x:c r="N1478" s="10" t="n">
        <x:f>K1478-L1478-M1478</x:f>
        <x:v>37125.7587069935</x:v>
      </x:c>
      <x:c r="O1478" s="10" t="n">
        <x:f>H1478*'Assumptions'!$P$92*'Assumptions'!$Q$92*'Assumptions'!$D$11*(1+'Assumptions'!$D$13)^(12-1)</x:f>
        <x:v>1000.9052373799406</x:v>
      </x:c>
      <x:c r="P1478" s="10" t="n">
        <x:f>H1478*'Assumptions'!$R$92*'Assumptions'!$D$11*(1+'Assumptions'!$D$13)^(12-1)</x:f>
        <x:v>2287.783399725578</x:v>
      </x:c>
      <x:c r="Q1478" s="10" t="n">
        <x:f>J1478*'Assumptions'!$S$92</x:f>
        <x:v>24878.08573149049</x:v>
      </x:c>
      <x:c r="R1478" s="10" t="n">
        <x:f>H1478*'Assumptions'!$Y$92*'Assumptions'!$Z$92*'Assumptions'!$D$11*(1+'Assumptions'!$D$13)^(12-1)</x:f>
        <x:v>1715.8375497941836</x:v>
      </x:c>
      <x:c r="S1478" s="10" t="n">
        <x:f>IF(I1478=0,0,J1478*'Assumptions'!$W$92+H1478*'Assumptions'!$X$92)</x:f>
        <x:v>1171.9232410628806</x:v>
      </x:c>
      <x:c r="T1478" s="10" t="n">
        <x:f>N1478*'Assumptions'!$AA$92</x:f>
        <x:v>1485.03034827974</x:v>
      </x:c>
      <x:c r="U1478" s="10" t="n">
        <x:f>'Assumptions'!$AE$92*'Assumptions'!$D$11*(1+'Assumptions'!$D$13)^(12-1)</x:f>
        <x:v>0</x:v>
      </x:c>
      <x:c r="V1478" s="10" t="n">
        <x:f>0</x:f>
        <x:v>0</x:v>
      </x:c>
      <x:c r="W1478" s="10" t="n">
        <x:f>H1478*('Assumptions'!$P$92+'Assumptions'!$Y$92)</x:f>
        <x:v>61.97787765792032</x:v>
      </x:c>
      <x:c r="X1478" s="10" t="n">
        <x:f>N1478/12*'Assumptions'!$AF$92</x:f>
        <x:v>0</x:v>
      </x:c>
      <x:c r="Y1478" s="10" t="n">
        <x:f>P1478/12</x:f>
        <x:v>190.64861664379816</x:v>
      </x:c>
      <x:c r="Z1478" s="10" t="n">
        <x:f>0</x:f>
        <x:v>0</x:v>
      </x:c>
      <x:c r="AA1478" s="10" t="n">
        <x:f>Z1478*'Assumptions'!$AC$92*'Assumptions'!$D$11*(1+'Assumptions'!$D$13)^(12-1)</x:f>
        <x:v>0</x:v>
      </x:c>
      <x:c r="AB1478" s="10" t="n">
        <x:f>F1478/1</x:f>
        <x:v>86.43159966569054</x:v>
      </x:c>
      <x:c r="AC1478" s="10" t="n">
        <x:f>AB1478/'Assumptions'!$AM$92</x:f>
        <x:v>576.210664437937</x:v>
      </x:c>
      <x:c r="AD1478" s="10" t="n">
        <x:f>IF(AB1478=0,0,T1478/AB1478)</x:f>
        <x:v>17.18156732055985</x:v>
      </x:c>
      <x:c r="AE1478" s="10" t="n">
        <x:f>AA1478*'Assumptions'!$D$21</x:f>
        <x:v>0</x:v>
      </x:c>
    </x:row>
    <x:row r="1479" ht="16" customHeight="1">
      <x:c r="A1479" s="1"/>
      <x:c r="B1479" s="1"/>
      <x:c r="C1479" s="1" t="str">
        <x:v>DOT-064</x:v>
      </x:c>
      <x:c r="D1479" s="10" t="str">
        <x:v>S’otality cleaning</x:v>
      </x:c>
      <x:c r="E1479" s="10" t="n">
        <x:v>12</x:v>
      </x:c>
      <x:c r="F1479" s="21" t="n">
        <x:f>F1351*(1+'Assumptions'!$M$93)</x:f>
        <x:v>129.64739949853578</x:v>
      </x:c>
      <x:c r="G1479" s="21" t="n">
        <x:f>H1351*'Assumptions'!$K$93</x:f>
        <x:v>180.24198879106572</x:v>
      </x:c>
      <x:c r="H1479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1479+G1479,NA())</x:f>
        <x:v>309.88938828960147</x:v>
      </x:c>
      <x:c r="I1479" s="22" t="n">
        <x:f>'Assumptions'!$H$93*IF('Assumptions'!$O$93=1,1,'Assumptions'!$D$10)*(1+'Assumptions'!$N$93)^(12-1)</x:f>
        <x:v>172.8290288668567</x:v>
      </x:c>
      <x:c r="J1479" s="10" t="n">
        <x:f>H1479*I1479</x:f>
        <x:v>53557.8820342361</x:v>
      </x:c>
      <x:c r="K1479" s="10" t="n">
        <x:f>J1479*'Assumptions'!$T$93</x:f>
        <x:v>53557.8820342361</x:v>
      </x:c>
      <x:c r="L1479" s="10" t="n">
        <x:f>K1479*'Assumptions'!$U$93</x:f>
        <x:v>1606.736461027083</x:v>
      </x:c>
      <x:c r="M1479" s="10" t="n">
        <x:f>K1479*'Assumptions'!$V$93</x:f>
        <x:v>0</x:v>
      </x:c>
      <x:c r="N1479" s="10" t="n">
        <x:f>K1479-L1479-M1479</x:f>
        <x:v>51951.14557320902</x:v>
      </x:c>
      <x:c r="O1479" s="10" t="n">
        <x:f>H1479*'Assumptions'!$P$93*'Assumptions'!$Q$93*'Assumptions'!$D$11*(1+'Assumptions'!$D$13)^(12-1)</x:f>
        <x:v>1501.3578560699104</x:v>
      </x:c>
      <x:c r="P1479" s="10" t="n">
        <x:f>H1479*'Assumptions'!$R$93*'Assumptions'!$D$11*(1+'Assumptions'!$D$13)^(12-1)</x:f>
        <x:v>3431.6750995883667</x:v>
      </x:c>
      <x:c r="Q1479" s="10" t="n">
        <x:f>J1479*'Assumptions'!$S$93</x:f>
        <x:v>34812.623322253465</x:v>
      </x:c>
      <x:c r="R1479" s="10" t="n">
        <x:f>H1479*'Assumptions'!$Y$93*'Assumptions'!$Z$93*'Assumptions'!$D$11*(1+'Assumptions'!$D$13)^(12-1)</x:f>
        <x:v>2573.756324691275</x:v>
      </x:c>
      <x:c r="S1479" s="10" t="n">
        <x:f>IF(I1479=0,0,J1479*'Assumptions'!$W$93+H1479*'Assumptions'!$X$93)</x:f>
        <x:v>1646.1453954797273</x:v>
      </x:c>
      <x:c r="T1479" s="10" t="n">
        <x:f>N1479*'Assumptions'!$AA$93</x:f>
        <x:v>2078.045822928361</x:v>
      </x:c>
      <x:c r="U1479" s="10" t="n">
        <x:f>'Assumptions'!$AE$93*'Assumptions'!$D$11*(1+'Assumptions'!$D$13)^(12-1)</x:f>
        <x:v>0</x:v>
      </x:c>
      <x:c r="V1479" s="10" t="n">
        <x:f>0</x:f>
        <x:v>0</x:v>
      </x:c>
      <x:c r="W1479" s="10" t="n">
        <x:f>H1479*('Assumptions'!$P$93+'Assumptions'!$Y$93)</x:f>
        <x:v>92.96681648688046</x:v>
      </x:c>
      <x:c r="X1479" s="10" t="n">
        <x:f>N1479/12*'Assumptions'!$AF$93</x:f>
        <x:v>0</x:v>
      </x:c>
      <x:c r="Y1479" s="10" t="n">
        <x:f>P1479/12</x:f>
        <x:v>285.97292496569725</x:v>
      </x:c>
      <x:c r="Z1479" s="10" t="n">
        <x:f>0</x:f>
        <x:v>0</x:v>
      </x:c>
      <x:c r="AA1479" s="10" t="n">
        <x:f>Z1479*'Assumptions'!$AC$93*'Assumptions'!$D$11*(1+'Assumptions'!$D$13)^(12-1)</x:f>
        <x:v>0</x:v>
      </x:c>
      <x:c r="AB1479" s="10" t="n">
        <x:f>F1479/1</x:f>
        <x:v>129.64739949853578</x:v>
      </x:c>
      <x:c r="AC1479" s="10" t="n">
        <x:f>AB1479/'Assumptions'!$AM$93</x:f>
        <x:v>864.3159966569052</x:v>
      </x:c>
      <x:c r="AD1479" s="10" t="n">
        <x:f>IF(AB1479=0,0,T1479/AB1479)</x:f>
        <x:v>16.028441997032342</x:v>
      </x:c>
      <x:c r="AE1479" s="10" t="n">
        <x:f>AA1479*'Assumptions'!$D$21</x:f>
        <x:v>0</x:v>
      </x:c>
    </x:row>
    <x:row r="1480" ht="16" customHeight="1">
      <x:c r="A1480" s="1"/>
      <x:c r="B1480" s="1"/>
      <x:c r="C1480" s="1" t="str">
        <x:v>DOT-065</x:v>
      </x:c>
      <x:c r="D1480" s="10" t="str">
        <x:v>S’otality cleaning</x:v>
      </x:c>
      <x:c r="E1480" s="10" t="n">
        <x:v>12</x:v>
      </x:c>
      <x:c r="F1480" s="21" t="n">
        <x:f>F1352*(1+'Assumptions'!$M$94)</x:f>
        <x:v>86.43159966569054</x:v>
      </x:c>
      <x:c r="G1480" s="21" t="n">
        <x:f>H1352*'Assumptions'!$K$94</x:f>
        <x:v>120.16132586071049</x:v>
      </x:c>
      <x:c r="H1480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1480+G1480,NA())</x:f>
        <x:v>206.59292552640102</x:v>
      </x:c>
      <x:c r="I1480" s="22" t="n">
        <x:f>'Assumptions'!$H$94*IF('Assumptions'!$O$94=1,1,'Assumptions'!$D$10)*(1+'Assumptions'!$N$94)^(12-1)</x:f>
        <x:v>197.69651503474975</x:v>
      </x:c>
      <x:c r="J1480" s="10" t="n">
        <x:f>H1480*I1480</x:f>
        <x:v>40842.701407403074</x:v>
      </x:c>
      <x:c r="K1480" s="10" t="n">
        <x:f>J1480*'Assumptions'!$T$94</x:f>
        <x:v>40842.701407403074</x:v>
      </x:c>
      <x:c r="L1480" s="10" t="n">
        <x:f>K1480*'Assumptions'!$U$94</x:f>
        <x:v>1225.281042222092</x:v>
      </x:c>
      <x:c r="M1480" s="10" t="n">
        <x:f>K1480*'Assumptions'!$V$94</x:f>
        <x:v>0</x:v>
      </x:c>
      <x:c r="N1480" s="10" t="n">
        <x:f>K1480-L1480-M1480</x:f>
        <x:v>39617.42036518098</x:v>
      </x:c>
      <x:c r="O1480" s="10" t="n">
        <x:f>H1480*'Assumptions'!$P$94*'Assumptions'!$Q$94*'Assumptions'!$D$11*(1+'Assumptions'!$D$13)^(12-1)</x:f>
        <x:v>1000.9052373799406</x:v>
      </x:c>
      <x:c r="P1480" s="10" t="n">
        <x:f>H1480*'Assumptions'!$R$94*'Assumptions'!$D$11*(1+'Assumptions'!$D$13)^(12-1)</x:f>
        <x:v>2287.783399725578</x:v>
      </x:c>
      <x:c r="Q1480" s="10" t="n">
        <x:f>J1480*'Assumptions'!$S$94</x:f>
        <x:v>26547.755914811998</x:v>
      </x:c>
      <x:c r="R1480" s="10" t="n">
        <x:f>H1480*'Assumptions'!$Y$94*'Assumptions'!$Z$94*'Assumptions'!$D$11*(1+'Assumptions'!$D$13)^(12-1)</x:f>
        <x:v>1715.8375497941836</x:v>
      </x:c>
      <x:c r="S1480" s="10" t="n">
        <x:f>IF(I1480=0,0,J1480*'Assumptions'!$W$94+H1480*'Assumptions'!$X$94)</x:f>
        <x:v>1246.4162184726094</x:v>
      </x:c>
      <x:c r="T1480" s="10" t="n">
        <x:f>N1480*'Assumptions'!$AA$94</x:f>
        <x:v>1584.6968146072393</x:v>
      </x:c>
      <x:c r="U1480" s="10" t="n">
        <x:f>'Assumptions'!$AE$94*'Assumptions'!$D$11*(1+'Assumptions'!$D$13)^(12-1)</x:f>
        <x:v>0</x:v>
      </x:c>
      <x:c r="V1480" s="10" t="n">
        <x:f>0</x:f>
        <x:v>0</x:v>
      </x:c>
      <x:c r="W1480" s="10" t="n">
        <x:f>H1480*('Assumptions'!$P$94+'Assumptions'!$Y$94)</x:f>
        <x:v>61.97787765792032</x:v>
      </x:c>
      <x:c r="X1480" s="10" t="n">
        <x:f>N1480/12*'Assumptions'!$AF$94</x:f>
        <x:v>0</x:v>
      </x:c>
      <x:c r="Y1480" s="10" t="n">
        <x:f>P1480/12</x:f>
        <x:v>190.64861664379816</x:v>
      </x:c>
      <x:c r="Z1480" s="10" t="n">
        <x:f>0</x:f>
        <x:v>0</x:v>
      </x:c>
      <x:c r="AA1480" s="10" t="n">
        <x:f>Z1480*'Assumptions'!$AC$94*'Assumptions'!$D$11*(1+'Assumptions'!$D$13)^(12-1)</x:f>
        <x:v>0</x:v>
      </x:c>
      <x:c r="AB1480" s="10" t="n">
        <x:f>F1480/1</x:f>
        <x:v>86.43159966569054</x:v>
      </x:c>
      <x:c r="AC1480" s="10" t="n">
        <x:f>AB1480/'Assumptions'!$AM$94</x:f>
        <x:v>576.210664437937</x:v>
      </x:c>
      <x:c r="AD1480" s="10" t="n">
        <x:f>IF(AB1480=0,0,T1480/AB1480)</x:f>
        <x:v>18.334692644087355</x:v>
      </x:c>
      <x:c r="AE1480" s="10" t="n">
        <x:f>AA1480*'Assumptions'!$D$21</x:f>
        <x:v>0</x:v>
      </x:c>
    </x:row>
    <x:row r="1481" ht="16" customHeight="1">
      <x:c r="A1481" s="1"/>
      <x:c r="B1481" s="1"/>
      <x:c r="C1481" s="1" t="str">
        <x:v>DOT-066</x:v>
      </x:c>
      <x:c r="D1481" s="10" t="str">
        <x:v>S’otality cleaning</x:v>
      </x:c>
      <x:c r="E1481" s="10" t="n">
        <x:v>12</x:v>
      </x:c>
      <x:c r="F1481" s="21" t="n">
        <x:f>F1353*(1+'Assumptions'!$M$95)</x:f>
        <x:v>129.64739949853578</x:v>
      </x:c>
      <x:c r="G1481" s="21" t="n">
        <x:f>H1353*'Assumptions'!$K$95</x:f>
        <x:v>180.24198879106572</x:v>
      </x:c>
      <x:c r="H1481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1481+G1481,NA())</x:f>
        <x:v>309.88938828960147</x:v>
      </x:c>
      <x:c r="I1481" s="22" t="n">
        <x:f>'Assumptions'!$H$95*IF('Assumptions'!$O$95=1,1,'Assumptions'!$D$10)*(1+'Assumptions'!$N$95)^(12-1)</x:f>
        <x:v>185.26277195080323</x:v>
      </x:c>
      <x:c r="J1481" s="10" t="n">
        <x:f>H1481*I1481</x:f>
        <x:v>57410.96707267035</x:v>
      </x:c>
      <x:c r="K1481" s="10" t="n">
        <x:f>J1481*'Assumptions'!$T$95</x:f>
        <x:v>57410.96707267035</x:v>
      </x:c>
      <x:c r="L1481" s="10" t="n">
        <x:f>K1481*'Assumptions'!$U$95</x:f>
        <x:v>1722.3290121801103</x:v>
      </x:c>
      <x:c r="M1481" s="10" t="n">
        <x:f>K1481*'Assumptions'!$V$95</x:f>
        <x:v>0</x:v>
      </x:c>
      <x:c r="N1481" s="10" t="n">
        <x:f>K1481-L1481-M1481</x:f>
        <x:v>55688.63806049024</x:v>
      </x:c>
      <x:c r="O1481" s="10" t="n">
        <x:f>H1481*'Assumptions'!$P$95*'Assumptions'!$Q$95*'Assumptions'!$D$11*(1+'Assumptions'!$D$13)^(12-1)</x:f>
        <x:v>1501.3578560699104</x:v>
      </x:c>
      <x:c r="P1481" s="10" t="n">
        <x:f>H1481*'Assumptions'!$R$95*'Assumptions'!$D$11*(1+'Assumptions'!$D$13)^(12-1)</x:f>
        <x:v>3431.6750995883667</x:v>
      </x:c>
      <x:c r="Q1481" s="10" t="n">
        <x:f>J1481*'Assumptions'!$S$95</x:f>
        <x:v>37317.12859723573</x:v>
      </x:c>
      <x:c r="R1481" s="10" t="n">
        <x:f>H1481*'Assumptions'!$Y$95*'Assumptions'!$Z$95*'Assumptions'!$D$11*(1+'Assumptions'!$D$13)^(12-1)</x:f>
        <x:v>2573.756324691275</x:v>
      </x:c>
      <x:c r="S1481" s="10" t="n">
        <x:f>IF(I1481=0,0,J1481*'Assumptions'!$W$95+H1481*'Assumptions'!$X$95)</x:f>
        <x:v>1757.8848615943205</x:v>
      </x:c>
      <x:c r="T1481" s="10" t="n">
        <x:f>N1481*'Assumptions'!$AA$95</x:f>
        <x:v>2227.5455224196094</x:v>
      </x:c>
      <x:c r="U1481" s="10" t="n">
        <x:f>'Assumptions'!$AE$95*'Assumptions'!$D$11*(1+'Assumptions'!$D$13)^(12-1)</x:f>
        <x:v>0</x:v>
      </x:c>
      <x:c r="V1481" s="10" t="n">
        <x:f>0</x:f>
        <x:v>0</x:v>
      </x:c>
      <x:c r="W1481" s="10" t="n">
        <x:f>H1481*('Assumptions'!$P$95+'Assumptions'!$Y$95)</x:f>
        <x:v>92.96681648688046</x:v>
      </x:c>
      <x:c r="X1481" s="10" t="n">
        <x:f>N1481/12*'Assumptions'!$AF$95</x:f>
        <x:v>0</x:v>
      </x:c>
      <x:c r="Y1481" s="10" t="n">
        <x:f>P1481/12</x:f>
        <x:v>285.97292496569725</x:v>
      </x:c>
      <x:c r="Z1481" s="10" t="n">
        <x:f>0</x:f>
        <x:v>0</x:v>
      </x:c>
      <x:c r="AA1481" s="10" t="n">
        <x:f>Z1481*'Assumptions'!$AC$95*'Assumptions'!$D$11*(1+'Assumptions'!$D$13)^(12-1)</x:f>
        <x:v>0</x:v>
      </x:c>
      <x:c r="AB1481" s="10" t="n">
        <x:f>F1481/1</x:f>
        <x:v>129.64739949853578</x:v>
      </x:c>
      <x:c r="AC1481" s="10" t="n">
        <x:f>AB1481/'Assumptions'!$AM$95</x:f>
        <x:v>864.3159966569052</x:v>
      </x:c>
      <x:c r="AD1481" s="10" t="n">
        <x:f>IF(AB1481=0,0,T1481/AB1481)</x:f>
        <x:v>17.181567320559846</x:v>
      </x:c>
      <x:c r="AE1481" s="10" t="n">
        <x:f>AA1481*'Assumptions'!$D$21</x:f>
        <x:v>0</x:v>
      </x:c>
    </x:row>
    <x:row r="1482" ht="16" customHeight="1">
      <x:c r="A1482" s="1"/>
      <x:c r="B1482" s="1"/>
      <x:c r="C1482" s="1" t="str">
        <x:v>DOT-067</x:v>
      </x:c>
      <x:c r="D1482" s="10" t="str">
        <x:v>S’otality cleaning</x:v>
      </x:c>
      <x:c r="E1482" s="10" t="n">
        <x:v>12</x:v>
      </x:c>
      <x:c r="F1482" s="21" t="n">
        <x:f>F1354*(1+'Assumptions'!$M$96)</x:f>
        <x:v>57.62106644379371</x:v>
      </x:c>
      <x:c r="G1482" s="21" t="n">
        <x:f>H1354*'Assumptions'!$K$96</x:f>
        <x:v>80.10755057380703</x:v>
      </x:c>
      <x:c r="H1482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1482+G1482,NA())</x:f>
        <x:v>137.72861701760075</x:v>
      </x:c>
      <x:c r="I1482" s="22" t="n">
        <x:f>'Assumptions'!$H$96*IF('Assumptions'!$O$96=1,1,'Assumptions'!$D$10)*(1+'Assumptions'!$N$96)^(12-1)</x:f>
        <x:v>247.43148737053585</x:v>
      </x:c>
      <x:c r="J1482" s="10" t="n">
        <x:f>H1482*I1482</x:f>
        <x:v>34078.39656215185</x:v>
      </x:c>
      <x:c r="K1482" s="10" t="n">
        <x:f>J1482*'Assumptions'!$T$96</x:f>
        <x:v>34078.39656215185</x:v>
      </x:c>
      <x:c r="L1482" s="10" t="n">
        <x:f>K1482*'Assumptions'!$U$96</x:f>
        <x:v>1022.3518968645554</x:v>
      </x:c>
      <x:c r="M1482" s="10" t="n">
        <x:f>K1482*'Assumptions'!$V$96</x:f>
        <x:v>0</x:v>
      </x:c>
      <x:c r="N1482" s="10" t="n">
        <x:f>K1482-L1482-M1482</x:f>
        <x:v>33056.04466528729</x:v>
      </x:c>
      <x:c r="O1482" s="10" t="n">
        <x:f>H1482*'Assumptions'!$P$96*'Assumptions'!$Q$96*'Assumptions'!$D$11*(1+'Assumptions'!$D$13)^(12-1)</x:f>
        <x:v>667.2701582532941</x:v>
      </x:c>
      <x:c r="P1482" s="10" t="n">
        <x:f>H1482*'Assumptions'!$R$96*'Assumptions'!$D$11*(1+'Assumptions'!$D$13)^(12-1)</x:f>
        <x:v>1525.1889331503862</x:v>
      </x:c>
      <x:c r="Q1482" s="10" t="n">
        <x:f>J1482*'Assumptions'!$S$96</x:f>
        <x:v>22150.957765398703</x:v>
      </x:c>
      <x:c r="R1482" s="10" t="n">
        <x:f>H1482*'Assumptions'!$Y$96*'Assumptions'!$Z$96*'Assumptions'!$D$11*(1+'Assumptions'!$D$13)^(12-1)</x:f>
        <x:v>1143.89169986279</x:v>
      </x:c>
      <x:c r="S1482" s="10" t="n">
        <x:f>IF(I1482=0,0,J1482*'Assumptions'!$W$96+H1482*'Assumptions'!$X$96)</x:f>
        <x:v>1029.592085407684</x:v>
      </x:c>
      <x:c r="T1482" s="10" t="n">
        <x:f>N1482*'Assumptions'!$AA$96</x:f>
        <x:v>1322.2417866114918</x:v>
      </x:c>
      <x:c r="U1482" s="10" t="n">
        <x:f>'Assumptions'!$AE$96*'Assumptions'!$D$11*(1+'Assumptions'!$D$13)^(12-1)</x:f>
        <x:v>0</x:v>
      </x:c>
      <x:c r="V1482" s="10" t="n">
        <x:f>0</x:f>
        <x:v>0</x:v>
      </x:c>
      <x:c r="W1482" s="10" t="n">
        <x:f>H1482*('Assumptions'!$P$96+'Assumptions'!$Y$96)</x:f>
        <x:v>41.318585105280235</x:v>
      </x:c>
      <x:c r="X1482" s="10" t="n">
        <x:f>N1482/12*'Assumptions'!$AF$96</x:f>
        <x:v>0</x:v>
      </x:c>
      <x:c r="Y1482" s="10" t="n">
        <x:f>P1482/12</x:f>
        <x:v>127.09907776253219</x:v>
      </x:c>
      <x:c r="Z1482" s="10" t="n">
        <x:f>0</x:f>
        <x:v>0</x:v>
      </x:c>
      <x:c r="AA1482" s="10" t="n">
        <x:f>Z1482*'Assumptions'!$AC$96*'Assumptions'!$D$11*(1+'Assumptions'!$D$13)^(12-1)</x:f>
        <x:v>0</x:v>
      </x:c>
      <x:c r="AB1482" s="10" t="n">
        <x:f>F1482/1</x:f>
        <x:v>57.62106644379371</x:v>
      </x:c>
      <x:c r="AC1482" s="10" t="n">
        <x:f>AB1482/'Assumptions'!$AM$96</x:f>
        <x:v>384.14044295862476</x:v>
      </x:c>
      <x:c r="AD1482" s="10" t="n">
        <x:f>IF(AB1482=0,0,T1482/AB1482)</x:f>
        <x:v>22.947193938197387</x:v>
      </x:c>
      <x:c r="AE1482" s="10" t="n">
        <x:f>AA1482*'Assumptions'!$D$21</x:f>
        <x:v>0</x:v>
      </x:c>
    </x:row>
    <x:row r="1483" ht="16" customHeight="1">
      <x:c r="A1483" s="1"/>
      <x:c r="B1483" s="1"/>
      <x:c r="C1483" s="1" t="str">
        <x:v>DOT-068</x:v>
      </x:c>
      <x:c r="D1483" s="10" t="str">
        <x:v>S’otality cleaning</x:v>
      </x:c>
      <x:c r="E1483" s="10" t="n">
        <x:v>12</x:v>
      </x:c>
      <x:c r="F1483" s="21" t="n">
        <x:f>F1355*(1+'Assumptions'!$M$97)</x:f>
        <x:v>86.43159966569054</x:v>
      </x:c>
      <x:c r="G1483" s="21" t="n">
        <x:f>H1355*'Assumptions'!$K$97</x:f>
        <x:v>120.16132586071049</x:v>
      </x:c>
      <x:c r="H1483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1483+G1483,NA())</x:f>
        <x:v>206.59292552640102</x:v>
      </x:c>
      <x:c r="I1483" s="22" t="n">
        <x:f>'Assumptions'!$H$97*IF('Assumptions'!$O$97=1,1,'Assumptions'!$D$10)*(1+'Assumptions'!$N$97)^(12-1)</x:f>
        <x:v>234.99774428658932</x:v>
      </x:c>
      <x:c r="J1483" s="10" t="n">
        <x:f>H1483*I1483</x:f>
        <x:v>48548.87148427158</x:v>
      </x:c>
      <x:c r="K1483" s="10" t="n">
        <x:f>J1483*'Assumptions'!$T$97</x:f>
        <x:v>48548.87148427158</x:v>
      </x:c>
      <x:c r="L1483" s="10" t="n">
        <x:f>K1483*'Assumptions'!$U$97</x:f>
        <x:v>1456.4661445281472</x:v>
      </x:c>
      <x:c r="M1483" s="10" t="n">
        <x:f>K1483*'Assumptions'!$V$97</x:f>
        <x:v>0</x:v>
      </x:c>
      <x:c r="N1483" s="10" t="n">
        <x:f>K1483-L1483-M1483</x:f>
        <x:v>47092.40533974343</x:v>
      </x:c>
      <x:c r="O1483" s="10" t="n">
        <x:f>H1483*'Assumptions'!$P$97*'Assumptions'!$Q$97*'Assumptions'!$D$11*(1+'Assumptions'!$D$13)^(12-1)</x:f>
        <x:v>1000.9052373799406</x:v>
      </x:c>
      <x:c r="P1483" s="10" t="n">
        <x:f>H1483*'Assumptions'!$R$97*'Assumptions'!$D$11*(1+'Assumptions'!$D$13)^(12-1)</x:f>
        <x:v>2287.783399725578</x:v>
      </x:c>
      <x:c r="Q1483" s="10" t="n">
        <x:f>J1483*'Assumptions'!$S$97</x:f>
        <x:v>31556.766464776527</x:v>
      </x:c>
      <x:c r="R1483" s="10" t="n">
        <x:f>H1483*'Assumptions'!$Y$97*'Assumptions'!$Z$97*'Assumptions'!$D$11*(1+'Assumptions'!$D$13)^(12-1)</x:f>
        <x:v>1715.8375497941836</x:v>
      </x:c>
      <x:c r="S1483" s="10" t="n">
        <x:f>IF(I1483=0,0,J1483*'Assumptions'!$W$97+H1483*'Assumptions'!$X$97)</x:f>
        <x:v>1469.8951507017962</x:v>
      </x:c>
      <x:c r="T1483" s="10" t="n">
        <x:f>N1483*'Assumptions'!$AA$97</x:f>
        <x:v>1883.6962135897375</x:v>
      </x:c>
      <x:c r="U1483" s="10" t="n">
        <x:f>'Assumptions'!$AE$97*'Assumptions'!$D$11*(1+'Assumptions'!$D$13)^(12-1)</x:f>
        <x:v>0</x:v>
      </x:c>
      <x:c r="V1483" s="10" t="n">
        <x:f>0</x:f>
        <x:v>0</x:v>
      </x:c>
      <x:c r="W1483" s="10" t="n">
        <x:f>H1483*('Assumptions'!$P$97+'Assumptions'!$Y$97)</x:f>
        <x:v>61.97787765792032</x:v>
      </x:c>
      <x:c r="X1483" s="10" t="n">
        <x:f>N1483/12*'Assumptions'!$AF$97</x:f>
        <x:v>0</x:v>
      </x:c>
      <x:c r="Y1483" s="10" t="n">
        <x:f>P1483/12</x:f>
        <x:v>190.64861664379816</x:v>
      </x:c>
      <x:c r="Z1483" s="10" t="n">
        <x:f>0</x:f>
        <x:v>0</x:v>
      </x:c>
      <x:c r="AA1483" s="10" t="n">
        <x:f>Z1483*'Assumptions'!$AC$97*'Assumptions'!$D$11*(1+'Assumptions'!$D$13)^(12-1)</x:f>
        <x:v>0</x:v>
      </x:c>
      <x:c r="AB1483" s="10" t="n">
        <x:f>F1483/1</x:f>
        <x:v>86.43159966569054</x:v>
      </x:c>
      <x:c r="AC1483" s="10" t="n">
        <x:f>AB1483/'Assumptions'!$AM$97</x:f>
        <x:v>576.210664437937</x:v>
      </x:c>
      <x:c r="AD1483" s="10" t="n">
        <x:f>IF(AB1483=0,0,T1483/AB1483)</x:f>
        <x:v>21.794068614669875</x:v>
      </x:c>
      <x:c r="AE1483" s="10" t="n">
        <x:f>AA1483*'Assumptions'!$D$21</x:f>
        <x:v>0</x:v>
      </x:c>
    </x:row>
    <x:row r="1484" ht="16" customHeight="1">
      <x:c r="A1484" s="1"/>
      <x:c r="B1484" s="1"/>
      <x:c r="C1484" s="1" t="str">
        <x:v>DOT-069</x:v>
      </x:c>
      <x:c r="D1484" s="10" t="str">
        <x:v>S’otality cleaning</x:v>
      </x:c>
      <x:c r="E1484" s="10" t="n">
        <x:v>12</x:v>
      </x:c>
      <x:c r="F1484" s="21" t="n">
        <x:f>F1356*(1+'Assumptions'!$M$98)</x:f>
        <x:v>28.810533221896854</x:v>
      </x:c>
      <x:c r="G1484" s="21" t="n">
        <x:f>H1356*'Assumptions'!$K$98</x:f>
        <x:v>40.053775286903516</x:v>
      </x:c>
      <x:c r="H1484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1484+G1484,NA())</x:f>
        <x:v>68.86430850880038</x:v>
      </x:c>
      <x:c r="I1484" s="22" t="n">
        <x:f>'Assumptions'!$H$98*IF('Assumptions'!$O$98=1,1,'Assumptions'!$D$10)*(1+'Assumptions'!$N$98)^(12-1)</x:f>
        <x:v>371.76891821000106</x:v>
      </x:c>
      <x:c r="J1484" s="10" t="n">
        <x:f>H1484*I1484</x:f>
        <x:v>25601.60947759649</x:v>
      </x:c>
      <x:c r="K1484" s="10" t="n">
        <x:f>J1484*'Assumptions'!$T$98</x:f>
        <x:v>25601.60947759649</x:v>
      </x:c>
      <x:c r="L1484" s="10" t="n">
        <x:f>K1484*'Assumptions'!$U$98</x:f>
        <x:v>768.0482843278946</x:v>
      </x:c>
      <x:c r="M1484" s="10" t="n">
        <x:f>K1484*'Assumptions'!$V$98</x:f>
        <x:v>0</x:v>
      </x:c>
      <x:c r="N1484" s="10" t="n">
        <x:f>K1484-L1484-M1484</x:f>
        <x:v>24833.561193268593</x:v>
      </x:c>
      <x:c r="O1484" s="10" t="n">
        <x:f>H1484*'Assumptions'!$P$98*'Assumptions'!$Q$98*'Assumptions'!$D$11*(1+'Assumptions'!$D$13)^(12-1)</x:f>
        <x:v>333.63507912664704</x:v>
      </x:c>
      <x:c r="P1484" s="10" t="n">
        <x:f>H1484*'Assumptions'!$R$98*'Assumptions'!$D$11*(1+'Assumptions'!$D$13)^(12-1)</x:f>
        <x:v>762.5944665751931</x:v>
      </x:c>
      <x:c r="Q1484" s="10" t="n">
        <x:f>J1484*'Assumptions'!$S$98</x:f>
        <x:v>16641.04616043772</x:v>
      </x:c>
      <x:c r="R1484" s="10" t="n">
        <x:f>H1484*'Assumptions'!$Y$98*'Assumptions'!$Z$98*'Assumptions'!$D$11*(1+'Assumptions'!$D$13)^(12-1)</x:f>
        <x:v>571.945849931395</x:v>
      </x:c>
      <x:c r="S1484" s="10" t="n">
        <x:f>IF(I1484=0,0,J1484*'Assumptions'!$W$98+H1484*'Assumptions'!$X$98)</x:f>
        <x:v>763.1059674029383</x:v>
      </x:c>
      <x:c r="T1484" s="10" t="n">
        <x:f>N1484*'Assumptions'!$AA$98</x:f>
        <x:v>993.3424477307437</x:v>
      </x:c>
      <x:c r="U1484" s="10" t="n">
        <x:f>'Assumptions'!$AE$98*'Assumptions'!$D$11*(1+'Assumptions'!$D$13)^(12-1)</x:f>
        <x:v>0</x:v>
      </x:c>
      <x:c r="V1484" s="10" t="n">
        <x:f>0</x:f>
        <x:v>0</x:v>
      </x:c>
      <x:c r="W1484" s="10" t="n">
        <x:f>H1484*('Assumptions'!$P$98+'Assumptions'!$Y$98)</x:f>
        <x:v>20.659292552640117</x:v>
      </x:c>
      <x:c r="X1484" s="10" t="n">
        <x:f>N1484/12*'Assumptions'!$AF$98</x:f>
        <x:v>0</x:v>
      </x:c>
      <x:c r="Y1484" s="10" t="n">
        <x:f>P1484/12</x:f>
        <x:v>63.549538881266095</x:v>
      </x:c>
      <x:c r="Z1484" s="10" t="n">
        <x:f>0</x:f>
        <x:v>0</x:v>
      </x:c>
      <x:c r="AA1484" s="10" t="n">
        <x:f>Z1484*'Assumptions'!$AC$98*'Assumptions'!$D$11*(1+'Assumptions'!$D$13)^(12-1)</x:f>
        <x:v>0</x:v>
      </x:c>
      <x:c r="AB1484" s="10" t="n">
        <x:f>F1484/1</x:f>
        <x:v>28.810533221896854</x:v>
      </x:c>
      <x:c r="AC1484" s="10" t="n">
        <x:f>AB1484/'Assumptions'!$AM$98</x:f>
        <x:v>192.07022147931238</x:v>
      </x:c>
      <x:c r="AD1484" s="10" t="n">
        <x:f>IF(AB1484=0,0,T1484/AB1484)</x:f>
        <x:v>34.47844717347245</x:v>
      </x:c>
      <x:c r="AE1484" s="10" t="n">
        <x:f>AA1484*'Assumptions'!$D$21</x:f>
        <x:v>0</x:v>
      </x:c>
    </x:row>
    <x:row r="1485" ht="16" customHeight="1">
      <x:c r="A1485" s="1"/>
      <x:c r="B1485" s="1"/>
      <x:c r="C1485" s="1" t="str">
        <x:v>DOT-070</x:v>
      </x:c>
      <x:c r="D1485" s="10" t="str">
        <x:v>S’otality laundry</x:v>
      </x:c>
      <x:c r="E1485" s="10" t="n">
        <x:v>12</x:v>
      </x:c>
      <x:c r="F1485" s="21" t="n">
        <x:f>F1357*(1+'Assumptions'!$M$99)</x:f>
        <x:v>259.29479899707155</x:v>
      </x:c>
      <x:c r="G1485" s="21" t="n">
        <x:f>H1357*'Assumptions'!$K$99</x:f>
        <x:v>360.48397758213144</x:v>
      </x:c>
      <x:c r="H1485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1485+G1485,NA())</x:f>
        <x:v>619.7787765792029</x:v>
      </x:c>
      <x:c r="I1485" s="22" t="n">
        <x:f>'Assumptions'!$H$99*IF('Assumptions'!$O$99=1,1,'Assumptions'!$D$10)*(1+'Assumptions'!$N$99)^(12-1)</x:f>
        <x:v>74.60245850367914</x:v>
      </x:c>
      <x:c r="J1485" s="10" t="n">
        <x:f>H1485*I1485</x:f>
        <x:v>46237.02046121102</x:v>
      </x:c>
      <x:c r="K1485" s="10" t="n">
        <x:f>J1485*'Assumptions'!$T$99</x:f>
        <x:v>46237.02046121102</x:v>
      </x:c>
      <x:c r="L1485" s="10" t="n">
        <x:f>K1485*'Assumptions'!$U$99</x:f>
        <x:v>1387.1106138363305</x:v>
      </x:c>
      <x:c r="M1485" s="10" t="n">
        <x:f>K1485*'Assumptions'!$V$99</x:f>
        <x:v>0</x:v>
      </x:c>
      <x:c r="N1485" s="10" t="n">
        <x:f>K1485-L1485-M1485</x:f>
        <x:v>44849.909847374685</x:v>
      </x:c>
      <x:c r="O1485" s="10" t="n">
        <x:f>H1485*'Assumptions'!$P$99*'Assumptions'!$Q$99*'Assumptions'!$D$11*(1+'Assumptions'!$D$13)^(12-1)</x:f>
        <x:v>3002.715712139821</x:v>
      </x:c>
      <x:c r="P1485" s="10" t="n">
        <x:f>H1485*'Assumptions'!$R$99*'Assumptions'!$D$11*(1+'Assumptions'!$D$13)^(12-1)</x:f>
        <x:v>0</x:v>
      </x:c>
      <x:c r="Q1485" s="10" t="n">
        <x:f>J1485*'Assumptions'!$S$99</x:f>
        <x:v>30054.06329978716</x:v>
      </x:c>
      <x:c r="R1485" s="10" t="n">
        <x:f>H1485*'Assumptions'!$Y$99*'Assumptions'!$Z$99*'Assumptions'!$D$11*(1+'Assumptions'!$D$13)^(12-1)</x:f>
        <x:v>5147.51264938255</x:v>
      </x:c>
      <x:c r="S1485" s="10" t="n">
        <x:f>IF(I1485=0,0,J1485*'Assumptions'!$W$99+H1485*'Assumptions'!$X$99)</x:f>
        <x:v>1526.8072263488805</x:v>
      </x:c>
      <x:c r="T1485" s="10" t="n">
        <x:f>N1485*'Assumptions'!$AA$99</x:f>
        <x:v>1793.9963938949875</x:v>
      </x:c>
      <x:c r="U1485" s="10" t="n">
        <x:f>'Assumptions'!$AE$99*'Assumptions'!$D$11*(1+'Assumptions'!$D$13)^(12-1)</x:f>
        <x:v>0</x:v>
      </x:c>
      <x:c r="V1485" s="10" t="n">
        <x:f>0</x:f>
        <x:v>0</x:v>
      </x:c>
      <x:c r="W1485" s="10" t="n">
        <x:f>H1485*('Assumptions'!$P$99+'Assumptions'!$Y$99)</x:f>
        <x:v>185.93363297376092</x:v>
      </x:c>
      <x:c r="X1485" s="10" t="n">
        <x:f>N1485/12*'Assumptions'!$AF$99</x:f>
        <x:v>0</x:v>
      </x:c>
      <x:c r="Y1485" s="10" t="n">
        <x:f>P1485/12</x:f>
        <x:v>0</x:v>
      </x:c>
      <x:c r="Z1485" s="10" t="n">
        <x:f>0</x:f>
        <x:v>0</x:v>
      </x:c>
      <x:c r="AA1485" s="10" t="n">
        <x:f>Z1485*'Assumptions'!$AC$99*'Assumptions'!$D$11*(1+'Assumptions'!$D$13)^(12-1)</x:f>
        <x:v>0</x:v>
      </x:c>
      <x:c r="AB1485" s="10" t="n">
        <x:f>F1485/1</x:f>
        <x:v>259.29479899707155</x:v>
      </x:c>
      <x:c r="AC1485" s="10" t="n">
        <x:f>AB1485/'Assumptions'!$AM$99</x:f>
        <x:v>1728.6319933138104</x:v>
      </x:c>
      <x:c r="AD1485" s="10" t="n">
        <x:f>IF(AB1485=0,0,T1485/AB1485)</x:f>
        <x:v>6.9187519411650396</x:v>
      </x:c>
      <x:c r="AE1485" s="10" t="n">
        <x:f>AA1485*'Assumptions'!$D$21</x:f>
        <x:v>0</x:v>
      </x:c>
    </x:row>
    <x:row r="1486" ht="16" customHeight="1">
      <x:c r="A1486" s="1"/>
      <x:c r="B1486" s="1"/>
      <x:c r="C1486" s="1" t="str">
        <x:v>DOT-071</x:v>
      </x:c>
      <x:c r="D1486" s="10" t="str">
        <x:v>S’otality Personal Chef</x:v>
      </x:c>
      <x:c r="E1486" s="10" t="n">
        <x:v>12</x:v>
      </x:c>
      <x:c r="F1486" s="21" t="n">
        <x:f>F1358*(1+'Assumptions'!$M$100)</x:f>
        <x:v>43.21579983284527</x:v>
      </x:c>
      <x:c r="G1486" s="21" t="n">
        <x:f>H1358*'Assumptions'!$K$100</x:f>
        <x:v>60.02624337195526</x:v>
      </x:c>
      <x:c r="H1486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1486+G1486,NA())</x:f>
        <x:v>103.24204320480052</x:v>
      </x:c>
      <x:c r="I1486" s="22" t="n">
        <x:f>'Assumptions'!$H$100*IF('Assumptions'!$O$100=1,1,'Assumptions'!$D$10)*(1+'Assumptions'!$N$100)^(12-1)</x:f>
        <x:v>808.1933004565241</x:v>
      </x:c>
      <x:c r="J1486" s="10" t="n">
        <x:f>H1486*I1486</x:f>
        <x:v>83439.52764356279</x:v>
      </x:c>
      <x:c r="K1486" s="10" t="n">
        <x:f>J1486*'Assumptions'!$T$100</x:f>
        <x:v>83439.52764356279</x:v>
      </x:c>
      <x:c r="L1486" s="10" t="n">
        <x:f>K1486*'Assumptions'!$U$100</x:f>
        <x:v>2503.1858293068835</x:v>
      </x:c>
      <x:c r="M1486" s="10" t="n">
        <x:f>K1486*'Assumptions'!$V$100</x:f>
        <x:v>0</x:v>
      </x:c>
      <x:c r="N1486" s="10" t="n">
        <x:f>K1486-L1486-M1486</x:f>
        <x:v>80936.34181425591</x:v>
      </x:c>
      <x:c r="O1486" s="10" t="n">
        <x:f>H1486*'Assumptions'!$P$100*'Assumptions'!$Q$100*'Assumptions'!$D$11*(1+'Assumptions'!$D$13)^(12-1)</x:f>
        <x:v>2858.2226617376305</x:v>
      </x:c>
      <x:c r="P1486" s="10" t="n">
        <x:f>H1486*'Assumptions'!$R$100*'Assumptions'!$D$11*(1+'Assumptions'!$D$13)^(12-1)</x:f>
        <x:v>14291.113308688151</x:v>
      </x:c>
      <x:c r="Q1486" s="10" t="n">
        <x:f>J1486*'Assumptions'!$S$100</x:f>
        <x:v>41719.763821781395</x:v>
      </x:c>
      <x:c r="R1486" s="10" t="n">
        <x:f>H1486*'Assumptions'!$Y$100*'Assumptions'!$Z$100*'Assumptions'!$D$11*(1+'Assumptions'!$D$13)^(12-1)</x:f>
        <x:v>857.4667985212891</x:v>
      </x:c>
      <x:c r="S1486" s="10" t="n">
        <x:f>IF(I1486=0,0,J1486*'Assumptions'!$W$100+H1486*'Assumptions'!$X$100)</x:f>
        <x:v>2450.718914624761</x:v>
      </x:c>
      <x:c r="T1486" s="10" t="n">
        <x:f>N1486*'Assumptions'!$AA$100</x:f>
        <x:v>3237.4536725702364</x:v>
      </x:c>
      <x:c r="U1486" s="10" t="n">
        <x:f>'Assumptions'!$AE$100*'Assumptions'!$D$11*(1+'Assumptions'!$D$13)^(12-1)</x:f>
        <x:v>0</x:v>
      </x:c>
      <x:c r="V1486" s="10" t="n">
        <x:f>0</x:f>
        <x:v>0</x:v>
      </x:c>
      <x:c r="W1486" s="10" t="n">
        <x:f>H1486*('Assumptions'!$P$100+'Assumptions'!$Y$100)</x:f>
        <x:v>72.26943024336036</x:v>
      </x:c>
      <x:c r="X1486" s="10" t="n">
        <x:f>N1486/12*'Assumptions'!$AF$100</x:f>
        <x:v>0</x:v>
      </x:c>
      <x:c r="Y1486" s="10" t="n">
        <x:f>P1486/12</x:f>
        <x:v>1190.926109057346</x:v>
      </x:c>
      <x:c r="Z1486" s="10" t="n">
        <x:f>0</x:f>
        <x:v>0</x:v>
      </x:c>
      <x:c r="AA1486" s="10" t="n">
        <x:f>Z1486*'Assumptions'!$AC$100*'Assumptions'!$D$11*(1+'Assumptions'!$D$13)^(12-1)</x:f>
        <x:v>0</x:v>
      </x:c>
      <x:c r="AB1486" s="10" t="n">
        <x:f>F1486/1</x:f>
        <x:v>43.21579983284527</x:v>
      </x:c>
      <x:c r="AC1486" s="10" t="n">
        <x:f>AB1486/'Assumptions'!$AM$100</x:f>
        <x:v>288.1053322189685</x:v>
      </x:c>
      <x:c r="AD1486" s="10" t="n">
        <x:f>IF(AB1486=0,0,T1486/AB1486)</x:f>
        <x:v>74.91365854831818</x:v>
      </x:c>
      <x:c r="AE1486" s="10" t="n">
        <x:f>AA1486*'Assumptions'!$D$21</x:f>
        <x:v>0</x:v>
      </x:c>
    </x:row>
    <x:row r="1487" ht="16" customHeight="1">
      <x:c r="A1487" s="1"/>
      <x:c r="B1487" s="1"/>
      <x:c r="C1487" s="1" t="str">
        <x:v>DOT-072</x:v>
      </x:c>
      <x:c r="D1487" s="10" t="str">
        <x:v>S’otality interiors</x:v>
      </x:c>
      <x:c r="E1487" s="10" t="n">
        <x:v>12</x:v>
      </x:c>
      <x:c r="F1487" s="21" t="n">
        <x:f>F1359*(1+'Assumptions'!$M$101)</x:f>
        <x:v>16.205924937316972</x:v>
      </x:c>
      <x:c r="G1487" s="21" t="n">
        <x:f>H1359*'Assumptions'!$K$101</x:f>
        <x:v>15.275813214744785</x:v>
      </x:c>
      <x:c r="H1487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1487+G1487,NA())</x:f>
        <x:v>31.48173815206176</x:v>
      </x:c>
      <x:c r="I1487" s="22" t="n">
        <x:f>'Assumptions'!$H$101*IF('Assumptions'!$O$101=1,1,'Assumptions'!$D$10)*(1+'Assumptions'!$N$101)^(12-1)</x:f>
        <x:v>1865.0614625919786</x:v>
      </x:c>
      <x:c r="J1487" s="10" t="n">
        <x:f>H1487*I1487</x:f>
        <x:v>58715.376602822</x:v>
      </x:c>
      <x:c r="K1487" s="10" t="n">
        <x:f>J1487*'Assumptions'!$T$101</x:f>
        <x:v>58715.376602822</x:v>
      </x:c>
      <x:c r="L1487" s="10" t="n">
        <x:f>K1487*'Assumptions'!$U$101</x:f>
        <x:v>1761.4612980846598</x:v>
      </x:c>
      <x:c r="M1487" s="10" t="n">
        <x:f>K1487*'Assumptions'!$V$101</x:f>
        <x:v>0</x:v>
      </x:c>
      <x:c r="N1487" s="10" t="n">
        <x:f>K1487-L1487-M1487</x:f>
        <x:v>56953.91530473734</x:v>
      </x:c>
      <x:c r="O1487" s="10" t="n">
        <x:f>H1487*'Assumptions'!$P$101*'Assumptions'!$Q$101*'Assumptions'!$D$11*(1+'Assumptions'!$D$13)^(12-1)</x:f>
        <x:v>23967.94854264905</x:v>
      </x:c>
      <x:c r="P1487" s="10" t="n">
        <x:f>H1487*'Assumptions'!$R$101*'Assumptions'!$D$11*(1+'Assumptions'!$D$13)^(12-1)</x:f>
        <x:v>2178.9044129680956</x:v>
      </x:c>
      <x:c r="Q1487" s="10" t="n">
        <x:f>J1487*'Assumptions'!$S$101</x:f>
        <x:v>0</x:v>
      </x:c>
      <x:c r="R1487" s="10" t="n">
        <x:f>H1487*'Assumptions'!$Y$101*'Assumptions'!$Z$101*'Assumptions'!$D$11*(1+'Assumptions'!$D$13)^(12-1)</x:f>
        <x:v>326.8356619452143</x:v>
      </x:c>
      <x:c r="S1487" s="10" t="n">
        <x:f>IF(I1487=0,0,J1487*'Assumptions'!$W$101+H1487*'Assumptions'!$X$101)</x:f>
        <x:v>1712.1904429274564</x:v>
      </x:c>
      <x:c r="T1487" s="10" t="n">
        <x:f>N1487*'Assumptions'!$AA$101</x:f>
        <x:v>2278.1566121894934</x:v>
      </x:c>
      <x:c r="U1487" s="10" t="n">
        <x:f>'Assumptions'!$AE$101*'Assumptions'!$D$11*(1+'Assumptions'!$D$13)^(12-1)</x:f>
        <x:v>0</x:v>
      </x:c>
      <x:c r="V1487" s="10" t="n">
        <x:f>0</x:f>
        <x:v>0</x:v>
      </x:c>
      <x:c r="W1487" s="10" t="n">
        <x:f>H1487*('Assumptions'!$P$101+'Assumptions'!$Y$101)</x:f>
        <x:v>322.687816058633</x:v>
      </x:c>
      <x:c r="X1487" s="10" t="n">
        <x:f>N1487/12*'Assumptions'!$AF$101</x:f>
        <x:v>4746.159608728111</x:v>
      </x:c>
      <x:c r="Y1487" s="10" t="n">
        <x:f>P1487/12</x:f>
        <x:v>181.5753677473413</x:v>
      </x:c>
      <x:c r="Z1487" s="10" t="n">
        <x:f>0</x:f>
        <x:v>0</x:v>
      </x:c>
      <x:c r="AA1487" s="10" t="n">
        <x:f>Z1487*'Assumptions'!$AC$101*'Assumptions'!$D$11*(1+'Assumptions'!$D$13)^(12-1)</x:f>
        <x:v>0</x:v>
      </x:c>
      <x:c r="AB1487" s="10" t="n">
        <x:f>F1487/1</x:f>
        <x:v>16.205924937316972</x:v>
      </x:c>
      <x:c r="AC1487" s="10" t="n">
        <x:f>AB1487/'Assumptions'!$AM$101</x:f>
        <x:v>81.02962468658485</x:v>
      </x:c>
      <x:c r="AD1487" s="10" t="n">
        <x:f>IF(AB1487=0,0,T1487/AB1487)</x:f>
        <x:v>140.57553771236098</x:v>
      </x:c>
      <x:c r="AE1487" s="10" t="n">
        <x:f>AA1487*'Assumptions'!$D$21</x:f>
        <x:v>0</x:v>
      </x:c>
    </x:row>
    <x:row r="1488" ht="16" customHeight="1">
      <x:c r="A1488" s="1"/>
      <x:c r="B1488" s="1"/>
      <x:c r="C1488" s="1" t="str">
        <x:v>DOT-073</x:v>
      </x:c>
      <x:c r="D1488" s="10" t="str">
        <x:v>S’otality interiors</x:v>
      </x:c>
      <x:c r="E1488" s="10" t="n">
        <x:v>12</x:v>
      </x:c>
      <x:c r="F1488" s="21" t="n">
        <x:f>F1360*(1+'Assumptions'!$M$102)</x:f>
        <x:v>43.21579983284527</x:v>
      </x:c>
      <x:c r="G1488" s="21" t="n">
        <x:f>H1360*'Assumptions'!$K$102</x:f>
        <x:v>60.080662930355246</x:v>
      </x:c>
      <x:c r="H1488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1488+G1488,NA())</x:f>
        <x:v>103.29646276320051</x:v>
      </x:c>
      <x:c r="I1488" s="22" t="n">
        <x:f>'Assumptions'!$H$102*IF('Assumptions'!$O$102=1,1,'Assumptions'!$D$10)*(1+'Assumptions'!$N$102)^(12-1)</x:f>
        <x:v>373.0122925183957</x:v>
      </x:c>
      <x:c r="J1488" s="10" t="n">
        <x:f>H1488*I1488</x:f>
        <x:v>38530.85038434252</x:v>
      </x:c>
      <x:c r="K1488" s="10" t="n">
        <x:f>J1488*'Assumptions'!$T$102</x:f>
        <x:v>38530.85038434252</x:v>
      </x:c>
      <x:c r="L1488" s="10" t="n">
        <x:f>K1488*'Assumptions'!$U$102</x:f>
        <x:v>1155.9255115302756</x:v>
      </x:c>
      <x:c r="M1488" s="10" t="n">
        <x:f>K1488*'Assumptions'!$V$102</x:f>
        <x:v>0</x:v>
      </x:c>
      <x:c r="N1488" s="10" t="n">
        <x:f>K1488-L1488-M1488</x:f>
        <x:v>37374.92487281225</x:v>
      </x:c>
      <x:c r="O1488" s="10" t="n">
        <x:f>H1488*'Assumptions'!$P$102*'Assumptions'!$Q$102*'Assumptions'!$D$11*(1+'Assumptions'!$D$13)^(12-1)</x:f>
        <x:v>1251.1315467249256</x:v>
      </x:c>
      <x:c r="P1488" s="10" t="n">
        <x:f>H1488*'Assumptions'!$R$102*'Assumptions'!$D$11*(1+'Assumptions'!$D$13)^(12-1)</x:f>
        <x:v>0</x:v>
      </x:c>
      <x:c r="Q1488" s="10" t="n">
        <x:f>J1488*'Assumptions'!$S$102</x:f>
        <x:v>23118.510230605512</x:v>
      </x:c>
      <x:c r="R1488" s="10" t="n">
        <x:f>H1488*'Assumptions'!$Y$102*'Assumptions'!$Z$102*'Assumptions'!$D$11*(1+'Assumptions'!$D$13)^(12-1)</x:f>
        <x:v>857.9187748970918</x:v>
      </x:c>
      <x:c r="S1488" s="10" t="n">
        <x:f>IF(I1488=0,0,J1488*'Assumptions'!$W$102+H1488*'Assumptions'!$X$102)</x:f>
        <x:v>1148.3835999748933</x:v>
      </x:c>
      <x:c r="T1488" s="10" t="n">
        <x:f>N1488*'Assumptions'!$AA$102</x:f>
        <x:v>1494.99699491249</x:v>
      </x:c>
      <x:c r="U1488" s="10" t="n">
        <x:f>'Assumptions'!$AE$102*'Assumptions'!$D$11*(1+'Assumptions'!$D$13)^(12-1)</x:f>
        <x:v>0</x:v>
      </x:c>
      <x:c r="V1488" s="10" t="n">
        <x:f>0</x:f>
        <x:v>0</x:v>
      </x:c>
      <x:c r="W1488" s="10" t="n">
        <x:f>H1488*('Assumptions'!$P$102+'Assumptions'!$Y$102)</x:f>
        <x:v>46.48340824344023</x:v>
      </x:c>
      <x:c r="X1488" s="10" t="n">
        <x:f>N1488/12*'Assumptions'!$AF$102</x:f>
        <x:v>0</x:v>
      </x:c>
      <x:c r="Y1488" s="10" t="n">
        <x:f>P1488/12</x:f>
        <x:v>0</x:v>
      </x:c>
      <x:c r="Z1488" s="10" t="n">
        <x:f>0</x:f>
        <x:v>0</x:v>
      </x:c>
      <x:c r="AA1488" s="10" t="n">
        <x:f>Z1488*'Assumptions'!$AC$102*'Assumptions'!$D$11*(1+'Assumptions'!$D$13)^(12-1)</x:f>
        <x:v>0</x:v>
      </x:c>
      <x:c r="AB1488" s="10" t="n">
        <x:f>F1488/1</x:f>
        <x:v>43.21579983284527</x:v>
      </x:c>
      <x:c r="AC1488" s="10" t="n">
        <x:f>AB1488/'Assumptions'!$AM$102</x:f>
        <x:v>288.1053322189685</x:v>
      </x:c>
      <x:c r="AD1488" s="10" t="n">
        <x:f>IF(AB1488=0,0,T1488/AB1488)</x:f>
        <x:v>34.5937597058252</x:v>
      </x:c>
      <x:c r="AE1488" s="10" t="n">
        <x:f>AA1488*'Assumptions'!$D$21</x:f>
        <x:v>0</x:v>
      </x:c>
    </x:row>
    <x:row r="1489" ht="16" customHeight="1">
      <x:c r="A1489" s="1"/>
      <x:c r="B1489" s="1"/>
      <x:c r="C1489" s="1" t="str">
        <x:v>DOT-074</x:v>
      </x:c>
      <x:c r="D1489" s="10" t="str">
        <x:v>S’otality interiors</x:v>
      </x:c>
      <x:c r="E1489" s="10" t="n">
        <x:v>12</x:v>
      </x:c>
      <x:c r="F1489" s="21" t="n">
        <x:f>F1361*(1+'Assumptions'!$M$103)</x:f>
        <x:v>18.361918420884077</x:v>
      </x:c>
      <x:c r="G1489" s="21" t="n">
        <x:f>H1361*'Assumptions'!$K$103</x:f>
        <x:v>38.07699928067906</x:v>
      </x:c>
      <x:c r="H1489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1489+G1489,NA())</x:f>
        <x:v>56.43891770156314</x:v>
      </x:c>
      <x:c r="I1489" s="22" t="n">
        <x:f>'Assumptions'!$H$103*IF('Assumptions'!$O$103=1,1,'Assumptions'!$D$10)*(1+'Assumptions'!$N$103)^(12-1)</x:f>
        <x:v>1865.0614625919786</x:v>
      </x:c>
      <x:c r="J1489" s="10" t="n">
        <x:f>H1489*I1489</x:f>
        <x:v>105262.05039558567</x:v>
      </x:c>
      <x:c r="K1489" s="10" t="n">
        <x:f>J1489*'Assumptions'!$T$103</x:f>
        <x:v>10526.205039558568</x:v>
      </x:c>
      <x:c r="L1489" s="10" t="n">
        <x:f>K1489*'Assumptions'!$U$103</x:f>
        <x:v>315.786151186757</x:v>
      </x:c>
      <x:c r="M1489" s="10" t="n">
        <x:f>K1489*'Assumptions'!$V$103</x:f>
        <x:v>0</x:v>
      </x:c>
      <x:c r="N1489" s="10" t="n">
        <x:f>K1489-L1489-M1489</x:f>
        <x:v>10210.41888837181</x:v>
      </x:c>
      <x:c r="O1489" s="10" t="n">
        <x:f>H1489*'Assumptions'!$P$103*'Assumptions'!$Q$103*'Assumptions'!$D$11*(1+'Assumptions'!$D$13)^(12-1)</x:f>
        <x:v>3124.9864603813276</x:v>
      </x:c>
      <x:c r="P1489" s="10" t="n">
        <x:f>H1489*'Assumptions'!$R$103*'Assumptions'!$D$11*(1+'Assumptions'!$D$13)^(12-1)</x:f>
        <x:v>0</x:v>
      </x:c>
      <x:c r="Q1489" s="10" t="n">
        <x:f>J1489*'Assumptions'!$S$103</x:f>
        <x:v>0</x:v>
      </x:c>
      <x:c r="R1489" s="10" t="n">
        <x:f>H1489*'Assumptions'!$Y$103*'Assumptions'!$Z$103*'Assumptions'!$D$11*(1+'Assumptions'!$D$13)^(12-1)</x:f>
        <x:v>351.5609767928994</x:v>
      </x:c>
      <x:c r="S1489" s="10" t="n">
        <x:f>IF(I1489=0,0,J1489*'Assumptions'!$W$103+H1489*'Assumptions'!$X$103)</x:f>
        <x:v>3069.5311367824534</x:v>
      </x:c>
      <x:c r="T1489" s="10" t="n">
        <x:f>N1489*'Assumptions'!$AA$103</x:f>
        <x:v>510.52094441859055</x:v>
      </x:c>
      <x:c r="U1489" s="10" t="n">
        <x:f>'Assumptions'!$AE$103*'Assumptions'!$D$11*(1+'Assumptions'!$D$13)^(12-1)</x:f>
        <x:v>0</x:v>
      </x:c>
      <x:c r="V1489" s="10" t="n">
        <x:f>0</x:f>
        <x:v>0</x:v>
      </x:c>
      <x:c r="W1489" s="10" t="n">
        <x:f>H1489*('Assumptions'!$P$103+'Assumptions'!$Y$103)</x:f>
        <x:v>64.90475535679761</x:v>
      </x:c>
      <x:c r="X1489" s="10" t="n">
        <x:f>N1489/12*'Assumptions'!$AF$103</x:f>
        <x:v>0</x:v>
      </x:c>
      <x:c r="Y1489" s="10" t="n">
        <x:f>P1489/12</x:f>
        <x:v>0</x:v>
      </x:c>
      <x:c r="Z1489" s="10" t="n">
        <x:f>0</x:f>
        <x:v>0</x:v>
      </x:c>
      <x:c r="AA1489" s="10" t="n">
        <x:f>Z1489*'Assumptions'!$AC$103*'Assumptions'!$D$11*(1+'Assumptions'!$D$13)^(12-1)</x:f>
        <x:v>0</x:v>
      </x:c>
      <x:c r="AB1489" s="10" t="n">
        <x:f>F1489/1</x:f>
        <x:v>18.361918420884077</x:v>
      </x:c>
      <x:c r="AC1489" s="10" t="n">
        <x:f>AB1489/'Assumptions'!$AM$103</x:f>
        <x:v>367.2383684176815</x:v>
      </x:c>
      <x:c r="AD1489" s="10" t="n">
        <x:f>IF(AB1489=0,0,T1489/AB1489)</x:f>
        <x:v>27.803246519053555</x:v>
      </x:c>
      <x:c r="AE1489" s="10" t="n">
        <x:f>AA1489*'Assumptions'!$D$21</x:f>
        <x:v>0</x:v>
      </x:c>
    </x:row>
    <x:row r="1490" ht="16" customHeight="1">
      <x:c r="A1490" s="1"/>
      <x:c r="B1490" s="1"/>
      <x:c r="C1490" s="1" t="str">
        <x:v>DOT-075</x:v>
      </x:c>
      <x:c r="D1490" s="10" t="str">
        <x:v>S’otality concierge</x:v>
      </x:c>
      <x:c r="E1490" s="10" t="n">
        <x:v>12</x:v>
      </x:c>
      <x:c r="F1490" s="21" t="n">
        <x:f>F1362*(1+'Assumptions'!$M$104)</x:f>
        <x:v>216.07899916422633</x:v>
      </x:c>
      <x:c r="G1490" s="21" t="n">
        <x:f>H1362*'Assumptions'!$K$104</x:f>
        <x:v>203.6775095299305</x:v>
      </x:c>
      <x:c r="H1490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1490+G1490,NA())</x:f>
        <x:v>419.7565086941568</x:v>
      </x:c>
      <x:c r="I1490" s="22" t="n">
        <x:f>'Assumptions'!$H$104*IF('Assumptions'!$O$104=1,1,'Assumptions'!$D$10)*(1+'Assumptions'!$N$104)^(12-1)</x:f>
        <x:v>93.25307312959893</x:v>
      </x:c>
      <x:c r="J1490" s="10" t="n">
        <x:f>H1490*I1490</x:f>
        <x:v>39143.58440188134</x:v>
      </x:c>
      <x:c r="K1490" s="10" t="n">
        <x:f>J1490*'Assumptions'!$T$104</x:f>
        <x:v>39143.58440188134</x:v>
      </x:c>
      <x:c r="L1490" s="10" t="n">
        <x:f>K1490*'Assumptions'!$U$104</x:f>
        <x:v>1174.30753205644</x:v>
      </x:c>
      <x:c r="M1490" s="10" t="n">
        <x:f>K1490*'Assumptions'!$V$104</x:f>
        <x:v>0</x:v>
      </x:c>
      <x:c r="N1490" s="10" t="n">
        <x:f>K1490-L1490-M1490</x:f>
        <x:v>37969.2768698249</x:v>
      </x:c>
      <x:c r="O1490" s="10" t="n">
        <x:f>H1490*'Assumptions'!$P$104*'Assumptions'!$Q$104*'Assumptions'!$D$11*(1+'Assumptions'!$D$13)^(12-1)</x:f>
        <x:v>15252.330890776671</x:v>
      </x:c>
      <x:c r="P1490" s="10" t="n">
        <x:f>H1490*'Assumptions'!$R$104*'Assumptions'!$D$11*(1+'Assumptions'!$D$13)^(12-1)</x:f>
        <x:v>0</x:v>
      </x:c>
      <x:c r="Q1490" s="10" t="n">
        <x:f>J1490*'Assumptions'!$S$104</x:f>
        <x:v>0</x:v>
      </x:c>
      <x:c r="R1490" s="10" t="n">
        <x:f>H1490*'Assumptions'!$Y$104*'Assumptions'!$Z$104*'Assumptions'!$D$11*(1+'Assumptions'!$D$13)^(12-1)</x:f>
        <x:v>4357.808825936192</x:v>
      </x:c>
      <x:c r="S1490" s="10" t="n">
        <x:f>IF(I1490=0,0,J1490*'Assumptions'!$W$104+H1490*'Assumptions'!$X$104)</x:f>
        <x:v>1261.090900262806</x:v>
      </x:c>
      <x:c r="T1490" s="10" t="n">
        <x:f>N1490*'Assumptions'!$AA$104</x:f>
        <x:v>1518.771074792996</x:v>
      </x:c>
      <x:c r="U1490" s="10" t="n">
        <x:f>'Assumptions'!$AE$104*'Assumptions'!$D$11*(1+'Assumptions'!$D$13)^(12-1)</x:f>
        <x:v>0</x:v>
      </x:c>
      <x:c r="V1490" s="10" t="n">
        <x:f>0</x:f>
        <x:v>0</x:v>
      </x:c>
      <x:c r="W1490" s="10" t="n">
        <x:f>H1490*('Assumptions'!$P$104+'Assumptions'!$Y$104)</x:f>
        <x:v>419.7565086941568</x:v>
      </x:c>
      <x:c r="X1490" s="10" t="n">
        <x:f>N1490/12*'Assumptions'!$AF$104</x:f>
        <x:v>3164.1064058187417</x:v>
      </x:c>
      <x:c r="Y1490" s="10" t="n">
        <x:f>P1490/12</x:f>
        <x:v>0</x:v>
      </x:c>
      <x:c r="Z1490" s="10" t="n">
        <x:f>0</x:f>
        <x:v>0</x:v>
      </x:c>
      <x:c r="AA1490" s="10" t="n">
        <x:f>Z1490*'Assumptions'!$AC$104*'Assumptions'!$D$11*(1+'Assumptions'!$D$13)^(12-1)</x:f>
        <x:v>0</x:v>
      </x:c>
      <x:c r="AB1490" s="10" t="n">
        <x:f>F1490/1</x:f>
        <x:v>216.07899916422633</x:v>
      </x:c>
      <x:c r="AC1490" s="10" t="n">
        <x:f>AB1490/'Assumptions'!$AM$104</x:f>
        <x:v>1080.3949958211315</x:v>
      </x:c>
      <x:c r="AD1490" s="10" t="n">
        <x:f>IF(AB1490=0,0,T1490/AB1490)</x:f>
        <x:v>7.02877688561805</x:v>
      </x:c>
      <x:c r="AE1490" s="10" t="n">
        <x:f>AA1490*'Assumptions'!$D$21</x:f>
        <x:v>0</x:v>
      </x:c>
    </x:row>
    <x:row r="1491" ht="16" customHeight="1">
      <x:c r="A1491" s="1"/>
      <x:c r="B1491" s="1"/>
      <x:c r="C1491" s="1" t="str">
        <x:v>DOT-076</x:v>
      </x:c>
      <x:c r="D1491" s="10" t="str">
        <x:v>S’otality administration</x:v>
      </x:c>
      <x:c r="E1491" s="10" t="n">
        <x:v>12</x:v>
      </x:c>
      <x:c r="F1491" s="21" t="n">
        <x:f>F1363*(1+'Assumptions'!$M$105)</x:f>
        <x:v>432.15799832845266</x:v>
      </x:c>
      <x:c r="G1491" s="21" t="n">
        <x:f>H1363*'Assumptions'!$K$105</x:f>
        <x:v>407.355019059861</x:v>
      </x:c>
      <x:c r="H1491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1491+G1491,NA())</x:f>
        <x:v>839.5130173883136</x:v>
      </x:c>
      <x:c r="I1491" s="22" t="n">
        <x:f>'Assumptions'!$H$105*IF('Assumptions'!$O$105=1,1,'Assumptions'!$D$10)*(1+'Assumptions'!$N$105)^(12-1)</x:f>
        <x:v>74.60245850367914</x:v>
      </x:c>
      <x:c r="J1491" s="10" t="n">
        <x:f>H1491*I1491</x:f>
        <x:v>62629.735043010136</x:v>
      </x:c>
      <x:c r="K1491" s="10" t="n">
        <x:f>J1491*'Assumptions'!$T$105</x:f>
        <x:v>62629.735043010136</x:v>
      </x:c>
      <x:c r="L1491" s="10" t="n">
        <x:f>K1491*'Assumptions'!$U$105</x:f>
        <x:v>1878.892051290304</x:v>
      </x:c>
      <x:c r="M1491" s="10" t="n">
        <x:f>K1491*'Assumptions'!$V$105</x:f>
        <x:v>0</x:v>
      </x:c>
      <x:c r="N1491" s="10" t="n">
        <x:f>K1491-L1491-M1491</x:f>
        <x:v>60750.84299171983</x:v>
      </x:c>
      <x:c r="O1491" s="10" t="n">
        <x:f>H1491*'Assumptions'!$P$105*'Assumptions'!$Q$105*'Assumptions'!$D$11*(1+'Assumptions'!$D$13)^(12-1)</x:f>
        <x:v>34862.47060748954</x:v>
      </x:c>
      <x:c r="P1491" s="10" t="n">
        <x:f>H1491*'Assumptions'!$R$105*'Assumptions'!$D$11*(1+'Assumptions'!$D$13)^(12-1)</x:f>
        <x:v>0</x:v>
      </x:c>
      <x:c r="Q1491" s="10" t="n">
        <x:f>J1491*'Assumptions'!$S$105</x:f>
        <x:v>0</x:v>
      </x:c>
      <x:c r="R1491" s="10" t="n">
        <x:f>H1491*'Assumptions'!$Y$105*'Assumptions'!$Z$105*'Assumptions'!$D$11*(1+'Assumptions'!$D$13)^(12-1)</x:f>
        <x:v>8715.617651872384</x:v>
      </x:c>
      <x:c r="S1491" s="10" t="n">
        <x:f>IF(I1491=0,0,J1491*'Assumptions'!$W$105+H1491*'Assumptions'!$X$105)</x:f>
        <x:v>2068.116221463788</x:v>
      </x:c>
      <x:c r="T1491" s="10" t="n">
        <x:f>N1491*'Assumptions'!$AA$105</x:f>
        <x:v>2430.0337196687933</x:v>
      </x:c>
      <x:c r="U1491" s="10" t="n">
        <x:f>'Assumptions'!$AE$105*'Assumptions'!$D$11*(1+'Assumptions'!$D$13)^(12-1)</x:f>
        <x:v>0</x:v>
      </x:c>
      <x:c r="V1491" s="10" t="n">
        <x:f>0</x:f>
        <x:v>0</x:v>
      </x:c>
      <x:c r="W1491" s="10" t="n">
        <x:f>H1491*('Assumptions'!$P$105+'Assumptions'!$Y$105)</x:f>
        <x:v>1049.3912717353921</x:v>
      </x:c>
      <x:c r="X1491" s="10" t="n">
        <x:f>N1491/12*'Assumptions'!$AF$105</x:f>
        <x:v>5062.570249309986</x:v>
      </x:c>
      <x:c r="Y1491" s="10" t="n">
        <x:f>P1491/12</x:f>
        <x:v>0</x:v>
      </x:c>
      <x:c r="Z1491" s="10" t="n">
        <x:f>0</x:f>
        <x:v>0</x:v>
      </x:c>
      <x:c r="AA1491" s="10" t="n">
        <x:f>Z1491*'Assumptions'!$AC$105*'Assumptions'!$D$11*(1+'Assumptions'!$D$13)^(12-1)</x:f>
        <x:v>0</x:v>
      </x:c>
      <x:c r="AB1491" s="10" t="n">
        <x:f>F1491/1</x:f>
        <x:v>432.15799832845266</x:v>
      </x:c>
      <x:c r="AC1491" s="10" t="n">
        <x:f>AB1491/'Assumptions'!$AM$105</x:f>
        <x:v>2160.789991642263</x:v>
      </x:c>
      <x:c r="AD1491" s="10" t="n">
        <x:f>IF(AB1491=0,0,T1491/AB1491)</x:f>
        <x:v>5.623021508494439</x:v>
      </x:c>
      <x:c r="AE1491" s="10" t="n">
        <x:f>AA1491*'Assumptions'!$D$21</x:f>
        <x:v>0</x:v>
      </x:c>
    </x:row>
    <x:row r="1492" ht="16" customHeight="1">
      <x:c r="A1492" s="1"/>
      <x:c r="B1492" s="1"/>
      <x:c r="C1492" s="1" t="str">
        <x:v>DOT-077</x:v>
      </x:c>
      <x:c r="D1492" s="10" t="str">
        <x:v>S’otality bike tours</x:v>
      </x:c>
      <x:c r="E1492" s="10" t="n">
        <x:v>12</x:v>
      </x:c>
      <x:c r="F1492" s="21" t="n">
        <x:f>F1364*(1+'Assumptions'!$M$106)</x:f>
        <x:v>172.86319933138108</x:v>
      </x:c>
      <x:c r="G1492" s="21" t="n">
        <x:f>H1364*'Assumptions'!$K$106</x:f>
        <x:v>240.10497348782104</x:v>
      </x:c>
      <x:c r="H1492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1492+G1492,NA())</x:f>
        <x:v>412.9681728192021</x:v>
      </x:c>
      <x:c r="I1492" s="22" t="n">
        <x:f>'Assumptions'!$H$106*IF('Assumptions'!$O$106=1,1,'Assumptions'!$D$10)*(1+'Assumptions'!$N$106)^(12-1)</x:f>
        <x:v>80.8193300456524</x:v>
      </x:c>
      <x:c r="J1492" s="10" t="n">
        <x:f>H1492*I1492</x:f>
        <x:v>33375.81105742512</x:v>
      </x:c>
      <x:c r="K1492" s="10" t="n">
        <x:f>J1492*'Assumptions'!$T$106</x:f>
        <x:v>33375.81105742512</x:v>
      </x:c>
      <x:c r="L1492" s="10" t="n">
        <x:f>K1492*'Assumptions'!$U$106</x:f>
        <x:v>1001.2743317227536</x:v>
      </x:c>
      <x:c r="M1492" s="10" t="n">
        <x:f>K1492*'Assumptions'!$V$106</x:f>
        <x:v>0</x:v>
      </x:c>
      <x:c r="N1492" s="10" t="n">
        <x:f>K1492-L1492-M1492</x:f>
        <x:v>32374.536725702364</x:v>
      </x:c>
      <x:c r="O1492" s="10" t="n">
        <x:f>H1492*'Assumptions'!$P$106*'Assumptions'!$Q$106*'Assumptions'!$D$11*(1+'Assumptions'!$D$13)^(12-1)</x:f>
        <x:v>3001.1337948245114</x:v>
      </x:c>
      <x:c r="P1492" s="10" t="n">
        <x:f>H1492*'Assumptions'!$R$106*'Assumptions'!$D$11*(1+'Assumptions'!$D$13)^(12-1)</x:f>
        <x:v>2858.2226617376305</x:v>
      </x:c>
      <x:c r="Q1492" s="10" t="n">
        <x:f>J1492*'Assumptions'!$S$106</x:f>
        <x:v>15019.114975841303</x:v>
      </x:c>
      <x:c r="R1492" s="10" t="n">
        <x:f>H1492*'Assumptions'!$Y$106*'Assumptions'!$Z$106*'Assumptions'!$D$11*(1+'Assumptions'!$D$13)^(12-1)</x:f>
        <x:v>3429.8671940851564</x:v>
      </x:c>
      <x:c r="S1492" s="10" t="n">
        <x:f>IF(I1492=0,0,J1492*'Assumptions'!$W$106+H1492*'Assumptions'!$X$106)</x:f>
        <x:v>1091.7889725110892</x:v>
      </x:c>
      <x:c r="T1492" s="10" t="n">
        <x:f>N1492*'Assumptions'!$AA$106</x:f>
        <x:v>1294.9814690280946</x:v>
      </x:c>
      <x:c r="U1492" s="10" t="n">
        <x:f>'Assumptions'!$AE$106*'Assumptions'!$D$11*(1+'Assumptions'!$D$13)^(12-1)</x:f>
        <x:v>0</x:v>
      </x:c>
      <x:c r="V1492" s="10" t="n">
        <x:f>0</x:f>
        <x:v>0</x:v>
      </x:c>
      <x:c r="W1492" s="10" t="n">
        <x:f>H1492*('Assumptions'!$P$106+'Assumptions'!$Y$106)</x:f>
        <x:v>144.53886048672072</x:v>
      </x:c>
      <x:c r="X1492" s="10" t="n">
        <x:f>N1492/12*'Assumptions'!$AF$106</x:f>
        <x:v>0</x:v>
      </x:c>
      <x:c r="Y1492" s="10" t="n">
        <x:f>P1492/12</x:f>
        <x:v>238.1852218114692</x:v>
      </x:c>
      <x:c r="Z1492" s="10" t="n">
        <x:f>0</x:f>
        <x:v>0</x:v>
      </x:c>
      <x:c r="AA1492" s="10" t="n">
        <x:f>Z1492*'Assumptions'!$AC$106*'Assumptions'!$D$11*(1+'Assumptions'!$D$13)^(12-1)</x:f>
        <x:v>0</x:v>
      </x:c>
      <x:c r="AB1492" s="10" t="n">
        <x:f>F1492/1</x:f>
        <x:v>172.86319933138108</x:v>
      </x:c>
      <x:c r="AC1492" s="10" t="n">
        <x:f>AB1492/'Assumptions'!$AM$106</x:f>
        <x:v>1152.421328875874</x:v>
      </x:c>
      <x:c r="AD1492" s="10" t="n">
        <x:f>IF(AB1492=0,0,T1492/AB1492)</x:f>
        <x:v>7.491365854831818</x:v>
      </x:c>
      <x:c r="AE1492" s="10" t="n">
        <x:f>AA1492*'Assumptions'!$D$21</x:f>
        <x:v>0</x:v>
      </x:c>
    </x:row>
    <x:row r="1493" ht="16" customHeight="1">
      <x:c r="A1493" s="1"/>
      <x:c r="B1493" s="1"/>
      <x:c r="C1493" s="1" t="str">
        <x:v>DOT-078</x:v>
      </x:c>
      <x:c r="D1493" s="10" t="str">
        <x:v>S’otality editorial</x:v>
      </x:c>
      <x:c r="E1493" s="10" t="n">
        <x:v>12</x:v>
      </x:c>
      <x:c r="F1493" s="21" t="n">
        <x:f>F1365*(1+'Assumptions'!$M$107)</x:f>
        <x:v>14.045134945674716</x:v>
      </x:c>
      <x:c r="G1493" s="21" t="n">
        <x:f>H1365*'Assumptions'!$K$107</x:f>
        <x:v>7.228708082427308</x:v>
      </x:c>
      <x:c r="H1493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1493+G1493,NA())</x:f>
        <x:v>21.273843028102025</x:v>
      </x:c>
      <x:c r="I1493" s="22" t="n">
        <x:f>'Assumptions'!$H$107*IF('Assumptions'!$O$107=1,1,'Assumptions'!$D$10)*(1+'Assumptions'!$N$107)^(12-1)</x:f>
        <x:v>310.8435770986631</x:v>
      </x:c>
      <x:c r="J1493" s="10" t="n">
        <x:f>H1493*I1493</x:f>
        <x:v>6612.837465490688</x:v>
      </x:c>
      <x:c r="K1493" s="10" t="n">
        <x:f>J1493*'Assumptions'!$T$107</x:f>
        <x:v>6612.837465490688</x:v>
      </x:c>
      <x:c r="L1493" s="10" t="n">
        <x:f>K1493*'Assumptions'!$U$107</x:f>
        <x:v>198.38512396472063</x:v>
      </x:c>
      <x:c r="M1493" s="10" t="n">
        <x:f>K1493*'Assumptions'!$V$107</x:f>
        <x:v>0</x:v>
      </x:c>
      <x:c r="N1493" s="10" t="n">
        <x:f>K1493-L1493-M1493</x:f>
        <x:v>6414.452341525967</x:v>
      </x:c>
      <x:c r="O1493" s="10" t="n">
        <x:f>H1493*'Assumptions'!$P$107*'Assumptions'!$Q$107*'Assumptions'!$D$11*(1+'Assumptions'!$D$13)^(12-1)</x:f>
        <x:v>2355.8379263979145</x:v>
      </x:c>
      <x:c r="P1493" s="10" t="n">
        <x:f>H1493*'Assumptions'!$R$107*'Assumptions'!$D$11*(1+'Assumptions'!$D$13)^(12-1)</x:f>
        <x:v>0</x:v>
      </x:c>
      <x:c r="Q1493" s="10" t="n">
        <x:f>J1493*'Assumptions'!$S$107</x:f>
        <x:v>0</x:v>
      </x:c>
      <x:c r="R1493" s="10" t="n">
        <x:f>H1493*'Assumptions'!$Y$107*'Assumptions'!$Z$107*'Assumptions'!$D$11*(1+'Assumptions'!$D$13)^(12-1)</x:f>
        <x:v>441.719611199609</x:v>
      </x:c>
      <x:c r="S1493" s="10" t="n">
        <x:f>IF(I1493=0,0,J1493*'Assumptions'!$W$107+H1493*'Assumptions'!$X$107)</x:f>
        <x:v>198.1544394076606</x:v>
      </x:c>
      <x:c r="T1493" s="10" t="n">
        <x:f>N1493*'Assumptions'!$AA$107</x:f>
        <x:v>513.1561873220774</x:v>
      </x:c>
      <x:c r="U1493" s="10" t="n">
        <x:f>'Assumptions'!$AE$107*'Assumptions'!$D$11*(1+'Assumptions'!$D$13)^(12-1)</x:f>
        <x:v>0</x:v>
      </x:c>
      <x:c r="V1493" s="10" t="n">
        <x:f>0</x:f>
        <x:v>0</x:v>
      </x:c>
      <x:c r="W1493" s="10" t="n">
        <x:f>H1493*('Assumptions'!$P$107+'Assumptions'!$Y$107)</x:f>
        <x:v>53.18460757025506</x:v>
      </x:c>
      <x:c r="X1493" s="10" t="n">
        <x:f>N1493/12*'Assumptions'!$AF$107</x:f>
        <x:v>534.5376951271639</x:v>
      </x:c>
      <x:c r="Y1493" s="10" t="n">
        <x:f>P1493/12</x:f>
        <x:v>0</x:v>
      </x:c>
      <x:c r="Z1493" s="10" t="n">
        <x:f>0</x:f>
        <x:v>0</x:v>
      </x:c>
      <x:c r="AA1493" s="10" t="n">
        <x:f>Z1493*'Assumptions'!$AC$107*'Assumptions'!$D$11*(1+'Assumptions'!$D$13)^(12-1)</x:f>
        <x:v>0</x:v>
      </x:c>
      <x:c r="AB1493" s="10" t="n">
        <x:f>F1493/1</x:f>
        <x:v>14.045134945674716</x:v>
      </x:c>
      <x:c r="AC1493" s="10" t="n">
        <x:f>AB1493/'Assumptions'!$AM$107</x:f>
        <x:v>140.45134945674715</x:v>
      </x:c>
      <x:c r="AD1493" s="10" t="n">
        <x:f>IF(AB1493=0,0,T1493/AB1493)</x:f>
        <x:v>36.53622334758036</x:v>
      </x:c>
      <x:c r="AE1493" s="10" t="n">
        <x:f>AA1493*'Assumptions'!$D$21</x:f>
        <x:v>0</x:v>
      </x:c>
    </x:row>
    <x:row r="1494" ht="16" customHeight="1">
      <x:c r="A1494" s="1"/>
      <x:c r="B1494" s="1"/>
      <x:c r="C1494" s="1" t="str">
        <x:v>DOT-079</x:v>
      </x:c>
      <x:c r="D1494" s="10" t="str">
        <x:v>S’otality editorial</x:v>
      </x:c>
      <x:c r="E1494" s="10" t="n">
        <x:v>12</x:v>
      </x:c>
      <x:c r="F1494" s="21" t="n">
        <x:f>F1366*(1+'Assumptions'!$M$108)</x:f>
        <x:v>4.681711648558238</x:v>
      </x:c>
      <x:c r="G1494" s="21" t="n">
        <x:f>H1366*'Assumptions'!$K$108</x:f>
        <x:v>2.4095693608091024</x:v>
      </x:c>
      <x:c r="H1494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1494+G1494,NA())</x:f>
        <x:v>7.091281009367341</x:v>
      </x:c>
      <x:c r="I1494" s="22" t="n">
        <x:f>'Assumptions'!$H$108*IF('Assumptions'!$O$108=1,1,'Assumptions'!$D$10)*(1+'Assumptions'!$N$108)^(12-1)</x:f>
        <x:v>1243.3743083946524</x:v>
      </x:c>
      <x:c r="J1494" s="10" t="n">
        <x:f>H1494*I1494</x:f>
        <x:v>8817.116620654251</x:v>
      </x:c>
      <x:c r="K1494" s="10" t="n">
        <x:f>J1494*'Assumptions'!$T$108</x:f>
        <x:v>8817.116620654251</x:v>
      </x:c>
      <x:c r="L1494" s="10" t="n">
        <x:f>K1494*'Assumptions'!$U$108</x:f>
        <x:v>264.5134986196275</x:v>
      </x:c>
      <x:c r="M1494" s="10" t="n">
        <x:f>K1494*'Assumptions'!$V$108</x:f>
        <x:v>0</x:v>
      </x:c>
      <x:c r="N1494" s="10" t="n">
        <x:f>K1494-L1494-M1494</x:f>
        <x:v>8552.603122034623</x:v>
      </x:c>
      <x:c r="O1494" s="10" t="n">
        <x:f>H1494*'Assumptions'!$P$108*'Assumptions'!$Q$108*'Assumptions'!$D$11*(1+'Assumptions'!$D$13)^(12-1)</x:f>
        <x:v>3141.1172351972195</x:v>
      </x:c>
      <x:c r="P1494" s="10" t="n">
        <x:f>H1494*'Assumptions'!$R$108*'Assumptions'!$D$11*(1+'Assumptions'!$D$13)^(12-1)</x:f>
        <x:v>981.599135999131</x:v>
      </x:c>
      <x:c r="Q1494" s="10" t="n">
        <x:f>J1494*'Assumptions'!$S$108</x:f>
        <x:v>0</x:v>
      </x:c>
      <x:c r="R1494" s="10" t="n">
        <x:f>H1494*'Assumptions'!$Y$108*'Assumptions'!$Z$108*'Assumptions'!$D$11*(1+'Assumptions'!$D$13)^(12-1)</x:f>
        <x:v>147.23987039986966</x:v>
      </x:c>
      <x:c r="S1494" s="10" t="n">
        <x:f>IF(I1494=0,0,J1494*'Assumptions'!$W$108+H1494*'Assumptions'!$X$108)</x:f>
        <x:v>257.8237663017835</x:v>
      </x:c>
      <x:c r="T1494" s="10" t="n">
        <x:f>N1494*'Assumptions'!$AA$108</x:f>
        <x:v>684.2082497627698</x:v>
      </x:c>
      <x:c r="U1494" s="10" t="n">
        <x:f>'Assumptions'!$AE$108*'Assumptions'!$D$11*(1+'Assumptions'!$D$13)^(12-1)</x:f>
        <x:v>0</x:v>
      </x:c>
      <x:c r="V1494" s="10" t="n">
        <x:f>0</x:f>
        <x:v>0</x:v>
      </x:c>
      <x:c r="W1494" s="10" t="n">
        <x:f>H1494*('Assumptions'!$P$108+'Assumptions'!$Y$108)</x:f>
        <x:v>60.275888579622396</x:v>
      </x:c>
      <x:c r="X1494" s="10" t="n">
        <x:f>N1494/12*'Assumptions'!$AF$108</x:f>
        <x:v>712.7169268362186</x:v>
      </x:c>
      <x:c r="Y1494" s="10" t="n">
        <x:f>P1494/12</x:f>
        <x:v>81.79992799992759</x:v>
      </x:c>
      <x:c r="Z1494" s="10" t="n">
        <x:f>0</x:f>
        <x:v>0</x:v>
      </x:c>
      <x:c r="AA1494" s="10" t="n">
        <x:f>Z1494*'Assumptions'!$AC$108*'Assumptions'!$D$11*(1+'Assumptions'!$D$13)^(12-1)</x:f>
        <x:v>0</x:v>
      </x:c>
      <x:c r="AB1494" s="10" t="n">
        <x:f>F1494/1</x:f>
        <x:v>4.681711648558238</x:v>
      </x:c>
      <x:c r="AC1494" s="10" t="n">
        <x:f>AB1494/'Assumptions'!$AM$108</x:f>
        <x:v>46.81711648558238</x:v>
      </x:c>
      <x:c r="AD1494" s="10" t="n">
        <x:f>IF(AB1494=0,0,T1494/AB1494)</x:f>
        <x:v>146.14489339032144</x:v>
      </x:c>
      <x:c r="AE1494" s="10" t="n">
        <x:f>AA1494*'Assumptions'!$D$21</x:f>
        <x:v>0</x:v>
      </x:c>
    </x:row>
    <x:row r="1495" ht="16" customHeight="1">
      <x:c r="A1495" s="1"/>
      <x:c r="B1495" s="1"/>
      <x:c r="C1495" s="1" t="str">
        <x:v>DOT-080</x:v>
      </x:c>
      <x:c r="D1495" s="10" t="str">
        <x:v>Tomato Odyssey</x:v>
      </x:c>
      <x:c r="E1495" s="10" t="n">
        <x:v>12</x:v>
      </x:c>
      <x:c r="F1495" s="21" t="n">
        <x:f>F1367*(1+'Assumptions'!$M$109)</x:f>
        <x:v>14.045134945674716</x:v>
      </x:c>
      <x:c r="G1495" s="21" t="n">
        <x:f>H1367*'Assumptions'!$K$109</x:f>
        <x:v>7.228708082427308</x:v>
      </x:c>
      <x:c r="H1495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1495+G1495,NA())</x:f>
        <x:v>21.273843028102025</x:v>
      </x:c>
      <x:c r="I1495" s="22" t="n">
        <x:f>'Assumptions'!$H$109*IF('Assumptions'!$O$109=1,1,'Assumptions'!$D$10)*(1+'Assumptions'!$N$109)^(12-1)</x:f>
        <x:v>310.8435770986631</x:v>
      </x:c>
      <x:c r="J1495" s="10" t="n">
        <x:f>H1495*I1495</x:f>
        <x:v>6612.837465490688</x:v>
      </x:c>
      <x:c r="K1495" s="10" t="n">
        <x:f>J1495*'Assumptions'!$T$109</x:f>
        <x:v>6612.837465490688</x:v>
      </x:c>
      <x:c r="L1495" s="10" t="n">
        <x:f>K1495*'Assumptions'!$U$109</x:f>
        <x:v>198.38512396472063</x:v>
      </x:c>
      <x:c r="M1495" s="10" t="n">
        <x:f>K1495*'Assumptions'!$V$109</x:f>
        <x:v>0</x:v>
      </x:c>
      <x:c r="N1495" s="10" t="n">
        <x:f>K1495-L1495-M1495</x:f>
        <x:v>6414.452341525967</x:v>
      </x:c>
      <x:c r="O1495" s="10" t="n">
        <x:f>H1495*'Assumptions'!$P$109*'Assumptions'!$Q$109*'Assumptions'!$D$11*(1+'Assumptions'!$D$13)^(12-1)</x:f>
        <x:v>2355.8379263979145</x:v>
      </x:c>
      <x:c r="P1495" s="10" t="n">
        <x:f>H1495*'Assumptions'!$R$109*'Assumptions'!$D$11*(1+'Assumptions'!$D$13)^(12-1)</x:f>
        <x:v>0</x:v>
      </x:c>
      <x:c r="Q1495" s="10" t="n">
        <x:f>J1495*'Assumptions'!$S$109</x:f>
        <x:v>0</x:v>
      </x:c>
      <x:c r="R1495" s="10" t="n">
        <x:f>H1495*'Assumptions'!$Y$109*'Assumptions'!$Z$109*'Assumptions'!$D$11*(1+'Assumptions'!$D$13)^(12-1)</x:f>
        <x:v>441.719611199609</x:v>
      </x:c>
      <x:c r="S1495" s="10" t="n">
        <x:f>IF(I1495=0,0,J1495*'Assumptions'!$W$109+H1495*'Assumptions'!$X$109)</x:f>
        <x:v>198.1544394076606</x:v>
      </x:c>
      <x:c r="T1495" s="10" t="n">
        <x:f>N1495*'Assumptions'!$AA$109</x:f>
        <x:v>513.1561873220774</x:v>
      </x:c>
      <x:c r="U1495" s="10" t="n">
        <x:f>'Assumptions'!$AE$109*'Assumptions'!$D$11*(1+'Assumptions'!$D$13)^(12-1)</x:f>
        <x:v>0</x:v>
      </x:c>
      <x:c r="V1495" s="10" t="n">
        <x:f>0</x:f>
        <x:v>0</x:v>
      </x:c>
      <x:c r="W1495" s="10" t="n">
        <x:f>H1495*('Assumptions'!$P$109+'Assumptions'!$Y$109)</x:f>
        <x:v>53.18460757025506</x:v>
      </x:c>
      <x:c r="X1495" s="10" t="n">
        <x:f>N1495/12*'Assumptions'!$AF$109</x:f>
        <x:v>534.5376951271639</x:v>
      </x:c>
      <x:c r="Y1495" s="10" t="n">
        <x:f>P1495/12</x:f>
        <x:v>0</x:v>
      </x:c>
      <x:c r="Z1495" s="10" t="n">
        <x:f>0</x:f>
        <x:v>0</x:v>
      </x:c>
      <x:c r="AA1495" s="10" t="n">
        <x:f>Z1495*'Assumptions'!$AC$109*'Assumptions'!$D$11*(1+'Assumptions'!$D$13)^(12-1)</x:f>
        <x:v>0</x:v>
      </x:c>
      <x:c r="AB1495" s="10" t="n">
        <x:f>F1495/1</x:f>
        <x:v>14.045134945674716</x:v>
      </x:c>
      <x:c r="AC1495" s="10" t="n">
        <x:f>AB1495/'Assumptions'!$AM$109</x:f>
        <x:v>140.45134945674715</x:v>
      </x:c>
      <x:c r="AD1495" s="10" t="n">
        <x:f>IF(AB1495=0,0,T1495/AB1495)</x:f>
        <x:v>36.53622334758036</x:v>
      </x:c>
      <x:c r="AE1495" s="10" t="n">
        <x:f>AA1495*'Assumptions'!$D$21</x:f>
        <x:v>0</x:v>
      </x:c>
    </x:row>
    <x:row r="1496" ht="16" customHeight="1">
      <x:c r="A1496" s="1"/>
      <x:c r="B1496" s="1"/>
      <x:c r="C1496" s="1" t="str">
        <x:v>DOT-081</x:v>
      </x:c>
      <x:c r="D1496" s="10" t="str">
        <x:v>Tomato Odyssey</x:v>
      </x:c>
      <x:c r="E1496" s="10" t="n">
        <x:v>12</x:v>
      </x:c>
      <x:c r="F1496" s="21" t="n">
        <x:f>F1368*(1+'Assumptions'!$M$110)</x:f>
        <x:v>4.681711648558238</x:v>
      </x:c>
      <x:c r="G1496" s="21" t="n">
        <x:f>H1368*'Assumptions'!$K$110</x:f>
        <x:v>2.4095693608091024</x:v>
      </x:c>
      <x:c r="H1496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1496+G1496,NA())</x:f>
        <x:v>7.091281009367341</x:v>
      </x:c>
      <x:c r="I1496" s="22" t="n">
        <x:f>'Assumptions'!$H$110*IF('Assumptions'!$O$110=1,1,'Assumptions'!$D$10)*(1+'Assumptions'!$N$110)^(12-1)</x:f>
        <x:v>1243.3743083946524</x:v>
      </x:c>
      <x:c r="J1496" s="10" t="n">
        <x:f>H1496*I1496</x:f>
        <x:v>8817.116620654251</x:v>
      </x:c>
      <x:c r="K1496" s="10" t="n">
        <x:f>J1496*'Assumptions'!$T$110</x:f>
        <x:v>8817.116620654251</x:v>
      </x:c>
      <x:c r="L1496" s="10" t="n">
        <x:f>K1496*'Assumptions'!$U$110</x:f>
        <x:v>264.5134986196275</x:v>
      </x:c>
      <x:c r="M1496" s="10" t="n">
        <x:f>K1496*'Assumptions'!$V$110</x:f>
        <x:v>0</x:v>
      </x:c>
      <x:c r="N1496" s="10" t="n">
        <x:f>K1496-L1496-M1496</x:f>
        <x:v>8552.603122034623</x:v>
      </x:c>
      <x:c r="O1496" s="10" t="n">
        <x:f>H1496*'Assumptions'!$P$110*'Assumptions'!$Q$110*'Assumptions'!$D$11*(1+'Assumptions'!$D$13)^(12-1)</x:f>
        <x:v>3141.1172351972195</x:v>
      </x:c>
      <x:c r="P1496" s="10" t="n">
        <x:f>H1496*'Assumptions'!$R$110*'Assumptions'!$D$11*(1+'Assumptions'!$D$13)^(12-1)</x:f>
        <x:v>981.599135999131</x:v>
      </x:c>
      <x:c r="Q1496" s="10" t="n">
        <x:f>J1496*'Assumptions'!$S$110</x:f>
        <x:v>0</x:v>
      </x:c>
      <x:c r="R1496" s="10" t="n">
        <x:f>H1496*'Assumptions'!$Y$110*'Assumptions'!$Z$110*'Assumptions'!$D$11*(1+'Assumptions'!$D$13)^(12-1)</x:f>
        <x:v>147.23987039986966</x:v>
      </x:c>
      <x:c r="S1496" s="10" t="n">
        <x:f>IF(I1496=0,0,J1496*'Assumptions'!$W$110+H1496*'Assumptions'!$X$110)</x:f>
        <x:v>257.8237663017835</x:v>
      </x:c>
      <x:c r="T1496" s="10" t="n">
        <x:f>N1496*'Assumptions'!$AA$110</x:f>
        <x:v>684.2082497627698</x:v>
      </x:c>
      <x:c r="U1496" s="10" t="n">
        <x:f>'Assumptions'!$AE$110*'Assumptions'!$D$11*(1+'Assumptions'!$D$13)^(12-1)</x:f>
        <x:v>0</x:v>
      </x:c>
      <x:c r="V1496" s="10" t="n">
        <x:f>0</x:f>
        <x:v>0</x:v>
      </x:c>
      <x:c r="W1496" s="10" t="n">
        <x:f>H1496*('Assumptions'!$P$110+'Assumptions'!$Y$110)</x:f>
        <x:v>60.275888579622396</x:v>
      </x:c>
      <x:c r="X1496" s="10" t="n">
        <x:f>N1496/12*'Assumptions'!$AF$110</x:f>
        <x:v>712.7169268362186</x:v>
      </x:c>
      <x:c r="Y1496" s="10" t="n">
        <x:f>P1496/12</x:f>
        <x:v>81.79992799992759</x:v>
      </x:c>
      <x:c r="Z1496" s="10" t="n">
        <x:f>0</x:f>
        <x:v>0</x:v>
      </x:c>
      <x:c r="AA1496" s="10" t="n">
        <x:f>Z1496*'Assumptions'!$AC$110*'Assumptions'!$D$11*(1+'Assumptions'!$D$13)^(12-1)</x:f>
        <x:v>0</x:v>
      </x:c>
      <x:c r="AB1496" s="10" t="n">
        <x:f>F1496/1</x:f>
        <x:v>4.681711648558238</x:v>
      </x:c>
      <x:c r="AC1496" s="10" t="n">
        <x:f>AB1496/'Assumptions'!$AM$110</x:f>
        <x:v>46.81711648558238</x:v>
      </x:c>
      <x:c r="AD1496" s="10" t="n">
        <x:f>IF(AB1496=0,0,T1496/AB1496)</x:f>
        <x:v>146.14489339032144</x:v>
      </x:c>
      <x:c r="AE1496" s="10" t="n">
        <x:f>AA1496*'Assumptions'!$D$21</x:f>
        <x:v>0</x:v>
      </x:c>
    </x:row>
    <x:row r="1497" ht="16" customHeight="1">
      <x:c r="A1497" s="1"/>
      <x:c r="B1497" s="1"/>
      <x:c r="C1497" s="1" t="str">
        <x:v>DOT-082</x:v>
      </x:c>
      <x:c r="D1497" s="10" t="str">
        <x:v>Semajes Studio</x:v>
      </x:c>
      <x:c r="E1497" s="10" t="n">
        <x:v>12</x:v>
      </x:c>
      <x:c r="F1497" s="21" t="n">
        <x:f>F1369*(1+'Assumptions'!$M$111)</x:f>
        <x:v>32.411849874633944</x:v>
      </x:c>
      <x:c r="G1497" s="21" t="n">
        <x:f>H1369*'Assumptions'!$K$111</x:f>
        <x:v>30.55162642948957</x:v>
      </x:c>
      <x:c r="H1497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1497+G1497,NA())</x:f>
        <x:v>62.96347630412352</x:v>
      </x:c>
      <x:c r="I1497" s="22" t="n">
        <x:f>'Assumptions'!$H$111*IF('Assumptions'!$O$111=1,1,'Assumptions'!$D$10)*(1+'Assumptions'!$N$111)^(12-1)</x:f>
        <x:v>683.8558696170588</x:v>
      </x:c>
      <x:c r="J1497" s="10" t="n">
        <x:f>H1497*I1497</x:f>
        <x:v>43057.94284206947</x:v>
      </x:c>
      <x:c r="K1497" s="10" t="n">
        <x:f>J1497*'Assumptions'!$T$111</x:f>
        <x:v>43057.94284206947</x:v>
      </x:c>
      <x:c r="L1497" s="10" t="n">
        <x:f>K1497*'Assumptions'!$U$111</x:f>
        <x:v>1291.738285262084</x:v>
      </x:c>
      <x:c r="M1497" s="10" t="n">
        <x:f>K1497*'Assumptions'!$V$111</x:f>
        <x:v>0</x:v>
      </x:c>
      <x:c r="N1497" s="10" t="n">
        <x:f>K1497-L1497-M1497</x:f>
        <x:v>41766.20455680738</x:v>
      </x:c>
      <x:c r="O1497" s="10" t="n">
        <x:f>H1497*'Assumptions'!$P$111*'Assumptions'!$Q$111*'Assumptions'!$D$11*(1+'Assumptions'!$D$13)^(12-1)</x:f>
        <x:v>26146.85295561715</x:v>
      </x:c>
      <x:c r="P1497" s="10" t="n">
        <x:f>H1497*'Assumptions'!$R$111*'Assumptions'!$D$11*(1+'Assumptions'!$D$13)^(12-1)</x:f>
        <x:v>6972.494121497906</x:v>
      </x:c>
      <x:c r="Q1497" s="10" t="n">
        <x:f>J1497*'Assumptions'!$S$111</x:f>
        <x:v>0</x:v>
      </x:c>
      <x:c r="R1497" s="10" t="n">
        <x:f>H1497*'Assumptions'!$Y$111*'Assumptions'!$Z$111*'Assumptions'!$D$11*(1+'Assumptions'!$D$13)^(12-1)</x:f>
        <x:v>653.6713238904287</x:v>
      </x:c>
      <x:c r="S1497" s="10" t="n">
        <x:f>IF(I1497=0,0,J1497*'Assumptions'!$W$111+H1497*'Assumptions'!$X$111)</x:f>
        <x:v>1267.5693853112516</x:v>
      </x:c>
      <x:c r="T1497" s="10" t="n">
        <x:f>N1497*'Assumptions'!$AA$111</x:f>
        <x:v>1670.6481822722953</x:v>
      </x:c>
      <x:c r="U1497" s="10" t="n">
        <x:f>'Assumptions'!$AE$111*'Assumptions'!$D$11*(1+'Assumptions'!$D$13)^(12-1)</x:f>
        <x:v>0</x:v>
      </x:c>
      <x:c r="V1497" s="10" t="n">
        <x:f>0</x:f>
        <x:v>0</x:v>
      </x:c>
      <x:c r="W1497" s="10" t="n">
        <x:f>H1497*('Assumptions'!$P$111+'Assumptions'!$Y$111)</x:f>
        <x:v>393.52172690077197</x:v>
      </x:c>
      <x:c r="X1497" s="10" t="n">
        <x:f>N1497/12*'Assumptions'!$AF$111</x:f>
        <x:v>3480.517046400615</x:v>
      </x:c>
      <x:c r="Y1497" s="10" t="n">
        <x:f>P1497/12</x:f>
        <x:v>581.0411767914921</x:v>
      </x:c>
      <x:c r="Z1497" s="10" t="n">
        <x:f>0</x:f>
        <x:v>0</x:v>
      </x:c>
      <x:c r="AA1497" s="10" t="n">
        <x:f>Z1497*'Assumptions'!$AC$111*'Assumptions'!$D$11*(1+'Assumptions'!$D$13)^(12-1)</x:f>
        <x:v>0</x:v>
      </x:c>
      <x:c r="AB1497" s="10" t="n">
        <x:f>F1497/1</x:f>
        <x:v>32.411849874633944</x:v>
      </x:c>
      <x:c r="AC1497" s="10" t="n">
        <x:f>AB1497/'Assumptions'!$AM$111</x:f>
        <x:v>162.0592493731697</x:v>
      </x:c>
      <x:c r="AD1497" s="10" t="n">
        <x:f>IF(AB1497=0,0,T1497/AB1497)</x:f>
        <x:v>51.5443638278657</x:v>
      </x:c>
      <x:c r="AE1497" s="10" t="n">
        <x:f>AA1497*'Assumptions'!$D$21</x:f>
        <x:v>0</x:v>
      </x:c>
    </x:row>
    <x:row r="1498" ht="16" customHeight="1">
      <x:c r="A1498" s="1"/>
      <x:c r="B1498" s="1"/>
      <x:c r="C1498" s="1" t="str">
        <x:v>DOT-083</x:v>
      </x:c>
      <x:c r="D1498" s="10" t="str">
        <x:v>Semajes Studio</x:v>
      </x:c>
      <x:c r="E1498" s="10" t="n">
        <x:v>12</x:v>
      </x:c>
      <x:c r="F1498" s="21" t="n">
        <x:f>F1370*(1+'Assumptions'!$M$112)</x:f>
        <x:v>16.205924937316972</x:v>
      </x:c>
      <x:c r="G1498" s="21" t="n">
        <x:f>H1370*'Assumptions'!$K$112</x:f>
        <x:v>15.275813214744785</x:v>
      </x:c>
      <x:c r="H1498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1498+G1498,NA())</x:f>
        <x:v>31.48173815206176</x:v>
      </x:c>
      <x:c r="I1498" s="22" t="n">
        <x:f>'Assumptions'!$H$112*IF('Assumptions'!$O$112=1,1,'Assumptions'!$D$10)*(1+'Assumptions'!$N$112)^(12-1)</x:f>
        <x:v>1492.049170073583</x:v>
      </x:c>
      <x:c r="J1498" s="10" t="n">
        <x:f>H1498*I1498</x:f>
        <x:v>46972.3012822576</x:v>
      </x:c>
      <x:c r="K1498" s="10" t="n">
        <x:f>J1498*'Assumptions'!$T$112</x:f>
        <x:v>46972.3012822576</x:v>
      </x:c>
      <x:c r="L1498" s="10" t="n">
        <x:f>K1498*'Assumptions'!$U$112</x:f>
        <x:v>1409.169038467728</x:v>
      </x:c>
      <x:c r="M1498" s="10" t="n">
        <x:f>K1498*'Assumptions'!$V$112</x:f>
        <x:v>0</x:v>
      </x:c>
      <x:c r="N1498" s="10" t="n">
        <x:f>K1498-L1498-M1498</x:f>
        <x:v>45563.13224378987</x:v>
      </x:c>
      <x:c r="O1498" s="10" t="n">
        <x:f>H1498*'Assumptions'!$P$112*'Assumptions'!$Q$112*'Assumptions'!$D$11*(1+'Assumptions'!$D$13)^(12-1)</x:f>
        <x:v>21789.044129680955</x:v>
      </x:c>
      <x:c r="P1498" s="10" t="n">
        <x:f>H1498*'Assumptions'!$R$112*'Assumptions'!$D$11*(1+'Assumptions'!$D$13)^(12-1)</x:f>
        <x:v>6536.713238904287</x:v>
      </x:c>
      <x:c r="Q1498" s="10" t="n">
        <x:f>J1498*'Assumptions'!$S$112</x:f>
        <x:v>0</x:v>
      </x:c>
      <x:c r="R1498" s="10" t="n">
        <x:f>H1498*'Assumptions'!$Y$112*'Assumptions'!$Z$112*'Assumptions'!$D$11*(1+'Assumptions'!$D$13)^(12-1)</x:f>
        <x:v>326.8356619452143</x:v>
      </x:c>
      <x:c r="S1498" s="10" t="n">
        <x:f>IF(I1498=0,0,J1498*'Assumptions'!$W$112+H1498*'Assumptions'!$X$112)</x:f>
        <x:v>1371.641258631089</x:v>
      </x:c>
      <x:c r="T1498" s="10" t="n">
        <x:f>N1498*'Assumptions'!$AA$112</x:f>
        <x:v>1822.5252897515948</x:v>
      </x:c>
      <x:c r="U1498" s="10" t="n">
        <x:f>'Assumptions'!$AE$112*'Assumptions'!$D$11*(1+'Assumptions'!$D$13)^(12-1)</x:f>
        <x:v>0</x:v>
      </x:c>
      <x:c r="V1498" s="10" t="n">
        <x:f>0</x:f>
        <x:v>0</x:v>
      </x:c>
      <x:c r="W1498" s="10" t="n">
        <x:f>H1498*('Assumptions'!$P$112+'Assumptions'!$Y$112)</x:f>
        <x:v>322.687816058633</x:v>
      </x:c>
      <x:c r="X1498" s="10" t="n">
        <x:f>N1498/12*'Assumptions'!$AF$112</x:f>
        <x:v>3796.9276869824894</x:v>
      </x:c>
      <x:c r="Y1498" s="10" t="n">
        <x:f>P1498/12</x:f>
        <x:v>544.7261032420239</x:v>
      </x:c>
      <x:c r="Z1498" s="10" t="n">
        <x:f>0</x:f>
        <x:v>0</x:v>
      </x:c>
      <x:c r="AA1498" s="10" t="n">
        <x:f>Z1498*'Assumptions'!$AC$112*'Assumptions'!$D$11*(1+'Assumptions'!$D$13)^(12-1)</x:f>
        <x:v>0</x:v>
      </x:c>
      <x:c r="AB1498" s="10" t="n">
        <x:f>F1498/1</x:f>
        <x:v>16.205924937316972</x:v>
      </x:c>
      <x:c r="AC1498" s="10" t="n">
        <x:f>AB1498/'Assumptions'!$AM$112</x:f>
        <x:v>81.02962468658485</x:v>
      </x:c>
      <x:c r="AD1498" s="10" t="n">
        <x:f>IF(AB1498=0,0,T1498/AB1498)</x:f>
        <x:v>112.4604301698888</x:v>
      </x:c>
      <x:c r="AE1498" s="10" t="n">
        <x:f>AA1498*'Assumptions'!$D$21</x:f>
        <x:v>0</x:v>
      </x:c>
    </x:row>
    <x:row r="1499" ht="16" customHeight="1">
      <x:c r="A1499" s="1"/>
      <x:c r="B1499" s="1"/>
      <x:c r="C1499" s="1" t="str">
        <x:v>DOT-084</x:v>
      </x:c>
      <x:c r="D1499" s="10" t="str">
        <x:v>Semajes Studio</x:v>
      </x:c>
      <x:c r="E1499" s="10" t="n">
        <x:v>12</x:v>
      </x:c>
      <x:c r="F1499" s="21" t="n">
        <x:f>F1371*(1+'Assumptions'!$M$113)</x:f>
        <x:v>108.03949958211317</x:v>
      </x:c>
      <x:c r="G1499" s="21" t="n">
        <x:f>H1371*'Assumptions'!$K$113</x:f>
        <x:v>101.83875476496524</x:v>
      </x:c>
      <x:c r="H1499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1499+G1499,NA())</x:f>
        <x:v>209.8782543470784</x:v>
      </x:c>
      <x:c r="I1499" s="22" t="n">
        <x:f>'Assumptions'!$H$113*IF('Assumptions'!$O$113=1,1,'Assumptions'!$D$10)*(1+'Assumptions'!$N$113)^(12-1)</x:f>
        <x:v>43.518100793812835</x:v>
      </x:c>
      <x:c r="J1499" s="10" t="n">
        <x:f>H1499*I1499</x:f>
        <x:v>9133.503027105646</x:v>
      </x:c>
      <x:c r="K1499" s="10" t="n">
        <x:f>J1499*'Assumptions'!$T$113</x:f>
        <x:v>9133.503027105646</x:v>
      </x:c>
      <x:c r="L1499" s="10" t="n">
        <x:f>K1499*'Assumptions'!$U$113</x:f>
        <x:v>274.0050908131694</x:v>
      </x:c>
      <x:c r="M1499" s="10" t="n">
        <x:f>K1499*'Assumptions'!$V$113</x:f>
        <x:v>0</x:v>
      </x:c>
      <x:c r="N1499" s="10" t="n">
        <x:f>K1499-L1499-M1499</x:f>
        <x:v>8859.497936292477</x:v>
      </x:c>
      <x:c r="O1499" s="10" t="n">
        <x:f>H1499*'Assumptions'!$P$113*'Assumptions'!$Q$113*'Assumptions'!$D$11*(1+'Assumptions'!$D$13)^(12-1)</x:f>
        <x:v>1452.6029419787308</x:v>
      </x:c>
      <x:c r="P1499" s="10" t="n">
        <x:f>H1499*'Assumptions'!$R$113*'Assumptions'!$D$11*(1+'Assumptions'!$D$13)^(12-1)</x:f>
        <x:v>0</x:v>
      </x:c>
      <x:c r="Q1499" s="10" t="n">
        <x:f>J1499*'Assumptions'!$S$113</x:f>
        <x:v>0</x:v>
      </x:c>
      <x:c r="R1499" s="10" t="n">
        <x:f>H1499*'Assumptions'!$Y$113*'Assumptions'!$Z$113*'Assumptions'!$D$11*(1+'Assumptions'!$D$13)^(12-1)</x:f>
        <x:v>2178.904412968096</x:v>
      </x:c>
      <x:c r="S1499" s="10" t="n">
        <x:f>IF(I1499=0,0,J1499*'Assumptions'!$W$113+H1499*'Assumptions'!$X$113)</x:f>
        <x:v>327.83506409018725</x:v>
      </x:c>
      <x:c r="T1499" s="10" t="n">
        <x:f>N1499*'Assumptions'!$AA$113</x:f>
        <x:v>354.3799174516991</x:v>
      </x:c>
      <x:c r="U1499" s="10" t="n">
        <x:f>'Assumptions'!$AE$113*'Assumptions'!$D$11*(1+'Assumptions'!$D$13)^(12-1)</x:f>
        <x:v>0</x:v>
      </x:c>
      <x:c r="V1499" s="10" t="n">
        <x:f>0</x:f>
        <x:v>0</x:v>
      </x:c>
      <x:c r="W1499" s="10" t="n">
        <x:f>H1499*('Assumptions'!$P$113+'Assumptions'!$Y$113)</x:f>
        <x:v>73.45738902147744</x:v>
      </x:c>
      <x:c r="X1499" s="10" t="n">
        <x:f>N1499/12*'Assumptions'!$AF$113</x:f>
        <x:v>738.2914946910397</x:v>
      </x:c>
      <x:c r="Y1499" s="10" t="n">
        <x:f>P1499/12</x:f>
        <x:v>0</x:v>
      </x:c>
      <x:c r="Z1499" s="10" t="n">
        <x:f>0</x:f>
        <x:v>0</x:v>
      </x:c>
      <x:c r="AA1499" s="10" t="n">
        <x:f>Z1499*'Assumptions'!$AC$113*'Assumptions'!$D$11*(1+'Assumptions'!$D$13)^(12-1)</x:f>
        <x:v>0</x:v>
      </x:c>
      <x:c r="AB1499" s="10" t="n">
        <x:f>F1499/1</x:f>
        <x:v>108.03949958211317</x:v>
      </x:c>
      <x:c r="AC1499" s="10" t="n">
        <x:f>AB1499/'Assumptions'!$AM$113</x:f>
        <x:v>540.1974979105657</x:v>
      </x:c>
      <x:c r="AD1499" s="10" t="n">
        <x:f>IF(AB1499=0,0,T1499/AB1499)</x:f>
        <x:v>3.2800958799550903</x:v>
      </x:c>
      <x:c r="AE1499" s="10" t="n">
        <x:f>AA1499*'Assumptions'!$D$21</x:f>
        <x:v>0</x:v>
      </x:c>
    </x:row>
    <x:row r="1500" ht="16" customHeight="1">
      <x:c r="A1500" s="1"/>
      <x:c r="B1500" s="1"/>
      <x:c r="C1500" s="1" t="str">
        <x:v>DOT-085</x:v>
      </x:c>
      <x:c r="D1500" s="10" t="str">
        <x:v>Semajes Studio</x:v>
      </x:c>
      <x:c r="E1500" s="10" t="n">
        <x:v>12</x:v>
      </x:c>
      <x:c r="F1500" s="21" t="n">
        <x:f>F1372*(1+'Assumptions'!$M$114)</x:f>
        <x:v>32.411849874633944</x:v>
      </x:c>
      <x:c r="G1500" s="21" t="n">
        <x:f>H1372*'Assumptions'!$K$114</x:f>
        <x:v>30.55162642948957</x:v>
      </x:c>
      <x:c r="H1500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1500+G1500,NA())</x:f>
        <x:v>62.96347630412352</x:v>
      </x:c>
      <x:c r="I1500" s="22" t="n">
        <x:f>'Assumptions'!$H$114*IF('Assumptions'!$O$114=1,1,'Assumptions'!$D$10)*(1+'Assumptions'!$N$114)^(12-1)</x:f>
        <x:v>186.50614625919786</x:v>
      </x:c>
      <x:c r="J1500" s="10" t="n">
        <x:f>H1500*I1500</x:f>
        <x:v>11743.0753205644</x:v>
      </x:c>
      <x:c r="K1500" s="10" t="n">
        <x:f>J1500*'Assumptions'!$T$114</x:f>
        <x:v>11743.0753205644</x:v>
      </x:c>
      <x:c r="L1500" s="10" t="n">
        <x:f>K1500*'Assumptions'!$U$114</x:f>
        <x:v>352.292259616932</x:v>
      </x:c>
      <x:c r="M1500" s="10" t="n">
        <x:f>K1500*'Assumptions'!$V$114</x:f>
        <x:v>0</x:v>
      </x:c>
      <x:c r="N1500" s="10" t="n">
        <x:f>K1500-L1500-M1500</x:f>
        <x:v>11390.783060947468</x:v>
      </x:c>
      <x:c r="O1500" s="10" t="n">
        <x:f>H1500*'Assumptions'!$P$114*'Assumptions'!$Q$114*'Assumptions'!$D$11*(1+'Assumptions'!$D$13)^(12-1)</x:f>
        <x:v>1089.4522064840478</x:v>
      </x:c>
      <x:c r="P1500" s="10" t="n">
        <x:f>H1500*'Assumptions'!$R$114*'Assumptions'!$D$11*(1+'Assumptions'!$D$13)^(12-1)</x:f>
        <x:v>0</x:v>
      </x:c>
      <x:c r="Q1500" s="10" t="n">
        <x:f>J1500*'Assumptions'!$S$114</x:f>
        <x:v>0</x:v>
      </x:c>
      <x:c r="R1500" s="10" t="n">
        <x:f>H1500*'Assumptions'!$Y$114*'Assumptions'!$Z$114*'Assumptions'!$D$11*(1+'Assumptions'!$D$13)^(12-1)</x:f>
        <x:v>653.6713238904287</x:v>
      </x:c>
      <x:c r="S1500" s="10" t="n">
        <x:f>IF(I1500=0,0,J1500*'Assumptions'!$W$114+H1500*'Assumptions'!$X$114)</x:f>
        <x:v>359.4382271876047</x:v>
      </x:c>
      <x:c r="T1500" s="10" t="n">
        <x:f>N1500*'Assumptions'!$AA$114</x:f>
        <x:v>455.6313224378987</x:v>
      </x:c>
      <x:c r="U1500" s="10" t="n">
        <x:f>'Assumptions'!$AE$114*'Assumptions'!$D$11*(1+'Assumptions'!$D$13)^(12-1)</x:f>
        <x:v>0</x:v>
      </x:c>
      <x:c r="V1500" s="10" t="n">
        <x:f>0</x:f>
        <x:v>0</x:v>
      </x:c>
      <x:c r="W1500" s="10" t="n">
        <x:f>H1500*('Assumptions'!$P$114+'Assumptions'!$Y$114)</x:f>
        <x:v>31.48173815206176</x:v>
      </x:c>
      <x:c r="X1500" s="10" t="n">
        <x:f>N1500/12*'Assumptions'!$AF$114</x:f>
        <x:v>949.2319217456223</x:v>
      </x:c>
      <x:c r="Y1500" s="10" t="n">
        <x:f>P1500/12</x:f>
        <x:v>0</x:v>
      </x:c>
      <x:c r="Z1500" s="10" t="n">
        <x:f>0</x:f>
        <x:v>0</x:v>
      </x:c>
      <x:c r="AA1500" s="10" t="n">
        <x:f>Z1500*'Assumptions'!$AC$114*'Assumptions'!$D$11*(1+'Assumptions'!$D$13)^(12-1)</x:f>
        <x:v>0</x:v>
      </x:c>
      <x:c r="AB1500" s="10" t="n">
        <x:f>F1500/1</x:f>
        <x:v>32.411849874633944</x:v>
      </x:c>
      <x:c r="AC1500" s="10" t="n">
        <x:f>AB1500/'Assumptions'!$AM$114</x:f>
        <x:v>162.0592493731697</x:v>
      </x:c>
      <x:c r="AD1500" s="10" t="n">
        <x:f>IF(AB1500=0,0,T1500/AB1500)</x:f>
        <x:v>14.0575537712361</x:v>
      </x:c>
      <x:c r="AE1500" s="10" t="n">
        <x:f>AA1500*'Assumptions'!$D$21</x:f>
        <x:v>0</x:v>
      </x:c>
    </x:row>
    <x:row r="1501" ht="16" customHeight="1">
      <x:c r="A1501" s="1"/>
      <x:c r="B1501" s="1"/>
      <x:c r="C1501" s="1" t="str">
        <x:v>DOT-086</x:v>
      </x:c>
      <x:c r="D1501" s="10" t="str">
        <x:v>Semajes Studio</x:v>
      </x:c>
      <x:c r="E1501" s="10" t="n">
        <x:v>12</x:v>
      </x:c>
      <x:c r="F1501" s="21" t="n">
        <x:f>F1373*(1+'Assumptions'!$M$115)</x:f>
        <x:v>16.205924937316972</x:v>
      </x:c>
      <x:c r="G1501" s="21" t="n">
        <x:f>H1373*'Assumptions'!$K$115</x:f>
        <x:v>15.275813214744785</x:v>
      </x:c>
      <x:c r="H1501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1501+G1501,NA())</x:f>
        <x:v>31.48173815206176</x:v>
      </x:c>
      <x:c r="I1501" s="22" t="n">
        <x:f>'Assumptions'!$H$115*IF('Assumptions'!$O$115=1,1,'Assumptions'!$D$10)*(1+'Assumptions'!$N$115)^(12-1)</x:f>
        <x:v>621.6871541973262</x:v>
      </x:c>
      <x:c r="J1501" s="10" t="n">
        <x:f>H1501*I1501</x:f>
        <x:v>19571.792200940665</x:v>
      </x:c>
      <x:c r="K1501" s="10" t="n">
        <x:f>J1501*'Assumptions'!$T$115</x:f>
        <x:v>19571.792200940665</x:v>
      </x:c>
      <x:c r="L1501" s="10" t="n">
        <x:f>K1501*'Assumptions'!$U$115</x:f>
        <x:v>587.1537660282199</x:v>
      </x:c>
      <x:c r="M1501" s="10" t="n">
        <x:f>K1501*'Assumptions'!$V$115</x:f>
        <x:v>0</x:v>
      </x:c>
      <x:c r="N1501" s="10" t="n">
        <x:f>K1501-L1501-M1501</x:f>
        <x:v>18984.638434912446</x:v>
      </x:c>
      <x:c r="O1501" s="10" t="n">
        <x:f>H1501*'Assumptions'!$P$115*'Assumptions'!$Q$115*'Assumptions'!$D$11*(1+'Assumptions'!$D$13)^(12-1)</x:f>
        <x:v>2178.9044129680956</x:v>
      </x:c>
      <x:c r="P1501" s="10" t="n">
        <x:f>H1501*'Assumptions'!$R$115*'Assumptions'!$D$11*(1+'Assumptions'!$D$13)^(12-1)</x:f>
        <x:v>0</x:v>
      </x:c>
      <x:c r="Q1501" s="10" t="n">
        <x:f>J1501*'Assumptions'!$S$115</x:f>
        <x:v>0</x:v>
      </x:c>
      <x:c r="R1501" s="10" t="n">
        <x:f>H1501*'Assumptions'!$Y$115*'Assumptions'!$Z$115*'Assumptions'!$D$11*(1+'Assumptions'!$D$13)^(12-1)</x:f>
        <x:v>326.8356619452143</x:v>
      </x:c>
      <x:c r="S1501" s="10" t="n">
        <x:f>IF(I1501=0,0,J1501*'Assumptions'!$W$115+H1501*'Assumptions'!$X$115)</x:f>
        <x:v>577.0264952728978</x:v>
      </x:c>
      <x:c r="T1501" s="10" t="n">
        <x:f>N1501*'Assumptions'!$AA$115</x:f>
        <x:v>759.3855373964979</x:v>
      </x:c>
      <x:c r="U1501" s="10" t="n">
        <x:f>'Assumptions'!$AE$115*'Assumptions'!$D$11*(1+'Assumptions'!$D$13)^(12-1)</x:f>
        <x:v>0</x:v>
      </x:c>
      <x:c r="V1501" s="10" t="n">
        <x:f>0</x:f>
        <x:v>0</x:v>
      </x:c>
      <x:c r="W1501" s="10" t="n">
        <x:f>H1501*('Assumptions'!$P$115+'Assumptions'!$Y$115)</x:f>
        <x:v>39.3521726900772</x:v>
      </x:c>
      <x:c r="X1501" s="10" t="n">
        <x:f>N1501/12*'Assumptions'!$AF$115</x:f>
        <x:v>1582.0532029093704</x:v>
      </x:c>
      <x:c r="Y1501" s="10" t="n">
        <x:f>P1501/12</x:f>
        <x:v>0</x:v>
      </x:c>
      <x:c r="Z1501" s="10" t="n">
        <x:f>0</x:f>
        <x:v>0</x:v>
      </x:c>
      <x:c r="AA1501" s="10" t="n">
        <x:f>Z1501*'Assumptions'!$AC$115*'Assumptions'!$D$11*(1+'Assumptions'!$D$13)^(12-1)</x:f>
        <x:v>0</x:v>
      </x:c>
      <x:c r="AB1501" s="10" t="n">
        <x:f>F1501/1</x:f>
        <x:v>16.205924937316972</x:v>
      </x:c>
      <x:c r="AC1501" s="10" t="n">
        <x:f>AB1501/'Assumptions'!$AM$115</x:f>
        <x:v>81.02962468658485</x:v>
      </x:c>
      <x:c r="AD1501" s="10" t="n">
        <x:f>IF(AB1501=0,0,T1501/AB1501)</x:f>
        <x:v>46.858512570787</x:v>
      </x:c>
      <x:c r="AE1501" s="10" t="n">
        <x:f>AA1501*'Assumptions'!$D$21</x:f>
        <x:v>0</x:v>
      </x:c>
    </x:row>
    <x:row r="1502" ht="16" customHeight="1">
      <x:c r="A1502" s="1"/>
      <x:c r="B1502" s="1"/>
      <x:c r="C1502" s="1" t="str">
        <x:v>DOT-087</x:v>
      </x:c>
      <x:c r="D1502" s="10" t="str">
        <x:v>Semajes Studio</x:v>
      </x:c>
      <x:c r="E1502" s="10" t="n">
        <x:v>12</x:v>
      </x:c>
      <x:c r="F1502" s="21" t="n">
        <x:f>F1374*(1+'Assumptions'!$M$116)</x:f>
        <x:v>162.55934835874177</x:v>
      </x:c>
      <x:c r="G1502" s="21" t="n">
        <x:f>H1374*'Assumptions'!$K$116</x:f>
        <x:v>66.8038639940605</x:v>
      </x:c>
      <x:c r="H1502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1502+G1502,NA())</x:f>
        <x:v>229.3632123528023</x:v>
      </x:c>
      <x:c r="I1502" s="22" t="n">
        <x:f>'Assumptions'!$H$116*IF('Assumptions'!$O$116=1,1,'Assumptions'!$D$10)*(1+'Assumptions'!$N$116)^(12-1)</x:f>
        <x:v>118.12055929749198</x:v>
      </x:c>
      <x:c r="J1502" s="10" t="n">
        <x:f>H1502*I1502</x:f>
        <x:v>27092.510925382427</x:v>
      </x:c>
      <x:c r="K1502" s="10" t="n">
        <x:f>J1502*'Assumptions'!$T$116</x:f>
        <x:v>27092.510925382427</x:v>
      </x:c>
      <x:c r="L1502" s="10" t="n">
        <x:f>K1502*'Assumptions'!$U$116</x:f>
        <x:v>812.7753277614728</x:v>
      </x:c>
      <x:c r="M1502" s="10" t="n">
        <x:f>K1502*'Assumptions'!$V$116</x:f>
        <x:v>541.8502185076485</x:v>
      </x:c>
      <x:c r="N1502" s="10" t="n">
        <x:f>K1502-L1502-M1502</x:f>
        <x:v>25737.885379113308</x:v>
      </x:c>
      <x:c r="O1502" s="10" t="n">
        <x:f>H1502*'Assumptions'!$P$116*'Assumptions'!$Q$116*'Assumptions'!$D$11*(1+'Assumptions'!$D$13)^(12-1)</x:f>
        <x:v>2381.192454276844</x:v>
      </x:c>
      <x:c r="P1502" s="10" t="n">
        <x:f>H1502*'Assumptions'!$R$116*'Assumptions'!$D$11*(1+'Assumptions'!$D$13)^(12-1)</x:f>
        <x:v>11112.231453291939</x:v>
      </x:c>
      <x:c r="Q1502" s="10" t="n">
        <x:f>J1502*'Assumptions'!$S$116</x:f>
        <x:v>0</x:v>
      </x:c>
      <x:c r="R1502" s="10" t="n">
        <x:f>H1502*'Assumptions'!$Y$116*'Assumptions'!$Z$116*'Assumptions'!$D$11*(1+'Assumptions'!$D$13)^(12-1)</x:f>
        <x:v>1428.7154725661067</x:v>
      </x:c>
      <x:c r="S1502" s="10" t="n">
        <x:f>IF(I1502=0,0,J1502*'Assumptions'!$W$116+H1502*'Assumptions'!$X$116)</x:f>
        <x:v>854.4917805419311</x:v>
      </x:c>
      <x:c r="T1502" s="10" t="n">
        <x:f>N1502*'Assumptions'!$AA$116</x:f>
        <x:v>2059.030830329065</x:v>
      </x:c>
      <x:c r="U1502" s="10" t="n">
        <x:f>'Assumptions'!$AE$116*'Assumptions'!$D$11*(1+'Assumptions'!$D$13)^(12-1)</x:f>
        <x:v>0</x:v>
      </x:c>
      <x:c r="V1502" s="10" t="n">
        <x:f>0</x:f>
        <x:v>0</x:v>
      </x:c>
      <x:c r="W1502" s="10" t="n">
        <x:f>H1502*('Assumptions'!$P$116+'Assumptions'!$Y$116)</x:f>
        <x:v>68.80896370584068</x:v>
      </x:c>
      <x:c r="X1502" s="10" t="n">
        <x:f>N1502/12*'Assumptions'!$AF$116</x:f>
        <x:v>0</x:v>
      </x:c>
      <x:c r="Y1502" s="10" t="n">
        <x:f>P1502/12</x:f>
        <x:v>926.0192877743283</x:v>
      </x:c>
      <x:c r="Z1502" s="10" t="n">
        <x:f>0</x:f>
        <x:v>0</x:v>
      </x:c>
      <x:c r="AA1502" s="10" t="n">
        <x:f>Z1502*'Assumptions'!$AC$116*'Assumptions'!$D$11*(1+'Assumptions'!$D$13)^(12-1)</x:f>
        <x:v>0</x:v>
      </x:c>
      <x:c r="AB1502" s="10" t="n">
        <x:f>F1502/1</x:f>
        <x:v>162.55934835874177</x:v>
      </x:c>
      <x:c r="AC1502" s="10" t="n">
        <x:f>AB1502/'Assumptions'!$AM$116</x:f>
        <x:v>5418.644945291393</x:v>
      </x:c>
      <x:c r="AD1502" s="10" t="n">
        <x:f>IF(AB1502=0,0,T1502/AB1502)</x:f>
        <x:v>12.666332949275375</x:v>
      </x:c>
      <x:c r="AE1502" s="10" t="n">
        <x:f>AA1502*'Assumptions'!$D$21</x:f>
        <x:v>0</x:v>
      </x:c>
    </x:row>
    <x:row r="1503" ht="16" customHeight="1">
      <x:c r="A1503" s="1"/>
      <x:c r="B1503" s="1"/>
      <x:c r="C1503" s="1" t="str">
        <x:v>DOT-088</x:v>
      </x:c>
      <x:c r="D1503" s="10" t="str">
        <x:v>Semajes Studio</x:v>
      </x:c>
      <x:c r="E1503" s="10" t="n">
        <x:v>12</x:v>
      </x:c>
      <x:c r="F1503" s="21" t="n">
        <x:f>F1375*(1+'Assumptions'!$M$117)</x:f>
        <x:v>81.27967417937089</x:v>
      </x:c>
      <x:c r="G1503" s="21" t="n">
        <x:f>H1375*'Assumptions'!$K$117</x:f>
        <x:v>33.40193199703025</x:v>
      </x:c>
      <x:c r="H1503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1503+G1503,NA())</x:f>
        <x:v>114.68160617640115</x:v>
      </x:c>
      <x:c r="I1503" s="22" t="n">
        <x:f>'Assumptions'!$H$117*IF('Assumptions'!$O$117=1,1,'Assumptions'!$D$10)*(1+'Assumptions'!$N$117)^(12-1)</x:f>
        <x:v>310.8435770986631</x:v>
      </x:c>
      <x:c r="J1503" s="10" t="n">
        <x:f>H1503*I1503</x:f>
        <x:v>35648.04069129267</x:v>
      </x:c>
      <x:c r="K1503" s="10" t="n">
        <x:f>J1503*'Assumptions'!$T$117</x:f>
        <x:v>35648.04069129267</x:v>
      </x:c>
      <x:c r="L1503" s="10" t="n">
        <x:f>K1503*'Assumptions'!$U$117</x:f>
        <x:v>1069.44122073878</x:v>
      </x:c>
      <x:c r="M1503" s="10" t="n">
        <x:f>K1503*'Assumptions'!$V$117</x:f>
        <x:v>712.9608138258534</x:v>
      </x:c>
      <x:c r="N1503" s="10" t="n">
        <x:f>K1503-L1503-M1503</x:f>
        <x:v>33865.638656728035</x:v>
      </x:c>
      <x:c r="O1503" s="10" t="n">
        <x:f>H1503*'Assumptions'!$P$117*'Assumptions'!$Q$117*'Assumptions'!$D$11*(1+'Assumptions'!$D$13)^(12-1)</x:f>
        <x:v>1984.3270452307036</x:v>
      </x:c>
      <x:c r="P1503" s="10" t="n">
        <x:f>H1503*'Assumptions'!$R$117*'Assumptions'!$D$11*(1+'Assumptions'!$D$13)^(12-1)</x:f>
        <x:v>17462.077998030192</x:v>
      </x:c>
      <x:c r="Q1503" s="10" t="n">
        <x:f>J1503*'Assumptions'!$S$117</x:f>
        <x:v>0</x:v>
      </x:c>
      <x:c r="R1503" s="10" t="n">
        <x:f>H1503*'Assumptions'!$Y$117*'Assumptions'!$Z$117*'Assumptions'!$D$11*(1+'Assumptions'!$D$13)^(12-1)</x:f>
        <x:v>714.3577362830533</x:v>
      </x:c>
      <x:c r="S1503" s="10" t="n">
        <x:f>IF(I1503=0,0,J1503*'Assumptions'!$W$117+H1503*'Assumptions'!$X$117)</x:f>
        <x:v>1068.1976619004079</x:v>
      </x:c>
      <x:c r="T1503" s="10" t="n">
        <x:f>N1503*'Assumptions'!$AA$117</x:f>
        <x:v>2709.251092538243</x:v>
      </x:c>
      <x:c r="U1503" s="10" t="n">
        <x:f>'Assumptions'!$AE$117*'Assumptions'!$D$11*(1+'Assumptions'!$D$13)^(12-1)</x:f>
        <x:v>0</x:v>
      </x:c>
      <x:c r="V1503" s="10" t="n">
        <x:f>0</x:f>
        <x:v>0</x:v>
      </x:c>
      <x:c r="W1503" s="10" t="n">
        <x:f>H1503*('Assumptions'!$P$117+'Assumptions'!$Y$117)</x:f>
        <x:v>45.872642470560464</x:v>
      </x:c>
      <x:c r="X1503" s="10" t="n">
        <x:f>N1503/12*'Assumptions'!$AF$117</x:f>
        <x:v>0</x:v>
      </x:c>
      <x:c r="Y1503" s="10" t="n">
        <x:f>P1503/12</x:f>
        <x:v>1455.173166502516</x:v>
      </x:c>
      <x:c r="Z1503" s="10" t="n">
        <x:f>0</x:f>
        <x:v>0</x:v>
      </x:c>
      <x:c r="AA1503" s="10" t="n">
        <x:f>Z1503*'Assumptions'!$AC$117*'Assumptions'!$D$11*(1+'Assumptions'!$D$13)^(12-1)</x:f>
        <x:v>0</x:v>
      </x:c>
      <x:c r="AB1503" s="10" t="n">
        <x:f>F1503/1</x:f>
        <x:v>81.27967417937089</x:v>
      </x:c>
      <x:c r="AC1503" s="10" t="n">
        <x:f>AB1503/'Assumptions'!$AM$117</x:f>
        <x:v>2709.3224726456965</x:v>
      </x:c>
      <x:c r="AD1503" s="10" t="n">
        <x:f>IF(AB1503=0,0,T1503/AB1503)</x:f>
        <x:v>33.33245512967204</x:v>
      </x:c>
      <x:c r="AE1503" s="10" t="n">
        <x:f>AA1503*'Assumptions'!$D$21</x:f>
        <x:v>0</x:v>
      </x:c>
    </x:row>
    <x:row r="1504" ht="16" customHeight="1">
      <x:c r="A1504" s="1"/>
      <x:c r="B1504" s="1"/>
      <x:c r="C1504" s="1" t="str">
        <x:v>DOT-089</x:v>
      </x:c>
      <x:c r="D1504" s="10" t="str">
        <x:v>Semajes Studio</x:v>
      </x:c>
      <x:c r="E1504" s="10" t="n">
        <x:v>12</x:v>
      </x:c>
      <x:c r="F1504" s="21" t="n">
        <x:f>F1376*(1+'Assumptions'!$M$118)</x:f>
        <x:v>32.51186967174834</x:v>
      </x:c>
      <x:c r="G1504" s="21" t="n">
        <x:f>H1376*'Assumptions'!$K$118</x:f>
        <x:v>13.360772798812098</x:v>
      </x:c>
      <x:c r="H1504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1504+G1504,NA())</x:f>
        <x:v>45.87264247056044</x:v>
      </x:c>
      <x:c r="I1504" s="22" t="n">
        <x:f>'Assumptions'!$H$118*IF('Assumptions'!$O$118=1,1,'Assumptions'!$D$10)*(1+'Assumptions'!$N$118)^(12-1)</x:f>
        <x:v>217.59050396906417</x:v>
      </x:c>
      <x:c r="J1504" s="10" t="n">
        <x:f>H1504*I1504</x:f>
        <x:v>9981.451393561943</x:v>
      </x:c>
      <x:c r="K1504" s="10" t="n">
        <x:f>J1504*'Assumptions'!$T$118</x:f>
        <x:v>9981.451393561943</x:v>
      </x:c>
      <x:c r="L1504" s="10" t="n">
        <x:f>K1504*'Assumptions'!$U$118</x:f>
        <x:v>299.44354180685826</x:v>
      </x:c>
      <x:c r="M1504" s="10" t="n">
        <x:f>K1504*'Assumptions'!$V$118</x:f>
        <x:v>199.62902787123886</x:v>
      </x:c>
      <x:c r="N1504" s="10" t="n">
        <x:f>K1504-L1504-M1504</x:f>
        <x:v>9482.378823883846</x:v>
      </x:c>
      <x:c r="O1504" s="10" t="n">
        <x:f>H1504*'Assumptions'!$P$118*'Assumptions'!$Q$118*'Assumptions'!$D$11*(1+'Assumptions'!$D$13)^(12-1)</x:f>
        <x:v>1587.4616361845622</x:v>
      </x:c>
      <x:c r="P1504" s="10" t="n">
        <x:f>H1504*'Assumptions'!$R$118*'Assumptions'!$D$11*(1+'Assumptions'!$D$13)^(12-1)</x:f>
        <x:v>5714.861890264424</x:v>
      </x:c>
      <x:c r="Q1504" s="10" t="n">
        <x:f>J1504*'Assumptions'!$S$118</x:f>
        <x:v>0</x:v>
      </x:c>
      <x:c r="R1504" s="10" t="n">
        <x:f>H1504*'Assumptions'!$Y$118*'Assumptions'!$Z$118*'Assumptions'!$D$11*(1+'Assumptions'!$D$13)^(12-1)</x:f>
        <x:v>285.7430945132212</x:v>
      </x:c>
      <x:c r="S1504" s="10" t="n">
        <x:f>IF(I1504=0,0,J1504*'Assumptions'!$W$118+H1504*'Assumptions'!$X$118)</x:f>
        <x:v>303.2238831544645</x:v>
      </x:c>
      <x:c r="T1504" s="10" t="n">
        <x:f>N1504*'Assumptions'!$AA$118</x:f>
        <x:v>758.5903059107077</x:v>
      </x:c>
      <x:c r="U1504" s="10" t="n">
        <x:f>'Assumptions'!$AE$118*'Assumptions'!$D$11*(1+'Assumptions'!$D$13)^(12-1)</x:f>
        <x:v>0</x:v>
      </x:c>
      <x:c r="V1504" s="10" t="n">
        <x:f>0</x:f>
        <x:v>0</x:v>
      </x:c>
      <x:c r="W1504" s="10" t="n">
        <x:f>H1504*('Assumptions'!$P$118+'Assumptions'!$Y$118)</x:f>
        <x:v>29.81721760586429</x:v>
      </x:c>
      <x:c r="X1504" s="10" t="n">
        <x:f>N1504/12*'Assumptions'!$AF$118</x:f>
        <x:v>0</x:v>
      </x:c>
      <x:c r="Y1504" s="10" t="n">
        <x:f>P1504/12</x:f>
        <x:v>476.23849085536864</x:v>
      </x:c>
      <x:c r="Z1504" s="10" t="n">
        <x:f>0</x:f>
        <x:v>0</x:v>
      </x:c>
      <x:c r="AA1504" s="10" t="n">
        <x:f>Z1504*'Assumptions'!$AC$118*'Assumptions'!$D$11*(1+'Assumptions'!$D$13)^(12-1)</x:f>
        <x:v>0</x:v>
      </x:c>
      <x:c r="AB1504" s="10" t="n">
        <x:f>F1504/1</x:f>
        <x:v>32.51186967174834</x:v>
      </x:c>
      <x:c r="AC1504" s="10" t="n">
        <x:f>AB1504/'Assumptions'!$AM$118</x:f>
        <x:v>1083.728989058278</x:v>
      </x:c>
      <x:c r="AD1504" s="10" t="n">
        <x:f>IF(AB1504=0,0,T1504/AB1504)</x:f>
        <x:v>23.332718590770423</x:v>
      </x:c>
      <x:c r="AE1504" s="10" t="n">
        <x:f>AA1504*'Assumptions'!$D$21</x:f>
        <x:v>0</x:v>
      </x:c>
    </x:row>
    <x:row r="1505" ht="16" customHeight="1">
      <x:c r="A1505" s="1"/>
      <x:c r="B1505" s="1"/>
      <x:c r="C1505" s="1" t="str">
        <x:v>DOT-090</x:v>
      </x:c>
      <x:c r="D1505" s="10" t="str">
        <x:v>Semajes Marketplace</x:v>
      </x:c>
      <x:c r="E1505" s="10" t="n">
        <x:v>12</x:v>
      </x:c>
      <x:c r="F1505" s="21" t="n">
        <x:f>F1377*(1+'Assumptions'!$M$119)</x:f>
        <x:v>91.8095921044204</x:v>
      </x:c>
      <x:c r="G1505" s="21" t="n">
        <x:f>H1377*'Assumptions'!$K$119</x:f>
        <x:v>189.79179838049535</x:v>
      </x:c>
      <x:c r="H1505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1505+G1505,NA())</x:f>
        <x:v>281.6013904849158</x:v>
      </x:c>
      <x:c r="I1505" s="22" t="n">
        <x:f>'Assumptions'!$H$119*IF('Assumptions'!$O$119=1,1,'Assumptions'!$D$10)*(1+'Assumptions'!$N$119)^(12-1)</x:f>
        <x:v>746.0245850367914</x:v>
      </x:c>
      <x:c r="J1505" s="10" t="n">
        <x:f>H1505*I1505</x:f>
        <x:v>210081.56048229276</x:v>
      </x:c>
      <x:c r="K1505" s="10" t="n">
        <x:f>J1505*'Assumptions'!$T$119</x:f>
        <x:v>31512.234072343912</x:v>
      </x:c>
      <x:c r="L1505" s="10" t="n">
        <x:f>K1505*'Assumptions'!$U$119</x:f>
        <x:v>945.3670221703173</x:v>
      </x:c>
      <x:c r="M1505" s="10" t="n">
        <x:f>K1505*'Assumptions'!$V$119</x:f>
        <x:v>0</x:v>
      </x:c>
      <x:c r="N1505" s="10" t="n">
        <x:f>K1505-L1505-M1505</x:f>
        <x:v>30566.867050173594</x:v>
      </x:c>
      <x:c r="O1505" s="10" t="n">
        <x:f>H1505*'Assumptions'!$P$119*'Assumptions'!$Q$119*'Assumptions'!$D$11*(1+'Assumptions'!$D$13)^(12-1)</x:f>
        <x:v>3410.7690990828096</x:v>
      </x:c>
      <x:c r="P1505" s="10" t="n">
        <x:f>H1505*'Assumptions'!$R$119*'Assumptions'!$D$11*(1+'Assumptions'!$D$13)^(12-1)</x:f>
        <x:v>0</x:v>
      </x:c>
      <x:c r="Q1505" s="10" t="n">
        <x:f>J1505*'Assumptions'!$S$119</x:f>
        <x:v>0</x:v>
      </x:c>
      <x:c r="R1505" s="10" t="n">
        <x:f>H1505*'Assumptions'!$Y$119*'Assumptions'!$Z$119*'Assumptions'!$D$11*(1+'Assumptions'!$D$13)^(12-1)</x:f>
        <x:v>1754.1098223854449</x:v>
      </x:c>
      <x:c r="S1505" s="10" t="n">
        <x:f>IF(I1505=0,0,J1505*'Assumptions'!$W$119+H1505*'Assumptions'!$X$119)</x:f>
        <x:v>6176.845671131965</x:v>
      </x:c>
      <x:c r="T1505" s="10" t="n">
        <x:f>N1505*'Assumptions'!$AA$119</x:f>
        <x:v>1528.3433525086798</x:v>
      </x:c>
      <x:c r="U1505" s="10" t="n">
        <x:f>'Assumptions'!$AE$119*'Assumptions'!$D$11*(1+'Assumptions'!$D$13)^(12-1)</x:f>
        <x:v>332.216128973867</x:v>
      </x:c>
      <x:c r="V1505" s="10" t="n">
        <x:f>0</x:f>
        <x:v>0</x:v>
      </x:c>
      <x:c r="W1505" s="10" t="n">
        <x:f>H1505*('Assumptions'!$P$119+'Assumptions'!$Y$119)</x:f>
        <x:v>112.64055619396632</x:v>
      </x:c>
      <x:c r="X1505" s="10" t="n">
        <x:f>N1505/12*'Assumptions'!$AF$119</x:f>
        <x:v>0</x:v>
      </x:c>
      <x:c r="Y1505" s="10" t="n">
        <x:f>P1505/12</x:f>
        <x:v>0</x:v>
      </x:c>
      <x:c r="Z1505" s="10" t="n">
        <x:f>0</x:f>
        <x:v>0</x:v>
      </x:c>
      <x:c r="AA1505" s="10" t="n">
        <x:f>Z1505*'Assumptions'!$AC$119*'Assumptions'!$D$11*(1+'Assumptions'!$D$13)^(12-1)</x:f>
        <x:v>0</x:v>
      </x:c>
      <x:c r="AB1505" s="10" t="n">
        <x:f>F1505/1</x:f>
        <x:v>91.8095921044204</x:v>
      </x:c>
      <x:c r="AC1505" s="10" t="n">
        <x:f>AB1505/'Assumptions'!$AM$119</x:f>
        <x:v>1836.191842088408</x:v>
      </x:c>
      <x:c r="AD1505" s="10" t="n">
        <x:f>IF(AB1505=0,0,T1505/AB1505)</x:f>
        <x:v>16.646880979172696</x:v>
      </x:c>
      <x:c r="AE1505" s="10" t="n">
        <x:f>AA1505*'Assumptions'!$D$21</x:f>
        <x:v>0</x:v>
      </x:c>
    </x:row>
    <x:row r="1506" ht="16" customHeight="1">
      <x:c r="A1506" s="1"/>
      <x:c r="B1506" s="1"/>
      <x:c r="C1506" s="1" t="str">
        <x:v>DOT-091</x:v>
      </x:c>
      <x:c r="D1506" s="10" t="str">
        <x:v>Semajes Marketplace</x:v>
      </x:c>
      <x:c r="E1506" s="10" t="n">
        <x:v>12</x:v>
      </x:c>
      <x:c r="F1506" s="21" t="n">
        <x:f>F1378*(1+'Assumptions'!$M$120)</x:f>
        <x:v>183.6191842088408</x:v>
      </x:c>
      <x:c r="G1506" s="21" t="n">
        <x:f>H1378*'Assumptions'!$K$120</x:f>
        <x:v>379.5835967609907</x:v>
      </x:c>
      <x:c r="H1506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1506+G1506,NA())</x:f>
        <x:v>563.2027809698316</x:v>
      </x:c>
      <x:c r="I1506" s="22" t="n">
        <x:f>'Assumptions'!$H$120*IF('Assumptions'!$O$120=1,1,'Assumptions'!$D$10)*(1+'Assumptions'!$N$120)^(12-1)</x:f>
        <x:v>93.25307312959893</x:v>
      </x:c>
      <x:c r="J1506" s="10" t="n">
        <x:f>H1506*I1506</x:f>
        <x:v>52520.39012057319</x:v>
      </x:c>
      <x:c r="K1506" s="10" t="n">
        <x:f>J1506*'Assumptions'!$T$120</x:f>
        <x:v>10504.078024114639</x:v>
      </x:c>
      <x:c r="L1506" s="10" t="n">
        <x:f>K1506*'Assumptions'!$U$120</x:f>
        <x:v>315.12234072343915</x:v>
      </x:c>
      <x:c r="M1506" s="10" t="n">
        <x:f>K1506*'Assumptions'!$V$120</x:f>
        <x:v>0</x:v>
      </x:c>
      <x:c r="N1506" s="10" t="n">
        <x:f>K1506-L1506-M1506</x:f>
        <x:v>10188.9556833912</x:v>
      </x:c>
      <x:c r="O1506" s="10" t="n">
        <x:f>H1506*'Assumptions'!$P$120*'Assumptions'!$Q$120*'Assumptions'!$D$11*(1+'Assumptions'!$D$13)^(12-1)</x:f>
        <x:v>2728.615279266248</x:v>
      </x:c>
      <x:c r="P1506" s="10" t="n">
        <x:f>H1506*'Assumptions'!$R$120*'Assumptions'!$D$11*(1+'Assumptions'!$D$13)^(12-1)</x:f>
        <x:v>0</x:v>
      </x:c>
      <x:c r="Q1506" s="10" t="n">
        <x:f>J1506*'Assumptions'!$S$120</x:f>
        <x:v>0</x:v>
      </x:c>
      <x:c r="R1506" s="10" t="n">
        <x:f>H1506*'Assumptions'!$Y$120*'Assumptions'!$Z$120*'Assumptions'!$D$11*(1+'Assumptions'!$D$13)^(12-1)</x:f>
        <x:v>3508.2196447708898</x:v>
      </x:c>
      <x:c r="S1506" s="10" t="n">
        <x:f>IF(I1506=0,0,J1506*'Assumptions'!$W$120+H1506*'Assumptions'!$X$120)</x:f>
        <x:v>1692.052147787572</x:v>
      </x:c>
      <x:c r="T1506" s="10" t="n">
        <x:f>N1506*'Assumptions'!$AA$120</x:f>
        <x:v>509.44778416956</x:v>
      </x:c>
      <x:c r="U1506" s="10" t="n">
        <x:f>'Assumptions'!$AE$120*'Assumptions'!$D$11*(1+'Assumptions'!$D$13)^(12-1)</x:f>
        <x:v>0</x:v>
      </x:c>
      <x:c r="V1506" s="10" t="n">
        <x:f>0</x:f>
        <x:v>0</x:v>
      </x:c>
      <x:c r="W1506" s="10" t="n">
        <x:f>H1506*('Assumptions'!$P$120+'Assumptions'!$Y$120)</x:f>
        <x:v>140.8006952424579</x:v>
      </x:c>
      <x:c r="X1506" s="10" t="n">
        <x:f>N1506/12*'Assumptions'!$AF$120</x:f>
        <x:v>0</x:v>
      </x:c>
      <x:c r="Y1506" s="10" t="n">
        <x:f>P1506/12</x:f>
        <x:v>0</x:v>
      </x:c>
      <x:c r="Z1506" s="10" t="n">
        <x:f>0</x:f>
        <x:v>0</x:v>
      </x:c>
      <x:c r="AA1506" s="10" t="n">
        <x:f>Z1506*'Assumptions'!$AC$120*'Assumptions'!$D$11*(1+'Assumptions'!$D$13)^(12-1)</x:f>
        <x:v>0</x:v>
      </x:c>
      <x:c r="AB1506" s="10" t="n">
        <x:f>F1506/1</x:f>
        <x:v>183.6191842088408</x:v>
      </x:c>
      <x:c r="AC1506" s="10" t="n">
        <x:f>AB1506/'Assumptions'!$AM$120</x:f>
        <x:v>3672.383684176816</x:v>
      </x:c>
      <x:c r="AD1506" s="10" t="n">
        <x:f>IF(AB1506=0,0,T1506/AB1506)</x:f>
        <x:v>2.7744801631954497</x:v>
      </x:c>
      <x:c r="AE1506" s="10" t="n">
        <x:f>AA1506*'Assumptions'!$D$21</x:f>
        <x:v>0</x:v>
      </x:c>
    </x:row>
    <x:row r="1507" ht="16" customHeight="1">
      <x:c r="A1507" s="1"/>
      <x:c r="B1507" s="1"/>
      <x:c r="C1507" s="1" t="str">
        <x:v>DOT-092</x:v>
      </x:c>
      <x:c r="D1507" s="10" t="str">
        <x:v>Semajes Marketplace</x:v>
      </x:c>
      <x:c r="E1507" s="10" t="n">
        <x:v>12</x:v>
      </x:c>
      <x:c r="F1507" s="21" t="n">
        <x:f>F1379*(1+'Assumptions'!$M$121)</x:f>
        <x:v>91.8095921044204</x:v>
      </x:c>
      <x:c r="G1507" s="21" t="n">
        <x:f>H1379*'Assumptions'!$K$121</x:f>
        <x:v>189.79179838049535</x:v>
      </x:c>
      <x:c r="H1507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1507+G1507,NA())</x:f>
        <x:v>281.6013904849158</x:v>
      </x:c>
      <x:c r="I1507" s="22" t="n">
        <x:f>'Assumptions'!$H$121*IF('Assumptions'!$O$121=1,1,'Assumptions'!$D$10)*(1+'Assumptions'!$N$121)^(12-1)</x:f>
        <x:v>310.8435770986631</x:v>
      </x:c>
      <x:c r="J1507" s="10" t="n">
        <x:f>H1507*I1507</x:f>
        <x:v>87533.98353428865</x:v>
      </x:c>
      <x:c r="K1507" s="10" t="n">
        <x:f>J1507*'Assumptions'!$T$121</x:f>
        <x:v>17506.79670685773</x:v>
      </x:c>
      <x:c r="L1507" s="10" t="n">
        <x:f>K1507*'Assumptions'!$U$121</x:f>
        <x:v>525.2039012057319</x:v>
      </x:c>
      <x:c r="M1507" s="10" t="n">
        <x:f>K1507*'Assumptions'!$V$121</x:f>
        <x:v>0</x:v>
      </x:c>
      <x:c r="N1507" s="10" t="n">
        <x:f>K1507-L1507-M1507</x:f>
        <x:v>16981.592805652</x:v>
      </x:c>
      <x:c r="O1507" s="10" t="n">
        <x:f>H1507*'Assumptions'!$P$121*'Assumptions'!$Q$121*'Assumptions'!$D$11*(1+'Assumptions'!$D$13)^(12-1)</x:f>
        <x:v>2046.4614594496861</x:v>
      </x:c>
      <x:c r="P1507" s="10" t="n">
        <x:f>H1507*'Assumptions'!$R$121*'Assumptions'!$D$11*(1+'Assumptions'!$D$13)^(12-1)</x:f>
        <x:v>0</x:v>
      </x:c>
      <x:c r="Q1507" s="10" t="n">
        <x:f>J1507*'Assumptions'!$S$121</x:f>
        <x:v>0</x:v>
      </x:c>
      <x:c r="R1507" s="10" t="n">
        <x:f>H1507*'Assumptions'!$Y$121*'Assumptions'!$Z$121*'Assumptions'!$D$11*(1+'Assumptions'!$D$13)^(12-1)</x:f>
        <x:v>1754.1098223854449</x:v>
      </x:c>
      <x:c r="S1507" s="10" t="n">
        <x:f>IF(I1507=0,0,J1507*'Assumptions'!$W$121+H1507*'Assumptions'!$X$121)</x:f>
        <x:v>2622.9659396398456</x:v>
      </x:c>
      <x:c r="T1507" s="10" t="n">
        <x:f>N1507*'Assumptions'!$AA$121</x:f>
        <x:v>849.0796402825999</x:v>
      </x:c>
      <x:c r="U1507" s="10" t="n">
        <x:f>'Assumptions'!$AE$121*'Assumptions'!$D$11*(1+'Assumptions'!$D$13)^(12-1)</x:f>
        <x:v>0</x:v>
      </x:c>
      <x:c r="V1507" s="10" t="n">
        <x:f>0</x:f>
        <x:v>0</x:v>
      </x:c>
      <x:c r="W1507" s="10" t="n">
        <x:f>H1507*('Assumptions'!$P$121+'Assumptions'!$Y$121)</x:f>
        <x:v>84.48041714547473</x:v>
      </x:c>
      <x:c r="X1507" s="10" t="n">
        <x:f>N1507/12*'Assumptions'!$AF$121</x:f>
        <x:v>0</x:v>
      </x:c>
      <x:c r="Y1507" s="10" t="n">
        <x:f>P1507/12</x:f>
        <x:v>0</x:v>
      </x:c>
      <x:c r="Z1507" s="10" t="n">
        <x:f>0</x:f>
        <x:v>0</x:v>
      </x:c>
      <x:c r="AA1507" s="10" t="n">
        <x:f>Z1507*'Assumptions'!$AC$121*'Assumptions'!$D$11*(1+'Assumptions'!$D$13)^(12-1)</x:f>
        <x:v>0</x:v>
      </x:c>
      <x:c r="AB1507" s="10" t="n">
        <x:f>F1507/1</x:f>
        <x:v>91.8095921044204</x:v>
      </x:c>
      <x:c r="AC1507" s="10" t="n">
        <x:f>AB1507/'Assumptions'!$AM$121</x:f>
        <x:v>1836.191842088408</x:v>
      </x:c>
      <x:c r="AD1507" s="10" t="n">
        <x:f>IF(AB1507=0,0,T1507/AB1507)</x:f>
        <x:v>9.248267210651498</x:v>
      </x:c>
      <x:c r="AE1507" s="10" t="n">
        <x:f>AA1507*'Assumptions'!$D$21</x:f>
        <x:v>0</x:v>
      </x:c>
    </x:row>
    <x:row r="1508" ht="16" customHeight="1">
      <x:c r="A1508" s="1"/>
      <x:c r="B1508" s="1"/>
      <x:c r="C1508" s="1" t="str">
        <x:v>DOT-093</x:v>
      </x:c>
      <x:c r="D1508" s="10" t="str">
        <x:v>Semajes Marketplace</x:v>
      </x:c>
      <x:c r="E1508" s="10" t="n">
        <x:v>12</x:v>
      </x:c>
      <x:c r="F1508" s="21" t="n">
        <x:f>F1380*(1+'Assumptions'!$M$122)</x:f>
        <x:v>18.361918420884077</x:v>
      </x:c>
      <x:c r="G1508" s="21" t="n">
        <x:f>H1380*'Assumptions'!$K$122</x:f>
        <x:v>37.95835967609907</x:v>
      </x:c>
      <x:c r="H1508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1508+G1508,NA())</x:f>
        <x:v>56.320278096983145</x:v>
      </x:c>
      <x:c r="I1508" s="22" t="n">
        <x:f>'Assumptions'!$H$122*IF('Assumptions'!$O$122=1,1,'Assumptions'!$D$10)*(1+'Assumptions'!$N$122)^(12-1)</x:f>
        <x:v>621.6871541973262</x:v>
      </x:c>
      <x:c r="J1508" s="10" t="n">
        <x:f>H1508*I1508</x:f>
        <x:v>35013.593413715455</x:v>
      </x:c>
      <x:c r="K1508" s="10" t="n">
        <x:f>J1508*'Assumptions'!$T$122</x:f>
        <x:v>5252.039012057318</x:v>
      </x:c>
      <x:c r="L1508" s="10" t="n">
        <x:f>K1508*'Assumptions'!$U$122</x:f>
        <x:v>157.56117036171955</x:v>
      </x:c>
      <x:c r="M1508" s="10" t="n">
        <x:f>K1508*'Assumptions'!$V$122</x:f>
        <x:v>0</x:v>
      </x:c>
      <x:c r="N1508" s="10" t="n">
        <x:f>K1508-L1508-M1508</x:f>
        <x:v>5094.477841695599</x:v>
      </x:c>
      <x:c r="O1508" s="10" t="n">
        <x:f>H1508*'Assumptions'!$P$122*'Assumptions'!$Q$122*'Assumptions'!$D$11*(1+'Assumptions'!$D$13)^(12-1)</x:f>
        <x:v>682.1538198165618</x:v>
      </x:c>
      <x:c r="P1508" s="10" t="n">
        <x:f>H1508*'Assumptions'!$R$122*'Assumptions'!$D$11*(1+'Assumptions'!$D$13)^(12-1)</x:f>
        <x:v>0</x:v>
      </x:c>
      <x:c r="Q1508" s="10" t="n">
        <x:f>J1508*'Assumptions'!$S$122</x:f>
        <x:v>0</x:v>
      </x:c>
      <x:c r="R1508" s="10" t="n">
        <x:f>H1508*'Assumptions'!$Y$122*'Assumptions'!$Z$122*'Assumptions'!$D$11*(1+'Assumptions'!$D$13)^(12-1)</x:f>
        <x:v>350.82196447708895</x:v>
      </x:c>
      <x:c r="S1508" s="10" t="n">
        <x:f>IF(I1508=0,0,J1508*'Assumptions'!$W$122+H1508*'Assumptions'!$X$122)</x:f>
        <x:v>1032.2902924268433</x:v>
      </x:c>
      <x:c r="T1508" s="10" t="n">
        <x:f>N1508*'Assumptions'!$AA$122</x:f>
        <x:v>254.72389208477995</x:v>
      </x:c>
      <x:c r="U1508" s="10" t="n">
        <x:f>'Assumptions'!$AE$122*'Assumptions'!$D$11*(1+'Assumptions'!$D$13)^(12-1)</x:f>
        <x:v>0</x:v>
      </x:c>
      <x:c r="V1508" s="10" t="n">
        <x:f>0</x:f>
        <x:v>0</x:v>
      </x:c>
      <x:c r="W1508" s="10" t="n">
        <x:f>H1508*('Assumptions'!$P$122+'Assumptions'!$Y$122)</x:f>
        <x:v>22.528111238793258</x:v>
      </x:c>
      <x:c r="X1508" s="10" t="n">
        <x:f>N1508/12*'Assumptions'!$AF$122</x:f>
        <x:v>0</x:v>
      </x:c>
      <x:c r="Y1508" s="10" t="n">
        <x:f>P1508/12</x:f>
        <x:v>0</x:v>
      </x:c>
      <x:c r="Z1508" s="10" t="n">
        <x:f>0</x:f>
        <x:v>0</x:v>
      </x:c>
      <x:c r="AA1508" s="10" t="n">
        <x:f>Z1508*'Assumptions'!$AC$122*'Assumptions'!$D$11*(1+'Assumptions'!$D$13)^(12-1)</x:f>
        <x:v>0</x:v>
      </x:c>
      <x:c r="AB1508" s="10" t="n">
        <x:f>F1508/1</x:f>
        <x:v>18.361918420884077</x:v>
      </x:c>
      <x:c r="AC1508" s="10" t="n">
        <x:f>AB1508/'Assumptions'!$AM$122</x:f>
        <x:v>367.2383684176815</x:v>
      </x:c>
      <x:c r="AD1508" s="10" t="n">
        <x:f>IF(AB1508=0,0,T1508/AB1508)</x:f>
        <x:v>13.87240081597725</x:v>
      </x:c>
      <x:c r="AE1508" s="10" t="n">
        <x:f>AA1508*'Assumptions'!$D$21</x:f>
        <x:v>0</x:v>
      </x:c>
    </x:row>
    <x:row r="1509" ht="16" customHeight="1">
      <x:c r="A1509" s="1"/>
      <x:c r="B1509" s="1"/>
      <x:c r="C1509" s="1" t="str">
        <x:v>DOT-094</x:v>
      </x:c>
      <x:c r="D1509" s="10" t="str">
        <x:v>Semajes premium and media</x:v>
      </x:c>
      <x:c r="E1509" s="10" t="n">
        <x:v>12</x:v>
      </x:c>
      <x:c r="F1509" s="21" t="n">
        <x:f>F1381*(1+'Assumptions'!$M$123)</x:f>
        <x:v>91.8095921044204</x:v>
      </x:c>
      <x:c r="G1509" s="21" t="n">
        <x:f>H1381*'Assumptions'!$K$123</x:f>
        <x:v>189.79179838049535</x:v>
      </x:c>
      <x:c r="H1509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1509+G1509,NA())</x:f>
        <x:v>281.6013904849158</x:v>
      </x:c>
      <x:c r="I1509" s="22" t="n">
        <x:f>'Assumptions'!$H$123*IF('Assumptions'!$O$123=1,1,'Assumptions'!$D$10)*(1+'Assumptions'!$N$123)^(12-1)</x:f>
        <x:v>11.190368775551873</x:v>
      </x:c>
      <x:c r="J1509" s="10" t="n">
        <x:f>H1509*I1509</x:f>
        <x:v>3151.2234072343917</x:v>
      </x:c>
      <x:c r="K1509" s="10" t="n">
        <x:f>J1509*'Assumptions'!$T$123</x:f>
        <x:v>3151.2234072343917</x:v>
      </x:c>
      <x:c r="L1509" s="10" t="n">
        <x:f>K1509*'Assumptions'!$U$123</x:f>
        <x:v>94.53670221703175</x:v>
      </x:c>
      <x:c r="M1509" s="10" t="n">
        <x:f>K1509*'Assumptions'!$V$123</x:f>
        <x:v>0</x:v>
      </x:c>
      <x:c r="N1509" s="10" t="n">
        <x:f>K1509-L1509-M1509</x:f>
        <x:v>3056.68670501736</x:v>
      </x:c>
      <x:c r="O1509" s="10" t="n">
        <x:f>H1509*'Assumptions'!$P$123*'Assumptions'!$Q$123*'Assumptions'!$D$11*(1+'Assumptions'!$D$13)^(12-1)</x:f>
        <x:v>682.153819816562</x:v>
      </x:c>
      <x:c r="P1509" s="10" t="n">
        <x:f>H1509*'Assumptions'!$R$123*'Assumptions'!$D$11*(1+'Assumptions'!$D$13)^(12-1)</x:f>
        <x:v>0</x:v>
      </x:c>
      <x:c r="Q1509" s="10" t="n">
        <x:f>J1509*'Assumptions'!$S$123</x:f>
        <x:v>0</x:v>
      </x:c>
      <x:c r="R1509" s="10" t="n">
        <x:f>H1509*'Assumptions'!$Y$123*'Assumptions'!$Z$123*'Assumptions'!$D$11*(1+'Assumptions'!$D$13)^(12-1)</x:f>
        <x:v>1754.1098223854449</x:v>
      </x:c>
      <x:c r="S1509" s="10" t="n">
        <x:f>IF(I1509=0,0,J1509*'Assumptions'!$W$123+H1509*'Assumptions'!$X$123)</x:f>
        <x:v>175.8658959552721</x:v>
      </x:c>
      <x:c r="T1509" s="10" t="n">
        <x:f>N1509*'Assumptions'!$AA$123</x:f>
        <x:v>152.834335250868</x:v>
      </x:c>
      <x:c r="U1509" s="10" t="n">
        <x:f>'Assumptions'!$AE$123*'Assumptions'!$D$11*(1+'Assumptions'!$D$13)^(12-1)</x:f>
        <x:v>0</x:v>
      </x:c>
      <x:c r="V1509" s="10" t="n">
        <x:f>0</x:f>
        <x:v>0</x:v>
      </x:c>
      <x:c r="W1509" s="10" t="n">
        <x:f>H1509*('Assumptions'!$P$123+'Assumptions'!$Y$123)</x:f>
        <x:v>56.32027809698316</x:v>
      </x:c>
      <x:c r="X1509" s="10" t="n">
        <x:f>N1509/12*'Assumptions'!$AF$123</x:f>
        <x:v>0</x:v>
      </x:c>
      <x:c r="Y1509" s="10" t="n">
        <x:f>P1509/12</x:f>
        <x:v>0</x:v>
      </x:c>
      <x:c r="Z1509" s="10" t="n">
        <x:f>0</x:f>
        <x:v>0</x:v>
      </x:c>
      <x:c r="AA1509" s="10" t="n">
        <x:f>Z1509*'Assumptions'!$AC$123*'Assumptions'!$D$11*(1+'Assumptions'!$D$13)^(12-1)</x:f>
        <x:v>0</x:v>
      </x:c>
      <x:c r="AB1509" s="10" t="n">
        <x:f>F1509/12</x:f>
        <x:v>7.650799342035033</x:v>
      </x:c>
      <x:c r="AC1509" s="10" t="n">
        <x:f>AB1509/'Assumptions'!$AM$123</x:f>
        <x:v>153.01598684070066</x:v>
      </x:c>
      <x:c r="AD1509" s="10" t="n">
        <x:f>IF(AB1509=0,0,T1509/AB1509)</x:f>
        <x:v>19.97625717500724</x:v>
      </x:c>
      <x:c r="AE1509" s="10" t="n">
        <x:f>AA1509*'Assumptions'!$D$21</x:f>
        <x:v>0</x:v>
      </x:c>
    </x:row>
    <x:row r="1510" ht="16" customHeight="1">
      <x:c r="A1510" s="1"/>
      <x:c r="B1510" s="1"/>
      <x:c r="C1510" s="1" t="str">
        <x:v>DOT-095</x:v>
      </x:c>
      <x:c r="D1510" s="10" t="str">
        <x:v>Semajes premium and media</x:v>
      </x:c>
      <x:c r="E1510" s="10" t="n">
        <x:v>12</x:v>
      </x:c>
      <x:c r="F1510" s="21" t="n">
        <x:f>F1382*(1+'Assumptions'!$M$124)</x:f>
        <x:v>91.8095921044204</x:v>
      </x:c>
      <x:c r="G1510" s="21" t="n">
        <x:f>H1382*'Assumptions'!$K$124</x:f>
        <x:v>189.79179838049535</x:v>
      </x:c>
      <x:c r="H1510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1510+G1510,NA())</x:f>
        <x:v>281.6013904849158</x:v>
      </x:c>
      <x:c r="I1510" s="22" t="n">
        <x:f>'Assumptions'!$H$124*IF('Assumptions'!$O$124=1,1,'Assumptions'!$D$10)*(1+'Assumptions'!$N$124)^(12-1)</x:f>
        <x:v>23.624111859498395</x:v>
      </x:c>
      <x:c r="J1510" s="10" t="n">
        <x:f>H1510*I1510</x:f>
        <x:v>6652.582748605938</x:v>
      </x:c>
      <x:c r="K1510" s="10" t="n">
        <x:f>J1510*'Assumptions'!$T$124</x:f>
        <x:v>6652.582748605938</x:v>
      </x:c>
      <x:c r="L1510" s="10" t="n">
        <x:f>K1510*'Assumptions'!$U$124</x:f>
        <x:v>199.57748245817814</x:v>
      </x:c>
      <x:c r="M1510" s="10" t="n">
        <x:f>K1510*'Assumptions'!$V$124</x:f>
        <x:v>0</x:v>
      </x:c>
      <x:c r="N1510" s="10" t="n">
        <x:f>K1510-L1510-M1510</x:f>
        <x:v>6453.005266147759</x:v>
      </x:c>
      <x:c r="O1510" s="10" t="n">
        <x:f>H1510*'Assumptions'!$P$124*'Assumptions'!$Q$124*'Assumptions'!$D$11*(1+'Assumptions'!$D$13)^(12-1)</x:f>
        <x:v>1364.307639633124</x:v>
      </x:c>
      <x:c r="P1510" s="10" t="n">
        <x:f>H1510*'Assumptions'!$R$124*'Assumptions'!$D$11*(1+'Assumptions'!$D$13)^(12-1)</x:f>
        <x:v>0</x:v>
      </x:c>
      <x:c r="Q1510" s="10" t="n">
        <x:f>J1510*'Assumptions'!$S$124</x:f>
        <x:v>0</x:v>
      </x:c>
      <x:c r="R1510" s="10" t="n">
        <x:f>H1510*'Assumptions'!$Y$124*'Assumptions'!$Z$124*'Assumptions'!$D$11*(1+'Assumptions'!$D$13)^(12-1)</x:f>
        <x:v>1754.1098223854449</x:v>
      </x:c>
      <x:c r="S1510" s="10" t="n">
        <x:f>IF(I1510=0,0,J1510*'Assumptions'!$W$124+H1510*'Assumptions'!$X$124)</x:f>
        <x:v>277.4053168550469</x:v>
      </x:c>
      <x:c r="T1510" s="10" t="n">
        <x:f>N1510*'Assumptions'!$AA$124</x:f>
        <x:v>322.650263307388</x:v>
      </x:c>
      <x:c r="U1510" s="10" t="n">
        <x:f>'Assumptions'!$AE$124*'Assumptions'!$D$11*(1+'Assumptions'!$D$13)^(12-1)</x:f>
        <x:v>0</x:v>
      </x:c>
      <x:c r="V1510" s="10" t="n">
        <x:f>0</x:f>
        <x:v>0</x:v>
      </x:c>
      <x:c r="W1510" s="10" t="n">
        <x:f>H1510*('Assumptions'!$P$124+'Assumptions'!$Y$124)</x:f>
        <x:v>70.40034762122895</x:v>
      </x:c>
      <x:c r="X1510" s="10" t="n">
        <x:f>N1510/12*'Assumptions'!$AF$124</x:f>
        <x:v>0</x:v>
      </x:c>
      <x:c r="Y1510" s="10" t="n">
        <x:f>P1510/12</x:f>
        <x:v>0</x:v>
      </x:c>
      <x:c r="Z1510" s="10" t="n">
        <x:f>0</x:f>
        <x:v>0</x:v>
      </x:c>
      <x:c r="AA1510" s="10" t="n">
        <x:f>Z1510*'Assumptions'!$AC$124*'Assumptions'!$D$11*(1+'Assumptions'!$D$13)^(12-1)</x:f>
        <x:v>0</x:v>
      </x:c>
      <x:c r="AB1510" s="10" t="n">
        <x:f>F1510/12</x:f>
        <x:v>7.650799342035033</x:v>
      </x:c>
      <x:c r="AC1510" s="10" t="n">
        <x:f>AB1510/'Assumptions'!$AM$124</x:f>
        <x:v>153.01598684070066</x:v>
      </x:c>
      <x:c r="AD1510" s="10" t="n">
        <x:f>IF(AB1510=0,0,T1510/AB1510)</x:f>
        <x:v>42.17209848057084</x:v>
      </x:c>
      <x:c r="AE1510" s="10" t="n">
        <x:f>AA1510*'Assumptions'!$D$21</x:f>
        <x:v>0</x:v>
      </x:c>
    </x:row>
    <x:row r="1511" ht="16" customHeight="1">
      <x:c r="A1511" s="1"/>
      <x:c r="B1511" s="1"/>
      <x:c r="C1511" s="1" t="str">
        <x:v>DOT-096</x:v>
      </x:c>
      <x:c r="D1511" s="10" t="str">
        <x:v>Semajes premium and media</x:v>
      </x:c>
      <x:c r="E1511" s="10" t="n">
        <x:v>12</x:v>
      </x:c>
      <x:c r="F1511" s="21" t="n">
        <x:f>F1383*(1+'Assumptions'!$M$125)</x:f>
        <x:v>45.9047960522102</x:v>
      </x:c>
      <x:c r="G1511" s="21" t="n">
        <x:f>H1383*'Assumptions'!$K$125</x:f>
        <x:v>94.89589919024768</x:v>
      </x:c>
      <x:c r="H1511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1511+G1511,NA())</x:f>
        <x:v>140.8006952424579</x:v>
      </x:c>
      <x:c r="I1511" s="22" t="n">
        <x:f>'Assumptions'!$H$125*IF('Assumptions'!$O$125=1,1,'Assumptions'!$D$10)*(1+'Assumptions'!$N$125)^(12-1)</x:f>
        <x:v>48.49159802739145</x:v>
      </x:c>
      <x:c r="J1511" s="10" t="n">
        <x:f>H1511*I1511</x:f>
        <x:v>6827.650715674516</x:v>
      </x:c>
      <x:c r="K1511" s="10" t="n">
        <x:f>J1511*'Assumptions'!$T$125</x:f>
        <x:v>6827.650715674516</x:v>
      </x:c>
      <x:c r="L1511" s="10" t="n">
        <x:f>K1511*'Assumptions'!$U$125</x:f>
        <x:v>204.82952147023545</x:v>
      </x:c>
      <x:c r="M1511" s="10" t="n">
        <x:f>K1511*'Assumptions'!$V$125</x:f>
        <x:v>0</x:v>
      </x:c>
      <x:c r="N1511" s="10" t="n">
        <x:f>K1511-L1511-M1511</x:f>
        <x:v>6622.82119420428</x:v>
      </x:c>
      <x:c r="O1511" s="10" t="n">
        <x:f>H1511*'Assumptions'!$P$125*'Assumptions'!$Q$125*'Assumptions'!$D$11*(1+'Assumptions'!$D$13)^(12-1)</x:f>
        <x:v>1364.307639633124</x:v>
      </x:c>
      <x:c r="P1511" s="10" t="n">
        <x:f>H1511*'Assumptions'!$R$125*'Assumptions'!$D$11*(1+'Assumptions'!$D$13)^(12-1)</x:f>
        <x:v>0</x:v>
      </x:c>
      <x:c r="Q1511" s="10" t="n">
        <x:f>J1511*'Assumptions'!$S$125</x:f>
        <x:v>0</x:v>
      </x:c>
      <x:c r="R1511" s="10" t="n">
        <x:f>H1511*'Assumptions'!$Y$125*'Assumptions'!$Z$125*'Assumptions'!$D$11*(1+'Assumptions'!$D$13)^(12-1)</x:f>
        <x:v>877.0549111927224</x:v>
      </x:c>
      <x:c r="S1511" s="10" t="n">
        <x:f>IF(I1511=0,0,J1511*'Assumptions'!$W$125+H1511*'Assumptions'!$X$125)</x:f>
        <x:v>240.24207932729834</x:v>
      </x:c>
      <x:c r="T1511" s="10" t="n">
        <x:f>N1511*'Assumptions'!$AA$125</x:f>
        <x:v>331.141059710214</x:v>
      </x:c>
      <x:c r="U1511" s="10" t="n">
        <x:f>'Assumptions'!$AE$125*'Assumptions'!$D$11*(1+'Assumptions'!$D$13)^(12-1)</x:f>
        <x:v>0</x:v>
      </x:c>
      <x:c r="V1511" s="10" t="n">
        <x:f>0</x:f>
        <x:v>0</x:v>
      </x:c>
      <x:c r="W1511" s="10" t="n">
        <x:f>H1511*('Assumptions'!$P$125+'Assumptions'!$Y$125)</x:f>
        <x:v>49.28024333486026</x:v>
      </x:c>
      <x:c r="X1511" s="10" t="n">
        <x:f>N1511/12*'Assumptions'!$AF$125</x:f>
        <x:v>0</x:v>
      </x:c>
      <x:c r="Y1511" s="10" t="n">
        <x:f>P1511/12</x:f>
        <x:v>0</x:v>
      </x:c>
      <x:c r="Z1511" s="10" t="n">
        <x:f>0</x:f>
        <x:v>0</x:v>
      </x:c>
      <x:c r="AA1511" s="10" t="n">
        <x:f>Z1511*'Assumptions'!$AC$125*'Assumptions'!$D$11*(1+'Assumptions'!$D$13)^(12-1)</x:f>
        <x:v>0</x:v>
      </x:c>
      <x:c r="AB1511" s="10" t="n">
        <x:f>F1511/12</x:f>
        <x:v>3.8253996710175167</x:v>
      </x:c>
      <x:c r="AC1511" s="10" t="n">
        <x:f>AB1511/'Assumptions'!$AM$125</x:f>
        <x:v>76.50799342035033</x:v>
      </x:c>
      <x:c r="AD1511" s="10" t="n">
        <x:f>IF(AB1511=0,0,T1511/AB1511)</x:f>
        <x:v>86.56378109169803</x:v>
      </x:c>
      <x:c r="AE1511" s="10" t="n">
        <x:f>AA1511*'Assumptions'!$D$21</x:f>
        <x:v>0</x:v>
      </x:c>
    </x:row>
    <x:row r="1512" ht="16" customHeight="1">
      <x:c r="A1512" s="1"/>
      <x:c r="B1512" s="1"/>
      <x:c r="C1512" s="1" t="str">
        <x:v>DOT-097</x:v>
      </x:c>
      <x:c r="D1512" s="10" t="str">
        <x:v>Semajes premium and media</x:v>
      </x:c>
      <x:c r="E1512" s="10" t="n">
        <x:v>12</x:v>
      </x:c>
      <x:c r="F1512" s="21" t="n">
        <x:f>F1384*(1+'Assumptions'!$M$126)</x:f>
        <x:v>27.542877631326114</x:v>
      </x:c>
      <x:c r="G1512" s="21" t="n">
        <x:f>H1384*'Assumptions'!$K$126</x:f>
        <x:v>56.93753951414859</x:v>
      </x:c>
      <x:c r="H1512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1512+G1512,NA())</x:f>
        <x:v>84.4804171454747</x:v>
      </x:c>
      <x:c r="I1512" s="22" t="n">
        <x:f>'Assumptions'!$H$126*IF('Assumptions'!$O$126=1,1,'Assumptions'!$D$10)*(1+'Assumptions'!$N$126)^(12-1)</x:f>
        <x:v>123.09405653107059</x:v>
      </x:c>
      <x:c r="J1512" s="10" t="n">
        <x:f>H1512*I1512</x:f>
        <x:v>10399.037243873488</x:v>
      </x:c>
      <x:c r="K1512" s="10" t="n">
        <x:f>J1512*'Assumptions'!$T$126</x:f>
        <x:v>10399.037243873488</x:v>
      </x:c>
      <x:c r="L1512" s="10" t="n">
        <x:f>K1512*'Assumptions'!$U$126</x:f>
        <x:v>311.97111731620464</x:v>
      </x:c>
      <x:c r="M1512" s="10" t="n">
        <x:f>K1512*'Assumptions'!$V$126</x:f>
        <x:v>0</x:v>
      </x:c>
      <x:c r="N1512" s="10" t="n">
        <x:f>K1512-L1512-M1512</x:f>
        <x:v>10087.066126557283</x:v>
      </x:c>
      <x:c r="O1512" s="10" t="n">
        <x:f>H1512*'Assumptions'!$P$126*'Assumptions'!$Q$126*'Assumptions'!$D$11*(1+'Assumptions'!$D$13)^(12-1)</x:f>
        <x:v>4092.92291889937</x:v>
      </x:c>
      <x:c r="P1512" s="10" t="n">
        <x:f>H1512*'Assumptions'!$R$126*'Assumptions'!$D$11*(1+'Assumptions'!$D$13)^(12-1)</x:f>
        <x:v>0</x:v>
      </x:c>
      <x:c r="Q1512" s="10" t="n">
        <x:f>J1512*'Assumptions'!$S$126</x:f>
        <x:v>0</x:v>
      </x:c>
      <x:c r="R1512" s="10" t="n">
        <x:f>H1512*'Assumptions'!$Y$126*'Assumptions'!$Z$126*'Assumptions'!$D$11*(1+'Assumptions'!$D$13)^(12-1)</x:f>
        <x:v>526.2329467156334</x:v>
      </x:c>
      <x:c r="S1512" s="10" t="n">
        <x:f>IF(I1512=0,0,J1512*'Assumptions'!$W$126+H1512*'Assumptions'!$X$126)</x:f>
        <x:v>326.9162052159736</x:v>
      </x:c>
      <x:c r="T1512" s="10" t="n">
        <x:f>N1512*'Assumptions'!$AA$126</x:f>
        <x:v>504.3533063278642</x:v>
      </x:c>
      <x:c r="U1512" s="10" t="n">
        <x:f>'Assumptions'!$AE$126*'Assumptions'!$D$11*(1+'Assumptions'!$D$13)^(12-1)</x:f>
        <x:v>0</x:v>
      </x:c>
      <x:c r="V1512" s="10" t="n">
        <x:f>0</x:f>
        <x:v>0</x:v>
      </x:c>
      <x:c r="W1512" s="10" t="n">
        <x:f>H1512*('Assumptions'!$P$126+'Assumptions'!$Y$126)</x:f>
        <x:v>97.1524797172959</x:v>
      </x:c>
      <x:c r="X1512" s="10" t="n">
        <x:f>N1512/12*'Assumptions'!$AF$126</x:f>
        <x:v>0</x:v>
      </x:c>
      <x:c r="Y1512" s="10" t="n">
        <x:f>P1512/12</x:f>
        <x:v>0</x:v>
      </x:c>
      <x:c r="Z1512" s="10" t="n">
        <x:f>0</x:f>
        <x:v>0</x:v>
      </x:c>
      <x:c r="AA1512" s="10" t="n">
        <x:f>Z1512*'Assumptions'!$AC$126*'Assumptions'!$D$11*(1+'Assumptions'!$D$13)^(12-1)</x:f>
        <x:v>0</x:v>
      </x:c>
      <x:c r="AB1512" s="10" t="n">
        <x:f>F1512/1</x:f>
        <x:v>27.542877631326114</x:v>
      </x:c>
      <x:c r="AC1512" s="10" t="n">
        <x:f>AB1512/'Assumptions'!$AM$126</x:f>
        <x:v>550.8575526265222</x:v>
      </x:c>
      <x:c r="AD1512" s="10" t="n">
        <x:f>IF(AB1512=0,0,T1512/AB1512)</x:f>
        <x:v>18.311569077089967</x:v>
      </x:c>
      <x:c r="AE1512" s="10" t="n">
        <x:f>AA1512*'Assumptions'!$D$21</x:f>
        <x:v>0</x:v>
      </x:c>
    </x:row>
    <x:row r="1513" ht="16" customHeight="1">
      <x:c r="A1513" s="1"/>
      <x:c r="B1513" s="1"/>
      <x:c r="C1513" s="1" t="str">
        <x:v>DOT-098</x:v>
      </x:c>
      <x:c r="D1513" s="10" t="str">
        <x:v>Semajes premium and media</x:v>
      </x:c>
      <x:c r="E1513" s="10" t="n">
        <x:v>12</x:v>
      </x:c>
      <x:c r="F1513" s="21" t="n">
        <x:f>F1385*(1+'Assumptions'!$M$127)</x:f>
        <x:v>13.771438815663057</x:v>
      </x:c>
      <x:c r="G1513" s="21" t="n">
        <x:f>H1385*'Assumptions'!$K$127</x:f>
        <x:v>28.468769757074295</x:v>
      </x:c>
      <x:c r="H1513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1513+G1513,NA())</x:f>
        <x:v>42.24020857273735</x:v>
      </x:c>
      <x:c r="I1513" s="22" t="n">
        <x:f>'Assumptions'!$H$127*IF('Assumptions'!$O$127=1,1,'Assumptions'!$D$10)*(1+'Assumptions'!$N$127)^(12-1)</x:f>
        <x:v>309.60020279026844</x:v>
      </x:c>
      <x:c r="J1513" s="10" t="n">
        <x:f>H1513*I1513</x:f>
        <x:v>13077.57714002272</x:v>
      </x:c>
      <x:c r="K1513" s="10" t="n">
        <x:f>J1513*'Assumptions'!$T$127</x:f>
        <x:v>13077.57714002272</x:v>
      </x:c>
      <x:c r="L1513" s="10" t="n">
        <x:f>K1513*'Assumptions'!$U$127</x:f>
        <x:v>392.3273142006816</x:v>
      </x:c>
      <x:c r="M1513" s="10" t="n">
        <x:f>K1513*'Assumptions'!$V$127</x:f>
        <x:v>0</x:v>
      </x:c>
      <x:c r="N1513" s="10" t="n">
        <x:f>K1513-L1513-M1513</x:f>
        <x:v>12685.249825822038</x:v>
      </x:c>
      <x:c r="O1513" s="10" t="n">
        <x:f>H1513*'Assumptions'!$P$127*'Assumptions'!$Q$127*'Assumptions'!$D$11*(1+'Assumptions'!$D$13)^(12-1)</x:f>
        <x:v>6139.3843783490565</x:v>
      </x:c>
      <x:c r="P1513" s="10" t="n">
        <x:f>H1513*'Assumptions'!$R$127*'Assumptions'!$D$11*(1+'Assumptions'!$D$13)^(12-1)</x:f>
        <x:v>0</x:v>
      </x:c>
      <x:c r="Q1513" s="10" t="n">
        <x:f>J1513*'Assumptions'!$S$127</x:f>
        <x:v>0</x:v>
      </x:c>
      <x:c r="R1513" s="10" t="n">
        <x:f>H1513*'Assumptions'!$Y$127*'Assumptions'!$Z$127*'Assumptions'!$D$11*(1+'Assumptions'!$D$13)^(12-1)</x:f>
        <x:v>263.1164733578167</x:v>
      </x:c>
      <x:c r="S1513" s="10" t="n">
        <x:f>IF(I1513=0,0,J1513*'Assumptions'!$W$127+H1513*'Assumptions'!$X$127)</x:f>
        <x:v>391.9217996324801</x:v>
      </x:c>
      <x:c r="T1513" s="10" t="n">
        <x:f>N1513*'Assumptions'!$AA$127</x:f>
        <x:v>634.2624912911019</x:v>
      </x:c>
      <x:c r="U1513" s="10" t="n">
        <x:f>'Assumptions'!$AE$127*'Assumptions'!$D$11*(1+'Assumptions'!$D$13)^(12-1)</x:f>
        <x:v>0</x:v>
      </x:c>
      <x:c r="V1513" s="10" t="n">
        <x:f>0</x:f>
        <x:v>0</x:v>
      </x:c>
      <x:c r="W1513" s="10" t="n">
        <x:f>H1513*('Assumptions'!$P$127+'Assumptions'!$Y$127)</x:f>
        <x:v>133.05665700412266</x:v>
      </x:c>
      <x:c r="X1513" s="10" t="n">
        <x:f>N1513/12*'Assumptions'!$AF$127</x:f>
        <x:v>0</x:v>
      </x:c>
      <x:c r="Y1513" s="10" t="n">
        <x:f>P1513/12</x:f>
        <x:v>0</x:v>
      </x:c>
      <x:c r="Z1513" s="10" t="n">
        <x:f>0</x:f>
        <x:v>0</x:v>
      </x:c>
      <x:c r="AA1513" s="10" t="n">
        <x:f>Z1513*'Assumptions'!$AC$127*'Assumptions'!$D$11*(1+'Assumptions'!$D$13)^(12-1)</x:f>
        <x:v>0</x:v>
      </x:c>
      <x:c r="AB1513" s="10" t="n">
        <x:f>F1513/1</x:f>
        <x:v>13.771438815663057</x:v>
      </x:c>
      <x:c r="AC1513" s="10" t="n">
        <x:f>AB1513/'Assumptions'!$AM$127</x:f>
        <x:v>275.4287763132611</x:v>
      </x:c>
      <x:c r="AD1513" s="10" t="n">
        <x:f>IF(AB1513=0,0,T1513/AB1513)</x:f>
        <x:v>46.05637070904446</x:v>
      </x:c>
      <x:c r="AE1513" s="10" t="n">
        <x:f>AA1513*'Assumptions'!$D$21</x:f>
        <x:v>0</x:v>
      </x:c>
    </x:row>
    <x:row r="1514" ht="16" customHeight="1">
      <x:c r="A1514" s="1"/>
      <x:c r="B1514" s="1"/>
      <x:c r="C1514" s="1" t="str">
        <x:v>DOT-099</x:v>
      </x:c>
      <x:c r="D1514" s="10" t="str">
        <x:v>Semajes premium and media</x:v>
      </x:c>
      <x:c r="E1514" s="10" t="n">
        <x:v>12</x:v>
      </x:c>
      <x:c r="F1514" s="21" t="n">
        <x:f>F1386*(1+'Assumptions'!$M$128)</x:f>
        <x:v>45.9047960522102</x:v>
      </x:c>
      <x:c r="G1514" s="21" t="n">
        <x:f>H1386*'Assumptions'!$K$128</x:f>
        <x:v>94.89589919024768</x:v>
      </x:c>
      <x:c r="H1514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1514+G1514,NA())</x:f>
        <x:v>140.8006952424579</x:v>
      </x:c>
      <x:c r="I1514" s="22" t="n">
        <x:f>'Assumptions'!$H$128*IF('Assumptions'!$O$128=1,1,'Assumptions'!$D$10)*(1+'Assumptions'!$N$128)^(12-1)</x:f>
        <x:v>36.05785494344492</x:v>
      </x:c>
      <x:c r="J1514" s="10" t="n">
        <x:f>H1514*I1514</x:f>
        <x:v>5076.9710449887425</x:v>
      </x:c>
      <x:c r="K1514" s="10" t="n">
        <x:f>J1514*'Assumptions'!$T$128</x:f>
        <x:v>5076.9710449887425</x:v>
      </x:c>
      <x:c r="L1514" s="10" t="n">
        <x:f>K1514*'Assumptions'!$U$128</x:f>
        <x:v>152.30913134966227</x:v>
      </x:c>
      <x:c r="M1514" s="10" t="n">
        <x:f>K1514*'Assumptions'!$V$128</x:f>
        <x:v>0</x:v>
      </x:c>
      <x:c r="N1514" s="10" t="n">
        <x:f>K1514-L1514-M1514</x:f>
        <x:v>4924.66191363908</x:v>
      </x:c>
      <x:c r="O1514" s="10" t="n">
        <x:f>H1514*'Assumptions'!$P$128*'Assumptions'!$Q$128*'Assumptions'!$D$11*(1+'Assumptions'!$D$13)^(12-1)</x:f>
        <x:v>1023.2307297248431</x:v>
      </x:c>
      <x:c r="P1514" s="10" t="n">
        <x:f>H1514*'Assumptions'!$R$128*'Assumptions'!$D$11*(1+'Assumptions'!$D$13)^(12-1)</x:f>
        <x:v>0</x:v>
      </x:c>
      <x:c r="Q1514" s="10" t="n">
        <x:f>J1514*'Assumptions'!$S$128</x:f>
        <x:v>0</x:v>
      </x:c>
      <x:c r="R1514" s="10" t="n">
        <x:f>H1514*'Assumptions'!$Y$128*'Assumptions'!$Z$128*'Assumptions'!$D$11*(1+'Assumptions'!$D$13)^(12-1)</x:f>
        <x:v>877.0549111927224</x:v>
      </x:c>
      <x:c r="S1514" s="10" t="n">
        <x:f>IF(I1514=0,0,J1514*'Assumptions'!$W$128+H1514*'Assumptions'!$X$128)</x:f>
        <x:v>189.4723688774109</x:v>
      </x:c>
      <x:c r="T1514" s="10" t="n">
        <x:f>N1514*'Assumptions'!$AA$128</x:f>
        <x:v>246.233095681954</x:v>
      </x:c>
      <x:c r="U1514" s="10" t="n">
        <x:f>'Assumptions'!$AE$128*'Assumptions'!$D$11*(1+'Assumptions'!$D$13)^(12-1)</x:f>
        <x:v>0</x:v>
      </x:c>
      <x:c r="V1514" s="10" t="n">
        <x:f>0</x:f>
        <x:v>0</x:v>
      </x:c>
      <x:c r="W1514" s="10" t="n">
        <x:f>H1514*('Assumptions'!$P$128+'Assumptions'!$Y$128)</x:f>
        <x:v>42.240208572737366</x:v>
      </x:c>
      <x:c r="X1514" s="10" t="n">
        <x:f>N1514/12*'Assumptions'!$AF$128</x:f>
        <x:v>0</x:v>
      </x:c>
      <x:c r="Y1514" s="10" t="n">
        <x:f>P1514/12</x:f>
        <x:v>0</x:v>
      </x:c>
      <x:c r="Z1514" s="10" t="n">
        <x:f>0</x:f>
        <x:v>0</x:v>
      </x:c>
      <x:c r="AA1514" s="10" t="n">
        <x:f>Z1514*'Assumptions'!$AC$128*'Assumptions'!$D$11*(1+'Assumptions'!$D$13)^(12-1)</x:f>
        <x:v>0</x:v>
      </x:c>
      <x:c r="AB1514" s="10" t="n">
        <x:f>F1514/1</x:f>
        <x:v>45.9047960522102</x:v>
      </x:c>
      <x:c r="AC1514" s="10" t="n">
        <x:f>AB1514/'Assumptions'!$AM$128</x:f>
        <x:v>918.095921044204</x:v>
      </x:c>
      <x:c r="AD1514" s="10" t="n">
        <x:f>IF(AB1514=0,0,T1514/AB1514)</x:f>
        <x:v>5.36399498217787</x:v>
      </x:c>
      <x:c r="AE1514" s="10" t="n">
        <x:f>AA1514*'Assumptions'!$D$21</x:f>
        <x:v>0</x:v>
      </x:c>
    </x:row>
    <x:row r="1515" ht="16" customHeight="1">
      <x:c r="A1515" s="1"/>
      <x:c r="B1515" s="1"/>
      <x:c r="C1515" s="1" t="str">
        <x:v>DOT-100</x:v>
      </x:c>
      <x:c r="D1515" s="10" t="str">
        <x:v>Semajes courses</x:v>
      </x:c>
      <x:c r="E1515" s="10" t="n">
        <x:v>12</x:v>
      </x:c>
      <x:c r="F1515" s="21" t="n">
        <x:f>F1387*(1+'Assumptions'!$M$129)</x:f>
        <x:v>387.1902739211562</x:v>
      </x:c>
      <x:c r="G1515" s="21" t="n">
        <x:f>H1387*'Assumptions'!$K$129</x:f>
        <x:v>124.09861368813583</x:v>
      </x:c>
      <x:c r="H1515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1515+G1515,NA())</x:f>
        <x:v>511.28888760929203</x:v>
      </x:c>
      <x:c r="I1515" s="22" t="n">
        <x:f>'Assumptions'!$H$129*IF('Assumptions'!$O$129=1,1,'Assumptions'!$D$10)*(1+'Assumptions'!$N$129)^(12-1)</x:f>
        <x:v>48.49159802739145</x:v>
      </x:c>
      <x:c r="J1515" s="10" t="n">
        <x:f>H1515*I1515</x:f>
        <x:v>24793.215213821913</x:v>
      </x:c>
      <x:c r="K1515" s="10" t="n">
        <x:f>J1515*'Assumptions'!$T$129</x:f>
        <x:v>24793.215213821913</x:v>
      </x:c>
      <x:c r="L1515" s="10" t="n">
        <x:f>K1515*'Assumptions'!$U$129</x:f>
        <x:v>743.7964564146574</x:v>
      </x:c>
      <x:c r="M1515" s="10" t="n">
        <x:f>K1515*'Assumptions'!$V$129</x:f>
        <x:v>0</x:v>
      </x:c>
      <x:c r="N1515" s="10" t="n">
        <x:f>K1515-L1515-M1515</x:f>
        <x:v>24049.418757407257</x:v>
      </x:c>
      <x:c r="O1515" s="10" t="n">
        <x:f>H1515*'Assumptions'!$P$129*'Assumptions'!$Q$129*'Assumptions'!$D$11*(1+'Assumptions'!$D$13)^(12-1)</x:f>
        <x:v>3715.6528287574847</x:v>
      </x:c>
      <x:c r="P1515" s="10" t="n">
        <x:f>H1515*'Assumptions'!$R$129*'Assumptions'!$D$11*(1+'Assumptions'!$D$13)^(12-1)</x:f>
        <x:v>0</x:v>
      </x:c>
      <x:c r="Q1515" s="10" t="n">
        <x:f>J1515*'Assumptions'!$S$129</x:f>
        <x:v>0</x:v>
      </x:c>
      <x:c r="R1515" s="10" t="n">
        <x:f>H1515*'Assumptions'!$Y$129*'Assumptions'!$Z$129*'Assumptions'!$D$11*(1+'Assumptions'!$D$13)^(12-1)</x:f>
        <x:v>2123.23018786142</x:v>
      </x:c>
      <x:c r="S1515" s="10" t="n">
        <x:f>IF(I1515=0,0,J1515*'Assumptions'!$W$129+H1515*'Assumptions'!$X$129)</x:f>
        <x:v>872.3899074836231</x:v>
      </x:c>
      <x:c r="T1515" s="10" t="n">
        <x:f>N1515*'Assumptions'!$AA$129</x:f>
        <x:v>1202.4709378703628</x:v>
      </x:c>
      <x:c r="U1515" s="10" t="n">
        <x:f>'Assumptions'!$AE$129*'Assumptions'!$D$11*(1+'Assumptions'!$D$13)^(12-1)</x:f>
        <x:v>0</x:v>
      </x:c>
      <x:c r="V1515" s="10" t="n">
        <x:f>0</x:f>
        <x:v>0</x:v>
      </x:c>
      <x:c r="W1515" s="10" t="n">
        <x:f>H1515*('Assumptions'!$P$129+'Assumptions'!$Y$129)</x:f>
        <x:v>127.82222190232301</x:v>
      </x:c>
      <x:c r="X1515" s="10" t="n">
        <x:f>N1515/12*'Assumptions'!$AF$129</x:f>
        <x:v>0</x:v>
      </x:c>
      <x:c r="Y1515" s="10" t="n">
        <x:f>P1515/12</x:f>
        <x:v>0</x:v>
      </x:c>
      <x:c r="Z1515" s="10" t="n">
        <x:f>0</x:f>
        <x:v>0</x:v>
      </x:c>
      <x:c r="AA1515" s="10" t="n">
        <x:f>Z1515*'Assumptions'!$AC$129*'Assumptions'!$D$11*(1+'Assumptions'!$D$13)^(12-1)</x:f>
        <x:v>0</x:v>
      </x:c>
      <x:c r="AB1515" s="10" t="n">
        <x:f>F1515/1</x:f>
        <x:v>387.1902739211562</x:v>
      </x:c>
      <x:c r="AC1515" s="10" t="n">
        <x:f>AB1515/'Assumptions'!$AM$129</x:f>
        <x:v>7743.8054784231235</x:v>
      </x:c>
      <x:c r="AD1515" s="10" t="n">
        <x:f>IF(AB1515=0,0,T1515/AB1515)</x:f>
        <x:v>3.1056331185509656</x:v>
      </x:c>
      <x:c r="AE1515" s="10" t="n">
        <x:f>AA1515*'Assumptions'!$D$21</x:f>
        <x:v>0</x:v>
      </x:c>
    </x:row>
    <x:row r="1516" ht="16" customHeight="1">
      <x:c r="A1516" s="1"/>
      <x:c r="B1516" s="1"/>
      <x:c r="C1516" s="1" t="str">
        <x:v>DOT-101</x:v>
      </x:c>
      <x:c r="D1516" s="10" t="str">
        <x:v>Sleepy Face</x:v>
      </x:c>
      <x:c r="E1516" s="10" t="n">
        <x:v>12</x:v>
      </x:c>
      <x:c r="F1516" s="21" t="n">
        <x:f>F1388*(1+'Assumptions'!$M$130)</x:f>
        <x:v>325.11869671748354</x:v>
      </x:c>
      <x:c r="G1516" s="21" t="n">
        <x:f>H1388*'Assumptions'!$K$130</x:f>
        <x:v>133.607621699921</x:v>
      </x:c>
      <x:c r="H1516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1516+G1516,NA())</x:f>
        <x:v>458.7263184174045</x:v>
      </x:c>
      <x:c r="I1516" s="22" t="n">
        <x:f>'Assumptions'!$H$130*IF('Assumptions'!$O$130=1,1,'Assumptions'!$D$10)*(1+'Assumptions'!$N$130)^(12-1)</x:f>
        <x:v>118.12055929749198</x:v>
      </x:c>
      <x:c r="J1516" s="10" t="n">
        <x:f>H1516*I1516</x:f>
        <x:v>54185.009295943215</x:v>
      </x:c>
      <x:c r="K1516" s="10" t="n">
        <x:f>J1516*'Assumptions'!$T$130</x:f>
        <x:v>54185.009295943215</x:v>
      </x:c>
      <x:c r="L1516" s="10" t="n">
        <x:f>K1516*'Assumptions'!$U$130</x:f>
        <x:v>4334.800743675457</x:v>
      </x:c>
      <x:c r="M1516" s="10" t="n">
        <x:f>K1516*'Assumptions'!$V$130</x:f>
        <x:v>1083.7001859188642</x:v>
      </x:c>
      <x:c r="N1516" s="10" t="n">
        <x:f>K1516-L1516-M1516</x:f>
        <x:v>48766.50836634889</x:v>
      </x:c>
      <x:c r="O1516" s="10" t="n">
        <x:f>H1516*'Assumptions'!$P$130*'Assumptions'!$Q$130*'Assumptions'!$D$11*(1+'Assumptions'!$D$13)^(12-1)</x:f>
        <x:v>3333.668663567017</x:v>
      </x:c>
      <x:c r="P1516" s="10" t="n">
        <x:f>H1516*'Assumptions'!$R$130*'Assumptions'!$D$11*(1+'Assumptions'!$D$13)^(12-1)</x:f>
        <x:v>19049.535220382957</x:v>
      </x:c>
      <x:c r="Q1516" s="10" t="n">
        <x:f>J1516*'Assumptions'!$S$130</x:f>
        <x:v>0</x:v>
      </x:c>
      <x:c r="R1516" s="10" t="n">
        <x:f>H1516*'Assumptions'!$Y$130*'Assumptions'!$Z$130*'Assumptions'!$D$11*(1+'Assumptions'!$D$13)^(12-1)</x:f>
        <x:v>2857.4302830574434</x:v>
      </x:c>
      <x:c r="S1516" s="10" t="n">
        <x:f>IF(I1516=0,0,J1516*'Assumptions'!$W$130+H1516*'Assumptions'!$X$130)</x:f>
        <x:v>1708.9831651075747</x:v>
      </x:c>
      <x:c r="T1516" s="10" t="n">
        <x:f>N1516*'Assumptions'!$AA$130</x:f>
        <x:v>3901.3206693079114</x:v>
      </x:c>
      <x:c r="U1516" s="10" t="n">
        <x:f>'Assumptions'!$AE$130*'Assumptions'!$D$11*(1+'Assumptions'!$D$13)^(12-1)</x:f>
        <x:v>0</x:v>
      </x:c>
      <x:c r="V1516" s="10" t="n">
        <x:f>0</x:f>
        <x:v>0</x:v>
      </x:c>
      <x:c r="W1516" s="10" t="n">
        <x:f>H1516*('Assumptions'!$P$130+'Assumptions'!$Y$130)</x:f>
        <x:v>137.61789552522134</x:v>
      </x:c>
      <x:c r="X1516" s="10" t="n">
        <x:f>N1516/12*'Assumptions'!$AF$130</x:f>
        <x:v>0</x:v>
      </x:c>
      <x:c r="Y1516" s="10" t="n">
        <x:f>P1516/12</x:f>
        <x:v>1587.4612683652465</x:v>
      </x:c>
      <x:c r="Z1516" s="10" t="n">
        <x:f>0</x:f>
        <x:v>0</x:v>
      </x:c>
      <x:c r="AA1516" s="10" t="n">
        <x:f>Z1516*'Assumptions'!$AC$130*'Assumptions'!$D$11*(1+'Assumptions'!$D$13)^(12-1)</x:f>
        <x:v>0</x:v>
      </x:c>
      <x:c r="AB1516" s="10" t="n">
        <x:f>F1516/1</x:f>
        <x:v>325.11869671748354</x:v>
      </x:c>
      <x:c r="AC1516" s="10" t="n">
        <x:f>AB1516/'Assumptions'!$AM$130</x:f>
        <x:v>10837.289890582786</x:v>
      </x:c>
      <x:c r="AD1516" s="10" t="n">
        <x:f>IF(AB1516=0,0,T1516/AB1516)</x:f>
        <x:v>11.999681066321507</x:v>
      </x:c>
      <x:c r="AE1516" s="10" t="n">
        <x:f>AA1516*'Assumptions'!$D$21</x:f>
        <x:v>0</x:v>
      </x:c>
    </x:row>
    <x:row r="1517" ht="16" customHeight="1">
      <x:c r="A1517" s="1"/>
      <x:c r="B1517" s="1"/>
      <x:c r="C1517" s="1" t="str">
        <x:v>DOT-102</x:v>
      </x:c>
      <x:c r="D1517" s="10" t="str">
        <x:v>Sleepy Face</x:v>
      </x:c>
      <x:c r="E1517" s="10" t="n">
        <x:v>12</x:v>
      </x:c>
      <x:c r="F1517" s="21" t="n">
        <x:f>F1389*(1+'Assumptions'!$M$131)</x:f>
        <x:v>487.67804507622515</x:v>
      </x:c>
      <x:c r="G1517" s="21" t="n">
        <x:f>H1389*'Assumptions'!$K$131</x:f>
        <x:v>200.41143254988145</x:v>
      </x:c>
      <x:c r="H1517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1517+G1517,NA())</x:f>
        <x:v>688.0894776261066</x:v>
      </x:c>
      <x:c r="I1517" s="22" t="n">
        <x:f>'Assumptions'!$H$131*IF('Assumptions'!$O$131=1,1,'Assumptions'!$D$10)*(1+'Assumptions'!$N$131)^(12-1)</x:f>
        <x:v>205.15676088511765</x:v>
      </x:c>
      <x:c r="J1517" s="10" t="n">
        <x:f>H1517*I1517</x:f>
        <x:v>141166.20842890468</x:v>
      </x:c>
      <x:c r="K1517" s="10" t="n">
        <x:f>J1517*'Assumptions'!$T$131</x:f>
        <x:v>141166.20842890468</x:v>
      </x:c>
      <x:c r="L1517" s="10" t="n">
        <x:f>K1517*'Assumptions'!$U$131</x:f>
        <x:v>11293.296674312374</x:v>
      </x:c>
      <x:c r="M1517" s="10" t="n">
        <x:f>K1517*'Assumptions'!$V$131</x:f>
        <x:v>2823.3241685780936</x:v>
      </x:c>
      <x:c r="N1517" s="10" t="n">
        <x:f>K1517-L1517-M1517</x:f>
        <x:v>127049.58758601421</x:v>
      </x:c>
      <x:c r="O1517" s="10" t="n">
        <x:f>H1517*'Assumptions'!$P$131*'Assumptions'!$Q$131*'Assumptions'!$D$11*(1+'Assumptions'!$D$13)^(12-1)</x:f>
        <x:v>5000.5029953505245</x:v>
      </x:c>
      <x:c r="P1517" s="10" t="n">
        <x:f>H1517*'Assumptions'!$R$131*'Assumptions'!$D$11*(1+'Assumptions'!$D$13)^(12-1)</x:f>
        <x:v>57148.60566114885</x:v>
      </x:c>
      <x:c r="Q1517" s="10" t="n">
        <x:f>J1517*'Assumptions'!$S$131</x:f>
        <x:v>0</x:v>
      </x:c>
      <x:c r="R1517" s="10" t="n">
        <x:f>H1517*'Assumptions'!$Y$131*'Assumptions'!$Z$131*'Assumptions'!$D$11*(1+'Assumptions'!$D$13)^(12-1)</x:f>
        <x:v>4286.145424586164</x:v>
      </x:c>
      <x:c r="S1517" s="10" t="n">
        <x:f>IF(I1517=0,0,J1517*'Assumptions'!$W$131+H1517*'Assumptions'!$X$131)</x:f>
        <x:v>4300.246887726068</x:v>
      </x:c>
      <x:c r="T1517" s="10" t="n">
        <x:f>N1517*'Assumptions'!$AA$131</x:f>
        <x:v>10163.967006881137</x:v>
      </x:c>
      <x:c r="U1517" s="10" t="n">
        <x:f>'Assumptions'!$AE$131*'Assumptions'!$D$11*(1+'Assumptions'!$D$13)^(12-1)</x:f>
        <x:v>0</x:v>
      </x:c>
      <x:c r="V1517" s="10" t="n">
        <x:f>0</x:f>
        <x:v>0</x:v>
      </x:c>
      <x:c r="W1517" s="10" t="n">
        <x:f>H1517*('Assumptions'!$P$131+'Assumptions'!$Y$131)</x:f>
        <x:v>206.42684328783199</x:v>
      </x:c>
      <x:c r="X1517" s="10" t="n">
        <x:f>N1517/12*'Assumptions'!$AF$131</x:f>
        <x:v>0</x:v>
      </x:c>
      <x:c r="Y1517" s="10" t="n">
        <x:f>P1517/12</x:f>
        <x:v>4762.383805095737</x:v>
      </x:c>
      <x:c r="Z1517" s="10" t="n">
        <x:f>0</x:f>
        <x:v>0</x:v>
      </x:c>
      <x:c r="AA1517" s="10" t="n">
        <x:f>Z1517*'Assumptions'!$AC$131*'Assumptions'!$D$11*(1+'Assumptions'!$D$13)^(12-1)</x:f>
        <x:v>0</x:v>
      </x:c>
      <x:c r="AB1517" s="10" t="n">
        <x:f>F1517/1</x:f>
        <x:v>487.67804507622515</x:v>
      </x:c>
      <x:c r="AC1517" s="10" t="n">
        <x:f>AB1517/'Assumptions'!$AM$131</x:f>
        <x:v>16255.934835874172</x:v>
      </x:c>
      <x:c r="AD1517" s="10" t="n">
        <x:f>IF(AB1517=0,0,T1517/AB1517)</x:f>
        <x:v>20.841551325716306</x:v>
      </x:c>
      <x:c r="AE1517" s="10" t="n">
        <x:f>AA1517*'Assumptions'!$D$21</x:f>
        <x:v>0</x:v>
      </x:c>
    </x:row>
    <x:row r="1518" ht="16" customHeight="1">
      <x:c r="A1518" s="1"/>
      <x:c r="B1518" s="1"/>
      <x:c r="C1518" s="1" t="str">
        <x:v>DOT-103</x:v>
      </x:c>
      <x:c r="D1518" s="10" t="str">
        <x:v>Sleepy Face</x:v>
      </x:c>
      <x:c r="E1518" s="10" t="n">
        <x:v>12</x:v>
      </x:c>
      <x:c r="F1518" s="21" t="n">
        <x:f>F1390*(1+'Assumptions'!$M$132)</x:f>
        <x:v>108.37289890582781</x:v>
      </x:c>
      <x:c r="G1518" s="21" t="n">
        <x:f>H1390*'Assumptions'!$K$132</x:f>
        <x:v>44.53587389997366</x:v>
      </x:c>
      <x:c r="H1518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1518+G1518,NA())</x:f>
        <x:v>152.90877280580148</x:v>
      </x:c>
      <x:c r="I1518" s="22" t="n">
        <x:f>'Assumptions'!$H$132*IF('Assumptions'!$O$132=1,1,'Assumptions'!$D$10)*(1+'Assumptions'!$N$132)^(12-1)</x:f>
        <x:v>279.7592193887968</x:v>
      </x:c>
      <x:c r="J1518" s="10" t="n">
        <x:f>H1518*I1518</x:f>
        <x:v>42777.6389178499</x:v>
      </x:c>
      <x:c r="K1518" s="10" t="n">
        <x:f>J1518*'Assumptions'!$T$132</x:f>
        <x:v>42777.6389178499</x:v>
      </x:c>
      <x:c r="L1518" s="10" t="n">
        <x:f>K1518*'Assumptions'!$U$132</x:f>
        <x:v>3422.211113427992</x:v>
      </x:c>
      <x:c r="M1518" s="10" t="n">
        <x:f>K1518*'Assumptions'!$V$132</x:f>
        <x:v>855.552778356998</x:v>
      </x:c>
      <x:c r="N1518" s="10" t="n">
        <x:f>K1518-L1518-M1518</x:f>
        <x:v>38499.87502606491</x:v>
      </x:c>
      <x:c r="O1518" s="10" t="n">
        <x:f>H1518*'Assumptions'!$P$132*'Assumptions'!$Q$132*'Assumptions'!$D$11*(1+'Assumptions'!$D$13)^(12-1)</x:f>
        <x:v>1111.222887855672</x:v>
      </x:c>
      <x:c r="P1518" s="10" t="n">
        <x:f>H1518*'Assumptions'!$R$132*'Assumptions'!$D$11*(1+'Assumptions'!$D$13)^(12-1)</x:f>
        <x:v>19049.53522038295</x:v>
      </x:c>
      <x:c r="Q1518" s="10" t="n">
        <x:f>J1518*'Assumptions'!$S$132</x:f>
        <x:v>0</x:v>
      </x:c>
      <x:c r="R1518" s="10" t="n">
        <x:f>H1518*'Assumptions'!$Y$132*'Assumptions'!$Z$132*'Assumptions'!$D$11*(1+'Assumptions'!$D$13)^(12-1)</x:f>
        <x:v>952.4767610191476</x:v>
      </x:c>
      <x:c r="S1518" s="10" t="n">
        <x:f>IF(I1518=0,0,J1518*'Assumptions'!$W$132+H1518*'Assumptions'!$X$132)</x:f>
        <x:v>1286.4241604593876</x:v>
      </x:c>
      <x:c r="T1518" s="10" t="n">
        <x:f>N1518*'Assumptions'!$AA$132</x:f>
        <x:v>3079.990002085193</x:v>
      </x:c>
      <x:c r="U1518" s="10" t="n">
        <x:f>'Assumptions'!$AE$132*'Assumptions'!$D$11*(1+'Assumptions'!$D$13)^(12-1)</x:f>
        <x:v>0</x:v>
      </x:c>
      <x:c r="V1518" s="10" t="n">
        <x:f>0</x:f>
        <x:v>0</x:v>
      </x:c>
      <x:c r="W1518" s="10" t="n">
        <x:f>H1518*('Assumptions'!$P$132+'Assumptions'!$Y$132)</x:f>
        <x:v>45.87263184174044</x:v>
      </x:c>
      <x:c r="X1518" s="10" t="n">
        <x:f>N1518/12*'Assumptions'!$AF$132</x:f>
        <x:v>0</x:v>
      </x:c>
      <x:c r="Y1518" s="10" t="n">
        <x:f>P1518/12</x:f>
        <x:v>1587.4612683652458</x:v>
      </x:c>
      <x:c r="Z1518" s="10" t="n">
        <x:f>0</x:f>
        <x:v>0</x:v>
      </x:c>
      <x:c r="AA1518" s="10" t="n">
        <x:f>Z1518*'Assumptions'!$AC$132*'Assumptions'!$D$11*(1+'Assumptions'!$D$13)^(12-1)</x:f>
        <x:v>0</x:v>
      </x:c>
      <x:c r="AB1518" s="10" t="n">
        <x:f>F1518/1</x:f>
        <x:v>108.37289890582781</x:v>
      </x:c>
      <x:c r="AC1518" s="10" t="n">
        <x:f>AB1518/'Assumptions'!$AM$132</x:f>
        <x:v>3612.429963527594</x:v>
      </x:c>
      <x:c r="AD1518" s="10" t="n">
        <x:f>IF(AB1518=0,0,T1518/AB1518)</x:f>
        <x:v>28.420297262340416</x:v>
      </x:c>
      <x:c r="AE1518" s="10" t="n">
        <x:f>AA1518*'Assumptions'!$D$21</x:f>
        <x:v>0</x:v>
      </x:c>
    </x:row>
    <x:row r="1519" ht="16" customHeight="1">
      <x:c r="A1519" s="1"/>
      <x:c r="B1519" s="1"/>
      <x:c r="C1519" s="1" t="str">
        <x:v>DOT-104</x:v>
      </x:c>
      <x:c r="D1519" s="10" t="str">
        <x:v>Sleepy Face</x:v>
      </x:c>
      <x:c r="E1519" s="10" t="n">
        <x:v>12</x:v>
      </x:c>
      <x:c r="F1519" s="21" t="n">
        <x:f>F1391*(1+'Assumptions'!$M$133)</x:f>
        <x:v>325.11869671748354</x:v>
      </x:c>
      <x:c r="G1519" s="21" t="n">
        <x:f>H1391*'Assumptions'!$K$133</x:f>
        <x:v>133.607621699921</x:v>
      </x:c>
      <x:c r="H1519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1519+G1519,NA())</x:f>
        <x:v>458.7263184174045</x:v>
      </x:c>
      <x:c r="I1519" s="22" t="n">
        <x:f>'Assumptions'!$H$133*IF('Assumptions'!$O$133=1,1,'Assumptions'!$D$10)*(1+'Assumptions'!$N$133)^(12-1)</x:f>
        <x:v>118.12055929749198</x:v>
      </x:c>
      <x:c r="J1519" s="10" t="n">
        <x:f>H1519*I1519</x:f>
        <x:v>54185.009295943215</x:v>
      </x:c>
      <x:c r="K1519" s="10" t="n">
        <x:f>J1519*'Assumptions'!$T$133</x:f>
        <x:v>54185.009295943215</x:v>
      </x:c>
      <x:c r="L1519" s="10" t="n">
        <x:f>K1519*'Assumptions'!$U$133</x:f>
        <x:v>4334.800743675457</x:v>
      </x:c>
      <x:c r="M1519" s="10" t="n">
        <x:f>K1519*'Assumptions'!$V$133</x:f>
        <x:v>1083.7001859188642</x:v>
      </x:c>
      <x:c r="N1519" s="10" t="n">
        <x:f>K1519-L1519-M1519</x:f>
        <x:v>48766.50836634889</x:v>
      </x:c>
      <x:c r="O1519" s="10" t="n">
        <x:f>H1519*'Assumptions'!$P$133*'Assumptions'!$Q$133*'Assumptions'!$D$11*(1+'Assumptions'!$D$13)^(12-1)</x:f>
        <x:v>3333.668663567017</x:v>
      </x:c>
      <x:c r="P1519" s="10" t="n">
        <x:f>H1519*'Assumptions'!$R$133*'Assumptions'!$D$11*(1+'Assumptions'!$D$13)^(12-1)</x:f>
        <x:v>22224.457757113447</x:v>
      </x:c>
      <x:c r="Q1519" s="10" t="n">
        <x:f>J1519*'Assumptions'!$S$133</x:f>
        <x:v>0</x:v>
      </x:c>
      <x:c r="R1519" s="10" t="n">
        <x:f>H1519*'Assumptions'!$Y$133*'Assumptions'!$Z$133*'Assumptions'!$D$11*(1+'Assumptions'!$D$13)^(12-1)</x:f>
        <x:v>2857.4302830574434</x:v>
      </x:c>
      <x:c r="S1519" s="10" t="n">
        <x:f>IF(I1519=0,0,J1519*'Assumptions'!$W$133+H1519*'Assumptions'!$X$133)</x:f>
        <x:v>1708.9831651075747</x:v>
      </x:c>
      <x:c r="T1519" s="10" t="n">
        <x:f>N1519*'Assumptions'!$AA$133</x:f>
        <x:v>3901.3206693079114</x:v>
      </x:c>
      <x:c r="U1519" s="10" t="n">
        <x:f>'Assumptions'!$AE$133*'Assumptions'!$D$11*(1+'Assumptions'!$D$13)^(12-1)</x:f>
        <x:v>0</x:v>
      </x:c>
      <x:c r="V1519" s="10" t="n">
        <x:f>0</x:f>
        <x:v>0</x:v>
      </x:c>
      <x:c r="W1519" s="10" t="n">
        <x:f>H1519*('Assumptions'!$P$133+'Assumptions'!$Y$133)</x:f>
        <x:v>137.61789552522134</x:v>
      </x:c>
      <x:c r="X1519" s="10" t="n">
        <x:f>N1519/12*'Assumptions'!$AF$133</x:f>
        <x:v>0</x:v>
      </x:c>
      <x:c r="Y1519" s="10" t="n">
        <x:f>P1519/12</x:f>
        <x:v>1852.0381464261206</x:v>
      </x:c>
      <x:c r="Z1519" s="10" t="n">
        <x:f>0</x:f>
        <x:v>0</x:v>
      </x:c>
      <x:c r="AA1519" s="10" t="n">
        <x:f>Z1519*'Assumptions'!$AC$133*'Assumptions'!$D$11*(1+'Assumptions'!$D$13)^(12-1)</x:f>
        <x:v>0</x:v>
      </x:c>
      <x:c r="AB1519" s="10" t="n">
        <x:f>F1519/1</x:f>
        <x:v>325.11869671748354</x:v>
      </x:c>
      <x:c r="AC1519" s="10" t="n">
        <x:f>AB1519/'Assumptions'!$AM$133</x:f>
        <x:v>10837.289890582786</x:v>
      </x:c>
      <x:c r="AD1519" s="10" t="n">
        <x:f>IF(AB1519=0,0,T1519/AB1519)</x:f>
        <x:v>11.999681066321507</x:v>
      </x:c>
      <x:c r="AE1519" s="10" t="n">
        <x:f>AA1519*'Assumptions'!$D$21</x:f>
        <x:v>0</x:v>
      </x:c>
    </x:row>
    <x:row r="1520" ht="16" customHeight="1">
      <x:c r="A1520" s="1"/>
      <x:c r="B1520" s="1"/>
      <x:c r="C1520" s="1" t="str">
        <x:v>DOT-105</x:v>
      </x:c>
      <x:c r="D1520" s="10" t="str">
        <x:v>Sleepy Face</x:v>
      </x:c>
      <x:c r="E1520" s="10" t="n">
        <x:v>12</x:v>
      </x:c>
      <x:c r="F1520" s="21" t="n">
        <x:f>F1392*(1+'Assumptions'!$M$134)</x:f>
        <x:v>162.55934835874177</x:v>
      </x:c>
      <x:c r="G1520" s="21" t="n">
        <x:f>H1392*'Assumptions'!$K$134</x:f>
        <x:v>66.8038108499605</x:v>
      </x:c>
      <x:c r="H1520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1520+G1520,NA())</x:f>
        <x:v>229.36315920870226</x:v>
      </x:c>
      <x:c r="I1520" s="22" t="n">
        <x:f>'Assumptions'!$H$134*IF('Assumptions'!$O$134=1,1,'Assumptions'!$D$10)*(1+'Assumptions'!$N$134)^(12-1)</x:f>
        <x:v>217.59050396906417</x:v>
      </x:c>
      <x:c r="J1520" s="10" t="n">
        <x:f>H1520*I1520</x:f>
        <x:v>49907.245404158224</x:v>
      </x:c>
      <x:c r="K1520" s="10" t="n">
        <x:f>J1520*'Assumptions'!$T$134</x:f>
        <x:v>49907.245404158224</x:v>
      </x:c>
      <x:c r="L1520" s="10" t="n">
        <x:f>K1520*'Assumptions'!$U$134</x:f>
        <x:v>3992.579632332658</x:v>
      </x:c>
      <x:c r="M1520" s="10" t="n">
        <x:f>K1520*'Assumptions'!$V$134</x:f>
        <x:v>998.1449080831645</x:v>
      </x:c>
      <x:c r="N1520" s="10" t="n">
        <x:f>K1520-L1520-M1520</x:f>
        <x:v>44916.5208637424</x:v>
      </x:c>
      <x:c r="O1520" s="10" t="n">
        <x:f>H1520*'Assumptions'!$P$134*'Assumptions'!$Q$134*'Assumptions'!$D$11*(1+'Assumptions'!$D$13)^(12-1)</x:f>
        <x:v>1666.8343317835086</x:v>
      </x:c>
      <x:c r="P1520" s="10" t="n">
        <x:f>H1520*'Assumptions'!$R$134*'Assumptions'!$D$11*(1+'Assumptions'!$D$13)^(12-1)</x:f>
        <x:v>20636.996488748202</x:v>
      </x:c>
      <x:c r="Q1520" s="10" t="n">
        <x:f>J1520*'Assumptions'!$S$134</x:f>
        <x:v>0</x:v>
      </x:c>
      <x:c r="R1520" s="10" t="n">
        <x:f>H1520*'Assumptions'!$Y$134*'Assumptions'!$Z$134*'Assumptions'!$D$11*(1+'Assumptions'!$D$13)^(12-1)</x:f>
        <x:v>1428.7151415287217</x:v>
      </x:c>
      <x:c r="S1520" s="10" t="n">
        <x:f>IF(I1520=0,0,J1520*'Assumptions'!$W$134+H1520*'Assumptions'!$X$134)</x:f>
        <x:v>1516.1190644831993</x:v>
      </x:c>
      <x:c r="T1520" s="10" t="n">
        <x:f>N1520*'Assumptions'!$AA$134</x:f>
        <x:v>3593.3216690993922</x:v>
      </x:c>
      <x:c r="U1520" s="10" t="n">
        <x:f>'Assumptions'!$AE$134*'Assumptions'!$D$11*(1+'Assumptions'!$D$13)^(12-1)</x:f>
        <x:v>0</x:v>
      </x:c>
      <x:c r="V1520" s="10" t="n">
        <x:f>0</x:f>
        <x:v>0</x:v>
      </x:c>
      <x:c r="W1520" s="10" t="n">
        <x:f>H1520*('Assumptions'!$P$134+'Assumptions'!$Y$134)</x:f>
        <x:v>68.80894776261067</x:v>
      </x:c>
      <x:c r="X1520" s="10" t="n">
        <x:f>N1520/12*'Assumptions'!$AF$134</x:f>
        <x:v>0</x:v>
      </x:c>
      <x:c r="Y1520" s="10" t="n">
        <x:f>P1520/12</x:f>
        <x:v>1719.7497073956836</x:v>
      </x:c>
      <x:c r="Z1520" s="10" t="n">
        <x:f>0</x:f>
        <x:v>0</x:v>
      </x:c>
      <x:c r="AA1520" s="10" t="n">
        <x:f>Z1520*'Assumptions'!$AC$134*'Assumptions'!$D$11*(1+'Assumptions'!$D$13)^(12-1)</x:f>
        <x:v>0</x:v>
      </x:c>
      <x:c r="AB1520" s="10" t="n">
        <x:f>F1520/1</x:f>
        <x:v>162.55934835874177</x:v>
      </x:c>
      <x:c r="AC1520" s="10" t="n">
        <x:f>AB1520/'Assumptions'!$AM$134</x:f>
        <x:v>5418.644945291393</x:v>
      </x:c>
      <x:c r="AD1520" s="10" t="n">
        <x:f>IF(AB1520=0,0,T1520/AB1520)</x:f>
        <x:v>22.104675648486985</x:v>
      </x:c>
      <x:c r="AE1520" s="10" t="n">
        <x:f>AA1520*'Assumptions'!$D$21</x:f>
        <x:v>0</x:v>
      </x:c>
    </x:row>
    <x:row r="1521" ht="16" customHeight="1">
      <x:c r="A1521" s="1"/>
      <x:c r="B1521" s="1"/>
      <x:c r="C1521" s="1" t="str">
        <x:v>DOT-106</x:v>
      </x:c>
      <x:c r="D1521" s="10" t="str">
        <x:v>QzoticMusic</x:v>
      </x:c>
      <x:c r="E1521" s="10" t="n">
        <x:v>12</x:v>
      </x:c>
      <x:c r="F1521" s="21" t="n">
        <x:f>F1393*(1+'Assumptions'!$M$135)</x:f>
        <x:v>967.9756848028904</x:v>
      </x:c>
      <x:c r="G1521" s="21" t="n">
        <x:f>H1393*'Assumptions'!$K$135</x:f>
        <x:v>310.2464984575527</x:v>
      </x:c>
      <x:c r="H1521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1521+G1521,NA())</x:f>
        <x:v>1278.2221832604432</x:v>
      </x:c>
      <x:c r="I1521" s="22" t="n">
        <x:f>'Assumptions'!$H$135*IF('Assumptions'!$O$135=1,1,'Assumptions'!$D$10)*(1+'Assumptions'!$N$135)^(12-1)</x:f>
        <x:v>6.216871541973262</x:v>
      </x:c>
      <x:c r="J1521" s="10" t="n">
        <x:f>H1521*I1521</x:f>
        <x:v>7946.543115430782</x:v>
      </x:c>
      <x:c r="K1521" s="10" t="n">
        <x:f>J1521*'Assumptions'!$T$135</x:f>
        <x:v>7946.543115430782</x:v>
      </x:c>
      <x:c r="L1521" s="10" t="n">
        <x:f>K1521*'Assumptions'!$U$135</x:f>
        <x:v>238.39629346292344</x:v>
      </x:c>
      <x:c r="M1521" s="10" t="n">
        <x:f>K1521*'Assumptions'!$V$135</x:f>
        <x:v>0</x:v>
      </x:c>
      <x:c r="N1521" s="10" t="n">
        <x:f>K1521-L1521-M1521</x:f>
        <x:v>7708.146821967858</x:v>
      </x:c>
      <x:c r="O1521" s="10" t="n">
        <x:f>H1521*'Assumptions'!$P$135*'Assumptions'!$Q$135*'Assumptions'!$D$11*(1+'Assumptions'!$D$13)^(12-1)</x:f>
        <x:v>1238.5509082663189</x:v>
      </x:c>
      <x:c r="P1521" s="10" t="n">
        <x:f>H1521*'Assumptions'!$R$135*'Assumptions'!$D$11*(1+'Assumptions'!$D$13)^(12-1)</x:f>
        <x:v>0</x:v>
      </x:c>
      <x:c r="Q1521" s="10" t="n">
        <x:f>J1521*'Assumptions'!$S$135</x:f>
        <x:v>0</x:v>
      </x:c>
      <x:c r="R1521" s="10" t="n">
        <x:f>H1521*'Assumptions'!$Y$135*'Assumptions'!$Z$135*'Assumptions'!$D$11*(1+'Assumptions'!$D$13)^(12-1)</x:f>
        <x:v>5308.075321141366</x:v>
      </x:c>
      <x:c r="S1521" s="10" t="n">
        <x:f>IF(I1521=0,0,J1521*'Assumptions'!$W$135+H1521*'Assumptions'!$X$135)</x:f>
        <x:v>613.9164053256256</x:v>
      </x:c>
      <x:c r="T1521" s="10" t="n">
        <x:f>N1521*'Assumptions'!$AA$135</x:f>
        <x:v>385.4073410983929</x:v>
      </x:c>
      <x:c r="U1521" s="10" t="n">
        <x:f>'Assumptions'!$AE$135*'Assumptions'!$D$11*(1+'Assumptions'!$D$13)^(12-1)</x:f>
        <x:v>0</x:v>
      </x:c>
      <x:c r="V1521" s="10" t="n">
        <x:f>0</x:f>
        <x:v>0</x:v>
      </x:c>
      <x:c r="W1521" s="10" t="n">
        <x:f>H1521*('Assumptions'!$P$135+'Assumptions'!$Y$135)</x:f>
        <x:v>153.3866619912532</x:v>
      </x:c>
      <x:c r="X1521" s="10" t="n">
        <x:f>N1521/12*'Assumptions'!$AF$135</x:f>
        <x:v>0</x:v>
      </x:c>
      <x:c r="Y1521" s="10" t="n">
        <x:f>P1521/12</x:f>
        <x:v>0</x:v>
      </x:c>
      <x:c r="Z1521" s="10" t="n">
        <x:f>0</x:f>
        <x:v>0</x:v>
      </x:c>
      <x:c r="AA1521" s="10" t="n">
        <x:f>Z1521*'Assumptions'!$AC$135*'Assumptions'!$D$11*(1+'Assumptions'!$D$13)^(12-1)</x:f>
        <x:v>0</x:v>
      </x:c>
      <x:c r="AB1521" s="10" t="n">
        <x:f>F1521/12</x:f>
        <x:v>80.66464040024087</x:v>
      </x:c>
      <x:c r="AC1521" s="10" t="n">
        <x:f>AB1521/'Assumptions'!$AM$135</x:f>
        <x:v>1613.2928080048173</x:v>
      </x:c>
      <x:c r="AD1521" s="10" t="n">
        <x:f>IF(AB1521=0,0,T1521/AB1521)</x:f>
        <x:v>4.777896971784456</x:v>
      </x:c>
      <x:c r="AE1521" s="10" t="n">
        <x:f>AA1521*'Assumptions'!$D$21</x:f>
        <x:v>0</x:v>
      </x:c>
    </x:row>
    <x:row r="1522" ht="16" customHeight="1">
      <x:c r="A1522" s="1"/>
      <x:c r="B1522" s="1"/>
      <x:c r="C1522" s="1" t="str">
        <x:v>DOT-107</x:v>
      </x:c>
      <x:c r="D1522" s="10" t="str">
        <x:v>QzoticMusic</x:v>
      </x:c>
      <x:c r="E1522" s="10" t="n">
        <x:v>12</x:v>
      </x:c>
      <x:c r="F1522" s="21" t="n">
        <x:f>F1394*(1+'Assumptions'!$M$136)</x:f>
        <x:v>280.90269891349425</x:v>
      </x:c>
      <x:c r="G1522" s="21" t="n">
        <x:f>H1394*'Assumptions'!$K$136</x:f>
        <x:v>144.57416164854612</x:v>
      </x:c>
      <x:c r="H1522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1522+G1522,NA())</x:f>
        <x:v>425.4768605620404</x:v>
      </x:c>
      <x:c r="I1522" s="22" t="n">
        <x:f>'Assumptions'!$H$136*IF('Assumptions'!$O$136=1,1,'Assumptions'!$D$10)*(1+'Assumptions'!$N$136)^(12-1)</x:f>
        <x:v>31.08435770986631</x:v>
      </x:c>
      <x:c r="J1522" s="10" t="n">
        <x:f>H1522*I1522</x:f>
        <x:v>13225.674930981373</x:v>
      </x:c>
      <x:c r="K1522" s="10" t="n">
        <x:f>J1522*'Assumptions'!$T$136</x:f>
        <x:v>13225.674930981373</x:v>
      </x:c>
      <x:c r="L1522" s="10" t="n">
        <x:f>K1522*'Assumptions'!$U$136</x:f>
        <x:v>396.77024792944115</x:v>
      </x:c>
      <x:c r="M1522" s="10" t="n">
        <x:f>K1522*'Assumptions'!$V$136</x:f>
        <x:v>0</x:v>
      </x:c>
      <x:c r="N1522" s="10" t="n">
        <x:f>K1522-L1522-M1522</x:f>
        <x:v>12828.904683051933</x:v>
      </x:c>
      <x:c r="O1522" s="10" t="n">
        <x:f>H1522*'Assumptions'!$P$136*'Assumptions'!$Q$136*'Assumptions'!$D$11*(1+'Assumptions'!$D$13)^(12-1)</x:f>
        <x:v>3092.0372783972616</x:v>
      </x:c>
      <x:c r="P1522" s="10" t="n">
        <x:f>H1522*'Assumptions'!$R$136*'Assumptions'!$D$11*(1+'Assumptions'!$D$13)^(12-1)</x:f>
        <x:v>5889.594815994785</x:v>
      </x:c>
      <x:c r="Q1522" s="10" t="n">
        <x:f>J1522*'Assumptions'!$S$136</x:f>
        <x:v>0</x:v>
      </x:c>
      <x:c r="R1522" s="10" t="n">
        <x:f>H1522*'Assumptions'!$Y$136*'Assumptions'!$Z$136*'Assumptions'!$D$11*(1+'Assumptions'!$D$13)^(12-1)</x:f>
        <x:v>8834.392223992178</x:v>
      </x:c>
      <x:c r="S1522" s="10" t="n">
        <x:f>IF(I1522=0,0,J1522*'Assumptions'!$W$136+H1522*'Assumptions'!$X$136)</x:f>
        <x:v>511.1876311670719</x:v>
      </x:c>
      <x:c r="T1522" s="10" t="n">
        <x:f>N1522*'Assumptions'!$AA$136</x:f>
        <x:v>1026.3123746441547</x:v>
      </x:c>
      <x:c r="U1522" s="10" t="n">
        <x:f>'Assumptions'!$AE$136*'Assumptions'!$D$11*(1+'Assumptions'!$D$13)^(12-1)</x:f>
        <x:v>0</x:v>
      </x:c>
      <x:c r="V1522" s="10" t="n">
        <x:f>0</x:f>
        <x:v>0</x:v>
      </x:c>
      <x:c r="W1522" s="10" t="n">
        <x:f>H1522*('Assumptions'!$P$136+'Assumptions'!$Y$136)</x:f>
        <x:v>276.5599593653263</x:v>
      </x:c>
      <x:c r="X1522" s="10" t="n">
        <x:f>N1522/12*'Assumptions'!$AF$136</x:f>
        <x:v>1069.0753902543277</x:v>
      </x:c>
      <x:c r="Y1522" s="10" t="n">
        <x:f>P1522/12</x:f>
        <x:v>490.7995679995654</x:v>
      </x:c>
      <x:c r="Z1522" s="10" t="n">
        <x:f>0</x:f>
        <x:v>0</x:v>
      </x:c>
      <x:c r="AA1522" s="10" t="n">
        <x:f>Z1522*'Assumptions'!$AC$136*'Assumptions'!$D$11*(1+'Assumptions'!$D$13)^(12-1)</x:f>
        <x:v>0</x:v>
      </x:c>
      <x:c r="AB1522" s="10" t="n">
        <x:f>F1522/1</x:f>
        <x:v>280.90269891349425</x:v>
      </x:c>
      <x:c r="AC1522" s="10" t="n">
        <x:f>AB1522/'Assumptions'!$AM$136</x:f>
        <x:v>2809.026989134942</x:v>
      </x:c>
      <x:c r="AD1522" s="10" t="n">
        <x:f>IF(AB1522=0,0,T1522/AB1522)</x:f>
        <x:v>3.6536223347580368</x:v>
      </x:c>
      <x:c r="AE1522" s="10" t="n">
        <x:f>AA1522*'Assumptions'!$D$21</x:f>
        <x:v>0</x:v>
      </x:c>
    </x:row>
    <x:row r="1523" ht="16" customHeight="1">
      <x:c r="A1523" s="1"/>
      <x:c r="B1523" s="1"/>
      <x:c r="C1523" s="1" t="str">
        <x:v>DOT-108</x:v>
      </x:c>
      <x:c r="D1523" s="10" t="str">
        <x:v>QzoticMusic</x:v>
      </x:c>
      <x:c r="E1523" s="10" t="n">
        <x:v>12</x:v>
      </x:c>
      <x:c r="F1523" s="21" t="n">
        <x:f>F1395*(1+'Assumptions'!$M$137)</x:f>
        <x:v>14.045134945674716</x:v>
      </x:c>
      <x:c r="G1523" s="21" t="n">
        <x:f>H1395*'Assumptions'!$K$137</x:f>
        <x:v>7.228708082427308</x:v>
      </x:c>
      <x:c r="H1523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1523+G1523,NA())</x:f>
        <x:v>21.273843028102025</x:v>
      </x:c>
      <x:c r="I1523" s="22" t="n">
        <x:f>'Assumptions'!$H$137*IF('Assumptions'!$O$137=1,1,'Assumptions'!$D$10)*(1+'Assumptions'!$N$137)^(12-1)</x:f>
        <x:v>310.8435770986631</x:v>
      </x:c>
      <x:c r="J1523" s="10" t="n">
        <x:f>H1523*I1523</x:f>
        <x:v>6612.837465490688</x:v>
      </x:c>
      <x:c r="K1523" s="10" t="n">
        <x:f>J1523*'Assumptions'!$T$137</x:f>
        <x:v>6612.837465490688</x:v>
      </x:c>
      <x:c r="L1523" s="10" t="n">
        <x:f>K1523*'Assumptions'!$U$137</x:f>
        <x:v>198.38512396472063</x:v>
      </x:c>
      <x:c r="M1523" s="10" t="n">
        <x:f>K1523*'Assumptions'!$V$137</x:f>
        <x:v>0</x:v>
      </x:c>
      <x:c r="N1523" s="10" t="n">
        <x:f>K1523-L1523-M1523</x:f>
        <x:v>6414.452341525967</x:v>
      </x:c>
      <x:c r="O1523" s="10" t="n">
        <x:f>H1523*'Assumptions'!$P$137*'Assumptions'!$Q$137*'Assumptions'!$D$11*(1+'Assumptions'!$D$13)^(12-1)</x:f>
        <x:v>2355.8379263979145</x:v>
      </x:c>
      <x:c r="P1523" s="10" t="n">
        <x:f>H1523*'Assumptions'!$R$137*'Assumptions'!$D$11*(1+'Assumptions'!$D$13)^(12-1)</x:f>
        <x:v>0</x:v>
      </x:c>
      <x:c r="Q1523" s="10" t="n">
        <x:f>J1523*'Assumptions'!$S$137</x:f>
        <x:v>0</x:v>
      </x:c>
      <x:c r="R1523" s="10" t="n">
        <x:f>H1523*'Assumptions'!$Y$137*'Assumptions'!$Z$137*'Assumptions'!$D$11*(1+'Assumptions'!$D$13)^(12-1)</x:f>
        <x:v>441.719611199609</x:v>
      </x:c>
      <x:c r="S1523" s="10" t="n">
        <x:f>IF(I1523=0,0,J1523*'Assumptions'!$W$137+H1523*'Assumptions'!$X$137)</x:f>
        <x:v>198.1544394076606</x:v>
      </x:c>
      <x:c r="T1523" s="10" t="n">
        <x:f>N1523*'Assumptions'!$AA$137</x:f>
        <x:v>513.1561873220774</x:v>
      </x:c>
      <x:c r="U1523" s="10" t="n">
        <x:f>'Assumptions'!$AE$137*'Assumptions'!$D$11*(1+'Assumptions'!$D$13)^(12-1)</x:f>
        <x:v>0</x:v>
      </x:c>
      <x:c r="V1523" s="10" t="n">
        <x:f>0</x:f>
        <x:v>0</x:v>
      </x:c>
      <x:c r="W1523" s="10" t="n">
        <x:f>H1523*('Assumptions'!$P$137+'Assumptions'!$Y$137)</x:f>
        <x:v>53.18460757025506</x:v>
      </x:c>
      <x:c r="X1523" s="10" t="n">
        <x:f>N1523/12*'Assumptions'!$AF$137</x:f>
        <x:v>534.5376951271639</x:v>
      </x:c>
      <x:c r="Y1523" s="10" t="n">
        <x:f>P1523/12</x:f>
        <x:v>0</x:v>
      </x:c>
      <x:c r="Z1523" s="10" t="n">
        <x:f>0</x:f>
        <x:v>0</x:v>
      </x:c>
      <x:c r="AA1523" s="10" t="n">
        <x:f>Z1523*'Assumptions'!$AC$137*'Assumptions'!$D$11*(1+'Assumptions'!$D$13)^(12-1)</x:f>
        <x:v>0</x:v>
      </x:c>
      <x:c r="AB1523" s="10" t="n">
        <x:f>F1523/1</x:f>
        <x:v>14.045134945674716</x:v>
      </x:c>
      <x:c r="AC1523" s="10" t="n">
        <x:f>AB1523/'Assumptions'!$AM$137</x:f>
        <x:v>140.45134945674715</x:v>
      </x:c>
      <x:c r="AD1523" s="10" t="n">
        <x:f>IF(AB1523=0,0,T1523/AB1523)</x:f>
        <x:v>36.53622334758036</x:v>
      </x:c>
      <x:c r="AE1523" s="10" t="n">
        <x:f>AA1523*'Assumptions'!$D$21</x:f>
        <x:v>0</x:v>
      </x:c>
    </x:row>
    <x:row r="1524" ht="16" customHeight="1">
      <x:c r="A1524" s="1"/>
      <x:c r="B1524" s="1"/>
      <x:c r="C1524" s="1" t="str">
        <x:v>DOT-109</x:v>
      </x:c>
      <x:c r="D1524" s="10" t="str">
        <x:v>LesPetitFilms</x:v>
      </x:c>
      <x:c r="E1524" s="10" t="n">
        <x:v>12</x:v>
      </x:c>
      <x:c r="F1524" s="21" t="n">
        <x:f>F1396*(1+'Assumptions'!$M$138)</x:f>
        <x:v>9.363423297116476</x:v>
      </x:c>
      <x:c r="G1524" s="21" t="n">
        <x:f>H1396*'Assumptions'!$K$138</x:f>
        <x:v>4.819138721618205</x:v>
      </x:c>
      <x:c r="H1524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1524+G1524,NA())</x:f>
        <x:v>14.182562018734682</x:v>
      </x:c>
      <x:c r="I1524" s="22" t="n">
        <x:f>'Assumptions'!$H$138*IF('Assumptions'!$O$138=1,1,'Assumptions'!$D$10)*(1+'Assumptions'!$N$138)^(12-1)</x:f>
        <x:v>4351.810079381284</x:v>
      </x:c>
      <x:c r="J1524" s="10" t="n">
        <x:f>H1524*I1524</x:f>
        <x:v>61719.816344579755</x:v>
      </x:c>
      <x:c r="K1524" s="10" t="n">
        <x:f>J1524*'Assumptions'!$T$138</x:f>
        <x:v>61719.816344579755</x:v>
      </x:c>
      <x:c r="L1524" s="10" t="n">
        <x:f>K1524*'Assumptions'!$U$138</x:f>
        <x:v>1851.5944903373925</x:v>
      </x:c>
      <x:c r="M1524" s="10" t="n">
        <x:f>K1524*'Assumptions'!$V$138</x:f>
        <x:v>0</x:v>
      </x:c>
      <x:c r="N1524" s="10" t="n">
        <x:f>K1524-L1524-M1524</x:f>
        <x:v>59868.221854242365</x:v>
      </x:c>
      <x:c r="O1524" s="10" t="n">
        <x:f>H1524*'Assumptions'!$P$138*'Assumptions'!$Q$138*'Assumptions'!$D$11*(1+'Assumptions'!$D$13)^(12-1)</x:f>
        <x:v>22085.980559980446</x:v>
      </x:c>
      <x:c r="P1524" s="10" t="n">
        <x:f>H1524*'Assumptions'!$R$138*'Assumptions'!$D$11*(1+'Assumptions'!$D$13)^(12-1)</x:f>
        <x:v>6871.193951993917</x:v>
      </x:c>
      <x:c r="Q1524" s="10" t="n">
        <x:f>J1524*'Assumptions'!$S$138</x:f>
        <x:v>0</x:v>
      </x:c>
      <x:c r="R1524" s="10" t="n">
        <x:f>H1524*'Assumptions'!$Y$138*'Assumptions'!$Z$138*'Assumptions'!$D$11*(1+'Assumptions'!$D$13)^(12-1)</x:f>
        <x:v>294.4797407997393</x:v>
      </x:c>
      <x:c r="S1524" s="10" t="n">
        <x:f>IF(I1524=0,0,J1524*'Assumptions'!$W$138+H1524*'Assumptions'!$X$138)</x:f>
        <x:v>1794.1294425984333</x:v>
      </x:c>
      <x:c r="T1524" s="10" t="n">
        <x:f>N1524*'Assumptions'!$AA$138</x:f>
        <x:v>4789.45774833939</x:v>
      </x:c>
      <x:c r="U1524" s="10" t="n">
        <x:f>'Assumptions'!$AE$138*'Assumptions'!$D$11*(1+'Assumptions'!$D$13)^(12-1)</x:f>
        <x:v>0</x:v>
      </x:c>
      <x:c r="V1524" s="10" t="n">
        <x:f>0</x:f>
        <x:v>0</x:v>
      </x:c>
      <x:c r="W1524" s="10" t="n">
        <x:f>H1524*('Assumptions'!$P$138+'Assumptions'!$Y$138)</x:f>
        <x:v>361.6553314777344</x:v>
      </x:c>
      <x:c r="X1524" s="10" t="n">
        <x:f>N1524/12*'Assumptions'!$AF$138</x:f>
        <x:v>4989.01848785353</x:v>
      </x:c>
      <x:c r="Y1524" s="10" t="n">
        <x:f>P1524/12</x:f>
        <x:v>572.5994959994931</x:v>
      </x:c>
      <x:c r="Z1524" s="10" t="n">
        <x:f>0</x:f>
        <x:v>0</x:v>
      </x:c>
      <x:c r="AA1524" s="10" t="n">
        <x:f>Z1524*'Assumptions'!$AC$138*'Assumptions'!$D$11*(1+'Assumptions'!$D$13)^(12-1)</x:f>
        <x:v>0</x:v>
      </x:c>
      <x:c r="AB1524" s="10" t="n">
        <x:f>F1524/1</x:f>
        <x:v>9.363423297116476</x:v>
      </x:c>
      <x:c r="AC1524" s="10" t="n">
        <x:f>AB1524/'Assumptions'!$AM$138</x:f>
        <x:v>93.63423297116476</x:v>
      </x:c>
      <x:c r="AD1524" s="10" t="n">
        <x:f>IF(AB1524=0,0,T1524/AB1524)</x:f>
        <x:v>511.5071268661252</x:v>
      </x:c>
      <x:c r="AE1524" s="10" t="n">
        <x:f>AA1524*'Assumptions'!$D$21</x:f>
        <x:v>0</x:v>
      </x:c>
    </x:row>
    <x:row r="1525" ht="16" customHeight="1">
      <x:c r="A1525" s="1"/>
      <x:c r="B1525" s="1"/>
      <x:c r="C1525" s="1" t="str">
        <x:v>DOT-110</x:v>
      </x:c>
      <x:c r="D1525" s="10" t="str">
        <x:v>LesPetitFilms</x:v>
      </x:c>
      <x:c r="E1525" s="10" t="n">
        <x:v>12</x:v>
      </x:c>
      <x:c r="F1525" s="21" t="n">
        <x:f>F1397*(1+'Assumptions'!$M$139)</x:f>
        <x:v>9.363423297116476</x:v>
      </x:c>
      <x:c r="G1525" s="21" t="n">
        <x:f>H1397*'Assumptions'!$K$139</x:f>
        <x:v>4.819138721618205</x:v>
      </x:c>
      <x:c r="H1525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1525+G1525,NA())</x:f>
        <x:v>14.182562018734682</x:v>
      </x:c>
      <x:c r="I1525" s="22" t="n">
        <x:f>'Assumptions'!$H$139*IF('Assumptions'!$O$139=1,1,'Assumptions'!$D$10)*(1+'Assumptions'!$N$139)^(12-1)</x:f>
        <x:v>1865.0614625919786</x:v>
      </x:c>
      <x:c r="J1525" s="10" t="n">
        <x:f>H1525*I1525</x:f>
        <x:v>26451.34986196275</x:v>
      </x:c>
      <x:c r="K1525" s="10" t="n">
        <x:f>J1525*'Assumptions'!$T$139</x:f>
        <x:v>26451.34986196275</x:v>
      </x:c>
      <x:c r="L1525" s="10" t="n">
        <x:f>K1525*'Assumptions'!$U$139</x:f>
        <x:v>793.5404958588824</x:v>
      </x:c>
      <x:c r="M1525" s="10" t="n">
        <x:f>K1525*'Assumptions'!$V$139</x:f>
        <x:v>0</x:v>
      </x:c>
      <x:c r="N1525" s="10" t="n">
        <x:f>K1525-L1525-M1525</x:f>
        <x:v>25657.809366103866</x:v>
      </x:c>
      <x:c r="O1525" s="10" t="n">
        <x:f>H1525*'Assumptions'!$P$139*'Assumptions'!$Q$139*'Assumptions'!$D$11*(1+'Assumptions'!$D$13)^(12-1)</x:f>
        <x:v>8834.39222399218</x:v>
      </x:c>
      <x:c r="P1525" s="10" t="n">
        <x:f>H1525*'Assumptions'!$R$139*'Assumptions'!$D$11*(1+'Assumptions'!$D$13)^(12-1)</x:f>
        <x:v>3926.396543996524</x:v>
      </x:c>
      <x:c r="Q1525" s="10" t="n">
        <x:f>J1525*'Assumptions'!$S$139</x:f>
        <x:v>0</x:v>
      </x:c>
      <x:c r="R1525" s="10" t="n">
        <x:f>H1525*'Assumptions'!$Y$139*'Assumptions'!$Z$139*'Assumptions'!$D$11*(1+'Assumptions'!$D$13)^(12-1)</x:f>
        <x:v>294.4797407997393</x:v>
      </x:c>
      <x:c r="S1525" s="10" t="n">
        <x:f>IF(I1525=0,0,J1525*'Assumptions'!$W$139+H1525*'Assumptions'!$X$139)</x:f>
        <x:v>771.3439146025402</x:v>
      </x:c>
      <x:c r="T1525" s="10" t="n">
        <x:f>N1525*'Assumptions'!$AA$139</x:f>
        <x:v>2052.6247492883094</x:v>
      </x:c>
      <x:c r="U1525" s="10" t="n">
        <x:f>'Assumptions'!$AE$139*'Assumptions'!$D$11*(1+'Assumptions'!$D$13)^(12-1)</x:f>
        <x:v>0</x:v>
      </x:c>
      <x:c r="V1525" s="10" t="n">
        <x:f>0</x:f>
        <x:v>0</x:v>
      </x:c>
      <x:c r="W1525" s="10" t="n">
        <x:f>H1525*('Assumptions'!$P$139+'Assumptions'!$Y$139)</x:f>
        <x:v>148.91690119671415</x:v>
      </x:c>
      <x:c r="X1525" s="10" t="n">
        <x:f>N1525/12*'Assumptions'!$AF$139</x:f>
        <x:v>2138.1507805086553</x:v>
      </x:c>
      <x:c r="Y1525" s="10" t="n">
        <x:f>P1525/12</x:f>
        <x:v>327.19971199971036</x:v>
      </x:c>
      <x:c r="Z1525" s="10" t="n">
        <x:f>0</x:f>
        <x:v>0</x:v>
      </x:c>
      <x:c r="AA1525" s="10" t="n">
        <x:f>Z1525*'Assumptions'!$AC$139*'Assumptions'!$D$11*(1+'Assumptions'!$D$13)^(12-1)</x:f>
        <x:v>0</x:v>
      </x:c>
      <x:c r="AB1525" s="10" t="n">
        <x:f>F1525/1</x:f>
        <x:v>9.363423297116476</x:v>
      </x:c>
      <x:c r="AC1525" s="10" t="n">
        <x:f>AB1525/'Assumptions'!$AM$139</x:f>
        <x:v>93.63423297116476</x:v>
      </x:c>
      <x:c r="AD1525" s="10" t="n">
        <x:f>IF(AB1525=0,0,T1525/AB1525)</x:f>
        <x:v>219.21734008548216</x:v>
      </x:c>
      <x:c r="AE1525" s="10" t="n">
        <x:f>AA1525*'Assumptions'!$D$21</x:f>
        <x:v>0</x:v>
      </x:c>
    </x:row>
    <x:row r="1526" ht="16" customHeight="1">
      <x:c r="A1526" s="1"/>
      <x:c r="B1526" s="1"/>
      <x:c r="C1526" s="1" t="str">
        <x:v>DOT-111</x:v>
      </x:c>
      <x:c r="D1526" s="10" t="str">
        <x:v>LesPetitFilms</x:v>
      </x:c>
      <x:c r="E1526" s="10" t="n">
        <x:v>12</x:v>
      </x:c>
      <x:c r="F1526" s="21" t="n">
        <x:f>F1398*(1+'Assumptions'!$M$140)</x:f>
        <x:v>14.045134945674716</x:v>
      </x:c>
      <x:c r="G1526" s="21" t="n">
        <x:f>H1398*'Assumptions'!$K$140</x:f>
        <x:v>7.228708082427308</x:v>
      </x:c>
      <x:c r="H1526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1526+G1526,NA())</x:f>
        <x:v>21.273843028102025</x:v>
      </x:c>
      <x:c r="I1526" s="22" t="n">
        <x:f>'Assumptions'!$H$140*IF('Assumptions'!$O$140=1,1,'Assumptions'!$D$10)*(1+'Assumptions'!$N$140)^(12-1)</x:f>
        <x:v>621.6871541973262</x:v>
      </x:c>
      <x:c r="J1526" s="10" t="n">
        <x:f>H1526*I1526</x:f>
        <x:v>13225.674930981377</x:v>
      </x:c>
      <x:c r="K1526" s="10" t="n">
        <x:f>J1526*'Assumptions'!$T$140</x:f>
        <x:v>13225.674930981377</x:v>
      </x:c>
      <x:c r="L1526" s="10" t="n">
        <x:f>K1526*'Assumptions'!$U$140</x:f>
        <x:v>396.77024792944127</x:v>
      </x:c>
      <x:c r="M1526" s="10" t="n">
        <x:f>K1526*'Assumptions'!$V$140</x:f>
        <x:v>0</x:v>
      </x:c>
      <x:c r="N1526" s="10" t="n">
        <x:f>K1526-L1526-M1526</x:f>
        <x:v>12828.904683051935</x:v>
      </x:c>
      <x:c r="O1526" s="10" t="n">
        <x:f>H1526*'Assumptions'!$P$140*'Assumptions'!$Q$140*'Assumptions'!$D$11*(1+'Assumptions'!$D$13)^(12-1)</x:f>
        <x:v>3533.756889596872</x:v>
      </x:c>
      <x:c r="P1526" s="10" t="n">
        <x:f>H1526*'Assumptions'!$R$140*'Assumptions'!$D$11*(1+'Assumptions'!$D$13)^(12-1)</x:f>
        <x:v>1472.3987039986966</x:v>
      </x:c>
      <x:c r="Q1526" s="10" t="n">
        <x:f>J1526*'Assumptions'!$S$140</x:f>
        <x:v>0</x:v>
      </x:c>
      <x:c r="R1526" s="10" t="n">
        <x:f>H1526*'Assumptions'!$Y$140*'Assumptions'!$Z$140*'Assumptions'!$D$11*(1+'Assumptions'!$D$13)^(12-1)</x:f>
        <x:v>441.719611199609</x:v>
      </x:c>
      <x:c r="S1526" s="10" t="n">
        <x:f>IF(I1526=0,0,J1526*'Assumptions'!$W$140+H1526*'Assumptions'!$X$140)</x:f>
        <x:v>389.92672590689057</x:v>
      </x:c>
      <x:c r="T1526" s="10" t="n">
        <x:f>N1526*'Assumptions'!$AA$140</x:f>
        <x:v>1026.3123746441547</x:v>
      </x:c>
      <x:c r="U1526" s="10" t="n">
        <x:f>'Assumptions'!$AE$140*'Assumptions'!$D$11*(1+'Assumptions'!$D$13)^(12-1)</x:f>
        <x:v>0</x:v>
      </x:c>
      <x:c r="V1526" s="10" t="n">
        <x:f>0</x:f>
        <x:v>0</x:v>
      </x:c>
      <x:c r="W1526" s="10" t="n">
        <x:f>H1526*('Assumptions'!$P$140+'Assumptions'!$Y$140)</x:f>
        <x:v>74.45845059835709</x:v>
      </x:c>
      <x:c r="X1526" s="10" t="n">
        <x:f>N1526/12*'Assumptions'!$AF$140</x:f>
        <x:v>1069.0753902543279</x:v>
      </x:c>
      <x:c r="Y1526" s="10" t="n">
        <x:f>P1526/12</x:f>
        <x:v>122.69989199989139</x:v>
      </x:c>
      <x:c r="Z1526" s="10" t="n">
        <x:f>0</x:f>
        <x:v>0</x:v>
      </x:c>
      <x:c r="AA1526" s="10" t="n">
        <x:f>Z1526*'Assumptions'!$AC$140*'Assumptions'!$D$11*(1+'Assumptions'!$D$13)^(12-1)</x:f>
        <x:v>0</x:v>
      </x:c>
      <x:c r="AB1526" s="10" t="n">
        <x:f>F1526/1</x:f>
        <x:v>14.045134945674716</x:v>
      </x:c>
      <x:c r="AC1526" s="10" t="n">
        <x:f>AB1526/'Assumptions'!$AM$140</x:f>
        <x:v>140.45134945674715</x:v>
      </x:c>
      <x:c r="AD1526" s="10" t="n">
        <x:f>IF(AB1526=0,0,T1526/AB1526)</x:f>
        <x:v>73.07244669516072</x:v>
      </x:c>
      <x:c r="AE1526" s="10" t="n">
        <x:f>AA1526*'Assumptions'!$D$21</x:f>
        <x:v>0</x:v>
      </x:c>
    </x:row>
    <x:row r="1527" ht="16" customHeight="1">
      <x:c r="A1527" s="1"/>
      <x:c r="B1527" s="1"/>
      <x:c r="C1527" s="1" t="str">
        <x:v>DOT-112</x:v>
      </x:c>
      <x:c r="D1527" s="10" t="str">
        <x:v>Learn Anglais</x:v>
      </x:c>
      <x:c r="E1527" s="10" t="n">
        <x:v>12</x:v>
      </x:c>
      <x:c r="F1527" s="21" t="n">
        <x:f>F1399*(1+'Assumptions'!$M$141)</x:f>
        <x:v>459.047960522102</x:v>
      </x:c>
      <x:c r="G1527" s="21" t="n">
        <x:f>H1399*'Assumptions'!$K$141</x:f>
        <x:v>951.9249820169766</x:v>
      </x:c>
      <x:c r="H1527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1527+G1527,NA())</x:f>
        <x:v>1410.9729425390788</x:v>
      </x:c>
      <x:c r="I1527" s="22" t="n">
        <x:f>'Assumptions'!$H$141*IF('Assumptions'!$O$141=1,1,'Assumptions'!$D$10)*(1+'Assumptions'!$N$141)^(12-1)</x:f>
        <x:v>55.95184387775936</x:v>
      </x:c>
      <x:c r="J1527" s="10" t="n">
        <x:f>H1527*I1527</x:f>
        <x:v>78946.53779668926</x:v>
      </x:c>
      <x:c r="K1527" s="10" t="n">
        <x:f>J1527*'Assumptions'!$T$141</x:f>
        <x:v>26315.512598896417</x:v>
      </x:c>
      <x:c r="L1527" s="10" t="n">
        <x:f>K1527*'Assumptions'!$U$141</x:f>
        <x:v>789.4653779668924</x:v>
      </x:c>
      <x:c r="M1527" s="10" t="n">
        <x:f>K1527*'Assumptions'!$V$141</x:f>
        <x:v>0</x:v>
      </x:c>
      <x:c r="N1527" s="10" t="n">
        <x:f>K1527-L1527-M1527</x:f>
        <x:v>25526.047220929526</x:v>
      </x:c>
      <x:c r="O1527" s="10" t="n">
        <x:f>H1527*'Assumptions'!$P$141*'Assumptions'!$Q$141*'Assumptions'!$D$11*(1+'Assumptions'!$D$13)^(12-1)</x:f>
        <x:v>6835.907882084155</x:v>
      </x:c>
      <x:c r="P1527" s="10" t="n">
        <x:f>H1527*'Assumptions'!$R$141*'Assumptions'!$D$11*(1+'Assumptions'!$D$13)^(12-1)</x:f>
        <x:v>0</x:v>
      </x:c>
      <x:c r="Q1527" s="10" t="n">
        <x:f>J1527*'Assumptions'!$S$141</x:f>
        <x:v>0</x:v>
      </x:c>
      <x:c r="R1527" s="10" t="n">
        <x:f>H1527*'Assumptions'!$Y$141*'Assumptions'!$Z$141*'Assumptions'!$D$11*(1+'Assumptions'!$D$13)^(12-1)</x:f>
        <x:v>8789.024419822486</x:v>
      </x:c>
      <x:c r="S1527" s="10" t="n">
        <x:f>IF(I1527=0,0,J1527*'Assumptions'!$W$141+H1527*'Assumptions'!$X$141)</x:f>
        <x:v>2712.741478865712</x:v>
      </x:c>
      <x:c r="T1527" s="10" t="n">
        <x:f>N1527*'Assumptions'!$AA$141</x:f>
        <x:v>1276.3023610464763</x:v>
      </x:c>
      <x:c r="U1527" s="10" t="n">
        <x:f>'Assumptions'!$AE$141*'Assumptions'!$D$11*(1+'Assumptions'!$D$13)^(12-1)</x:f>
        <x:v>0</x:v>
      </x:c>
      <x:c r="V1527" s="10" t="n">
        <x:f>0</x:f>
        <x:v>0</x:v>
      </x:c>
      <x:c r="W1527" s="10" t="n">
        <x:f>H1527*('Assumptions'!$P$141+'Assumptions'!$Y$141)</x:f>
        <x:v>352.7432356347697</x:v>
      </x:c>
      <x:c r="X1527" s="10" t="n">
        <x:f>N1527/12*'Assumptions'!$AF$141</x:f>
        <x:v>0</x:v>
      </x:c>
      <x:c r="Y1527" s="10" t="n">
        <x:f>P1527/12</x:f>
        <x:v>0</x:v>
      </x:c>
      <x:c r="Z1527" s="10" t="n">
        <x:f>0</x:f>
        <x:v>0</x:v>
      </x:c>
      <x:c r="AA1527" s="10" t="n">
        <x:f>Z1527*'Assumptions'!$AC$141*'Assumptions'!$D$11*(1+'Assumptions'!$D$13)^(12-1)</x:f>
        <x:v>0</x:v>
      </x:c>
      <x:c r="AB1527" s="10" t="n">
        <x:f>F1527/1</x:f>
        <x:v>459.047960522102</x:v>
      </x:c>
      <x:c r="AC1527" s="10" t="n">
        <x:f>AB1527/'Assumptions'!$AM$141</x:f>
        <x:v>9180.959210442039</x:v>
      </x:c>
      <x:c r="AD1527" s="10" t="n">
        <x:f>IF(AB1527=0,0,T1527/AB1527)</x:f>
        <x:v>2.780324651905355</x:v>
      </x:c>
      <x:c r="AE1527" s="10" t="n">
        <x:f>AA1527*'Assumptions'!$D$21</x:f>
        <x:v>0</x:v>
      </x:c>
    </x:row>
    <x:row r="1528" ht="16" customHeight="1">
      <x:c r="A1528" s="1"/>
      <x:c r="B1528" s="1"/>
      <x:c r="C1528" s="1" t="str">
        <x:v>DOT-113</x:v>
      </x:c>
      <x:c r="D1528" s="10" t="str">
        <x:v>Learn Anglais</x:v>
      </x:c>
      <x:c r="E1528" s="10" t="n">
        <x:v>12</x:v>
      </x:c>
      <x:c r="F1528" s="21" t="n">
        <x:f>F1400*(1+'Assumptions'!$M$142)</x:f>
        <x:v>275.4287763132611</x:v>
      </x:c>
      <x:c r="G1528" s="21" t="n">
        <x:f>H1400*'Assumptions'!$K$142</x:f>
        <x:v>571.1549892101859</x:v>
      </x:c>
      <x:c r="H1528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1528+G1528,NA())</x:f>
        <x:v>846.583765523447</x:v>
      </x:c>
      <x:c r="I1528" s="22" t="n">
        <x:f>'Assumptions'!$H$142*IF('Assumptions'!$O$142=1,1,'Assumptions'!$D$10)*(1+'Assumptions'!$N$142)^(12-1)</x:f>
        <x:v>105.68681621354546</x:v>
      </x:c>
      <x:c r="J1528" s="10" t="n">
        <x:f>H1528*I1528</x:f>
        <x:v>89472.74283624781</x:v>
      </x:c>
      <x:c r="K1528" s="10" t="n">
        <x:f>J1528*'Assumptions'!$T$142</x:f>
        <x:v>26841.82285087434</x:v>
      </x:c>
      <x:c r="L1528" s="10" t="n">
        <x:f>K1528*'Assumptions'!$U$142</x:f>
        <x:v>805.2546855262302</x:v>
      </x:c>
      <x:c r="M1528" s="10" t="n">
        <x:f>K1528*'Assumptions'!$V$142</x:f>
        <x:v>0</x:v>
      </x:c>
      <x:c r="N1528" s="10" t="n">
        <x:f>K1528-L1528-M1528</x:f>
        <x:v>26036.56816534811</x:v>
      </x:c>
      <x:c r="O1528" s="10" t="n">
        <x:f>H1528*'Assumptions'!$P$142*'Assumptions'!$Q$142*'Assumptions'!$D$11*(1+'Assumptions'!$D$13)^(12-1)</x:f>
        <x:v>4101.544729250492</x:v>
      </x:c>
      <x:c r="P1528" s="10" t="n">
        <x:f>H1528*'Assumptions'!$R$142*'Assumptions'!$D$11*(1+'Assumptions'!$D$13)^(12-1)</x:f>
        <x:v>0</x:v>
      </x:c>
      <x:c r="Q1528" s="10" t="n">
        <x:f>J1528*'Assumptions'!$S$142</x:f>
        <x:v>0</x:v>
      </x:c>
      <x:c r="R1528" s="10" t="n">
        <x:f>H1528*'Assumptions'!$Y$142*'Assumptions'!$Z$142*'Assumptions'!$D$11*(1+'Assumptions'!$D$13)^(12-1)</x:f>
        <x:v>5273.41465189349</x:v>
      </x:c>
      <x:c r="S1528" s="10" t="n">
        <x:f>IF(I1528=0,0,J1528*'Assumptions'!$W$142+H1528*'Assumptions'!$X$142)</x:f>
        <x:v>2848.6846719082205</x:v>
      </x:c>
      <x:c r="T1528" s="10" t="n">
        <x:f>N1528*'Assumptions'!$AA$142</x:f>
        <x:v>1301.8284082674056</x:v>
      </x:c>
      <x:c r="U1528" s="10" t="n">
        <x:f>'Assumptions'!$AE$142*'Assumptions'!$D$11*(1+'Assumptions'!$D$13)^(12-1)</x:f>
        <x:v>0</x:v>
      </x:c>
      <x:c r="V1528" s="10" t="n">
        <x:f>0</x:f>
        <x:v>0</x:v>
      </x:c>
      <x:c r="W1528" s="10" t="n">
        <x:f>H1528*('Assumptions'!$P$142+'Assumptions'!$Y$142)</x:f>
        <x:v>211.64594138086176</x:v>
      </x:c>
      <x:c r="X1528" s="10" t="n">
        <x:f>N1528/12*'Assumptions'!$AF$142</x:f>
        <x:v>0</x:v>
      </x:c>
      <x:c r="Y1528" s="10" t="n">
        <x:f>P1528/12</x:f>
        <x:v>0</x:v>
      </x:c>
      <x:c r="Z1528" s="10" t="n">
        <x:f>0</x:f>
        <x:v>0</x:v>
      </x:c>
      <x:c r="AA1528" s="10" t="n">
        <x:f>Z1528*'Assumptions'!$AC$142*'Assumptions'!$D$11*(1+'Assumptions'!$D$13)^(12-1)</x:f>
        <x:v>0</x:v>
      </x:c>
      <x:c r="AB1528" s="10" t="n">
        <x:f>F1528/1</x:f>
        <x:v>275.4287763132611</x:v>
      </x:c>
      <x:c r="AC1528" s="10" t="n">
        <x:f>AB1528/'Assumptions'!$AM$142</x:f>
        <x:v>5508.575526265222</x:v>
      </x:c>
      <x:c r="AD1528" s="10" t="n">
        <x:f>IF(AB1528=0,0,T1528/AB1528)</x:f>
        <x:v>4.726551908239104</x:v>
      </x:c>
      <x:c r="AE1528" s="10" t="n">
        <x:f>AA1528*'Assumptions'!$D$21</x:f>
        <x:v>0</x:v>
      </x:c>
    </x:row>
    <x:row r="1529" ht="16" customHeight="1">
      <x:c r="A1529" s="1"/>
      <x:c r="B1529" s="1"/>
      <x:c r="C1529" s="1" t="str">
        <x:v>DOT-114</x:v>
      </x:c>
      <x:c r="D1529" s="10" t="str">
        <x:v>Learn Anglais</x:v>
      </x:c>
      <x:c r="E1529" s="10" t="n">
        <x:v>12</x:v>
      </x:c>
      <x:c r="F1529" s="21" t="n">
        <x:f>F1401*(1+'Assumptions'!$M$143)</x:f>
        <x:v>387.1902739211562</x:v>
      </x:c>
      <x:c r="G1529" s="21" t="n">
        <x:f>H1401*'Assumptions'!$K$143</x:f>
        <x:v>124.09861368813583</x:v>
      </x:c>
      <x:c r="H1529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1529+G1529,NA())</x:f>
        <x:v>511.28888760929203</x:v>
      </x:c>
      <x:c r="I1529" s="22" t="n">
        <x:f>'Assumptions'!$H$143*IF('Assumptions'!$O$143=1,1,'Assumptions'!$D$10)*(1+'Assumptions'!$N$143)^(12-1)</x:f>
        <x:v>36.05785494344492</x:v>
      </x:c>
      <x:c r="J1529" s="10" t="n">
        <x:f>H1529*I1529</x:f>
        <x:v>18435.980543611167</x:v>
      </x:c>
      <x:c r="K1529" s="10" t="n">
        <x:f>J1529*'Assumptions'!$T$143</x:f>
        <x:v>18435.980543611167</x:v>
      </x:c>
      <x:c r="L1529" s="10" t="n">
        <x:f>K1529*'Assumptions'!$U$143</x:f>
        <x:v>553.079416308335</x:v>
      </x:c>
      <x:c r="M1529" s="10" t="n">
        <x:f>K1529*'Assumptions'!$V$143</x:f>
        <x:v>0</x:v>
      </x:c>
      <x:c r="N1529" s="10" t="n">
        <x:f>K1529-L1529-M1529</x:f>
        <x:v>17882.901127302834</x:v>
      </x:c>
      <x:c r="O1529" s="10" t="n">
        <x:f>H1529*'Assumptions'!$P$143*'Assumptions'!$Q$143*'Assumptions'!$D$11*(1+'Assumptions'!$D$13)^(12-1)</x:f>
        <x:v>3715.6528287574847</x:v>
      </x:c>
      <x:c r="P1529" s="10" t="n">
        <x:f>H1529*'Assumptions'!$R$143*'Assumptions'!$D$11*(1+'Assumptions'!$D$13)^(12-1)</x:f>
        <x:v>0</x:v>
      </x:c>
      <x:c r="Q1529" s="10" t="n">
        <x:f>J1529*'Assumptions'!$S$143</x:f>
        <x:v>0</x:v>
      </x:c>
      <x:c r="R1529" s="10" t="n">
        <x:f>H1529*'Assumptions'!$Y$143*'Assumptions'!$Z$143*'Assumptions'!$D$11*(1+'Assumptions'!$D$13)^(12-1)</x:f>
        <x:v>2123.23018786142</x:v>
      </x:c>
      <x:c r="S1529" s="10" t="n">
        <x:f>IF(I1529=0,0,J1529*'Assumptions'!$W$143+H1529*'Assumptions'!$X$143)</x:f>
        <x:v>688.0301020475115</x:v>
      </x:c>
      <x:c r="T1529" s="10" t="n">
        <x:f>N1529*'Assumptions'!$AA$143</x:f>
        <x:v>894.1450563651417</x:v>
      </x:c>
      <x:c r="U1529" s="10" t="n">
        <x:f>'Assumptions'!$AE$143*'Assumptions'!$D$11*(1+'Assumptions'!$D$13)^(12-1)</x:f>
        <x:v>0</x:v>
      </x:c>
      <x:c r="V1529" s="10" t="n">
        <x:f>0</x:f>
        <x:v>0</x:v>
      </x:c>
      <x:c r="W1529" s="10" t="n">
        <x:f>H1529*('Assumptions'!$P$143+'Assumptions'!$Y$143)</x:f>
        <x:v>127.82222190232301</x:v>
      </x:c>
      <x:c r="X1529" s="10" t="n">
        <x:f>N1529/12*'Assumptions'!$AF$143</x:f>
        <x:v>0</x:v>
      </x:c>
      <x:c r="Y1529" s="10" t="n">
        <x:f>P1529/12</x:f>
        <x:v>0</x:v>
      </x:c>
      <x:c r="Z1529" s="10" t="n">
        <x:f>0</x:f>
        <x:v>0</x:v>
      </x:c>
      <x:c r="AA1529" s="10" t="n">
        <x:f>Z1529*'Assumptions'!$AC$143*'Assumptions'!$D$11*(1+'Assumptions'!$D$13)^(12-1)</x:f>
        <x:v>0</x:v>
      </x:c>
      <x:c r="AB1529" s="10" t="n">
        <x:f>F1529/1</x:f>
        <x:v>387.1902739211562</x:v>
      </x:c>
      <x:c r="AC1529" s="10" t="n">
        <x:f>AB1529/'Assumptions'!$AM$143</x:f>
        <x:v>7743.8054784231235</x:v>
      </x:c>
      <x:c r="AD1529" s="10" t="n">
        <x:f>IF(AB1529=0,0,T1529/AB1529)</x:f>
        <x:v>2.3093169343071285</x:v>
      </x:c>
      <x:c r="AE1529" s="10" t="n">
        <x:f>AA1529*'Assumptions'!$D$21</x:f>
        <x:v>0</x:v>
      </x:c>
    </x:row>
    <x:row r="1530" ht="16" customHeight="1">
      <x:c r="A1530" s="1"/>
      <x:c r="B1530" s="1"/>
      <x:c r="C1530" s="1" t="str">
        <x:v>DOT-115</x:v>
      </x:c>
      <x:c r="D1530" s="10" t="str">
        <x:v>Learn Anglais</x:v>
      </x:c>
      <x:c r="E1530" s="10" t="n">
        <x:v>12</x:v>
      </x:c>
      <x:c r="F1530" s="21" t="n">
        <x:f>F1402*(1+'Assumptions'!$M$144)</x:f>
        <x:v>183.6191842088408</x:v>
      </x:c>
      <x:c r="G1530" s="21" t="n">
        <x:f>H1402*'Assumptions'!$K$144</x:f>
        <x:v>379.5835967609907</x:v>
      </x:c>
      <x:c r="H1530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1530+G1530,NA())</x:f>
        <x:v>563.2027809698316</x:v>
      </x:c>
      <x:c r="I1530" s="22" t="n">
        <x:f>'Assumptions'!$H$144*IF('Assumptions'!$O$144=1,1,'Assumptions'!$D$10)*(1+'Assumptions'!$N$144)^(12-1)</x:f>
        <x:v>55.95184387775936</x:v>
      </x:c>
      <x:c r="J1530" s="10" t="n">
        <x:f>H1530*I1530</x:f>
        <x:v>31512.234072343916</x:v>
      </x:c>
      <x:c r="K1530" s="10" t="n">
        <x:f>J1530*'Assumptions'!$T$144</x:f>
        <x:v>10504.078024114639</x:v>
      </x:c>
      <x:c r="L1530" s="10" t="n">
        <x:f>K1530*'Assumptions'!$U$144</x:f>
        <x:v>315.12234072343915</x:v>
      </x:c>
      <x:c r="M1530" s="10" t="n">
        <x:f>K1530*'Assumptions'!$V$144</x:f>
        <x:v>0</x:v>
      </x:c>
      <x:c r="N1530" s="10" t="n">
        <x:f>K1530-L1530-M1530</x:f>
        <x:v>10188.9556833912</x:v>
      </x:c>
      <x:c r="O1530" s="10" t="n">
        <x:f>H1530*'Assumptions'!$P$144*'Assumptions'!$Q$144*'Assumptions'!$D$11*(1+'Assumptions'!$D$13)^(12-1)</x:f>
        <x:v>4092.9229188993722</x:v>
      </x:c>
      <x:c r="P1530" s="10" t="n">
        <x:f>H1530*'Assumptions'!$R$144*'Assumptions'!$D$11*(1+'Assumptions'!$D$13)^(12-1)</x:f>
        <x:v>0</x:v>
      </x:c>
      <x:c r="Q1530" s="10" t="n">
        <x:f>J1530*'Assumptions'!$S$144</x:f>
        <x:v>0</x:v>
      </x:c>
      <x:c r="R1530" s="10" t="n">
        <x:f>H1530*'Assumptions'!$Y$144*'Assumptions'!$Z$144*'Assumptions'!$D$11*(1+'Assumptions'!$D$13)^(12-1)</x:f>
        <x:v>3508.2196447708898</x:v>
      </x:c>
      <x:c r="S1530" s="10" t="n">
        <x:f>IF(I1530=0,0,J1530*'Assumptions'!$W$144+H1530*'Assumptions'!$X$144)</x:f>
        <x:v>1082.815622388923</x:v>
      </x:c>
      <x:c r="T1530" s="10" t="n">
        <x:f>N1530*'Assumptions'!$AA$144</x:f>
        <x:v>509.44778416956</x:v>
      </x:c>
      <x:c r="U1530" s="10" t="n">
        <x:f>'Assumptions'!$AE$144*'Assumptions'!$D$11*(1+'Assumptions'!$D$13)^(12-1)</x:f>
        <x:v>0</x:v>
      </x:c>
      <x:c r="V1530" s="10" t="n">
        <x:f>0</x:f>
        <x:v>0</x:v>
      </x:c>
      <x:c r="W1530" s="10" t="n">
        <x:f>H1530*('Assumptions'!$P$144+'Assumptions'!$Y$144)</x:f>
        <x:v>168.96083429094946</x:v>
      </x:c>
      <x:c r="X1530" s="10" t="n">
        <x:f>N1530/12*'Assumptions'!$AF$144</x:f>
        <x:v>0</x:v>
      </x:c>
      <x:c r="Y1530" s="10" t="n">
        <x:f>P1530/12</x:f>
        <x:v>0</x:v>
      </x:c>
      <x:c r="Z1530" s="10" t="n">
        <x:f>0</x:f>
        <x:v>0</x:v>
      </x:c>
      <x:c r="AA1530" s="10" t="n">
        <x:f>Z1530*'Assumptions'!$AC$144*'Assumptions'!$D$11*(1+'Assumptions'!$D$13)^(12-1)</x:f>
        <x:v>0</x:v>
      </x:c>
      <x:c r="AB1530" s="10" t="n">
        <x:f>F1530/1</x:f>
        <x:v>183.6191842088408</x:v>
      </x:c>
      <x:c r="AC1530" s="10" t="n">
        <x:f>AB1530/'Assumptions'!$AM$144</x:f>
        <x:v>3672.383684176816</x:v>
      </x:c>
      <x:c r="AD1530" s="10" t="n">
        <x:f>IF(AB1530=0,0,T1530/AB1530)</x:f>
        <x:v>2.7744801631954497</x:v>
      </x:c>
      <x:c r="AE1530" s="10" t="n">
        <x:f>AA1530*'Assumptions'!$D$21</x:f>
        <x:v>0</x:v>
      </x:c>
    </x:row>
    <x:row r="1531" ht="16" customHeight="1">
      <x:c r="A1531" s="1"/>
      <x:c r="B1531" s="1"/>
      <x:c r="C1531" s="1" t="str">
        <x:v>DOT-116</x:v>
      </x:c>
      <x:c r="D1531" s="10" t="str">
        <x:v>Fiefé</x:v>
      </x:c>
      <x:c r="E1531" s="10" t="n">
        <x:v>12</x:v>
      </x:c>
      <x:c r="F1531" s="21" t="n">
        <x:f>F1403*(1+'Assumptions'!$M$145)</x:f>
        <x:v>65.02373934349669</x:v>
      </x:c>
      <x:c r="G1531" s="21" t="n">
        <x:f>H1403*'Assumptions'!$K$145</x:f>
        <x:v>26.721524339984196</x:v>
      </x:c>
      <x:c r="H1531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1531+G1531,NA())</x:f>
        <x:v>91.74526368348089</x:v>
      </x:c>
      <x:c r="I1531" s="22" t="n">
        <x:f>'Assumptions'!$H$145*IF('Assumptions'!$O$145=1,1,'Assumptions'!$D$10)*(1+'Assumptions'!$N$145)^(12-1)</x:f>
        <x:v>559.5184387775936</x:v>
      </x:c>
      <x:c r="J1531" s="10" t="n">
        <x:f>H1531*I1531</x:f>
        <x:v>51333.16670141988</x:v>
      </x:c>
      <x:c r="K1531" s="10" t="n">
        <x:f>J1531*'Assumptions'!$T$145</x:f>
        <x:v>51333.16670141988</x:v>
      </x:c>
      <x:c r="L1531" s="10" t="n">
        <x:f>K1531*'Assumptions'!$U$145</x:f>
        <x:v>1539.9950010425964</x:v>
      </x:c>
      <x:c r="M1531" s="10" t="n">
        <x:f>K1531*'Assumptions'!$V$145</x:f>
        <x:v>1026.6633340283977</x:v>
      </x:c>
      <x:c r="N1531" s="10" t="n">
        <x:f>K1531-L1531-M1531</x:f>
        <x:v>48766.50836634889</x:v>
      </x:c>
      <x:c r="O1531" s="10" t="n">
        <x:f>H1531*'Assumptions'!$P$145*'Assumptions'!$Q$145*'Assumptions'!$D$11*(1+'Assumptions'!$D$13)^(12-1)</x:f>
        <x:v>3174.922536730492</x:v>
      </x:c>
      <x:c r="P1531" s="10" t="n">
        <x:f>H1531*'Assumptions'!$R$145*'Assumptions'!$D$11*(1+'Assumptions'!$D$13)^(12-1)</x:f>
        <x:v>31749.22536730492</x:v>
      </x:c>
      <x:c r="Q1531" s="10" t="n">
        <x:f>J1531*'Assumptions'!$S$145</x:f>
        <x:v>0</x:v>
      </x:c>
      <x:c r="R1531" s="10" t="n">
        <x:f>H1531*'Assumptions'!$Y$145*'Assumptions'!$Z$145*'Assumptions'!$D$11*(1+'Assumptions'!$D$13)^(12-1)</x:f>
        <x:v>571.4860566114886</x:v>
      </x:c>
      <x:c r="S1531" s="10" t="n">
        <x:f>IF(I1531=0,0,J1531*'Assumptions'!$W$145+H1531*'Assumptions'!$X$145)</x:f>
        <x:v>1516.185413446221</x:v>
      </x:c>
      <x:c r="T1531" s="10" t="n">
        <x:f>N1531*'Assumptions'!$AA$145</x:f>
        <x:v>3901.3206693079114</x:v>
      </x:c>
      <x:c r="U1531" s="10" t="n">
        <x:f>'Assumptions'!$AE$145*'Assumptions'!$D$11*(1+'Assumptions'!$D$13)^(12-1)</x:f>
        <x:v>0</x:v>
      </x:c>
      <x:c r="V1531" s="10" t="n">
        <x:f>0</x:f>
        <x:v>0</x:v>
      </x:c>
      <x:c r="W1531" s="10" t="n">
        <x:f>H1531*('Assumptions'!$P$145+'Assumptions'!$Y$145)</x:f>
        <x:v>59.634421394262574</x:v>
      </x:c>
      <x:c r="X1531" s="10" t="n">
        <x:f>N1531/12*'Assumptions'!$AF$145</x:f>
        <x:v>0</x:v>
      </x:c>
      <x:c r="Y1531" s="10" t="n">
        <x:f>P1531/12</x:f>
        <x:v>2645.7687806087433</x:v>
      </x:c>
      <x:c r="Z1531" s="10" t="n">
        <x:f>0</x:f>
        <x:v>0</x:v>
      </x:c>
      <x:c r="AA1531" s="10" t="n">
        <x:f>Z1531*'Assumptions'!$AC$145*'Assumptions'!$D$11*(1+'Assumptions'!$D$13)^(12-1)</x:f>
        <x:v>0</x:v>
      </x:c>
      <x:c r="AB1531" s="10" t="n">
        <x:f>F1531/1</x:f>
        <x:v>65.02373934349669</x:v>
      </x:c>
      <x:c r="AC1531" s="10" t="n">
        <x:f>AB1531/'Assumptions'!$AM$145</x:f>
        <x:v>2167.457978116556</x:v>
      </x:c>
      <x:c r="AD1531" s="10" t="n">
        <x:f>IF(AB1531=0,0,T1531/AB1531)</x:f>
        <x:v>59.99840533160755</x:v>
      </x:c>
      <x:c r="AE1531" s="10" t="n">
        <x:f>AA1531*'Assumptions'!$D$21</x:f>
        <x:v>0</x:v>
      </x:c>
    </x:row>
    <x:row r="1532" ht="16" customHeight="1">
      <x:c r="A1532" s="1"/>
      <x:c r="B1532" s="1"/>
      <x:c r="C1532" s="1" t="str">
        <x:v>DOT-117</x:v>
      </x:c>
      <x:c r="D1532" s="10" t="str">
        <x:v>Fiefé</x:v>
      </x:c>
      <x:c r="E1532" s="10" t="n">
        <x:v>12</x:v>
      </x:c>
      <x:c r="F1532" s="21" t="n">
        <x:f>F1404*(1+'Assumptions'!$M$146)</x:f>
        <x:v>81.27967417937089</x:v>
      </x:c>
      <x:c r="G1532" s="21" t="n">
        <x:f>H1404*'Assumptions'!$K$146</x:f>
        <x:v>33.40190542498025</x:v>
      </x:c>
      <x:c r="H1532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1532+G1532,NA())</x:f>
        <x:v>114.68157960435113</x:v>
      </x:c>
      <x:c r="I1532" s="22" t="n">
        <x:f>'Assumptions'!$H$146*IF('Assumptions'!$O$146=1,1,'Assumptions'!$D$10)*(1+'Assumptions'!$N$146)^(12-1)</x:f>
        <x:v>217.59050396906417</x:v>
      </x:c>
      <x:c r="J1532" s="10" t="n">
        <x:f>H1532*I1532</x:f>
        <x:v>24953.622702079112</x:v>
      </x:c>
      <x:c r="K1532" s="10" t="n">
        <x:f>J1532*'Assumptions'!$T$146</x:f>
        <x:v>24953.622702079112</x:v>
      </x:c>
      <x:c r="L1532" s="10" t="n">
        <x:f>K1532*'Assumptions'!$U$146</x:f>
        <x:v>748.6086810623733</x:v>
      </x:c>
      <x:c r="M1532" s="10" t="n">
        <x:f>K1532*'Assumptions'!$V$146</x:f>
        <x:v>499.07245404158226</x:v>
      </x:c>
      <x:c r="N1532" s="10" t="n">
        <x:f>K1532-L1532-M1532</x:f>
        <x:v>23705.941566975154</x:v>
      </x:c>
      <x:c r="O1532" s="10" t="n">
        <x:f>H1532*'Assumptions'!$P$146*'Assumptions'!$Q$146*'Assumptions'!$D$11*(1+'Assumptions'!$D$13)^(12-1)</x:f>
        <x:v>1785.893926910902</x:v>
      </x:c>
      <x:c r="P1532" s="10" t="n">
        <x:f>H1532*'Assumptions'!$R$146*'Assumptions'!$D$11*(1+'Assumptions'!$D$13)^(12-1)</x:f>
        <x:v>12699.69014692197</x:v>
      </x:c>
      <x:c r="Q1532" s="10" t="n">
        <x:f>J1532*'Assumptions'!$S$146</x:f>
        <x:v>0</x:v>
      </x:c>
      <x:c r="R1532" s="10" t="n">
        <x:f>H1532*'Assumptions'!$Y$146*'Assumptions'!$Z$146*'Assumptions'!$D$11*(1+'Assumptions'!$D$13)^(12-1)</x:f>
        <x:v>714.3575707643608</x:v>
      </x:c>
      <x:c r="S1532" s="10" t="n">
        <x:f>IF(I1532=0,0,J1532*'Assumptions'!$W$146+H1532*'Assumptions'!$X$146)</x:f>
        <x:v>758.0595322415996</x:v>
      </x:c>
      <x:c r="T1532" s="10" t="n">
        <x:f>N1532*'Assumptions'!$AA$146</x:f>
        <x:v>1896.4753253580125</x:v>
      </x:c>
      <x:c r="U1532" s="10" t="n">
        <x:f>'Assumptions'!$AE$146*'Assumptions'!$D$11*(1+'Assumptions'!$D$13)^(12-1)</x:f>
        <x:v>0</x:v>
      </x:c>
      <x:c r="V1532" s="10" t="n">
        <x:f>0</x:f>
        <x:v>0</x:v>
      </x:c>
      <x:c r="W1532" s="10" t="n">
        <x:f>H1532*('Assumptions'!$P$146+'Assumptions'!$Y$146)</x:f>
        <x:v>45.87263184174046</x:v>
      </x:c>
      <x:c r="X1532" s="10" t="n">
        <x:f>N1532/12*'Assumptions'!$AF$146</x:f>
        <x:v>0</x:v>
      </x:c>
      <x:c r="Y1532" s="10" t="n">
        <x:f>P1532/12</x:f>
        <x:v>1058.3075122434975</x:v>
      </x:c>
      <x:c r="Z1532" s="10" t="n">
        <x:f>0</x:f>
        <x:v>0</x:v>
      </x:c>
      <x:c r="AA1532" s="10" t="n">
        <x:f>Z1532*'Assumptions'!$AC$146*'Assumptions'!$D$11*(1+'Assumptions'!$D$13)^(12-1)</x:f>
        <x:v>0</x:v>
      </x:c>
      <x:c r="AB1532" s="10" t="n">
        <x:f>F1532/1</x:f>
        <x:v>81.27967417937089</x:v>
      </x:c>
      <x:c r="AC1532" s="10" t="n">
        <x:f>AB1532/'Assumptions'!$AM$146</x:f>
        <x:v>2709.3224726456965</x:v>
      </x:c>
      <x:c r="AD1532" s="10" t="n">
        <x:f>IF(AB1532=0,0,T1532/AB1532)</x:f>
        <x:v>23.33271318451404</x:v>
      </x:c>
      <x:c r="AE1532" s="10" t="n">
        <x:f>AA1532*'Assumptions'!$D$21</x:f>
        <x:v>0</x:v>
      </x:c>
    </x:row>
    <x:row r="1533" ht="16" customHeight="1">
      <x:c r="A1533" s="1"/>
      <x:c r="B1533" s="1"/>
      <x:c r="C1533" s="1" t="str">
        <x:v>DOT-118</x:v>
      </x:c>
      <x:c r="D1533" s="10" t="str">
        <x:v>Fiefé Design</x:v>
      </x:c>
      <x:c r="E1533" s="10" t="n">
        <x:v>12</x:v>
      </x:c>
      <x:c r="F1533" s="21" t="n">
        <x:f>F1405*(1+'Assumptions'!$M$147)</x:f>
        <x:v>10.837289890582785</x:v>
      </x:c>
      <x:c r="G1533" s="21" t="n">
        <x:f>H1405*'Assumptions'!$K$147</x:f>
        <x:v>4.4535873899973675</x:v>
      </x:c>
      <x:c r="H1533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1533+G1533,NA())</x:f>
        <x:v>15.290877280580151</x:v>
      </x:c>
      <x:c r="I1533" s="22" t="n">
        <x:f>'Assumptions'!$H$147*IF('Assumptions'!$O$147=1,1,'Assumptions'!$D$10)*(1+'Assumptions'!$N$147)^(12-1)</x:f>
        <x:v>3108.4357709866313</x:v>
      </x:c>
      <x:c r="J1533" s="10" t="n">
        <x:f>H1533*I1533</x:f>
        <x:v>47530.70990872213</x:v>
      </x:c>
      <x:c r="K1533" s="10" t="n">
        <x:f>J1533*'Assumptions'!$T$147</x:f>
        <x:v>47530.70990872213</x:v>
      </x:c>
      <x:c r="L1533" s="10" t="n">
        <x:f>K1533*'Assumptions'!$U$147</x:f>
        <x:v>1425.9212972616638</x:v>
      </x:c>
      <x:c r="M1533" s="10" t="n">
        <x:f>K1533*'Assumptions'!$V$147</x:f>
        <x:v>950.6141981744425</x:v>
      </x:c>
      <x:c r="N1533" s="10" t="n">
        <x:f>K1533-L1533-M1533</x:f>
        <x:v>45154.17441328602</x:v>
      </x:c>
      <x:c r="O1533" s="10" t="n">
        <x:f>H1533*'Assumptions'!$P$147*'Assumptions'!$Q$147*'Assumptions'!$D$11*(1+'Assumptions'!$D$13)^(12-1)</x:f>
        <x:v>10159.752117537577</x:v>
      </x:c>
      <x:c r="P1533" s="10" t="n">
        <x:f>H1533*'Assumptions'!$R$147*'Assumptions'!$D$11*(1+'Assumptions'!$D$13)^(12-1)</x:f>
        <x:v>19049.535220382957</x:v>
      </x:c>
      <x:c r="Q1533" s="10" t="n">
        <x:f>J1533*'Assumptions'!$S$147</x:f>
        <x:v>0</x:v>
      </x:c>
      <x:c r="R1533" s="10" t="n">
        <x:f>H1533*'Assumptions'!$Y$147*'Assumptions'!$Z$147*'Assumptions'!$D$11*(1+'Assumptions'!$D$13)^(12-1)</x:f>
        <x:v>95.24767610191478</x:v>
      </x:c>
      <x:c r="S1533" s="10" t="n">
        <x:f>IF(I1533=0,0,J1533*'Assumptions'!$W$147+H1533*'Assumptions'!$X$147)</x:f>
        <x:v>1382.9778505371157</x:v>
      </x:c>
      <x:c r="T1533" s="10" t="n">
        <x:f>N1533*'Assumptions'!$AA$147</x:f>
        <x:v>3612.3339530628814</x:v>
      </x:c>
      <x:c r="U1533" s="10" t="n">
        <x:f>'Assumptions'!$AE$147*'Assumptions'!$D$11*(1+'Assumptions'!$D$13)^(12-1)</x:f>
        <x:v>0</x:v>
      </x:c>
      <x:c r="V1533" s="10" t="n">
        <x:f>0</x:f>
        <x:v>0</x:v>
      </x:c>
      <x:c r="W1533" s="10" t="n">
        <x:f>H1533*('Assumptions'!$P$147+'Assumptions'!$Y$147)</x:f>
        <x:v>124.62064983672823</x:v>
      </x:c>
      <x:c r="X1533" s="10" t="n">
        <x:f>N1533/12*'Assumptions'!$AF$147</x:f>
        <x:v>0</x:v>
      </x:c>
      <x:c r="Y1533" s="10" t="n">
        <x:f>P1533/12</x:f>
        <x:v>1587.4612683652465</x:v>
      </x:c>
      <x:c r="Z1533" s="10" t="n">
        <x:f>0</x:f>
        <x:v>0</x:v>
      </x:c>
      <x:c r="AA1533" s="10" t="n">
        <x:f>Z1533*'Assumptions'!$AC$147*'Assumptions'!$D$11*(1+'Assumptions'!$D$13)^(12-1)</x:f>
        <x:v>0</x:v>
      </x:c>
      <x:c r="AB1533" s="10" t="n">
        <x:f>F1533/1</x:f>
        <x:v>10.837289890582785</x:v>
      </x:c>
      <x:c r="AC1533" s="10" t="n">
        <x:f>AB1533/'Assumptions'!$AM$147</x:f>
        <x:v>361.2429963527595</x:v>
      </x:c>
      <x:c r="AD1533" s="10" t="n">
        <x:f>IF(AB1533=0,0,T1533/AB1533)</x:f>
        <x:v>333.32447406448637</x:v>
      </x:c>
      <x:c r="AE1533" s="10" t="n">
        <x:f>AA1533*'Assumptions'!$D$21</x:f>
        <x:v>0</x:v>
      </x:c>
    </x:row>
    <x:row r="1534" ht="16" customHeight="1">
      <x:c r="A1534" s="1"/>
      <x:c r="B1534" s="1"/>
      <x:c r="C1534" s="1" t="str">
        <x:v>DOT-119</x:v>
      </x:c>
      <x:c r="D1534" s="10" t="str">
        <x:v>OsezArt</x:v>
      </x:c>
      <x:c r="E1534" s="10" t="n">
        <x:v>12</x:v>
      </x:c>
      <x:c r="F1534" s="21" t="n">
        <x:f>F1406*(1+'Assumptions'!$M$148)</x:f>
        <x:v>9.180959210442039</x:v>
      </x:c>
      <x:c r="G1534" s="21" t="n">
        <x:f>H1406*'Assumptions'!$K$148</x:f>
        <x:v>18.979179838049536</x:v>
      </x:c>
      <x:c r="H1534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1534+G1534,NA())</x:f>
        <x:v>28.160139048491573</x:v>
      </x:c>
      <x:c r="I1534" s="22" t="n">
        <x:f>'Assumptions'!$H$148*IF('Assumptions'!$O$148=1,1,'Assumptions'!$D$10)*(1+'Assumptions'!$N$148)^(12-1)</x:f>
        <x:v>6216.8715419732625</x:v>
      </x:c>
      <x:c r="J1534" s="10" t="n">
        <x:f>H1534*I1534</x:f>
        <x:v>175067.96706857727</x:v>
      </x:c>
      <x:c r="K1534" s="10" t="n">
        <x:f>J1534*'Assumptions'!$T$148</x:f>
        <x:v>35013.593413715455</x:v>
      </x:c>
      <x:c r="L1534" s="10" t="n">
        <x:f>K1534*'Assumptions'!$U$148</x:f>
        <x:v>1050.4078024114635</x:v>
      </x:c>
      <x:c r="M1534" s="10" t="n">
        <x:f>K1534*'Assumptions'!$V$148</x:f>
        <x:v>0</x:v>
      </x:c>
      <x:c r="N1534" s="10" t="n">
        <x:f>K1534-L1534-M1534</x:f>
        <x:v>33963.18561130399</x:v>
      </x:c>
      <x:c r="O1534" s="10" t="n">
        <x:f>H1534*'Assumptions'!$P$148*'Assumptions'!$Q$148*'Assumptions'!$D$11*(1+'Assumptions'!$D$13)^(12-1)</x:f>
        <x:v>9355.252386055705</x:v>
      </x:c>
      <x:c r="P1534" s="10" t="n">
        <x:f>H1534*'Assumptions'!$R$148*'Assumptions'!$D$11*(1+'Assumptions'!$D$13)^(12-1)</x:f>
        <x:v>0</x:v>
      </x:c>
      <x:c r="Q1534" s="10" t="n">
        <x:f>J1534*'Assumptions'!$S$148</x:f>
        <x:v>0</x:v>
      </x:c>
      <x:c r="R1534" s="10" t="n">
        <x:f>H1534*'Assumptions'!$Y$148*'Assumptions'!$Z$148*'Assumptions'!$D$11*(1+'Assumptions'!$D$13)^(12-1)</x:f>
        <x:v>175.41098223854448</x:v>
      </x:c>
      <x:c r="S1534" s="10" t="n">
        <x:f>IF(I1534=0,0,J1534*'Assumptions'!$W$148+H1534*'Assumptions'!$X$148)</x:f>
        <x:v>5085.419086703289</x:v>
      </x:c>
      <x:c r="T1534" s="10" t="n">
        <x:f>N1534*'Assumptions'!$AA$148</x:f>
        <x:v>1698.1592805651997</x:v>
      </x:c>
      <x:c r="U1534" s="10" t="n">
        <x:f>'Assumptions'!$AE$148*'Assumptions'!$D$11*(1+'Assumptions'!$D$13)^(12-1)</x:f>
        <x:v>0</x:v>
      </x:c>
      <x:c r="V1534" s="10" t="n">
        <x:f>0</x:f>
        <x:v>0</x:v>
      </x:c>
      <x:c r="W1534" s="10" t="n">
        <x:f>H1534*('Assumptions'!$P$148+'Assumptions'!$Y$148)</x:f>
        <x:v>116.86457705124003</x:v>
      </x:c>
      <x:c r="X1534" s="10" t="n">
        <x:f>N1534/12*'Assumptions'!$AF$148</x:f>
        <x:v>0</x:v>
      </x:c>
      <x:c r="Y1534" s="10" t="n">
        <x:f>P1534/12</x:f>
        <x:v>0</x:v>
      </x:c>
      <x:c r="Z1534" s="10" t="n">
        <x:f>0</x:f>
        <x:v>0</x:v>
      </x:c>
      <x:c r="AA1534" s="10" t="n">
        <x:f>Z1534*'Assumptions'!$AC$148*'Assumptions'!$D$11*(1+'Assumptions'!$D$13)^(12-1)</x:f>
        <x:v>0</x:v>
      </x:c>
      <x:c r="AB1534" s="10" t="n">
        <x:f>F1534/1</x:f>
        <x:v>9.180959210442039</x:v>
      </x:c>
      <x:c r="AC1534" s="10" t="n">
        <x:f>AB1534/'Assumptions'!$AM$148</x:f>
        <x:v>183.61918420884075</x:v>
      </x:c>
      <x:c r="AD1534" s="10" t="n">
        <x:f>IF(AB1534=0,0,T1534/AB1534)</x:f>
        <x:v>184.96534421303</x:v>
      </x:c>
      <x:c r="AE1534" s="10" t="n">
        <x:f>AA1534*'Assumptions'!$D$21</x:f>
        <x:v>0</x:v>
      </x:c>
    </x:row>
    <x:row r="1535" ht="16" customHeight="1">
      <x:c r="A1535" s="1"/>
      <x:c r="B1535" s="1"/>
      <x:c r="C1535" s="1" t="str">
        <x:v>DOT-120</x:v>
      </x:c>
      <x:c r="D1535" s="10" t="str">
        <x:v>OsezArt</x:v>
      </x:c>
      <x:c r="E1535" s="10" t="n">
        <x:v>12</x:v>
      </x:c>
      <x:c r="F1535" s="21" t="n">
        <x:f>F1407*(1+'Assumptions'!$M$149)</x:f>
        <x:v>5.401974979105659</x:v>
      </x:c>
      <x:c r="G1535" s="21" t="n">
        <x:f>H1407*'Assumptions'!$K$149</x:f>
        <x:v>5.091937738248262</x:v>
      </x:c>
      <x:c r="H1535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1535+G1535,NA())</x:f>
        <x:v>10.493912717353922</x:v>
      </x:c>
      <x:c r="I1535" s="22" t="n">
        <x:f>'Assumptions'!$H$149*IF('Assumptions'!$O$149=1,1,'Assumptions'!$D$10)*(1+'Assumptions'!$N$149)^(12-1)</x:f>
        <x:v>6216.8715419732625</x:v>
      </x:c>
      <x:c r="J1535" s="10" t="n">
        <x:f>H1535*I1535</x:f>
        <x:v>65239.307336468904</x:v>
      </x:c>
      <x:c r="K1535" s="10" t="n">
        <x:f>J1535*'Assumptions'!$T$149</x:f>
        <x:v>65239.307336468904</x:v>
      </x:c>
      <x:c r="L1535" s="10" t="n">
        <x:f>K1535*'Assumptions'!$U$149</x:f>
        <x:v>1957.179220094067</x:v>
      </x:c>
      <x:c r="M1535" s="10" t="n">
        <x:f>K1535*'Assumptions'!$V$149</x:f>
        <x:v>0</x:v>
      </x:c>
      <x:c r="N1535" s="10" t="n">
        <x:f>K1535-L1535-M1535</x:f>
        <x:v>63282.128116374835</x:v>
      </x:c>
      <x:c r="O1535" s="10" t="n">
        <x:f>H1535*'Assumptions'!$P$149*'Assumptions'!$Q$149*'Assumptions'!$D$11*(1+'Assumptions'!$D$13)^(12-1)</x:f>
        <x:v>28325.75736858525</x:v>
      </x:c>
      <x:c r="P1535" s="10" t="n">
        <x:f>H1535*'Assumptions'!$R$149*'Assumptions'!$D$11*(1+'Assumptions'!$D$13)^(12-1)</x:f>
        <x:v>3631.507354946827</x:v>
      </x:c>
      <x:c r="Q1535" s="10" t="n">
        <x:f>J1535*'Assumptions'!$S$149</x:f>
        <x:v>0</x:v>
      </x:c>
      <x:c r="R1535" s="10" t="n">
        <x:f>H1535*'Assumptions'!$Y$149*'Assumptions'!$Z$149*'Assumptions'!$D$11*(1+'Assumptions'!$D$13)^(12-1)</x:f>
        <x:v>108.94522064840481</x:v>
      </x:c>
      <x:c r="S1535" s="10" t="n">
        <x:f>IF(I1535=0,0,J1535*'Assumptions'!$W$149+H1535*'Assumptions'!$X$149)</x:f>
        <x:v>1895.0880865728043</x:v>
      </x:c>
      <x:c r="T1535" s="10" t="n">
        <x:f>N1535*'Assumptions'!$AA$149</x:f>
        <x:v>2531.2851246549935</x:v>
      </x:c>
      <x:c r="U1535" s="10" t="n">
        <x:f>'Assumptions'!$AE$149*'Assumptions'!$D$11*(1+'Assumptions'!$D$13)^(12-1)</x:f>
        <x:v>0</x:v>
      </x:c>
      <x:c r="V1535" s="10" t="n">
        <x:f>0</x:f>
        <x:v>0</x:v>
      </x:c>
      <x:c r="W1535" s="10" t="n">
        <x:f>H1535*('Assumptions'!$P$149+'Assumptions'!$Y$149)</x:f>
        <x:v>317.44085969995615</x:v>
      </x:c>
      <x:c r="X1535" s="10" t="n">
        <x:f>N1535/12*'Assumptions'!$AF$149</x:f>
        <x:v>5273.51067636457</x:v>
      </x:c>
      <x:c r="Y1535" s="10" t="n">
        <x:f>P1535/12</x:f>
        <x:v>302.62561291223557</x:v>
      </x:c>
      <x:c r="Z1535" s="10" t="n">
        <x:f>0</x:f>
        <x:v>0</x:v>
      </x:c>
      <x:c r="AA1535" s="10" t="n">
        <x:f>Z1535*'Assumptions'!$AC$149*'Assumptions'!$D$11*(1+'Assumptions'!$D$13)^(12-1)</x:f>
        <x:v>0</x:v>
      </x:c>
      <x:c r="AB1535" s="10" t="n">
        <x:f>F1535/1</x:f>
        <x:v>5.401974979105659</x:v>
      </x:c>
      <x:c r="AC1535" s="10" t="n">
        <x:f>AB1535/'Assumptions'!$AM$149</x:f>
        <x:v>27.00987489552829</x:v>
      </x:c>
      <x:c r="AD1535" s="10" t="n">
        <x:f>IF(AB1535=0,0,T1535/AB1535)</x:f>
        <x:v>468.58512570787</x:v>
      </x:c>
      <x:c r="AE1535" s="10" t="n">
        <x:f>AA1535*'Assumptions'!$D$21</x:f>
        <x:v>0</x:v>
      </x:c>
    </x:row>
    <x:row r="1536" ht="16" customHeight="1">
      <x:c r="A1536" s="1"/>
      <x:c r="B1536" s="1"/>
      <x:c r="C1536" s="1" t="str">
        <x:v>DOT-121</x:v>
      </x:c>
      <x:c r="D1536" s="10" t="str">
        <x:v>OsezArt</x:v>
      </x:c>
      <x:c r="E1536" s="10" t="n">
        <x:v>12</x:v>
      </x:c>
      <x:c r="F1536" s="21" t="n">
        <x:f>F1408*(1+'Assumptions'!$M$150)</x:f>
        <x:v>5.401974979105659</x:v>
      </x:c>
      <x:c r="G1536" s="21" t="n">
        <x:f>H1408*'Assumptions'!$K$150</x:f>
        <x:v>5.091205316373262</x:v>
      </x:c>
      <x:c r="H1536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1536+G1536,NA())</x:f>
        <x:v>10.493180295478922</x:v>
      </x:c>
      <x:c r="I1536" s="22" t="n">
        <x:f>'Assumptions'!$H$150*IF('Assumptions'!$O$150=1,1,'Assumptions'!$D$10)*(1+'Assumptions'!$N$150)^(12-1)</x:f>
        <x:v>3730.1229251839572</x:v>
      </x:c>
      <x:c r="J1536" s="10" t="n">
        <x:f>H1536*I1536</x:f>
        <x:v>39140.852378254494</x:v>
      </x:c>
      <x:c r="K1536" s="10" t="n">
        <x:f>J1536*'Assumptions'!$T$150</x:f>
        <x:v>39140.852378254494</x:v>
      </x:c>
      <x:c r="L1536" s="10" t="n">
        <x:f>K1536*'Assumptions'!$U$150</x:f>
        <x:v>1174.2255713476347</x:v>
      </x:c>
      <x:c r="M1536" s="10" t="n">
        <x:f>K1536*'Assumptions'!$V$150</x:f>
        <x:v>0</x:v>
      </x:c>
      <x:c r="N1536" s="10" t="n">
        <x:f>K1536-L1536-M1536</x:f>
        <x:v>37966.62680690686</x:v>
      </x:c>
      <x:c r="O1536" s="10" t="n">
        <x:f>H1536*'Assumptions'!$P$150*'Assumptions'!$Q$150*'Assumptions'!$D$11*(1+'Assumptions'!$D$13)^(12-1)</x:f>
        <x:v>16994.26822464572</x:v>
      </x:c>
      <x:c r="P1536" s="10" t="n">
        <x:f>H1536*'Assumptions'!$R$150*'Assumptions'!$D$11*(1+'Assumptions'!$D$13)^(12-1)</x:f>
        <x:v>2905.0031153240543</x:v>
      </x:c>
      <x:c r="Q1536" s="10" t="n">
        <x:f>J1536*'Assumptions'!$S$150</x:f>
        <x:v>0</x:v>
      </x:c>
      <x:c r="R1536" s="10" t="n">
        <x:f>H1536*'Assumptions'!$Y$150*'Assumptions'!$Z$150*'Assumptions'!$D$11*(1+'Assumptions'!$D$13)^(12-1)</x:f>
        <x:v>108.93761682465205</x:v>
      </x:c>
      <x:c r="S1536" s="10" t="n">
        <x:f>IF(I1536=0,0,J1536*'Assumptions'!$W$150+H1536*'Assumptions'!$X$150)</x:f>
        <x:v>1138.2326730580241</x:v>
      </x:c>
      <x:c r="T1536" s="10" t="n">
        <x:f>N1536*'Assumptions'!$AA$150</x:f>
        <x:v>1518.6650722762745</x:v>
      </x:c>
      <x:c r="U1536" s="10" t="n">
        <x:f>'Assumptions'!$AE$150*'Assumptions'!$D$11*(1+'Assumptions'!$D$13)^(12-1)</x:f>
        <x:v>0</x:v>
      </x:c>
      <x:c r="V1536" s="10" t="n">
        <x:f>0</x:f>
        <x:v>0</x:v>
      </x:c>
      <x:c r="W1536" s="10" t="n">
        <x:f>H1536*('Assumptions'!$P$150+'Assumptions'!$Y$150)</x:f>
        <x:v>191.50054039249034</x:v>
      </x:c>
      <x:c r="X1536" s="10" t="n">
        <x:f>N1536/12*'Assumptions'!$AF$150</x:f>
        <x:v>3163.8855672422383</x:v>
      </x:c>
      <x:c r="Y1536" s="10" t="n">
        <x:f>P1536/12</x:f>
        <x:v>242.0835929436712</x:v>
      </x:c>
      <x:c r="Z1536" s="10" t="n">
        <x:f>0</x:f>
        <x:v>0</x:v>
      </x:c>
      <x:c r="AA1536" s="10" t="n">
        <x:f>Z1536*'Assumptions'!$AC$150*'Assumptions'!$D$11*(1+'Assumptions'!$D$13)^(12-1)</x:f>
        <x:v>0</x:v>
      </x:c>
      <x:c r="AB1536" s="10" t="n">
        <x:f>F1536/1</x:f>
        <x:v>5.401974979105659</x:v>
      </x:c>
      <x:c r="AC1536" s="10" t="n">
        <x:f>AB1536/'Assumptions'!$AM$150</x:f>
        <x:v>27.00987489552829</x:v>
      </x:c>
      <x:c r="AD1536" s="10" t="n">
        <x:f>IF(AB1536=0,0,T1536/AB1536)</x:f>
        <x:v>281.13145250585774</x:v>
      </x:c>
      <x:c r="AE1536" s="10" t="n">
        <x:f>AA1536*'Assumptions'!$D$21</x:f>
        <x:v>0</x:v>
      </x:c>
    </x:row>
    <x:row r="1537" ht="16" customHeight="1">
      <x:c r="A1537" s="1"/>
      <x:c r="B1537" s="1"/>
      <x:c r="C1537" s="1" t="str">
        <x:v>DOT-122</x:v>
      </x:c>
      <x:c r="D1537" s="10" t="str">
        <x:v>OsezArt</x:v>
      </x:c>
      <x:c r="E1537" s="10" t="n">
        <x:v>12</x:v>
      </x:c>
      <x:c r="F1537" s="21" t="n">
        <x:f>F1409*(1+'Assumptions'!$M$151)</x:f>
        <x:v>1.8006583263685534</x:v>
      </x:c>
      <x:c r="G1537" s="21" t="n">
        <x:f>H1409*'Assumptions'!$K$151</x:f>
        <x:v>1.697068438791088</x:v>
      </x:c>
      <x:c r="H1537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1537+G1537,NA())</x:f>
        <x:v>3.4977267651596415</x:v>
      </x:c>
      <x:c r="I1537" s="22" t="n">
        <x:f>'Assumptions'!$H$151*IF('Assumptions'!$O$151=1,1,'Assumptions'!$D$10)*(1+'Assumptions'!$N$151)^(12-1)</x:f>
        <x:v>12433.743083946525</x:v>
      </x:c>
      <x:c r="J1537" s="10" t="n">
        <x:f>H1537*I1537</x:f>
        <x:v>43489.835975838345</x:v>
      </x:c>
      <x:c r="K1537" s="10" t="n">
        <x:f>J1537*'Assumptions'!$T$151</x:f>
        <x:v>43489.835975838345</x:v>
      </x:c>
      <x:c r="L1537" s="10" t="n">
        <x:f>K1537*'Assumptions'!$U$151</x:f>
        <x:v>1304.6950792751502</x:v>
      </x:c>
      <x:c r="M1537" s="10" t="n">
        <x:f>K1537*'Assumptions'!$V$151</x:f>
        <x:v>0</x:v>
      </x:c>
      <x:c r="N1537" s="10" t="n">
        <x:f>K1537-L1537-M1537</x:f>
        <x:v>42185.14089656319</x:v>
      </x:c>
      <x:c r="O1537" s="10" t="n">
        <x:f>H1537*'Assumptions'!$P$151*'Assumptions'!$Q$151*'Assumptions'!$D$11*(1+'Assumptions'!$D$13)^(12-1)</x:f>
        <x:v>18882.52024960636</x:v>
      </x:c>
      <x:c r="P1537" s="10" t="n">
        <x:f>H1537*'Assumptions'!$R$151*'Assumptions'!$D$11*(1+'Assumptions'!$D$13)^(12-1)</x:f>
        <x:v>2420.835929436713</x:v>
      </x:c>
      <x:c r="Q1537" s="10" t="n">
        <x:f>J1537*'Assumptions'!$S$151</x:f>
        <x:v>0</x:v>
      </x:c>
      <x:c r="R1537" s="10" t="n">
        <x:f>H1537*'Assumptions'!$Y$151*'Assumptions'!$Z$151*'Assumptions'!$D$11*(1+'Assumptions'!$D$13)^(12-1)</x:f>
        <x:v>36.31253894155069</x:v>
      </x:c>
      <x:c r="S1537" s="10" t="n">
        <x:f>IF(I1537=0,0,J1537*'Assumptions'!$W$151+H1537*'Assumptions'!$X$151)</x:f>
        <x:v>1262.25456132886</x:v>
      </x:c>
      <x:c r="T1537" s="10" t="n">
        <x:f>N1537*'Assumptions'!$AA$151</x:f>
        <x:v>1687.4056358625278</x:v>
      </x:c>
      <x:c r="U1537" s="10" t="n">
        <x:f>'Assumptions'!$AE$151*'Assumptions'!$D$11*(1+'Assumptions'!$D$13)^(12-1)</x:f>
        <x:v>0</x:v>
      </x:c>
      <x:c r="V1537" s="10" t="n">
        <x:f>0</x:f>
        <x:v>0</x:v>
      </x:c>
      <x:c r="W1537" s="10" t="n">
        <x:f>H1537*('Assumptions'!$P$151+'Assumptions'!$Y$151)</x:f>
        <x:v>210.7380376008684</x:v>
      </x:c>
      <x:c r="X1537" s="10" t="n">
        <x:f>N1537/12*'Assumptions'!$AF$151</x:f>
        <x:v>3515.428408046933</x:v>
      </x:c>
      <x:c r="Y1537" s="10" t="n">
        <x:f>P1537/12</x:f>
        <x:v>201.7363274530594</x:v>
      </x:c>
      <x:c r="Z1537" s="10" t="n">
        <x:f>0</x:f>
        <x:v>0</x:v>
      </x:c>
      <x:c r="AA1537" s="10" t="n">
        <x:f>Z1537*'Assumptions'!$AC$151*'Assumptions'!$D$11*(1+'Assumptions'!$D$13)^(12-1)</x:f>
        <x:v>0</x:v>
      </x:c>
      <x:c r="AB1537" s="10" t="n">
        <x:f>F1537/1</x:f>
        <x:v>1.8006583263685534</x:v>
      </x:c>
      <x:c r="AC1537" s="10" t="n">
        <x:f>AB1537/'Assumptions'!$AM$151</x:f>
        <x:v>9.003291631842766</x:v>
      </x:c>
      <x:c r="AD1537" s="10" t="n">
        <x:f>IF(AB1537=0,0,T1537/AB1537)</x:f>
        <x:v>937.1048416861926</x:v>
      </x:c>
      <x:c r="AE1537" s="10" t="n">
        <x:f>AA1537*'Assumptions'!$D$21</x:f>
        <x:v>0</x:v>
      </x:c>
    </x:row>
    <x:row r="1538" ht="16" customHeight="1">
      <x:c r="A1538" s="1"/>
      <x:c r="B1538" s="1"/>
      <x:c r="C1538" s="1" t="str">
        <x:v>DOT-123</x:v>
      </x:c>
      <x:c r="D1538" s="10" t="str">
        <x:v>FinBot research</x:v>
      </x:c>
      <x:c r="E1538" s="10" t="n">
        <x:v>12</x:v>
      </x:c>
      <x:c r="F1538" s="21" t="n">
        <x:f>F1410*(1+'Assumptions'!$M$152)</x:f>
        <x:v>193.5951369605781</x:v>
      </x:c>
      <x:c r="G1538" s="21" t="n">
        <x:f>H1410*'Assumptions'!$K$152</x:f>
        <x:v>62.04929969151054</x:v>
      </x:c>
      <x:c r="H1538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1538+G1538,NA())</x:f>
        <x:v>255.64443665208864</x:v>
      </x:c>
      <x:c r="I1538" s="22" t="n">
        <x:f>'Assumptions'!$H$152*IF('Assumptions'!$O$152=1,1,'Assumptions'!$D$10)*(1+'Assumptions'!$N$152)^(12-1)</x:f>
        <x:v>36.05785494344492</x:v>
      </x:c>
      <x:c r="J1538" s="10" t="n">
        <x:f>H1538*I1538</x:f>
        <x:v>9217.990013899707</x:v>
      </x:c>
      <x:c r="K1538" s="10" t="n">
        <x:f>J1538*'Assumptions'!$T$152</x:f>
        <x:v>9217.990013899707</x:v>
      </x:c>
      <x:c r="L1538" s="10" t="n">
        <x:f>K1538*'Assumptions'!$U$152</x:f>
        <x:v>276.5397004169912</x:v>
      </x:c>
      <x:c r="M1538" s="10" t="n">
        <x:f>K1538*'Assumptions'!$V$152</x:f>
        <x:v>0</x:v>
      </x:c>
      <x:c r="N1538" s="10" t="n">
        <x:f>K1538-L1538-M1538</x:f>
        <x:v>8941.450313482716</x:v>
      </x:c>
      <x:c r="O1538" s="10" t="n">
        <x:f>H1538*'Assumptions'!$P$152*'Assumptions'!$Q$152*'Assumptions'!$D$11*(1+'Assumptions'!$D$13)^(12-1)</x:f>
        <x:v>3184.8451926848197</x:v>
      </x:c>
      <x:c r="P1538" s="10" t="n">
        <x:f>H1538*'Assumptions'!$R$152*'Assumptions'!$D$11*(1+'Assumptions'!$D$13)^(12-1)</x:f>
        <x:v>0</x:v>
      </x:c>
      <x:c r="Q1538" s="10" t="n">
        <x:f>J1538*'Assumptions'!$S$152</x:f>
        <x:v>0</x:v>
      </x:c>
      <x:c r="R1538" s="10" t="n">
        <x:f>H1538*'Assumptions'!$Y$152*'Assumptions'!$Z$152*'Assumptions'!$D$11*(1+'Assumptions'!$D$13)^(12-1)</x:f>
        <x:v>1061.6150642282735</x:v>
      </x:c>
      <x:c r="S1538" s="10" t="n">
        <x:f>IF(I1538=0,0,J1538*'Assumptions'!$W$152+H1538*'Assumptions'!$X$152)</x:f>
        <x:v>344.0150413987181</x:v>
      </x:c>
      <x:c r="T1538" s="10" t="n">
        <x:f>N1538*'Assumptions'!$AA$152</x:f>
        <x:v>447.0725156741358</x:v>
      </x:c>
      <x:c r="U1538" s="10" t="n">
        <x:f>'Assumptions'!$AE$152*'Assumptions'!$D$11*(1+'Assumptions'!$D$13)^(12-1)</x:f>
        <x:v>332.216128973867</x:v>
      </x:c>
      <x:c r="V1538" s="10" t="n">
        <x:f>0</x:f>
        <x:v>0</x:v>
      </x:c>
      <x:c r="W1538" s="10" t="n">
        <x:f>H1538*('Assumptions'!$P$152+'Assumptions'!$Y$152)</x:f>
        <x:v>76.69333099562661</x:v>
      </x:c>
      <x:c r="X1538" s="10" t="n">
        <x:f>N1538/12*'Assumptions'!$AF$152</x:f>
        <x:v>0</x:v>
      </x:c>
      <x:c r="Y1538" s="10" t="n">
        <x:f>P1538/12</x:f>
        <x:v>0</x:v>
      </x:c>
      <x:c r="Z1538" s="10" t="n">
        <x:f>0</x:f>
        <x:v>0</x:v>
      </x:c>
      <x:c r="AA1538" s="10" t="n">
        <x:f>Z1538*'Assumptions'!$AC$152*'Assumptions'!$D$11*(1+'Assumptions'!$D$13)^(12-1)</x:f>
        <x:v>0</x:v>
      </x:c>
      <x:c r="AB1538" s="10" t="n">
        <x:f>F1538/12</x:f>
        <x:v>16.132928080048174</x:v>
      </x:c>
      <x:c r="AC1538" s="10" t="n">
        <x:f>AB1538/'Assumptions'!$AM$152</x:f>
        <x:v>322.6585616009635</x:v>
      </x:c>
      <x:c r="AD1538" s="10" t="n">
        <x:f>IF(AB1538=0,0,T1538/AB1538)</x:f>
        <x:v>27.711802436349842</x:v>
      </x:c>
      <x:c r="AE1538" s="10" t="n">
        <x:f>AA1538*'Assumptions'!$D$21</x:f>
        <x:v>0</x:v>
      </x:c>
    </x:row>
    <x:row r="1539" ht="16" customHeight="1">
      <x:c r="A1539" s="1"/>
      <x:c r="B1539" s="1"/>
      <x:c r="C1539" s="1" t="str">
        <x:v>DOT-124</x:v>
      </x:c>
      <x:c r="D1539" s="10" t="str">
        <x:v>Functional Analysis</x:v>
      </x:c>
      <x:c r="E1539" s="10" t="n">
        <x:v>12</x:v>
      </x:c>
      <x:c r="F1539" s="21" t="n">
        <x:f>F1411*(1+'Assumptions'!$M$153)</x:f>
        <x:v>387.1902739211562</x:v>
      </x:c>
      <x:c r="G1539" s="21" t="n">
        <x:f>H1411*'Assumptions'!$K$153</x:f>
        <x:v>124.09859938302108</x:v>
      </x:c>
      <x:c r="H1539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1539+G1539,NA())</x:f>
        <x:v>511.2888733041773</x:v>
      </x:c>
      <x:c r="I1539" s="22" t="n">
        <x:f>'Assumptions'!$H$153*IF('Assumptions'!$O$153=1,1,'Assumptions'!$D$10)*(1+'Assumptions'!$N$153)^(12-1)</x:f>
        <x:v>23.624111859498395</x:v>
      </x:c>
      <x:c r="J1539" s="10" t="n">
        <x:f>H1539*I1539</x:f>
        <x:v>12078.745535454787</x:v>
      </x:c>
      <x:c r="K1539" s="10" t="n">
        <x:f>J1539*'Assumptions'!$T$153</x:f>
        <x:v>12078.745535454787</x:v>
      </x:c>
      <x:c r="L1539" s="10" t="n">
        <x:f>K1539*'Assumptions'!$U$153</x:f>
        <x:v>362.3623660636436</x:v>
      </x:c>
      <x:c r="M1539" s="10" t="n">
        <x:f>K1539*'Assumptions'!$V$153</x:f>
        <x:v>0</x:v>
      </x:c>
      <x:c r="N1539" s="10" t="n">
        <x:f>K1539-L1539-M1539</x:f>
        <x:v>11716.383169391143</x:v>
      </x:c>
      <x:c r="O1539" s="10" t="n">
        <x:f>H1539*'Assumptions'!$P$153*'Assumptions'!$Q$153*'Assumptions'!$D$11*(1+'Assumptions'!$D$13)^(12-1)</x:f>
        <x:v>2477.1018165326377</x:v>
      </x:c>
      <x:c r="P1539" s="10" t="n">
        <x:f>H1539*'Assumptions'!$R$153*'Assumptions'!$D$11*(1+'Assumptions'!$D$13)^(12-1)</x:f>
        <x:v>0</x:v>
      </x:c>
      <x:c r="Q1539" s="10" t="n">
        <x:f>J1539*'Assumptions'!$S$153</x:f>
        <x:v>0</x:v>
      </x:c>
      <x:c r="R1539" s="10" t="n">
        <x:f>H1539*'Assumptions'!$Y$153*'Assumptions'!$Z$153*'Assumptions'!$D$11*(1+'Assumptions'!$D$13)^(12-1)</x:f>
        <x:v>2123.230128456547</x:v>
      </x:c>
      <x:c r="S1539" s="10" t="n">
        <x:f>IF(I1539=0,0,J1539*'Assumptions'!$W$153+H1539*'Assumptions'!$X$153)</x:f>
        <x:v>503.670282519442</x:v>
      </x:c>
      <x:c r="T1539" s="10" t="n">
        <x:f>N1539*'Assumptions'!$AA$153</x:f>
        <x:v>585.8191584695572</x:v>
      </x:c>
      <x:c r="U1539" s="10" t="n">
        <x:f>'Assumptions'!$AE$153*'Assumptions'!$D$11*(1+'Assumptions'!$D$13)^(12-1)</x:f>
        <x:v>0</x:v>
      </x:c>
      <x:c r="V1539" s="10" t="n">
        <x:f>0</x:f>
        <x:v>0</x:v>
      </x:c>
      <x:c r="W1539" s="10" t="n">
        <x:f>H1539*('Assumptions'!$P$153+'Assumptions'!$Y$153)</x:f>
        <x:v>102.25777466083547</x:v>
      </x:c>
      <x:c r="X1539" s="10" t="n">
        <x:f>N1539/12*'Assumptions'!$AF$153</x:f>
        <x:v>0</x:v>
      </x:c>
      <x:c r="Y1539" s="10" t="n">
        <x:f>P1539/12</x:f>
        <x:v>0</x:v>
      </x:c>
      <x:c r="Z1539" s="10" t="n">
        <x:f>0</x:f>
        <x:v>0</x:v>
      </x:c>
      <x:c r="AA1539" s="10" t="n">
        <x:f>Z1539*'Assumptions'!$AC$153*'Assumptions'!$D$11*(1+'Assumptions'!$D$13)^(12-1)</x:f>
        <x:v>0</x:v>
      </x:c>
      <x:c r="AB1539" s="10" t="n">
        <x:f>F1539/1</x:f>
        <x:v>387.1902739211562</x:v>
      </x:c>
      <x:c r="AC1539" s="10" t="n">
        <x:f>AB1539/'Assumptions'!$AM$153</x:f>
        <x:v>7743.8054784231235</x:v>
      </x:c>
      <x:c r="AD1539" s="10" t="n">
        <x:f>IF(AB1539=0,0,T1539/AB1539)</x:f>
        <x:v>1.5130007077317442</x:v>
      </x:c>
      <x:c r="AE1539" s="10" t="n">
        <x:f>AA1539*'Assumptions'!$D$21</x:f>
        <x:v>0</x:v>
      </x:c>
    </x:row>
    <x:row r="1540" ht="16" customHeight="1">
      <x:c r="A1540" s="1"/>
      <x:c r="B1540" s="1"/>
      <x:c r="C1540" s="1" t="str">
        <x:v>DOT-125</x:v>
      </x:c>
      <x:c r="D1540" s="10" t="str">
        <x:v>Functional Analysis</x:v>
      </x:c>
      <x:c r="E1540" s="10" t="n">
        <x:v>12</x:v>
      </x:c>
      <x:c r="F1540" s="21" t="n">
        <x:f>F1412*(1+'Assumptions'!$M$154)</x:f>
        <x:v>32.411849874633944</x:v>
      </x:c>
      <x:c r="G1540" s="21" t="n">
        <x:f>H1412*'Assumptions'!$K$154</x:f>
        <x:v>30.54723189823957</x:v>
      </x:c>
      <x:c r="H1540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1540+G1540,NA())</x:f>
        <x:v>62.95908177287352</x:v>
      </x:c>
      <x:c r="I1540" s="22" t="n">
        <x:f>'Assumptions'!$H$154*IF('Assumptions'!$O$154=1,1,'Assumptions'!$D$10)*(1+'Assumptions'!$N$154)^(12-1)</x:f>
        <x:v>123.09405653107059</x:v>
      </x:c>
      <x:c r="J1540" s="10" t="n">
        <x:f>H1540*I1540</x:f>
        <x:v>7749.8887708943885</x:v>
      </x:c>
      <x:c r="K1540" s="10" t="n">
        <x:f>J1540*'Assumptions'!$T$154</x:f>
        <x:v>7749.8887708943885</x:v>
      </x:c>
      <x:c r="L1540" s="10" t="n">
        <x:f>K1540*'Assumptions'!$U$154</x:f>
        <x:v>232.49666312683163</x:v>
      </x:c>
      <x:c r="M1540" s="10" t="n">
        <x:f>K1540*'Assumptions'!$V$154</x:f>
        <x:v>0</x:v>
      </x:c>
      <x:c r="N1540" s="10" t="n">
        <x:f>K1540-L1540-M1540</x:f>
        <x:v>7517.392107767557</x:v>
      </x:c>
      <x:c r="O1540" s="10" t="n">
        <x:f>H1540*'Assumptions'!$P$154*'Assumptions'!$Q$154*'Assumptions'!$D$11*(1+'Assumptions'!$D$13)^(12-1)</x:f>
        <x:v>3486.003738388865</x:v>
      </x:c>
      <x:c r="P1540" s="10" t="n">
        <x:f>H1540*'Assumptions'!$R$154*'Assumptions'!$D$11*(1+'Assumptions'!$D$13)^(12-1)</x:f>
        <x:v>0</x:v>
      </x:c>
      <x:c r="Q1540" s="10" t="n">
        <x:f>J1540*'Assumptions'!$S$154</x:f>
        <x:v>0</x:v>
      </x:c>
      <x:c r="R1540" s="10" t="n">
        <x:f>H1540*'Assumptions'!$Y$154*'Assumptions'!$Z$154*'Assumptions'!$D$11*(1+'Assumptions'!$D$13)^(12-1)</x:f>
        <x:v>653.6257009479122</x:v>
      </x:c>
      <x:c r="S1540" s="10" t="n">
        <x:f>IF(I1540=0,0,J1540*'Assumptions'!$W$154+H1540*'Assumptions'!$X$154)</x:f>
        <x:v>243.63449888779934</x:v>
      </x:c>
      <x:c r="T1540" s="10" t="n">
        <x:f>N1540*'Assumptions'!$AA$154</x:f>
        <x:v>300.6956843107023</x:v>
      </x:c>
      <x:c r="U1540" s="10" t="n">
        <x:f>'Assumptions'!$AE$154*'Assumptions'!$D$11*(1+'Assumptions'!$D$13)^(12-1)</x:f>
        <x:v>0</x:v>
      </x:c>
      <x:c r="V1540" s="10" t="n">
        <x:f>0</x:f>
        <x:v>0</x:v>
      </x:c>
      <x:c r="W1540" s="10" t="n">
        <x:f>H1540*('Assumptions'!$P$154+'Assumptions'!$Y$154)</x:f>
        <x:v>78.6988522160919</x:v>
      </x:c>
      <x:c r="X1540" s="10" t="n">
        <x:f>N1540/12*'Assumptions'!$AF$154</x:f>
        <x:v>626.449342313963</x:v>
      </x:c>
      <x:c r="Y1540" s="10" t="n">
        <x:f>P1540/12</x:f>
        <x:v>0</x:v>
      </x:c>
      <x:c r="Z1540" s="10" t="n">
        <x:f>0</x:f>
        <x:v>0</x:v>
      </x:c>
      <x:c r="AA1540" s="10" t="n">
        <x:f>Z1540*'Assumptions'!$AC$154*'Assumptions'!$D$11*(1+'Assumptions'!$D$13)^(12-1)</x:f>
        <x:v>0</x:v>
      </x:c>
      <x:c r="AB1540" s="10" t="n">
        <x:f>F1540/1</x:f>
        <x:v>32.411849874633944</x:v>
      </x:c>
      <x:c r="AC1540" s="10" t="n">
        <x:f>AB1540/'Assumptions'!$AM$154</x:f>
        <x:v>162.0592493731697</x:v>
      </x:c>
      <x:c r="AD1540" s="10" t="n">
        <x:f>IF(AB1540=0,0,T1540/AB1540)</x:f>
        <x:v>9.277337932693307</x:v>
      </x:c>
      <x:c r="AE1540" s="10" t="n">
        <x:f>AA1540*'Assumptions'!$D$21</x:f>
        <x:v>0</x:v>
      </x:c>
    </x:row>
    <x:row r="1541" ht="16" customHeight="1">
      <x:c r="A1541" s="1"/>
      <x:c r="B1541" s="1"/>
      <x:c r="C1541" s="1" t="str">
        <x:v>DOT-126</x:v>
      </x:c>
      <x:c r="D1541" s="10" t="str">
        <x:v>Independent candy game</x:v>
      </x:c>
      <x:c r="E1541" s="10" t="n">
        <x:v>12</x:v>
      </x:c>
      <x:c r="F1541" s="21" t="n">
        <x:f>F1413*(1+'Assumptions'!$M$155)</x:f>
        <x:v>967.9756848028904</x:v>
      </x:c>
      <x:c r="G1541" s="21" t="n">
        <x:f>H1413*'Assumptions'!$K$155</x:f>
        <x:v>310.2464984575527</x:v>
      </x:c>
      <x:c r="H1541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1541+G1541,NA())</x:f>
        <x:v>1278.2221832604432</x:v>
      </x:c>
      <x:c r="I1541" s="22" t="n">
        <x:f>'Assumptions'!$H$155*IF('Assumptions'!$O$155=1,1,'Assumptions'!$D$10)*(1+'Assumptions'!$N$155)^(12-1)</x:f>
        <x:v>6.204437798889316</x:v>
      </x:c>
      <x:c r="J1541" s="10" t="n">
        <x:f>H1541*I1541</x:f>
        <x:v>7930.65002919992</x:v>
      </x:c>
      <x:c r="K1541" s="10" t="n">
        <x:f>J1541*'Assumptions'!$T$155</x:f>
        <x:v>7930.65002919992</x:v>
      </x:c>
      <x:c r="L1541" s="10" t="n">
        <x:f>K1541*'Assumptions'!$U$155</x:f>
        <x:v>237.91950087599758</x:v>
      </x:c>
      <x:c r="M1541" s="10" t="n">
        <x:f>K1541*'Assumptions'!$V$155</x:f>
        <x:v>0</x:v>
      </x:c>
      <x:c r="N1541" s="10" t="n">
        <x:f>K1541-L1541-M1541</x:f>
        <x:v>7692.730528323922</x:v>
      </x:c>
      <x:c r="O1541" s="10" t="n">
        <x:f>H1541*'Assumptions'!$P$155*'Assumptions'!$Q$155*'Assumptions'!$D$11*(1+'Assumptions'!$D$13)^(12-1)</x:f>
        <x:v>1238.5509082663189</x:v>
      </x:c>
      <x:c r="P1541" s="10" t="n">
        <x:f>H1541*'Assumptions'!$R$155*'Assumptions'!$D$11*(1+'Assumptions'!$D$13)^(12-1)</x:f>
        <x:v>0</x:v>
      </x:c>
      <x:c r="Q1541" s="10" t="n">
        <x:f>J1541*'Assumptions'!$S$155</x:f>
        <x:v>0</x:v>
      </x:c>
      <x:c r="R1541" s="10" t="n">
        <x:f>H1541*'Assumptions'!$Y$155*'Assumptions'!$Z$155*'Assumptions'!$D$11*(1+'Assumptions'!$D$13)^(12-1)</x:f>
        <x:v>5308.075321141366</x:v>
      </x:c>
      <x:c r="S1541" s="10" t="n">
        <x:f>IF(I1541=0,0,J1541*'Assumptions'!$W$155+H1541*'Assumptions'!$X$155)</x:f>
        <x:v>613.4555058249307</x:v>
      </x:c>
      <x:c r="T1541" s="10" t="n">
        <x:f>N1541*'Assumptions'!$AA$155</x:f>
        <x:v>384.63652641619615</x:v>
      </x:c>
      <x:c r="U1541" s="10" t="n">
        <x:f>'Assumptions'!$AE$155*'Assumptions'!$D$11*(1+'Assumptions'!$D$13)^(12-1)</x:f>
        <x:v>0</x:v>
      </x:c>
      <x:c r="V1541" s="10" t="n">
        <x:f>0</x:f>
        <x:v>0</x:v>
      </x:c>
      <x:c r="W1541" s="10" t="n">
        <x:f>H1541*('Assumptions'!$P$155+'Assumptions'!$Y$155)</x:f>
        <x:v>153.3866619912532</x:v>
      </x:c>
      <x:c r="X1541" s="10" t="n">
        <x:f>N1541/12*'Assumptions'!$AF$155</x:f>
        <x:v>0</x:v>
      </x:c>
      <x:c r="Y1541" s="10" t="n">
        <x:f>P1541/12</x:f>
        <x:v>0</x:v>
      </x:c>
      <x:c r="Z1541" s="10" t="n">
        <x:f>0</x:f>
        <x:v>0</x:v>
      </x:c>
      <x:c r="AA1541" s="10" t="n">
        <x:f>Z1541*'Assumptions'!$AC$155*'Assumptions'!$D$11*(1+'Assumptions'!$D$13)^(12-1)</x:f>
        <x:v>0</x:v>
      </x:c>
      <x:c r="AB1541" s="10" t="n">
        <x:f>F1541/1</x:f>
        <x:v>967.9756848028904</x:v>
      </x:c>
      <x:c r="AC1541" s="10" t="n">
        <x:f>AB1541/'Assumptions'!$AM$155</x:f>
        <x:v>19359.51369605781</x:v>
      </x:c>
      <x:c r="AD1541" s="10" t="n">
        <x:f>IF(AB1541=0,0,T1541/AB1541)</x:f>
        <x:v>0.3973617648200739</x:v>
      </x:c>
      <x:c r="AE1541" s="10" t="n">
        <x:f>AA1541*'Assumptions'!$D$21</x:f>
        <x:v>0</x:v>
      </x:c>
    </x:row>
    <x:row r="1542" ht="16" customHeight="1">
      <x:c r="A1542" s="1"/>
      <x:c r="B1542" s="1"/>
      <x:c r="C1542" s="1" t="str">
        <x:v>DOT-127</x:v>
      </x:c>
      <x:c r="D1542" s="10" t="str">
        <x:v>Learn Anglais</x:v>
      </x:c>
      <x:c r="E1542" s="10" t="n">
        <x:v>12</x:v>
      </x:c>
      <x:c r="F1542" s="21" t="n">
        <x:f>F1414*(1+'Assumptions'!$M$156)</x:f>
        <x:v>229.523980261051</x:v>
      </x:c>
      <x:c r="G1542" s="21" t="n">
        <x:f>H1414*'Assumptions'!$K$156</x:f>
        <x:v>475.9624910084883</x:v>
      </x:c>
      <x:c r="H1542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1542+G1542,NA())</x:f>
        <x:v>705.4864712695394</x:v>
      </x:c>
      <x:c r="I1542" s="22" t="n">
        <x:f>'Assumptions'!$H$156*IF('Assumptions'!$O$156=1,1,'Assumptions'!$D$10)*(1+'Assumptions'!$N$156)^(12-1)</x:f>
        <x:v>29.84098340147166</x:v>
      </x:c>
      <x:c r="J1542" s="10" t="n">
        <x:f>H1542*I1542</x:f>
        <x:v>21052.410079117137</x:v>
      </x:c>
      <x:c r="K1542" s="10" t="n">
        <x:f>J1542*'Assumptions'!$T$156</x:f>
        <x:v>7017.470026372379</x:v>
      </x:c>
      <x:c r="L1542" s="10" t="n">
        <x:f>K1542*'Assumptions'!$U$156</x:f>
        <x:v>210.52410079117135</x:v>
      </x:c>
      <x:c r="M1542" s="10" t="n">
        <x:f>K1542*'Assumptions'!$V$156</x:f>
        <x:v>0</x:v>
      </x:c>
      <x:c r="N1542" s="10" t="n">
        <x:f>K1542-L1542-M1542</x:f>
        <x:v>6806.945925581207</x:v>
      </x:c>
      <x:c r="O1542" s="10" t="n">
        <x:f>H1542*'Assumptions'!$P$156*'Assumptions'!$Q$156*'Assumptions'!$D$11*(1+'Assumptions'!$D$13)^(12-1)</x:f>
        <x:v>3417.9539410420775</x:v>
      </x:c>
      <x:c r="P1542" s="10" t="n">
        <x:f>H1542*'Assumptions'!$R$156*'Assumptions'!$D$11*(1+'Assumptions'!$D$13)^(12-1)</x:f>
        <x:v>0</x:v>
      </x:c>
      <x:c r="Q1542" s="10" t="n">
        <x:f>J1542*'Assumptions'!$S$156</x:f>
        <x:v>0</x:v>
      </x:c>
      <x:c r="R1542" s="10" t="n">
        <x:f>H1542*'Assumptions'!$Y$156*'Assumptions'!$Z$156*'Assumptions'!$D$11*(1+'Assumptions'!$D$13)^(12-1)</x:f>
        <x:v>4394.512209911243</x:v>
      </x:c>
      <x:c r="S1542" s="10" t="n">
        <x:f>IF(I1542=0,0,J1542*'Assumptions'!$W$156+H1542*'Assumptions'!$X$156)</x:f>
        <x:v>822.1658336752588</x:v>
      </x:c>
      <x:c r="T1542" s="10" t="n">
        <x:f>N1542*'Assumptions'!$AA$156</x:f>
        <x:v>340.3472962790604</x:v>
      </x:c>
      <x:c r="U1542" s="10" t="n">
        <x:f>'Assumptions'!$AE$156*'Assumptions'!$D$11*(1+'Assumptions'!$D$13)^(12-1)</x:f>
        <x:v>0</x:v>
      </x:c>
      <x:c r="V1542" s="10" t="n">
        <x:f>0</x:f>
        <x:v>0</x:v>
      </x:c>
      <x:c r="W1542" s="10" t="n">
        <x:f>H1542*('Assumptions'!$P$156+'Assumptions'!$Y$156)</x:f>
        <x:v>176.37161781738484</x:v>
      </x:c>
      <x:c r="X1542" s="10" t="n">
        <x:f>N1542/12*'Assumptions'!$AF$156</x:f>
        <x:v>0</x:v>
      </x:c>
      <x:c r="Y1542" s="10" t="n">
        <x:f>P1542/12</x:f>
        <x:v>0</x:v>
      </x:c>
      <x:c r="Z1542" s="10" t="n">
        <x:f>0</x:f>
        <x:v>0</x:v>
      </x:c>
      <x:c r="AA1542" s="10" t="n">
        <x:f>Z1542*'Assumptions'!$AC$156*'Assumptions'!$D$11*(1+'Assumptions'!$D$13)^(12-1)</x:f>
        <x:v>0</x:v>
      </x:c>
      <x:c r="AB1542" s="10" t="n">
        <x:f>F1542/1</x:f>
        <x:v>229.523980261051</x:v>
      </x:c>
      <x:c r="AC1542" s="10" t="n">
        <x:f>AB1542/'Assumptions'!$AM$156</x:f>
        <x:v>4590.4796052210195</x:v>
      </x:c>
      <x:c r="AD1542" s="10" t="n">
        <x:f>IF(AB1542=0,0,T1542/AB1542)</x:f>
        <x:v>1.4828398143495227</x:v>
      </x:c>
      <x:c r="AE1542" s="10" t="n">
        <x:f>AA1542*'Assumptions'!$D$21</x:f>
        <x:v>0</x:v>
      </x:c>
    </x:row>
    <x:row r="1543" ht="16" customHeight="1">
      <x:c r="A1543" s="1"/>
      <x:c r="B1543" s="1"/>
      <x:c r="C1543" s="1" t="str">
        <x:v>DOT-128</x:v>
      </x:c>
      <x:c r="D1543" s="10" t="str">
        <x:v>Learn Anglais</x:v>
      </x:c>
      <x:c r="E1543" s="10" t="n">
        <x:v>12</x:v>
      </x:c>
      <x:c r="F1543" s="21" t="n">
        <x:f>F1415*(1+'Assumptions'!$M$157)</x:f>
        <x:v>91.8095921044204</x:v>
      </x:c>
      <x:c r="G1543" s="21" t="n">
        <x:f>H1415*'Assumptions'!$K$157</x:f>
        <x:v>190.38499640339535</x:v>
      </x:c>
      <x:c r="H1543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1543+G1543,NA())</x:f>
        <x:v>282.19458850781575</x:v>
      </x:c>
      <x:c r="I1543" s="22" t="n">
        <x:f>'Assumptions'!$H$157*IF('Assumptions'!$O$157=1,1,'Assumptions'!$D$10)*(1+'Assumptions'!$N$157)^(12-1)</x:f>
        <x:v>205.15676088511765</x:v>
      </x:c>
      <x:c r="J1543" s="10" t="n">
        <x:f>H1543*I1543</x:f>
        <x:v>57894.127717572126</x:v>
      </x:c>
      <x:c r="K1543" s="10" t="n">
        <x:f>J1543*'Assumptions'!$T$157</x:f>
        <x:v>17368.238315271636</x:v>
      </x:c>
      <x:c r="L1543" s="10" t="n">
        <x:f>K1543*'Assumptions'!$U$157</x:f>
        <x:v>521.0471494581491</x:v>
      </x:c>
      <x:c r="M1543" s="10" t="n">
        <x:f>K1543*'Assumptions'!$V$157</x:f>
        <x:v>0</x:v>
      </x:c>
      <x:c r="N1543" s="10" t="n">
        <x:f>K1543-L1543-M1543</x:f>
        <x:v>16847.191165813485</x:v>
      </x:c>
      <x:c r="O1543" s="10" t="n">
        <x:f>H1543*'Assumptions'!$P$157*'Assumptions'!$Q$157*'Assumptions'!$D$11*(1+'Assumptions'!$D$13)^(12-1)</x:f>
        <x:v>1367.1815764168314</x:v>
      </x:c>
      <x:c r="P1543" s="10" t="n">
        <x:f>H1543*'Assumptions'!$R$157*'Assumptions'!$D$11*(1+'Assumptions'!$D$13)^(12-1)</x:f>
        <x:v>0</x:v>
      </x:c>
      <x:c r="Q1543" s="10" t="n">
        <x:f>J1543*'Assumptions'!$S$157</x:f>
        <x:v>0</x:v>
      </x:c>
      <x:c r="R1543" s="10" t="n">
        <x:f>H1543*'Assumptions'!$Y$157*'Assumptions'!$Z$157*'Assumptions'!$D$11*(1+'Assumptions'!$D$13)^(12-1)</x:f>
        <x:v>1757.804883964497</x:v>
      </x:c>
      <x:c r="S1543" s="10" t="n">
        <x:f>IF(I1543=0,0,J1543*'Assumptions'!$W$157+H1543*'Assumptions'!$X$157)</x:f>
        <x:v>1763.5880803619364</x:v>
      </x:c>
      <x:c r="T1543" s="10" t="n">
        <x:f>N1543*'Assumptions'!$AA$157</x:f>
        <x:v>842.3595582906743</x:v>
      </x:c>
      <x:c r="U1543" s="10" t="n">
        <x:f>'Assumptions'!$AE$157*'Assumptions'!$D$11*(1+'Assumptions'!$D$13)^(12-1)</x:f>
        <x:v>0</x:v>
      </x:c>
      <x:c r="V1543" s="10" t="n">
        <x:f>0</x:f>
        <x:v>0</x:v>
      </x:c>
      <x:c r="W1543" s="10" t="n">
        <x:f>H1543*('Assumptions'!$P$157+'Assumptions'!$Y$157)</x:f>
        <x:v>70.54864712695394</x:v>
      </x:c>
      <x:c r="X1543" s="10" t="n">
        <x:f>N1543/12*'Assumptions'!$AF$157</x:f>
        <x:v>0</x:v>
      </x:c>
      <x:c r="Y1543" s="10" t="n">
        <x:f>P1543/12</x:f>
        <x:v>0</x:v>
      </x:c>
      <x:c r="Z1543" s="10" t="n">
        <x:f>0</x:f>
        <x:v>0</x:v>
      </x:c>
      <x:c r="AA1543" s="10" t="n">
        <x:f>Z1543*'Assumptions'!$AC$157*'Assumptions'!$D$11*(1+'Assumptions'!$D$13)^(12-1)</x:f>
        <x:v>0</x:v>
      </x:c>
      <x:c r="AB1543" s="10" t="n">
        <x:f>F1543/1</x:f>
        <x:v>91.8095921044204</x:v>
      </x:c>
      <x:c r="AC1543" s="10" t="n">
        <x:f>AB1543/'Assumptions'!$AM$157</x:f>
        <x:v>1836.191842088408</x:v>
      </x:c>
      <x:c r="AD1543" s="10" t="n">
        <x:f>IF(AB1543=0,0,T1543/AB1543)</x:f>
        <x:v>9.17507135128767</x:v>
      </x:c>
      <x:c r="AE1543" s="10" t="n">
        <x:f>AA1543*'Assumptions'!$D$21</x:f>
        <x:v>0</x:v>
      </x:c>
    </x:row>
    <x:row r="1544" ht="16" customHeight="1">
      <x:c r="A1544" s="1"/>
      <x:c r="B1544" s="1"/>
      <x:c r="C1544" s="1" t="str">
        <x:v>DOT-001</x:v>
      </x:c>
      <x:c r="D1544" s="10" t="str">
        <x:v>ETV courses</x:v>
      </x:c>
      <x:c r="E1544" s="10" t="n">
        <x:v>13</x:v>
      </x:c>
      <x:c r="F1544" s="21" t="n">
        <x:f>F1416*(1+'Assumptions'!$M$30)</x:f>
        <x:v>398.80598213879085</x:v>
      </x:c>
      <x:c r="G1544" s="21" t="n">
        <x:f>H1416*'Assumptions'!$K$30</x:f>
        <x:v>127.8222254786017</x:v>
      </x:c>
      <x:c r="H1544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1544+G1544,NA())</x:f>
        <x:v>526.6282076173925</x:v>
      </x:c>
      <x:c r="I1544" s="22" t="n">
        <x:f>'Assumptions'!$H$30*IF('Assumptions'!$O$30=1,1,'Assumptions'!$D$10)*(1+'Assumptions'!$N$30)^(13-1)</x:f>
        <x:v>29</x:v>
      </x:c>
      <x:c r="J1544" s="10" t="n">
        <x:f>H1544*I1544</x:f>
        <x:v>15272.218020904382</x:v>
      </x:c>
      <x:c r="K1544" s="10" t="n">
        <x:f>J1544*'Assumptions'!$T$30</x:f>
        <x:v>15272.218020904382</x:v>
      </x:c>
      <x:c r="L1544" s="10" t="n">
        <x:f>K1544*'Assumptions'!$U$30</x:f>
        <x:v>458.16654062713144</x:v>
      </x:c>
      <x:c r="M1544" s="10" t="n">
        <x:f>K1544*'Assumptions'!$V$30</x:f>
        <x:v>0</x:v>
      </x:c>
      <x:c r="N1544" s="10" t="n">
        <x:f>K1544-L1544-M1544</x:f>
        <x:v>14814.05148027725</x:v>
      </x:c>
      <x:c r="O1544" s="10" t="n">
        <x:f>H1544*'Assumptions'!$P$30*'Assumptions'!$Q$30*'Assumptions'!$D$11*(1+'Assumptions'!$D$13)^(13-1)</x:f>
        <x:v>3941.9409767366333</x:v>
      </x:c>
      <x:c r="P1544" s="10" t="n">
        <x:f>H1544*'Assumptions'!$R$30*'Assumptions'!$D$11*(1+'Assumptions'!$D$13)^(13-1)</x:f>
        <x:v>0</x:v>
      </x:c>
      <x:c r="Q1544" s="10" t="n">
        <x:f>J1544*'Assumptions'!$S$30</x:f>
        <x:v>0</x:v>
      </x:c>
      <x:c r="R1544" s="10" t="n">
        <x:f>H1544*'Assumptions'!$Y$30*'Assumptions'!$Z$30*'Assumptions'!$D$11*(1+'Assumptions'!$D$13)^(13-1)</x:f>
        <x:v>2252.5377009923623</x:v>
      </x:c>
      <x:c r="S1544" s="10" t="n">
        <x:f>IF(I1544=0,0,J1544*'Assumptions'!$W$30+H1544*'Assumptions'!$X$30)</x:f>
        <x:v>600.8827848914448</x:v>
      </x:c>
      <x:c r="T1544" s="10" t="n">
        <x:f>N1544*'Assumptions'!$AA$30</x:f>
        <x:v>740.7025740138625</x:v>
      </x:c>
      <x:c r="U1544" s="10" t="n">
        <x:f>'Assumptions'!$AE$30*'Assumptions'!$D$11*(1+'Assumptions'!$D$13)^(13-1)</x:f>
        <x:v>0</x:v>
      </x:c>
      <x:c r="V1544" s="10" t="n">
        <x:f>0</x:f>
        <x:v>0</x:v>
      </x:c>
      <x:c r="W1544" s="10" t="n">
        <x:f>H1544*('Assumptions'!$P$30+'Assumptions'!$Y$30)</x:f>
        <x:v>131.65705190434812</x:v>
      </x:c>
      <x:c r="X1544" s="10" t="n">
        <x:f>N1544/12*'Assumptions'!$AF$30</x:f>
        <x:v>0</x:v>
      </x:c>
      <x:c r="Y1544" s="10" t="n">
        <x:f>P1544/12</x:f>
        <x:v>0</x:v>
      </x:c>
      <x:c r="Z1544" s="10" t="n">
        <x:f>0</x:f>
        <x:v>0</x:v>
      </x:c>
      <x:c r="AA1544" s="10" t="n">
        <x:f>Z1544*'Assumptions'!$AC$30*'Assumptions'!$D$11*(1+'Assumptions'!$D$13)^(13-1)</x:f>
        <x:v>0</x:v>
      </x:c>
      <x:c r="AB1544" s="10" t="n">
        <x:f>F1544/1</x:f>
        <x:v>398.80598213879085</x:v>
      </x:c>
      <x:c r="AC1544" s="10" t="n">
        <x:f>AB1544/'Assumptions'!$AM$30</x:f>
        <x:v>7976.119642775817</x:v>
      </x:c>
      <x:c r="AD1544" s="10" t="n">
        <x:f>IF(AB1544=0,0,T1544/AB1544)</x:f>
        <x:v>1.8573005601407608</x:v>
      </x:c>
      <x:c r="AE1544" s="10" t="n">
        <x:f>AA1544*'Assumptions'!$D$21</x:f>
        <x:v>0</x:v>
      </x:c>
    </x:row>
    <x:row r="1545" ht="16" customHeight="1">
      <x:c r="A1545" s="1"/>
      <x:c r="B1545" s="1"/>
      <x:c r="C1545" s="1" t="str">
        <x:v>DOT-002</x:v>
      </x:c>
      <x:c r="D1545" s="10" t="str">
        <x:v>ETV courses</x:v>
      </x:c>
      <x:c r="E1545" s="10" t="n">
        <x:v>13</x:v>
      </x:c>
      <x:c r="F1545" s="21" t="n">
        <x:f>F1417*(1+'Assumptions'!$M$31)</x:f>
        <x:v>631.4428050530855</x:v>
      </x:c>
      <x:c r="G1545" s="21" t="n">
        <x:f>H1417*'Assumptions'!$K$31</x:f>
        <x:v>202.3851903411193</x:v>
      </x:c>
      <x:c r="H1545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1545+G1545,NA())</x:f>
        <x:v>833.8279953942049</x:v>
      </x:c>
      <x:c r="I1545" s="22" t="n">
        <x:f>'Assumptions'!$H$31*IF('Assumptions'!$O$31=1,1,'Assumptions'!$D$10)*(1+'Assumptions'!$N$31)^(13-1)</x:f>
        <x:v>49.461429987939276</x:v>
      </x:c>
      <x:c r="J1545" s="10" t="n">
        <x:f>H1545*I1545</x:f>
        <x:v>41242.32501617422</x:v>
      </x:c>
      <x:c r="K1545" s="10" t="n">
        <x:f>J1545*'Assumptions'!$T$31</x:f>
        <x:v>41242.32501617422</x:v>
      </x:c>
      <x:c r="L1545" s="10" t="n">
        <x:f>K1545*'Assumptions'!$U$31</x:f>
        <x:v>1237.2697504852265</x:v>
      </x:c>
      <x:c r="M1545" s="10" t="n">
        <x:f>K1545*'Assumptions'!$V$31</x:f>
        <x:v>0</x:v>
      </x:c>
      <x:c r="N1545" s="10" t="n">
        <x:f>K1545-L1545-M1545</x:f>
        <x:v>40005.05526568899</x:v>
      </x:c>
      <x:c r="O1545" s="10" t="n">
        <x:f>H1545*'Assumptions'!$P$31*'Assumptions'!$Q$31*'Assumptions'!$D$11*(1+'Assumptions'!$D$13)^(13-1)</x:f>
        <x:v>6241.406546499671</x:v>
      </x:c>
      <x:c r="P1545" s="10" t="n">
        <x:f>H1545*'Assumptions'!$R$31*'Assumptions'!$D$11*(1+'Assumptions'!$D$13)^(13-1)</x:f>
        <x:v>0</x:v>
      </x:c>
      <x:c r="Q1545" s="10" t="n">
        <x:f>J1545*'Assumptions'!$S$31</x:f>
        <x:v>0</x:v>
      </x:c>
      <x:c r="R1545" s="10" t="n">
        <x:f>H1545*'Assumptions'!$Y$31*'Assumptions'!$Z$31*'Assumptions'!$D$11*(1+'Assumptions'!$D$13)^(13-1)</x:f>
        <x:v>3566.5180265712406</x:v>
      </x:c>
      <x:c r="S1545" s="10" t="n">
        <x:f>IF(I1545=0,0,J1545*'Assumptions'!$W$31+H1545*'Assumptions'!$X$31)</x:f>
        <x:v>1446.1758240873137</x:v>
      </x:c>
      <x:c r="T1545" s="10" t="n">
        <x:f>N1545*'Assumptions'!$AA$31</x:f>
        <x:v>2000.2527632844497</x:v>
      </x:c>
      <x:c r="U1545" s="10" t="n">
        <x:f>'Assumptions'!$AE$31*'Assumptions'!$D$11*(1+'Assumptions'!$D$13)^(13-1)</x:f>
        <x:v>0</x:v>
      </x:c>
      <x:c r="V1545" s="10" t="n">
        <x:f>0</x:f>
        <x:v>0</x:v>
      </x:c>
      <x:c r="W1545" s="10" t="n">
        <x:f>H1545*('Assumptions'!$P$31+'Assumptions'!$Y$31)</x:f>
        <x:v>208.45699884855122</x:v>
      </x:c>
      <x:c r="X1545" s="10" t="n">
        <x:f>N1545/12*'Assumptions'!$AF$31</x:f>
        <x:v>0</x:v>
      </x:c>
      <x:c r="Y1545" s="10" t="n">
        <x:f>P1545/12</x:f>
        <x:v>0</x:v>
      </x:c>
      <x:c r="Z1545" s="10" t="n">
        <x:f>0</x:f>
        <x:v>0</x:v>
      </x:c>
      <x:c r="AA1545" s="10" t="n">
        <x:f>Z1545*'Assumptions'!$AC$31*'Assumptions'!$D$11*(1+'Assumptions'!$D$13)^(13-1)</x:f>
        <x:v>0</x:v>
      </x:c>
      <x:c r="AB1545" s="10" t="n">
        <x:f>F1545/1</x:f>
        <x:v>631.4428050530855</x:v>
      </x:c>
      <x:c r="AC1545" s="10" t="n">
        <x:f>AB1545/'Assumptions'!$AM$31</x:f>
        <x:v>12628.85610106171</x:v>
      </x:c>
      <x:c r="AD1545" s="10" t="n">
        <x:f>IF(AB1545=0,0,T1545/AB1545)</x:f>
        <x:v>3.167749711102161</x:v>
      </x:c>
      <x:c r="AE1545" s="10" t="n">
        <x:f>AA1545*'Assumptions'!$D$21</x:f>
        <x:v>0</x:v>
      </x:c>
    </x:row>
    <x:row r="1546" ht="16" customHeight="1">
      <x:c r="A1546" s="1"/>
      <x:c r="B1546" s="1"/>
      <x:c r="C1546" s="1" t="str">
        <x:v>DOT-003</x:v>
      </x:c>
      <x:c r="D1546" s="10" t="str">
        <x:v>ETV services</x:v>
      </x:c>
      <x:c r="E1546" s="10" t="n">
        <x:v>13</x:v>
      </x:c>
      <x:c r="F1546" s="21" t="n">
        <x:f>F1418*(1+'Assumptions'!$M$32)</x:f>
        <x:v>11.128068456957658</x:v>
      </x:c>
      <x:c r="G1546" s="21" t="n">
        <x:f>H1418*'Assumptions'!$K$32</x:f>
        <x:v>10.494645139228922</x:v>
      </x:c>
      <x:c r="H1546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1546+G1546,NA())</x:f>
        <x:v>21.62271359618658</x:v>
      </x:c>
      <x:c r="I1546" s="22" t="n">
        <x:f>'Assumptions'!$H$32*IF('Assumptions'!$O$32=1,1,'Assumptions'!$D$10)*(1+'Assumptions'!$N$32)^(13-1)</x:f>
        <x:v>2219.4231404844545</x:v>
      </x:c>
      <x:c r="J1546" s="10" t="n">
        <x:f>H1546*I1546</x:f>
        <x:v>47989.95091544433</x:v>
      </x:c>
      <x:c r="K1546" s="10" t="n">
        <x:f>J1546*'Assumptions'!$T$32</x:f>
        <x:v>47989.95091544433</x:v>
      </x:c>
      <x:c r="L1546" s="10" t="n">
        <x:f>K1546*'Assumptions'!$U$32</x:f>
        <x:v>1439.6985274633298</x:v>
      </x:c>
      <x:c r="M1546" s="10" t="n">
        <x:f>K1546*'Assumptions'!$V$32</x:f>
        <x:v>0</x:v>
      </x:c>
      <x:c r="N1546" s="10" t="n">
        <x:f>K1546-L1546-M1546</x:f>
        <x:v>46550.252387981</x:v>
      </x:c>
      <x:c r="O1546" s="10" t="n">
        <x:f>H1546*'Assumptions'!$P$32*'Assumptions'!$Q$32*'Assumptions'!$D$11*(1+'Assumptions'!$D$13)^(13-1)</x:f>
        <x:v>27745.937381627922</x:v>
      </x:c>
      <x:c r="P1546" s="10" t="n">
        <x:f>H1546*'Assumptions'!$R$32*'Assumptions'!$D$11*(1+'Assumptions'!$D$13)^(13-1)</x:f>
        <x:v>770.7204828229978</x:v>
      </x:c>
      <x:c r="Q1546" s="10" t="n">
        <x:f>J1546*'Assumptions'!$S$32</x:f>
        <x:v>0</x:v>
      </x:c>
      <x:c r="R1546" s="10" t="n">
        <x:f>H1546*'Assumptions'!$Y$32*'Assumptions'!$Z$32*'Assumptions'!$D$11*(1+'Assumptions'!$D$13)^(13-1)</x:f>
        <x:v>231.21614484689934</x:v>
      </x:c>
      <x:c r="S1546" s="10" t="n">
        <x:f>IF(I1546=0,0,J1546*'Assumptions'!$W$32+H1546*'Assumptions'!$X$32)</x:f>
        <x:v>1398.1953906267415</x:v>
      </x:c>
      <x:c r="T1546" s="10" t="n">
        <x:f>N1546*'Assumptions'!$AA$32</x:f>
        <x:v>1862.0100955192402</x:v>
      </x:c>
      <x:c r="U1546" s="10" t="n">
        <x:f>'Assumptions'!$AE$32*'Assumptions'!$D$11*(1+'Assumptions'!$D$13)^(13-1)</x:f>
        <x:v>0</x:v>
      </x:c>
      <x:c r="V1546" s="10" t="n">
        <x:f>0</x:f>
        <x:v>0</x:v>
      </x:c>
      <x:c r="W1546" s="10" t="n">
        <x:f>H1546*('Assumptions'!$P$32+'Assumptions'!$Y$32)</x:f>
        <x:v>437.8599503227782</x:v>
      </x:c>
      <x:c r="X1546" s="10" t="n">
        <x:f>N1546/12*'Assumptions'!$AF$32</x:f>
        <x:v>3879.187698998417</x:v>
      </x:c>
      <x:c r="Y1546" s="10" t="n">
        <x:f>P1546/12</x:f>
        <x:v>64.22670690191649</x:v>
      </x:c>
      <x:c r="Z1546" s="10" t="n">
        <x:f>0</x:f>
        <x:v>0</x:v>
      </x:c>
      <x:c r="AA1546" s="10" t="n">
        <x:f>Z1546*'Assumptions'!$AC$32*'Assumptions'!$D$11*(1+'Assumptions'!$D$13)^(13-1)</x:f>
        <x:v>0</x:v>
      </x:c>
      <x:c r="AB1546" s="10" t="n">
        <x:f>F1546/1</x:f>
        <x:v>11.128068456957658</x:v>
      </x:c>
      <x:c r="AC1546" s="10" t="n">
        <x:f>AB1546/'Assumptions'!$AM$32</x:f>
        <x:v>55.64034228478829</x:v>
      </x:c>
      <x:c r="AD1546" s="10" t="n">
        <x:f>IF(AB1546=0,0,T1546/AB1546)</x:f>
        <x:v>167.32554285780353</x:v>
      </x:c>
      <x:c r="AE1546" s="10" t="n">
        <x:f>AA1546*'Assumptions'!$D$21</x:f>
        <x:v>0</x:v>
      </x:c>
    </x:row>
    <x:row r="1547" ht="16" customHeight="1">
      <x:c r="A1547" s="1"/>
      <x:c r="B1547" s="1"/>
      <x:c r="C1547" s="1" t="str">
        <x:v>DOT-004</x:v>
      </x:c>
      <x:c r="D1547" s="10" t="str">
        <x:v>ETV services</x:v>
      </x:c>
      <x:c r="E1547" s="10" t="n">
        <x:v>13</x:v>
      </x:c>
      <x:c r="F1547" s="21" t="n">
        <x:f>F1419*(1+'Assumptions'!$M$33)</x:f>
        <x:v>7.41871230463844</x:v>
      </x:c>
      <x:c r="G1547" s="21" t="n">
        <x:f>H1419*'Assumptions'!$K$33</x:f>
        <x:v>6.996430092819283</x:v>
      </x:c>
      <x:c r="H1547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1547+G1547,NA())</x:f>
        <x:v>14.415142397457723</x:v>
      </x:c>
      <x:c r="I1547" s="22" t="n">
        <x:f>'Assumptions'!$H$33*IF('Assumptions'!$O$33=1,1,'Assumptions'!$D$10)*(1+'Assumptions'!$N$33)^(13-1)</x:f>
        <x:v>3170.604486406364</x:v>
      </x:c>
      <x:c r="J1547" s="10" t="n">
        <x:f>H1547*I1547</x:f>
        <x:v>45704.71515756605</x:v>
      </x:c>
      <x:c r="K1547" s="10" t="n">
        <x:f>J1547*'Assumptions'!$T$33</x:f>
        <x:v>45704.71515756605</x:v>
      </x:c>
      <x:c r="L1547" s="10" t="n">
        <x:f>K1547*'Assumptions'!$U$33</x:f>
        <x:v>1371.1414547269812</x:v>
      </x:c>
      <x:c r="M1547" s="10" t="n">
        <x:f>K1547*'Assumptions'!$V$33</x:f>
        <x:v>0</x:v>
      </x:c>
      <x:c r="N1547" s="10" t="n">
        <x:f>K1547-L1547-M1547</x:f>
        <x:v>44333.573702839065</x:v>
      </x:c>
      <x:c r="O1547" s="10" t="n">
        <x:f>H1547*'Assumptions'!$P$33*'Assumptions'!$Q$33*'Assumptions'!$D$11*(1+'Assumptions'!$D$13)^(13-1)</x:f>
        <x:v>27745.937381627933</x:v>
      </x:c>
      <x:c r="P1547" s="10" t="n">
        <x:f>H1547*'Assumptions'!$R$33*'Assumptions'!$D$11*(1+'Assumptions'!$D$13)^(13-1)</x:f>
        <x:v>513.8136552153321</x:v>
      </x:c>
      <x:c r="Q1547" s="10" t="n">
        <x:f>J1547*'Assumptions'!$S$33</x:f>
        <x:v>0</x:v>
      </x:c>
      <x:c r="R1547" s="10" t="n">
        <x:f>H1547*'Assumptions'!$Y$33*'Assumptions'!$Z$33*'Assumptions'!$D$11*(1+'Assumptions'!$D$13)^(13-1)</x:f>
        <x:v>154.14409656459964</x:v>
      </x:c>
      <x:c r="S1547" s="10" t="n">
        <x:f>IF(I1547=0,0,J1547*'Assumptions'!$W$33+H1547*'Assumptions'!$X$33)</x:f>
        <x:v>1329.7612822886529</x:v>
      </x:c>
      <x:c r="T1547" s="10" t="n">
        <x:f>N1547*'Assumptions'!$AA$33</x:f>
        <x:v>1773.3429481135627</x:v>
      </x:c>
      <x:c r="U1547" s="10" t="n">
        <x:f>'Assumptions'!$AE$33*'Assumptions'!$D$11*(1+'Assumptions'!$D$13)^(13-1)</x:f>
        <x:v>0</x:v>
      </x:c>
      <x:c r="V1547" s="10" t="n">
        <x:f>0</x:f>
        <x:v>0</x:v>
      </x:c>
      <x:c r="W1547" s="10" t="n">
        <x:f>H1547*('Assumptions'!$P$33+'Assumptions'!$Y$33)</x:f>
        <x:v>436.0580575230961</x:v>
      </x:c>
      <x:c r="X1547" s="10" t="n">
        <x:f>N1547/12*'Assumptions'!$AF$33</x:f>
        <x:v>3694.464475236589</x:v>
      </x:c>
      <x:c r="Y1547" s="10" t="n">
        <x:f>P1547/12</x:f>
        <x:v>42.81780460127768</x:v>
      </x:c>
      <x:c r="Z1547" s="10" t="n">
        <x:f>0</x:f>
        <x:v>0</x:v>
      </x:c>
      <x:c r="AA1547" s="10" t="n">
        <x:f>Z1547*'Assumptions'!$AC$33*'Assumptions'!$D$11*(1+'Assumptions'!$D$13)^(13-1)</x:f>
        <x:v>0</x:v>
      </x:c>
      <x:c r="AB1547" s="10" t="n">
        <x:f>F1547/1</x:f>
        <x:v>7.41871230463844</x:v>
      </x:c>
      <x:c r="AC1547" s="10" t="n">
        <x:f>AB1547/'Assumptions'!$AM$33</x:f>
        <x:v>37.0935615231922</x:v>
      </x:c>
      <x:c r="AD1547" s="10" t="n">
        <x:f>IF(AB1547=0,0,T1547/AB1547)</x:f>
        <x:v>239.0364897968622</x:v>
      </x:c>
      <x:c r="AE1547" s="10" t="n">
        <x:f>AA1547*'Assumptions'!$D$21</x:f>
        <x:v>0</x:v>
      </x:c>
    </x:row>
    <x:row r="1548" ht="16" customHeight="1">
      <x:c r="A1548" s="1"/>
      <x:c r="B1548" s="1"/>
      <x:c r="C1548" s="1" t="str">
        <x:v>DOT-005</x:v>
      </x:c>
      <x:c r="D1548" s="10" t="str">
        <x:v>ETV services</x:v>
      </x:c>
      <x:c r="E1548" s="10" t="n">
        <x:v>13</x:v>
      </x:c>
      <x:c r="F1548" s="21" t="n">
        <x:f>F1420*(1+'Assumptions'!$M$34)</x:f>
        <x:v>7.41871230463844</x:v>
      </x:c>
      <x:c r="G1548" s="21" t="n">
        <x:f>H1420*'Assumptions'!$K$34</x:f>
        <x:v>6.996430092819283</x:v>
      </x:c>
      <x:c r="H1548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1548+G1548,NA())</x:f>
        <x:v>14.415142397457723</x:v>
      </x:c>
      <x:c r="I1548" s="22" t="n">
        <x:f>'Assumptions'!$H$34*IF('Assumptions'!$O$34=1,1,'Assumptions'!$D$10)*(1+'Assumptions'!$N$34)^(13-1)</x:f>
        <x:v>1902.3626918438183</x:v>
      </x:c>
      <x:c r="J1548" s="10" t="n">
        <x:f>H1548*I1548</x:f>
        <x:v>27422.829094539626</x:v>
      </x:c>
      <x:c r="K1548" s="10" t="n">
        <x:f>J1548*'Assumptions'!$T$34</x:f>
        <x:v>27422.829094539626</x:v>
      </x:c>
      <x:c r="L1548" s="10" t="n">
        <x:f>K1548*'Assumptions'!$U$34</x:f>
        <x:v>822.6848728361888</x:v>
      </x:c>
      <x:c r="M1548" s="10" t="n">
        <x:f>K1548*'Assumptions'!$V$34</x:f>
        <x:v>0</x:v>
      </x:c>
      <x:c r="N1548" s="10" t="n">
        <x:f>K1548-L1548-M1548</x:f>
        <x:v>26600.14422170344</x:v>
      </x:c>
      <x:c r="O1548" s="10" t="n">
        <x:f>H1548*'Assumptions'!$P$34*'Assumptions'!$Q$34*'Assumptions'!$D$11*(1+'Assumptions'!$D$13)^(13-1)</x:f>
        <x:v>16647.56242897676</x:v>
      </x:c>
      <x:c r="P1548" s="10" t="n">
        <x:f>H1548*'Assumptions'!$R$34*'Assumptions'!$D$11*(1+'Assumptions'!$D$13)^(13-1)</x:f>
        <x:v>513.8136552153321</x:v>
      </x:c>
      <x:c r="Q1548" s="10" t="n">
        <x:f>J1548*'Assumptions'!$S$34</x:f>
        <x:v>0</x:v>
      </x:c>
      <x:c r="R1548" s="10" t="n">
        <x:f>H1548*'Assumptions'!$Y$34*'Assumptions'!$Z$34*'Assumptions'!$D$11*(1+'Assumptions'!$D$13)^(13-1)</x:f>
        <x:v>154.14409656459964</x:v>
      </x:c>
      <x:c r="S1548" s="10" t="n">
        <x:f>IF(I1548=0,0,J1548*'Assumptions'!$W$34+H1548*'Assumptions'!$X$34)</x:f>
        <x:v>799.5865864608866</x:v>
      </x:c>
      <x:c r="T1548" s="10" t="n">
        <x:f>N1548*'Assumptions'!$AA$34</x:f>
        <x:v>1064.0057688681375</x:v>
      </x:c>
      <x:c r="U1548" s="10" t="n">
        <x:f>'Assumptions'!$AE$34*'Assumptions'!$D$11*(1+'Assumptions'!$D$13)^(13-1)</x:f>
        <x:v>0</x:v>
      </x:c>
      <x:c r="V1548" s="10" t="n">
        <x:f>0</x:f>
        <x:v>0</x:v>
      </x:c>
      <x:c r="W1548" s="10" t="n">
        <x:f>H1548*('Assumptions'!$P$34+'Assumptions'!$Y$34)</x:f>
        <x:v>263.07634875360344</x:v>
      </x:c>
      <x:c r="X1548" s="10" t="n">
        <x:f>N1548/12*'Assumptions'!$AF$34</x:f>
        <x:v>2216.6786851419533</x:v>
      </x:c>
      <x:c r="Y1548" s="10" t="n">
        <x:f>P1548/12</x:f>
        <x:v>42.81780460127768</x:v>
      </x:c>
      <x:c r="Z1548" s="10" t="n">
        <x:f>0</x:f>
        <x:v>0</x:v>
      </x:c>
      <x:c r="AA1548" s="10" t="n">
        <x:f>Z1548*'Assumptions'!$AC$34*'Assumptions'!$D$11*(1+'Assumptions'!$D$13)^(13-1)</x:f>
        <x:v>0</x:v>
      </x:c>
      <x:c r="AB1548" s="10" t="n">
        <x:f>F1548/1</x:f>
        <x:v>7.41871230463844</x:v>
      </x:c>
      <x:c r="AC1548" s="10" t="n">
        <x:f>AB1548/'Assumptions'!$AM$34</x:f>
        <x:v>37.0935615231922</x:v>
      </x:c>
      <x:c r="AD1548" s="10" t="n">
        <x:f>IF(AB1548=0,0,T1548/AB1548)</x:f>
        <x:v>143.42189387811732</x:v>
      </x:c>
      <x:c r="AE1548" s="10" t="n">
        <x:f>AA1548*'Assumptions'!$D$21</x:f>
        <x:v>0</x:v>
      </x:c>
    </x:row>
    <x:row r="1549" ht="16" customHeight="1">
      <x:c r="A1549" s="1"/>
      <x:c r="B1549" s="1"/>
      <x:c r="C1549" s="1" t="str">
        <x:v>DOT-006</x:v>
      </x:c>
      <x:c r="D1549" s="10" t="str">
        <x:v>ETV services</x:v>
      </x:c>
      <x:c r="E1549" s="10" t="n">
        <x:v>13</x:v>
      </x:c>
      <x:c r="F1549" s="21" t="n">
        <x:f>F1421*(1+'Assumptions'!$M$35)</x:f>
        <x:v>11.128068456957658</x:v>
      </x:c>
      <x:c r="G1549" s="21" t="n">
        <x:f>H1421*'Assumptions'!$K$35</x:f>
        <x:v>10.494645139228922</x:v>
      </x:c>
      <x:c r="H1549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1549+G1549,NA())</x:f>
        <x:v>21.62271359618658</x:v>
      </x:c>
      <x:c r="I1549" s="22" t="n">
        <x:f>'Assumptions'!$H$35*IF('Assumptions'!$O$35=1,1,'Assumptions'!$D$10)*(1+'Assumptions'!$N$35)^(13-1)</x:f>
        <x:v>951.1813459219092</x:v>
      </x:c>
      <x:c r="J1549" s="10" t="n">
        <x:f>H1549*I1549</x:f>
        <x:v>20567.121820904715</x:v>
      </x:c>
      <x:c r="K1549" s="10" t="n">
        <x:f>J1549*'Assumptions'!$T$35</x:f>
        <x:v>20567.121820904715</x:v>
      </x:c>
      <x:c r="L1549" s="10" t="n">
        <x:f>K1549*'Assumptions'!$U$35</x:f>
        <x:v>617.0136546271414</x:v>
      </x:c>
      <x:c r="M1549" s="10" t="n">
        <x:f>K1549*'Assumptions'!$V$35</x:f>
        <x:v>0</x:v>
      </x:c>
      <x:c r="N1549" s="10" t="n">
        <x:f>K1549-L1549-M1549</x:f>
        <x:v>19950.108166277572</x:v>
      </x:c>
      <x:c r="O1549" s="10" t="n">
        <x:f>H1549*'Assumptions'!$P$35*'Assumptions'!$Q$35*'Assumptions'!$D$11*(1+'Assumptions'!$D$13)^(13-1)</x:f>
        <x:v>11098.37495265117</x:v>
      </x:c>
      <x:c r="P1549" s="10" t="n">
        <x:f>H1549*'Assumptions'!$R$35*'Assumptions'!$D$11*(1+'Assumptions'!$D$13)^(13-1)</x:f>
        <x:v>770.7204828229978</x:v>
      </x:c>
      <x:c r="Q1549" s="10" t="n">
        <x:f>J1549*'Assumptions'!$S$35</x:f>
        <x:v>0</x:v>
      </x:c>
      <x:c r="R1549" s="10" t="n">
        <x:f>H1549*'Assumptions'!$Y$35*'Assumptions'!$Z$35*'Assumptions'!$D$11*(1+'Assumptions'!$D$13)^(13-1)</x:f>
        <x:v>231.21614484689934</x:v>
      </x:c>
      <x:c r="S1549" s="10" t="n">
        <x:f>IF(I1549=0,0,J1549*'Assumptions'!$W$35+H1549*'Assumptions'!$X$35)</x:f>
        <x:v>602.9333468850928</x:v>
      </x:c>
      <x:c r="T1549" s="10" t="n">
        <x:f>N1549*'Assumptions'!$AA$35</x:f>
        <x:v>798.0043266511029</x:v>
      </x:c>
      <x:c r="U1549" s="10" t="n">
        <x:f>'Assumptions'!$AE$35*'Assumptions'!$D$11*(1+'Assumptions'!$D$13)^(13-1)</x:f>
        <x:v>0</x:v>
      </x:c>
      <x:c r="V1549" s="10" t="n">
        <x:f>0</x:f>
        <x:v>0</x:v>
      </x:c>
      <x:c r="W1549" s="10" t="n">
        <x:f>H1549*('Assumptions'!$P$35+'Assumptions'!$Y$35)</x:f>
        <x:v>178.38738716853928</x:v>
      </x:c>
      <x:c r="X1549" s="10" t="n">
        <x:f>N1549/12*'Assumptions'!$AF$35</x:f>
        <x:v>1662.5090138564644</x:v>
      </x:c>
      <x:c r="Y1549" s="10" t="n">
        <x:f>P1549/12</x:f>
        <x:v>64.22670690191649</x:v>
      </x:c>
      <x:c r="Z1549" s="10" t="n">
        <x:f>0</x:f>
        <x:v>0</x:v>
      </x:c>
      <x:c r="AA1549" s="10" t="n">
        <x:f>Z1549*'Assumptions'!$AC$35*'Assumptions'!$D$11*(1+'Assumptions'!$D$13)^(13-1)</x:f>
        <x:v>0</x:v>
      </x:c>
      <x:c r="AB1549" s="10" t="n">
        <x:f>F1549/1</x:f>
        <x:v>11.128068456957658</x:v>
      </x:c>
      <x:c r="AC1549" s="10" t="n">
        <x:f>AB1549/'Assumptions'!$AM$35</x:f>
        <x:v>55.64034228478829</x:v>
      </x:c>
      <x:c r="AD1549" s="10" t="n">
        <x:f>IF(AB1549=0,0,T1549/AB1549)</x:f>
        <x:v>71.71094693905866</x:v>
      </x:c>
      <x:c r="AE1549" s="10" t="n">
        <x:f>AA1549*'Assumptions'!$D$21</x:f>
        <x:v>0</x:v>
      </x:c>
    </x:row>
    <x:row r="1550" ht="16" customHeight="1">
      <x:c r="A1550" s="1"/>
      <x:c r="B1550" s="1"/>
      <x:c r="C1550" s="1" t="str">
        <x:v>DOT-007</x:v>
      </x:c>
      <x:c r="D1550" s="10" t="str">
        <x:v>BPA professional services</x:v>
      </x:c>
      <x:c r="E1550" s="10" t="n">
        <x:v>13</x:v>
      </x:c>
      <x:c r="F1550" s="21" t="n">
        <x:f>F1422*(1+'Assumptions'!$M$36)</x:f>
        <x:v>44.51227382783063</x:v>
      </x:c>
      <x:c r="G1550" s="21" t="n">
        <x:f>H1422*'Assumptions'!$K$36</x:f>
        <x:v>41.97565086941569</x:v>
      </x:c>
      <x:c r="H1550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1550+G1550,NA())</x:f>
        <x:v>86.48792469724631</x:v>
      </x:c>
      <x:c r="I1550" s="22" t="n">
        <x:f>'Assumptions'!$H$36*IF('Assumptions'!$O$36=1,1,'Assumptions'!$D$10)*(1+'Assumptions'!$N$36)^(13-1)</x:f>
        <x:v>250</x:v>
      </x:c>
      <x:c r="J1550" s="10" t="n">
        <x:f>H1550*I1550</x:f>
        <x:v>21621.98117431158</x:v>
      </x:c>
      <x:c r="K1550" s="10" t="n">
        <x:f>J1550*'Assumptions'!$T$36</x:f>
        <x:v>21621.98117431158</x:v>
      </x:c>
      <x:c r="L1550" s="10" t="n">
        <x:f>K1550*'Assumptions'!$U$36</x:f>
        <x:v>648.6594352293473</x:v>
      </x:c>
      <x:c r="M1550" s="10" t="n">
        <x:f>K1550*'Assumptions'!$V$36</x:f>
        <x:v>0</x:v>
      </x:c>
      <x:c r="N1550" s="10" t="n">
        <x:f>K1550-L1550-M1550</x:f>
        <x:v>20973.321739082232</x:v>
      </x:c>
      <x:c r="O1550" s="10" t="n">
        <x:f>H1550*'Assumptions'!$P$36*'Assumptions'!$Q$36*'Assumptions'!$D$11*(1+'Assumptions'!$D$13)^(13-1)</x:f>
        <x:v>6163.088788887218</x:v>
      </x:c>
      <x:c r="P1550" s="10" t="n">
        <x:f>H1550*'Assumptions'!$R$36*'Assumptions'!$D$11*(1+'Assumptions'!$D$13)^(13-1)</x:f>
        <x:v>1233.1110021783147</x:v>
      </x:c>
      <x:c r="Q1550" s="10" t="n">
        <x:f>J1550*'Assumptions'!$S$36</x:f>
        <x:v>0</x:v>
      </x:c>
      <x:c r="R1550" s="10" t="n">
        <x:f>H1550*'Assumptions'!$Y$36*'Assumptions'!$Z$36*'Assumptions'!$D$11*(1+'Assumptions'!$D$13)^(13-1)</x:f>
        <x:v>924.833251633736</x:v>
      </x:c>
      <x:c r="S1550" s="10" t="n">
        <x:f>IF(I1550=0,0,J1550*'Assumptions'!$W$36+H1550*'Assumptions'!$X$36)</x:f>
        <x:v>652.9838314642097</x:v>
      </x:c>
      <x:c r="T1550" s="10" t="n">
        <x:f>N1550*'Assumptions'!$AA$36</x:f>
        <x:v>838.9328695632893</x:v>
      </x:c>
      <x:c r="U1550" s="10" t="n">
        <x:f>'Assumptions'!$AE$36*'Assumptions'!$D$11*(1+'Assumptions'!$D$13)^(13-1)</x:f>
        <x:v>0</x:v>
      </x:c>
      <x:c r="V1550" s="10" t="n">
        <x:f>0</x:f>
        <x:v>0</x:v>
      </x:c>
      <x:c r="W1550" s="10" t="n">
        <x:f>H1550*('Assumptions'!$P$36+'Assumptions'!$Y$36)</x:f>
        <x:v>93.66642244711775</x:v>
      </x:c>
      <x:c r="X1550" s="10" t="n">
        <x:f>N1550/12*'Assumptions'!$AF$36</x:f>
        <x:v>1747.776811590186</x:v>
      </x:c>
      <x:c r="Y1550" s="10" t="n">
        <x:f>P1550/12</x:f>
        <x:v>102.75925018152623</x:v>
      </x:c>
      <x:c r="Z1550" s="10" t="n">
        <x:f>0</x:f>
        <x:v>0</x:v>
      </x:c>
      <x:c r="AA1550" s="10" t="n">
        <x:f>Z1550*'Assumptions'!$AC$36*'Assumptions'!$D$11*(1+'Assumptions'!$D$13)^(13-1)</x:f>
        <x:v>0</x:v>
      </x:c>
      <x:c r="AB1550" s="10" t="n">
        <x:f>F1550/1</x:f>
        <x:v>44.51227382783063</x:v>
      </x:c>
      <x:c r="AC1550" s="10" t="n">
        <x:f>AB1550/'Assumptions'!$AM$36</x:f>
        <x:v>222.56136913915316</x:v>
      </x:c>
      <x:c r="AD1550" s="10" t="n">
        <x:f>IF(AB1550=0,0,T1550/AB1550)</x:f>
        <x:v>18.8472256620321</x:v>
      </x:c>
      <x:c r="AE1550" s="10" t="n">
        <x:f>AA1550*'Assumptions'!$D$21</x:f>
        <x:v>0</x:v>
      </x:c>
    </x:row>
    <x:row r="1551" ht="16" customHeight="1">
      <x:c r="A1551" s="1"/>
      <x:c r="B1551" s="1"/>
      <x:c r="C1551" s="1" t="str">
        <x:v>DOT-008</x:v>
      </x:c>
      <x:c r="D1551" s="10" t="str">
        <x:v>BPA professional services</x:v>
      </x:c>
      <x:c r="E1551" s="10" t="n">
        <x:v>13</x:v>
      </x:c>
      <x:c r="F1551" s="21" t="n">
        <x:f>F1423*(1+'Assumptions'!$M$37)</x:f>
        <x:v>16.69210268543648</x:v>
      </x:c>
      <x:c r="G1551" s="21" t="n">
        <x:f>H1423*'Assumptions'!$K$37</x:f>
        <x:v>15.74086907603088</x:v>
      </x:c>
      <x:c r="H1551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1551+G1551,NA())</x:f>
        <x:v>32.43297176146736</x:v>
      </x:c>
      <x:c r="I1551" s="22" t="n">
        <x:f>'Assumptions'!$H$37*IF('Assumptions'!$O$37=1,1,'Assumptions'!$D$10)*(1+'Assumptions'!$N$37)^(13-1)</x:f>
        <x:v>600</x:v>
      </x:c>
      <x:c r="J1551" s="10" t="n">
        <x:f>H1551*I1551</x:f>
        <x:v>19459.783056880413</x:v>
      </x:c>
      <x:c r="K1551" s="10" t="n">
        <x:f>J1551*'Assumptions'!$T$37</x:f>
        <x:v>19459.783056880413</x:v>
      </x:c>
      <x:c r="L1551" s="10" t="n">
        <x:f>K1551*'Assumptions'!$U$37</x:f>
        <x:v>583.7934917064124</x:v>
      </x:c>
      <x:c r="M1551" s="10" t="n">
        <x:f>K1551*'Assumptions'!$V$37</x:f>
        <x:v>0</x:v>
      </x:c>
      <x:c r="N1551" s="10" t="n">
        <x:f>K1551-L1551-M1551</x:f>
        <x:v>18875.989565174</x:v>
      </x:c>
      <x:c r="O1551" s="10" t="n">
        <x:f>H1551*'Assumptions'!$P$37*'Assumptions'!$Q$37*'Assumptions'!$D$11*(1+'Assumptions'!$D$13)^(13-1)</x:f>
        <x:v>11097.99901960483</x:v>
      </x:c>
      <x:c r="P1551" s="10" t="n">
        <x:f>H1551*'Assumptions'!$R$37*'Assumptions'!$D$11*(1+'Assumptions'!$D$13)^(13-1)</x:f>
        <x:v>462.41662581686785</x:v>
      </x:c>
      <x:c r="Q1551" s="10" t="n">
        <x:f>J1551*'Assumptions'!$S$37</x:f>
        <x:v>0</x:v>
      </x:c>
      <x:c r="R1551" s="10" t="n">
        <x:f>H1551*'Assumptions'!$Y$37*'Assumptions'!$Z$37*'Assumptions'!$D$11*(1+'Assumptions'!$D$13)^(13-1)</x:f>
        <x:v>346.8124693626509</x:v>
      </x:c>
      <x:c r="S1551" s="10" t="n">
        <x:f>IF(I1551=0,0,J1551*'Assumptions'!$W$37+H1551*'Assumptions'!$X$37)</x:f>
        <x:v>574.0636001779723</x:v>
      </x:c>
      <x:c r="T1551" s="10" t="n">
        <x:f>N1551*'Assumptions'!$AA$37</x:f>
        <x:v>755.03958260696</x:v>
      </x:c>
      <x:c r="U1551" s="10" t="n">
        <x:f>'Assumptions'!$AE$37*'Assumptions'!$D$11*(1+'Assumptions'!$D$13)^(13-1)</x:f>
        <x:v>0</x:v>
      </x:c>
      <x:c r="V1551" s="10" t="n">
        <x:f>0</x:f>
        <x:v>0</x:v>
      </x:c>
      <x:c r="W1551" s="10" t="n">
        <x:f>H1551*('Assumptions'!$P$37+'Assumptions'!$Y$37)</x:f>
        <x:v>137.84012998623626</x:v>
      </x:c>
      <x:c r="X1551" s="10" t="n">
        <x:f>N1551/12*'Assumptions'!$AF$37</x:f>
        <x:v>1572.9991304311668</x:v>
      </x:c>
      <x:c r="Y1551" s="10" t="n">
        <x:f>P1551/12</x:f>
        <x:v>38.53471881807232</x:v>
      </x:c>
      <x:c r="Z1551" s="10" t="n">
        <x:f>0</x:f>
        <x:v>0</x:v>
      </x:c>
      <x:c r="AA1551" s="10" t="n">
        <x:f>Z1551*'Assumptions'!$AC$37*'Assumptions'!$D$11*(1+'Assumptions'!$D$13)^(13-1)</x:f>
        <x:v>0</x:v>
      </x:c>
      <x:c r="AB1551" s="10" t="n">
        <x:f>F1551/1</x:f>
        <x:v>16.69210268543648</x:v>
      </x:c>
      <x:c r="AC1551" s="10" t="n">
        <x:f>AB1551/'Assumptions'!$AM$37</x:f>
        <x:v>83.4605134271824</x:v>
      </x:c>
      <x:c r="AD1551" s="10" t="n">
        <x:f>IF(AB1551=0,0,T1551/AB1551)</x:f>
        <x:v>45.23334158887704</x:v>
      </x:c>
      <x:c r="AE1551" s="10" t="n">
        <x:f>AA1551*'Assumptions'!$D$21</x:f>
        <x:v>0</x:v>
      </x:c>
    </x:row>
    <x:row r="1552" ht="16" customHeight="1">
      <x:c r="A1552" s="1"/>
      <x:c r="B1552" s="1"/>
      <x:c r="C1552" s="1" t="str">
        <x:v>DOT-009</x:v>
      </x:c>
      <x:c r="D1552" s="10" t="str">
        <x:v>BPA professional services</x:v>
      </x:c>
      <x:c r="E1552" s="10" t="n">
        <x:v>13</x:v>
      </x:c>
      <x:c r="F1552" s="21" t="n">
        <x:f>F1424*(1+'Assumptions'!$M$38)</x:f>
        <x:v>11.128068456957658</x:v>
      </x:c>
      <x:c r="G1552" s="21" t="n">
        <x:f>H1424*'Assumptions'!$K$38</x:f>
        <x:v>10.493912717353922</x:v>
      </x:c>
      <x:c r="H1552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1552+G1552,NA())</x:f>
        <x:v>21.62198117431158</x:v>
      </x:c>
      <x:c r="I1552" s="22" t="n">
        <x:f>'Assumptions'!$H$38*IF('Assumptions'!$O$38=1,1,'Assumptions'!$D$10)*(1+'Assumptions'!$N$38)^(13-1)</x:f>
        <x:v>900</x:v>
      </x:c>
      <x:c r="J1552" s="10" t="n">
        <x:f>H1552*I1552</x:f>
        <x:v>19459.78305688042</x:v>
      </x:c>
      <x:c r="K1552" s="10" t="n">
        <x:f>J1552*'Assumptions'!$T$38</x:f>
        <x:v>19459.78305688042</x:v>
      </x:c>
      <x:c r="L1552" s="10" t="n">
        <x:f>K1552*'Assumptions'!$U$38</x:f>
        <x:v>583.7934917064126</x:v>
      </x:c>
      <x:c r="M1552" s="10" t="n">
        <x:f>K1552*'Assumptions'!$V$38</x:f>
        <x:v>0</x:v>
      </x:c>
      <x:c r="N1552" s="10" t="n">
        <x:f>K1552-L1552-M1552</x:f>
        <x:v>18875.989565174008</x:v>
      </x:c>
      <x:c r="O1552" s="10" t="n">
        <x:f>H1552*'Assumptions'!$P$38*'Assumptions'!$Q$38*'Assumptions'!$D$11*(1+'Assumptions'!$D$13)^(13-1)</x:f>
        <x:v>11097.999019604835</x:v>
      </x:c>
      <x:c r="P1552" s="10" t="n">
        <x:f>H1552*'Assumptions'!$R$38*'Assumptions'!$D$11*(1+'Assumptions'!$D$13)^(13-1)</x:f>
        <x:v>308.2777505445787</x:v>
      </x:c>
      <x:c r="Q1552" s="10" t="n">
        <x:f>J1552*'Assumptions'!$S$38</x:f>
        <x:v>0</x:v>
      </x:c>
      <x:c r="R1552" s="10" t="n">
        <x:f>H1552*'Assumptions'!$Y$38*'Assumptions'!$Z$38*'Assumptions'!$D$11*(1+'Assumptions'!$D$13)^(13-1)</x:f>
        <x:v>231.208312908434</x:v>
      </x:c>
      <x:c r="S1552" s="10" t="n">
        <x:f>IF(I1552=0,0,J1552*'Assumptions'!$W$38+H1552*'Assumptions'!$X$38)</x:f>
        <x:v>570.8203030018257</x:v>
      </x:c>
      <x:c r="T1552" s="10" t="n">
        <x:f>N1552*'Assumptions'!$AA$38</x:f>
        <x:v>755.0395826069604</x:v>
      </x:c>
      <x:c r="U1552" s="10" t="n">
        <x:f>'Assumptions'!$AE$38*'Assumptions'!$D$11*(1+'Assumptions'!$D$13)^(13-1)</x:f>
        <x:v>0</x:v>
      </x:c>
      <x:c r="V1552" s="10" t="n">
        <x:f>0</x:f>
        <x:v>0</x:v>
      </x:c>
      <x:c r="W1552" s="10" t="n">
        <x:f>H1552*('Assumptions'!$P$38+'Assumptions'!$Y$38)</x:f>
        <x:v>135.13738233944736</x:v>
      </x:c>
      <x:c r="X1552" s="10" t="n">
        <x:f>N1552/12*'Assumptions'!$AF$38</x:f>
        <x:v>1572.9991304311673</x:v>
      </x:c>
      <x:c r="Y1552" s="10" t="n">
        <x:f>P1552/12</x:f>
        <x:v>25.689812545381557</x:v>
      </x:c>
      <x:c r="Z1552" s="10" t="n">
        <x:f>0</x:f>
        <x:v>0</x:v>
      </x:c>
      <x:c r="AA1552" s="10" t="n">
        <x:f>Z1552*'Assumptions'!$AC$38*'Assumptions'!$D$11*(1+'Assumptions'!$D$13)^(13-1)</x:f>
        <x:v>0</x:v>
      </x:c>
      <x:c r="AB1552" s="10" t="n">
        <x:f>F1552/1</x:f>
        <x:v>11.128068456957658</x:v>
      </x:c>
      <x:c r="AC1552" s="10" t="n">
        <x:f>AB1552/'Assumptions'!$AM$38</x:f>
        <x:v>55.64034228478829</x:v>
      </x:c>
      <x:c r="AD1552" s="10" t="n">
        <x:f>IF(AB1552=0,0,T1552/AB1552)</x:f>
        <x:v>67.85001238331556</x:v>
      </x:c>
      <x:c r="AE1552" s="10" t="n">
        <x:f>AA1552*'Assumptions'!$D$21</x:f>
        <x:v>0</x:v>
      </x:c>
    </x:row>
    <x:row r="1553" ht="16" customHeight="1">
      <x:c r="A1553" s="1"/>
      <x:c r="B1553" s="1"/>
      <x:c r="C1553" s="1" t="str">
        <x:v>DOT-010</x:v>
      </x:c>
      <x:c r="D1553" s="10" t="str">
        <x:v>BPA professional services</x:v>
      </x:c>
      <x:c r="E1553" s="10" t="n">
        <x:v>13</x:v>
      </x:c>
      <x:c r="F1553" s="21" t="n">
        <x:f>F1425*(1+'Assumptions'!$M$39)</x:f>
        <x:v>11.128068456957658</x:v>
      </x:c>
      <x:c r="G1553" s="21" t="n">
        <x:f>H1425*'Assumptions'!$K$39</x:f>
        <x:v>10.493912717353922</x:v>
      </x:c>
      <x:c r="H1553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1553+G1553,NA())</x:f>
        <x:v>21.62198117431158</x:v>
      </x:c>
      <x:c r="I1553" s="22" t="n">
        <x:f>'Assumptions'!$H$39*IF('Assumptions'!$O$39=1,1,'Assumptions'!$D$10)*(1+'Assumptions'!$N$39)^(13-1)</x:f>
        <x:v>1800</x:v>
      </x:c>
      <x:c r="J1553" s="10" t="n">
        <x:f>H1553*I1553</x:f>
        <x:v>38919.56611376084</x:v>
      </x:c>
      <x:c r="K1553" s="10" t="n">
        <x:f>J1553*'Assumptions'!$T$39</x:f>
        <x:v>38919.56611376084</x:v>
      </x:c>
      <x:c r="L1553" s="10" t="n">
        <x:f>K1553*'Assumptions'!$U$39</x:f>
        <x:v>1167.5869834128252</x:v>
      </x:c>
      <x:c r="M1553" s="10" t="n">
        <x:f>K1553*'Assumptions'!$V$39</x:f>
        <x:v>0</x:v>
      </x:c>
      <x:c r="N1553" s="10" t="n">
        <x:f>K1553-L1553-M1553</x:f>
        <x:v>37751.979130348016</x:v>
      </x:c>
      <x:c r="O1553" s="10" t="n">
        <x:f>H1553*'Assumptions'!$P$39*'Assumptions'!$Q$39*'Assumptions'!$D$11*(1+'Assumptions'!$D$13)^(13-1)</x:f>
        <x:v>22195.99803920967</x:v>
      </x:c>
      <x:c r="P1553" s="10" t="n">
        <x:f>H1553*'Assumptions'!$R$39*'Assumptions'!$D$11*(1+'Assumptions'!$D$13)^(13-1)</x:f>
        <x:v>308.2777505445787</x:v>
      </x:c>
      <x:c r="Q1553" s="10" t="n">
        <x:f>J1553*'Assumptions'!$S$39</x:f>
        <x:v>0</x:v>
      </x:c>
      <x:c r="R1553" s="10" t="n">
        <x:f>H1553*'Assumptions'!$Y$39*'Assumptions'!$Z$39*'Assumptions'!$D$11*(1+'Assumptions'!$D$13)^(13-1)</x:f>
        <x:v>231.208312908434</x:v>
      </x:c>
      <x:c r="S1553" s="10" t="n">
        <x:f>IF(I1553=0,0,J1553*'Assumptions'!$W$39+H1553*'Assumptions'!$X$39)</x:f>
        <x:v>1135.154011651358</x:v>
      </x:c>
      <x:c r="T1553" s="10" t="n">
        <x:f>N1553*'Assumptions'!$AA$39</x:f>
        <x:v>1510.0791652139208</x:v>
      </x:c>
      <x:c r="U1553" s="10" t="n">
        <x:f>'Assumptions'!$AE$39*'Assumptions'!$D$11*(1+'Assumptions'!$D$13)^(13-1)</x:f>
        <x:v>0</x:v>
      </x:c>
      <x:c r="V1553" s="10" t="n">
        <x:f>0</x:f>
        <x:v>0</x:v>
      </x:c>
      <x:c r="W1553" s="10" t="n">
        <x:f>H1553*('Assumptions'!$P$39+'Assumptions'!$Y$39)</x:f>
        <x:v>264.86926938531684</x:v>
      </x:c>
      <x:c r="X1553" s="10" t="n">
        <x:f>N1553/12*'Assumptions'!$AF$39</x:f>
        <x:v>3145.9982608623345</x:v>
      </x:c>
      <x:c r="Y1553" s="10" t="n">
        <x:f>P1553/12</x:f>
        <x:v>25.689812545381557</x:v>
      </x:c>
      <x:c r="Z1553" s="10" t="n">
        <x:f>0</x:f>
        <x:v>0</x:v>
      </x:c>
      <x:c r="AA1553" s="10" t="n">
        <x:f>Z1553*'Assumptions'!$AC$39*'Assumptions'!$D$11*(1+'Assumptions'!$D$13)^(13-1)</x:f>
        <x:v>0</x:v>
      </x:c>
      <x:c r="AB1553" s="10" t="n">
        <x:f>F1553/1</x:f>
        <x:v>11.128068456957658</x:v>
      </x:c>
      <x:c r="AC1553" s="10" t="n">
        <x:f>AB1553/'Assumptions'!$AM$39</x:f>
        <x:v>55.64034228478829</x:v>
      </x:c>
      <x:c r="AD1553" s="10" t="n">
        <x:f>IF(AB1553=0,0,T1553/AB1553)</x:f>
        <x:v>135.70002476663112</x:v>
      </x:c>
      <x:c r="AE1553" s="10" t="n">
        <x:f>AA1553*'Assumptions'!$D$21</x:f>
        <x:v>0</x:v>
      </x:c>
    </x:row>
    <x:row r="1554" ht="16" customHeight="1">
      <x:c r="A1554" s="1"/>
      <x:c r="B1554" s="1"/>
      <x:c r="C1554" s="1" t="str">
        <x:v>DOT-011</x:v>
      </x:c>
      <x:c r="D1554" s="10" t="str">
        <x:v>BPA professional services</x:v>
      </x:c>
      <x:c r="E1554" s="10" t="n">
        <x:v>13</x:v>
      </x:c>
      <x:c r="F1554" s="21" t="n">
        <x:f>F1426*(1+'Assumptions'!$M$40)</x:f>
        <x:v>33.38420537087296</x:v>
      </x:c>
      <x:c r="G1554" s="21" t="n">
        <x:f>H1426*'Assumptions'!$K$40</x:f>
        <x:v>31.48173815206176</x:v>
      </x:c>
      <x:c r="H1554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1554+G1554,NA())</x:f>
        <x:v>64.86594352293471</x:v>
      </x:c>
      <x:c r="I1554" s="22" t="n">
        <x:f>'Assumptions'!$H$40*IF('Assumptions'!$O$40=1,1,'Assumptions'!$D$10)*(1+'Assumptions'!$N$40)^(13-1)</x:f>
        <x:v>600</x:v>
      </x:c>
      <x:c r="J1554" s="10" t="n">
        <x:f>H1554*I1554</x:f>
        <x:v>38919.566113760826</x:v>
      </x:c>
      <x:c r="K1554" s="10" t="n">
        <x:f>J1554*'Assumptions'!$T$40</x:f>
        <x:v>38919.566113760826</x:v>
      </x:c>
      <x:c r="L1554" s="10" t="n">
        <x:f>K1554*'Assumptions'!$U$40</x:f>
        <x:v>1167.5869834128248</x:v>
      </x:c>
      <x:c r="M1554" s="10" t="n">
        <x:f>K1554*'Assumptions'!$V$40</x:f>
        <x:v>0</x:v>
      </x:c>
      <x:c r="N1554" s="10" t="n">
        <x:f>K1554-L1554-M1554</x:f>
        <x:v>37751.979130348</x:v>
      </x:c>
      <x:c r="O1554" s="10" t="n">
        <x:f>H1554*'Assumptions'!$P$40*'Assumptions'!$Q$40*'Assumptions'!$D$11*(1+'Assumptions'!$D$13)^(13-1)</x:f>
        <x:v>22195.99803920966</x:v>
      </x:c>
      <x:c r="P1554" s="10" t="n">
        <x:f>H1554*'Assumptions'!$R$40*'Assumptions'!$D$11*(1+'Assumptions'!$D$13)^(13-1)</x:f>
        <x:v>924.8332516337357</x:v>
      </x:c>
      <x:c r="Q1554" s="10" t="n">
        <x:f>J1554*'Assumptions'!$S$40</x:f>
        <x:v>0</x:v>
      </x:c>
      <x:c r="R1554" s="10" t="n">
        <x:f>H1554*'Assumptions'!$Y$40*'Assumptions'!$Z$40*'Assumptions'!$D$11*(1+'Assumptions'!$D$13)^(13-1)</x:f>
        <x:v>693.6249387253018</x:v>
      </x:c>
      <x:c r="S1554" s="10" t="n">
        <x:f>IF(I1554=0,0,J1554*'Assumptions'!$W$40+H1554*'Assumptions'!$X$40)</x:f>
        <x:v>1148.1272003559445</x:v>
      </x:c>
      <x:c r="T1554" s="10" t="n">
        <x:f>N1554*'Assumptions'!$AA$40</x:f>
        <x:v>1510.07916521392</x:v>
      </x:c>
      <x:c r="U1554" s="10" t="n">
        <x:f>'Assumptions'!$AE$40*'Assumptions'!$D$11*(1+'Assumptions'!$D$13)^(13-1)</x:f>
        <x:v>0</x:v>
      </x:c>
      <x:c r="V1554" s="10" t="n">
        <x:f>0</x:f>
        <x:v>0</x:v>
      </x:c>
      <x:c r="W1554" s="10" t="n">
        <x:f>H1554*('Assumptions'!$P$40+'Assumptions'!$Y$40)</x:f>
        <x:v>275.6802599724725</x:v>
      </x:c>
      <x:c r="X1554" s="10" t="n">
        <x:f>N1554/12*'Assumptions'!$AF$40</x:f>
        <x:v>3145.9982608623336</x:v>
      </x:c>
      <x:c r="Y1554" s="10" t="n">
        <x:f>P1554/12</x:f>
        <x:v>77.06943763614464</x:v>
      </x:c>
      <x:c r="Z1554" s="10" t="n">
        <x:f>0</x:f>
        <x:v>0</x:v>
      </x:c>
      <x:c r="AA1554" s="10" t="n">
        <x:f>Z1554*'Assumptions'!$AC$40*'Assumptions'!$D$11*(1+'Assumptions'!$D$13)^(13-1)</x:f>
        <x:v>0</x:v>
      </x:c>
      <x:c r="AB1554" s="10" t="n">
        <x:f>F1554/12</x:f>
        <x:v>2.7820171142394137</x:v>
      </x:c>
      <x:c r="AC1554" s="10" t="n">
        <x:f>AB1554/'Assumptions'!$AM$40</x:f>
        <x:v>13.910085571197067</x:v>
      </x:c>
      <x:c r="AD1554" s="10" t="n">
        <x:f>IF(AB1554=0,0,T1554/AB1554)</x:f>
        <x:v>542.8000990665244</x:v>
      </x:c>
      <x:c r="AE1554" s="10" t="n">
        <x:f>AA1554*'Assumptions'!$D$21</x:f>
        <x:v>0</x:v>
      </x:c>
    </x:row>
    <x:row r="1555" ht="16" customHeight="1">
      <x:c r="A1555" s="1"/>
      <x:c r="B1555" s="1"/>
      <x:c r="C1555" s="1" t="str">
        <x:v>DOT-012</x:v>
      </x:c>
      <x:c r="D1555" s="10" t="str">
        <x:v>BPA professional services</x:v>
      </x:c>
      <x:c r="E1555" s="10" t="n">
        <x:v>13</x:v>
      </x:c>
      <x:c r="F1555" s="21" t="n">
        <x:f>F1427*(1+'Assumptions'!$M$41)</x:f>
        <x:v>22.256136913915316</x:v>
      </x:c>
      <x:c r="G1555" s="21" t="n">
        <x:f>H1427*'Assumptions'!$K$41</x:f>
        <x:v>20.987825434707844</x:v>
      </x:c>
      <x:c r="H1555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1555+G1555,NA())</x:f>
        <x:v>43.24396234862316</x:v>
      </x:c>
      <x:c r="I1555" s="22" t="n">
        <x:f>'Assumptions'!$H$41*IF('Assumptions'!$O$41=1,1,'Assumptions'!$D$10)*(1+'Assumptions'!$N$41)^(13-1)</x:f>
        <x:v>1080</x:v>
      </x:c>
      <x:c r="J1555" s="10" t="n">
        <x:f>H1555*I1555</x:f>
        <x:v>46703.47933651301</x:v>
      </x:c>
      <x:c r="K1555" s="10" t="n">
        <x:f>J1555*'Assumptions'!$T$41</x:f>
        <x:v>46703.47933651301</x:v>
      </x:c>
      <x:c r="L1555" s="10" t="n">
        <x:f>K1555*'Assumptions'!$U$41</x:f>
        <x:v>1401.1043800953903</x:v>
      </x:c>
      <x:c r="M1555" s="10" t="n">
        <x:f>K1555*'Assumptions'!$V$41</x:f>
        <x:v>0</x:v>
      </x:c>
      <x:c r="N1555" s="10" t="n">
        <x:f>K1555-L1555-M1555</x:f>
        <x:v>45302.37495641762</x:v>
      </x:c>
      <x:c r="O1555" s="10" t="n">
        <x:f>H1555*'Assumptions'!$P$41*'Assumptions'!$Q$41*'Assumptions'!$D$11*(1+'Assumptions'!$D$13)^(13-1)</x:f>
        <x:v>29594.664052279553</x:v>
      </x:c>
      <x:c r="P1555" s="10" t="n">
        <x:f>H1555*'Assumptions'!$R$41*'Assumptions'!$D$11*(1+'Assumptions'!$D$13)^(13-1)</x:f>
        <x:v>616.5555010891574</x:v>
      </x:c>
      <x:c r="Q1555" s="10" t="n">
        <x:f>J1555*'Assumptions'!$S$41</x:f>
        <x:v>0</x:v>
      </x:c>
      <x:c r="R1555" s="10" t="n">
        <x:f>H1555*'Assumptions'!$Y$41*'Assumptions'!$Z$41*'Assumptions'!$D$11*(1+'Assumptions'!$D$13)^(13-1)</x:f>
        <x:v>462.416625816868</x:v>
      </x:c>
      <x:c r="S1555" s="10" t="n">
        <x:f>IF(I1555=0,0,J1555*'Assumptions'!$W$41+H1555*'Assumptions'!$X$41)</x:f>
        <x:v>1367.3740894634643</x:v>
      </x:c>
      <x:c r="T1555" s="10" t="n">
        <x:f>N1555*'Assumptions'!$AA$41</x:f>
        <x:v>1812.0949982567047</x:v>
      </x:c>
      <x:c r="U1555" s="10" t="n">
        <x:f>'Assumptions'!$AE$41*'Assumptions'!$D$11*(1+'Assumptions'!$D$13)^(13-1)</x:f>
        <x:v>0</x:v>
      </x:c>
      <x:c r="V1555" s="10" t="n">
        <x:f>0</x:f>
        <x:v>0</x:v>
      </x:c>
      <x:c r="W1555" s="10" t="n">
        <x:f>H1555*('Assumptions'!$P$41+'Assumptions'!$Y$41)</x:f>
        <x:v>356.76268937614105</x:v>
      </x:c>
      <x:c r="X1555" s="10" t="n">
        <x:f>N1555/12*'Assumptions'!$AF$41</x:f>
        <x:v>3775.1979130348013</x:v>
      </x:c>
      <x:c r="Y1555" s="10" t="n">
        <x:f>P1555/12</x:f>
        <x:v>51.37962509076311</x:v>
      </x:c>
      <x:c r="Z1555" s="10" t="n">
        <x:f>0</x:f>
        <x:v>0</x:v>
      </x:c>
      <x:c r="AA1555" s="10" t="n">
        <x:f>Z1555*'Assumptions'!$AC$41*'Assumptions'!$D$11*(1+'Assumptions'!$D$13)^(13-1)</x:f>
        <x:v>0</x:v>
      </x:c>
      <x:c r="AB1555" s="10" t="n">
        <x:f>F1555/12</x:f>
        <x:v>1.8546780761596098</x:v>
      </x:c>
      <x:c r="AC1555" s="10" t="n">
        <x:f>AB1555/'Assumptions'!$AM$41</x:f>
        <x:v>9.273390380798048</x:v>
      </x:c>
      <x:c r="AD1555" s="10" t="n">
        <x:f>IF(AB1555=0,0,T1555/AB1555)</x:f>
        <x:v>977.0401783197439</x:v>
      </x:c>
      <x:c r="AE1555" s="10" t="n">
        <x:f>AA1555*'Assumptions'!$D$21</x:f>
        <x:v>0</x:v>
      </x:c>
    </x:row>
    <x:row r="1556" ht="16" customHeight="1">
      <x:c r="A1556" s="1"/>
      <x:c r="B1556" s="1"/>
      <x:c r="C1556" s="1" t="str">
        <x:v>DOT-013</x:v>
      </x:c>
      <x:c r="D1556" s="10" t="str">
        <x:v>BPA professional services</x:v>
      </x:c>
      <x:c r="E1556" s="10" t="n">
        <x:v>13</x:v>
      </x:c>
      <x:c r="F1556" s="21" t="n">
        <x:f>F1428*(1+'Assumptions'!$M$42)</x:f>
        <x:v>16.69210268543648</x:v>
      </x:c>
      <x:c r="G1556" s="21" t="n">
        <x:f>H1428*'Assumptions'!$K$42</x:f>
        <x:v>15.74086907603088</x:v>
      </x:c>
      <x:c r="H1556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1556+G1556,NA())</x:f>
        <x:v>32.43297176146736</x:v>
      </x:c>
      <x:c r="I1556" s="22" t="n">
        <x:f>'Assumptions'!$H$42*IF('Assumptions'!$O$42=1,1,'Assumptions'!$D$10)*(1+'Assumptions'!$N$42)^(13-1)</x:f>
        <x:v>2160</x:v>
      </x:c>
      <x:c r="J1556" s="10" t="n">
        <x:f>H1556*I1556</x:f>
        <x:v>70055.21900476949</x:v>
      </x:c>
      <x:c r="K1556" s="10" t="n">
        <x:f>J1556*'Assumptions'!$T$42</x:f>
        <x:v>70055.21900476949</x:v>
      </x:c>
      <x:c r="L1556" s="10" t="n">
        <x:f>K1556*'Assumptions'!$U$42</x:f>
        <x:v>2101.6565701430845</x:v>
      </x:c>
      <x:c r="M1556" s="10" t="n">
        <x:f>K1556*'Assumptions'!$V$42</x:f>
        <x:v>0</x:v>
      </x:c>
      <x:c r="N1556" s="10" t="n">
        <x:f>K1556-L1556-M1556</x:f>
        <x:v>67953.56243462641</x:v>
      </x:c>
      <x:c r="O1556" s="10" t="n">
        <x:f>H1556*'Assumptions'!$P$42*'Assumptions'!$Q$42*'Assumptions'!$D$11*(1+'Assumptions'!$D$13)^(13-1)</x:f>
        <x:v>44391.99607841932</x:v>
      </x:c>
      <x:c r="P1556" s="10" t="n">
        <x:f>H1556*'Assumptions'!$R$42*'Assumptions'!$D$11*(1+'Assumptions'!$D$13)^(13-1)</x:f>
        <x:v>462.41662581686785</x:v>
      </x:c>
      <x:c r="Q1556" s="10" t="n">
        <x:f>J1556*'Assumptions'!$S$42</x:f>
        <x:v>0</x:v>
      </x:c>
      <x:c r="R1556" s="10" t="n">
        <x:f>H1556*'Assumptions'!$Y$42*'Assumptions'!$Z$42*'Assumptions'!$D$11*(1+'Assumptions'!$D$13)^(13-1)</x:f>
        <x:v>346.8124693626509</x:v>
      </x:c>
      <x:c r="S1556" s="10" t="n">
        <x:f>IF(I1556=0,0,J1556*'Assumptions'!$W$42+H1556*'Assumptions'!$X$42)</x:f>
        <x:v>2041.3312426667555</x:v>
      </x:c>
      <x:c r="T1556" s="10" t="n">
        <x:f>N1556*'Assumptions'!$AA$42</x:f>
        <x:v>2718.1424973850562</x:v>
      </x:c>
      <x:c r="U1556" s="10" t="n">
        <x:f>'Assumptions'!$AE$42*'Assumptions'!$D$11*(1+'Assumptions'!$D$13)^(13-1)</x:f>
        <x:v>0</x:v>
      </x:c>
      <x:c r="V1556" s="10" t="n">
        <x:f>0</x:f>
        <x:v>0</x:v>
      </x:c>
      <x:c r="W1556" s="10" t="n">
        <x:f>H1556*('Assumptions'!$P$42+'Assumptions'!$Y$42)</x:f>
        <x:v>527.0357911238445</x:v>
      </x:c>
      <x:c r="X1556" s="10" t="n">
        <x:f>N1556/12*'Assumptions'!$AF$42</x:f>
        <x:v>5662.7968695522</x:v>
      </x:c>
      <x:c r="Y1556" s="10" t="n">
        <x:f>P1556/12</x:f>
        <x:v>38.53471881807232</x:v>
      </x:c>
      <x:c r="Z1556" s="10" t="n">
        <x:f>0</x:f>
        <x:v>0</x:v>
      </x:c>
      <x:c r="AA1556" s="10" t="n">
        <x:f>Z1556*'Assumptions'!$AC$42*'Assumptions'!$D$11*(1+'Assumptions'!$D$13)^(13-1)</x:f>
        <x:v>0</x:v>
      </x:c>
      <x:c r="AB1556" s="10" t="n">
        <x:f>F1556/12</x:f>
        <x:v>1.3910085571197068</x:v>
      </x:c>
      <x:c r="AC1556" s="10" t="n">
        <x:f>AB1556/'Assumptions'!$AM$42</x:f>
        <x:v>6.9550427855985335</x:v>
      </x:c>
      <x:c r="AD1556" s="10" t="n">
        <x:f>IF(AB1556=0,0,T1556/AB1556)</x:f>
        <x:v>1954.080356639488</x:v>
      </x:c>
      <x:c r="AE1556" s="10" t="n">
        <x:f>AA1556*'Assumptions'!$D$21</x:f>
        <x:v>0</x:v>
      </x:c>
    </x:row>
    <x:row r="1557" ht="16" customHeight="1">
      <x:c r="A1557" s="1"/>
      <x:c r="B1557" s="1"/>
      <x:c r="C1557" s="1" t="str">
        <x:v>DOT-014</x:v>
      </x:c>
      <x:c r="D1557" s="10" t="str">
        <x:v>BPA professional services</x:v>
      </x:c>
      <x:c r="E1557" s="10" t="n">
        <x:v>13</x:v>
      </x:c>
      <x:c r="F1557" s="21" t="n">
        <x:f>F1429*(1+'Assumptions'!$M$43)</x:f>
        <x:v>11.128068456957658</x:v>
      </x:c>
      <x:c r="G1557" s="21" t="n">
        <x:f>H1429*'Assumptions'!$K$43</x:f>
        <x:v>10.493912717353922</x:v>
      </x:c>
      <x:c r="H1557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1557+G1557,NA())</x:f>
        <x:v>21.62198117431158</x:v>
      </x:c>
      <x:c r="I1557" s="22" t="n">
        <x:f>'Assumptions'!$H$43*IF('Assumptions'!$O$43=1,1,'Assumptions'!$D$10)*(1+'Assumptions'!$N$43)^(13-1)</x:f>
        <x:v>3000</x:v>
      </x:c>
      <x:c r="J1557" s="10" t="n">
        <x:f>H1557*I1557</x:f>
        <x:v>64865.94352293474</x:v>
      </x:c>
      <x:c r="K1557" s="10" t="n">
        <x:f>J1557*'Assumptions'!$T$43</x:f>
        <x:v>64865.94352293474</x:v>
      </x:c>
      <x:c r="L1557" s="10" t="n">
        <x:f>K1557*'Assumptions'!$U$43</x:f>
        <x:v>1945.978305688042</x:v>
      </x:c>
      <x:c r="M1557" s="10" t="n">
        <x:f>K1557*'Assumptions'!$V$43</x:f>
        <x:v>0</x:v>
      </x:c>
      <x:c r="N1557" s="10" t="n">
        <x:f>K1557-L1557-M1557</x:f>
        <x:v>62919.965217246696</x:v>
      </x:c>
      <x:c r="O1557" s="10" t="n">
        <x:f>H1557*'Assumptions'!$P$43*'Assumptions'!$Q$43*'Assumptions'!$D$11*(1+'Assumptions'!$D$13)^(13-1)</x:f>
        <x:v>36993.330065349444</x:v>
      </x:c>
      <x:c r="P1557" s="10" t="n">
        <x:f>H1557*'Assumptions'!$R$43*'Assumptions'!$D$11*(1+'Assumptions'!$D$13)^(13-1)</x:f>
        <x:v>308.2777505445787</x:v>
      </x:c>
      <x:c r="Q1557" s="10" t="n">
        <x:f>J1557*'Assumptions'!$S$43</x:f>
        <x:v>0</x:v>
      </x:c>
      <x:c r="R1557" s="10" t="n">
        <x:f>H1557*'Assumptions'!$Y$43*'Assumptions'!$Z$43*'Assumptions'!$D$11*(1+'Assumptions'!$D$13)^(13-1)</x:f>
        <x:v>231.208312908434</x:v>
      </x:c>
      <x:c r="S1557" s="10" t="n">
        <x:f>IF(I1557=0,0,J1557*'Assumptions'!$W$43+H1557*'Assumptions'!$X$43)</x:f>
        <x:v>1887.598956517401</x:v>
      </x:c>
      <x:c r="T1557" s="10" t="n">
        <x:f>N1557*'Assumptions'!$AA$43</x:f>
        <x:v>2516.7986086898677</x:v>
      </x:c>
      <x:c r="U1557" s="10" t="n">
        <x:f>'Assumptions'!$AE$43*'Assumptions'!$D$11*(1+'Assumptions'!$D$13)^(13-1)</x:f>
        <x:v>0</x:v>
      </x:c>
      <x:c r="V1557" s="10" t="n">
        <x:f>0</x:f>
        <x:v>0</x:v>
      </x:c>
      <x:c r="W1557" s="10" t="n">
        <x:f>H1557*('Assumptions'!$P$43+'Assumptions'!$Y$43)</x:f>
        <x:v>437.84511877980947</x:v>
      </x:c>
      <x:c r="X1557" s="10" t="n">
        <x:f>N1557/12*'Assumptions'!$AF$43</x:f>
        <x:v>5243.330434770558</x:v>
      </x:c>
      <x:c r="Y1557" s="10" t="n">
        <x:f>P1557/12</x:f>
        <x:v>25.689812545381557</x:v>
      </x:c>
      <x:c r="Z1557" s="10" t="n">
        <x:f>0</x:f>
        <x:v>0</x:v>
      </x:c>
      <x:c r="AA1557" s="10" t="n">
        <x:f>Z1557*'Assumptions'!$AC$43*'Assumptions'!$D$11*(1+'Assumptions'!$D$13)^(13-1)</x:f>
        <x:v>0</x:v>
      </x:c>
      <x:c r="AB1557" s="10" t="n">
        <x:f>F1557/12</x:f>
        <x:v>0.9273390380798049</x:v>
      </x:c>
      <x:c r="AC1557" s="10" t="n">
        <x:f>AB1557/'Assumptions'!$AM$43</x:f>
        <x:v>4.636695190399024</x:v>
      </x:c>
      <x:c r="AD1557" s="10" t="n">
        <x:f>IF(AB1557=0,0,T1557/AB1557)</x:f>
        <x:v>2714.000495332622</x:v>
      </x:c>
      <x:c r="AE1557" s="10" t="n">
        <x:f>AA1557*'Assumptions'!$D$21</x:f>
        <x:v>0</x:v>
      </x:c>
    </x:row>
    <x:row r="1558" ht="16" customHeight="1">
      <x:c r="A1558" s="1"/>
      <x:c r="B1558" s="1"/>
      <x:c r="C1558" s="1" t="str">
        <x:v>DOT-015</x:v>
      </x:c>
      <x:c r="D1558" s="10" t="str">
        <x:v>BPA professional services</x:v>
      </x:c>
      <x:c r="E1558" s="10" t="n">
        <x:v>13</x:v>
      </x:c>
      <x:c r="F1558" s="21" t="n">
        <x:f>F1430*(1+'Assumptions'!$M$44)</x:f>
        <x:v>9.273390380798048</x:v>
      </x:c>
      <x:c r="G1558" s="21" t="n">
        <x:f>H1430*'Assumptions'!$K$44</x:f>
        <x:v>8.744927264461602</x:v>
      </x:c>
      <x:c r="H1558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1558+G1558,NA())</x:f>
        <x:v>18.01831764525965</x:v>
      </x:c>
      <x:c r="I1558" s="22" t="n">
        <x:f>'Assumptions'!$H$44*IF('Assumptions'!$O$44=1,1,'Assumptions'!$D$10)*(1+'Assumptions'!$N$44)^(13-1)</x:f>
        <x:v>1200</x:v>
      </x:c>
      <x:c r="J1558" s="10" t="n">
        <x:f>H1558*I1558</x:f>
        <x:v>21621.98117431158</x:v>
      </x:c>
      <x:c r="K1558" s="10" t="n">
        <x:f>J1558*'Assumptions'!$T$44</x:f>
        <x:v>21621.98117431158</x:v>
      </x:c>
      <x:c r="L1558" s="10" t="n">
        <x:f>K1558*'Assumptions'!$U$44</x:f>
        <x:v>648.6594352293473</x:v>
      </x:c>
      <x:c r="M1558" s="10" t="n">
        <x:f>K1558*'Assumptions'!$V$44</x:f>
        <x:v>0</x:v>
      </x:c>
      <x:c r="N1558" s="10" t="n">
        <x:f>K1558-L1558-M1558</x:f>
        <x:v>20973.321739082232</x:v>
      </x:c>
      <x:c r="O1558" s="10" t="n">
        <x:f>H1558*'Assumptions'!$P$44*'Assumptions'!$Q$44*'Assumptions'!$D$11*(1+'Assumptions'!$D$13)^(13-1)</x:f>
        <x:v>15413.887527228937</x:v>
      </x:c>
      <x:c r="P1558" s="10" t="n">
        <x:f>H1558*'Assumptions'!$R$44*'Assumptions'!$D$11*(1+'Assumptions'!$D$13)^(13-1)</x:f>
        <x:v>256.8981254538156</x:v>
      </x:c>
      <x:c r="Q1558" s="10" t="n">
        <x:f>J1558*'Assumptions'!$S$44</x:f>
        <x:v>0</x:v>
      </x:c>
      <x:c r="R1558" s="10" t="n">
        <x:f>H1558*'Assumptions'!$Y$44*'Assumptions'!$Z$44*'Assumptions'!$D$11*(1+'Assumptions'!$D$13)^(13-1)</x:f>
        <x:v>192.67359409036172</x:v>
      </x:c>
      <x:c r="S1558" s="10" t="n">
        <x:f>IF(I1558=0,0,J1558*'Assumptions'!$W$44+H1558*'Assumptions'!$X$44)</x:f>
        <x:v>632.4429493486138</x:v>
      </x:c>
      <x:c r="T1558" s="10" t="n">
        <x:f>N1558*'Assumptions'!$AA$44</x:f>
        <x:v>838.9328695632893</x:v>
      </x:c>
      <x:c r="U1558" s="10" t="n">
        <x:f>'Assumptions'!$AE$44*'Assumptions'!$D$11*(1+'Assumptions'!$D$13)^(13-1)</x:f>
        <x:v>0</x:v>
      </x:c>
      <x:c r="V1558" s="10" t="n">
        <x:f>0</x:f>
        <x:v>0</x:v>
      </x:c>
      <x:c r="W1558" s="10" t="n">
        <x:f>H1558*('Assumptions'!$P$44+'Assumptions'!$Y$44)</x:f>
        <x:v>184.6877558639114</x:v>
      </x:c>
      <x:c r="X1558" s="10" t="n">
        <x:f>N1558/12*'Assumptions'!$AF$44</x:f>
        <x:v>1747.776811590186</x:v>
      </x:c>
      <x:c r="Y1558" s="10" t="n">
        <x:f>P1558/12</x:f>
        <x:v>21.4081771211513</x:v>
      </x:c>
      <x:c r="Z1558" s="10" t="n">
        <x:f>0</x:f>
        <x:v>0</x:v>
      </x:c>
      <x:c r="AA1558" s="10" t="n">
        <x:f>Z1558*'Assumptions'!$AC$44*'Assumptions'!$D$11*(1+'Assumptions'!$D$13)^(13-1)</x:f>
        <x:v>0</x:v>
      </x:c>
      <x:c r="AB1558" s="10" t="n">
        <x:f>F1558/1</x:f>
        <x:v>9.273390380798048</x:v>
      </x:c>
      <x:c r="AC1558" s="10" t="n">
        <x:f>AB1558/'Assumptions'!$AM$44</x:f>
        <x:v>46.36695190399024</x:v>
      </x:c>
      <x:c r="AD1558" s="10" t="n">
        <x:f>IF(AB1558=0,0,T1558/AB1558)</x:f>
        <x:v>90.46668317775408</x:v>
      </x:c>
      <x:c r="AE1558" s="10" t="n">
        <x:f>AA1558*'Assumptions'!$D$21</x:f>
        <x:v>0</x:v>
      </x:c>
    </x:row>
    <x:row r="1559" ht="16" customHeight="1">
      <x:c r="A1559" s="1"/>
      <x:c r="B1559" s="1"/>
      <x:c r="C1559" s="1" t="str">
        <x:v>DOT-016</x:v>
      </x:c>
      <x:c r="D1559" s="10" t="str">
        <x:v>BPA professional services</x:v>
      </x:c>
      <x:c r="E1559" s="10" t="n">
        <x:v>13</x:v>
      </x:c>
      <x:c r="F1559" s="21" t="n">
        <x:f>F1431*(1+'Assumptions'!$M$45)</x:f>
        <x:v>5.564034228478829</x:v>
      </x:c>
      <x:c r="G1559" s="21" t="n">
        <x:f>H1431*'Assumptions'!$K$45</x:f>
        <x:v>5.246956358676961</x:v>
      </x:c>
      <x:c r="H1559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1559+G1559,NA())</x:f>
        <x:v>10.81099058715579</x:v>
      </x:c>
      <x:c r="I1559" s="22" t="n">
        <x:f>'Assumptions'!$H$45*IF('Assumptions'!$O$45=1,1,'Assumptions'!$D$10)*(1+'Assumptions'!$N$45)^(13-1)</x:f>
        <x:v>1800</x:v>
      </x:c>
      <x:c r="J1559" s="10" t="n">
        <x:f>H1559*I1559</x:f>
        <x:v>19459.78305688042</x:v>
      </x:c>
      <x:c r="K1559" s="10" t="n">
        <x:f>J1559*'Assumptions'!$T$45</x:f>
        <x:v>19459.78305688042</x:v>
      </x:c>
      <x:c r="L1559" s="10" t="n">
        <x:f>K1559*'Assumptions'!$U$45</x:f>
        <x:v>583.7934917064126</x:v>
      </x:c>
      <x:c r="M1559" s="10" t="n">
        <x:f>K1559*'Assumptions'!$V$45</x:f>
        <x:v>0</x:v>
      </x:c>
      <x:c r="N1559" s="10" t="n">
        <x:f>K1559-L1559-M1559</x:f>
        <x:v>18875.989565174008</x:v>
      </x:c>
      <x:c r="O1559" s="10" t="n">
        <x:f>H1559*'Assumptions'!$P$45*'Assumptions'!$Q$45*'Assumptions'!$D$11*(1+'Assumptions'!$D$13)^(13-1)</x:f>
        <x:v>4624.1662581686805</x:v>
      </x:c>
      <x:c r="P1559" s="10" t="n">
        <x:f>H1559*'Assumptions'!$R$45*'Assumptions'!$D$11*(1+'Assumptions'!$D$13)^(13-1)</x:f>
        <x:v>154.13887527228934</x:v>
      </x:c>
      <x:c r="Q1559" s="10" t="n">
        <x:f>J1559*'Assumptions'!$S$45</x:f>
        <x:v>0</x:v>
      </x:c>
      <x:c r="R1559" s="10" t="n">
        <x:f>H1559*'Assumptions'!$Y$45*'Assumptions'!$Z$45*'Assumptions'!$D$11*(1+'Assumptions'!$D$13)^(13-1)</x:f>
        <x:v>115.604156454217</x:v>
      </x:c>
      <x:c r="S1559" s="10" t="n">
        <x:f>IF(I1559=0,0,J1559*'Assumptions'!$W$45+H1559*'Assumptions'!$X$45)</x:f>
        <x:v>567.577005825679</x:v>
      </x:c>
      <x:c r="T1559" s="10" t="n">
        <x:f>N1559*'Assumptions'!$AA$45</x:f>
        <x:v>755.0395826069604</x:v>
      </x:c>
      <x:c r="U1559" s="10" t="n">
        <x:f>'Assumptions'!$AE$45*'Assumptions'!$D$11*(1+'Assumptions'!$D$13)^(13-1)</x:f>
        <x:v>0</x:v>
      </x:c>
      <x:c r="V1559" s="10" t="n">
        <x:f>0</x:f>
        <x:v>0</x:v>
      </x:c>
      <x:c r="W1559" s="10" t="n">
        <x:f>H1559*('Assumptions'!$P$45+'Assumptions'!$Y$45)</x:f>
        <x:v>56.75770058256789</x:v>
      </x:c>
      <x:c r="X1559" s="10" t="n">
        <x:f>N1559/12*'Assumptions'!$AF$45</x:f>
        <x:v>1572.9991304311673</x:v>
      </x:c>
      <x:c r="Y1559" s="10" t="n">
        <x:f>P1559/12</x:f>
        <x:v>12.844906272690778</x:v>
      </x:c>
      <x:c r="Z1559" s="10" t="n">
        <x:f>0</x:f>
        <x:v>0</x:v>
      </x:c>
      <x:c r="AA1559" s="10" t="n">
        <x:f>Z1559*'Assumptions'!$AC$45*'Assumptions'!$D$11*(1+'Assumptions'!$D$13)^(13-1)</x:f>
        <x:v>0</x:v>
      </x:c>
      <x:c r="AB1559" s="10" t="n">
        <x:f>F1559/1</x:f>
        <x:v>5.564034228478829</x:v>
      </x:c>
      <x:c r="AC1559" s="10" t="n">
        <x:f>AB1559/'Assumptions'!$AM$45</x:f>
        <x:v>27.820171142394145</x:v>
      </x:c>
      <x:c r="AD1559" s="10" t="n">
        <x:f>IF(AB1559=0,0,T1559/AB1559)</x:f>
        <x:v>135.70002476663112</x:v>
      </x:c>
      <x:c r="AE1559" s="10" t="n">
        <x:f>AA1559*'Assumptions'!$D$21</x:f>
        <x:v>0</x:v>
      </x:c>
    </x:row>
    <x:row r="1560" ht="16" customHeight="1">
      <x:c r="A1560" s="1"/>
      <x:c r="B1560" s="1"/>
      <x:c r="C1560" s="1" t="str">
        <x:v>DOT-017</x:v>
      </x:c>
      <x:c r="D1560" s="10" t="str">
        <x:v>BPA professional services</x:v>
      </x:c>
      <x:c r="E1560" s="10" t="n">
        <x:v>13</x:v>
      </x:c>
      <x:c r="F1560" s="21" t="n">
        <x:f>F1432*(1+'Assumptions'!$M$46)</x:f>
        <x:v>5.564034228478829</x:v>
      </x:c>
      <x:c r="G1560" s="21" t="n">
        <x:f>H1432*'Assumptions'!$K$46</x:f>
        <x:v>5.246956358676961</x:v>
      </x:c>
      <x:c r="H1560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1560+G1560,NA())</x:f>
        <x:v>10.81099058715579</x:v>
      </x:c>
      <x:c r="I1560" s="22" t="n">
        <x:f>'Assumptions'!$H$46*IF('Assumptions'!$O$46=1,1,'Assumptions'!$D$10)*(1+'Assumptions'!$N$46)^(13-1)</x:f>
        <x:v>1500</x:v>
      </x:c>
      <x:c r="J1560" s="10" t="n">
        <x:f>H1560*I1560</x:f>
        <x:v>16216.485880733684</x:v>
      </x:c>
      <x:c r="K1560" s="10" t="n">
        <x:f>J1560*'Assumptions'!$T$46</x:f>
        <x:v>16216.485880733684</x:v>
      </x:c>
      <x:c r="L1560" s="10" t="n">
        <x:f>K1560*'Assumptions'!$U$46</x:f>
        <x:v>486.4945764220105</x:v>
      </x:c>
      <x:c r="M1560" s="10" t="n">
        <x:f>K1560*'Assumptions'!$V$46</x:f>
        <x:v>0</x:v>
      </x:c>
      <x:c r="N1560" s="10" t="n">
        <x:f>K1560-L1560-M1560</x:f>
        <x:v>15729.991304311674</x:v>
      </x:c>
      <x:c r="O1560" s="10" t="n">
        <x:f>H1560*'Assumptions'!$P$46*'Assumptions'!$Q$46*'Assumptions'!$D$11*(1+'Assumptions'!$D$13)^(13-1)</x:f>
        <x:v>5548.999509802417</x:v>
      </x:c>
      <x:c r="P1560" s="10" t="n">
        <x:f>H1560*'Assumptions'!$R$46*'Assumptions'!$D$11*(1+'Assumptions'!$D$13)^(13-1)</x:f>
        <x:v>154.13887527228934</x:v>
      </x:c>
      <x:c r="Q1560" s="10" t="n">
        <x:f>J1560*'Assumptions'!$S$46</x:f>
        <x:v>0</x:v>
      </x:c>
      <x:c r="R1560" s="10" t="n">
        <x:f>H1560*'Assumptions'!$Y$46*'Assumptions'!$Z$46*'Assumptions'!$D$11*(1+'Assumptions'!$D$13)^(13-1)</x:f>
        <x:v>115.604156454217</x:v>
      </x:c>
      <x:c r="S1560" s="10" t="n">
        <x:f>IF(I1560=0,0,J1560*'Assumptions'!$W$46+H1560*'Assumptions'!$X$46)</x:f>
        <x:v>473.5213877174236</x:v>
      </x:c>
      <x:c r="T1560" s="10" t="n">
        <x:f>N1560*'Assumptions'!$AA$46</x:f>
        <x:v>629.1996521724669</x:v>
      </x:c>
      <x:c r="U1560" s="10" t="n">
        <x:f>'Assumptions'!$AE$46*'Assumptions'!$D$11*(1+'Assumptions'!$D$13)^(13-1)</x:f>
        <x:v>0</x:v>
      </x:c>
      <x:c r="V1560" s="10" t="n">
        <x:f>0</x:f>
        <x:v>0</x:v>
      </x:c>
      <x:c r="W1560" s="10" t="n">
        <x:f>H1560*('Assumptions'!$P$46+'Assumptions'!$Y$46)</x:f>
        <x:v>67.56869116972368</x:v>
      </x:c>
      <x:c r="X1560" s="10" t="n">
        <x:f>N1560/12*'Assumptions'!$AF$46</x:f>
        <x:v>1310.8326086926395</x:v>
      </x:c>
      <x:c r="Y1560" s="10" t="n">
        <x:f>P1560/12</x:f>
        <x:v>12.844906272690778</x:v>
      </x:c>
      <x:c r="Z1560" s="10" t="n">
        <x:f>0</x:f>
        <x:v>0</x:v>
      </x:c>
      <x:c r="AA1560" s="10" t="n">
        <x:f>Z1560*'Assumptions'!$AC$46*'Assumptions'!$D$11*(1+'Assumptions'!$D$13)^(13-1)</x:f>
        <x:v>0</x:v>
      </x:c>
      <x:c r="AB1560" s="10" t="n">
        <x:f>F1560/1</x:f>
        <x:v>5.564034228478829</x:v>
      </x:c>
      <x:c r="AC1560" s="10" t="n">
        <x:f>AB1560/'Assumptions'!$AM$46</x:f>
        <x:v>27.820171142394145</x:v>
      </x:c>
      <x:c r="AD1560" s="10" t="n">
        <x:f>IF(AB1560=0,0,T1560/AB1560)</x:f>
        <x:v>113.08335397219258</x:v>
      </x:c>
      <x:c r="AE1560" s="10" t="n">
        <x:f>AA1560*'Assumptions'!$D$21</x:f>
        <x:v>0</x:v>
      </x:c>
    </x:row>
    <x:row r="1561" ht="16" customHeight="1">
      <x:c r="A1561" s="1"/>
      <x:c r="B1561" s="1"/>
      <x:c r="C1561" s="1" t="str">
        <x:v>DOT-018</x:v>
      </x:c>
      <x:c r="D1561" s="10" t="str">
        <x:v>BPA professional services</x:v>
      </x:c>
      <x:c r="E1561" s="10" t="n">
        <x:v>13</x:v>
      </x:c>
      <x:c r="F1561" s="21" t="n">
        <x:f>F1433*(1+'Assumptions'!$M$47)</x:f>
        <x:v>7.41871230463844</x:v>
      </x:c>
      <x:c r="G1561" s="21" t="n">
        <x:f>H1433*'Assumptions'!$K$47</x:f>
        <x:v>6.995941811569283</x:v>
      </x:c>
      <x:c r="H1561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1561+G1561,NA())</x:f>
        <x:v>14.414654116207723</x:v>
      </x:c>
      <x:c r="I1561" s="22" t="n">
        <x:f>'Assumptions'!$H$47*IF('Assumptions'!$O$47=1,1,'Assumptions'!$D$10)*(1+'Assumptions'!$N$47)^(13-1)</x:f>
        <x:v>1200</x:v>
      </x:c>
      <x:c r="J1561" s="10" t="n">
        <x:f>H1561*I1561</x:f>
        <x:v>17297.58493944927</x:v>
      </x:c>
      <x:c r="K1561" s="10" t="n">
        <x:f>J1561*'Assumptions'!$T$47</x:f>
        <x:v>17297.58493944927</x:v>
      </x:c>
      <x:c r="L1561" s="10" t="n">
        <x:f>K1561*'Assumptions'!$U$47</x:f>
        <x:v>518.927548183478</x:v>
      </x:c>
      <x:c r="M1561" s="10" t="n">
        <x:f>K1561*'Assumptions'!$V$47</x:f>
        <x:v>0</x:v>
      </x:c>
      <x:c r="N1561" s="10" t="n">
        <x:f>K1561-L1561-M1561</x:f>
        <x:v>16778.65739126579</x:v>
      </x:c>
      <x:c r="O1561" s="10" t="n">
        <x:f>H1561*'Assumptions'!$P$47*'Assumptions'!$Q$47*'Assumptions'!$D$11*(1+'Assumptions'!$D$13)^(13-1)</x:f>
        <x:v>4932.444008713261</x:v>
      </x:c>
      <x:c r="P1561" s="10" t="n">
        <x:f>H1561*'Assumptions'!$R$47*'Assumptions'!$D$11*(1+'Assumptions'!$D$13)^(13-1)</x:f>
        <x:v>205.5185003630525</x:v>
      </x:c>
      <x:c r="Q1561" s="10" t="n">
        <x:f>J1561*'Assumptions'!$S$47</x:f>
        <x:v>0</x:v>
      </x:c>
      <x:c r="R1561" s="10" t="n">
        <x:f>H1561*'Assumptions'!$Y$47*'Assumptions'!$Z$47*'Assumptions'!$D$11*(1+'Assumptions'!$D$13)^(13-1)</x:f>
        <x:v>154.1388752722894</x:v>
      </x:c>
      <x:c r="S1561" s="10" t="n">
        <x:f>IF(I1561=0,0,J1561*'Assumptions'!$W$47+H1561*'Assumptions'!$X$47)</x:f>
        <x:v>505.95435947889115</x:v>
      </x:c>
      <x:c r="T1561" s="10" t="n">
        <x:f>N1561*'Assumptions'!$AA$47</x:f>
        <x:v>671.1462956506317</x:v>
      </x:c>
      <x:c r="U1561" s="10" t="n">
        <x:f>'Assumptions'!$AE$47*'Assumptions'!$D$11*(1+'Assumptions'!$D$13)^(13-1)</x:f>
        <x:v>0</x:v>
      </x:c>
      <x:c r="V1561" s="10" t="n">
        <x:f>0</x:f>
        <x:v>0</x:v>
      </x:c>
      <x:c r="W1561" s="10" t="n">
        <x:f>H1561*('Assumptions'!$P$47+'Assumptions'!$Y$47)</x:f>
        <x:v>61.26227999388282</x:v>
      </x:c>
      <x:c r="X1561" s="10" t="n">
        <x:f>N1561/12*'Assumptions'!$AF$47</x:f>
        <x:v>1398.2214492721494</x:v>
      </x:c>
      <x:c r="Y1561" s="10" t="n">
        <x:f>P1561/12</x:f>
        <x:v>17.12654169692104</x:v>
      </x:c>
      <x:c r="Z1561" s="10" t="n">
        <x:f>0</x:f>
        <x:v>0</x:v>
      </x:c>
      <x:c r="AA1561" s="10" t="n">
        <x:f>Z1561*'Assumptions'!$AC$47*'Assumptions'!$D$11*(1+'Assumptions'!$D$13)^(13-1)</x:f>
        <x:v>0</x:v>
      </x:c>
      <x:c r="AB1561" s="10" t="n">
        <x:f>F1561/1</x:f>
        <x:v>7.41871230463844</x:v>
      </x:c>
      <x:c r="AC1561" s="10" t="n">
        <x:f>AB1561/'Assumptions'!$AM$47</x:f>
        <x:v>37.0935615231922</x:v>
      </x:c>
      <x:c r="AD1561" s="10" t="n">
        <x:f>IF(AB1561=0,0,T1561/AB1561)</x:f>
        <x:v>90.4666831777541</x:v>
      </x:c>
      <x:c r="AE1561" s="10" t="n">
        <x:f>AA1561*'Assumptions'!$D$21</x:f>
        <x:v>0</x:v>
      </x:c>
    </x:row>
    <x:row r="1562" ht="16" customHeight="1">
      <x:c r="A1562" s="1"/>
      <x:c r="B1562" s="1"/>
      <x:c r="C1562" s="1" t="str">
        <x:v>DOT-019</x:v>
      </x:c>
      <x:c r="D1562" s="10" t="str">
        <x:v>BPA professional services</x:v>
      </x:c>
      <x:c r="E1562" s="10" t="n">
        <x:v>13</x:v>
      </x:c>
      <x:c r="F1562" s="21" t="n">
        <x:f>F1434*(1+'Assumptions'!$M$48)</x:f>
        <x:v>3.70935615231922</x:v>
      </x:c>
      <x:c r="G1562" s="21" t="n">
        <x:f>H1434*'Assumptions'!$K$48</x:f>
        <x:v>3.4979709057846415</x:v>
      </x:c>
      <x:c r="H1562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1562+G1562,NA())</x:f>
        <x:v>7.2073270581038615</x:v>
      </x:c>
      <x:c r="I1562" s="22" t="n">
        <x:f>'Assumptions'!$H$48*IF('Assumptions'!$O$48=1,1,'Assumptions'!$D$10)*(1+'Assumptions'!$N$48)^(13-1)</x:f>
        <x:v>3000</x:v>
      </x:c>
      <x:c r="J1562" s="10" t="n">
        <x:f>H1562*I1562</x:f>
        <x:v>21621.981174311586</x:v>
      </x:c>
      <x:c r="K1562" s="10" t="n">
        <x:f>J1562*'Assumptions'!$T$48</x:f>
        <x:v>21621.981174311586</x:v>
      </x:c>
      <x:c r="L1562" s="10" t="n">
        <x:f>K1562*'Assumptions'!$U$48</x:f>
        <x:v>648.6594352293475</x:v>
      </x:c>
      <x:c r="M1562" s="10" t="n">
        <x:f>K1562*'Assumptions'!$V$48</x:f>
        <x:v>0</x:v>
      </x:c>
      <x:c r="N1562" s="10" t="n">
        <x:f>K1562-L1562-M1562</x:f>
        <x:v>20973.32173908224</x:v>
      </x:c>
      <x:c r="O1562" s="10" t="n">
        <x:f>H1562*'Assumptions'!$P$48*'Assumptions'!$Q$48*'Assumptions'!$D$11*(1+'Assumptions'!$D$13)^(13-1)</x:f>
        <x:v>7398.666013069891</x:v>
      </x:c>
      <x:c r="P1562" s="10" t="n">
        <x:f>H1562*'Assumptions'!$R$48*'Assumptions'!$D$11*(1+'Assumptions'!$D$13)^(13-1)</x:f>
        <x:v>102.75925018152626</x:v>
      </x:c>
      <x:c r="Q1562" s="10" t="n">
        <x:f>J1562*'Assumptions'!$S$48</x:f>
        <x:v>0</x:v>
      </x:c>
      <x:c r="R1562" s="10" t="n">
        <x:f>H1562*'Assumptions'!$Y$48*'Assumptions'!$Z$48*'Assumptions'!$D$11*(1+'Assumptions'!$D$13)^(13-1)</x:f>
        <x:v>77.0694376361447</x:v>
      </x:c>
      <x:c r="S1562" s="10" t="n">
        <x:f>IF(I1562=0,0,J1562*'Assumptions'!$W$48+H1562*'Assumptions'!$X$48)</x:f>
        <x:v>629.1996521724672</x:v>
      </x:c>
      <x:c r="T1562" s="10" t="n">
        <x:f>N1562*'Assumptions'!$AA$48</x:f>
        <x:v>838.9328695632896</x:v>
      </x:c>
      <x:c r="U1562" s="10" t="n">
        <x:f>'Assumptions'!$AE$48*'Assumptions'!$D$11*(1+'Assumptions'!$D$13)^(13-1)</x:f>
        <x:v>0</x:v>
      </x:c>
      <x:c r="V1562" s="10" t="n">
        <x:f>0</x:f>
        <x:v>0</x:v>
      </x:c>
      <x:c r="W1562" s="10" t="n">
        <x:f>H1562*('Assumptions'!$P$48+'Assumptions'!$Y$48)</x:f>
        <x:v>88.2897564617723</x:v>
      </x:c>
      <x:c r="X1562" s="10" t="n">
        <x:f>N1562/12*'Assumptions'!$AF$48</x:f>
        <x:v>1747.7768115901865</x:v>
      </x:c>
      <x:c r="Y1562" s="10" t="n">
        <x:f>P1562/12</x:f>
        <x:v>8.56327084846052</x:v>
      </x:c>
      <x:c r="Z1562" s="10" t="n">
        <x:f>0</x:f>
        <x:v>0</x:v>
      </x:c>
      <x:c r="AA1562" s="10" t="n">
        <x:f>Z1562*'Assumptions'!$AC$48*'Assumptions'!$D$11*(1+'Assumptions'!$D$13)^(13-1)</x:f>
        <x:v>0</x:v>
      </x:c>
      <x:c r="AB1562" s="10" t="n">
        <x:f>F1562/1</x:f>
        <x:v>3.70935615231922</x:v>
      </x:c>
      <x:c r="AC1562" s="10" t="n">
        <x:f>AB1562/'Assumptions'!$AM$48</x:f>
        <x:v>18.5467807615961</x:v>
      </x:c>
      <x:c r="AD1562" s="10" t="n">
        <x:f>IF(AB1562=0,0,T1562/AB1562)</x:f>
        <x:v>226.16670794438525</x:v>
      </x:c>
      <x:c r="AE1562" s="10" t="n">
        <x:f>AA1562*'Assumptions'!$D$21</x:f>
        <x:v>0</x:v>
      </x:c>
    </x:row>
    <x:row r="1563" ht="16" customHeight="1">
      <x:c r="A1563" s="1"/>
      <x:c r="B1563" s="1"/>
      <x:c r="C1563" s="1" t="str">
        <x:v>DOT-020</x:v>
      </x:c>
      <x:c r="D1563" s="10" t="str">
        <x:v>BPA professional services</x:v>
      </x:c>
      <x:c r="E1563" s="10" t="n">
        <x:v>13</x:v>
      </x:c>
      <x:c r="F1563" s="21" t="n">
        <x:f>F1435*(1+'Assumptions'!$M$49)</x:f>
        <x:v>5.564034228478829</x:v>
      </x:c>
      <x:c r="G1563" s="21" t="n">
        <x:f>H1435*'Assumptions'!$K$49</x:f>
        <x:v>5.246956358676961</x:v>
      </x:c>
      <x:c r="H1563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1563+G1563,NA())</x:f>
        <x:v>10.81099058715579</x:v>
      </x:c>
      <x:c r="I1563" s="22" t="n">
        <x:f>'Assumptions'!$H$49*IF('Assumptions'!$O$49=1,1,'Assumptions'!$D$10)*(1+'Assumptions'!$N$49)^(13-1)</x:f>
        <x:v>1800</x:v>
      </x:c>
      <x:c r="J1563" s="10" t="n">
        <x:f>H1563*I1563</x:f>
        <x:v>19459.78305688042</x:v>
      </x:c>
      <x:c r="K1563" s="10" t="n">
        <x:f>J1563*'Assumptions'!$T$49</x:f>
        <x:v>19459.78305688042</x:v>
      </x:c>
      <x:c r="L1563" s="10" t="n">
        <x:f>K1563*'Assumptions'!$U$49</x:f>
        <x:v>583.7934917064126</x:v>
      </x:c>
      <x:c r="M1563" s="10" t="n">
        <x:f>K1563*'Assumptions'!$V$49</x:f>
        <x:v>0</x:v>
      </x:c>
      <x:c r="N1563" s="10" t="n">
        <x:f>K1563-L1563-M1563</x:f>
        <x:v>18875.989565174008</x:v>
      </x:c>
      <x:c r="O1563" s="10" t="n">
        <x:f>H1563*'Assumptions'!$P$49*'Assumptions'!$Q$49*'Assumptions'!$D$11*(1+'Assumptions'!$D$13)^(13-1)</x:f>
        <x:v>5548.999509802417</x:v>
      </x:c>
      <x:c r="P1563" s="10" t="n">
        <x:f>H1563*'Assumptions'!$R$49*'Assumptions'!$D$11*(1+'Assumptions'!$D$13)^(13-1)</x:f>
        <x:v>154.13887527228934</x:v>
      </x:c>
      <x:c r="Q1563" s="10" t="n">
        <x:f>J1563*'Assumptions'!$S$49</x:f>
        <x:v>0</x:v>
      </x:c>
      <x:c r="R1563" s="10" t="n">
        <x:f>H1563*'Assumptions'!$Y$49*'Assumptions'!$Z$49*'Assumptions'!$D$11*(1+'Assumptions'!$D$13)^(13-1)</x:f>
        <x:v>115.604156454217</x:v>
      </x:c>
      <x:c r="S1563" s="10" t="n">
        <x:f>IF(I1563=0,0,J1563*'Assumptions'!$W$49+H1563*'Assumptions'!$X$49)</x:f>
        <x:v>567.577005825679</x:v>
      </x:c>
      <x:c r="T1563" s="10" t="n">
        <x:f>N1563*'Assumptions'!$AA$49</x:f>
        <x:v>755.0395826069604</x:v>
      </x:c>
      <x:c r="U1563" s="10" t="n">
        <x:f>'Assumptions'!$AE$49*'Assumptions'!$D$11*(1+'Assumptions'!$D$13)^(13-1)</x:f>
        <x:v>0</x:v>
      </x:c>
      <x:c r="V1563" s="10" t="n">
        <x:f>0</x:f>
        <x:v>0</x:v>
      </x:c>
      <x:c r="W1563" s="10" t="n">
        <x:f>H1563*('Assumptions'!$P$49+'Assumptions'!$Y$49)</x:f>
        <x:v>67.56869116972368</x:v>
      </x:c>
      <x:c r="X1563" s="10" t="n">
        <x:f>N1563/12*'Assumptions'!$AF$49</x:f>
        <x:v>1572.9991304311673</x:v>
      </x:c>
      <x:c r="Y1563" s="10" t="n">
        <x:f>P1563/12</x:f>
        <x:v>12.844906272690778</x:v>
      </x:c>
      <x:c r="Z1563" s="10" t="n">
        <x:f>0</x:f>
        <x:v>0</x:v>
      </x:c>
      <x:c r="AA1563" s="10" t="n">
        <x:f>Z1563*'Assumptions'!$AC$49*'Assumptions'!$D$11*(1+'Assumptions'!$D$13)^(13-1)</x:f>
        <x:v>0</x:v>
      </x:c>
      <x:c r="AB1563" s="10" t="n">
        <x:f>F1563/1</x:f>
        <x:v>5.564034228478829</x:v>
      </x:c>
      <x:c r="AC1563" s="10" t="n">
        <x:f>AB1563/'Assumptions'!$AM$49</x:f>
        <x:v>27.820171142394145</x:v>
      </x:c>
      <x:c r="AD1563" s="10" t="n">
        <x:f>IF(AB1563=0,0,T1563/AB1563)</x:f>
        <x:v>135.70002476663112</x:v>
      </x:c>
      <x:c r="AE1563" s="10" t="n">
        <x:f>AA1563*'Assumptions'!$D$21</x:f>
        <x:v>0</x:v>
      </x:c>
    </x:row>
    <x:row r="1564" ht="16" customHeight="1">
      <x:c r="A1564" s="1"/>
      <x:c r="B1564" s="1"/>
      <x:c r="C1564" s="1" t="str">
        <x:v>DOT-021</x:v>
      </x:c>
      <x:c r="D1564" s="10" t="str">
        <x:v>BPA professional services</x:v>
      </x:c>
      <x:c r="E1564" s="10" t="n">
        <x:v>13</x:v>
      </x:c>
      <x:c r="F1564" s="21" t="n">
        <x:f>F1436*(1+'Assumptions'!$M$50)</x:f>
        <x:v>3.70935615231922</x:v>
      </x:c>
      <x:c r="G1564" s="21" t="n">
        <x:f>H1436*'Assumptions'!$K$50</x:f>
        <x:v>3.4979709057846415</x:v>
      </x:c>
      <x:c r="H1564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1564+G1564,NA())</x:f>
        <x:v>7.2073270581038615</x:v>
      </x:c>
      <x:c r="I1564" s="22" t="n">
        <x:f>'Assumptions'!$H$50*IF('Assumptions'!$O$50=1,1,'Assumptions'!$D$10)*(1+'Assumptions'!$N$50)^(13-1)</x:f>
        <x:v>4200</x:v>
      </x:c>
      <x:c r="J1564" s="10" t="n">
        <x:f>H1564*I1564</x:f>
        <x:v>30270.773644036217</x:v>
      </x:c>
      <x:c r="K1564" s="10" t="n">
        <x:f>J1564*'Assumptions'!$T$50</x:f>
        <x:v>30270.773644036217</x:v>
      </x:c>
      <x:c r="L1564" s="10" t="n">
        <x:f>K1564*'Assumptions'!$U$50</x:f>
        <x:v>908.1232093210865</x:v>
      </x:c>
      <x:c r="M1564" s="10" t="n">
        <x:f>K1564*'Assumptions'!$V$50</x:f>
        <x:v>0</x:v>
      </x:c>
      <x:c r="N1564" s="10" t="n">
        <x:f>K1564-L1564-M1564</x:f>
        <x:v>29362.65043471513</x:v>
      </x:c>
      <x:c r="O1564" s="10" t="n">
        <x:f>H1564*'Assumptions'!$P$50*'Assumptions'!$Q$50*'Assumptions'!$D$11*(1+'Assumptions'!$D$13)^(13-1)</x:f>
        <x:v>7398.666013069891</x:v>
      </x:c>
      <x:c r="P1564" s="10" t="n">
        <x:f>H1564*'Assumptions'!$R$50*'Assumptions'!$D$11*(1+'Assumptions'!$D$13)^(13-1)</x:f>
        <x:v>102.75925018152626</x:v>
      </x:c>
      <x:c r="Q1564" s="10" t="n">
        <x:f>J1564*'Assumptions'!$S$50</x:f>
        <x:v>0</x:v>
      </x:c>
      <x:c r="R1564" s="10" t="n">
        <x:f>H1564*'Assumptions'!$Y$50*'Assumptions'!$Z$50*'Assumptions'!$D$11*(1+'Assumptions'!$D$13)^(13-1)</x:f>
        <x:v>77.0694376361447</x:v>
      </x:c>
      <x:c r="S1564" s="10" t="n">
        <x:f>IF(I1564=0,0,J1564*'Assumptions'!$W$50+H1564*'Assumptions'!$X$50)</x:f>
        <x:v>880.0146337944815</x:v>
      </x:c>
      <x:c r="T1564" s="10" t="n">
        <x:f>N1564*'Assumptions'!$AA$50</x:f>
        <x:v>1174.5060173886052</x:v>
      </x:c>
      <x:c r="U1564" s="10" t="n">
        <x:f>'Assumptions'!$AE$50*'Assumptions'!$D$11*(1+'Assumptions'!$D$13)^(13-1)</x:f>
        <x:v>0</x:v>
      </x:c>
      <x:c r="V1564" s="10" t="n">
        <x:f>0</x:f>
        <x:v>0</x:v>
      </x:c>
      <x:c r="W1564" s="10" t="n">
        <x:f>H1564*('Assumptions'!$P$50+'Assumptions'!$Y$50)</x:f>
        <x:v>88.2897564617723</x:v>
      </x:c>
      <x:c r="X1564" s="10" t="n">
        <x:f>N1564/12*'Assumptions'!$AF$50</x:f>
        <x:v>2446.887536226261</x:v>
      </x:c>
      <x:c r="Y1564" s="10" t="n">
        <x:f>P1564/12</x:f>
        <x:v>8.56327084846052</x:v>
      </x:c>
      <x:c r="Z1564" s="10" t="n">
        <x:f>0</x:f>
        <x:v>0</x:v>
      </x:c>
      <x:c r="AA1564" s="10" t="n">
        <x:f>Z1564*'Assumptions'!$AC$50*'Assumptions'!$D$11*(1+'Assumptions'!$D$13)^(13-1)</x:f>
        <x:v>0</x:v>
      </x:c>
      <x:c r="AB1564" s="10" t="n">
        <x:f>F1564/1</x:f>
        <x:v>3.70935615231922</x:v>
      </x:c>
      <x:c r="AC1564" s="10" t="n">
        <x:f>AB1564/'Assumptions'!$AM$50</x:f>
        <x:v>18.5467807615961</x:v>
      </x:c>
      <x:c r="AD1564" s="10" t="n">
        <x:f>IF(AB1564=0,0,T1564/AB1564)</x:f>
        <x:v>316.63339112213924</x:v>
      </x:c>
      <x:c r="AE1564" s="10" t="n">
        <x:f>AA1564*'Assumptions'!$D$21</x:f>
        <x:v>0</x:v>
      </x:c>
    </x:row>
    <x:row r="1565" ht="16" customHeight="1">
      <x:c r="A1565" s="1"/>
      <x:c r="B1565" s="1"/>
      <x:c r="C1565" s="1" t="str">
        <x:v>DOT-022</x:v>
      </x:c>
      <x:c r="D1565" s="10" t="str">
        <x:v>BPA professional services</x:v>
      </x:c>
      <x:c r="E1565" s="10" t="n">
        <x:v>13</x:v>
      </x:c>
      <x:c r="F1565" s="21" t="n">
        <x:f>F1437*(1+'Assumptions'!$M$51)</x:f>
        <x:v>14.83742460927688</x:v>
      </x:c>
      <x:c r="G1565" s="21" t="n">
        <x:f>H1437*'Assumptions'!$K$51</x:f>
        <x:v>13.991883623138566</x:v>
      </x:c>
      <x:c r="H1565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1565+G1565,NA())</x:f>
        <x:v>28.829308232415446</x:v>
      </x:c>
      <x:c r="I1565" s="22" t="n">
        <x:f>'Assumptions'!$H$51*IF('Assumptions'!$O$51=1,1,'Assumptions'!$D$10)*(1+'Assumptions'!$N$51)^(13-1)</x:f>
        <x:v>900</x:v>
      </x:c>
      <x:c r="J1565" s="10" t="n">
        <x:f>H1565*I1565</x:f>
        <x:v>25946.377409173903</x:v>
      </x:c>
      <x:c r="K1565" s="10" t="n">
        <x:f>J1565*'Assumptions'!$T$51</x:f>
        <x:v>25946.377409173903</x:v>
      </x:c>
      <x:c r="L1565" s="10" t="n">
        <x:f>K1565*'Assumptions'!$U$51</x:f>
        <x:v>778.391322275217</x:v>
      </x:c>
      <x:c r="M1565" s="10" t="n">
        <x:f>K1565*'Assumptions'!$V$51</x:f>
        <x:v>0</x:v>
      </x:c>
      <x:c r="N1565" s="10" t="n">
        <x:f>K1565-L1565-M1565</x:f>
        <x:v>25167.986086898687</x:v>
      </x:c>
      <x:c r="O1565" s="10" t="n">
        <x:f>H1565*'Assumptions'!$P$51*'Assumptions'!$Q$51*'Assumptions'!$D$11*(1+'Assumptions'!$D$13)^(13-1)</x:f>
        <x:v>7398.666013069891</x:v>
      </x:c>
      <x:c r="P1565" s="10" t="n">
        <x:f>H1565*'Assumptions'!$R$51*'Assumptions'!$D$11*(1+'Assumptions'!$D$13)^(13-1)</x:f>
        <x:v>411.037000726105</x:v>
      </x:c>
      <x:c r="Q1565" s="10" t="n">
        <x:f>J1565*'Assumptions'!$S$51</x:f>
        <x:v>0</x:v>
      </x:c>
      <x:c r="R1565" s="10" t="n">
        <x:f>H1565*'Assumptions'!$Y$51*'Assumptions'!$Z$51*'Assumptions'!$D$11*(1+'Assumptions'!$D$13)^(13-1)</x:f>
        <x:v>308.2777505445788</x:v>
      </x:c>
      <x:c r="S1565" s="10" t="n">
        <x:f>IF(I1565=0,0,J1565*'Assumptions'!$W$51+H1565*'Assumptions'!$X$51)</x:f>
        <x:v>761.0937373357679</x:v>
      </x:c>
      <x:c r="T1565" s="10" t="n">
        <x:f>N1565*'Assumptions'!$AA$51</x:f>
        <x:v>1006.7194434759475</x:v>
      </x:c>
      <x:c r="U1565" s="10" t="n">
        <x:f>'Assumptions'!$AE$51*'Assumptions'!$D$11*(1+'Assumptions'!$D$13)^(13-1)</x:f>
        <x:v>0</x:v>
      </x:c>
      <x:c r="V1565" s="10" t="n">
        <x:f>0</x:f>
        <x:v>0</x:v>
      </x:c>
      <x:c r="W1565" s="10" t="n">
        <x:f>H1565*('Assumptions'!$P$51+'Assumptions'!$Y$51)</x:f>
        <x:v>93.6952517553502</x:v>
      </x:c>
      <x:c r="X1565" s="10" t="n">
        <x:f>N1565/12*'Assumptions'!$AF$51</x:f>
        <x:v>2097.332173908224</x:v>
      </x:c>
      <x:c r="Y1565" s="10" t="n">
        <x:f>P1565/12</x:f>
        <x:v>34.25308339384208</x:v>
      </x:c>
      <x:c r="Z1565" s="10" t="n">
        <x:f>0</x:f>
        <x:v>0</x:v>
      </x:c>
      <x:c r="AA1565" s="10" t="n">
        <x:f>Z1565*'Assumptions'!$AC$51*'Assumptions'!$D$11*(1+'Assumptions'!$D$13)^(13-1)</x:f>
        <x:v>0</x:v>
      </x:c>
      <x:c r="AB1565" s="10" t="n">
        <x:f>F1565/1</x:f>
        <x:v>14.83742460927688</x:v>
      </x:c>
      <x:c r="AC1565" s="10" t="n">
        <x:f>AB1565/'Assumptions'!$AM$51</x:f>
        <x:v>74.1871230463844</x:v>
      </x:c>
      <x:c r="AD1565" s="10" t="n">
        <x:f>IF(AB1565=0,0,T1565/AB1565)</x:f>
        <x:v>67.85001238331557</x:v>
      </x:c>
      <x:c r="AE1565" s="10" t="n">
        <x:f>AA1565*'Assumptions'!$D$21</x:f>
        <x:v>0</x:v>
      </x:c>
    </x:row>
    <x:row r="1566" ht="16" customHeight="1">
      <x:c r="A1566" s="1"/>
      <x:c r="B1566" s="1"/>
      <x:c r="C1566" s="1" t="str">
        <x:v>DOT-023</x:v>
      </x:c>
      <x:c r="D1566" s="10" t="str">
        <x:v>BPA professional services</x:v>
      </x:c>
      <x:c r="E1566" s="10" t="n">
        <x:v>13</x:v>
      </x:c>
      <x:c r="F1566" s="21" t="n">
        <x:f>F1438*(1+'Assumptions'!$M$52)</x:f>
        <x:v>9.273390380798048</x:v>
      </x:c>
      <x:c r="G1566" s="21" t="n">
        <x:f>H1438*'Assumptions'!$K$52</x:f>
        <x:v>8.744927264461602</x:v>
      </x:c>
      <x:c r="H1566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1566+G1566,NA())</x:f>
        <x:v>18.01831764525965</x:v>
      </x:c>
      <x:c r="I1566" s="22" t="n">
        <x:f>'Assumptions'!$H$52*IF('Assumptions'!$O$52=1,1,'Assumptions'!$D$10)*(1+'Assumptions'!$N$52)^(13-1)</x:f>
        <x:v>1800</x:v>
      </x:c>
      <x:c r="J1566" s="10" t="n">
        <x:f>H1566*I1566</x:f>
        <x:v>32432.97176146737</x:v>
      </x:c>
      <x:c r="K1566" s="10" t="n">
        <x:f>J1566*'Assumptions'!$T$52</x:f>
        <x:v>32432.97176146737</x:v>
      </x:c>
      <x:c r="L1566" s="10" t="n">
        <x:f>K1566*'Assumptions'!$U$52</x:f>
        <x:v>972.989152844021</x:v>
      </x:c>
      <x:c r="M1566" s="10" t="n">
        <x:f>K1566*'Assumptions'!$V$52</x:f>
        <x:v>0</x:v>
      </x:c>
      <x:c r="N1566" s="10" t="n">
        <x:f>K1566-L1566-M1566</x:f>
        <x:v>31459.982608623348</x:v>
      </x:c>
      <x:c r="O1566" s="10" t="n">
        <x:f>H1566*'Assumptions'!$P$52*'Assumptions'!$Q$52*'Assumptions'!$D$11*(1+'Assumptions'!$D$13)^(13-1)</x:f>
        <x:v>9248.332516337361</x:v>
      </x:c>
      <x:c r="P1566" s="10" t="n">
        <x:f>H1566*'Assumptions'!$R$52*'Assumptions'!$D$11*(1+'Assumptions'!$D$13)^(13-1)</x:f>
        <x:v>256.8981254538156</x:v>
      </x:c>
      <x:c r="Q1566" s="10" t="n">
        <x:f>J1566*'Assumptions'!$S$52</x:f>
        <x:v>0</x:v>
      </x:c>
      <x:c r="R1566" s="10" t="n">
        <x:f>H1566*'Assumptions'!$Y$52*'Assumptions'!$Z$52*'Assumptions'!$D$11*(1+'Assumptions'!$D$13)^(13-1)</x:f>
        <x:v>192.67359409036172</x:v>
      </x:c>
      <x:c r="S1566" s="10" t="n">
        <x:f>IF(I1566=0,0,J1566*'Assumptions'!$W$52+H1566*'Assumptions'!$X$52)</x:f>
        <x:v>945.9616763761317</x:v>
      </x:c>
      <x:c r="T1566" s="10" t="n">
        <x:f>N1566*'Assumptions'!$AA$52</x:f>
        <x:v>1258.3993043449339</x:v>
      </x:c>
      <x:c r="U1566" s="10" t="n">
        <x:f>'Assumptions'!$AE$52*'Assumptions'!$D$11*(1+'Assumptions'!$D$13)^(13-1)</x:f>
        <x:v>0</x:v>
      </x:c>
      <x:c r="V1566" s="10" t="n">
        <x:f>0</x:f>
        <x:v>0</x:v>
      </x:c>
      <x:c r="W1566" s="10" t="n">
        <x:f>H1566*('Assumptions'!$P$52+'Assumptions'!$Y$52)</x:f>
        <x:v>112.6144852828728</x:v>
      </x:c>
      <x:c r="X1566" s="10" t="n">
        <x:f>N1566/12*'Assumptions'!$AF$52</x:f>
        <x:v>2621.665217385279</x:v>
      </x:c>
      <x:c r="Y1566" s="10" t="n">
        <x:f>P1566/12</x:f>
        <x:v>21.4081771211513</x:v>
      </x:c>
      <x:c r="Z1566" s="10" t="n">
        <x:f>0</x:f>
        <x:v>0</x:v>
      </x:c>
      <x:c r="AA1566" s="10" t="n">
        <x:f>Z1566*'Assumptions'!$AC$52*'Assumptions'!$D$11*(1+'Assumptions'!$D$13)^(13-1)</x:f>
        <x:v>0</x:v>
      </x:c>
      <x:c r="AB1566" s="10" t="n">
        <x:f>F1566/1</x:f>
        <x:v>9.273390380798048</x:v>
      </x:c>
      <x:c r="AC1566" s="10" t="n">
        <x:f>AB1566/'Assumptions'!$AM$52</x:f>
        <x:v>46.36695190399024</x:v>
      </x:c>
      <x:c r="AD1566" s="10" t="n">
        <x:f>IF(AB1566=0,0,T1566/AB1566)</x:f>
        <x:v>135.70002476663112</x:v>
      </x:c>
      <x:c r="AE1566" s="10" t="n">
        <x:f>AA1566*'Assumptions'!$D$21</x:f>
        <x:v>0</x:v>
      </x:c>
    </x:row>
    <x:row r="1567" ht="16" customHeight="1">
      <x:c r="A1567" s="1"/>
      <x:c r="B1567" s="1"/>
      <x:c r="C1567" s="1" t="str">
        <x:v>DOT-024</x:v>
      </x:c>
      <x:c r="D1567" s="10" t="str">
        <x:v>BPA professional services</x:v>
      </x:c>
      <x:c r="E1567" s="10" t="n">
        <x:v>13</x:v>
      </x:c>
      <x:c r="F1567" s="21" t="n">
        <x:f>F1439*(1+'Assumptions'!$M$53)</x:f>
        <x:v>46.36695190399025</x:v>
      </x:c>
      <x:c r="G1567" s="21" t="n">
        <x:f>H1439*'Assumptions'!$K$53</x:f>
        <x:v>43.721584564495515</x:v>
      </x:c>
      <x:c r="H1567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1567+G1567,NA())</x:f>
        <x:v>90.08853646848576</x:v>
      </x:c>
      <x:c r="I1567" s="22" t="n">
        <x:f>'Assumptions'!$H$53*IF('Assumptions'!$O$53=1,1,'Assumptions'!$D$10)*(1+'Assumptions'!$N$53)^(13-1)</x:f>
        <x:v>540</x:v>
      </x:c>
      <x:c r="J1567" s="10" t="n">
        <x:f>H1567*I1567</x:f>
        <x:v>48647.80969298231</x:v>
      </x:c>
      <x:c r="K1567" s="10" t="n">
        <x:f>J1567*'Assumptions'!$T$53</x:f>
        <x:v>48647.80969298231</x:v>
      </x:c>
      <x:c r="L1567" s="10" t="n">
        <x:f>K1567*'Assumptions'!$U$53</x:f>
        <x:v>1459.4342907894693</x:v>
      </x:c>
      <x:c r="M1567" s="10" t="n">
        <x:f>K1567*'Assumptions'!$V$53</x:f>
        <x:v>0</x:v>
      </x:c>
      <x:c r="N1567" s="10" t="n">
        <x:f>K1567-L1567-M1567</x:f>
        <x:v>47188.37540219284</x:v>
      </x:c>
      <x:c r="O1567" s="10" t="n">
        <x:f>H1567*'Assumptions'!$P$53*'Assumptions'!$Q$53*'Assumptions'!$D$11*(1+'Assumptions'!$D$13)^(13-1)</x:f>
        <x:v>15413.365397997915</x:v>
      </x:c>
      <x:c r="P1567" s="10" t="n">
        <x:f>H1567*'Assumptions'!$R$53*'Assumptions'!$D$11*(1+'Assumptions'!$D$13)^(13-1)</x:f>
        <x:v>1284.4471164998263</x:v>
      </x:c>
      <x:c r="Q1567" s="10" t="n">
        <x:f>J1567*'Assumptions'!$S$53</x:f>
        <x:v>0</x:v>
      </x:c>
      <x:c r="R1567" s="10" t="n">
        <x:f>H1567*'Assumptions'!$Y$53*'Assumptions'!$Z$53*'Assumptions'!$D$11*(1+'Assumptions'!$D$13)^(13-1)</x:f>
        <x:v>963.3353373748697</x:v>
      </x:c>
      <x:c r="S1567" s="10" t="n">
        <x:f>IF(I1567=0,0,J1567*'Assumptions'!$W$53+H1567*'Assumptions'!$X$53)</x:f>
        <x:v>1437.8130420370328</x:v>
      </x:c>
      <x:c r="T1567" s="10" t="n">
        <x:f>N1567*'Assumptions'!$AA$53</x:f>
        <x:v>1887.5350160877135</x:v>
      </x:c>
      <x:c r="U1567" s="10" t="n">
        <x:f>'Assumptions'!$AE$53*'Assumptions'!$D$11*(1+'Assumptions'!$D$13)^(13-1)</x:f>
        <x:v>0</x:v>
      </x:c>
      <x:c r="V1567" s="10" t="n">
        <x:f>0</x:f>
        <x:v>0</x:v>
      </x:c>
      <x:c r="W1567" s="10" t="n">
        <x:f>H1567*('Assumptions'!$P$53+'Assumptions'!$Y$53)</x:f>
        <x:v>202.69920705409294</x:v>
      </x:c>
      <x:c r="X1567" s="10" t="n">
        <x:f>N1567/12*'Assumptions'!$AF$53</x:f>
        <x:v>3932.3646168494033</x:v>
      </x:c>
      <x:c r="Y1567" s="10" t="n">
        <x:f>P1567/12</x:f>
        <x:v>107.03725970831886</x:v>
      </x:c>
      <x:c r="Z1567" s="10" t="n">
        <x:f>0</x:f>
        <x:v>0</x:v>
      </x:c>
      <x:c r="AA1567" s="10" t="n">
        <x:f>Z1567*'Assumptions'!$AC$53*'Assumptions'!$D$11*(1+'Assumptions'!$D$13)^(13-1)</x:f>
        <x:v>0</x:v>
      </x:c>
      <x:c r="AB1567" s="10" t="n">
        <x:f>F1567/1</x:f>
        <x:v>46.36695190399025</x:v>
      </x:c>
      <x:c r="AC1567" s="10" t="n">
        <x:f>AB1567/'Assumptions'!$AM$53</x:f>
        <x:v>231.83475951995123</x:v>
      </x:c>
      <x:c r="AD1567" s="10" t="n">
        <x:f>IF(AB1567=0,0,T1567/AB1567)</x:f>
        <x:v>40.70862842129754</x:v>
      </x:c>
      <x:c r="AE1567" s="10" t="n">
        <x:f>AA1567*'Assumptions'!$D$21</x:f>
        <x:v>0</x:v>
      </x:c>
    </x:row>
    <x:row r="1568" ht="16" customHeight="1">
      <x:c r="A1568" s="1"/>
      <x:c r="B1568" s="1"/>
      <x:c r="C1568" s="1" t="str">
        <x:v>DOT-025</x:v>
      </x:c>
      <x:c r="D1568" s="10" t="str">
        <x:v>BPA professional services</x:v>
      </x:c>
      <x:c r="E1568" s="10" t="n">
        <x:v>13</x:v>
      </x:c>
      <x:c r="F1568" s="21" t="n">
        <x:f>F1440*(1+'Assumptions'!$M$54)</x:f>
        <x:v>18.546780761596096</x:v>
      </x:c>
      <x:c r="G1568" s="21" t="n">
        <x:f>H1440*'Assumptions'!$K$54</x:f>
        <x:v>17.488633825798203</x:v>
      </x:c>
      <x:c r="H1568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1568+G1568,NA())</x:f>
        <x:v>36.0354145873943</x:v>
      </x:c>
      <x:c r="I1568" s="22" t="n">
        <x:f>'Assumptions'!$H$54*IF('Assumptions'!$O$54=1,1,'Assumptions'!$D$10)*(1+'Assumptions'!$N$54)^(13-1)</x:f>
        <x:v>1020</x:v>
      </x:c>
      <x:c r="J1568" s="10" t="n">
        <x:f>H1568*I1568</x:f>
        <x:v>36756.12287914219</x:v>
      </x:c>
      <x:c r="K1568" s="10" t="n">
        <x:f>J1568*'Assumptions'!$T$54</x:f>
        <x:v>36756.12287914219</x:v>
      </x:c>
      <x:c r="L1568" s="10" t="n">
        <x:f>K1568*'Assumptions'!$U$54</x:f>
        <x:v>1102.6836863742656</x:v>
      </x:c>
      <x:c r="M1568" s="10" t="n">
        <x:f>K1568*'Assumptions'!$V$54</x:f>
        <x:v>0</x:v>
      </x:c>
      <x:c r="N1568" s="10" t="n">
        <x:f>K1568-L1568-M1568</x:f>
        <x:v>35653.439192767924</x:v>
      </x:c>
      <x:c r="O1568" s="10" t="n">
        <x:f>H1568*'Assumptions'!$P$54*'Assumptions'!$Q$54*'Assumptions'!$D$11*(1+'Assumptions'!$D$13)^(13-1)</x:f>
        <x:v>15413.365397997915</x:v>
      </x:c>
      <x:c r="P1568" s="10" t="n">
        <x:f>H1568*'Assumptions'!$R$54*'Assumptions'!$D$11*(1+'Assumptions'!$D$13)^(13-1)</x:f>
        <x:v>513.7788465999305</x:v>
      </x:c>
      <x:c r="Q1568" s="10" t="n">
        <x:f>J1568*'Assumptions'!$S$54</x:f>
        <x:v>0</x:v>
      </x:c>
      <x:c r="R1568" s="10" t="n">
        <x:f>H1568*'Assumptions'!$Y$54*'Assumptions'!$Z$54*'Assumptions'!$D$11*(1+'Assumptions'!$D$13)^(13-1)</x:f>
        <x:v>385.33413494994784</x:v>
      </x:c>
      <x:c r="S1568" s="10" t="n">
        <x:f>IF(I1568=0,0,J1568*'Assumptions'!$W$54+H1568*'Assumptions'!$X$54)</x:f>
        <x:v>1076.738187871342</x:v>
      </x:c>
      <x:c r="T1568" s="10" t="n">
        <x:f>N1568*'Assumptions'!$AA$54</x:f>
        <x:v>1426.137567710717</x:v>
      </x:c>
      <x:c r="U1568" s="10" t="n">
        <x:f>'Assumptions'!$AE$54*'Assumptions'!$D$11*(1+'Assumptions'!$D$13)^(13-1)</x:f>
        <x:v>0</x:v>
      </x:c>
      <x:c r="V1568" s="10" t="n">
        <x:f>0</x:f>
        <x:v>0</x:v>
      </x:c>
      <x:c r="W1568" s="10" t="n">
        <x:f>H1568*('Assumptions'!$P$54+'Assumptions'!$Y$54)</x:f>
        <x:v>189.18592658382008</x:v>
      </x:c>
      <x:c r="X1568" s="10" t="n">
        <x:f>N1568/12*'Assumptions'!$AF$54</x:f>
        <x:v>2971.1199327306604</x:v>
      </x:c>
      <x:c r="Y1568" s="10" t="n">
        <x:f>P1568/12</x:f>
        <x:v>42.81490388332754</x:v>
      </x:c>
      <x:c r="Z1568" s="10" t="n">
        <x:f>0</x:f>
        <x:v>0</x:v>
      </x:c>
      <x:c r="AA1568" s="10" t="n">
        <x:f>Z1568*'Assumptions'!$AC$54*'Assumptions'!$D$11*(1+'Assumptions'!$D$13)^(13-1)</x:f>
        <x:v>0</x:v>
      </x:c>
      <x:c r="AB1568" s="10" t="n">
        <x:f>F1568/1</x:f>
        <x:v>18.546780761596096</x:v>
      </x:c>
      <x:c r="AC1568" s="10" t="n">
        <x:f>AB1568/'Assumptions'!$AM$54</x:f>
        <x:v>92.73390380798048</x:v>
      </x:c>
      <x:c r="AD1568" s="10" t="n">
        <x:f>IF(AB1568=0,0,T1568/AB1568)</x:f>
        <x:v>76.89407590689537</x:v>
      </x:c>
      <x:c r="AE1568" s="10" t="n">
        <x:f>AA1568*'Assumptions'!$D$21</x:f>
        <x:v>0</x:v>
      </x:c>
    </x:row>
    <x:row r="1569" ht="16" customHeight="1">
      <x:c r="A1569" s="1"/>
      <x:c r="B1569" s="1"/>
      <x:c r="C1569" s="1" t="str">
        <x:v>DOT-026</x:v>
      </x:c>
      <x:c r="D1569" s="10" t="str">
        <x:v>BPA professional services</x:v>
      </x:c>
      <x:c r="E1569" s="10" t="n">
        <x:v>13</x:v>
      </x:c>
      <x:c r="F1569" s="21" t="n">
        <x:f>F1441*(1+'Assumptions'!$M$55)</x:f>
        <x:v>7.41871230463844</x:v>
      </x:c>
      <x:c r="G1569" s="21" t="n">
        <x:f>H1441*'Assumptions'!$K$55</x:f>
        <x:v>6.995453530319283</x:v>
      </x:c>
      <x:c r="H1569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1569+G1569,NA())</x:f>
        <x:v>14.414165834957723</x:v>
      </x:c>
      <x:c r="I1569" s="22" t="n">
        <x:f>'Assumptions'!$H$55*IF('Assumptions'!$O$55=1,1,'Assumptions'!$D$10)*(1+'Assumptions'!$N$55)^(13-1)</x:f>
        <x:v>1800</x:v>
      </x:c>
      <x:c r="J1569" s="10" t="n">
        <x:f>H1569*I1569</x:f>
        <x:v>25945.498502923903</x:v>
      </x:c>
      <x:c r="K1569" s="10" t="n">
        <x:f>J1569*'Assumptions'!$T$55</x:f>
        <x:v>25945.498502923903</x:v>
      </x:c>
      <x:c r="L1569" s="10" t="n">
        <x:f>K1569*'Assumptions'!$U$55</x:f>
        <x:v>778.364955087717</x:v>
      </x:c>
      <x:c r="M1569" s="10" t="n">
        <x:f>K1569*'Assumptions'!$V$55</x:f>
        <x:v>0</x:v>
      </x:c>
      <x:c r="N1569" s="10" t="n">
        <x:f>K1569-L1569-M1569</x:f>
        <x:v>25167.133547836187</x:v>
      </x:c>
      <x:c r="O1569" s="10" t="n">
        <x:f>H1569*'Assumptions'!$P$55*'Assumptions'!$Q$55*'Assumptions'!$D$11*(1+'Assumptions'!$D$13)^(13-1)</x:f>
        <x:v>12330.692318398334</x:v>
      </x:c>
      <x:c r="P1569" s="10" t="n">
        <x:f>H1569*'Assumptions'!$R$55*'Assumptions'!$D$11*(1+'Assumptions'!$D$13)^(13-1)</x:f>
        <x:v>205.5115386399722</x:v>
      </x:c>
      <x:c r="Q1569" s="10" t="n">
        <x:f>J1569*'Assumptions'!$S$55</x:f>
        <x:v>0</x:v>
      </x:c>
      <x:c r="R1569" s="10" t="n">
        <x:f>H1569*'Assumptions'!$Y$55*'Assumptions'!$Z$55*'Assumptions'!$D$11*(1+'Assumptions'!$D$13)^(13-1)</x:f>
        <x:v>154.13365397997916</x:v>
      </x:c>
      <x:c r="S1569" s="10" t="n">
        <x:f>IF(I1569=0,0,J1569*'Assumptions'!$W$55+H1569*'Assumptions'!$X$55)</x:f>
        <x:v>756.7437063352805</x:v>
      </x:c>
      <x:c r="T1569" s="10" t="n">
        <x:f>N1569*'Assumptions'!$AA$55</x:f>
        <x:v>1006.6853419134475</x:v>
      </x:c>
      <x:c r="U1569" s="10" t="n">
        <x:f>'Assumptions'!$AE$55*'Assumptions'!$D$11*(1+'Assumptions'!$D$13)^(13-1)</x:f>
        <x:v>0</x:v>
      </x:c>
      <x:c r="V1569" s="10" t="n">
        <x:f>0</x:f>
        <x:v>0</x:v>
      </x:c>
      <x:c r="W1569" s="10" t="n">
        <x:f>H1569*('Assumptions'!$P$55+'Assumptions'!$Y$55)</x:f>
        <x:v>147.74519980831667</x:v>
      </x:c>
      <x:c r="X1569" s="10" t="n">
        <x:f>N1569/12*'Assumptions'!$AF$55</x:f>
        <x:v>2097.261128986349</x:v>
      </x:c>
      <x:c r="Y1569" s="10" t="n">
        <x:f>P1569/12</x:f>
        <x:v>17.125961553331017</x:v>
      </x:c>
      <x:c r="Z1569" s="10" t="n">
        <x:f>0</x:f>
        <x:v>0</x:v>
      </x:c>
      <x:c r="AA1569" s="10" t="n">
        <x:f>Z1569*'Assumptions'!$AC$55*'Assumptions'!$D$11*(1+'Assumptions'!$D$13)^(13-1)</x:f>
        <x:v>0</x:v>
      </x:c>
      <x:c r="AB1569" s="10" t="n">
        <x:f>F1569/1</x:f>
        <x:v>7.41871230463844</x:v>
      </x:c>
      <x:c r="AC1569" s="10" t="n">
        <x:f>AB1569/'Assumptions'!$AM$55</x:f>
        <x:v>37.0935615231922</x:v>
      </x:c>
      <x:c r="AD1569" s="10" t="n">
        <x:f>IF(AB1569=0,0,T1569/AB1569)</x:f>
        <x:v>135.69542807099182</x:v>
      </x:c>
      <x:c r="AE1569" s="10" t="n">
        <x:f>AA1569*'Assumptions'!$D$21</x:f>
        <x:v>0</x:v>
      </x:c>
    </x:row>
    <x:row r="1570" ht="16" customHeight="1">
      <x:c r="A1570" s="1"/>
      <x:c r="B1570" s="1"/>
      <x:c r="C1570" s="1" t="str">
        <x:v>DOT-027</x:v>
      </x:c>
      <x:c r="D1570" s="10" t="str">
        <x:v>BPA professional services</x:v>
      </x:c>
      <x:c r="E1570" s="10" t="n">
        <x:v>13</x:v>
      </x:c>
      <x:c r="F1570" s="21" t="n">
        <x:f>F1442*(1+'Assumptions'!$M$56)</x:f>
        <x:v>7.41871230463844</x:v>
      </x:c>
      <x:c r="G1570" s="21" t="n">
        <x:f>H1442*'Assumptions'!$K$56</x:f>
        <x:v>6.995453530319283</x:v>
      </x:c>
      <x:c r="H1570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1570+G1570,NA())</x:f>
        <x:v>14.414165834957723</x:v>
      </x:c>
      <x:c r="I1570" s="22" t="n">
        <x:f>'Assumptions'!$H$56*IF('Assumptions'!$O$56=1,1,'Assumptions'!$D$10)*(1+'Assumptions'!$N$56)^(13-1)</x:f>
        <x:v>1800</x:v>
      </x:c>
      <x:c r="J1570" s="10" t="n">
        <x:f>H1570*I1570</x:f>
        <x:v>25945.498502923903</x:v>
      </x:c>
      <x:c r="K1570" s="10" t="n">
        <x:f>J1570*'Assumptions'!$T$56</x:f>
        <x:v>25945.498502923903</x:v>
      </x:c>
      <x:c r="L1570" s="10" t="n">
        <x:f>K1570*'Assumptions'!$U$56</x:f>
        <x:v>778.364955087717</x:v>
      </x:c>
      <x:c r="M1570" s="10" t="n">
        <x:f>K1570*'Assumptions'!$V$56</x:f>
        <x:v>0</x:v>
      </x:c>
      <x:c r="N1570" s="10" t="n">
        <x:f>K1570-L1570-M1570</x:f>
        <x:v>25167.133547836187</x:v>
      </x:c>
      <x:c r="O1570" s="10" t="n">
        <x:f>H1570*'Assumptions'!$P$56*'Assumptions'!$Q$56*'Assumptions'!$D$11*(1+'Assumptions'!$D$13)^(13-1)</x:f>
        <x:v>12330.692318398334</x:v>
      </x:c>
      <x:c r="P1570" s="10" t="n">
        <x:f>H1570*'Assumptions'!$R$56*'Assumptions'!$D$11*(1+'Assumptions'!$D$13)^(13-1)</x:f>
        <x:v>205.5115386399722</x:v>
      </x:c>
      <x:c r="Q1570" s="10" t="n">
        <x:f>J1570*'Assumptions'!$S$56</x:f>
        <x:v>0</x:v>
      </x:c>
      <x:c r="R1570" s="10" t="n">
        <x:f>H1570*'Assumptions'!$Y$56*'Assumptions'!$Z$56*'Assumptions'!$D$11*(1+'Assumptions'!$D$13)^(13-1)</x:f>
        <x:v>154.13365397997916</x:v>
      </x:c>
      <x:c r="S1570" s="10" t="n">
        <x:f>IF(I1570=0,0,J1570*'Assumptions'!$W$56+H1570*'Assumptions'!$X$56)</x:f>
        <x:v>756.7437063352805</x:v>
      </x:c>
      <x:c r="T1570" s="10" t="n">
        <x:f>N1570*'Assumptions'!$AA$56</x:f>
        <x:v>1006.6853419134475</x:v>
      </x:c>
      <x:c r="U1570" s="10" t="n">
        <x:f>'Assumptions'!$AE$56*'Assumptions'!$D$11*(1+'Assumptions'!$D$13)^(13-1)</x:f>
        <x:v>0</x:v>
      </x:c>
      <x:c r="V1570" s="10" t="n">
        <x:f>0</x:f>
        <x:v>0</x:v>
      </x:c>
      <x:c r="W1570" s="10" t="n">
        <x:f>H1570*('Assumptions'!$P$56+'Assumptions'!$Y$56)</x:f>
        <x:v>147.74519980831667</x:v>
      </x:c>
      <x:c r="X1570" s="10" t="n">
        <x:f>N1570/12*'Assumptions'!$AF$56</x:f>
        <x:v>2097.261128986349</x:v>
      </x:c>
      <x:c r="Y1570" s="10" t="n">
        <x:f>P1570/12</x:f>
        <x:v>17.125961553331017</x:v>
      </x:c>
      <x:c r="Z1570" s="10" t="n">
        <x:f>0</x:f>
        <x:v>0</x:v>
      </x:c>
      <x:c r="AA1570" s="10" t="n">
        <x:f>Z1570*'Assumptions'!$AC$56*'Assumptions'!$D$11*(1+'Assumptions'!$D$13)^(13-1)</x:f>
        <x:v>0</x:v>
      </x:c>
      <x:c r="AB1570" s="10" t="n">
        <x:f>F1570/1</x:f>
        <x:v>7.41871230463844</x:v>
      </x:c>
      <x:c r="AC1570" s="10" t="n">
        <x:f>AB1570/'Assumptions'!$AM$56</x:f>
        <x:v>37.0935615231922</x:v>
      </x:c>
      <x:c r="AD1570" s="10" t="n">
        <x:f>IF(AB1570=0,0,T1570/AB1570)</x:f>
        <x:v>135.69542807099182</x:v>
      </x:c>
      <x:c r="AE1570" s="10" t="n">
        <x:f>AA1570*'Assumptions'!$D$21</x:f>
        <x:v>0</x:v>
      </x:c>
    </x:row>
    <x:row r="1571" ht="16" customHeight="1">
      <x:c r="A1571" s="1"/>
      <x:c r="B1571" s="1"/>
      <x:c r="C1571" s="1" t="str">
        <x:v>DOT-028</x:v>
      </x:c>
      <x:c r="D1571" s="10" t="str">
        <x:v>BPA professional services</x:v>
      </x:c>
      <x:c r="E1571" s="10" t="n">
        <x:v>13</x:v>
      </x:c>
      <x:c r="F1571" s="21" t="n">
        <x:f>F1443*(1+'Assumptions'!$M$57)</x:f>
        <x:v>3.70935615231922</x:v>
      </x:c>
      <x:c r="G1571" s="21" t="n">
        <x:f>H1443*'Assumptions'!$K$57</x:f>
        <x:v>3.4977267651596415</x:v>
      </x:c>
      <x:c r="H1571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1571+G1571,NA())</x:f>
        <x:v>7.2070829174788615</x:v>
      </x:c>
      <x:c r="I1571" s="22" t="n">
        <x:f>'Assumptions'!$H$57*IF('Assumptions'!$O$57=1,1,'Assumptions'!$D$10)*(1+'Assumptions'!$N$57)^(13-1)</x:f>
        <x:v>1800</x:v>
      </x:c>
      <x:c r="J1571" s="10" t="n">
        <x:f>H1571*I1571</x:f>
        <x:v>12972.749251461952</x:v>
      </x:c>
      <x:c r="K1571" s="10" t="n">
        <x:f>J1571*'Assumptions'!$T$57</x:f>
        <x:v>12972.749251461952</x:v>
      </x:c>
      <x:c r="L1571" s="10" t="n">
        <x:f>K1571*'Assumptions'!$U$57</x:f>
        <x:v>389.1824775438585</x:v>
      </x:c>
      <x:c r="M1571" s="10" t="n">
        <x:f>K1571*'Assumptions'!$V$57</x:f>
        <x:v>0</x:v>
      </x:c>
      <x:c r="N1571" s="10" t="n">
        <x:f>K1571-L1571-M1571</x:f>
        <x:v>12583.566773918094</x:v>
      </x:c>
      <x:c r="O1571" s="10" t="n">
        <x:f>H1571*'Assumptions'!$P$57*'Assumptions'!$Q$57*'Assumptions'!$D$11*(1+'Assumptions'!$D$13)^(13-1)</x:f>
        <x:v>7398.415391039</x:v>
      </x:c>
      <x:c r="P1571" s="10" t="n">
        <x:f>H1571*'Assumptions'!$R$57*'Assumptions'!$D$11*(1+'Assumptions'!$D$13)^(13-1)</x:f>
        <x:v>102.7557693199861</x:v>
      </x:c>
      <x:c r="Q1571" s="10" t="n">
        <x:f>J1571*'Assumptions'!$S$57</x:f>
        <x:v>0</x:v>
      </x:c>
      <x:c r="R1571" s="10" t="n">
        <x:f>H1571*'Assumptions'!$Y$57*'Assumptions'!$Z$57*'Assumptions'!$D$11*(1+'Assumptions'!$D$13)^(13-1)</x:f>
        <x:v>77.06682698998958</x:v>
      </x:c>
      <x:c r="S1571" s="10" t="n">
        <x:f>IF(I1571=0,0,J1571*'Assumptions'!$W$57+H1571*'Assumptions'!$X$57)</x:f>
        <x:v>378.37185316764027</x:v>
      </x:c>
      <x:c r="T1571" s="10" t="n">
        <x:f>N1571*'Assumptions'!$AA$57</x:f>
        <x:v>503.34267095672374</x:v>
      </x:c>
      <x:c r="U1571" s="10" t="n">
        <x:f>'Assumptions'!$AE$57*'Assumptions'!$D$11*(1+'Assumptions'!$D$13)^(13-1)</x:f>
        <x:v>0</x:v>
      </x:c>
      <x:c r="V1571" s="10" t="n">
        <x:f>0</x:f>
        <x:v>0</x:v>
      </x:c>
      <x:c r="W1571" s="10" t="n">
        <x:f>H1571*('Assumptions'!$P$57+'Assumptions'!$Y$57)</x:f>
        <x:v>88.28676573911605</x:v>
      </x:c>
      <x:c r="X1571" s="10" t="n">
        <x:f>N1571/12*'Assumptions'!$AF$57</x:f>
        <x:v>1048.6305644931745</x:v>
      </x:c>
      <x:c r="Y1571" s="10" t="n">
        <x:f>P1571/12</x:f>
        <x:v>8.562980776665508</x:v>
      </x:c>
      <x:c r="Z1571" s="10" t="n">
        <x:f>0</x:f>
        <x:v>0</x:v>
      </x:c>
      <x:c r="AA1571" s="10" t="n">
        <x:f>Z1571*'Assumptions'!$AC$57*'Assumptions'!$D$11*(1+'Assumptions'!$D$13)^(13-1)</x:f>
        <x:v>0</x:v>
      </x:c>
      <x:c r="AB1571" s="10" t="n">
        <x:f>F1571/1</x:f>
        <x:v>3.70935615231922</x:v>
      </x:c>
      <x:c r="AC1571" s="10" t="n">
        <x:f>AB1571/'Assumptions'!$AM$57</x:f>
        <x:v>18.5467807615961</x:v>
      </x:c>
      <x:c r="AD1571" s="10" t="n">
        <x:f>IF(AB1571=0,0,T1571/AB1571)</x:f>
        <x:v>135.69542807099182</x:v>
      </x:c>
      <x:c r="AE1571" s="10" t="n">
        <x:f>AA1571*'Assumptions'!$D$21</x:f>
        <x:v>0</x:v>
      </x:c>
    </x:row>
    <x:row r="1572" ht="16" customHeight="1">
      <x:c r="A1572" s="1"/>
      <x:c r="B1572" s="1"/>
      <x:c r="C1572" s="1" t="str">
        <x:v>DOT-029</x:v>
      </x:c>
      <x:c r="D1572" s="10" t="str">
        <x:v>BPA professional services</x:v>
      </x:c>
      <x:c r="E1572" s="10" t="n">
        <x:v>13</x:v>
      </x:c>
      <x:c r="F1572" s="21" t="n">
        <x:f>F1444*(1+'Assumptions'!$M$58)</x:f>
        <x:v>37.09356152319219</x:v>
      </x:c>
      <x:c r="G1572" s="21" t="n">
        <x:f>H1444*'Assumptions'!$K$58</x:f>
        <x:v>34.97726765159641</x:v>
      </x:c>
      <x:c r="H1572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1572+G1572,NA())</x:f>
        <x:v>72.0708291747886</x:v>
      </x:c>
      <x:c r="I1572" s="22" t="n">
        <x:f>'Assumptions'!$H$58*IF('Assumptions'!$O$58=1,1,'Assumptions'!$D$10)*(1+'Assumptions'!$N$58)^(13-1)</x:f>
        <x:v>180</x:v>
      </x:c>
      <x:c r="J1572" s="10" t="n">
        <x:f>H1572*I1572</x:f>
        <x:v>12972.749251461948</x:v>
      </x:c>
      <x:c r="K1572" s="10" t="n">
        <x:f>J1572*'Assumptions'!$T$58</x:f>
        <x:v>12972.749251461948</x:v>
      </x:c>
      <x:c r="L1572" s="10" t="n">
        <x:f>K1572*'Assumptions'!$U$58</x:f>
        <x:v>389.18247754385845</x:v>
      </x:c>
      <x:c r="M1572" s="10" t="n">
        <x:f>K1572*'Assumptions'!$V$58</x:f>
        <x:v>0</x:v>
      </x:c>
      <x:c r="N1572" s="10" t="n">
        <x:f>K1572-L1572-M1572</x:f>
        <x:v>12583.56677391809</x:v>
      </x:c>
      <x:c r="O1572" s="10" t="n">
        <x:f>H1572*'Assumptions'!$P$58*'Assumptions'!$Q$58*'Assumptions'!$D$11*(1+'Assumptions'!$D$13)^(13-1)</x:f>
        <x:v>6165.346159199165</x:v>
      </x:c>
      <x:c r="P1572" s="10" t="n">
        <x:f>H1572*'Assumptions'!$R$58*'Assumptions'!$D$11*(1+'Assumptions'!$D$13)^(13-1)</x:f>
        <x:v>1027.557693199861</x:v>
      </x:c>
      <x:c r="Q1572" s="10" t="n">
        <x:f>J1572*'Assumptions'!$S$58</x:f>
        <x:v>0</x:v>
      </x:c>
      <x:c r="R1572" s="10" t="n">
        <x:f>H1572*'Assumptions'!$Y$58*'Assumptions'!$Z$58*'Assumptions'!$D$11*(1+'Assumptions'!$D$13)^(13-1)</x:f>
        <x:v>770.6682698998957</x:v>
      </x:c>
      <x:c r="S1572" s="10" t="n">
        <x:f>IF(I1572=0,0,J1572*'Assumptions'!$W$58+H1572*'Assumptions'!$X$58)</x:f>
        <x:v>397.8309770448331</x:v>
      </x:c>
      <x:c r="T1572" s="10" t="n">
        <x:f>N1572*'Assumptions'!$AA$58</x:f>
        <x:v>503.3426709567236</x:v>
      </x:c>
      <x:c r="U1572" s="10" t="n">
        <x:f>'Assumptions'!$AE$58*'Assumptions'!$D$11*(1+'Assumptions'!$D$13)^(13-1)</x:f>
        <x:v>0</x:v>
      </x:c>
      <x:c r="V1572" s="10" t="n">
        <x:f>0</x:f>
        <x:v>0</x:v>
      </x:c>
      <x:c r="W1572" s="10" t="n">
        <x:f>H1572*('Assumptions'!$P$58+'Assumptions'!$Y$58)</x:f>
        <x:v>90.08853646848576</x:v>
      </x:c>
      <x:c r="X1572" s="10" t="n">
        <x:f>N1572/12*'Assumptions'!$AF$58</x:f>
        <x:v>1048.6305644931742</x:v>
      </x:c>
      <x:c r="Y1572" s="10" t="n">
        <x:f>P1572/12</x:f>
        <x:v>85.62980776665508</x:v>
      </x:c>
      <x:c r="Z1572" s="10" t="n">
        <x:f>0</x:f>
        <x:v>0</x:v>
      </x:c>
      <x:c r="AA1572" s="10" t="n">
        <x:f>Z1572*'Assumptions'!$AC$58*'Assumptions'!$D$11*(1+'Assumptions'!$D$13)^(13-1)</x:f>
        <x:v>0</x:v>
      </x:c>
      <x:c r="AB1572" s="10" t="n">
        <x:f>F1572/1</x:f>
        <x:v>37.09356152319219</x:v>
      </x:c>
      <x:c r="AC1572" s="10" t="n">
        <x:f>AB1572/'Assumptions'!$AM$58</x:f>
        <x:v>185.46780761596096</x:v>
      </x:c>
      <x:c r="AD1572" s="10" t="n">
        <x:f>IF(AB1572=0,0,T1572/AB1572)</x:f>
        <x:v>13.569542807099182</x:v>
      </x:c>
      <x:c r="AE1572" s="10" t="n">
        <x:f>AA1572*'Assumptions'!$D$21</x:f>
        <x:v>0</x:v>
      </x:c>
    </x:row>
    <x:row r="1573" ht="16" customHeight="1">
      <x:c r="A1573" s="1"/>
      <x:c r="B1573" s="1"/>
      <x:c r="C1573" s="1" t="str">
        <x:v>DOT-030</x:v>
      </x:c>
      <x:c r="D1573" s="10" t="str">
        <x:v>BPA professional services</x:v>
      </x:c>
      <x:c r="E1573" s="10" t="n">
        <x:v>13</x:v>
      </x:c>
      <x:c r="F1573" s="21" t="n">
        <x:f>F1445*(1+'Assumptions'!$M$59)</x:f>
        <x:v>7.41871230463844</x:v>
      </x:c>
      <x:c r="G1573" s="21" t="n">
        <x:f>H1445*'Assumptions'!$K$59</x:f>
        <x:v>6.995453530319283</x:v>
      </x:c>
      <x:c r="H1573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1573+G1573,NA())</x:f>
        <x:v>14.414165834957723</x:v>
      </x:c>
      <x:c r="I1573" s="22" t="n">
        <x:f>'Assumptions'!$H$59*IF('Assumptions'!$O$59=1,1,'Assumptions'!$D$10)*(1+'Assumptions'!$N$59)^(13-1)</x:f>
        <x:v>634.1208972812727</x:v>
      </x:c>
      <x:c r="J1573" s="10" t="n">
        <x:f>H1573*I1573</x:f>
        <x:v>9140.323772824457</x:v>
      </x:c>
      <x:c r="K1573" s="10" t="n">
        <x:f>J1573*'Assumptions'!$T$59</x:f>
        <x:v>9140.323772824457</x:v>
      </x:c>
      <x:c r="L1573" s="10" t="n">
        <x:f>K1573*'Assumptions'!$U$59</x:f>
        <x:v>274.2097131847337</x:v>
      </x:c>
      <x:c r="M1573" s="10" t="n">
        <x:f>K1573*'Assumptions'!$V$59</x:f>
        <x:v>0</x:v>
      </x:c>
      <x:c r="N1573" s="10" t="n">
        <x:f>K1573-L1573-M1573</x:f>
        <x:v>8866.114059639724</x:v>
      </x:c>
      <x:c r="O1573" s="10" t="n">
        <x:f>H1573*'Assumptions'!$P$59*'Assumptions'!$Q$59*'Assumptions'!$D$11*(1+'Assumptions'!$D$13)^(13-1)</x:f>
        <x:v>3699.2076955195</x:v>
      </x:c>
      <x:c r="P1573" s="10" t="n">
        <x:f>H1573*'Assumptions'!$R$59*'Assumptions'!$D$11*(1+'Assumptions'!$D$13)^(13-1)</x:f>
        <x:v>205.5115386399722</x:v>
      </x:c>
      <x:c r="Q1573" s="10" t="n">
        <x:f>J1573*'Assumptions'!$S$59</x:f>
        <x:v>0</x:v>
      </x:c>
      <x:c r="R1573" s="10" t="n">
        <x:f>H1573*'Assumptions'!$Y$59*'Assumptions'!$Z$59*'Assumptions'!$D$11*(1+'Assumptions'!$D$13)^(13-1)</x:f>
        <x:v>154.13365397997916</x:v>
      </x:c>
      <x:c r="S1573" s="10" t="n">
        <x:f>IF(I1573=0,0,J1573*'Assumptions'!$W$59+H1573*'Assumptions'!$X$59)</x:f>
        <x:v>269.39363916239654</x:v>
      </x:c>
      <x:c r="T1573" s="10" t="n">
        <x:f>N1573*'Assumptions'!$AA$59</x:f>
        <x:v>354.6445623855889</x:v>
      </x:c>
      <x:c r="U1573" s="10" t="n">
        <x:f>'Assumptions'!$AE$59*'Assumptions'!$D$11*(1+'Assumptions'!$D$13)^(13-1)</x:f>
        <x:v>0</x:v>
      </x:c>
      <x:c r="V1573" s="10" t="n">
        <x:f>0</x:f>
        <x:v>0</x:v>
      </x:c>
      <x:c r="W1573" s="10" t="n">
        <x:f>H1573*('Assumptions'!$P$59+'Assumptions'!$Y$59)</x:f>
        <x:v>46.8460389636126</x:v>
      </x:c>
      <x:c r="X1573" s="10" t="n">
        <x:f>N1573/12*'Assumptions'!$AF$59</x:f>
        <x:v>738.8428383033103</x:v>
      </x:c>
      <x:c r="Y1573" s="10" t="n">
        <x:f>P1573/12</x:f>
        <x:v>17.125961553331017</x:v>
      </x:c>
      <x:c r="Z1573" s="10" t="n">
        <x:f>0</x:f>
        <x:v>0</x:v>
      </x:c>
      <x:c r="AA1573" s="10" t="n">
        <x:f>Z1573*'Assumptions'!$AC$59*'Assumptions'!$D$11*(1+'Assumptions'!$D$13)^(13-1)</x:f>
        <x:v>0</x:v>
      </x:c>
      <x:c r="AB1573" s="10" t="n">
        <x:f>F1573/1</x:f>
        <x:v>7.41871230463844</x:v>
      </x:c>
      <x:c r="AC1573" s="10" t="n">
        <x:f>AB1573/'Assumptions'!$AM$59</x:f>
        <x:v>37.0935615231922</x:v>
      </x:c>
      <x:c r="AD1573" s="10" t="n">
        <x:f>IF(AB1573=0,0,T1573/AB1573)</x:f>
        <x:v>47.80405922519096</x:v>
      </x:c>
      <x:c r="AE1573" s="10" t="n">
        <x:f>AA1573*'Assumptions'!$D$21</x:f>
        <x:v>0</x:v>
      </x:c>
    </x:row>
    <x:row r="1574" ht="16" customHeight="1">
      <x:c r="A1574" s="1"/>
      <x:c r="B1574" s="1"/>
      <x:c r="C1574" s="1" t="str">
        <x:v>DOT-031</x:v>
      </x:c>
      <x:c r="D1574" s="10" t="str">
        <x:v>BPA professional services</x:v>
      </x:c>
      <x:c r="E1574" s="10" t="n">
        <x:v>13</x:v>
      </x:c>
      <x:c r="F1574" s="21" t="n">
        <x:f>F1446*(1+'Assumptions'!$M$60)</x:f>
        <x:v>3.70935615231922</x:v>
      </x:c>
      <x:c r="G1574" s="21" t="n">
        <x:f>H1446*'Assumptions'!$K$60</x:f>
        <x:v>3.4979709057846415</x:v>
      </x:c>
      <x:c r="H1574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1574+G1574,NA())</x:f>
        <x:v>7.2073270581038615</x:v>
      </x:c>
      <x:c r="I1574" s="22" t="n">
        <x:f>'Assumptions'!$H$60*IF('Assumptions'!$O$60=1,1,'Assumptions'!$D$10)*(1+'Assumptions'!$N$60)^(13-1)</x:f>
        <x:v>6341.208972812728</x:v>
      </x:c>
      <x:c r="J1574" s="10" t="n">
        <x:f>H1574*I1574</x:f>
        <x:v>45703.16701084417</x:v>
      </x:c>
      <x:c r="K1574" s="10" t="n">
        <x:f>J1574*'Assumptions'!$T$60</x:f>
        <x:v>45703.16701084417</x:v>
      </x:c>
      <x:c r="L1574" s="10" t="n">
        <x:f>K1574*'Assumptions'!$U$60</x:f>
        <x:v>1371.095010325325</x:v>
      </x:c>
      <x:c r="M1574" s="10" t="n">
        <x:f>K1574*'Assumptions'!$V$60</x:f>
        <x:v>0</x:v>
      </x:c>
      <x:c r="N1574" s="10" t="n">
        <x:f>K1574-L1574-M1574</x:f>
        <x:v>44332.07200051884</x:v>
      </x:c>
      <x:c r="O1574" s="10" t="n">
        <x:f>H1574*'Assumptions'!$P$60*'Assumptions'!$Q$60*'Assumptions'!$D$11*(1+'Assumptions'!$D$13)^(13-1)</x:f>
        <x:v>24662.220043566304</x:v>
      </x:c>
      <x:c r="P1574" s="10" t="n">
        <x:f>H1574*'Assumptions'!$R$60*'Assumptions'!$D$11*(1+'Assumptions'!$D$13)^(13-1)</x:f>
        <x:v>102.75925018152626</x:v>
      </x:c>
      <x:c r="Q1574" s="10" t="n">
        <x:f>J1574*'Assumptions'!$S$60</x:f>
        <x:v>0</x:v>
      </x:c>
      <x:c r="R1574" s="10" t="n">
        <x:f>H1574*'Assumptions'!$Y$60*'Assumptions'!$Z$60*'Assumptions'!$D$11*(1+'Assumptions'!$D$13)^(13-1)</x:f>
        <x:v>77.0694376361447</x:v>
      </x:c>
      <x:c r="S1574" s="10" t="n">
        <x:f>IF(I1574=0,0,J1574*'Assumptions'!$W$60+H1574*'Assumptions'!$X$60)</x:f>
        <x:v>1327.554041431912</x:v>
      </x:c>
      <x:c r="T1574" s="10" t="n">
        <x:f>N1574*'Assumptions'!$AA$60</x:f>
        <x:v>1773.2828800207537</x:v>
      </x:c>
      <x:c r="U1574" s="10" t="n">
        <x:f>'Assumptions'!$AE$60*'Assumptions'!$D$11*(1+'Assumptions'!$D$13)^(13-1)</x:f>
        <x:v>0</x:v>
      </x:c>
      <x:c r="V1574" s="10" t="n">
        <x:f>0</x:f>
        <x:v>0</x:v>
      </x:c>
      <x:c r="W1574" s="10" t="n">
        <x:f>H1574*('Assumptions'!$P$60+'Assumptions'!$Y$60)</x:f>
        <x:v>290.0949140886804</x:v>
      </x:c>
      <x:c r="X1574" s="10" t="n">
        <x:f>N1574/12*'Assumptions'!$AF$60</x:f>
        <x:v>3694.3393333765703</x:v>
      </x:c>
      <x:c r="Y1574" s="10" t="n">
        <x:f>P1574/12</x:f>
        <x:v>8.56327084846052</x:v>
      </x:c>
      <x:c r="Z1574" s="10" t="n">
        <x:f>0</x:f>
        <x:v>0</x:v>
      </x:c>
      <x:c r="AA1574" s="10" t="n">
        <x:f>Z1574*'Assumptions'!$AC$60*'Assumptions'!$D$11*(1+'Assumptions'!$D$13)^(13-1)</x:f>
        <x:v>0</x:v>
      </x:c>
      <x:c r="AB1574" s="10" t="n">
        <x:f>F1574/1</x:f>
        <x:v>3.70935615231922</x:v>
      </x:c>
      <x:c r="AC1574" s="10" t="n">
        <x:f>AB1574/'Assumptions'!$AM$60</x:f>
        <x:v>18.5467807615961</x:v>
      </x:c>
      <x:c r="AD1574" s="10" t="n">
        <x:f>IF(AB1574=0,0,T1574/AB1574)</x:f>
        <x:v>478.0567859228171</x:v>
      </x:c>
      <x:c r="AE1574" s="10" t="n">
        <x:f>AA1574*'Assumptions'!$D$21</x:f>
        <x:v>0</x:v>
      </x:c>
    </x:row>
    <x:row r="1575" ht="16" customHeight="1">
      <x:c r="A1575" s="1"/>
      <x:c r="B1575" s="1"/>
      <x:c r="C1575" s="1" t="str">
        <x:v>DOT-032</x:v>
      </x:c>
      <x:c r="D1575" s="10" t="str">
        <x:v>BPA professional services</x:v>
      </x:c>
      <x:c r="E1575" s="10" t="n">
        <x:v>13</x:v>
      </x:c>
      <x:c r="F1575" s="21" t="n">
        <x:f>F1447*(1+'Assumptions'!$M$61)</x:f>
        <x:v>1.85467807615961</x:v>
      </x:c>
      <x:c r="G1575" s="21" t="n">
        <x:f>H1447*'Assumptions'!$K$61</x:f>
        <x:v>1.7489854528923208</x:v>
      </x:c>
      <x:c r="H1575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1575+G1575,NA())</x:f>
        <x:v>3.6036635290519308</x:v>
      </x:c>
      <x:c r="I1575" s="22" t="n">
        <x:f>'Assumptions'!$H$61*IF('Assumptions'!$O$61=1,1,'Assumptions'!$D$10)*(1+'Assumptions'!$N$61)^(13-1)</x:f>
        <x:v>9511.81345921909</x:v>
      </x:c>
      <x:c r="J1575" s="10" t="n">
        <x:f>H1575*I1575</x:f>
        <x:v>34277.37525813312</x:v>
      </x:c>
      <x:c r="K1575" s="10" t="n">
        <x:f>J1575*'Assumptions'!$T$61</x:f>
        <x:v>34277.37525813312</x:v>
      </x:c>
      <x:c r="L1575" s="10" t="n">
        <x:f>K1575*'Assumptions'!$U$61</x:f>
        <x:v>1028.3212577439936</x:v>
      </x:c>
      <x:c r="M1575" s="10" t="n">
        <x:f>K1575*'Assumptions'!$V$61</x:f>
        <x:v>0</x:v>
      </x:c>
      <x:c r="N1575" s="10" t="n">
        <x:f>K1575-L1575-M1575</x:f>
        <x:v>33249.05400038913</x:v>
      </x:c>
      <x:c r="O1575" s="10" t="n">
        <x:f>H1575*'Assumptions'!$P$61*'Assumptions'!$Q$61*'Assumptions'!$D$11*(1+'Assumptions'!$D$13)^(13-1)</x:f>
        <x:v>18496.66503267473</x:v>
      </x:c>
      <x:c r="P1575" s="10" t="n">
        <x:f>H1575*'Assumptions'!$R$61*'Assumptions'!$D$11*(1+'Assumptions'!$D$13)^(13-1)</x:f>
        <x:v>51.37962509076313</x:v>
      </x:c>
      <x:c r="Q1575" s="10" t="n">
        <x:f>J1575*'Assumptions'!$S$61</x:f>
        <x:v>0</x:v>
      </x:c>
      <x:c r="R1575" s="10" t="n">
        <x:f>H1575*'Assumptions'!$Y$61*'Assumptions'!$Z$61*'Assumptions'!$D$11*(1+'Assumptions'!$D$13)^(13-1)</x:f>
        <x:v>38.53471881807235</x:v>
      </x:c>
      <x:c r="S1575" s="10" t="n">
        <x:f>IF(I1575=0,0,J1575*'Assumptions'!$W$61+H1575*'Assumptions'!$X$61)</x:f>
        <x:v>995.1249815445761</x:v>
      </x:c>
      <x:c r="T1575" s="10" t="n">
        <x:f>N1575*'Assumptions'!$AA$61</x:f>
        <x:v>1329.9621600155651</x:v>
      </x:c>
      <x:c r="U1575" s="10" t="n">
        <x:f>'Assumptions'!$AE$61*'Assumptions'!$D$11*(1+'Assumptions'!$D$13)^(13-1)</x:f>
        <x:v>0</x:v>
      </x:c>
      <x:c r="V1575" s="10" t="n">
        <x:f>0</x:f>
        <x:v>0</x:v>
      </x:c>
      <x:c r="W1575" s="10" t="n">
        <x:f>H1575*('Assumptions'!$P$61+'Assumptions'!$Y$61)</x:f>
        <x:v>217.12072762537883</x:v>
      </x:c>
      <x:c r="X1575" s="10" t="n">
        <x:f>N1575/12*'Assumptions'!$AF$61</x:f>
        <x:v>2770.7545000324276</x:v>
      </x:c>
      <x:c r="Y1575" s="10" t="n">
        <x:f>P1575/12</x:f>
        <x:v>4.28163542423026</x:v>
      </x:c>
      <x:c r="Z1575" s="10" t="n">
        <x:f>0</x:f>
        <x:v>0</x:v>
      </x:c>
      <x:c r="AA1575" s="10" t="n">
        <x:f>Z1575*'Assumptions'!$AC$61*'Assumptions'!$D$11*(1+'Assumptions'!$D$13)^(13-1)</x:f>
        <x:v>0</x:v>
      </x:c>
      <x:c r="AB1575" s="10" t="n">
        <x:f>F1575/1</x:f>
        <x:v>1.85467807615961</x:v>
      </x:c>
      <x:c r="AC1575" s="10" t="n">
        <x:f>AB1575/'Assumptions'!$AM$61</x:f>
        <x:v>9.27339038079805</x:v>
      </x:c>
      <x:c r="AD1575" s="10" t="n">
        <x:f>IF(AB1575=0,0,T1575/AB1575)</x:f>
        <x:v>717.0851788842255</x:v>
      </x:c>
      <x:c r="AE1575" s="10" t="n">
        <x:f>AA1575*'Assumptions'!$D$21</x:f>
        <x:v>0</x:v>
      </x:c>
    </x:row>
    <x:row r="1576" ht="16" customHeight="1">
      <x:c r="A1576" s="1"/>
      <x:c r="B1576" s="1"/>
      <x:c r="C1576" s="1" t="str">
        <x:v>DOT-033</x:v>
      </x:c>
      <x:c r="D1576" s="10" t="str">
        <x:v>CornerFlow</x:v>
      </x:c>
      <x:c r="E1576" s="10" t="n">
        <x:v>13</x:v>
      </x:c>
      <x:c r="F1576" s="21" t="n">
        <x:f>F1448*(1+'Assumptions'!$M$62)</x:f>
        <x:v>94.56387986755301</x:v>
      </x:c>
      <x:c r="G1576" s="21" t="n">
        <x:f>H1448*'Assumptions'!$K$62</x:f>
        <x:v>197.12097333944104</x:v>
      </x:c>
      <x:c r="H1576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1576+G1576,NA())</x:f>
        <x:v>291.68485320699403</x:v>
      </x:c>
      <x:c r="I1576" s="22" t="n">
        <x:f>'Assumptions'!$H$62*IF('Assumptions'!$O$62=1,1,'Assumptions'!$D$10)*(1+'Assumptions'!$N$62)^(13-1)</x:f>
        <x:v>62.14384793356473</x:v>
      </x:c>
      <x:c r="J1576" s="10" t="n">
        <x:f>H1576*I1576</x:f>
        <x:v>18126.419162219587</x:v>
      </x:c>
      <x:c r="K1576" s="10" t="n">
        <x:f>J1576*'Assumptions'!$T$62</x:f>
        <x:v>18126.419162219587</x:v>
      </x:c>
      <x:c r="L1576" s="10" t="n">
        <x:f>K1576*'Assumptions'!$U$62</x:f>
        <x:v>543.7925748665875</x:v>
      </x:c>
      <x:c r="M1576" s="10" t="n">
        <x:f>K1576*'Assumptions'!$V$62</x:f>
        <x:v>0</x:v>
      </x:c>
      <x:c r="N1576" s="10" t="n">
        <x:f>K1576-L1576-M1576</x:f>
        <x:v>17582.626587353</x:v>
      </x:c>
      <x:c r="O1576" s="10" t="n">
        <x:f>H1576*'Assumptions'!$P$62*'Assumptions'!$Q$62*'Assumptions'!$D$11*(1+'Assumptions'!$D$13)^(13-1)</x:f>
        <x:v>2183.3324886870073</x:v>
      </x:c>
      <x:c r="P1576" s="10" t="n">
        <x:f>H1576*'Assumptions'!$R$62*'Assumptions'!$D$11*(1+'Assumptions'!$D$13)^(13-1)</x:f>
        <x:v>0</x:v>
      </x:c>
      <x:c r="Q1576" s="10" t="n">
        <x:f>J1576*'Assumptions'!$S$62</x:f>
        <x:v>0</x:v>
      </x:c>
      <x:c r="R1576" s="10" t="n">
        <x:f>H1576*'Assumptions'!$Y$62*'Assumptions'!$Z$62*'Assumptions'!$D$11*(1+'Assumptions'!$D$13)^(13-1)</x:f>
        <x:v>1871.4278474460064</x:v>
      </x:c>
      <x:c r="S1576" s="10" t="n">
        <x:f>IF(I1576=0,0,J1576*'Assumptions'!$W$62+H1576*'Assumptions'!$X$62)</x:f>
        <x:v>613.1716116664663</x:v>
      </x:c>
      <x:c r="T1576" s="10" t="n">
        <x:f>N1576*'Assumptions'!$AA$62</x:f>
        <x:v>879.13132936765</x:v>
      </x:c>
      <x:c r="U1576" s="10" t="n">
        <x:f>'Assumptions'!$AE$62*'Assumptions'!$D$11*(1+'Assumptions'!$D$13)^(13-1)</x:f>
        <x:v>171.0913064215415</x:v>
      </x:c>
      <x:c r="V1576" s="10" t="n">
        <x:f>0</x:f>
        <x:v>0</x:v>
      </x:c>
      <x:c r="W1576" s="10" t="n">
        <x:f>H1576*('Assumptions'!$P$62+'Assumptions'!$Y$62)</x:f>
        <x:v>87.50545596209821</x:v>
      </x:c>
      <x:c r="X1576" s="10" t="n">
        <x:f>N1576/12*'Assumptions'!$AF$62</x:f>
        <x:v>0</x:v>
      </x:c>
      <x:c r="Y1576" s="10" t="n">
        <x:f>P1576/12</x:f>
        <x:v>0</x:v>
      </x:c>
      <x:c r="Z1576" s="10" t="n">
        <x:f>0</x:f>
        <x:v>0</x:v>
      </x:c>
      <x:c r="AA1576" s="10" t="n">
        <x:f>Z1576*'Assumptions'!$AC$62*'Assumptions'!$D$11*(1+'Assumptions'!$D$13)^(13-1)</x:f>
        <x:v>0</x:v>
      </x:c>
      <x:c r="AB1576" s="10" t="n">
        <x:f>F1576/12</x:f>
        <x:v>7.880323322296085</x:v>
      </x:c>
      <x:c r="AC1576" s="10" t="n">
        <x:f>AB1576/'Assumptions'!$AM$62</x:f>
        <x:v>157.60646644592168</x:v>
      </x:c>
      <x:c r="AD1576" s="10" t="n">
        <x:f>IF(AB1576=0,0,T1576/AB1576)</x:f>
        <x:v>111.56031211058203</x:v>
      </x:c>
      <x:c r="AE1576" s="10" t="n">
        <x:f>AA1576*'Assumptions'!$D$21</x:f>
        <x:v>0</x:v>
      </x:c>
    </x:row>
    <x:row r="1577" ht="16" customHeight="1">
      <x:c r="A1577" s="1"/>
      <x:c r="B1577" s="1"/>
      <x:c r="C1577" s="1" t="str">
        <x:v>DOT-034</x:v>
      </x:c>
      <x:c r="D1577" s="10" t="str">
        <x:v>CornerFlow</x:v>
      </x:c>
      <x:c r="E1577" s="10" t="n">
        <x:v>13</x:v>
      </x:c>
      <x:c r="F1577" s="21" t="n">
        <x:f>F1449*(1+'Assumptions'!$M$63)</x:f>
        <x:v>18.546780761596096</x:v>
      </x:c>
      <x:c r="G1577" s="21" t="n">
        <x:f>H1449*'Assumptions'!$K$63</x:f>
        <x:v>17.488633825798203</x:v>
      </x:c>
      <x:c r="H1577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1577+G1577,NA())</x:f>
        <x:v>36.0354145873943</x:v>
      </x:c>
      <x:c r="I1577" s="22" t="n">
        <x:f>'Assumptions'!$H$63*IF('Assumptions'!$O$63=1,1,'Assumptions'!$D$10)*(1+'Assumptions'!$N$63)^(13-1)</x:f>
        <x:v>252.38011711794655</x:v>
      </x:c>
      <x:c r="J1577" s="10" t="n">
        <x:f>H1577*I1577</x:f>
        <x:v>9094.622153960334</x:v>
      </x:c>
      <x:c r="K1577" s="10" t="n">
        <x:f>J1577*'Assumptions'!$T$63</x:f>
        <x:v>9094.622153960334</x:v>
      </x:c>
      <x:c r="L1577" s="10" t="n">
        <x:f>K1577*'Assumptions'!$U$63</x:f>
        <x:v>272.83866461881</x:v>
      </x:c>
      <x:c r="M1577" s="10" t="n">
        <x:f>K1577*'Assumptions'!$V$63</x:f>
        <x:v>0</x:v>
      </x:c>
      <x:c r="N1577" s="10" t="n">
        <x:f>K1577-L1577-M1577</x:f>
        <x:v>8821.783489341524</x:v>
      </x:c>
      <x:c r="O1577" s="10" t="n">
        <x:f>H1577*'Assumptions'!$P$63*'Assumptions'!$Q$63*'Assumptions'!$D$11*(1+'Assumptions'!$D$13)^(13-1)</x:f>
        <x:v>4110.230772799444</x:v>
      </x:c>
      <x:c r="P1577" s="10" t="n">
        <x:f>H1577*'Assumptions'!$R$63*'Assumptions'!$D$11*(1+'Assumptions'!$D$13)^(13-1)</x:f>
        <x:v>0</x:v>
      </x:c>
      <x:c r="Q1577" s="10" t="n">
        <x:f>J1577*'Assumptions'!$S$63</x:f>
        <x:v>0</x:v>
      </x:c>
      <x:c r="R1577" s="10" t="n">
        <x:f>H1577*'Assumptions'!$Y$63*'Assumptions'!$Z$63*'Assumptions'!$D$11*(1+'Assumptions'!$D$13)^(13-1)</x:f>
        <x:v>385.33413494994784</x:v>
      </x:c>
      <x:c r="S1577" s="10" t="n">
        <x:f>IF(I1577=0,0,J1577*'Assumptions'!$W$63+H1577*'Assumptions'!$X$63)</x:f>
        <x:v>274.554666841068</x:v>
      </x:c>
      <x:c r="T1577" s="10" t="n">
        <x:f>N1577*'Assumptions'!$AA$63</x:f>
        <x:v>352.871339573661</x:v>
      </x:c>
      <x:c r="U1577" s="10" t="n">
        <x:f>'Assumptions'!$AE$63*'Assumptions'!$D$11*(1+'Assumptions'!$D$13)^(13-1)</x:f>
        <x:v>0</x:v>
      </x:c>
      <x:c r="V1577" s="10" t="n">
        <x:f>0</x:f>
        <x:v>0</x:v>
      </x:c>
      <x:c r="W1577" s="10" t="n">
        <x:f>H1577*('Assumptions'!$P$63+'Assumptions'!$Y$63)</x:f>
        <x:v>81.07968282163718</x:v>
      </x:c>
      <x:c r="X1577" s="10" t="n">
        <x:f>N1577/12*'Assumptions'!$AF$63</x:f>
        <x:v>735.1486241117937</x:v>
      </x:c>
      <x:c r="Y1577" s="10" t="n">
        <x:f>P1577/12</x:f>
        <x:v>0</x:v>
      </x:c>
      <x:c r="Z1577" s="10" t="n">
        <x:f>0</x:f>
        <x:v>0</x:v>
      </x:c>
      <x:c r="AA1577" s="10" t="n">
        <x:f>Z1577*'Assumptions'!$AC$63*'Assumptions'!$D$11*(1+'Assumptions'!$D$13)^(13-1)</x:f>
        <x:v>0</x:v>
      </x:c>
      <x:c r="AB1577" s="10" t="n">
        <x:f>F1577/1</x:f>
        <x:v>18.546780761596096</x:v>
      </x:c>
      <x:c r="AC1577" s="10" t="n">
        <x:f>AB1577/'Assumptions'!$AM$63</x:f>
        <x:v>92.73390380798048</x:v>
      </x:c>
      <x:c r="AD1577" s="10" t="n">
        <x:f>IF(AB1577=0,0,T1577/AB1577)</x:f>
        <x:v>19.026015571626008</x:v>
      </x:c>
      <x:c r="AE1577" s="10" t="n">
        <x:f>AA1577*'Assumptions'!$D$21</x:f>
        <x:v>0</x:v>
      </x:c>
    </x:row>
    <x:row r="1578" ht="16" customHeight="1">
      <x:c r="A1578" s="1"/>
      <x:c r="B1578" s="1"/>
      <x:c r="C1578" s="1" t="str">
        <x:v>DOT-035</x:v>
      </x:c>
      <x:c r="D1578" s="10" t="str">
        <x:v>Spindle</x:v>
      </x:c>
      <x:c r="E1578" s="10" t="n">
        <x:v>13</x:v>
      </x:c>
      <x:c r="F1578" s="21" t="n">
        <x:f>F1450*(1+'Assumptions'!$M$64)</x:f>
        <x:v>94.56387986755301</x:v>
      </x:c>
      <x:c r="G1578" s="21" t="n">
        <x:f>H1450*'Assumptions'!$K$64</x:f>
        <x:v>197.12097333944104</x:v>
      </x:c>
      <x:c r="H1578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1578+G1578,NA())</x:f>
        <x:v>291.68485320699403</x:v>
      </x:c>
      <x:c r="I1578" s="22" t="n">
        <x:f>'Assumptions'!$H$64*IF('Assumptions'!$O$64=1,1,'Assumptions'!$D$10)*(1+'Assumptions'!$N$64)^(13-1)</x:f>
        <x:v>62.14384793356473</x:v>
      </x:c>
      <x:c r="J1578" s="10" t="n">
        <x:f>H1578*I1578</x:f>
        <x:v>18126.419162219587</x:v>
      </x:c>
      <x:c r="K1578" s="10" t="n">
        <x:f>J1578*'Assumptions'!$T$64</x:f>
        <x:v>18126.419162219587</x:v>
      </x:c>
      <x:c r="L1578" s="10" t="n">
        <x:f>K1578*'Assumptions'!$U$64</x:f>
        <x:v>543.7925748665875</x:v>
      </x:c>
      <x:c r="M1578" s="10" t="n">
        <x:f>K1578*'Assumptions'!$V$64</x:f>
        <x:v>0</x:v>
      </x:c>
      <x:c r="N1578" s="10" t="n">
        <x:f>K1578-L1578-M1578</x:f>
        <x:v>17582.626587353</x:v>
      </x:c>
      <x:c r="O1578" s="10" t="n">
        <x:f>H1578*'Assumptions'!$P$64*'Assumptions'!$Q$64*'Assumptions'!$D$11*(1+'Assumptions'!$D$13)^(13-1)</x:f>
        <x:v>2183.3324886870073</x:v>
      </x:c>
      <x:c r="P1578" s="10" t="n">
        <x:f>H1578*'Assumptions'!$R$64*'Assumptions'!$D$11*(1+'Assumptions'!$D$13)^(13-1)</x:f>
        <x:v>0</x:v>
      </x:c>
      <x:c r="Q1578" s="10" t="n">
        <x:f>J1578*'Assumptions'!$S$64</x:f>
        <x:v>0</x:v>
      </x:c>
      <x:c r="R1578" s="10" t="n">
        <x:f>H1578*'Assumptions'!$Y$64*'Assumptions'!$Z$64*'Assumptions'!$D$11*(1+'Assumptions'!$D$13)^(13-1)</x:f>
        <x:v>1871.4278474460064</x:v>
      </x:c>
      <x:c r="S1578" s="10" t="n">
        <x:f>IF(I1578=0,0,J1578*'Assumptions'!$W$64+H1578*'Assumptions'!$X$64)</x:f>
        <x:v>613.1716116664663</x:v>
      </x:c>
      <x:c r="T1578" s="10" t="n">
        <x:f>N1578*'Assumptions'!$AA$64</x:f>
        <x:v>879.13132936765</x:v>
      </x:c>
      <x:c r="U1578" s="10" t="n">
        <x:f>'Assumptions'!$AE$64*'Assumptions'!$D$11*(1+'Assumptions'!$D$13)^(13-1)</x:f>
        <x:v>171.0913064215415</x:v>
      </x:c>
      <x:c r="V1578" s="10" t="n">
        <x:f>0</x:f>
        <x:v>0</x:v>
      </x:c>
      <x:c r="W1578" s="10" t="n">
        <x:f>H1578*('Assumptions'!$P$64+'Assumptions'!$Y$64)</x:f>
        <x:v>87.50545596209821</x:v>
      </x:c>
      <x:c r="X1578" s="10" t="n">
        <x:f>N1578/12*'Assumptions'!$AF$64</x:f>
        <x:v>0</x:v>
      </x:c>
      <x:c r="Y1578" s="10" t="n">
        <x:f>P1578/12</x:f>
        <x:v>0</x:v>
      </x:c>
      <x:c r="Z1578" s="10" t="n">
        <x:f>0</x:f>
        <x:v>0</x:v>
      </x:c>
      <x:c r="AA1578" s="10" t="n">
        <x:f>Z1578*'Assumptions'!$AC$64*'Assumptions'!$D$11*(1+'Assumptions'!$D$13)^(13-1)</x:f>
        <x:v>0</x:v>
      </x:c>
      <x:c r="AB1578" s="10" t="n">
        <x:f>F1578/12</x:f>
        <x:v>7.880323322296085</x:v>
      </x:c>
      <x:c r="AC1578" s="10" t="n">
        <x:f>AB1578/'Assumptions'!$AM$64</x:f>
        <x:v>157.60646644592168</x:v>
      </x:c>
      <x:c r="AD1578" s="10" t="n">
        <x:f>IF(AB1578=0,0,T1578/AB1578)</x:f>
        <x:v>111.56031211058203</x:v>
      </x:c>
      <x:c r="AE1578" s="10" t="n">
        <x:f>AA1578*'Assumptions'!$D$21</x:f>
        <x:v>0</x:v>
      </x:c>
    </x:row>
    <x:row r="1579" ht="16" customHeight="1">
      <x:c r="A1579" s="1"/>
      <x:c r="B1579" s="1"/>
      <x:c r="C1579" s="1" t="str">
        <x:v>DOT-036</x:v>
      </x:c>
      <x:c r="D1579" s="10" t="str">
        <x:v>Spindle</x:v>
      </x:c>
      <x:c r="E1579" s="10" t="n">
        <x:v>13</x:v>
      </x:c>
      <x:c r="F1579" s="21" t="n">
        <x:f>F1451*(1+'Assumptions'!$M$65)</x:f>
        <x:v>18.546780761596096</x:v>
      </x:c>
      <x:c r="G1579" s="21" t="n">
        <x:f>H1451*'Assumptions'!$K$65</x:f>
        <x:v>17.488633825798203</x:v>
      </x:c>
      <x:c r="H1579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1579+G1579,NA())</x:f>
        <x:v>36.0354145873943</x:v>
      </x:c>
      <x:c r="I1579" s="22" t="n">
        <x:f>'Assumptions'!$H$65*IF('Assumptions'!$O$65=1,1,'Assumptions'!$D$10)*(1+'Assumptions'!$N$65)^(13-1)</x:f>
        <x:v>252.38011711794655</x:v>
      </x:c>
      <x:c r="J1579" s="10" t="n">
        <x:f>H1579*I1579</x:f>
        <x:v>9094.622153960334</x:v>
      </x:c>
      <x:c r="K1579" s="10" t="n">
        <x:f>J1579*'Assumptions'!$T$65</x:f>
        <x:v>9094.622153960334</x:v>
      </x:c>
      <x:c r="L1579" s="10" t="n">
        <x:f>K1579*'Assumptions'!$U$65</x:f>
        <x:v>272.83866461881</x:v>
      </x:c>
      <x:c r="M1579" s="10" t="n">
        <x:f>K1579*'Assumptions'!$V$65</x:f>
        <x:v>0</x:v>
      </x:c>
      <x:c r="N1579" s="10" t="n">
        <x:f>K1579-L1579-M1579</x:f>
        <x:v>8821.783489341524</x:v>
      </x:c>
      <x:c r="O1579" s="10" t="n">
        <x:f>H1579*'Assumptions'!$P$65*'Assumptions'!$Q$65*'Assumptions'!$D$11*(1+'Assumptions'!$D$13)^(13-1)</x:f>
        <x:v>4110.230772799444</x:v>
      </x:c>
      <x:c r="P1579" s="10" t="n">
        <x:f>H1579*'Assumptions'!$R$65*'Assumptions'!$D$11*(1+'Assumptions'!$D$13)^(13-1)</x:f>
        <x:v>0</x:v>
      </x:c>
      <x:c r="Q1579" s="10" t="n">
        <x:f>J1579*'Assumptions'!$S$65</x:f>
        <x:v>0</x:v>
      </x:c>
      <x:c r="R1579" s="10" t="n">
        <x:f>H1579*'Assumptions'!$Y$65*'Assumptions'!$Z$65*'Assumptions'!$D$11*(1+'Assumptions'!$D$13)^(13-1)</x:f>
        <x:v>385.33413494994784</x:v>
      </x:c>
      <x:c r="S1579" s="10" t="n">
        <x:f>IF(I1579=0,0,J1579*'Assumptions'!$W$65+H1579*'Assumptions'!$X$65)</x:f>
        <x:v>274.554666841068</x:v>
      </x:c>
      <x:c r="T1579" s="10" t="n">
        <x:f>N1579*'Assumptions'!$AA$65</x:f>
        <x:v>352.871339573661</x:v>
      </x:c>
      <x:c r="U1579" s="10" t="n">
        <x:f>'Assumptions'!$AE$65*'Assumptions'!$D$11*(1+'Assumptions'!$D$13)^(13-1)</x:f>
        <x:v>0</x:v>
      </x:c>
      <x:c r="V1579" s="10" t="n">
        <x:f>0</x:f>
        <x:v>0</x:v>
      </x:c>
      <x:c r="W1579" s="10" t="n">
        <x:f>H1579*('Assumptions'!$P$65+'Assumptions'!$Y$65)</x:f>
        <x:v>81.07968282163718</x:v>
      </x:c>
      <x:c r="X1579" s="10" t="n">
        <x:f>N1579/12*'Assumptions'!$AF$65</x:f>
        <x:v>735.1486241117937</x:v>
      </x:c>
      <x:c r="Y1579" s="10" t="n">
        <x:f>P1579/12</x:f>
        <x:v>0</x:v>
      </x:c>
      <x:c r="Z1579" s="10" t="n">
        <x:f>0</x:f>
        <x:v>0</x:v>
      </x:c>
      <x:c r="AA1579" s="10" t="n">
        <x:f>Z1579*'Assumptions'!$AC$65*'Assumptions'!$D$11*(1+'Assumptions'!$D$13)^(13-1)</x:f>
        <x:v>0</x:v>
      </x:c>
      <x:c r="AB1579" s="10" t="n">
        <x:f>F1579/1</x:f>
        <x:v>18.546780761596096</x:v>
      </x:c>
      <x:c r="AC1579" s="10" t="n">
        <x:f>AB1579/'Assumptions'!$AM$65</x:f>
        <x:v>92.73390380798048</x:v>
      </x:c>
      <x:c r="AD1579" s="10" t="n">
        <x:f>IF(AB1579=0,0,T1579/AB1579)</x:f>
        <x:v>19.026015571626008</x:v>
      </x:c>
      <x:c r="AE1579" s="10" t="n">
        <x:f>AA1579*'Assumptions'!$D$21</x:f>
        <x:v>0</x:v>
      </x:c>
    </x:row>
    <x:row r="1580" ht="16" customHeight="1">
      <x:c r="A1580" s="1"/>
      <x:c r="B1580" s="1"/>
      <x:c r="C1580" s="1" t="str">
        <x:v>DOT-037</x:v>
      </x:c>
      <x:c r="D1580" s="10" t="str">
        <x:v>Maison Contour</x:v>
      </x:c>
      <x:c r="E1580" s="10" t="n">
        <x:v>13</x:v>
      </x:c>
      <x:c r="F1580" s="21" t="n">
        <x:f>F1452*(1+'Assumptions'!$M$66)</x:f>
        <x:v>94.56387986755301</x:v>
      </x:c>
      <x:c r="G1580" s="21" t="n">
        <x:f>H1452*'Assumptions'!$K$66</x:f>
        <x:v>197.12097333944104</x:v>
      </x:c>
      <x:c r="H1580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1580+G1580,NA())</x:f>
        <x:v>291.68485320699403</x:v>
      </x:c>
      <x:c r="I1580" s="22" t="n">
        <x:f>'Assumptions'!$H$66*IF('Assumptions'!$O$66=1,1,'Assumptions'!$D$10)*(1+'Assumptions'!$N$66)^(13-1)</x:f>
        <x:v>100.1911017704411</x:v>
      </x:c>
      <x:c r="J1580" s="10" t="n">
        <x:f>H1580*I1580</x:f>
        <x:v>29224.22681255811</x:v>
      </x:c>
      <x:c r="K1580" s="10" t="n">
        <x:f>J1580*'Assumptions'!$T$66</x:f>
        <x:v>29224.22681255811</x:v>
      </x:c>
      <x:c r="L1580" s="10" t="n">
        <x:f>K1580*'Assumptions'!$U$66</x:f>
        <x:v>876.7268043767433</x:v>
      </x:c>
      <x:c r="M1580" s="10" t="n">
        <x:f>K1580*'Assumptions'!$V$66</x:f>
        <x:v>0</x:v>
      </x:c>
      <x:c r="N1580" s="10" t="n">
        <x:f>K1580-L1580-M1580</x:f>
        <x:v>28347.500008181367</x:v>
      </x:c>
      <x:c r="O1580" s="10" t="n">
        <x:f>H1580*'Assumptions'!$P$66*'Assumptions'!$Q$66*'Assumptions'!$D$11*(1+'Assumptions'!$D$13)^(13-1)</x:f>
        <x:v>2183.3324886870073</x:v>
      </x:c>
      <x:c r="P1580" s="10" t="n">
        <x:f>H1580*'Assumptions'!$R$66*'Assumptions'!$D$11*(1+'Assumptions'!$D$13)^(13-1)</x:f>
        <x:v>0</x:v>
      </x:c>
      <x:c r="Q1580" s="10" t="n">
        <x:f>J1580*'Assumptions'!$S$66</x:f>
        <x:v>0</x:v>
      </x:c>
      <x:c r="R1580" s="10" t="n">
        <x:f>H1580*'Assumptions'!$Y$66*'Assumptions'!$Z$66*'Assumptions'!$D$11*(1+'Assumptions'!$D$13)^(13-1)</x:f>
        <x:v>1871.4278474460064</x:v>
      </x:c>
      <x:c r="S1580" s="10" t="n">
        <x:f>IF(I1580=0,0,J1580*'Assumptions'!$W$66+H1580*'Assumptions'!$X$66)</x:f>
        <x:v>935.0080335262835</x:v>
      </x:c>
      <x:c r="T1580" s="10" t="n">
        <x:f>N1580*'Assumptions'!$AA$66</x:f>
        <x:v>1417.3750004090684</x:v>
      </x:c>
      <x:c r="U1580" s="10" t="n">
        <x:f>'Assumptions'!$AE$66*'Assumptions'!$D$11*(1+'Assumptions'!$D$13)^(13-1)</x:f>
        <x:v>171.0913064215415</x:v>
      </x:c>
      <x:c r="V1580" s="10" t="n">
        <x:f>0</x:f>
        <x:v>0</x:v>
      </x:c>
      <x:c r="W1580" s="10" t="n">
        <x:f>H1580*('Assumptions'!$P$66+'Assumptions'!$Y$66)</x:f>
        <x:v>87.50545596209821</x:v>
      </x:c>
      <x:c r="X1580" s="10" t="n">
        <x:f>N1580/12*'Assumptions'!$AF$66</x:f>
        <x:v>0</x:v>
      </x:c>
      <x:c r="Y1580" s="10" t="n">
        <x:f>P1580/12</x:f>
        <x:v>0</x:v>
      </x:c>
      <x:c r="Z1580" s="10" t="n">
        <x:f>0</x:f>
        <x:v>0</x:v>
      </x:c>
      <x:c r="AA1580" s="10" t="n">
        <x:f>Z1580*'Assumptions'!$AC$66*'Assumptions'!$D$11*(1+'Assumptions'!$D$13)^(13-1)</x:f>
        <x:v>0</x:v>
      </x:c>
      <x:c r="AB1580" s="10" t="n">
        <x:f>F1580/12</x:f>
        <x:v>7.880323322296085</x:v>
      </x:c>
      <x:c r="AC1580" s="10" t="n">
        <x:f>AB1580/'Assumptions'!$AM$66</x:f>
        <x:v>157.60646644592168</x:v>
      </x:c>
      <x:c r="AD1580" s="10" t="n">
        <x:f>IF(AB1580=0,0,T1580/AB1580)</x:f>
        <x:v>179.86254401502003</x:v>
      </x:c>
      <x:c r="AE1580" s="10" t="n">
        <x:f>AA1580*'Assumptions'!$D$21</x:f>
        <x:v>0</x:v>
      </x:c>
    </x:row>
    <x:row r="1581" ht="16" customHeight="1">
      <x:c r="A1581" s="1"/>
      <x:c r="B1581" s="1"/>
      <x:c r="C1581" s="1" t="str">
        <x:v>DOT-038</x:v>
      </x:c>
      <x:c r="D1581" s="10" t="str">
        <x:v>Maison Contour</x:v>
      </x:c>
      <x:c r="E1581" s="10" t="n">
        <x:v>13</x:v>
      </x:c>
      <x:c r="F1581" s="21" t="n">
        <x:f>F1453*(1+'Assumptions'!$M$67)</x:f>
        <x:v>18.546780761596096</x:v>
      </x:c>
      <x:c r="G1581" s="21" t="n">
        <x:f>H1453*'Assumptions'!$K$67</x:f>
        <x:v>17.488633825798203</x:v>
      </x:c>
      <x:c r="H1581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1581+G1581,NA())</x:f>
        <x:v>36.0354145873943</x:v>
      </x:c>
      <x:c r="I1581" s="22" t="n">
        <x:f>'Assumptions'!$H$67*IF('Assumptions'!$O$67=1,1,'Assumptions'!$D$10)*(1+'Assumptions'!$N$67)^(13-1)</x:f>
        <x:v>252.38011711794655</x:v>
      </x:c>
      <x:c r="J1581" s="10" t="n">
        <x:f>H1581*I1581</x:f>
        <x:v>9094.622153960334</x:v>
      </x:c>
      <x:c r="K1581" s="10" t="n">
        <x:f>J1581*'Assumptions'!$T$67</x:f>
        <x:v>9094.622153960334</x:v>
      </x:c>
      <x:c r="L1581" s="10" t="n">
        <x:f>K1581*'Assumptions'!$U$67</x:f>
        <x:v>272.83866461881</x:v>
      </x:c>
      <x:c r="M1581" s="10" t="n">
        <x:f>K1581*'Assumptions'!$V$67</x:f>
        <x:v>0</x:v>
      </x:c>
      <x:c r="N1581" s="10" t="n">
        <x:f>K1581-L1581-M1581</x:f>
        <x:v>8821.783489341524</x:v>
      </x:c>
      <x:c r="O1581" s="10" t="n">
        <x:f>H1581*'Assumptions'!$P$67*'Assumptions'!$Q$67*'Assumptions'!$D$11*(1+'Assumptions'!$D$13)^(13-1)</x:f>
        <x:v>4110.230772799444</x:v>
      </x:c>
      <x:c r="P1581" s="10" t="n">
        <x:f>H1581*'Assumptions'!$R$67*'Assumptions'!$D$11*(1+'Assumptions'!$D$13)^(13-1)</x:f>
        <x:v>0</x:v>
      </x:c>
      <x:c r="Q1581" s="10" t="n">
        <x:f>J1581*'Assumptions'!$S$67</x:f>
        <x:v>0</x:v>
      </x:c>
      <x:c r="R1581" s="10" t="n">
        <x:f>H1581*'Assumptions'!$Y$67*'Assumptions'!$Z$67*'Assumptions'!$D$11*(1+'Assumptions'!$D$13)^(13-1)</x:f>
        <x:v>385.33413494994784</x:v>
      </x:c>
      <x:c r="S1581" s="10" t="n">
        <x:f>IF(I1581=0,0,J1581*'Assumptions'!$W$67+H1581*'Assumptions'!$X$67)</x:f>
        <x:v>274.554666841068</x:v>
      </x:c>
      <x:c r="T1581" s="10" t="n">
        <x:f>N1581*'Assumptions'!$AA$67</x:f>
        <x:v>352.871339573661</x:v>
      </x:c>
      <x:c r="U1581" s="10" t="n">
        <x:f>'Assumptions'!$AE$67*'Assumptions'!$D$11*(1+'Assumptions'!$D$13)^(13-1)</x:f>
        <x:v>0</x:v>
      </x:c>
      <x:c r="V1581" s="10" t="n">
        <x:f>0</x:f>
        <x:v>0</x:v>
      </x:c>
      <x:c r="W1581" s="10" t="n">
        <x:f>H1581*('Assumptions'!$P$67+'Assumptions'!$Y$67)</x:f>
        <x:v>81.07968282163718</x:v>
      </x:c>
      <x:c r="X1581" s="10" t="n">
        <x:f>N1581/12*'Assumptions'!$AF$67</x:f>
        <x:v>735.1486241117937</x:v>
      </x:c>
      <x:c r="Y1581" s="10" t="n">
        <x:f>P1581/12</x:f>
        <x:v>0</x:v>
      </x:c>
      <x:c r="Z1581" s="10" t="n">
        <x:f>0</x:f>
        <x:v>0</x:v>
      </x:c>
      <x:c r="AA1581" s="10" t="n">
        <x:f>Z1581*'Assumptions'!$AC$67*'Assumptions'!$D$11*(1+'Assumptions'!$D$13)^(13-1)</x:f>
        <x:v>0</x:v>
      </x:c>
      <x:c r="AB1581" s="10" t="n">
        <x:f>F1581/1</x:f>
        <x:v>18.546780761596096</x:v>
      </x:c>
      <x:c r="AC1581" s="10" t="n">
        <x:f>AB1581/'Assumptions'!$AM$67</x:f>
        <x:v>92.73390380798048</x:v>
      </x:c>
      <x:c r="AD1581" s="10" t="n">
        <x:f>IF(AB1581=0,0,T1581/AB1581)</x:f>
        <x:v>19.026015571626008</x:v>
      </x:c>
      <x:c r="AE1581" s="10" t="n">
        <x:f>AA1581*'Assumptions'!$D$21</x:f>
        <x:v>0</x:v>
      </x:c>
    </x:row>
    <x:row r="1582" ht="16" customHeight="1">
      <x:c r="A1582" s="1"/>
      <x:c r="B1582" s="1"/>
      <x:c r="C1582" s="1" t="str">
        <x:v>DOT-039</x:v>
      </x:c>
      <x:c r="D1582" s="10" t="str">
        <x:v>DishLoom US</x:v>
      </x:c>
      <x:c r="E1582" s="10" t="n">
        <x:v>13</x:v>
      </x:c>
      <x:c r="F1582" s="21" t="n">
        <x:f>F1454*(1+'Assumptions'!$M$68)</x:f>
        <x:v>94.56387986755301</x:v>
      </x:c>
      <x:c r="G1582" s="21" t="n">
        <x:f>H1454*'Assumptions'!$K$68</x:f>
        <x:v>197.12097333944104</x:v>
      </x:c>
      <x:c r="H1582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1582+G1582,NA())</x:f>
        <x:v>291.68485320699403</x:v>
      </x:c>
      <x:c r="I1582" s="22" t="n">
        <x:f>'Assumptions'!$H$68*IF('Assumptions'!$O$68=1,1,'Assumptions'!$D$10)*(1+'Assumptions'!$N$68)^(13-1)</x:f>
        <x:v>49.461429987939276</x:v>
      </x:c>
      <x:c r="J1582" s="10" t="n">
        <x:f>H1582*I1582</x:f>
        <x:v>14427.14994544008</x:v>
      </x:c>
      <x:c r="K1582" s="10" t="n">
        <x:f>J1582*'Assumptions'!$T$68</x:f>
        <x:v>14427.14994544008</x:v>
      </x:c>
      <x:c r="L1582" s="10" t="n">
        <x:f>K1582*'Assumptions'!$U$68</x:f>
        <x:v>432.8144983632024</x:v>
      </x:c>
      <x:c r="M1582" s="10" t="n">
        <x:f>K1582*'Assumptions'!$V$68</x:f>
        <x:v>0</x:v>
      </x:c>
      <x:c r="N1582" s="10" t="n">
        <x:f>K1582-L1582-M1582</x:f>
        <x:v>13994.335447076877</x:v>
      </x:c>
      <x:c r="O1582" s="10" t="n">
        <x:f>H1582*'Assumptions'!$P$68*'Assumptions'!$Q$68*'Assumptions'!$D$11*(1+'Assumptions'!$D$13)^(13-1)</x:f>
        <x:v>2183.3324886870073</x:v>
      </x:c>
      <x:c r="P1582" s="10" t="n">
        <x:f>H1582*'Assumptions'!$R$68*'Assumptions'!$D$11*(1+'Assumptions'!$D$13)^(13-1)</x:f>
        <x:v>0</x:v>
      </x:c>
      <x:c r="Q1582" s="10" t="n">
        <x:f>J1582*'Assumptions'!$S$68</x:f>
        <x:v>0</x:v>
      </x:c>
      <x:c r="R1582" s="10" t="n">
        <x:f>H1582*'Assumptions'!$Y$68*'Assumptions'!$Z$68*'Assumptions'!$D$11*(1+'Assumptions'!$D$13)^(13-1)</x:f>
        <x:v>1871.4278474460064</x:v>
      </x:c>
      <x:c r="S1582" s="10" t="n">
        <x:f>IF(I1582=0,0,J1582*'Assumptions'!$W$68+H1582*'Assumptions'!$X$68)</x:f>
        <x:v>505.89280437986054</x:v>
      </x:c>
      <x:c r="T1582" s="10" t="n">
        <x:f>N1582*'Assumptions'!$AA$68</x:f>
        <x:v>699.7167723538439</x:v>
      </x:c>
      <x:c r="U1582" s="10" t="n">
        <x:f>'Assumptions'!$AE$68*'Assumptions'!$D$11*(1+'Assumptions'!$D$13)^(13-1)</x:f>
        <x:v>171.0913064215415</x:v>
      </x:c>
      <x:c r="V1582" s="10" t="n">
        <x:f>0</x:f>
        <x:v>0</x:v>
      </x:c>
      <x:c r="W1582" s="10" t="n">
        <x:f>H1582*('Assumptions'!$P$68+'Assumptions'!$Y$68)</x:f>
        <x:v>87.50545596209821</x:v>
      </x:c>
      <x:c r="X1582" s="10" t="n">
        <x:f>N1582/12*'Assumptions'!$AF$68</x:f>
        <x:v>0</x:v>
      </x:c>
      <x:c r="Y1582" s="10" t="n">
        <x:f>P1582/12</x:f>
        <x:v>0</x:v>
      </x:c>
      <x:c r="Z1582" s="10" t="n">
        <x:f>0</x:f>
        <x:v>0</x:v>
      </x:c>
      <x:c r="AA1582" s="10" t="n">
        <x:f>Z1582*'Assumptions'!$AC$68*'Assumptions'!$D$11*(1+'Assumptions'!$D$13)^(13-1)</x:f>
        <x:v>0</x:v>
      </x:c>
      <x:c r="AB1582" s="10" t="n">
        <x:f>F1582/12</x:f>
        <x:v>7.880323322296085</x:v>
      </x:c>
      <x:c r="AC1582" s="10" t="n">
        <x:f>AB1582/'Assumptions'!$AM$68</x:f>
        <x:v>157.60646644592168</x:v>
      </x:c>
      <x:c r="AD1582" s="10" t="n">
        <x:f>IF(AB1582=0,0,T1582/AB1582)</x:f>
        <x:v>88.79290147576938</x:v>
      </x:c>
      <x:c r="AE1582" s="10" t="n">
        <x:f>AA1582*'Assumptions'!$D$21</x:f>
        <x:v>0</x:v>
      </x:c>
    </x:row>
    <x:row r="1583" ht="16" customHeight="1">
      <x:c r="A1583" s="1"/>
      <x:c r="B1583" s="1"/>
      <x:c r="C1583" s="1" t="str">
        <x:v>DOT-040</x:v>
      </x:c>
      <x:c r="D1583" s="10" t="str">
        <x:v>DishLoom US</x:v>
      </x:c>
      <x:c r="E1583" s="10" t="n">
        <x:v>13</x:v>
      </x:c>
      <x:c r="F1583" s="21" t="n">
        <x:f>F1455*(1+'Assumptions'!$M$69)</x:f>
        <x:v>189.12775973510603</x:v>
      </x:c>
      <x:c r="G1583" s="21" t="n">
        <x:f>H1455*'Assumptions'!$K$69</x:f>
        <x:v>394.2419466788821</x:v>
      </x:c>
      <x:c r="H1583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1583+G1583,NA())</x:f>
        <x:v>583.3697064139881</x:v>
      </x:c>
      <x:c r="I1583" s="22" t="n">
        <x:f>'Assumptions'!$H$69*IF('Assumptions'!$O$69=1,1,'Assumptions'!$D$10)*(1+'Assumptions'!$N$69)^(13-1)</x:f>
        <x:v>11.41417615106291</x:v>
      </x:c>
      <x:c r="J1583" s="10" t="n">
        <x:f>H1583*I1583</x:f>
        <x:v>6658.684590203114</x:v>
      </x:c>
      <x:c r="K1583" s="10" t="n">
        <x:f>J1583*'Assumptions'!$T$69</x:f>
        <x:v>6658.684590203114</x:v>
      </x:c>
      <x:c r="L1583" s="10" t="n">
        <x:f>K1583*'Assumptions'!$U$69</x:f>
        <x:v>199.7605377060934</x:v>
      </x:c>
      <x:c r="M1583" s="10" t="n">
        <x:f>K1583*'Assumptions'!$V$69</x:f>
        <x:v>0</x:v>
      </x:c>
      <x:c r="N1583" s="10" t="n">
        <x:f>K1583-L1583-M1583</x:f>
        <x:v>6458.92405249702</x:v>
      </x:c>
      <x:c r="O1583" s="10" t="n">
        <x:f>H1583*'Assumptions'!$P$69*'Assumptions'!$Q$69*'Assumptions'!$D$11*(1+'Assumptions'!$D$13)^(13-1)</x:f>
        <x:v>1455.554992458005</x:v>
      </x:c>
      <x:c r="P1583" s="10" t="n">
        <x:f>H1583*'Assumptions'!$R$69*'Assumptions'!$D$11*(1+'Assumptions'!$D$13)^(13-1)</x:f>
        <x:v>0</x:v>
      </x:c>
      <x:c r="Q1583" s="10" t="n">
        <x:f>J1583*'Assumptions'!$S$69</x:f>
        <x:v>0</x:v>
      </x:c>
      <x:c r="R1583" s="10" t="n">
        <x:f>H1583*'Assumptions'!$Y$69*'Assumptions'!$Z$69*'Assumptions'!$D$11*(1+'Assumptions'!$D$13)^(13-1)</x:f>
        <x:v>3742.8556948920127</x:v>
      </x:c>
      <x:c r="S1583" s="10" t="n">
        <x:f>IF(I1583=0,0,J1583*'Assumptions'!$W$69+H1583*'Assumptions'!$X$69)</x:f>
        <x:v>368.11276504008674</x:v>
      </x:c>
      <x:c r="T1583" s="10" t="n">
        <x:f>N1583*'Assumptions'!$AA$69</x:f>
        <x:v>322.946202624851</x:v>
      </x:c>
      <x:c r="U1583" s="10" t="n">
        <x:f>'Assumptions'!$AE$69*'Assumptions'!$D$11*(1+'Assumptions'!$D$13)^(13-1)</x:f>
        <x:v>0</x:v>
      </x:c>
      <x:c r="V1583" s="10" t="n">
        <x:f>0</x:f>
        <x:v>0</x:v>
      </x:c>
      <x:c r="W1583" s="10" t="n">
        <x:f>H1583*('Assumptions'!$P$69+'Assumptions'!$Y$69)</x:f>
        <x:v>116.67394128279761</x:v>
      </x:c>
      <x:c r="X1583" s="10" t="n">
        <x:f>N1583/12*'Assumptions'!$AF$69</x:f>
        <x:v>0</x:v>
      </x:c>
      <x:c r="Y1583" s="10" t="n">
        <x:f>P1583/12</x:f>
        <x:v>0</x:v>
      </x:c>
      <x:c r="Z1583" s="10" t="n">
        <x:f>0</x:f>
        <x:v>0</x:v>
      </x:c>
      <x:c r="AA1583" s="10" t="n">
        <x:f>Z1583*'Assumptions'!$AC$69*'Assumptions'!$D$11*(1+'Assumptions'!$D$13)^(13-1)</x:f>
        <x:v>0</x:v>
      </x:c>
      <x:c r="AB1583" s="10" t="n">
        <x:f>F1583/1</x:f>
        <x:v>189.12775973510603</x:v>
      </x:c>
      <x:c r="AC1583" s="10" t="n">
        <x:f>AB1583/'Assumptions'!$AM$69</x:f>
        <x:v>3782.5551947021204</x:v>
      </x:c>
      <x:c r="AD1583" s="10" t="n">
        <x:f>IF(AB1583=0,0,T1583/AB1583)</x:f>
        <x:v>1.7075557976109497</x:v>
      </x:c>
      <x:c r="AE1583" s="10" t="n">
        <x:f>AA1583*'Assumptions'!$D$21</x:f>
        <x:v>0</x:v>
      </x:c>
    </x:row>
    <x:row r="1584" ht="16" customHeight="1">
      <x:c r="A1584" s="1"/>
      <x:c r="B1584" s="1"/>
      <x:c r="C1584" s="1" t="str">
        <x:v>DOT-041</x:v>
      </x:c>
      <x:c r="D1584" s="10" t="str">
        <x:v>DishLoom US</x:v>
      </x:c>
      <x:c r="E1584" s="10" t="n">
        <x:v>13</x:v>
      </x:c>
      <x:c r="F1584" s="21" t="n">
        <x:f>F1456*(1+'Assumptions'!$M$70)</x:f>
        <x:v>236.40969966888255</x:v>
      </x:c>
      <x:c r="G1584" s="21" t="n">
        <x:f>H1456*'Assumptions'!$K$70</x:f>
        <x:v>492.8024333486025</x:v>
      </x:c>
      <x:c r="H1584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1584+G1584,NA())</x:f>
        <x:v>729.212133017485</x:v>
      </x:c>
      <x:c r="I1584" s="22" t="n">
        <x:f>'Assumptions'!$H$70*IF('Assumptions'!$O$70=1,1,'Assumptions'!$D$10)*(1+'Assumptions'!$N$70)^(13-1)</x:f>
        <x:v>126.82417945625456</x:v>
      </x:c>
      <x:c r="J1584" s="10" t="n">
        <x:f>H1584*I1584</x:f>
        <x:v>92481.73041948769</x:v>
      </x:c>
      <x:c r="K1584" s="10" t="n">
        <x:f>J1584*'Assumptions'!$T$70</x:f>
        <x:v>13872.259562923153</x:v>
      </x:c>
      <x:c r="L1584" s="10" t="n">
        <x:f>K1584*'Assumptions'!$U$70</x:f>
        <x:v>416.16778688769455</x:v>
      </x:c>
      <x:c r="M1584" s="10" t="n">
        <x:f>K1584*'Assumptions'!$V$70</x:f>
        <x:v>0</x:v>
      </x:c>
      <x:c r="N1584" s="10" t="n">
        <x:f>K1584-L1584-M1584</x:f>
        <x:v>13456.091776035459</x:v>
      </x:c>
      <x:c r="O1584" s="10" t="n">
        <x:f>H1584*'Assumptions'!$P$70*'Assumptions'!$Q$70*'Assumptions'!$D$11*(1+'Assumptions'!$D$13)^(13-1)</x:f>
        <x:v>3638.8874811450123</x:v>
      </x:c>
      <x:c r="P1584" s="10" t="n">
        <x:f>H1584*'Assumptions'!$R$70*'Assumptions'!$D$11*(1+'Assumptions'!$D$13)^(13-1)</x:f>
        <x:v>0</x:v>
      </x:c>
      <x:c r="Q1584" s="10" t="n">
        <x:f>J1584*'Assumptions'!$S$70</x:f>
        <x:v>0</x:v>
      </x:c>
      <x:c r="R1584" s="10" t="n">
        <x:f>H1584*'Assumptions'!$Y$70*'Assumptions'!$Z$70*'Assumptions'!$D$11*(1+'Assumptions'!$D$13)^(13-1)</x:f>
        <x:v>4678.569618615016</x:v>
      </x:c>
      <x:c r="S1584" s="10" t="n">
        <x:f>IF(I1584=0,0,J1584*'Assumptions'!$W$70+H1584*'Assumptions'!$X$70)</x:f>
        <x:v>2900.7338220703887</x:v>
      </x:c>
      <x:c r="T1584" s="10" t="n">
        <x:f>N1584*'Assumptions'!$AA$70</x:f>
        <x:v>672.804588801773</x:v>
      </x:c>
      <x:c r="U1584" s="10" t="n">
        <x:f>'Assumptions'!$AE$70*'Assumptions'!$D$11*(1+'Assumptions'!$D$13)^(13-1)</x:f>
        <x:v>0</x:v>
      </x:c>
      <x:c r="V1584" s="10" t="n">
        <x:f>0</x:f>
        <x:v>0</x:v>
      </x:c>
      <x:c r="W1584" s="10" t="n">
        <x:f>H1584*('Assumptions'!$P$70+'Assumptions'!$Y$70)</x:f>
        <x:v>182.30303325437126</x:v>
      </x:c>
      <x:c r="X1584" s="10" t="n">
        <x:f>N1584/12*'Assumptions'!$AF$70</x:f>
        <x:v>0</x:v>
      </x:c>
      <x:c r="Y1584" s="10" t="n">
        <x:f>P1584/12</x:f>
        <x:v>0</x:v>
      </x:c>
      <x:c r="Z1584" s="10" t="n">
        <x:f>0</x:f>
        <x:v>0</x:v>
      </x:c>
      <x:c r="AA1584" s="10" t="n">
        <x:f>Z1584*'Assumptions'!$AC$70*'Assumptions'!$D$11*(1+'Assumptions'!$D$13)^(13-1)</x:f>
        <x:v>0</x:v>
      </x:c>
      <x:c r="AB1584" s="10" t="n">
        <x:f>F1584/1</x:f>
        <x:v>236.40969966888255</x:v>
      </x:c>
      <x:c r="AC1584" s="10" t="n">
        <x:f>AB1584/'Assumptions'!$AM$70</x:f>
        <x:v>4728.193993377651</x:v>
      </x:c>
      <x:c r="AD1584" s="10" t="n">
        <x:f>IF(AB1584=0,0,T1584/AB1584)</x:f>
        <x:v>2.8459263293515824</x:v>
      </x:c>
      <x:c r="AE1584" s="10" t="n">
        <x:f>AA1584*'Assumptions'!$D$21</x:f>
        <x:v>0</x:v>
      </x:c>
    </x:row>
    <x:row r="1585" ht="16" customHeight="1">
      <x:c r="A1585" s="1"/>
      <x:c r="B1585" s="1"/>
      <x:c r="C1585" s="1" t="str">
        <x:v>DOT-042</x:v>
      </x:c>
      <x:c r="D1585" s="10" t="str">
        <x:v>Is Makes Travel Easy</x:v>
      </x:c>
      <x:c r="E1585" s="10" t="n">
        <x:v>13</x:v>
      </x:c>
      <x:c r="F1585" s="21" t="n">
        <x:f>F1457*(1+'Assumptions'!$M$71)</x:f>
        <x:v>283.69163960265894</x:v>
      </x:c>
      <x:c r="G1585" s="21" t="n">
        <x:f>H1457*'Assumptions'!$K$71</x:f>
        <x:v>592.6086358664129</x:v>
      </x:c>
      <x:c r="H1585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1585+G1585,NA())</x:f>
        <x:v>876.3002754690718</x:v>
      </x:c>
      <x:c r="I1585" s="22" t="n">
        <x:f>'Assumptions'!$H$71*IF('Assumptions'!$O$71=1,1,'Assumptions'!$D$10)*(1+'Assumptions'!$N$71)^(13-1)</x:f>
        <x:v>36.779012042313816</x:v>
      </x:c>
      <x:c r="J1585" s="10" t="n">
        <x:f>H1585*I1585</x:f>
        <x:v>32229.45838415991</x:v>
      </x:c>
      <x:c r="K1585" s="10" t="n">
        <x:f>J1585*'Assumptions'!$T$71</x:f>
        <x:v>32229.45838415991</x:v>
      </x:c>
      <x:c r="L1585" s="10" t="n">
        <x:f>K1585*'Assumptions'!$U$71</x:f>
        <x:v>966.8837515247973</x:v>
      </x:c>
      <x:c r="M1585" s="10" t="n">
        <x:f>K1585*'Assumptions'!$V$71</x:f>
        <x:v>0</x:v>
      </x:c>
      <x:c r="N1585" s="10" t="n">
        <x:f>K1585-L1585-M1585</x:f>
        <x:v>31262.57463263511</x:v>
      </x:c>
      <x:c r="O1585" s="10" t="n">
        <x:f>H1585*'Assumptions'!$P$71*'Assumptions'!$Q$71*'Assumptions'!$D$11*(1+'Assumptions'!$D$13)^(13-1)</x:f>
        <x:v>4372.881302637173</x:v>
      </x:c>
      <x:c r="P1585" s="10" t="n">
        <x:f>H1585*'Assumptions'!$R$71*'Assumptions'!$D$11*(1+'Assumptions'!$D$13)^(13-1)</x:f>
        <x:v>0</x:v>
      </x:c>
      <x:c r="Q1585" s="10" t="n">
        <x:f>J1585*'Assumptions'!$S$71</x:f>
        <x:v>0</x:v>
      </x:c>
      <x:c r="R1585" s="10" t="n">
        <x:f>H1585*'Assumptions'!$Y$71*'Assumptions'!$Z$71*'Assumptions'!$D$11*(1+'Assumptions'!$D$13)^(13-1)</x:f>
        <x:v>5622.275960533507</x:v>
      </x:c>
      <x:c r="S1585" s="10" t="n">
        <x:f>IF(I1585=0,0,J1585*'Assumptions'!$W$71+H1585*'Assumptions'!$X$71)</x:f>
        <x:v>1197.544375781359</x:v>
      </x:c>
      <x:c r="T1585" s="10" t="n">
        <x:f>N1585*'Assumptions'!$AA$71</x:f>
        <x:v>1563.1287316317557</x:v>
      </x:c>
      <x:c r="U1585" s="10" t="n">
        <x:f>'Assumptions'!$AE$71*'Assumptions'!$D$11*(1+'Assumptions'!$D$13)^(13-1)</x:f>
        <x:v>342.182612843083</x:v>
      </x:c>
      <x:c r="V1585" s="10" t="n">
        <x:f>0</x:f>
        <x:v>0</x:v>
      </x:c>
      <x:c r="W1585" s="10" t="n">
        <x:f>H1585*('Assumptions'!$P$71+'Assumptions'!$Y$71)</x:f>
        <x:v>219.07506886726796</x:v>
      </x:c>
      <x:c r="X1585" s="10" t="n">
        <x:f>N1585/12*'Assumptions'!$AF$71</x:f>
        <x:v>0</x:v>
      </x:c>
      <x:c r="Y1585" s="10" t="n">
        <x:f>P1585/12</x:f>
        <x:v>0</x:v>
      </x:c>
      <x:c r="Z1585" s="10" t="n">
        <x:f>0</x:f>
        <x:v>0</x:v>
      </x:c>
      <x:c r="AA1585" s="10" t="n">
        <x:f>Z1585*'Assumptions'!$AC$71*'Assumptions'!$D$11*(1+'Assumptions'!$D$13)^(13-1)</x:f>
        <x:v>0</x:v>
      </x:c>
      <x:c r="AB1585" s="10" t="n">
        <x:f>F1585/1</x:f>
        <x:v>283.69163960265894</x:v>
      </x:c>
      <x:c r="AC1585" s="10" t="n">
        <x:f>AB1585/'Assumptions'!$AM$71</x:f>
        <x:v>5673.832792053178</x:v>
      </x:c>
      <x:c r="AD1585" s="10" t="n">
        <x:f>IF(AB1585=0,0,T1585/AB1585)</x:f>
        <x:v>5.509956986469844</x:v>
      </x:c>
      <x:c r="AE1585" s="10" t="n">
        <x:f>AA1585*'Assumptions'!$D$21</x:f>
        <x:v>0</x:v>
      </x:c>
    </x:row>
    <x:row r="1586" ht="16" customHeight="1">
      <x:c r="A1586" s="1"/>
      <x:c r="B1586" s="1"/>
      <x:c r="C1586" s="1" t="str">
        <x:v>DOT-043</x:v>
      </x:c>
      <x:c r="D1586" s="10" t="str">
        <x:v>Is Makes Travel Easy</x:v>
      </x:c>
      <x:c r="E1586" s="10" t="n">
        <x:v>13</x:v>
      </x:c>
      <x:c r="F1586" s="21" t="n">
        <x:f>F1458*(1+'Assumptions'!$M$72)</x:f>
        <x:v>141.84581980132947</x:v>
      </x:c>
      <x:c r="G1586" s="21" t="n">
        <x:f>H1458*'Assumptions'!$K$72</x:f>
        <x:v>296.30431793320645</x:v>
      </x:c>
      <x:c r="H1586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1586+G1586,NA())</x:f>
        <x:v>438.1501377345359</x:v>
      </x:c>
      <x:c r="I1586" s="22" t="n">
        <x:f>'Assumptions'!$H$72*IF('Assumptions'!$O$72=1,1,'Assumptions'!$D$10)*(1+'Assumptions'!$N$72)^(13-1)</x:f>
        <x:v>24.096594096688364</x:v>
      </x:c>
      <x:c r="J1586" s="10" t="n">
        <x:f>H1586*I1586</x:f>
        <x:v>10557.926022397212</x:v>
      </x:c>
      <x:c r="K1586" s="10" t="n">
        <x:f>J1586*'Assumptions'!$T$72</x:f>
        <x:v>10557.926022397212</x:v>
      </x:c>
      <x:c r="L1586" s="10" t="n">
        <x:f>K1586*'Assumptions'!$U$72</x:f>
        <x:v>316.73778067191637</x:v>
      </x:c>
      <x:c r="M1586" s="10" t="n">
        <x:f>K1586*'Assumptions'!$V$72</x:f>
        <x:v>0</x:v>
      </x:c>
      <x:c r="N1586" s="10" t="n">
        <x:f>K1586-L1586-M1586</x:f>
        <x:v>10241.188241725296</x:v>
      </x:c>
      <x:c r="O1586" s="10" t="n">
        <x:f>H1586*'Assumptions'!$P$72*'Assumptions'!$Q$72*'Assumptions'!$D$11*(1+'Assumptions'!$D$13)^(13-1)</x:f>
        <x:v>2186.4406513185863</x:v>
      </x:c>
      <x:c r="P1586" s="10" t="n">
        <x:f>H1586*'Assumptions'!$R$72*'Assumptions'!$D$11*(1+'Assumptions'!$D$13)^(13-1)</x:f>
        <x:v>0</x:v>
      </x:c>
      <x:c r="Q1586" s="10" t="n">
        <x:f>J1586*'Assumptions'!$S$72</x:f>
        <x:v>0</x:v>
      </x:c>
      <x:c r="R1586" s="10" t="n">
        <x:f>H1586*'Assumptions'!$Y$72*'Assumptions'!$Z$72*'Assumptions'!$D$11*(1+'Assumptions'!$D$13)^(13-1)</x:f>
        <x:v>2811.1379802667534</x:v>
      </x:c>
      <x:c r="S1586" s="10" t="n">
        <x:f>IF(I1586=0,0,J1586*'Assumptions'!$W$72+H1586*'Assumptions'!$X$72)</x:f>
        <x:v>437.62489596987996</x:v>
      </x:c>
      <x:c r="T1586" s="10" t="n">
        <x:f>N1586*'Assumptions'!$AA$72</x:f>
        <x:v>512.0594120862648</x:v>
      </x:c>
      <x:c r="U1586" s="10" t="n">
        <x:f>'Assumptions'!$AE$72*'Assumptions'!$D$11*(1+'Assumptions'!$D$13)^(13-1)</x:f>
        <x:v>0</x:v>
      </x:c>
      <x:c r="V1586" s="10" t="n">
        <x:f>0</x:f>
        <x:v>0</x:v>
      </x:c>
      <x:c r="W1586" s="10" t="n">
        <x:f>H1586*('Assumptions'!$P$72+'Assumptions'!$Y$72)</x:f>
        <x:v>109.53753443363398</x:v>
      </x:c>
      <x:c r="X1586" s="10" t="n">
        <x:f>N1586/12*'Assumptions'!$AF$72</x:f>
        <x:v>0</x:v>
      </x:c>
      <x:c r="Y1586" s="10" t="n">
        <x:f>P1586/12</x:f>
        <x:v>0</x:v>
      </x:c>
      <x:c r="Z1586" s="10" t="n">
        <x:f>0</x:f>
        <x:v>0</x:v>
      </x:c>
      <x:c r="AA1586" s="10" t="n">
        <x:f>Z1586*'Assumptions'!$AC$72*'Assumptions'!$D$11*(1+'Assumptions'!$D$13)^(13-1)</x:f>
        <x:v>0</x:v>
      </x:c>
      <x:c r="AB1586" s="10" t="n">
        <x:f>F1586/12</x:f>
        <x:v>11.820484983444123</x:v>
      </x:c>
      <x:c r="AC1586" s="10" t="n">
        <x:f>AB1586/'Assumptions'!$AM$72</x:f>
        <x:v>236.40969966888244</x:v>
      </x:c>
      <x:c r="AD1586" s="10" t="n">
        <x:f>IF(AB1586=0,0,T1586/AB1586)</x:f>
        <x:v>43.31966182465946</x:v>
      </x:c>
      <x:c r="AE1586" s="10" t="n">
        <x:f>AA1586*'Assumptions'!$D$21</x:f>
        <x:v>0</x:v>
      </x:c>
    </x:row>
    <x:row r="1587" ht="16" customHeight="1">
      <x:c r="A1587" s="1"/>
      <x:c r="B1587" s="1"/>
      <x:c r="C1587" s="1" t="str">
        <x:v>DOT-044</x:v>
      </x:c>
      <x:c r="D1587" s="10" t="str">
        <x:v>Is Makes Travel Easy</x:v>
      </x:c>
      <x:c r="E1587" s="10" t="n">
        <x:v>13</x:v>
      </x:c>
      <x:c r="F1587" s="21" t="n">
        <x:f>F1459*(1+'Assumptions'!$M$73)</x:f>
        <x:v>57.86595597617983</x:v>
      </x:c>
      <x:c r="G1587" s="21" t="n">
        <x:f>H1459*'Assumptions'!$K$73</x:f>
        <x:v>29.78342078998893</x:v>
      </x:c>
      <x:c r="H1587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1587+G1587,NA())</x:f>
        <x:v>87.64937676616876</x:v>
      </x:c>
      <x:c r="I1587" s="22" t="n">
        <x:f>'Assumptions'!$H$73*IF('Assumptions'!$O$73=1,1,'Assumptions'!$D$10)*(1+'Assumptions'!$N$73)^(13-1)</x:f>
        <x:v>62.14384793356473</x:v>
      </x:c>
      <x:c r="J1587" s="10" t="n">
        <x:f>H1587*I1587</x:f>
        <x:v>5446.869541228512</x:v>
      </x:c>
      <x:c r="K1587" s="10" t="n">
        <x:f>J1587*'Assumptions'!$T$73</x:f>
        <x:v>5446.869541228512</x:v>
      </x:c>
      <x:c r="L1587" s="10" t="n">
        <x:f>K1587*'Assumptions'!$U$73</x:f>
        <x:v>163.40608623685537</x:v>
      </x:c>
      <x:c r="M1587" s="10" t="n">
        <x:f>K1587*'Assumptions'!$V$73</x:f>
        <x:v>0</x:v>
      </x:c>
      <x:c r="N1587" s="10" t="n">
        <x:f>K1587-L1587-M1587</x:f>
        <x:v>5283.463454991657</x:v>
      </x:c>
      <x:c r="O1587" s="10" t="n">
        <x:f>H1587*'Assumptions'!$P$73*'Assumptions'!$Q$73*'Assumptions'!$D$11*(1+'Assumptions'!$D$13)^(13-1)</x:f>
        <x:v>1093.4617150594172</x:v>
      </x:c>
      <x:c r="P1587" s="10" t="n">
        <x:f>H1587*'Assumptions'!$R$73*'Assumptions'!$D$11*(1+'Assumptions'!$D$13)^(13-1)</x:f>
        <x:v>0</x:v>
      </x:c>
      <x:c r="Q1587" s="10" t="n">
        <x:f>J1587*'Assumptions'!$S$73</x:f>
        <x:v>0</x:v>
      </x:c>
      <x:c r="R1587" s="10" t="n">
        <x:f>H1587*'Assumptions'!$Y$73*'Assumptions'!$Z$73*'Assumptions'!$D$11*(1+'Assumptions'!$D$13)^(13-1)</x:f>
        <x:v>1874.5057972447153</x:v>
      </x:c>
      <x:c r="S1587" s="10" t="n">
        <x:f>IF(I1587=0,0,J1587*'Assumptions'!$W$73+H1587*'Assumptions'!$X$73)</x:f>
        <x:v>184.2540297254775</x:v>
      </x:c>
      <x:c r="T1587" s="10" t="n">
        <x:f>N1587*'Assumptions'!$AA$73</x:f>
        <x:v>422.6770763993326</x:v>
      </x:c>
      <x:c r="U1587" s="10" t="n">
        <x:f>'Assumptions'!$AE$73*'Assumptions'!$D$11*(1+'Assumptions'!$D$13)^(13-1)</x:f>
        <x:v>0</x:v>
      </x:c>
      <x:c r="V1587" s="10" t="n">
        <x:f>0</x:f>
        <x:v>0</x:v>
      </x:c>
      <x:c r="W1587" s="10" t="n">
        <x:f>H1587*('Assumptions'!$P$73+'Assumptions'!$Y$73)</x:f>
        <x:v>65.73703257462657</x:v>
      </x:c>
      <x:c r="X1587" s="10" t="n">
        <x:f>N1587/12*'Assumptions'!$AF$73</x:f>
        <x:v>440.28862124930475</x:v>
      </x:c>
      <x:c r="Y1587" s="10" t="n">
        <x:f>P1587/12</x:f>
        <x:v>0</x:v>
      </x:c>
      <x:c r="Z1587" s="10" t="n">
        <x:f>0</x:f>
        <x:v>0</x:v>
      </x:c>
      <x:c r="AA1587" s="10" t="n">
        <x:f>Z1587*'Assumptions'!$AC$73*'Assumptions'!$D$11*(1+'Assumptions'!$D$13)^(13-1)</x:f>
        <x:v>0</x:v>
      </x:c>
      <x:c r="AB1587" s="10" t="n">
        <x:f>F1587/1</x:f>
        <x:v>57.86595597617983</x:v>
      </x:c>
      <x:c r="AC1587" s="10" t="n">
        <x:f>AB1587/'Assumptions'!$AM$73</x:f>
        <x:v>578.6595597617983</x:v>
      </x:c>
      <x:c r="AD1587" s="10" t="n">
        <x:f>IF(AB1587=0,0,T1587/AB1587)</x:f>
        <x:v>7.304417066458299</x:v>
      </x:c>
      <x:c r="AE1587" s="10" t="n">
        <x:f>AA1587*'Assumptions'!$D$21</x:f>
        <x:v>0</x:v>
      </x:c>
    </x:row>
    <x:row r="1588" ht="16" customHeight="1">
      <x:c r="A1588" s="1"/>
      <x:c r="B1588" s="1"/>
      <x:c r="C1588" s="1" t="str">
        <x:v>DOT-045</x:v>
      </x:c>
      <x:c r="D1588" s="10" t="str">
        <x:v>Is Makes Travel Easy</x:v>
      </x:c>
      <x:c r="E1588" s="10" t="n">
        <x:v>13</x:v>
      </x:c>
      <x:c r="F1588" s="21" t="n">
        <x:f>F1460*(1+'Assumptions'!$M$74)</x:f>
        <x:v>189.12775973510603</x:v>
      </x:c>
      <x:c r="G1588" s="21" t="n">
        <x:f>H1460*'Assumptions'!$K$74</x:f>
        <x:v>395.072423910942</x:v>
      </x:c>
      <x:c r="H1588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1588+G1588,NA())</x:f>
        <x:v>584.200183646048</x:v>
      </x:c>
      <x:c r="I1588" s="22" t="n">
        <x:f>'Assumptions'!$H$74*IF('Assumptions'!$O$74=1,1,'Assumptions'!$D$10)*(1+'Assumptions'!$N$74)^(13-1)</x:f>
        <x:v>190.23626918438183</x:v>
      </x:c>
      <x:c r="J1588" s="10" t="n">
        <x:f>H1588*I1588</x:f>
        <x:v>111136.06339365488</x:v>
      </x:c>
      <x:c r="K1588" s="10" t="n">
        <x:f>J1588*'Assumptions'!$T$74</x:f>
        <x:v>11113.60633936549</x:v>
      </x:c>
      <x:c r="L1588" s="10" t="n">
        <x:f>K1588*'Assumptions'!$U$74</x:f>
        <x:v>333.40819018096465</x:v>
      </x:c>
      <x:c r="M1588" s="10" t="n">
        <x:f>K1588*'Assumptions'!$V$74</x:f>
        <x:v>0</x:v>
      </x:c>
      <x:c r="N1588" s="10" t="n">
        <x:f>K1588-L1588-M1588</x:f>
        <x:v>10780.198149184525</x:v>
      </x:c>
      <x:c r="O1588" s="10" t="n">
        <x:f>H1588*'Assumptions'!$P$74*'Assumptions'!$Q$74*'Assumptions'!$D$11*(1+'Assumptions'!$D$13)^(13-1)</x:f>
        <x:v>2915.254201758116</x:v>
      </x:c>
      <x:c r="P1588" s="10" t="n">
        <x:f>H1588*'Assumptions'!$R$74*'Assumptions'!$D$11*(1+'Assumptions'!$D$13)^(13-1)</x:f>
        <x:v>0</x:v>
      </x:c>
      <x:c r="Q1588" s="10" t="n">
        <x:f>J1588*'Assumptions'!$S$74</x:f>
        <x:v>0</x:v>
      </x:c>
      <x:c r="R1588" s="10" t="n">
        <x:f>H1588*'Assumptions'!$Y$74*'Assumptions'!$Z$74*'Assumptions'!$D$11*(1+'Assumptions'!$D$13)^(13-1)</x:f>
        <x:v>3748.1839736890056</x:v>
      </x:c>
      <x:c r="S1588" s="10" t="n">
        <x:f>IF(I1588=0,0,J1588*'Assumptions'!$W$74+H1588*'Assumptions'!$X$74)</x:f>
        <x:v>3398.205893509806</x:v>
      </x:c>
      <x:c r="T1588" s="10" t="n">
        <x:f>N1588*'Assumptions'!$AA$74</x:f>
        <x:v>539.0099074592263</x:v>
      </x:c>
      <x:c r="U1588" s="10" t="n">
        <x:f>'Assumptions'!$AE$74*'Assumptions'!$D$11*(1+'Assumptions'!$D$13)^(13-1)</x:f>
        <x:v>0</x:v>
      </x:c>
      <x:c r="V1588" s="10" t="n">
        <x:f>0</x:f>
        <x:v>0</x:v>
      </x:c>
      <x:c r="W1588" s="10" t="n">
        <x:f>H1588*('Assumptions'!$P$74+'Assumptions'!$Y$74)</x:f>
        <x:v>146.050045911512</x:v>
      </x:c>
      <x:c r="X1588" s="10" t="n">
        <x:f>N1588/12*'Assumptions'!$AF$74</x:f>
        <x:v>0</x:v>
      </x:c>
      <x:c r="Y1588" s="10" t="n">
        <x:f>P1588/12</x:f>
        <x:v>0</x:v>
      </x:c>
      <x:c r="Z1588" s="10" t="n">
        <x:f>0</x:f>
        <x:v>0</x:v>
      </x:c>
      <x:c r="AA1588" s="10" t="n">
        <x:f>Z1588*'Assumptions'!$AC$74*'Assumptions'!$D$11*(1+'Assumptions'!$D$13)^(13-1)</x:f>
        <x:v>0</x:v>
      </x:c>
      <x:c r="AB1588" s="10" t="n">
        <x:f>F1588/1</x:f>
        <x:v>189.12775973510603</x:v>
      </x:c>
      <x:c r="AC1588" s="10" t="n">
        <x:f>AB1588/'Assumptions'!$AM$74</x:f>
        <x:v>3782.5551947021204</x:v>
      </x:c>
      <x:c r="AD1588" s="10" t="n">
        <x:f>IF(AB1588=0,0,T1588/AB1588)</x:f>
        <x:v>2.849977751622333</x:v>
      </x:c>
      <x:c r="AE1588" s="10" t="n">
        <x:f>AA1588*'Assumptions'!$D$21</x:f>
        <x:v>0</x:v>
      </x:c>
    </x:row>
    <x:row r="1589" ht="16" customHeight="1">
      <x:c r="A1589" s="1"/>
      <x:c r="B1589" s="1"/>
      <x:c r="C1589" s="1" t="str">
        <x:v>DOT-046</x:v>
      </x:c>
      <x:c r="D1589" s="10" t="str">
        <x:v>Turbo Tax - Made Easy!</x:v>
      </x:c>
      <x:c r="E1589" s="10" t="n">
        <x:v>13</x:v>
      </x:c>
      <x:c r="F1589" s="21" t="n">
        <x:f>F1461*(1+'Assumptions'!$M$75)</x:f>
        <x:v>498.5074776734886</x:v>
      </x:c>
      <x:c r="G1589" s="21" t="n">
        <x:f>H1461*'Assumptions'!$K$75</x:f>
        <x:v>159.77777886801988</x:v>
      </x:c>
      <x:c r="H1589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1589+G1589,NA())</x:f>
        <x:v>658.2852565415085</x:v>
      </x:c>
      <x:c r="I1589" s="22" t="n">
        <x:f>'Assumptions'!$H$75*IF('Assumptions'!$O$75=1,1,'Assumptions'!$D$10)*(1+'Assumptions'!$N$75)^(13-1)</x:f>
        <x:v>149</x:v>
      </x:c>
      <x:c r="J1589" s="10" t="n">
        <x:f>H1589*I1589</x:f>
        <x:v>98084.50322468477</x:v>
      </x:c>
      <x:c r="K1589" s="10" t="n">
        <x:f>J1589*'Assumptions'!$T$75</x:f>
        <x:v>98084.50322468477</x:v>
      </x:c>
      <x:c r="L1589" s="10" t="n">
        <x:f>K1589*'Assumptions'!$U$75</x:f>
        <x:v>2942.535096740543</x:v>
      </x:c>
      <x:c r="M1589" s="10" t="n">
        <x:f>K1589*'Assumptions'!$V$75</x:f>
        <x:v>0</x:v>
      </x:c>
      <x:c r="N1589" s="10" t="n">
        <x:f>K1589-L1589-M1589</x:f>
        <x:v>95141.96812794423</x:v>
      </x:c>
      <x:c r="O1589" s="10" t="n">
        <x:f>H1589*'Assumptions'!$P$75*'Assumptions'!$Q$75*'Assumptions'!$D$11*(1+'Assumptions'!$D$13)^(13-1)</x:f>
        <x:v>4927.426198613025</x:v>
      </x:c>
      <x:c r="P1589" s="10" t="n">
        <x:f>H1589*'Assumptions'!$R$75*'Assumptions'!$D$11*(1+'Assumptions'!$D$13)^(13-1)</x:f>
        <x:v>0</x:v>
      </x:c>
      <x:c r="Q1589" s="10" t="n">
        <x:f>J1589*'Assumptions'!$S$75</x:f>
        <x:v>0</x:v>
      </x:c>
      <x:c r="R1589" s="10" t="n">
        <x:f>H1589*'Assumptions'!$Y$75*'Assumptions'!$Z$75*'Assumptions'!$D$11*(1+'Assumptions'!$D$13)^(13-1)</x:f>
        <x:v>2815.672113493157</x:v>
      </x:c>
      <x:c r="S1589" s="10" t="n">
        <x:f>IF(I1589=0,0,J1589*'Assumptions'!$W$75+H1589*'Assumptions'!$X$75)</x:f>
        <x:v>3041.936170478311</x:v>
      </x:c>
      <x:c r="T1589" s="10" t="n">
        <x:f>N1589*'Assumptions'!$AA$75</x:f>
        <x:v>4757.098406397212</x:v>
      </x:c>
      <x:c r="U1589" s="10" t="n">
        <x:f>'Assumptions'!$AE$75*'Assumptions'!$D$11*(1+'Assumptions'!$D$13)^(13-1)</x:f>
        <x:v>0</x:v>
      </x:c>
      <x:c r="V1589" s="10" t="n">
        <x:f>0</x:f>
        <x:v>0</x:v>
      </x:c>
      <x:c r="W1589" s="10" t="n">
        <x:f>H1589*('Assumptions'!$P$75+'Assumptions'!$Y$75)</x:f>
        <x:v>164.57131413537712</x:v>
      </x:c>
      <x:c r="X1589" s="10" t="n">
        <x:f>N1589/12*'Assumptions'!$AF$75</x:f>
        <x:v>0</x:v>
      </x:c>
      <x:c r="Y1589" s="10" t="n">
        <x:f>P1589/12</x:f>
        <x:v>0</x:v>
      </x:c>
      <x:c r="Z1589" s="10" t="n">
        <x:f>0</x:f>
        <x:v>0</x:v>
      </x:c>
      <x:c r="AA1589" s="10" t="n">
        <x:f>Z1589*'Assumptions'!$AC$75*'Assumptions'!$D$11*(1+'Assumptions'!$D$13)^(13-1)</x:f>
        <x:v>0</x:v>
      </x:c>
      <x:c r="AB1589" s="10" t="n">
        <x:f>F1589/1</x:f>
        <x:v>498.5074776734886</x:v>
      </x:c>
      <x:c r="AC1589" s="10" t="n">
        <x:f>AB1589/'Assumptions'!$AM$75</x:f>
        <x:v>9970.149553469771</x:v>
      </x:c>
      <x:c r="AD1589" s="10" t="n">
        <x:f>IF(AB1589=0,0,T1589/AB1589)</x:f>
        <x:v>9.542682145107172</x:v>
      </x:c>
      <x:c r="AE1589" s="10" t="n">
        <x:f>AA1589*'Assumptions'!$D$21</x:f>
        <x:v>0</x:v>
      </x:c>
    </x:row>
    <x:row r="1590" ht="16" customHeight="1">
      <x:c r="A1590" s="1"/>
      <x:c r="B1590" s="1"/>
      <x:c r="C1590" s="1" t="str">
        <x:v>DOT-047</x:v>
      </x:c>
      <x:c r="D1590" s="10" t="str">
        <x:v>LavaLearning adult</x:v>
      </x:c>
      <x:c r="E1590" s="10" t="n">
        <x:v>13</x:v>
      </x:c>
      <x:c r="F1590" s="21" t="n">
        <x:f>F1462*(1+'Assumptions'!$M$76)</x:f>
        <x:v>332.33831844899237</x:v>
      </x:c>
      <x:c r="G1590" s="21" t="n">
        <x:f>H1462*'Assumptions'!$K$76</x:f>
        <x:v>106.51851825193583</x:v>
      </x:c>
      <x:c r="H1590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1590+G1590,NA())</x:f>
        <x:v>438.85683670092817</x:v>
      </x:c>
      <x:c r="I1590" s="22" t="n">
        <x:f>'Assumptions'!$H$76*IF('Assumptions'!$O$76=1,1,'Assumptions'!$D$10)*(1+'Assumptions'!$N$76)^(13-1)</x:f>
        <x:v>79</x:v>
      </x:c>
      <x:c r="J1590" s="10" t="n">
        <x:f>H1590*I1590</x:f>
        <x:v>34669.69009937333</x:v>
      </x:c>
      <x:c r="K1590" s="10" t="n">
        <x:f>J1590*'Assumptions'!$T$76</x:f>
        <x:v>34669.69009937333</x:v>
      </x:c>
      <x:c r="L1590" s="10" t="n">
        <x:f>K1590*'Assumptions'!$U$76</x:f>
        <x:v>1040.0907029812</x:v>
      </x:c>
      <x:c r="M1590" s="10" t="n">
        <x:f>K1590*'Assumptions'!$V$76</x:f>
        <x:v>0</x:v>
      </x:c>
      <x:c r="N1590" s="10" t="n">
        <x:f>K1590-L1590-M1590</x:f>
        <x:v>33629.59939639213</x:v>
      </x:c>
      <x:c r="O1590" s="10" t="n">
        <x:f>H1590*'Assumptions'!$P$76*'Assumptions'!$Q$76*'Assumptions'!$D$11*(1+'Assumptions'!$D$13)^(13-1)</x:f>
        <x:v>3284.950791639427</x:v>
      </x:c>
      <x:c r="P1590" s="10" t="n">
        <x:f>H1590*'Assumptions'!$R$76*'Assumptions'!$D$11*(1+'Assumptions'!$D$13)^(13-1)</x:f>
        <x:v>0</x:v>
      </x:c>
      <x:c r="Q1590" s="10" t="n">
        <x:f>J1590*'Assumptions'!$S$76</x:f>
        <x:v>0</x:v>
      </x:c>
      <x:c r="R1590" s="10" t="n">
        <x:f>H1590*'Assumptions'!$Y$76*'Assumptions'!$Z$76*'Assumptions'!$D$11*(1+'Assumptions'!$D$13)^(13-1)</x:f>
        <x:v>1877.1147380796726</x:v>
      </x:c>
      <x:c r="S1590" s="10" t="n">
        <x:f>IF(I1590=0,0,J1590*'Assumptions'!$W$76+H1590*'Assumptions'!$X$76)</x:f>
        <x:v>1137.078063892105</x:v>
      </x:c>
      <x:c r="T1590" s="10" t="n">
        <x:f>N1590*'Assumptions'!$AA$76</x:f>
        <x:v>1681.4799698196066</x:v>
      </x:c>
      <x:c r="U1590" s="10" t="n">
        <x:f>'Assumptions'!$AE$76*'Assumptions'!$D$11*(1+'Assumptions'!$D$13)^(13-1)</x:f>
        <x:v>0</x:v>
      </x:c>
      <x:c r="V1590" s="10" t="n">
        <x:f>0</x:f>
        <x:v>0</x:v>
      </x:c>
      <x:c r="W1590" s="10" t="n">
        <x:f>H1590*('Assumptions'!$P$76+'Assumptions'!$Y$76)</x:f>
        <x:v>109.71420917523204</x:v>
      </x:c>
      <x:c r="X1590" s="10" t="n">
        <x:f>N1590/12*'Assumptions'!$AF$76</x:f>
        <x:v>0</x:v>
      </x:c>
      <x:c r="Y1590" s="10" t="n">
        <x:f>P1590/12</x:f>
        <x:v>0</x:v>
      </x:c>
      <x:c r="Z1590" s="10" t="n">
        <x:f>0</x:f>
        <x:v>0</x:v>
      </x:c>
      <x:c r="AA1590" s="10" t="n">
        <x:f>Z1590*'Assumptions'!$AC$76*'Assumptions'!$D$11*(1+'Assumptions'!$D$13)^(13-1)</x:f>
        <x:v>0</x:v>
      </x:c>
      <x:c r="AB1590" s="10" t="n">
        <x:f>F1590/1</x:f>
        <x:v>332.33831844899237</x:v>
      </x:c>
      <x:c r="AC1590" s="10" t="n">
        <x:f>AB1590/'Assumptions'!$AM$76</x:f>
        <x:v>6646.766368979847</x:v>
      </x:c>
      <x:c r="AD1590" s="10" t="n">
        <x:f>IF(AB1590=0,0,T1590/AB1590)</x:f>
        <x:v>5.059542870852197</x:v>
      </x:c>
      <x:c r="AE1590" s="10" t="n">
        <x:f>AA1590*'Assumptions'!$D$21</x:f>
        <x:v>0</x:v>
      </x:c>
    </x:row>
    <x:row r="1591" ht="16" customHeight="1">
      <x:c r="A1591" s="1"/>
      <x:c r="B1591" s="1"/>
      <x:c r="C1591" s="1" t="str">
        <x:v>DOT-048</x:v>
      </x:c>
      <x:c r="D1591" s="10" t="str">
        <x:v>Turbo Tax - Made Easy!</x:v>
      </x:c>
      <x:c r="E1591" s="10" t="n">
        <x:v>13</x:v>
      </x:c>
      <x:c r="F1591" s="21" t="n">
        <x:f>F1463*(1+'Assumptions'!$M$77)</x:f>
        <x:v>997.0149553469772</x:v>
      </x:c>
      <x:c r="G1591" s="21" t="n">
        <x:f>H1463*'Assumptions'!$K$77</x:f>
        <x:v>319.55555773603976</x:v>
      </x:c>
      <x:c r="H1591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1591+G1591,NA())</x:f>
        <x:v>1316.570513083017</x:v>
      </x:c>
      <x:c r="I1591" s="22" t="n">
        <x:f>'Assumptions'!$H$77*IF('Assumptions'!$O$77=1,1,'Assumptions'!$D$10)*(1+'Assumptions'!$N$77)^(13-1)</x:f>
        <x:v>24.096594096688364</x:v>
      </x:c>
      <x:c r="J1591" s="10" t="n">
        <x:f>H1591*I1591</x:f>
        <x:v>31724.8652534302</x:v>
      </x:c>
      <x:c r="K1591" s="10" t="n">
        <x:f>J1591*'Assumptions'!$T$77</x:f>
        <x:v>31724.8652534302</x:v>
      </x:c>
      <x:c r="L1591" s="10" t="n">
        <x:f>K1591*'Assumptions'!$U$77</x:f>
        <x:v>951.745957602906</x:v>
      </x:c>
      <x:c r="M1591" s="10" t="n">
        <x:f>K1591*'Assumptions'!$V$77</x:f>
        <x:v>0</x:v>
      </x:c>
      <x:c r="N1591" s="10" t="n">
        <x:f>K1591-L1591-M1591</x:f>
        <x:v>30773.11929582729</x:v>
      </x:c>
      <x:c r="O1591" s="10" t="n">
        <x:f>H1591*'Assumptions'!$P$77*'Assumptions'!$Q$77*'Assumptions'!$D$11*(1+'Assumptions'!$D$13)^(13-1)</x:f>
        <x:v>9854.85239722605</x:v>
      </x:c>
      <x:c r="P1591" s="10" t="n">
        <x:f>H1591*'Assumptions'!$R$77*'Assumptions'!$D$11*(1+'Assumptions'!$D$13)^(13-1)</x:f>
        <x:v>0</x:v>
      </x:c>
      <x:c r="Q1591" s="10" t="n">
        <x:f>J1591*'Assumptions'!$S$77</x:f>
        <x:v>0</x:v>
      </x:c>
      <x:c r="R1591" s="10" t="n">
        <x:f>H1591*'Assumptions'!$Y$77*'Assumptions'!$Z$77*'Assumptions'!$D$11*(1+'Assumptions'!$D$13)^(13-1)</x:f>
        <x:v>5631.344226986314</x:v>
      </x:c>
      <x:c r="S1591" s="10" t="n">
        <x:f>IF(I1591=0,0,J1591*'Assumptions'!$W$77+H1591*'Assumptions'!$X$77)</x:f>
        <x:v>1314.992246274381</x:v>
      </x:c>
      <x:c r="T1591" s="10" t="n">
        <x:f>N1591*'Assumptions'!$AA$77</x:f>
        <x:v>1538.6559647913646</x:v>
      </x:c>
      <x:c r="U1591" s="10" t="n">
        <x:f>'Assumptions'!$AE$77*'Assumptions'!$D$11*(1+'Assumptions'!$D$13)^(13-1)</x:f>
        <x:v>0</x:v>
      </x:c>
      <x:c r="V1591" s="10" t="n">
        <x:f>0</x:f>
        <x:v>0</x:v>
      </x:c>
      <x:c r="W1591" s="10" t="n">
        <x:f>H1591*('Assumptions'!$P$77+'Assumptions'!$Y$77)</x:f>
        <x:v>329.14262827075424</x:v>
      </x:c>
      <x:c r="X1591" s="10" t="n">
        <x:f>N1591/12*'Assumptions'!$AF$77</x:f>
        <x:v>0</x:v>
      </x:c>
      <x:c r="Y1591" s="10" t="n">
        <x:f>P1591/12</x:f>
        <x:v>0</x:v>
      </x:c>
      <x:c r="Z1591" s="10" t="n">
        <x:f>0</x:f>
        <x:v>0</x:v>
      </x:c>
      <x:c r="AA1591" s="10" t="n">
        <x:f>Z1591*'Assumptions'!$AC$77*'Assumptions'!$D$11*(1+'Assumptions'!$D$13)^(13-1)</x:f>
        <x:v>0</x:v>
      </x:c>
      <x:c r="AB1591" s="10" t="n">
        <x:f>F1591/1</x:f>
        <x:v>997.0149553469772</x:v>
      </x:c>
      <x:c r="AC1591" s="10" t="n">
        <x:f>AB1591/'Assumptions'!$AM$77</x:f>
        <x:v>19940.299106939543</x:v>
      </x:c>
      <x:c r="AD1591" s="10" t="n">
        <x:f>IF(AB1591=0,0,T1591/AB1591)</x:f>
        <x:v>1.543262672780959</x:v>
      </x:c>
      <x:c r="AE1591" s="10" t="n">
        <x:f>AA1591*'Assumptions'!$D$21</x:f>
        <x:v>0</x:v>
      </x:c>
    </x:row>
    <x:row r="1592" ht="16" customHeight="1">
      <x:c r="A1592" s="1"/>
      <x:c r="B1592" s="1"/>
      <x:c r="C1592" s="1" t="str">
        <x:v>DOT-049</x:v>
      </x:c>
      <x:c r="D1592" s="10" t="str">
        <x:v>Turbo Tax - Made Easy!</x:v>
      </x:c>
      <x:c r="E1592" s="10" t="n">
        <x:v>13</x:v>
      </x:c>
      <x:c r="F1592" s="21" t="n">
        <x:f>F1464*(1+'Assumptions'!$M$78)</x:f>
        <x:v>332.33831844899237</x:v>
      </x:c>
      <x:c r="G1592" s="21" t="n">
        <x:f>H1464*'Assumptions'!$K$78</x:f>
        <x:v>106.51851527170359</x:v>
      </x:c>
      <x:c r="H1592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1592+G1592,NA())</x:f>
        <x:v>438.85683372069593</x:v>
      </x:c>
      <x:c r="I1592" s="22" t="n">
        <x:f>'Assumptions'!$H$78*IF('Assumptions'!$O$78=1,1,'Assumptions'!$D$10)*(1+'Assumptions'!$N$78)^(13-1)</x:f>
        <x:v>24.096594096688364</x:v>
      </x:c>
      <x:c r="J1592" s="10" t="n">
        <x:f>H1592*I1592</x:f>
        <x:v>10574.954988725469</x:v>
      </x:c>
      <x:c r="K1592" s="10" t="n">
        <x:f>J1592*'Assumptions'!$T$78</x:f>
        <x:v>10574.954988725469</x:v>
      </x:c>
      <x:c r="L1592" s="10" t="n">
        <x:f>K1592*'Assumptions'!$U$78</x:f>
        <x:v>317.24864966176403</x:v>
      </x:c>
      <x:c r="M1592" s="10" t="n">
        <x:f>K1592*'Assumptions'!$V$78</x:f>
        <x:v>0</x:v>
      </x:c>
      <x:c r="N1592" s="10" t="n">
        <x:f>K1592-L1592-M1592</x:f>
        <x:v>10257.706339063705</x:v>
      </x:c>
      <x:c r="O1592" s="10" t="n">
        <x:f>H1592*'Assumptions'!$P$78*'Assumptions'!$Q$78*'Assumptions'!$D$11*(1+'Assumptions'!$D$13)^(13-1)</x:f>
        <x:v>3284.9507693316596</x:v>
      </x:c>
      <x:c r="P1592" s="10" t="n">
        <x:f>H1592*'Assumptions'!$R$78*'Assumptions'!$D$11*(1+'Assumptions'!$D$13)^(13-1)</x:f>
        <x:v>0</x:v>
      </x:c>
      <x:c r="Q1592" s="10" t="n">
        <x:f>J1592*'Assumptions'!$S$78</x:f>
        <x:v>0</x:v>
      </x:c>
      <x:c r="R1592" s="10" t="n">
        <x:f>H1592*'Assumptions'!$Y$78*'Assumptions'!$Z$78*'Assumptions'!$D$11*(1+'Assumptions'!$D$13)^(13-1)</x:f>
        <x:v>1877.114725332377</x:v>
      </x:c>
      <x:c r="S1592" s="10" t="n">
        <x:f>IF(I1592=0,0,J1592*'Assumptions'!$W$78+H1592*'Assumptions'!$X$78)</x:f>
        <x:v>438.3307447892474</x:v>
      </x:c>
      <x:c r="T1592" s="10" t="n">
        <x:f>N1592*'Assumptions'!$AA$78</x:f>
        <x:v>512.8853169531852</x:v>
      </x:c>
      <x:c r="U1592" s="10" t="n">
        <x:f>'Assumptions'!$AE$78*'Assumptions'!$D$11*(1+'Assumptions'!$D$13)^(13-1)</x:f>
        <x:v>0</x:v>
      </x:c>
      <x:c r="V1592" s="10" t="n">
        <x:f>0</x:f>
        <x:v>0</x:v>
      </x:c>
      <x:c r="W1592" s="10" t="n">
        <x:f>H1592*('Assumptions'!$P$78+'Assumptions'!$Y$78)</x:f>
        <x:v>109.71420843017398</x:v>
      </x:c>
      <x:c r="X1592" s="10" t="n">
        <x:f>N1592/12*'Assumptions'!$AF$78</x:f>
        <x:v>0</x:v>
      </x:c>
      <x:c r="Y1592" s="10" t="n">
        <x:f>P1592/12</x:f>
        <x:v>0</x:v>
      </x:c>
      <x:c r="Z1592" s="10" t="n">
        <x:f>0</x:f>
        <x:v>0</x:v>
      </x:c>
      <x:c r="AA1592" s="10" t="n">
        <x:f>Z1592*'Assumptions'!$AC$78*'Assumptions'!$D$11*(1+'Assumptions'!$D$13)^(13-1)</x:f>
        <x:v>0</x:v>
      </x:c>
      <x:c r="AB1592" s="10" t="n">
        <x:f>F1592/1</x:f>
        <x:v>332.33831844899237</x:v>
      </x:c>
      <x:c r="AC1592" s="10" t="n">
        <x:f>AB1592/'Assumptions'!$AM$78</x:f>
        <x:v>6646.766368979847</x:v>
      </x:c>
      <x:c r="AD1592" s="10" t="n">
        <x:f>IF(AB1592=0,0,T1592/AB1592)</x:f>
        <x:v>1.5432626588074387</x:v>
      </x:c>
      <x:c r="AE1592" s="10" t="n">
        <x:f>AA1592*'Assumptions'!$D$21</x:f>
        <x:v>0</x:v>
      </x:c>
    </x:row>
    <x:row r="1593" ht="16" customHeight="1">
      <x:c r="A1593" s="1"/>
      <x:c r="B1593" s="1"/>
      <x:c r="C1593" s="1" t="str">
        <x:v>DOT-050</x:v>
      </x:c>
      <x:c r="D1593" s="10" t="str">
        <x:v>LavaLearning adult</x:v>
      </x:c>
      <x:c r="E1593" s="10" t="n">
        <x:v>13</x:v>
      </x:c>
      <x:c r="F1593" s="21" t="n">
        <x:f>F1465*(1+'Assumptions'!$M$79)</x:f>
        <x:v>997.0149553469772</x:v>
      </x:c>
      <x:c r="G1593" s="21" t="n">
        <x:f>H1465*'Assumptions'!$K$79</x:f>
        <x:v>319.5555547558075</x:v>
      </x:c>
      <x:c r="H1593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1593+G1593,NA())</x:f>
        <x:v>1316.5705101027847</x:v>
      </x:c>
      <x:c r="I1593" s="22" t="n">
        <x:f>'Assumptions'!$H$79*IF('Assumptions'!$O$79=1,1,'Assumptions'!$D$10)*(1+'Assumptions'!$N$79)^(13-1)</x:f>
        <x:v>24.096594096688364</x:v>
      </x:c>
      <x:c r="J1593" s="10" t="n">
        <x:f>H1593*I1593</x:f>
        <x:v>31724.86518161675</x:v>
      </x:c>
      <x:c r="K1593" s="10" t="n">
        <x:f>J1593*'Assumptions'!$T$79</x:f>
        <x:v>31724.86518161675</x:v>
      </x:c>
      <x:c r="L1593" s="10" t="n">
        <x:f>K1593*'Assumptions'!$U$79</x:f>
        <x:v>951.7459554485025</x:v>
      </x:c>
      <x:c r="M1593" s="10" t="n">
        <x:f>K1593*'Assumptions'!$V$79</x:f>
        <x:v>0</x:v>
      </x:c>
      <x:c r="N1593" s="10" t="n">
        <x:f>K1593-L1593-M1593</x:f>
        <x:v>30773.119226168248</x:v>
      </x:c>
      <x:c r="O1593" s="10" t="n">
        <x:f>H1593*'Assumptions'!$P$79*'Assumptions'!$Q$79*'Assumptions'!$D$11*(1+'Assumptions'!$D$13)^(13-1)</x:f>
        <x:v>9854.852374918282</x:v>
      </x:c>
      <x:c r="P1593" s="10" t="n">
        <x:f>H1593*'Assumptions'!$R$79*'Assumptions'!$D$11*(1+'Assumptions'!$D$13)^(13-1)</x:f>
        <x:v>0</x:v>
      </x:c>
      <x:c r="Q1593" s="10" t="n">
        <x:f>J1593*'Assumptions'!$S$79</x:f>
        <x:v>0</x:v>
      </x:c>
      <x:c r="R1593" s="10" t="n">
        <x:f>H1593*'Assumptions'!$Y$79*'Assumptions'!$Z$79*'Assumptions'!$D$11*(1+'Assumptions'!$D$13)^(13-1)</x:f>
        <x:v>5631.3442142390195</x:v>
      </x:c>
      <x:c r="S1593" s="10" t="n">
        <x:f>IF(I1593=0,0,J1593*'Assumptions'!$W$79+H1593*'Assumptions'!$X$79)</x:f>
        <x:v>1314.9922432977212</x:v>
      </x:c>
      <x:c r="T1593" s="10" t="n">
        <x:f>N1593*'Assumptions'!$AA$79</x:f>
        <x:v>1538.6559613084125</x:v>
      </x:c>
      <x:c r="U1593" s="10" t="n">
        <x:f>'Assumptions'!$AE$79*'Assumptions'!$D$11*(1+'Assumptions'!$D$13)^(13-1)</x:f>
        <x:v>0</x:v>
      </x:c>
      <x:c r="V1593" s="10" t="n">
        <x:f>0</x:f>
        <x:v>0</x:v>
      </x:c>
      <x:c r="W1593" s="10" t="n">
        <x:f>H1593*('Assumptions'!$P$79+'Assumptions'!$Y$79)</x:f>
        <x:v>329.1426275256962</x:v>
      </x:c>
      <x:c r="X1593" s="10" t="n">
        <x:f>N1593/12*'Assumptions'!$AF$79</x:f>
        <x:v>0</x:v>
      </x:c>
      <x:c r="Y1593" s="10" t="n">
        <x:f>P1593/12</x:f>
        <x:v>0</x:v>
      </x:c>
      <x:c r="Z1593" s="10" t="n">
        <x:f>0</x:f>
        <x:v>0</x:v>
      </x:c>
      <x:c r="AA1593" s="10" t="n">
        <x:f>Z1593*'Assumptions'!$AC$79*'Assumptions'!$D$11*(1+'Assumptions'!$D$13)^(13-1)</x:f>
        <x:v>0</x:v>
      </x:c>
      <x:c r="AB1593" s="10" t="n">
        <x:f>F1593/1</x:f>
        <x:v>997.0149553469772</x:v>
      </x:c>
      <x:c r="AC1593" s="10" t="n">
        <x:f>AB1593/'Assumptions'!$AM$79</x:f>
        <x:v>19940.299106939543</x:v>
      </x:c>
      <x:c r="AD1593" s="10" t="n">
        <x:f>IF(AB1593=0,0,T1593/AB1593)</x:f>
        <x:v>1.543262669287579</x:v>
      </x:c>
      <x:c r="AE1593" s="10" t="n">
        <x:f>AA1593*'Assumptions'!$D$21</x:f>
        <x:v>0</x:v>
      </x:c>
    </x:row>
    <x:row r="1594" ht="16" customHeight="1">
      <x:c r="A1594" s="1"/>
      <x:c r="B1594" s="1"/>
      <x:c r="C1594" s="1" t="str">
        <x:v>DOT-051</x:v>
      </x:c>
      <x:c r="D1594" s="10" t="str">
        <x:v>LavaLearning adult</x:v>
      </x:c>
      <x:c r="E1594" s="10" t="n">
        <x:v>13</x:v>
      </x:c>
      <x:c r="F1594" s="21" t="n">
        <x:f>F1466*(1+'Assumptions'!$M$80)</x:f>
        <x:v>199.40299106939543</x:v>
      </x:c>
      <x:c r="G1594" s="21" t="n">
        <x:f>H1466*'Assumptions'!$K$80</x:f>
        <x:v>63.91110916302216</x:v>
      </x:c>
      <x:c r="H1594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1594+G1594,NA())</x:f>
        <x:v>263.31410023241756</x:v>
      </x:c>
      <x:c r="I1594" s="22" t="n">
        <x:f>'Assumptions'!$H$80*IF('Assumptions'!$O$80=1,1,'Assumptions'!$D$10)*(1+'Assumptions'!$N$80)^(13-1)</x:f>
        <x:v>36.779012042313816</x:v>
      </x:c>
      <x:c r="J1594" s="10" t="n">
        <x:f>H1594*I1594</x:f>
        <x:v>9684.432463359113</x:v>
      </x:c>
      <x:c r="K1594" s="10" t="n">
        <x:f>J1594*'Assumptions'!$T$80</x:f>
        <x:v>9684.432463359113</x:v>
      </x:c>
      <x:c r="L1594" s="10" t="n">
        <x:f>K1594*'Assumptions'!$U$80</x:f>
        <x:v>290.53297390077336</x:v>
      </x:c>
      <x:c r="M1594" s="10" t="n">
        <x:f>K1594*'Assumptions'!$V$80</x:f>
        <x:v>0</x:v>
      </x:c>
      <x:c r="N1594" s="10" t="n">
        <x:f>K1594-L1594-M1594</x:f>
        <x:v>9393.89948945834</x:v>
      </x:c>
      <x:c r="O1594" s="10" t="n">
        <x:f>H1594*'Assumptions'!$P$80*'Assumptions'!$Q$80*'Assumptions'!$D$11*(1+'Assumptions'!$D$13)^(13-1)</x:f>
        <x:v>1970.9704615989958</x:v>
      </x:c>
      <x:c r="P1594" s="10" t="n">
        <x:f>H1594*'Assumptions'!$R$80*'Assumptions'!$D$11*(1+'Assumptions'!$D$13)^(13-1)</x:f>
        <x:v>0</x:v>
      </x:c>
      <x:c r="Q1594" s="10" t="n">
        <x:f>J1594*'Assumptions'!$S$80</x:f>
        <x:v>0</x:v>
      </x:c>
      <x:c r="R1594" s="10" t="n">
        <x:f>H1594*'Assumptions'!$Y$80*'Assumptions'!$Z$80*'Assumptions'!$D$11*(1+'Assumptions'!$D$13)^(13-1)</x:f>
        <x:v>1126.2688351994263</x:v>
      </x:c>
      <x:c r="S1594" s="10" t="n">
        <x:f>IF(I1594=0,0,J1594*'Assumptions'!$W$80+H1594*'Assumptions'!$X$80)</x:f>
        <x:v>359.84277150713956</x:v>
      </x:c>
      <x:c r="T1594" s="10" t="n">
        <x:f>N1594*'Assumptions'!$AA$80</x:f>
        <x:v>469.694974472917</x:v>
      </x:c>
      <x:c r="U1594" s="10" t="n">
        <x:f>'Assumptions'!$AE$80*'Assumptions'!$D$11*(1+'Assumptions'!$D$13)^(13-1)</x:f>
        <x:v>0</x:v>
      </x:c>
      <x:c r="V1594" s="10" t="n">
        <x:f>0</x:f>
        <x:v>0</x:v>
      </x:c>
      <x:c r="W1594" s="10" t="n">
        <x:f>H1594*('Assumptions'!$P$80+'Assumptions'!$Y$80)</x:f>
        <x:v>65.82852505810439</x:v>
      </x:c>
      <x:c r="X1594" s="10" t="n">
        <x:f>N1594/12*'Assumptions'!$AF$80</x:f>
        <x:v>0</x:v>
      </x:c>
      <x:c r="Y1594" s="10" t="n">
        <x:f>P1594/12</x:f>
        <x:v>0</x:v>
      </x:c>
      <x:c r="Z1594" s="10" t="n">
        <x:f>0</x:f>
        <x:v>0</x:v>
      </x:c>
      <x:c r="AA1594" s="10" t="n">
        <x:f>Z1594*'Assumptions'!$AC$80*'Assumptions'!$D$11*(1+'Assumptions'!$D$13)^(13-1)</x:f>
        <x:v>0</x:v>
      </x:c>
      <x:c r="AB1594" s="10" t="n">
        <x:f>F1594/1</x:f>
        <x:v>199.40299106939543</x:v>
      </x:c>
      <x:c r="AC1594" s="10" t="n">
        <x:f>AB1594/'Assumptions'!$AM$80</x:f>
        <x:v>3988.0598213879084</x:v>
      </x:c>
      <x:c r="AD1594" s="10" t="n">
        <x:f>IF(AB1594=0,0,T1594/AB1594)</x:f>
        <x:v>2.3555061634429326</x:v>
      </x:c>
      <x:c r="AE1594" s="10" t="n">
        <x:f>AA1594*'Assumptions'!$D$21</x:f>
        <x:v>0</x:v>
      </x:c>
    </x:row>
    <x:row r="1595" ht="16" customHeight="1">
      <x:c r="A1595" s="1"/>
      <x:c r="B1595" s="1"/>
      <x:c r="C1595" s="1" t="str">
        <x:v>DOT-052</x:v>
      </x:c>
      <x:c r="D1595" s="10" t="str">
        <x:v>LavaLearning Model Life</x:v>
      </x:c>
      <x:c r="E1595" s="10" t="n">
        <x:v>13</x:v>
      </x:c>
      <x:c r="F1595" s="21" t="n">
        <x:f>F1467*(1+'Assumptions'!$M$81)</x:f>
        <x:v>0</x:v>
      </x:c>
      <x:c r="G1595" s="21" t="n">
        <x:f>H1467*'Assumptions'!$K$81</x:f>
        <x:v>0</x:v>
      </x:c>
      <x:c r="H1595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1595+G1595,NA())</x:f>
        <x:v>0</x:v>
      </x:c>
      <x:c r="I1595" s="22" t="n">
        <x:f>'Assumptions'!$H$81*IF('Assumptions'!$O$81=1,1,'Assumptions'!$D$10)*(1+'Assumptions'!$N$81)^(13-1)</x:f>
        <x:v>0</x:v>
      </x:c>
      <x:c r="J1595" s="10" t="n">
        <x:f>H1595*I1595</x:f>
        <x:v>0</x:v>
      </x:c>
      <x:c r="K1595" s="10" t="n">
        <x:f>J1595*'Assumptions'!$T$81</x:f>
        <x:v>0</x:v>
      </x:c>
      <x:c r="L1595" s="10" t="n">
        <x:f>K1595*'Assumptions'!$U$81</x:f>
        <x:v>0</x:v>
      </x:c>
      <x:c r="M1595" s="10" t="n">
        <x:f>K1595*'Assumptions'!$V$81</x:f>
        <x:v>0</x:v>
      </x:c>
      <x:c r="N1595" s="10" t="n">
        <x:f>K1595-L1595-M1595</x:f>
        <x:v>0</x:v>
      </x:c>
      <x:c r="O1595" s="10" t="n">
        <x:f>H1595*'Assumptions'!$P$81*'Assumptions'!$Q$81*'Assumptions'!$D$11*(1+'Assumptions'!$D$13)^(13-1)</x:f>
        <x:v>0</x:v>
      </x:c>
      <x:c r="P1595" s="10" t="n">
        <x:f>H1595*'Assumptions'!$R$81*'Assumptions'!$D$11*(1+'Assumptions'!$D$13)^(13-1)</x:f>
        <x:v>0</x:v>
      </x:c>
      <x:c r="Q1595" s="10" t="n">
        <x:f>J1595*'Assumptions'!$S$81</x:f>
        <x:v>0</x:v>
      </x:c>
      <x:c r="R1595" s="10" t="n">
        <x:f>H1595*'Assumptions'!$Y$81*'Assumptions'!$Z$81*'Assumptions'!$D$11*(1+'Assumptions'!$D$13)^(13-1)</x:f>
        <x:v>0</x:v>
      </x:c>
      <x:c r="S1595" s="10" t="n">
        <x:f>IF(I1595=0,0,J1595*'Assumptions'!$W$81+H1595*'Assumptions'!$X$81)</x:f>
        <x:v>0</x:v>
      </x:c>
      <x:c r="T1595" s="10" t="n">
        <x:f>N1595*'Assumptions'!$AA$81</x:f>
        <x:v>0</x:v>
      </x:c>
      <x:c r="U1595" s="10" t="n">
        <x:f>'Assumptions'!$AE$81*'Assumptions'!$D$11*(1+'Assumptions'!$D$13)^(13-1)</x:f>
        <x:v>0</x:v>
      </x:c>
      <x:c r="V1595" s="10" t="n">
        <x:f>0</x:f>
        <x:v>0</x:v>
      </x:c>
      <x:c r="W1595" s="10" t="n">
        <x:f>H1595*('Assumptions'!$P$81+'Assumptions'!$Y$81)</x:f>
        <x:v>0</x:v>
      </x:c>
      <x:c r="X1595" s="10" t="n">
        <x:f>N1595/12*'Assumptions'!$AF$81</x:f>
        <x:v>0</x:v>
      </x:c>
      <x:c r="Y1595" s="10" t="n">
        <x:f>P1595/12</x:f>
        <x:v>0</x:v>
      </x:c>
      <x:c r="Z1595" s="10" t="n">
        <x:f>0</x:f>
        <x:v>0</x:v>
      </x:c>
      <x:c r="AA1595" s="10" t="n">
        <x:f>Z1595*'Assumptions'!$AC$81*'Assumptions'!$D$11*(1+'Assumptions'!$D$13)^(13-1)</x:f>
        <x:v>0</x:v>
      </x:c>
      <x:c r="AB1595" s="10" t="n">
        <x:f>F1595/1</x:f>
        <x:v>0</x:v>
      </x:c>
      <x:c r="AC1595" s="10" t="n">
        <x:f>AB1595/'Assumptions'!$AM$81</x:f>
        <x:v>0</x:v>
      </x:c>
      <x:c r="AD1595" s="10" t="n">
        <x:f>IF(AB1595=0,0,T1595/AB1595)</x:f>
        <x:v>0</x:v>
      </x:c>
      <x:c r="AE1595" s="10" t="n">
        <x:f>AA1595*'Assumptions'!$D$21</x:f>
        <x:v>0</x:v>
      </x:c>
    </x:row>
    <x:row r="1596" ht="16" customHeight="1">
      <x:c r="A1596" s="1"/>
      <x:c r="B1596" s="1"/>
      <x:c r="C1596" s="1" t="str">
        <x:v>DOT-053</x:v>
      </x:c>
      <x:c r="D1596" s="10" t="str">
        <x:v>LavaLearning Kids</x:v>
      </x:c>
      <x:c r="E1596" s="10" t="n">
        <x:v>13</x:v>
      </x:c>
      <x:c r="F1596" s="21" t="n">
        <x:f>F1468*(1+'Assumptions'!$M$82)</x:f>
        <x:v>997.0149553469772</x:v>
      </x:c>
      <x:c r="G1596" s="21" t="n">
        <x:f>H1468*'Assumptions'!$K$82</x:f>
        <x:v>319.5555458151108</x:v>
      </x:c>
      <x:c r="H1596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1596+G1596,NA())</x:f>
        <x:v>1316.570501162088</x:v>
      </x:c>
      <x:c r="I1596" s="22" t="n">
        <x:f>'Assumptions'!$H$82*IF('Assumptions'!$O$82=1,1,'Assumptions'!$D$10)*(1+'Assumptions'!$N$82)^(13-1)</x:f>
        <x:v>24.096594096688364</x:v>
      </x:c>
      <x:c r="J1596" s="10" t="n">
        <x:f>H1596*I1596</x:f>
        <x:v>31724.86496617641</x:v>
      </x:c>
      <x:c r="K1596" s="10" t="n">
        <x:f>J1596*'Assumptions'!$T$82</x:f>
        <x:v>31724.86496617641</x:v>
      </x:c>
      <x:c r="L1596" s="10" t="n">
        <x:f>K1596*'Assumptions'!$U$82</x:f>
        <x:v>951.7459489852922</x:v>
      </x:c>
      <x:c r="M1596" s="10" t="n">
        <x:f>K1596*'Assumptions'!$V$82</x:f>
        <x:v>0</x:v>
      </x:c>
      <x:c r="N1596" s="10" t="n">
        <x:f>K1596-L1596-M1596</x:f>
        <x:v>30773.11901719112</x:v>
      </x:c>
      <x:c r="O1596" s="10" t="n">
        <x:f>H1596*'Assumptions'!$P$82*'Assumptions'!$Q$82*'Assumptions'!$D$11*(1+'Assumptions'!$D$13)^(13-1)</x:f>
        <x:v>9854.852307994981</x:v>
      </x:c>
      <x:c r="P1596" s="10" t="n">
        <x:f>H1596*'Assumptions'!$R$82*'Assumptions'!$D$11*(1+'Assumptions'!$D$13)^(13-1)</x:f>
        <x:v>0</x:v>
      </x:c>
      <x:c r="Q1596" s="10" t="n">
        <x:f>J1596*'Assumptions'!$S$82</x:f>
        <x:v>0</x:v>
      </x:c>
      <x:c r="R1596" s="10" t="n">
        <x:f>H1596*'Assumptions'!$Y$82*'Assumptions'!$Z$82*'Assumptions'!$D$11*(1+'Assumptions'!$D$13)^(13-1)</x:f>
        <x:v>5631.344175997132</x:v>
      </x:c>
      <x:c r="S1596" s="10" t="n">
        <x:f>IF(I1596=0,0,J1596*'Assumptions'!$W$82+H1596*'Assumptions'!$X$82)</x:f>
        <x:v>1314.9922343677424</x:v>
      </x:c>
      <x:c r="T1596" s="10" t="n">
        <x:f>N1596*'Assumptions'!$AA$82</x:f>
        <x:v>1538.655950859556</x:v>
      </x:c>
      <x:c r="U1596" s="10" t="n">
        <x:f>'Assumptions'!$AE$82*'Assumptions'!$D$11*(1+'Assumptions'!$D$13)^(13-1)</x:f>
        <x:v>342.182612843083</x:v>
      </x:c>
      <x:c r="V1596" s="10" t="n">
        <x:f>0</x:f>
        <x:v>0</x:v>
      </x:c>
      <x:c r="W1596" s="10" t="n">
        <x:f>H1596*('Assumptions'!$P$82+'Assumptions'!$Y$82)</x:f>
        <x:v>329.142625290522</x:v>
      </x:c>
      <x:c r="X1596" s="10" t="n">
        <x:f>N1596/12*'Assumptions'!$AF$82</x:f>
        <x:v>0</x:v>
      </x:c>
      <x:c r="Y1596" s="10" t="n">
        <x:f>P1596/12</x:f>
        <x:v>0</x:v>
      </x:c>
      <x:c r="Z1596" s="10" t="n">
        <x:f>0</x:f>
        <x:v>0</x:v>
      </x:c>
      <x:c r="AA1596" s="10" t="n">
        <x:f>Z1596*'Assumptions'!$AC$82*'Assumptions'!$D$11*(1+'Assumptions'!$D$13)^(13-1)</x:f>
        <x:v>0</x:v>
      </x:c>
      <x:c r="AB1596" s="10" t="n">
        <x:f>F1596/1</x:f>
        <x:v>997.0149553469772</x:v>
      </x:c>
      <x:c r="AC1596" s="10" t="n">
        <x:f>AB1596/'Assumptions'!$AM$82</x:f>
        <x:v>19940.299106939543</x:v>
      </x:c>
      <x:c r="AD1596" s="10" t="n">
        <x:f>IF(AB1596=0,0,T1596/AB1596)</x:f>
        <x:v>1.543262658807439</x:v>
      </x:c>
      <x:c r="AE1596" s="10" t="n">
        <x:f>AA1596*'Assumptions'!$D$21</x:f>
        <x:v>0</x:v>
      </x:c>
    </x:row>
    <x:row r="1597" ht="16" customHeight="1">
      <x:c r="A1597" s="1"/>
      <x:c r="B1597" s="1"/>
      <x:c r="C1597" s="1" t="str">
        <x:v>DOT-054</x:v>
      </x:c>
      <x:c r="D1597" s="10" t="str">
        <x:v>VraiSkill adult</x:v>
      </x:c>
      <x:c r="E1597" s="10" t="n">
        <x:v>13</x:v>
      </x:c>
      <x:c r="F1597" s="21" t="n">
        <x:f>F1469*(1+'Assumptions'!$M$83)</x:f>
        <x:v>1994.0299106939544</x:v>
      </x:c>
      <x:c r="G1597" s="21" t="n">
        <x:f>H1469*'Assumptions'!$K$83</x:f>
        <x:v>639.111109511615</x:v>
      </x:c>
      <x:c r="H1597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1597+G1597,NA())</x:f>
        <x:v>2633.1410202055695</x:v>
      </x:c>
      <x:c r="I1597" s="22" t="n">
        <x:f>'Assumptions'!$H$83*IF('Assumptions'!$O$83=1,1,'Assumptions'!$D$10)*(1+'Assumptions'!$N$83)^(13-1)</x:f>
        <x:v>12.66973552767983</x:v>
      </x:c>
      <x:c r="J1597" s="10" t="n">
        <x:f>H1597*I1597</x:f>
        <x:v>33361.20033308962</x:v>
      </x:c>
      <x:c r="K1597" s="10" t="n">
        <x:f>J1597*'Assumptions'!$T$83</x:f>
        <x:v>33361.20033308962</x:v>
      </x:c>
      <x:c r="L1597" s="10" t="n">
        <x:f>K1597*'Assumptions'!$U$83</x:f>
        <x:v>1000.8360099926886</x:v>
      </x:c>
      <x:c r="M1597" s="10" t="n">
        <x:f>K1597*'Assumptions'!$V$83</x:f>
        <x:v>0</x:v>
      </x:c>
      <x:c r="N1597" s="10" t="n">
        <x:f>K1597-L1597-M1597</x:f>
        <x:v>32360.364323096932</x:v>
      </x:c>
      <x:c r="O1597" s="10" t="n">
        <x:f>H1597*'Assumptions'!$P$83*'Assumptions'!$Q$83*'Assumptions'!$D$11*(1+'Assumptions'!$D$13)^(13-1)</x:f>
        <x:v>19709.704749836565</x:v>
      </x:c>
      <x:c r="P1597" s="10" t="n">
        <x:f>H1597*'Assumptions'!$R$83*'Assumptions'!$D$11*(1+'Assumptions'!$D$13)^(13-1)</x:f>
        <x:v>0</x:v>
      </x:c>
      <x:c r="Q1597" s="10" t="n">
        <x:f>J1597*'Assumptions'!$S$83</x:f>
        <x:v>0</x:v>
      </x:c>
      <x:c r="R1597" s="10" t="n">
        <x:f>H1597*'Assumptions'!$Y$83*'Assumptions'!$Z$83*'Assumptions'!$D$11*(1+'Assumptions'!$D$13)^(13-1)</x:f>
        <x:v>11262.688428478039</x:v>
      </x:c>
      <x:c r="S1597" s="10" t="n">
        <x:f>IF(I1597=0,0,J1597*'Assumptions'!$W$83+H1597*'Assumptions'!$X$83)</x:f>
        <x:v>1757.41711572127</x:v>
      </x:c>
      <x:c r="T1597" s="10" t="n">
        <x:f>N1597*'Assumptions'!$AA$83</x:f>
        <x:v>1618.0182161548466</x:v>
      </x:c>
      <x:c r="U1597" s="10" t="n">
        <x:f>'Assumptions'!$AE$83*'Assumptions'!$D$11*(1+'Assumptions'!$D$13)^(13-1)</x:f>
        <x:v>342.182612843083</x:v>
      </x:c>
      <x:c r="V1597" s="10" t="n">
        <x:f>0</x:f>
        <x:v>0</x:v>
      </x:c>
      <x:c r="W1597" s="10" t="n">
        <x:f>H1597*('Assumptions'!$P$83+'Assumptions'!$Y$83)</x:f>
        <x:v>658.2852550513924</x:v>
      </x:c>
      <x:c r="X1597" s="10" t="n">
        <x:f>N1597/12*'Assumptions'!$AF$83</x:f>
        <x:v>0</x:v>
      </x:c>
      <x:c r="Y1597" s="10" t="n">
        <x:f>P1597/12</x:f>
        <x:v>0</x:v>
      </x:c>
      <x:c r="Z1597" s="10" t="n">
        <x:f>0</x:f>
        <x:v>0</x:v>
      </x:c>
      <x:c r="AA1597" s="10" t="n">
        <x:f>Z1597*'Assumptions'!$AC$83*'Assumptions'!$D$11*(1+'Assumptions'!$D$13)^(13-1)</x:f>
        <x:v>0</x:v>
      </x:c>
      <x:c r="AB1597" s="10" t="n">
        <x:f>F1597/1</x:f>
        <x:v>1994.0299106939544</x:v>
      </x:c>
      <x:c r="AC1597" s="10" t="n">
        <x:f>AB1597/'Assumptions'!$AM$83</x:f>
        <x:v>39880.598213879086</x:v>
      </x:c>
      <x:c r="AD1597" s="10" t="n">
        <x:f>IF(AB1597=0,0,T1597/AB1597)</x:f>
        <x:v>0.8114312666412061</x:v>
      </x:c>
      <x:c r="AE1597" s="10" t="n">
        <x:f>AA1597*'Assumptions'!$D$21</x:f>
        <x:v>0</x:v>
      </x:c>
    </x:row>
    <x:row r="1598" ht="16" customHeight="1">
      <x:c r="A1598" s="1"/>
      <x:c r="B1598" s="1"/>
      <x:c r="C1598" s="1" t="str">
        <x:v>DOT-055</x:v>
      </x:c>
      <x:c r="D1598" s="10" t="str">
        <x:v>VraiSkill adult</x:v>
      </x:c>
      <x:c r="E1598" s="10" t="n">
        <x:v>13</x:v>
      </x:c>
      <x:c r="F1598" s="21" t="n">
        <x:f>F1470*(1+'Assumptions'!$M$84)</x:f>
        <x:v>664.6766368979847</x:v>
      </x:c>
      <x:c r="G1598" s="21" t="n">
        <x:f>H1470*'Assumptions'!$K$84</x:f>
        <x:v>213.03703650387166</x:v>
      </x:c>
      <x:c r="H1598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1598+G1598,NA())</x:f>
        <x:v>877.7136734018563</x:v>
      </x:c>
      <x:c r="I1598" s="22" t="n">
        <x:f>'Assumptions'!$H$84*IF('Assumptions'!$O$84=1,1,'Assumptions'!$D$10)*(1+'Assumptions'!$N$84)^(13-1)</x:f>
        <x:v>30.437803069501093</x:v>
      </x:c>
      <x:c r="J1598" s="10" t="n">
        <x:f>H1598*I1598</x:f>
        <x:v>26715.675942414102</x:v>
      </x:c>
      <x:c r="K1598" s="10" t="n">
        <x:f>J1598*'Assumptions'!$T$84</x:f>
        <x:v>26715.675942414102</x:v>
      </x:c>
      <x:c r="L1598" s="10" t="n">
        <x:f>K1598*'Assumptions'!$U$84</x:f>
        <x:v>801.470278272423</x:v>
      </x:c>
      <x:c r="M1598" s="10" t="n">
        <x:f>K1598*'Assumptions'!$V$84</x:f>
        <x:v>0</x:v>
      </x:c>
      <x:c r="N1598" s="10" t="n">
        <x:f>K1598-L1598-M1598</x:f>
        <x:v>25914.20566414168</x:v>
      </x:c>
      <x:c r="O1598" s="10" t="n">
        <x:f>H1598*'Assumptions'!$P$84*'Assumptions'!$Q$84*'Assumptions'!$D$11*(1+'Assumptions'!$D$13)^(13-1)</x:f>
        <x:v>6569.901583278854</x:v>
      </x:c>
      <x:c r="P1598" s="10" t="n">
        <x:f>H1598*'Assumptions'!$R$84*'Assumptions'!$D$11*(1+'Assumptions'!$D$13)^(13-1)</x:f>
        <x:v>0</x:v>
      </x:c>
      <x:c r="Q1598" s="10" t="n">
        <x:f>J1598*'Assumptions'!$S$84</x:f>
        <x:v>0</x:v>
      </x:c>
      <x:c r="R1598" s="10" t="n">
        <x:f>H1598*'Assumptions'!$Y$84*'Assumptions'!$Z$84*'Assumptions'!$D$11*(1+'Assumptions'!$D$13)^(13-1)</x:f>
        <x:v>3754.2294761593453</x:v>
      </x:c>
      <x:c r="S1598" s="10" t="n">
        <x:f>IF(I1598=0,0,J1598*'Assumptions'!$W$84+H1598*'Assumptions'!$X$84)</x:f>
        <x:v>1038.068704350566</x:v>
      </x:c>
      <x:c r="T1598" s="10" t="n">
        <x:f>N1598*'Assumptions'!$AA$84</x:f>
        <x:v>1295.710283207084</x:v>
      </x:c>
      <x:c r="U1598" s="10" t="n">
        <x:f>'Assumptions'!$AE$84*'Assumptions'!$D$11*(1+'Assumptions'!$D$13)^(13-1)</x:f>
        <x:v>0</x:v>
      </x:c>
      <x:c r="V1598" s="10" t="n">
        <x:f>0</x:f>
        <x:v>0</x:v>
      </x:c>
      <x:c r="W1598" s="10" t="n">
        <x:f>H1598*('Assumptions'!$P$84+'Assumptions'!$Y$84)</x:f>
        <x:v>219.42841835046409</x:v>
      </x:c>
      <x:c r="X1598" s="10" t="n">
        <x:f>N1598/12*'Assumptions'!$AF$84</x:f>
        <x:v>0</x:v>
      </x:c>
      <x:c r="Y1598" s="10" t="n">
        <x:f>P1598/12</x:f>
        <x:v>0</x:v>
      </x:c>
      <x:c r="Z1598" s="10" t="n">
        <x:f>0</x:f>
        <x:v>0</x:v>
      </x:c>
      <x:c r="AA1598" s="10" t="n">
        <x:f>Z1598*'Assumptions'!$AC$84*'Assumptions'!$D$11*(1+'Assumptions'!$D$13)^(13-1)</x:f>
        <x:v>0</x:v>
      </x:c>
      <x:c r="AB1598" s="10" t="n">
        <x:f>F1598/1</x:f>
        <x:v>664.6766368979847</x:v>
      </x:c>
      <x:c r="AC1598" s="10" t="n">
        <x:f>AB1598/'Assumptions'!$AM$84</x:f>
        <x:v>13293.532737959695</x:v>
      </x:c>
      <x:c r="AD1598" s="10" t="n">
        <x:f>IF(AB1598=0,0,T1598/AB1598)</x:f>
        <x:v>1.9493844243632579</x:v>
      </x:c>
      <x:c r="AE1598" s="10" t="n">
        <x:f>AA1598*'Assumptions'!$D$21</x:f>
        <x:v>0</x:v>
      </x:c>
    </x:row>
    <x:row r="1599" ht="16" customHeight="1">
      <x:c r="A1599" s="1"/>
      <x:c r="B1599" s="1"/>
      <x:c r="C1599" s="1" t="str">
        <x:v>DOT-056</x:v>
      </x:c>
      <x:c r="D1599" s="10" t="str">
        <x:v>VraiSkill teen</x:v>
      </x:c>
      <x:c r="E1599" s="10" t="n">
        <x:v>13</x:v>
      </x:c>
      <x:c r="F1599" s="21" t="n">
        <x:f>F1471*(1+'Assumptions'!$M$85)</x:f>
        <x:v>664.6766368979847</x:v>
      </x:c>
      <x:c r="G1599" s="21" t="n">
        <x:f>H1471*'Assumptions'!$K$85</x:f>
        <x:v>213.03703054340718</x:v>
      </x:c>
      <x:c r="H1599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1599+G1599,NA())</x:f>
        <x:v>877.7136674413919</x:v>
      </x:c>
      <x:c r="I1599" s="22" t="n">
        <x:f>'Assumptions'!$H$85*IF('Assumptions'!$O$85=1,1,'Assumptions'!$D$10)*(1+'Assumptions'!$N$85)^(13-1)</x:f>
        <x:v>30.437803069501093</x:v>
      </x:c>
      <x:c r="J1599" s="10" t="n">
        <x:f>H1599*I1599</x:f>
        <x:v>26715.67576099066</x:v>
      </x:c>
      <x:c r="K1599" s="10" t="n">
        <x:f>J1599*'Assumptions'!$T$85</x:f>
        <x:v>26715.67576099066</x:v>
      </x:c>
      <x:c r="L1599" s="10" t="n">
        <x:f>K1599*'Assumptions'!$U$85</x:f>
        <x:v>801.4702728297198</x:v>
      </x:c>
      <x:c r="M1599" s="10" t="n">
        <x:f>K1599*'Assumptions'!$V$85</x:f>
        <x:v>0</x:v>
      </x:c>
      <x:c r="N1599" s="10" t="n">
        <x:f>K1599-L1599-M1599</x:f>
        <x:v>25914.20548816094</x:v>
      </x:c>
      <x:c r="O1599" s="10" t="n">
        <x:f>H1599*'Assumptions'!$P$85*'Assumptions'!$Q$85*'Assumptions'!$D$11*(1+'Assumptions'!$D$13)^(13-1)</x:f>
        <x:v>6569.901538663319</x:v>
      </x:c>
      <x:c r="P1599" s="10" t="n">
        <x:f>H1599*'Assumptions'!$R$85*'Assumptions'!$D$11*(1+'Assumptions'!$D$13)^(13-1)</x:f>
        <x:v>0</x:v>
      </x:c>
      <x:c r="Q1599" s="10" t="n">
        <x:f>J1599*'Assumptions'!$S$85</x:f>
        <x:v>0</x:v>
      </x:c>
      <x:c r="R1599" s="10" t="n">
        <x:f>H1599*'Assumptions'!$Y$85*'Assumptions'!$Z$85*'Assumptions'!$D$11*(1+'Assumptions'!$D$13)^(13-1)</x:f>
        <x:v>3754.229450664754</x:v>
      </x:c>
      <x:c r="S1599" s="10" t="n">
        <x:f>IF(I1599=0,0,J1599*'Assumptions'!$W$85+H1599*'Assumptions'!$X$85)</x:f>
        <x:v>1038.0686973011466</x:v>
      </x:c>
      <x:c r="T1599" s="10" t="n">
        <x:f>N1599*'Assumptions'!$AA$85</x:f>
        <x:v>1295.710274408047</x:v>
      </x:c>
      <x:c r="U1599" s="10" t="n">
        <x:f>'Assumptions'!$AE$85*'Assumptions'!$D$11*(1+'Assumptions'!$D$13)^(13-1)</x:f>
        <x:v>342.182612843083</x:v>
      </x:c>
      <x:c r="V1599" s="10" t="n">
        <x:f>0</x:f>
        <x:v>0</x:v>
      </x:c>
      <x:c r="W1599" s="10" t="n">
        <x:f>H1599*('Assumptions'!$P$85+'Assumptions'!$Y$85)</x:f>
        <x:v>219.42841686034797</x:v>
      </x:c>
      <x:c r="X1599" s="10" t="n">
        <x:f>N1599/12*'Assumptions'!$AF$85</x:f>
        <x:v>0</x:v>
      </x:c>
      <x:c r="Y1599" s="10" t="n">
        <x:f>P1599/12</x:f>
        <x:v>0</x:v>
      </x:c>
      <x:c r="Z1599" s="10" t="n">
        <x:f>0</x:f>
        <x:v>0</x:v>
      </x:c>
      <x:c r="AA1599" s="10" t="n">
        <x:f>Z1599*'Assumptions'!$AC$85*'Assumptions'!$D$11*(1+'Assumptions'!$D$13)^(13-1)</x:f>
        <x:v>0</x:v>
      </x:c>
      <x:c r="AB1599" s="10" t="n">
        <x:f>F1599/1</x:f>
        <x:v>664.6766368979847</x:v>
      </x:c>
      <x:c r="AC1599" s="10" t="n">
        <x:f>AB1599/'Assumptions'!$AM$85</x:f>
        <x:v>13293.532737959695</x:v>
      </x:c>
      <x:c r="AD1599" s="10" t="n">
        <x:f>IF(AB1599=0,0,T1599/AB1599)</x:f>
        <x:v>1.9493844111251861</x:v>
      </x:c>
      <x:c r="AE1599" s="10" t="n">
        <x:f>AA1599*'Assumptions'!$D$21</x:f>
        <x:v>0</x:v>
      </x:c>
    </x:row>
    <x:row r="1600" ht="16" customHeight="1">
      <x:c r="A1600" s="1"/>
      <x:c r="B1600" s="1"/>
      <x:c r="C1600" s="1" t="str">
        <x:v>DOT-057</x:v>
      </x:c>
      <x:c r="D1600" s="10" t="str">
        <x:v>VraiSkill Model Life</x:v>
      </x:c>
      <x:c r="E1600" s="10" t="n">
        <x:v>13</x:v>
      </x:c>
      <x:c r="F1600" s="21" t="n">
        <x:f>F1472*(1+'Assumptions'!$M$86)</x:f>
        <x:v>0</x:v>
      </x:c>
      <x:c r="G1600" s="21" t="n">
        <x:f>H1472*'Assumptions'!$K$86</x:f>
        <x:v>0</x:v>
      </x:c>
      <x:c r="H1600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1600+G1600,NA())</x:f>
        <x:v>0</x:v>
      </x:c>
      <x:c r="I1600" s="22" t="n">
        <x:f>'Assumptions'!$H$86*IF('Assumptions'!$O$86=1,1,'Assumptions'!$D$10)*(1+'Assumptions'!$N$86)^(13-1)</x:f>
        <x:v>0</x:v>
      </x:c>
      <x:c r="J1600" s="10" t="n">
        <x:f>H1600*I1600</x:f>
        <x:v>0</x:v>
      </x:c>
      <x:c r="K1600" s="10" t="n">
        <x:f>J1600*'Assumptions'!$T$86</x:f>
        <x:v>0</x:v>
      </x:c>
      <x:c r="L1600" s="10" t="n">
        <x:f>K1600*'Assumptions'!$U$86</x:f>
        <x:v>0</x:v>
      </x:c>
      <x:c r="M1600" s="10" t="n">
        <x:f>K1600*'Assumptions'!$V$86</x:f>
        <x:v>0</x:v>
      </x:c>
      <x:c r="N1600" s="10" t="n">
        <x:f>K1600-L1600-M1600</x:f>
        <x:v>0</x:v>
      </x:c>
      <x:c r="O1600" s="10" t="n">
        <x:f>H1600*'Assumptions'!$P$86*'Assumptions'!$Q$86*'Assumptions'!$D$11*(1+'Assumptions'!$D$13)^(13-1)</x:f>
        <x:v>0</x:v>
      </x:c>
      <x:c r="P1600" s="10" t="n">
        <x:f>H1600*'Assumptions'!$R$86*'Assumptions'!$D$11*(1+'Assumptions'!$D$13)^(13-1)</x:f>
        <x:v>0</x:v>
      </x:c>
      <x:c r="Q1600" s="10" t="n">
        <x:f>J1600*'Assumptions'!$S$86</x:f>
        <x:v>0</x:v>
      </x:c>
      <x:c r="R1600" s="10" t="n">
        <x:f>H1600*'Assumptions'!$Y$86*'Assumptions'!$Z$86*'Assumptions'!$D$11*(1+'Assumptions'!$D$13)^(13-1)</x:f>
        <x:v>0</x:v>
      </x:c>
      <x:c r="S1600" s="10" t="n">
        <x:f>IF(I1600=0,0,J1600*'Assumptions'!$W$86+H1600*'Assumptions'!$X$86)</x:f>
        <x:v>0</x:v>
      </x:c>
      <x:c r="T1600" s="10" t="n">
        <x:f>N1600*'Assumptions'!$AA$86</x:f>
        <x:v>0</x:v>
      </x:c>
      <x:c r="U1600" s="10" t="n">
        <x:f>'Assumptions'!$AE$86*'Assumptions'!$D$11*(1+'Assumptions'!$D$13)^(13-1)</x:f>
        <x:v>0</x:v>
      </x:c>
      <x:c r="V1600" s="10" t="n">
        <x:f>0</x:f>
        <x:v>0</x:v>
      </x:c>
      <x:c r="W1600" s="10" t="n">
        <x:f>H1600*('Assumptions'!$P$86+'Assumptions'!$Y$86)</x:f>
        <x:v>0</x:v>
      </x:c>
      <x:c r="X1600" s="10" t="n">
        <x:f>N1600/12*'Assumptions'!$AF$86</x:f>
        <x:v>0</x:v>
      </x:c>
      <x:c r="Y1600" s="10" t="n">
        <x:f>P1600/12</x:f>
        <x:v>0</x:v>
      </x:c>
      <x:c r="Z1600" s="10" t="n">
        <x:f>0</x:f>
        <x:v>0</x:v>
      </x:c>
      <x:c r="AA1600" s="10" t="n">
        <x:f>Z1600*'Assumptions'!$AC$86*'Assumptions'!$D$11*(1+'Assumptions'!$D$13)^(13-1)</x:f>
        <x:v>0</x:v>
      </x:c>
      <x:c r="AB1600" s="10" t="n">
        <x:f>F1600/1</x:f>
        <x:v>0</x:v>
      </x:c>
      <x:c r="AC1600" s="10" t="n">
        <x:f>AB1600/'Assumptions'!$AM$86</x:f>
        <x:v>0</x:v>
      </x:c>
      <x:c r="AD1600" s="10" t="n">
        <x:f>IF(AB1600=0,0,T1600/AB1600)</x:f>
        <x:v>0</x:v>
      </x:c>
      <x:c r="AE1600" s="10" t="n">
        <x:f>AA1600*'Assumptions'!$D$21</x:f>
        <x:v>0</x:v>
      </x:c>
    </x:row>
    <x:row r="1601" ht="16" customHeight="1">
      <x:c r="A1601" s="1"/>
      <x:c r="B1601" s="1"/>
      <x:c r="C1601" s="1" t="str">
        <x:v>DOT-058</x:v>
      </x:c>
      <x:c r="D1601" s="10" t="str">
        <x:v>Model Life</x:v>
      </x:c>
      <x:c r="E1601" s="10" t="n">
        <x:v>13</x:v>
      </x:c>
      <x:c r="F1601" s="21" t="n">
        <x:f>F1473*(1+'Assumptions'!$M$87)</x:f>
        <x:v>378.25551947021205</x:v>
      </x:c>
      <x:c r="G1601" s="21" t="n">
        <x:f>H1473*'Assumptions'!$K$87</x:f>
        <x:v>788.4838933577641</x:v>
      </x:c>
      <x:c r="H1601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1601+G1601,NA())</x:f>
        <x:v>1166.7394128279761</x:v>
      </x:c>
      <x:c r="I1601" s="22" t="n">
        <x:f>'Assumptions'!$H$87*IF('Assumptions'!$O$87=1,1,'Assumptions'!$D$10)*(1+'Assumptions'!$N$87)^(13-1)</x:f>
        <x:v>19.023626918438183</x:v>
      </x:c>
      <x:c r="J1601" s="10" t="n">
        <x:f>H1601*I1601</x:f>
        <x:v>22195.615300677047</x:v>
      </x:c>
      <x:c r="K1601" s="10" t="n">
        <x:f>J1601*'Assumptions'!$T$87</x:f>
        <x:v>22195.615300677047</x:v>
      </x:c>
      <x:c r="L1601" s="10" t="n">
        <x:f>K1601*'Assumptions'!$U$87</x:f>
        <x:v>665.8684590203114</x:v>
      </x:c>
      <x:c r="M1601" s="10" t="n">
        <x:f>K1601*'Assumptions'!$V$87</x:f>
        <x:v>0</x:v>
      </x:c>
      <x:c r="N1601" s="10" t="n">
        <x:f>K1601-L1601-M1601</x:f>
        <x:v>21529.746841656735</x:v>
      </x:c>
      <x:c r="O1601" s="10" t="n">
        <x:f>H1601*'Assumptions'!$P$87*'Assumptions'!$Q$87*'Assumptions'!$D$11*(1+'Assumptions'!$D$13)^(13-1)</x:f>
        <x:v>5822.21996983202</x:v>
      </x:c>
      <x:c r="P1601" s="10" t="n">
        <x:f>H1601*'Assumptions'!$R$87*'Assumptions'!$D$11*(1+'Assumptions'!$D$13)^(13-1)</x:f>
        <x:v>0</x:v>
      </x:c>
      <x:c r="Q1601" s="10" t="n">
        <x:f>J1601*'Assumptions'!$S$87</x:f>
        <x:v>0</x:v>
      </x:c>
      <x:c r="R1601" s="10" t="n">
        <x:f>H1601*'Assumptions'!$Y$87*'Assumptions'!$Z$87*'Assumptions'!$D$11*(1+'Assumptions'!$D$13)^(13-1)</x:f>
        <x:v>7485.711389784025</x:v>
      </x:c>
      <x:c r="S1601" s="10" t="n">
        <x:f>IF(I1601=0,0,J1601*'Assumptions'!$W$87+H1601*'Assumptions'!$X$87)</x:f>
        <x:v>993.6946675680273</x:v>
      </x:c>
      <x:c r="T1601" s="10" t="n">
        <x:f>N1601*'Assumptions'!$AA$87</x:f>
        <x:v>1076.487342082837</x:v>
      </x:c>
      <x:c r="U1601" s="10" t="n">
        <x:f>'Assumptions'!$AE$87*'Assumptions'!$D$11*(1+'Assumptions'!$D$13)^(13-1)</x:f>
        <x:v>85.54565321077075</x:v>
      </x:c>
      <x:c r="V1601" s="10" t="n">
        <x:f>0</x:f>
        <x:v>0</x:v>
      </x:c>
      <x:c r="W1601" s="10" t="n">
        <x:f>H1601*('Assumptions'!$P$87+'Assumptions'!$Y$87)</x:f>
        <x:v>291.68485320699403</x:v>
      </x:c>
      <x:c r="X1601" s="10" t="n">
        <x:f>N1601/12*'Assumptions'!$AF$87</x:f>
        <x:v>0</x:v>
      </x:c>
      <x:c r="Y1601" s="10" t="n">
        <x:f>P1601/12</x:f>
        <x:v>0</x:v>
      </x:c>
      <x:c r="Z1601" s="10" t="n">
        <x:f>0</x:f>
        <x:v>0</x:v>
      </x:c>
      <x:c r="AA1601" s="10" t="n">
        <x:f>Z1601*'Assumptions'!$AC$87*'Assumptions'!$D$11*(1+'Assumptions'!$D$13)^(13-1)</x:f>
        <x:v>0</x:v>
      </x:c>
      <x:c r="AB1601" s="10" t="n">
        <x:f>F1601/12</x:f>
        <x:v>31.52129328918434</x:v>
      </x:c>
      <x:c r="AC1601" s="10" t="n">
        <x:f>AB1601/'Assumptions'!$AM$87</x:f>
        <x:v>630.4258657836867</x:v>
      </x:c>
      <x:c r="AD1601" s="10" t="n">
        <x:f>IF(AB1601=0,0,T1601/AB1601)</x:f>
        <x:v>34.151115952218994</x:v>
      </x:c>
      <x:c r="AE1601" s="10" t="n">
        <x:f>AA1601*'Assumptions'!$D$21</x:f>
        <x:v>0</x:v>
      </x:c>
    </x:row>
    <x:row r="1602" ht="16" customHeight="1">
      <x:c r="A1602" s="1"/>
      <x:c r="B1602" s="1"/>
      <x:c r="C1602" s="1" t="str">
        <x:v>DOT-059</x:v>
      </x:c>
      <x:c r="D1602" s="10" t="str">
        <x:v>Model Life</x:v>
      </x:c>
      <x:c r="E1602" s="10" t="n">
        <x:v>13</x:v>
      </x:c>
      <x:c r="F1602" s="21" t="n">
        <x:f>F1474*(1+'Assumptions'!$M$88)</x:f>
        <x:v>94.56387986755301</x:v>
      </x:c>
      <x:c r="G1602" s="21" t="n">
        <x:f>H1474*'Assumptions'!$K$88</x:f>
        <x:v>197.12097333944104</x:v>
      </x:c>
      <x:c r="H1602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1602+G1602,NA())</x:f>
        <x:v>291.68485320699403</x:v>
      </x:c>
      <x:c r="I1602" s="22" t="n">
        <x:f>'Assumptions'!$H$88*IF('Assumptions'!$O$88=1,1,'Assumptions'!$D$10)*(1+'Assumptions'!$N$88)^(13-1)</x:f>
        <x:v>100.1911017704411</x:v>
      </x:c>
      <x:c r="J1602" s="10" t="n">
        <x:f>H1602*I1602</x:f>
        <x:v>29224.22681255811</x:v>
      </x:c>
      <x:c r="K1602" s="10" t="n">
        <x:f>J1602*'Assumptions'!$T$88</x:f>
        <x:v>29224.22681255811</x:v>
      </x:c>
      <x:c r="L1602" s="10" t="n">
        <x:f>K1602*'Assumptions'!$U$88</x:f>
        <x:v>876.7268043767433</x:v>
      </x:c>
      <x:c r="M1602" s="10" t="n">
        <x:f>K1602*'Assumptions'!$V$88</x:f>
        <x:v>0</x:v>
      </x:c>
      <x:c r="N1602" s="10" t="n">
        <x:f>K1602-L1602-M1602</x:f>
        <x:v>28347.500008181367</x:v>
      </x:c>
      <x:c r="O1602" s="10" t="n">
        <x:f>H1602*'Assumptions'!$P$88*'Assumptions'!$Q$88*'Assumptions'!$D$11*(1+'Assumptions'!$D$13)^(13-1)</x:f>
        <x:v>1455.554992458005</x:v>
      </x:c>
      <x:c r="P1602" s="10" t="n">
        <x:f>H1602*'Assumptions'!$R$88*'Assumptions'!$D$11*(1+'Assumptions'!$D$13)^(13-1)</x:f>
        <x:v>0</x:v>
      </x:c>
      <x:c r="Q1602" s="10" t="n">
        <x:f>J1602*'Assumptions'!$S$88</x:f>
        <x:v>0</x:v>
      </x:c>
      <x:c r="R1602" s="10" t="n">
        <x:f>H1602*'Assumptions'!$Y$88*'Assumptions'!$Z$88*'Assumptions'!$D$11*(1+'Assumptions'!$D$13)^(13-1)</x:f>
        <x:v>1871.4278474460064</x:v>
      </x:c>
      <x:c r="S1602" s="10" t="n">
        <x:f>IF(I1602=0,0,J1602*'Assumptions'!$W$88+H1602*'Assumptions'!$X$88)</x:f>
        <x:v>935.0080335262835</x:v>
      </x:c>
      <x:c r="T1602" s="10" t="n">
        <x:f>N1602*'Assumptions'!$AA$88</x:f>
        <x:v>1417.3750004090684</x:v>
      </x:c>
      <x:c r="U1602" s="10" t="n">
        <x:f>'Assumptions'!$AE$88*'Assumptions'!$D$11*(1+'Assumptions'!$D$13)^(13-1)</x:f>
        <x:v>85.54565321077075</x:v>
      </x:c>
      <x:c r="V1602" s="10" t="n">
        <x:f>0</x:f>
        <x:v>0</x:v>
      </x:c>
      <x:c r="W1602" s="10" t="n">
        <x:f>H1602*('Assumptions'!$P$88+'Assumptions'!$Y$88)</x:f>
        <x:v>72.92121330174851</x:v>
      </x:c>
      <x:c r="X1602" s="10" t="n">
        <x:f>N1602/12*'Assumptions'!$AF$88</x:f>
        <x:v>0</x:v>
      </x:c>
      <x:c r="Y1602" s="10" t="n">
        <x:f>P1602/12</x:f>
        <x:v>0</x:v>
      </x:c>
      <x:c r="Z1602" s="10" t="n">
        <x:f>0</x:f>
        <x:v>0</x:v>
      </x:c>
      <x:c r="AA1602" s="10" t="n">
        <x:f>Z1602*'Assumptions'!$AC$88*'Assumptions'!$D$11*(1+'Assumptions'!$D$13)^(13-1)</x:f>
        <x:v>0</x:v>
      </x:c>
      <x:c r="AB1602" s="10" t="n">
        <x:f>F1602/12</x:f>
        <x:v>7.880323322296085</x:v>
      </x:c>
      <x:c r="AC1602" s="10" t="n">
        <x:f>AB1602/'Assumptions'!$AM$88</x:f>
        <x:v>157.60646644592168</x:v>
      </x:c>
      <x:c r="AD1602" s="10" t="n">
        <x:f>IF(AB1602=0,0,T1602/AB1602)</x:f>
        <x:v>179.86254401502003</x:v>
      </x:c>
      <x:c r="AE1602" s="10" t="n">
        <x:f>AA1602*'Assumptions'!$D$21</x:f>
        <x:v>0</x:v>
      </x:c>
    </x:row>
    <x:row r="1603" ht="16" customHeight="1">
      <x:c r="A1603" s="1"/>
      <x:c r="B1603" s="1"/>
      <x:c r="C1603" s="1" t="str">
        <x:v>DOT-060</x:v>
      </x:c>
      <x:c r="D1603" s="10" t="str">
        <x:v>Model Life</x:v>
      </x:c>
      <x:c r="E1603" s="10" t="n">
        <x:v>13</x:v>
      </x:c>
      <x:c r="F1603" s="21" t="n">
        <x:f>F1475*(1+'Assumptions'!$M$89)</x:f>
        <x:v>94.56387986755301</x:v>
      </x:c>
      <x:c r="G1603" s="21" t="n">
        <x:f>H1475*'Assumptions'!$K$89</x:f>
        <x:v>197.12097333944104</x:v>
      </x:c>
      <x:c r="H1603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1603+G1603,NA())</x:f>
        <x:v>291.68485320699403</x:v>
      </x:c>
      <x:c r="I1603" s="22" t="n">
        <x:f>'Assumptions'!$H$89*IF('Assumptions'!$O$89=1,1,'Assumptions'!$D$10)*(1+'Assumptions'!$N$89)^(13-1)</x:f>
        <x:v>74.82626587919019</x:v>
      </x:c>
      <x:c r="J1603" s="10" t="n">
        <x:f>H1603*I1603</x:f>
        <x:v>21825.688378999097</x:v>
      </x:c>
      <x:c r="K1603" s="10" t="n">
        <x:f>J1603*'Assumptions'!$T$89</x:f>
        <x:v>21825.688378999097</x:v>
      </x:c>
      <x:c r="L1603" s="10" t="n">
        <x:f>K1603*'Assumptions'!$U$89</x:f>
        <x:v>654.7706513699729</x:v>
      </x:c>
      <x:c r="M1603" s="10" t="n">
        <x:f>K1603*'Assumptions'!$V$89</x:f>
        <x:v>0</x:v>
      </x:c>
      <x:c r="N1603" s="10" t="n">
        <x:f>K1603-L1603-M1603</x:f>
        <x:v>21170.917727629123</x:v>
      </x:c>
      <x:c r="O1603" s="10" t="n">
        <x:f>H1603*'Assumptions'!$P$89*'Assumptions'!$Q$89*'Assumptions'!$D$11*(1+'Assumptions'!$D$13)^(13-1)</x:f>
        <x:v>1455.554992458005</x:v>
      </x:c>
      <x:c r="P1603" s="10" t="n">
        <x:f>H1603*'Assumptions'!$R$89*'Assumptions'!$D$11*(1+'Assumptions'!$D$13)^(13-1)</x:f>
        <x:v>0</x:v>
      </x:c>
      <x:c r="Q1603" s="10" t="n">
        <x:f>J1603*'Assumptions'!$S$89</x:f>
        <x:v>0</x:v>
      </x:c>
      <x:c r="R1603" s="10" t="n">
        <x:f>H1603*'Assumptions'!$Y$89*'Assumptions'!$Z$89*'Assumptions'!$D$11*(1+'Assumptions'!$D$13)^(13-1)</x:f>
        <x:v>1871.4278474460064</x:v>
      </x:c>
      <x:c r="S1603" s="10" t="n">
        <x:f>IF(I1603=0,0,J1603*'Assumptions'!$W$89+H1603*'Assumptions'!$X$89)</x:f>
        <x:v>720.4504189530721</x:v>
      </x:c>
      <x:c r="T1603" s="10" t="n">
        <x:f>N1603*'Assumptions'!$AA$89</x:f>
        <x:v>1058.5458863814563</x:v>
      </x:c>
      <x:c r="U1603" s="10" t="n">
        <x:f>'Assumptions'!$AE$89*'Assumptions'!$D$11*(1+'Assumptions'!$D$13)^(13-1)</x:f>
        <x:v>85.54565321077075</x:v>
      </x:c>
      <x:c r="V1603" s="10" t="n">
        <x:f>0</x:f>
        <x:v>0</x:v>
      </x:c>
      <x:c r="W1603" s="10" t="n">
        <x:f>H1603*('Assumptions'!$P$89+'Assumptions'!$Y$89)</x:f>
        <x:v>72.92121330174851</x:v>
      </x:c>
      <x:c r="X1603" s="10" t="n">
        <x:f>N1603/12*'Assumptions'!$AF$89</x:f>
        <x:v>0</x:v>
      </x:c>
      <x:c r="Y1603" s="10" t="n">
        <x:f>P1603/12</x:f>
        <x:v>0</x:v>
      </x:c>
      <x:c r="Z1603" s="10" t="n">
        <x:f>0</x:f>
        <x:v>0</x:v>
      </x:c>
      <x:c r="AA1603" s="10" t="n">
        <x:f>Z1603*'Assumptions'!$AC$89*'Assumptions'!$D$11*(1+'Assumptions'!$D$13)^(13-1)</x:f>
        <x:v>0</x:v>
      </x:c>
      <x:c r="AB1603" s="10" t="n">
        <x:f>F1603/12</x:f>
        <x:v>7.880323322296085</x:v>
      </x:c>
      <x:c r="AC1603" s="10" t="n">
        <x:f>AB1603/'Assumptions'!$AM$89</x:f>
        <x:v>157.60646644592168</x:v>
      </x:c>
      <x:c r="AD1603" s="10" t="n">
        <x:f>IF(AB1603=0,0,T1603/AB1603)</x:f>
        <x:v>134.3277227453947</x:v>
      </x:c>
      <x:c r="AE1603" s="10" t="n">
        <x:f>AA1603*'Assumptions'!$D$21</x:f>
        <x:v>0</x:v>
      </x:c>
    </x:row>
    <x:row r="1604" ht="16" customHeight="1">
      <x:c r="A1604" s="1"/>
      <x:c r="B1604" s="1"/>
      <x:c r="C1604" s="1" t="str">
        <x:v>DOT-061</x:v>
      </x:c>
      <x:c r="D1604" s="10" t="str">
        <x:v>Model Life</x:v>
      </x:c>
      <x:c r="E1604" s="10" t="n">
        <x:v>13</x:v>
      </x:c>
      <x:c r="F1604" s="21" t="n">
        <x:f>F1476*(1+'Assumptions'!$M$90)</x:f>
        <x:v>47.281939933776506</x:v>
      </x:c>
      <x:c r="G1604" s="21" t="n">
        <x:f>H1476*'Assumptions'!$K$90</x:f>
        <x:v>98.56048666972052</x:v>
      </x:c>
      <x:c r="H1604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1604+G1604,NA())</x:f>
        <x:v>145.84242660349702</x:v>
      </x:c>
      <x:c r="I1604" s="22" t="n">
        <x:f>'Assumptions'!$H$90*IF('Assumptions'!$O$90=1,1,'Assumptions'!$D$10)*(1+'Assumptions'!$N$90)^(13-1)</x:f>
        <x:v>125.555937661692</x:v>
      </x:c>
      <x:c r="J1604" s="10" t="n">
        <x:f>H1604*I1604</x:f>
        <x:v>18311.382623058562</x:v>
      </x:c>
      <x:c r="K1604" s="10" t="n">
        <x:f>J1604*'Assumptions'!$T$90</x:f>
        <x:v>18311.382623058562</x:v>
      </x:c>
      <x:c r="L1604" s="10" t="n">
        <x:f>K1604*'Assumptions'!$U$90</x:f>
        <x:v>549.3414786917568</x:v>
      </x:c>
      <x:c r="M1604" s="10" t="n">
        <x:f>K1604*'Assumptions'!$V$90</x:f>
        <x:v>0</x:v>
      </x:c>
      <x:c r="N1604" s="10" t="n">
        <x:f>K1604-L1604-M1604</x:f>
        <x:v>17762.041144366805</x:v>
      </x:c>
      <x:c r="O1604" s="10" t="n">
        <x:f>H1604*'Assumptions'!$P$90*'Assumptions'!$Q$90*'Assumptions'!$D$11*(1+'Assumptions'!$D$13)^(13-1)</x:f>
        <x:v>727.7774962290025</x:v>
      </x:c>
      <x:c r="P1604" s="10" t="n">
        <x:f>H1604*'Assumptions'!$R$90*'Assumptions'!$D$11*(1+'Assumptions'!$D$13)^(13-1)</x:f>
        <x:v>0</x:v>
      </x:c>
      <x:c r="Q1604" s="10" t="n">
        <x:f>J1604*'Assumptions'!$S$90</x:f>
        <x:v>0</x:v>
      </x:c>
      <x:c r="R1604" s="10" t="n">
        <x:f>H1604*'Assumptions'!$Y$90*'Assumptions'!$Z$90*'Assumptions'!$D$11*(1+'Assumptions'!$D$13)^(13-1)</x:f>
        <x:v>935.7139237230032</x:v>
      </x:c>
      <x:c r="S1604" s="10" t="n">
        <x:f>IF(I1604=0,0,J1604*'Assumptions'!$W$90+H1604*'Assumptions'!$X$90)</x:f>
        <x:v>574.7828240497474</x:v>
      </x:c>
      <x:c r="T1604" s="10" t="n">
        <x:f>N1604*'Assumptions'!$AA$90</x:f>
        <x:v>888.1020572183403</x:v>
      </x:c>
      <x:c r="U1604" s="10" t="n">
        <x:f>'Assumptions'!$AE$90*'Assumptions'!$D$11*(1+'Assumptions'!$D$13)^(13-1)</x:f>
        <x:v>85.54565321077075</x:v>
      </x:c>
      <x:c r="V1604" s="10" t="n">
        <x:f>0</x:f>
        <x:v>0</x:v>
      </x:c>
      <x:c r="W1604" s="10" t="n">
        <x:f>H1604*('Assumptions'!$P$90+'Assumptions'!$Y$90)</x:f>
        <x:v>36.460606650874254</x:v>
      </x:c>
      <x:c r="X1604" s="10" t="n">
        <x:f>N1604/12*'Assumptions'!$AF$90</x:f>
        <x:v>0</x:v>
      </x:c>
      <x:c r="Y1604" s="10" t="n">
        <x:f>P1604/12</x:f>
        <x:v>0</x:v>
      </x:c>
      <x:c r="Z1604" s="10" t="n">
        <x:f>0</x:f>
        <x:v>0</x:v>
      </x:c>
      <x:c r="AA1604" s="10" t="n">
        <x:f>Z1604*'Assumptions'!$AC$90*'Assumptions'!$D$11*(1+'Assumptions'!$D$13)^(13-1)</x:f>
        <x:v>0</x:v>
      </x:c>
      <x:c r="AB1604" s="10" t="n">
        <x:f>F1604/12</x:f>
        <x:v>3.9401616611480423</x:v>
      </x:c>
      <x:c r="AC1604" s="10" t="n">
        <x:f>AB1604/'Assumptions'!$AM$90</x:f>
        <x:v>78.80323322296084</x:v>
      </x:c>
      <x:c r="AD1604" s="10" t="n">
        <x:f>IF(AB1604=0,0,T1604/AB1604)</x:f>
        <x:v>225.39736528464533</x:v>
      </x:c>
      <x:c r="AE1604" s="10" t="n">
        <x:f>AA1604*'Assumptions'!$D$21</x:f>
        <x:v>0</x:v>
      </x:c>
    </x:row>
    <x:row r="1605" ht="16" customHeight="1">
      <x:c r="A1605" s="1"/>
      <x:c r="B1605" s="1"/>
      <x:c r="C1605" s="1" t="str">
        <x:v>DOT-062</x:v>
      </x:c>
      <x:c r="D1605" s="10" t="str">
        <x:v>Model Life</x:v>
      </x:c>
      <x:c r="E1605" s="10" t="n">
        <x:v>13</x:v>
      </x:c>
      <x:c r="F1605" s="21" t="n">
        <x:f>F1477*(1+'Assumptions'!$M$91)</x:f>
        <x:v>47.281939933776506</x:v>
      </x:c>
      <x:c r="G1605" s="21" t="n">
        <x:f>H1477*'Assumptions'!$K$91</x:f>
        <x:v>98.56048666972052</x:v>
      </x:c>
      <x:c r="H1605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1605+G1605,NA())</x:f>
        <x:v>145.84242660349702</x:v>
      </x:c>
      <x:c r="I1605" s="22" t="n">
        <x:f>'Assumptions'!$H$91*IF('Assumptions'!$O$91=1,1,'Assumptions'!$D$10)*(1+'Assumptions'!$N$91)^(13-1)</x:f>
        <x:v>62.14384793356473</x:v>
      </x:c>
      <x:c r="J1605" s="10" t="n">
        <x:f>H1605*I1605</x:f>
        <x:v>9063.209581109793</x:v>
      </x:c>
      <x:c r="K1605" s="10" t="n">
        <x:f>J1605*'Assumptions'!$T$91</x:f>
        <x:v>9063.209581109793</x:v>
      </x:c>
      <x:c r="L1605" s="10" t="n">
        <x:f>K1605*'Assumptions'!$U$91</x:f>
        <x:v>271.89628743329376</x:v>
      </x:c>
      <x:c r="M1605" s="10" t="n">
        <x:f>K1605*'Assumptions'!$V$91</x:f>
        <x:v>0</x:v>
      </x:c>
      <x:c r="N1605" s="10" t="n">
        <x:f>K1605-L1605-M1605</x:f>
        <x:v>8791.3132936765</x:v>
      </x:c>
      <x:c r="O1605" s="10" t="n">
        <x:f>H1605*'Assumptions'!$P$91*'Assumptions'!$Q$91*'Assumptions'!$D$11*(1+'Assumptions'!$D$13)^(13-1)</x:f>
        <x:v>727.7774962290025</x:v>
      </x:c>
      <x:c r="P1605" s="10" t="n">
        <x:f>H1605*'Assumptions'!$R$91*'Assumptions'!$D$11*(1+'Assumptions'!$D$13)^(13-1)</x:f>
        <x:v>0</x:v>
      </x:c>
      <x:c r="Q1605" s="10" t="n">
        <x:f>J1605*'Assumptions'!$S$91</x:f>
        <x:v>0</x:v>
      </x:c>
      <x:c r="R1605" s="10" t="n">
        <x:f>H1605*'Assumptions'!$Y$91*'Assumptions'!$Z$91*'Assumptions'!$D$11*(1+'Assumptions'!$D$13)^(13-1)</x:f>
        <x:v>935.7139237230032</x:v>
      </x:c>
      <x:c r="S1605" s="10" t="n">
        <x:f>IF(I1605=0,0,J1605*'Assumptions'!$W$91+H1605*'Assumptions'!$X$91)</x:f>
        <x:v>306.58580583323317</x:v>
      </x:c>
      <x:c r="T1605" s="10" t="n">
        <x:f>N1605*'Assumptions'!$AA$91</x:f>
        <x:v>439.565664683825</x:v>
      </x:c>
      <x:c r="U1605" s="10" t="n">
        <x:f>'Assumptions'!$AE$91*'Assumptions'!$D$11*(1+'Assumptions'!$D$13)^(13-1)</x:f>
        <x:v>85.54565321077075</x:v>
      </x:c>
      <x:c r="V1605" s="10" t="n">
        <x:f>0</x:f>
        <x:v>0</x:v>
      </x:c>
      <x:c r="W1605" s="10" t="n">
        <x:f>H1605*('Assumptions'!$P$91+'Assumptions'!$Y$91)</x:f>
        <x:v>36.460606650874254</x:v>
      </x:c>
      <x:c r="X1605" s="10" t="n">
        <x:f>N1605/12*'Assumptions'!$AF$91</x:f>
        <x:v>0</x:v>
      </x:c>
      <x:c r="Y1605" s="10" t="n">
        <x:f>P1605/12</x:f>
        <x:v>0</x:v>
      </x:c>
      <x:c r="Z1605" s="10" t="n">
        <x:f>0</x:f>
        <x:v>0</x:v>
      </x:c>
      <x:c r="AA1605" s="10" t="n">
        <x:f>Z1605*'Assumptions'!$AC$91*'Assumptions'!$D$11*(1+'Assumptions'!$D$13)^(13-1)</x:f>
        <x:v>0</x:v>
      </x:c>
      <x:c r="AB1605" s="10" t="n">
        <x:f>F1605/12</x:f>
        <x:v>3.9401616611480423</x:v>
      </x:c>
      <x:c r="AC1605" s="10" t="n">
        <x:f>AB1605/'Assumptions'!$AM$91</x:f>
        <x:v>78.80323322296084</x:v>
      </x:c>
      <x:c r="AD1605" s="10" t="n">
        <x:f>IF(AB1605=0,0,T1605/AB1605)</x:f>
        <x:v>111.56031211058203</x:v>
      </x:c>
      <x:c r="AE1605" s="10" t="n">
        <x:f>AA1605*'Assumptions'!$D$21</x:f>
        <x:v>0</x:v>
      </x:c>
    </x:row>
    <x:row r="1606" ht="16" customHeight="1">
      <x:c r="A1606" s="1"/>
      <x:c r="B1606" s="1"/>
      <x:c r="C1606" s="1" t="str">
        <x:v>DOT-063</x:v>
      </x:c>
      <x:c r="D1606" s="10" t="str">
        <x:v>S’otality cleaning</x:v>
      </x:c>
      <x:c r="E1606" s="10" t="n">
        <x:v>13</x:v>
      </x:c>
      <x:c r="F1606" s="21" t="n">
        <x:f>F1478*(1+'Assumptions'!$M$92)</x:f>
        <x:v>89.02454765566127</x:v>
      </x:c>
      <x:c r="G1606" s="21" t="n">
        <x:f>H1478*'Assumptions'!$K$92</x:f>
        <x:v>123.9557553158406</x:v>
      </x:c>
      <x:c r="H1606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1606+G1606,NA())</x:f>
        <x:v>212.98030297150189</x:v>
      </x:c>
      <x:c r="I1606" s="22" t="n">
        <x:f>'Assumptions'!$H$92*IF('Assumptions'!$O$92=1,1,'Assumptions'!$D$10)*(1+'Assumptions'!$N$92)^(13-1)</x:f>
        <x:v>188.96802738981927</x:v>
      </x:c>
      <x:c r="J1606" s="10" t="n">
        <x:f>H1606*I1606</x:f>
        <x:v>40246.467725410774</x:v>
      </x:c>
      <x:c r="K1606" s="10" t="n">
        <x:f>J1606*'Assumptions'!$T$92</x:f>
        <x:v>40246.467725410774</x:v>
      </x:c>
      <x:c r="L1606" s="10" t="n">
        <x:f>K1606*'Assumptions'!$U$92</x:f>
        <x:v>1207.3940317623233</x:v>
      </x:c>
      <x:c r="M1606" s="10" t="n">
        <x:f>K1606*'Assumptions'!$V$92</x:f>
        <x:v>0</x:v>
      </x:c>
      <x:c r="N1606" s="10" t="n">
        <x:f>K1606-L1606-M1606</x:f>
        <x:v>39039.07369364845</x:v>
      </x:c>
      <x:c r="O1606" s="10" t="n">
        <x:f>H1606*'Assumptions'!$P$92*'Assumptions'!$Q$92*'Assumptions'!$D$11*(1+'Assumptions'!$D$13)^(13-1)</x:f>
        <x:v>1062.8064497589578</x:v>
      </x:c>
      <x:c r="P1606" s="10" t="n">
        <x:f>H1606*'Assumptions'!$R$92*'Assumptions'!$D$11*(1+'Assumptions'!$D$13)^(13-1)</x:f>
        <x:v>2429.2718851633317</x:v>
      </x:c>
      <x:c r="Q1606" s="10" t="n">
        <x:f>J1606*'Assumptions'!$S$92</x:f>
        <x:v>26160.204021517005</x:v>
      </x:c>
      <x:c r="R1606" s="10" t="n">
        <x:f>H1606*'Assumptions'!$Y$92*'Assumptions'!$Z$92*'Assumptions'!$D$11*(1+'Assumptions'!$D$13)^(13-1)</x:f>
        <x:v>1821.953913872499</x:v>
      </x:c>
      <x:c r="S1606" s="10" t="n">
        <x:f>IF(I1606=0,0,J1606*'Assumptions'!$W$92+H1606*'Assumptions'!$X$92)</x:f>
        <x:v>1231.041654928363</x:v>
      </x:c>
      <x:c r="T1606" s="10" t="n">
        <x:f>N1606*'Assumptions'!$AA$92</x:f>
        <x:v>1561.5629477459381</x:v>
      </x:c>
      <x:c r="U1606" s="10" t="n">
        <x:f>'Assumptions'!$AE$92*'Assumptions'!$D$11*(1+'Assumptions'!$D$13)^(13-1)</x:f>
        <x:v>0</x:v>
      </x:c>
      <x:c r="V1606" s="10" t="n">
        <x:f>0</x:f>
        <x:v>0</x:v>
      </x:c>
      <x:c r="W1606" s="10" t="n">
        <x:f>H1606*('Assumptions'!$P$92+'Assumptions'!$Y$92)</x:f>
        <x:v>63.894090891450574</x:v>
      </x:c>
      <x:c r="X1606" s="10" t="n">
        <x:f>N1606/12*'Assumptions'!$AF$92</x:f>
        <x:v>0</x:v>
      </x:c>
      <x:c r="Y1606" s="10" t="n">
        <x:f>P1606/12</x:f>
        <x:v>202.439323763611</x:v>
      </x:c>
      <x:c r="Z1606" s="10" t="n">
        <x:f>0</x:f>
        <x:v>0</x:v>
      </x:c>
      <x:c r="AA1606" s="10" t="n">
        <x:f>Z1606*'Assumptions'!$AC$92*'Assumptions'!$D$11*(1+'Assumptions'!$D$13)^(13-1)</x:f>
        <x:v>0</x:v>
      </x:c>
      <x:c r="AB1606" s="10" t="n">
        <x:f>F1606/1</x:f>
        <x:v>89.02454765566127</x:v>
      </x:c>
      <x:c r="AC1606" s="10" t="n">
        <x:f>AB1606/'Assumptions'!$AM$92</x:f>
        <x:v>593.4969843710751</x:v>
      </x:c>
      <x:c r="AD1606" s="10" t="n">
        <x:f>IF(AB1606=0,0,T1606/AB1606)</x:f>
        <x:v>17.540813055135303</x:v>
      </x:c>
      <x:c r="AE1606" s="10" t="n">
        <x:f>AA1606*'Assumptions'!$D$21</x:f>
        <x:v>0</x:v>
      </x:c>
    </x:row>
    <x:row r="1607" ht="16" customHeight="1">
      <x:c r="A1607" s="1"/>
      <x:c r="B1607" s="1"/>
      <x:c r="C1607" s="1" t="str">
        <x:v>DOT-064</x:v>
      </x:c>
      <x:c r="D1607" s="10" t="str">
        <x:v>S’otality cleaning</x:v>
      </x:c>
      <x:c r="E1607" s="10" t="n">
        <x:v>13</x:v>
      </x:c>
      <x:c r="F1607" s="21" t="n">
        <x:f>F1479*(1+'Assumptions'!$M$93)</x:f>
        <x:v>133.53682148349185</x:v>
      </x:c>
      <x:c r="G1607" s="21" t="n">
        <x:f>H1479*'Assumptions'!$K$93</x:f>
        <x:v>185.93363297376087</x:v>
      </x:c>
      <x:c r="H1607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1607+G1607,NA())</x:f>
        <x:v>319.4704544572527</x:v>
      </x:c>
      <x:c r="I1607" s="22" t="n">
        <x:f>'Assumptions'!$H$93*IF('Assumptions'!$O$93=1,1,'Assumptions'!$D$10)*(1+'Assumptions'!$N$93)^(13-1)</x:f>
        <x:v>176.28560944419382</x:v>
      </x:c>
      <x:c r="J1607" s="10" t="n">
        <x:f>H1607*I1607</x:f>
        <x:v>56318.04376341036</x:v>
      </x:c>
      <x:c r="K1607" s="10" t="n">
        <x:f>J1607*'Assumptions'!$T$93</x:f>
        <x:v>56318.04376341036</x:v>
      </x:c>
      <x:c r="L1607" s="10" t="n">
        <x:f>K1607*'Assumptions'!$U$93</x:f>
        <x:v>1689.5413129023107</x:v>
      </x:c>
      <x:c r="M1607" s="10" t="n">
        <x:f>K1607*'Assumptions'!$V$93</x:f>
        <x:v>0</x:v>
      </x:c>
      <x:c r="N1607" s="10" t="n">
        <x:f>K1607-L1607-M1607</x:f>
        <x:v>54628.50245050805</x:v>
      </x:c>
      <x:c r="O1607" s="10" t="n">
        <x:f>H1607*'Assumptions'!$P$93*'Assumptions'!$Q$93*'Assumptions'!$D$11*(1+'Assumptions'!$D$13)^(13-1)</x:f>
        <x:v>1594.2096746384357</x:v>
      </x:c>
      <x:c r="P1607" s="10" t="n">
        <x:f>H1607*'Assumptions'!$R$93*'Assumptions'!$D$11*(1+'Assumptions'!$D$13)^(13-1)</x:f>
        <x:v>3643.907827744996</x:v>
      </x:c>
      <x:c r="Q1607" s="10" t="n">
        <x:f>J1607*'Assumptions'!$S$93</x:f>
        <x:v>36606.72844621674</x:v>
      </x:c>
      <x:c r="R1607" s="10" t="n">
        <x:f>H1607*'Assumptions'!$Y$93*'Assumptions'!$Z$93*'Assumptions'!$D$11*(1+'Assumptions'!$D$13)^(13-1)</x:f>
        <x:v>2732.930870808747</x:v>
      </x:c>
      <x:c r="S1607" s="10" t="n">
        <x:f>IF(I1607=0,0,J1607*'Assumptions'!$W$93+H1607*'Assumptions'!$X$93)</x:f>
        <x:v>1729.0644054760762</x:v>
      </x:c>
      <x:c r="T1607" s="10" t="n">
        <x:f>N1607*'Assumptions'!$AA$93</x:f>
        <x:v>2185.140098020322</x:v>
      </x:c>
      <x:c r="U1607" s="10" t="n">
        <x:f>'Assumptions'!$AE$93*'Assumptions'!$D$11*(1+'Assumptions'!$D$13)^(13-1)</x:f>
        <x:v>0</x:v>
      </x:c>
      <x:c r="V1607" s="10" t="n">
        <x:f>0</x:f>
        <x:v>0</x:v>
      </x:c>
      <x:c r="W1607" s="10" t="n">
        <x:f>H1607*('Assumptions'!$P$93+'Assumptions'!$Y$93)</x:f>
        <x:v>95.84113633717583</x:v>
      </x:c>
      <x:c r="X1607" s="10" t="n">
        <x:f>N1607/12*'Assumptions'!$AF$93</x:f>
        <x:v>0</x:v>
      </x:c>
      <x:c r="Y1607" s="10" t="n">
        <x:f>P1607/12</x:f>
        <x:v>303.65898564541635</x:v>
      </x:c>
      <x:c r="Z1607" s="10" t="n">
        <x:f>0</x:f>
        <x:v>0</x:v>
      </x:c>
      <x:c r="AA1607" s="10" t="n">
        <x:f>Z1607*'Assumptions'!$AC$93*'Assumptions'!$D$11*(1+'Assumptions'!$D$13)^(13-1)</x:f>
        <x:v>0</x:v>
      </x:c>
      <x:c r="AB1607" s="10" t="n">
        <x:f>F1607/1</x:f>
        <x:v>133.53682148349185</x:v>
      </x:c>
      <x:c r="AC1607" s="10" t="n">
        <x:f>AB1607/'Assumptions'!$AM$93</x:f>
        <x:v>890.2454765566124</x:v>
      </x:c>
      <x:c r="AD1607" s="10" t="n">
        <x:f>IF(AB1607=0,0,T1607/AB1607)</x:f>
        <x:v>16.363577279622866</x:v>
      </x:c>
      <x:c r="AE1607" s="10" t="n">
        <x:f>AA1607*'Assumptions'!$D$21</x:f>
        <x:v>0</x:v>
      </x:c>
    </x:row>
    <x:row r="1608" ht="16" customHeight="1">
      <x:c r="A1608" s="1"/>
      <x:c r="B1608" s="1"/>
      <x:c r="C1608" s="1" t="str">
        <x:v>DOT-065</x:v>
      </x:c>
      <x:c r="D1608" s="10" t="str">
        <x:v>S’otality cleaning</x:v>
      </x:c>
      <x:c r="E1608" s="10" t="n">
        <x:v>13</x:v>
      </x:c>
      <x:c r="F1608" s="21" t="n">
        <x:f>F1480*(1+'Assumptions'!$M$94)</x:f>
        <x:v>89.02454765566127</x:v>
      </x:c>
      <x:c r="G1608" s="21" t="n">
        <x:f>H1480*'Assumptions'!$K$94</x:f>
        <x:v>123.9557553158406</x:v>
      </x:c>
      <x:c r="H1608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1608+G1608,NA())</x:f>
        <x:v>212.98030297150189</x:v>
      </x:c>
      <x:c r="I1608" s="22" t="n">
        <x:f>'Assumptions'!$H$94*IF('Assumptions'!$O$94=1,1,'Assumptions'!$D$10)*(1+'Assumptions'!$N$94)^(13-1)</x:f>
        <x:v>201.65044533544474</x:v>
      </x:c>
      <x:c r="J1608" s="10" t="n">
        <x:f>H1608*I1608</x:f>
        <x:v>42947.5729418813</x:v>
      </x:c>
      <x:c r="K1608" s="10" t="n">
        <x:f>J1608*'Assumptions'!$T$94</x:f>
        <x:v>42947.5729418813</x:v>
      </x:c>
      <x:c r="L1608" s="10" t="n">
        <x:f>K1608*'Assumptions'!$U$94</x:f>
        <x:v>1288.427188256439</x:v>
      </x:c>
      <x:c r="M1608" s="10" t="n">
        <x:f>K1608*'Assumptions'!$V$94</x:f>
        <x:v>0</x:v>
      </x:c>
      <x:c r="N1608" s="10" t="n">
        <x:f>K1608-L1608-M1608</x:f>
        <x:v>41659.14575362486</x:v>
      </x:c>
      <x:c r="O1608" s="10" t="n">
        <x:f>H1608*'Assumptions'!$P$94*'Assumptions'!$Q$94*'Assumptions'!$D$11*(1+'Assumptions'!$D$13)^(13-1)</x:f>
        <x:v>1062.8064497589578</x:v>
      </x:c>
      <x:c r="P1608" s="10" t="n">
        <x:f>H1608*'Assumptions'!$R$94*'Assumptions'!$D$11*(1+'Assumptions'!$D$13)^(13-1)</x:f>
        <x:v>2429.2718851633317</x:v>
      </x:c>
      <x:c r="Q1608" s="10" t="n">
        <x:f>J1608*'Assumptions'!$S$94</x:f>
        <x:v>27915.922412222844</x:v>
      </x:c>
      <x:c r="R1608" s="10" t="n">
        <x:f>H1608*'Assumptions'!$Y$94*'Assumptions'!$Z$94*'Assumptions'!$D$11*(1+'Assumptions'!$D$13)^(13-1)</x:f>
        <x:v>1821.953913872499</x:v>
      </x:c>
      <x:c r="S1608" s="10" t="n">
        <x:f>IF(I1608=0,0,J1608*'Assumptions'!$W$94+H1608*'Assumptions'!$X$94)</x:f>
        <x:v>1309.3737062060084</x:v>
      </x:c>
      <x:c r="T1608" s="10" t="n">
        <x:f>N1608*'Assumptions'!$AA$94</x:f>
        <x:v>1666.3658301449946</x:v>
      </x:c>
      <x:c r="U1608" s="10" t="n">
        <x:f>'Assumptions'!$AE$94*'Assumptions'!$D$11*(1+'Assumptions'!$D$13)^(13-1)</x:f>
        <x:v>0</x:v>
      </x:c>
      <x:c r="V1608" s="10" t="n">
        <x:f>0</x:f>
        <x:v>0</x:v>
      </x:c>
      <x:c r="W1608" s="10" t="n">
        <x:f>H1608*('Assumptions'!$P$94+'Assumptions'!$Y$94)</x:f>
        <x:v>63.894090891450574</x:v>
      </x:c>
      <x:c r="X1608" s="10" t="n">
        <x:f>N1608/12*'Assumptions'!$AF$94</x:f>
        <x:v>0</x:v>
      </x:c>
      <x:c r="Y1608" s="10" t="n">
        <x:f>P1608/12</x:f>
        <x:v>202.439323763611</x:v>
      </x:c>
      <x:c r="Z1608" s="10" t="n">
        <x:f>0</x:f>
        <x:v>0</x:v>
      </x:c>
      <x:c r="AA1608" s="10" t="n">
        <x:f>Z1608*'Assumptions'!$AC$94*'Assumptions'!$D$11*(1+'Assumptions'!$D$13)^(13-1)</x:f>
        <x:v>0</x:v>
      </x:c>
      <x:c r="AB1608" s="10" t="n">
        <x:f>F1608/1</x:f>
        <x:v>89.02454765566127</x:v>
      </x:c>
      <x:c r="AC1608" s="10" t="n">
        <x:f>AB1608/'Assumptions'!$AM$94</x:f>
        <x:v>593.4969843710751</x:v>
      </x:c>
      <x:c r="AD1608" s="10" t="n">
        <x:f>IF(AB1608=0,0,T1608/AB1608)</x:f>
        <x:v>18.718048830647742</x:v>
      </x:c>
      <x:c r="AE1608" s="10" t="n">
        <x:f>AA1608*'Assumptions'!$D$21</x:f>
        <x:v>0</x:v>
      </x:c>
    </x:row>
    <x:row r="1609" ht="16" customHeight="1">
      <x:c r="A1609" s="1"/>
      <x:c r="B1609" s="1"/>
      <x:c r="C1609" s="1" t="str">
        <x:v>DOT-066</x:v>
      </x:c>
      <x:c r="D1609" s="10" t="str">
        <x:v>S’otality cleaning</x:v>
      </x:c>
      <x:c r="E1609" s="10" t="n">
        <x:v>13</x:v>
      </x:c>
      <x:c r="F1609" s="21" t="n">
        <x:f>F1481*(1+'Assumptions'!$M$95)</x:f>
        <x:v>133.53682148349185</x:v>
      </x:c>
      <x:c r="G1609" s="21" t="n">
        <x:f>H1481*'Assumptions'!$K$95</x:f>
        <x:v>185.93363297376087</x:v>
      </x:c>
      <x:c r="H1609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1609+G1609,NA())</x:f>
        <x:v>319.4704544572527</x:v>
      </x:c>
      <x:c r="I1609" s="22" t="n">
        <x:f>'Assumptions'!$H$95*IF('Assumptions'!$O$95=1,1,'Assumptions'!$D$10)*(1+'Assumptions'!$N$95)^(13-1)</x:f>
        <x:v>188.96802738981927</x:v>
      </x:c>
      <x:c r="J1609" s="10" t="n">
        <x:f>H1609*I1609</x:f>
        <x:v>60369.701588116135</x:v>
      </x:c>
      <x:c r="K1609" s="10" t="n">
        <x:f>J1609*'Assumptions'!$T$95</x:f>
        <x:v>60369.701588116135</x:v>
      </x:c>
      <x:c r="L1609" s="10" t="n">
        <x:f>K1609*'Assumptions'!$U$95</x:f>
        <x:v>1811.091047643484</x:v>
      </x:c>
      <x:c r="M1609" s="10" t="n">
        <x:f>K1609*'Assumptions'!$V$95</x:f>
        <x:v>0</x:v>
      </x:c>
      <x:c r="N1609" s="10" t="n">
        <x:f>K1609-L1609-M1609</x:f>
        <x:v>58558.61054047265</x:v>
      </x:c>
      <x:c r="O1609" s="10" t="n">
        <x:f>H1609*'Assumptions'!$P$95*'Assumptions'!$Q$95*'Assumptions'!$D$11*(1+'Assumptions'!$D$13)^(13-1)</x:f>
        <x:v>1594.2096746384357</x:v>
      </x:c>
      <x:c r="P1609" s="10" t="n">
        <x:f>H1609*'Assumptions'!$R$95*'Assumptions'!$D$11*(1+'Assumptions'!$D$13)^(13-1)</x:f>
        <x:v>3643.907827744996</x:v>
      </x:c>
      <x:c r="Q1609" s="10" t="n">
        <x:f>J1609*'Assumptions'!$S$95</x:f>
        <x:v>39240.30603227549</x:v>
      </x:c>
      <x:c r="R1609" s="10" t="n">
        <x:f>H1609*'Assumptions'!$Y$95*'Assumptions'!$Z$95*'Assumptions'!$D$11*(1+'Assumptions'!$D$13)^(13-1)</x:f>
        <x:v>2732.930870808747</x:v>
      </x:c>
      <x:c r="S1609" s="10" t="n">
        <x:f>IF(I1609=0,0,J1609*'Assumptions'!$W$95+H1609*'Assumptions'!$X$95)</x:f>
        <x:v>1846.5624823925439</x:v>
      </x:c>
      <x:c r="T1609" s="10" t="n">
        <x:f>N1609*'Assumptions'!$AA$95</x:f>
        <x:v>2342.344421618906</x:v>
      </x:c>
      <x:c r="U1609" s="10" t="n">
        <x:f>'Assumptions'!$AE$95*'Assumptions'!$D$11*(1+'Assumptions'!$D$13)^(13-1)</x:f>
        <x:v>0</x:v>
      </x:c>
      <x:c r="V1609" s="10" t="n">
        <x:f>0</x:f>
        <x:v>0</x:v>
      </x:c>
      <x:c r="W1609" s="10" t="n">
        <x:f>H1609*('Assumptions'!$P$95+'Assumptions'!$Y$95)</x:f>
        <x:v>95.84113633717583</x:v>
      </x:c>
      <x:c r="X1609" s="10" t="n">
        <x:f>N1609/12*'Assumptions'!$AF$95</x:f>
        <x:v>0</x:v>
      </x:c>
      <x:c r="Y1609" s="10" t="n">
        <x:f>P1609/12</x:f>
        <x:v>303.65898564541635</x:v>
      </x:c>
      <x:c r="Z1609" s="10" t="n">
        <x:f>0</x:f>
        <x:v>0</x:v>
      </x:c>
      <x:c r="AA1609" s="10" t="n">
        <x:f>Z1609*'Assumptions'!$AC$95*'Assumptions'!$D$11*(1+'Assumptions'!$D$13)^(13-1)</x:f>
        <x:v>0</x:v>
      </x:c>
      <x:c r="AB1609" s="10" t="n">
        <x:f>F1609/1</x:f>
        <x:v>133.53682148349185</x:v>
      </x:c>
      <x:c r="AC1609" s="10" t="n">
        <x:f>AB1609/'Assumptions'!$AM$95</x:f>
        <x:v>890.2454765566124</x:v>
      </x:c>
      <x:c r="AD1609" s="10" t="n">
        <x:f>IF(AB1609=0,0,T1609/AB1609)</x:f>
        <x:v>17.540813055135303</x:v>
      </x:c>
      <x:c r="AE1609" s="10" t="n">
        <x:f>AA1609*'Assumptions'!$D$21</x:f>
        <x:v>0</x:v>
      </x:c>
    </x:row>
    <x:row r="1610" ht="16" customHeight="1">
      <x:c r="A1610" s="1"/>
      <x:c r="B1610" s="1"/>
      <x:c r="C1610" s="1" t="str">
        <x:v>DOT-067</x:v>
      </x:c>
      <x:c r="D1610" s="10" t="str">
        <x:v>S’otality cleaning</x:v>
      </x:c>
      <x:c r="E1610" s="10" t="n">
        <x:v>13</x:v>
      </x:c>
      <x:c r="F1610" s="21" t="n">
        <x:f>F1482*(1+'Assumptions'!$M$96)</x:f>
        <x:v>59.34969843710752</x:v>
      </x:c>
      <x:c r="G1610" s="21" t="n">
        <x:f>H1482*'Assumptions'!$K$96</x:f>
        <x:v>82.63717021056046</x:v>
      </x:c>
      <x:c r="H1610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1610+G1610,NA())</x:f>
        <x:v>141.98686864766796</x:v>
      </x:c>
      <x:c r="I1610" s="22" t="n">
        <x:f>'Assumptions'!$H$96*IF('Assumptions'!$O$96=1,1,'Assumptions'!$D$10)*(1+'Assumptions'!$N$96)^(13-1)</x:f>
        <x:v>252.38011711794655</x:v>
      </x:c>
      <x:c r="J1610" s="10" t="n">
        <x:f>H1610*I1610</x:f>
        <x:v>35834.662538508936</x:v>
      </x:c>
      <x:c r="K1610" s="10" t="n">
        <x:f>J1610*'Assumptions'!$T$96</x:f>
        <x:v>35834.662538508936</x:v>
      </x:c>
      <x:c r="L1610" s="10" t="n">
        <x:f>K1610*'Assumptions'!$U$96</x:f>
        <x:v>1075.039876155268</x:v>
      </x:c>
      <x:c r="M1610" s="10" t="n">
        <x:f>K1610*'Assumptions'!$V$96</x:f>
        <x:v>0</x:v>
      </x:c>
      <x:c r="N1610" s="10" t="n">
        <x:f>K1610-L1610-M1610</x:f>
        <x:v>34759.622662353664</x:v>
      </x:c>
      <x:c r="O1610" s="10" t="n">
        <x:f>H1610*'Assumptions'!$P$96*'Assumptions'!$Q$96*'Assumptions'!$D$11*(1+'Assumptions'!$D$13)^(13-1)</x:f>
        <x:v>708.5376331726387</x:v>
      </x:c>
      <x:c r="P1610" s="10" t="n">
        <x:f>H1610*'Assumptions'!$R$96*'Assumptions'!$D$11*(1+'Assumptions'!$D$13)^(13-1)</x:f>
        <x:v>1619.5145901088883</x:v>
      </x:c>
      <x:c r="Q1610" s="10" t="n">
        <x:f>J1610*'Assumptions'!$S$96</x:f>
        <x:v>23292.53065003081</x:v>
      </x:c>
      <x:c r="R1610" s="10" t="n">
        <x:f>H1610*'Assumptions'!$Y$96*'Assumptions'!$Z$96*'Assumptions'!$D$11*(1+'Assumptions'!$D$13)^(13-1)</x:f>
        <x:v>1214.6359425816663</x:v>
      </x:c>
      <x:c r="S1610" s="10" t="n">
        <x:f>IF(I1610=0,0,J1610*'Assumptions'!$W$96+H1610*'Assumptions'!$X$96)</x:f>
        <x:v>1081.8012742110595</x:v>
      </x:c>
      <x:c r="T1610" s="10" t="n">
        <x:f>N1610*'Assumptions'!$AA$96</x:f>
        <x:v>1390.3849064941467</x:v>
      </x:c>
      <x:c r="U1610" s="10" t="n">
        <x:f>'Assumptions'!$AE$96*'Assumptions'!$D$11*(1+'Assumptions'!$D$13)^(13-1)</x:f>
        <x:v>0</x:v>
      </x:c>
      <x:c r="V1610" s="10" t="n">
        <x:f>0</x:f>
        <x:v>0</x:v>
      </x:c>
      <x:c r="W1610" s="10" t="n">
        <x:f>H1610*('Assumptions'!$P$96+'Assumptions'!$Y$96)</x:f>
        <x:v>42.5960605943004</x:v>
      </x:c>
      <x:c r="X1610" s="10" t="n">
        <x:f>N1610/12*'Assumptions'!$AF$96</x:f>
        <x:v>0</x:v>
      </x:c>
      <x:c r="Y1610" s="10" t="n">
        <x:f>P1610/12</x:f>
        <x:v>134.9595491757407</x:v>
      </x:c>
      <x:c r="Z1610" s="10" t="n">
        <x:f>0</x:f>
        <x:v>0</x:v>
      </x:c>
      <x:c r="AA1610" s="10" t="n">
        <x:f>Z1610*'Assumptions'!$AC$96*'Assumptions'!$D$11*(1+'Assumptions'!$D$13)^(13-1)</x:f>
        <x:v>0</x:v>
      </x:c>
      <x:c r="AB1610" s="10" t="n">
        <x:f>F1610/1</x:f>
        <x:v>59.34969843710752</x:v>
      </x:c>
      <x:c r="AC1610" s="10" t="n">
        <x:f>AB1610/'Assumptions'!$AM$96</x:f>
        <x:v>395.6646562473835</x:v>
      </x:c>
      <x:c r="AD1610" s="10" t="n">
        <x:f>IF(AB1610=0,0,T1610/AB1610)</x:f>
        <x:v>23.42699193269749</x:v>
      </x:c>
      <x:c r="AE1610" s="10" t="n">
        <x:f>AA1610*'Assumptions'!$D$21</x:f>
        <x:v>0</x:v>
      </x:c>
    </x:row>
    <x:row r="1611" ht="16" customHeight="1">
      <x:c r="A1611" s="1"/>
      <x:c r="B1611" s="1"/>
      <x:c r="C1611" s="1" t="str">
        <x:v>DOT-068</x:v>
      </x:c>
      <x:c r="D1611" s="10" t="str">
        <x:v>S’otality cleaning</x:v>
      </x:c>
      <x:c r="E1611" s="10" t="n">
        <x:v>13</x:v>
      </x:c>
      <x:c r="F1611" s="21" t="n">
        <x:f>F1483*(1+'Assumptions'!$M$97)</x:f>
        <x:v>89.02454765566127</x:v>
      </x:c>
      <x:c r="G1611" s="21" t="n">
        <x:f>H1483*'Assumptions'!$K$97</x:f>
        <x:v>123.9557553158406</x:v>
      </x:c>
      <x:c r="H1611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1611+G1611,NA())</x:f>
        <x:v>212.98030297150189</x:v>
      </x:c>
      <x:c r="I1611" s="22" t="n">
        <x:f>'Assumptions'!$H$97*IF('Assumptions'!$O$97=1,1,'Assumptions'!$D$10)*(1+'Assumptions'!$N$97)^(13-1)</x:f>
        <x:v>239.6976991723211</x:v>
      </x:c>
      <x:c r="J1611" s="10" t="n">
        <x:f>H1611*I1611</x:f>
        <x:v>51050.88859129287</x:v>
      </x:c>
      <x:c r="K1611" s="10" t="n">
        <x:f>J1611*'Assumptions'!$T$97</x:f>
        <x:v>51050.88859129287</x:v>
      </x:c>
      <x:c r="L1611" s="10" t="n">
        <x:f>K1611*'Assumptions'!$U$97</x:f>
        <x:v>1531.526657738786</x:v>
      </x:c>
      <x:c r="M1611" s="10" t="n">
        <x:f>K1611*'Assumptions'!$V$97</x:f>
        <x:v>0</x:v>
      </x:c>
      <x:c r="N1611" s="10" t="n">
        <x:f>K1611-L1611-M1611</x:f>
        <x:v>49519.36193355408</x:v>
      </x:c>
      <x:c r="O1611" s="10" t="n">
        <x:f>H1611*'Assumptions'!$P$97*'Assumptions'!$Q$97*'Assumptions'!$D$11*(1+'Assumptions'!$D$13)^(13-1)</x:f>
        <x:v>1062.8064497589578</x:v>
      </x:c>
      <x:c r="P1611" s="10" t="n">
        <x:f>H1611*'Assumptions'!$R$97*'Assumptions'!$D$11*(1+'Assumptions'!$D$13)^(13-1)</x:f>
        <x:v>2429.2718851633317</x:v>
      </x:c>
      <x:c r="Q1611" s="10" t="n">
        <x:f>J1611*'Assumptions'!$S$97</x:f>
        <x:v>33183.07758434037</x:v>
      </x:c>
      <x:c r="R1611" s="10" t="n">
        <x:f>H1611*'Assumptions'!$Y$97*'Assumptions'!$Z$97*'Assumptions'!$D$11*(1+'Assumptions'!$D$13)^(13-1)</x:f>
        <x:v>1821.953913872499</x:v>
      </x:c>
      <x:c r="S1611" s="10" t="n">
        <x:f>IF(I1611=0,0,J1611*'Assumptions'!$W$97+H1611*'Assumptions'!$X$97)</x:f>
        <x:v>1544.3698600389437</x:v>
      </x:c>
      <x:c r="T1611" s="10" t="n">
        <x:f>N1611*'Assumptions'!$AA$97</x:f>
        <x:v>1980.7744773421632</x:v>
      </x:c>
      <x:c r="U1611" s="10" t="n">
        <x:f>'Assumptions'!$AE$97*'Assumptions'!$D$11*(1+'Assumptions'!$D$13)^(13-1)</x:f>
        <x:v>0</x:v>
      </x:c>
      <x:c r="V1611" s="10" t="n">
        <x:f>0</x:f>
        <x:v>0</x:v>
      </x:c>
      <x:c r="W1611" s="10" t="n">
        <x:f>H1611*('Assumptions'!$P$97+'Assumptions'!$Y$97)</x:f>
        <x:v>63.894090891450574</x:v>
      </x:c>
      <x:c r="X1611" s="10" t="n">
        <x:f>N1611/12*'Assumptions'!$AF$97</x:f>
        <x:v>0</x:v>
      </x:c>
      <x:c r="Y1611" s="10" t="n">
        <x:f>P1611/12</x:f>
        <x:v>202.439323763611</x:v>
      </x:c>
      <x:c r="Z1611" s="10" t="n">
        <x:f>0</x:f>
        <x:v>0</x:v>
      </x:c>
      <x:c r="AA1611" s="10" t="n">
        <x:f>Z1611*'Assumptions'!$AC$97*'Assumptions'!$D$11*(1+'Assumptions'!$D$13)^(13-1)</x:f>
        <x:v>0</x:v>
      </x:c>
      <x:c r="AB1611" s="10" t="n">
        <x:f>F1611/1</x:f>
        <x:v>89.02454765566127</x:v>
      </x:c>
      <x:c r="AC1611" s="10" t="n">
        <x:f>AB1611/'Assumptions'!$AM$97</x:f>
        <x:v>593.4969843710751</x:v>
      </x:c>
      <x:c r="AD1611" s="10" t="n">
        <x:f>IF(AB1611=0,0,T1611/AB1611)</x:f>
        <x:v>22.24975615718505</x:v>
      </x:c>
      <x:c r="AE1611" s="10" t="n">
        <x:f>AA1611*'Assumptions'!$D$21</x:f>
        <x:v>0</x:v>
      </x:c>
    </x:row>
    <x:row r="1612" ht="16" customHeight="1">
      <x:c r="A1612" s="1"/>
      <x:c r="B1612" s="1"/>
      <x:c r="C1612" s="1" t="str">
        <x:v>DOT-069</x:v>
      </x:c>
      <x:c r="D1612" s="10" t="str">
        <x:v>S’otality cleaning</x:v>
      </x:c>
      <x:c r="E1612" s="10" t="n">
        <x:v>13</x:v>
      </x:c>
      <x:c r="F1612" s="21" t="n">
        <x:f>F1484*(1+'Assumptions'!$M$98)</x:f>
        <x:v>29.67484921855376</x:v>
      </x:c>
      <x:c r="G1612" s="21" t="n">
        <x:f>H1484*'Assumptions'!$K$98</x:f>
        <x:v>41.31858510528023</x:v>
      </x:c>
      <x:c r="H1612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1612+G1612,NA())</x:f>
        <x:v>70.99343432383398</x:v>
      </x:c>
      <x:c r="I1612" s="22" t="n">
        <x:f>'Assumptions'!$H$98*IF('Assumptions'!$O$98=1,1,'Assumptions'!$D$10)*(1+'Assumptions'!$N$98)^(13-1)</x:f>
        <x:v>379.2042965742011</x:v>
      </x:c>
      <x:c r="J1612" s="10" t="n">
        <x:f>H1612*I1612</x:f>
        <x:v>26921.01532415621</x:v>
      </x:c>
      <x:c r="K1612" s="10" t="n">
        <x:f>J1612*'Assumptions'!$T$98</x:f>
        <x:v>26921.01532415621</x:v>
      </x:c>
      <x:c r="L1612" s="10" t="n">
        <x:f>K1612*'Assumptions'!$U$98</x:f>
        <x:v>807.6304597246863</x:v>
      </x:c>
      <x:c r="M1612" s="10" t="n">
        <x:f>K1612*'Assumptions'!$V$98</x:f>
        <x:v>0</x:v>
      </x:c>
      <x:c r="N1612" s="10" t="n">
        <x:f>K1612-L1612-M1612</x:f>
        <x:v>26113.384864431526</x:v>
      </x:c>
      <x:c r="O1612" s="10" t="n">
        <x:f>H1612*'Assumptions'!$P$98*'Assumptions'!$Q$98*'Assumptions'!$D$11*(1+'Assumptions'!$D$13)^(13-1)</x:f>
        <x:v>354.26881658631936</x:v>
      </x:c>
      <x:c r="P1612" s="10" t="n">
        <x:f>H1612*'Assumptions'!$R$98*'Assumptions'!$D$11*(1+'Assumptions'!$D$13)^(13-1)</x:f>
        <x:v>809.7572950544442</x:v>
      </x:c>
      <x:c r="Q1612" s="10" t="n">
        <x:f>J1612*'Assumptions'!$S$98</x:f>
        <x:v>17498.659960701538</x:v>
      </x:c>
      <x:c r="R1612" s="10" t="n">
        <x:f>H1612*'Assumptions'!$Y$98*'Assumptions'!$Z$98*'Assumptions'!$D$11*(1+'Assumptions'!$D$13)^(13-1)</x:f>
        <x:v>607.3179712908332</x:v>
      </x:c>
      <x:c r="S1612" s="10" t="n">
        <x:f>IF(I1612=0,0,J1612*'Assumptions'!$W$98+H1612*'Assumptions'!$X$98)</x:f>
        <x:v>802.0074746976803</x:v>
      </x:c>
      <x:c r="T1612" s="10" t="n">
        <x:f>N1612*'Assumptions'!$AA$98</x:f>
        <x:v>1044.535394577261</x:v>
      </x:c>
      <x:c r="U1612" s="10" t="n">
        <x:f>'Assumptions'!$AE$98*'Assumptions'!$D$11*(1+'Assumptions'!$D$13)^(13-1)</x:f>
        <x:v>0</x:v>
      </x:c>
      <x:c r="V1612" s="10" t="n">
        <x:f>0</x:f>
        <x:v>0</x:v>
      </x:c>
      <x:c r="W1612" s="10" t="n">
        <x:f>H1612*('Assumptions'!$P$98+'Assumptions'!$Y$98)</x:f>
        <x:v>21.2980302971502</x:v>
      </x:c>
      <x:c r="X1612" s="10" t="n">
        <x:f>N1612/12*'Assumptions'!$AF$98</x:f>
        <x:v>0</x:v>
      </x:c>
      <x:c r="Y1612" s="10" t="n">
        <x:f>P1612/12</x:f>
        <x:v>67.47977458787035</x:v>
      </x:c>
      <x:c r="Z1612" s="10" t="n">
        <x:f>0</x:f>
        <x:v>0</x:v>
      </x:c>
      <x:c r="AA1612" s="10" t="n">
        <x:f>Z1612*'Assumptions'!$AC$98*'Assumptions'!$D$11*(1+'Assumptions'!$D$13)^(13-1)</x:f>
        <x:v>0</x:v>
      </x:c>
      <x:c r="AB1612" s="10" t="n">
        <x:f>F1612/1</x:f>
        <x:v>29.67484921855376</x:v>
      </x:c>
      <x:c r="AC1612" s="10" t="n">
        <x:f>AB1612/'Assumptions'!$AM$98</x:f>
        <x:v>197.83232812369175</x:v>
      </x:c>
      <x:c r="AD1612" s="10" t="n">
        <x:f>IF(AB1612=0,0,T1612/AB1612)</x:f>
        <x:v>35.19934968782186</x:v>
      </x:c>
      <x:c r="AE1612" s="10" t="n">
        <x:f>AA1612*'Assumptions'!$D$21</x:f>
        <x:v>0</x:v>
      </x:c>
    </x:row>
    <x:row r="1613" ht="16" customHeight="1">
      <x:c r="A1613" s="1"/>
      <x:c r="B1613" s="1"/>
      <x:c r="C1613" s="1" t="str">
        <x:v>DOT-070</x:v>
      </x:c>
      <x:c r="D1613" s="10" t="str">
        <x:v>S’otality laundry</x:v>
      </x:c>
      <x:c r="E1613" s="10" t="n">
        <x:v>13</x:v>
      </x:c>
      <x:c r="F1613" s="21" t="n">
        <x:f>F1485*(1+'Assumptions'!$M$99)</x:f>
        <x:v>267.0736429669837</x:v>
      </x:c>
      <x:c r="G1613" s="21" t="n">
        <x:f>H1485*'Assumptions'!$K$99</x:f>
        <x:v>371.86726594752173</x:v>
      </x:c>
      <x:c r="H1613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1613+G1613,NA())</x:f>
        <x:v>638.9409089145054</x:v>
      </x:c>
      <x:c r="I1613" s="22" t="n">
        <x:f>'Assumptions'!$H$99*IF('Assumptions'!$O$99=1,1,'Assumptions'!$D$10)*(1+'Assumptions'!$N$99)^(13-1)</x:f>
        <x:v>76.09450767375273</x:v>
      </x:c>
      <x:c r="J1613" s="10" t="n">
        <x:f>H1613*I1613</x:f>
        <x:v>48619.89389646937</x:v>
      </x:c>
      <x:c r="K1613" s="10" t="n">
        <x:f>J1613*'Assumptions'!$T$99</x:f>
        <x:v>48619.89389646937</x:v>
      </x:c>
      <x:c r="L1613" s="10" t="n">
        <x:f>K1613*'Assumptions'!$U$99</x:f>
        <x:v>1458.5968168940813</x:v>
      </x:c>
      <x:c r="M1613" s="10" t="n">
        <x:f>K1613*'Assumptions'!$V$99</x:f>
        <x:v>0</x:v>
      </x:c>
      <x:c r="N1613" s="10" t="n">
        <x:f>K1613-L1613-M1613</x:f>
        <x:v>47161.29707957529</x:v>
      </x:c>
      <x:c r="O1613" s="10" t="n">
        <x:f>H1613*'Assumptions'!$P$99*'Assumptions'!$Q$99*'Assumptions'!$D$11*(1+'Assumptions'!$D$13)^(13-1)</x:f>
        <x:v>3188.4193492768713</x:v>
      </x:c>
      <x:c r="P1613" s="10" t="n">
        <x:f>H1613*'Assumptions'!$R$99*'Assumptions'!$D$11*(1+'Assumptions'!$D$13)^(13-1)</x:f>
        <x:v>0</x:v>
      </x:c>
      <x:c r="Q1613" s="10" t="n">
        <x:f>J1613*'Assumptions'!$S$99</x:f>
        <x:v>31602.931032705095</x:v>
      </x:c>
      <x:c r="R1613" s="10" t="n">
        <x:f>H1613*'Assumptions'!$Y$99*'Assumptions'!$Z$99*'Assumptions'!$D$11*(1+'Assumptions'!$D$13)^(13-1)</x:f>
        <x:v>5465.861741617494</x:v>
      </x:c>
      <x:c r="S1613" s="10" t="n">
        <x:f>IF(I1613=0,0,J1613*'Assumptions'!$W$99+H1613*'Assumptions'!$X$99)</x:f>
        <x:v>1601.6591956719635</x:v>
      </x:c>
      <x:c r="T1613" s="10" t="n">
        <x:f>N1613*'Assumptions'!$AA$99</x:f>
        <x:v>1886.4518831830117</x:v>
      </x:c>
      <x:c r="U1613" s="10" t="n">
        <x:f>'Assumptions'!$AE$99*'Assumptions'!$D$11*(1+'Assumptions'!$D$13)^(13-1)</x:f>
        <x:v>0</x:v>
      </x:c>
      <x:c r="V1613" s="10" t="n">
        <x:f>0</x:f>
        <x:v>0</x:v>
      </x:c>
      <x:c r="W1613" s="10" t="n">
        <x:f>H1613*('Assumptions'!$P$99+'Assumptions'!$Y$99)</x:f>
        <x:v>191.68227267435165</x:v>
      </x:c>
      <x:c r="X1613" s="10" t="n">
        <x:f>N1613/12*'Assumptions'!$AF$99</x:f>
        <x:v>0</x:v>
      </x:c>
      <x:c r="Y1613" s="10" t="n">
        <x:f>P1613/12</x:f>
        <x:v>0</x:v>
      </x:c>
      <x:c r="Z1613" s="10" t="n">
        <x:f>0</x:f>
        <x:v>0</x:v>
      </x:c>
      <x:c r="AA1613" s="10" t="n">
        <x:f>Z1613*'Assumptions'!$AC$99*'Assumptions'!$D$11*(1+'Assumptions'!$D$13)^(13-1)</x:f>
        <x:v>0</x:v>
      </x:c>
      <x:c r="AB1613" s="10" t="n">
        <x:f>F1613/1</x:f>
        <x:v>267.0736429669837</x:v>
      </x:c>
      <x:c r="AC1613" s="10" t="n">
        <x:f>AB1613/'Assumptions'!$AM$99</x:f>
        <x:v>1780.4909531132248</x:v>
      </x:c>
      <x:c r="AD1613" s="10" t="n">
        <x:f>IF(AB1613=0,0,T1613/AB1613)</x:f>
        <x:v>7.063414653074618</x:v>
      </x:c>
      <x:c r="AE1613" s="10" t="n">
        <x:f>AA1613*'Assumptions'!$D$21</x:f>
        <x:v>0</x:v>
      </x:c>
    </x:row>
    <x:row r="1614" ht="16" customHeight="1">
      <x:c r="A1614" s="1"/>
      <x:c r="B1614" s="1"/>
      <x:c r="C1614" s="1" t="str">
        <x:v>DOT-071</x:v>
      </x:c>
      <x:c r="D1614" s="10" t="str">
        <x:v>S’otality Personal Chef</x:v>
      </x:c>
      <x:c r="E1614" s="10" t="n">
        <x:v>13</x:v>
      </x:c>
      <x:c r="F1614" s="21" t="n">
        <x:f>F1486*(1+'Assumptions'!$M$100)</x:f>
        <x:v>44.51227382783063</x:v>
      </x:c>
      <x:c r="G1614" s="21" t="n">
        <x:f>H1486*'Assumptions'!$K$100</x:f>
        <x:v>61.94522592288031</x:v>
      </x:c>
      <x:c r="H1614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1614+G1614,NA())</x:f>
        <x:v>106.45749975071095</x:v>
      </x:c>
      <x:c r="I1614" s="22" t="n">
        <x:f>'Assumptions'!$H$100*IF('Assumptions'!$O$100=1,1,'Assumptions'!$D$10)*(1+'Assumptions'!$N$100)^(13-1)</x:f>
        <x:v>824.3571664656546</x:v>
      </x:c>
      <x:c r="J1614" s="10" t="n">
        <x:f>H1614*I1614</x:f>
        <x:v>87759.00284351422</x:v>
      </x:c>
      <x:c r="K1614" s="10" t="n">
        <x:f>J1614*'Assumptions'!$T$100</x:f>
        <x:v>87759.00284351422</x:v>
      </x:c>
      <x:c r="L1614" s="10" t="n">
        <x:f>K1614*'Assumptions'!$U$100</x:f>
        <x:v>2632.770085305426</x:v>
      </x:c>
      <x:c r="M1614" s="10" t="n">
        <x:f>K1614*'Assumptions'!$V$100</x:f>
        <x:v>0</x:v>
      </x:c>
      <x:c r="N1614" s="10" t="n">
        <x:f>K1614-L1614-M1614</x:f>
        <x:v>85126.23275820879</x:v>
      </x:c>
      <x:c r="O1614" s="10" t="n">
        <x:f>H1614*'Assumptions'!$P$100*'Assumptions'!$Q$100*'Assumptions'!$D$11*(1+'Assumptions'!$D$13)^(13-1)</x:f>
        <x:v>3035.6587851200106</x:v>
      </x:c>
      <x:c r="P1614" s="10" t="n">
        <x:f>H1614*'Assumptions'!$R$100*'Assumptions'!$D$11*(1+'Assumptions'!$D$13)^(13-1)</x:f>
        <x:v>15178.293925600057</x:v>
      </x:c>
      <x:c r="Q1614" s="10" t="n">
        <x:f>J1614*'Assumptions'!$S$100</x:f>
        <x:v>43879.50142175711</x:v>
      </x:c>
      <x:c r="R1614" s="10" t="n">
        <x:f>H1614*'Assumptions'!$Y$100*'Assumptions'!$Z$100*'Assumptions'!$D$11*(1+'Assumptions'!$D$13)^(13-1)</x:f>
        <x:v>910.6976355360035</x:v>
      </x:c>
      <x:c r="S1614" s="10" t="n">
        <x:f>IF(I1614=0,0,J1614*'Assumptions'!$W$100+H1614*'Assumptions'!$X$100)</x:f>
        <x:v>2576.9483323871254</x:v>
      </x:c>
      <x:c r="T1614" s="10" t="n">
        <x:f>N1614*'Assumptions'!$AA$100</x:f>
        <x:v>3405.0493103283516</x:v>
      </x:c>
      <x:c r="U1614" s="10" t="n">
        <x:f>'Assumptions'!$AE$100*'Assumptions'!$D$11*(1+'Assumptions'!$D$13)^(13-1)</x:f>
        <x:v>0</x:v>
      </x:c>
      <x:c r="V1614" s="10" t="n">
        <x:f>0</x:f>
        <x:v>0</x:v>
      </x:c>
      <x:c r="W1614" s="10" t="n">
        <x:f>H1614*('Assumptions'!$P$100+'Assumptions'!$Y$100)</x:f>
        <x:v>74.52024982549766</x:v>
      </x:c>
      <x:c r="X1614" s="10" t="n">
        <x:f>N1614/12*'Assumptions'!$AF$100</x:f>
        <x:v>0</x:v>
      </x:c>
      <x:c r="Y1614" s="10" t="n">
        <x:f>P1614/12</x:f>
        <x:v>1264.857827133338</x:v>
      </x:c>
      <x:c r="Z1614" s="10" t="n">
        <x:f>0</x:f>
        <x:v>0</x:v>
      </x:c>
      <x:c r="AA1614" s="10" t="n">
        <x:f>Z1614*'Assumptions'!$AC$100*'Assumptions'!$D$11*(1+'Assumptions'!$D$13)^(13-1)</x:f>
        <x:v>0</x:v>
      </x:c>
      <x:c r="AB1614" s="10" t="n">
        <x:f>F1614/1</x:f>
        <x:v>44.51227382783063</x:v>
      </x:c>
      <x:c r="AC1614" s="10" t="n">
        <x:f>AB1614/'Assumptions'!$AM$100</x:f>
        <x:v>296.74849218553754</x:v>
      </x:c>
      <x:c r="AD1614" s="10" t="n">
        <x:f>IF(AB1614=0,0,T1614/AB1614)</x:f>
        <x:v>76.49686294388752</x:v>
      </x:c>
      <x:c r="AE1614" s="10" t="n">
        <x:f>AA1614*'Assumptions'!$D$21</x:f>
        <x:v>0</x:v>
      </x:c>
    </x:row>
    <x:row r="1615" ht="16" customHeight="1">
      <x:c r="A1615" s="1"/>
      <x:c r="B1615" s="1"/>
      <x:c r="C1615" s="1" t="str">
        <x:v>DOT-072</x:v>
      </x:c>
      <x:c r="D1615" s="10" t="str">
        <x:v>S’otality interiors</x:v>
      </x:c>
      <x:c r="E1615" s="10" t="n">
        <x:v>13</x:v>
      </x:c>
      <x:c r="F1615" s="21" t="n">
        <x:f>F1487*(1+'Assumptions'!$M$101)</x:f>
        <x:v>16.69210268543648</x:v>
      </x:c>
      <x:c r="G1615" s="21" t="n">
        <x:f>H1487*'Assumptions'!$K$101</x:f>
        <x:v>15.74086907603088</x:v>
      </x:c>
      <x:c r="H1615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1615+G1615,NA())</x:f>
        <x:v>32.43297176146736</x:v>
      </x:c>
      <x:c r="I1615" s="22" t="n">
        <x:f>'Assumptions'!$H$101*IF('Assumptions'!$O$101=1,1,'Assumptions'!$D$10)*(1+'Assumptions'!$N$101)^(13-1)</x:f>
        <x:v>1902.3626918438183</x:v>
      </x:c>
      <x:c r="J1615" s="10" t="n">
        <x:f>H1615*I1615</x:f>
        <x:v>61699.275464639584</x:v>
      </x:c>
      <x:c r="K1615" s="10" t="n">
        <x:f>J1615*'Assumptions'!$T$101</x:f>
        <x:v>61699.275464639584</x:v>
      </x:c>
      <x:c r="L1615" s="10" t="n">
        <x:f>K1615*'Assumptions'!$U$101</x:f>
        <x:v>1850.9782639391874</x:v>
      </x:c>
      <x:c r="M1615" s="10" t="n">
        <x:f>K1615*'Assumptions'!$V$101</x:f>
        <x:v>0</x:v>
      </x:c>
      <x:c r="N1615" s="10" t="n">
        <x:f>K1615-L1615-M1615</x:f>
        <x:v>59848.2972007004</x:v>
      </x:c>
      <x:c r="O1615" s="10" t="n">
        <x:f>H1615*'Assumptions'!$P$101*'Assumptions'!$Q$101*'Assumptions'!$D$11*(1+'Assumptions'!$D$13)^(13-1)</x:f>
        <x:v>25432.914419927733</x:v>
      </x:c>
      <x:c r="P1615" s="10" t="n">
        <x:f>H1615*'Assumptions'!$R$101*'Assumptions'!$D$11*(1+'Assumptions'!$D$13)^(13-1)</x:f>
        <x:v>2312.0831290843394</x:v>
      </x:c>
      <x:c r="Q1615" s="10" t="n">
        <x:f>J1615*'Assumptions'!$S$101</x:f>
        <x:v>0</x:v>
      </x:c>
      <x:c r="R1615" s="10" t="n">
        <x:f>H1615*'Assumptions'!$Y$101*'Assumptions'!$Z$101*'Assumptions'!$D$11*(1+'Assumptions'!$D$13)^(13-1)</x:f>
        <x:v>346.8124693626509</x:v>
      </x:c>
      <x:c r="S1615" s="10" t="n">
        <x:f>IF(I1615=0,0,J1615*'Assumptions'!$W$101+H1615*'Assumptions'!$X$101)</x:f>
        <x:v>1799.0088800029882</x:v>
      </x:c>
      <x:c r="T1615" s="10" t="n">
        <x:f>N1615*'Assumptions'!$AA$101</x:f>
        <x:v>2393.931888028016</x:v>
      </x:c>
      <x:c r="U1615" s="10" t="n">
        <x:f>'Assumptions'!$AE$101*'Assumptions'!$D$11*(1+'Assumptions'!$D$13)^(13-1)</x:f>
        <x:v>0</x:v>
      </x:c>
      <x:c r="V1615" s="10" t="n">
        <x:f>0</x:f>
        <x:v>0</x:v>
      </x:c>
      <x:c r="W1615" s="10" t="n">
        <x:f>H1615*('Assumptions'!$P$101+'Assumptions'!$Y$101)</x:f>
        <x:v>332.43796055504043</x:v>
      </x:c>
      <x:c r="X1615" s="10" t="n">
        <x:f>N1615/12*'Assumptions'!$AF$101</x:f>
        <x:v>4987.358100058366</x:v>
      </x:c>
      <x:c r="Y1615" s="10" t="n">
        <x:f>P1615/12</x:f>
        <x:v>192.6735940903616</x:v>
      </x:c>
      <x:c r="Z1615" s="10" t="n">
        <x:f>0</x:f>
        <x:v>0</x:v>
      </x:c>
      <x:c r="AA1615" s="10" t="n">
        <x:f>Z1615*'Assumptions'!$AC$101*'Assumptions'!$D$11*(1+'Assumptions'!$D$13)^(13-1)</x:f>
        <x:v>0</x:v>
      </x:c>
      <x:c r="AB1615" s="10" t="n">
        <x:f>F1615/1</x:f>
        <x:v>16.69210268543648</x:v>
      </x:c>
      <x:c r="AC1615" s="10" t="n">
        <x:f>AB1615/'Assumptions'!$AM$101</x:f>
        <x:v>83.4605134271824</x:v>
      </x:c>
      <x:c r="AD1615" s="10" t="n">
        <x:f>IF(AB1615=0,0,T1615/AB1615)</x:f>
        <x:v>143.4170357768451</x:v>
      </x:c>
      <x:c r="AE1615" s="10" t="n">
        <x:f>AA1615*'Assumptions'!$D$21</x:f>
        <x:v>0</x:v>
      </x:c>
    </x:row>
    <x:row r="1616" ht="16" customHeight="1">
      <x:c r="A1616" s="1"/>
      <x:c r="B1616" s="1"/>
      <x:c r="C1616" s="1" t="str">
        <x:v>DOT-073</x:v>
      </x:c>
      <x:c r="D1616" s="10" t="str">
        <x:v>S’otality interiors</x:v>
      </x:c>
      <x:c r="E1616" s="10" t="n">
        <x:v>13</x:v>
      </x:c>
      <x:c r="F1616" s="21" t="n">
        <x:f>F1488*(1+'Assumptions'!$M$102)</x:f>
        <x:v>44.51227382783063</x:v>
      </x:c>
      <x:c r="G1616" s="21" t="n">
        <x:f>H1488*'Assumptions'!$K$102</x:f>
        <x:v>61.9778776579203</x:v>
      </x:c>
      <x:c r="H1616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1616+G1616,NA())</x:f>
        <x:v>106.49015148575094</x:v>
      </x:c>
      <x:c r="I1616" s="22" t="n">
        <x:f>'Assumptions'!$H$102*IF('Assumptions'!$O$102=1,1,'Assumptions'!$D$10)*(1+'Assumptions'!$N$102)^(13-1)</x:f>
        <x:v>380.47253836876365</x:v>
      </x:c>
      <x:c r="J1616" s="10" t="n">
        <x:f>H1616*I1616</x:f>
        <x:v>40516.57824705783</x:v>
      </x:c>
      <x:c r="K1616" s="10" t="n">
        <x:f>J1616*'Assumptions'!$T$102</x:f>
        <x:v>40516.57824705783</x:v>
      </x:c>
      <x:c r="L1616" s="10" t="n">
        <x:f>K1616*'Assumptions'!$U$102</x:f>
        <x:v>1215.4973474117348</x:v>
      </x:c>
      <x:c r="M1616" s="10" t="n">
        <x:f>K1616*'Assumptions'!$V$102</x:f>
        <x:v>0</x:v>
      </x:c>
      <x:c r="N1616" s="10" t="n">
        <x:f>K1616-L1616-M1616</x:f>
        <x:v>39301.08089964609</x:v>
      </x:c>
      <x:c r="O1616" s="10" t="n">
        <x:f>H1616*'Assumptions'!$P$102*'Assumptions'!$Q$102*'Assumptions'!$D$11*(1+'Assumptions'!$D$13)^(13-1)</x:f>
        <x:v>1328.5080621986972</x:v>
      </x:c>
      <x:c r="P1616" s="10" t="n">
        <x:f>H1616*'Assumptions'!$R$102*'Assumptions'!$D$11*(1+'Assumptions'!$D$13)^(13-1)</x:f>
        <x:v>0</x:v>
      </x:c>
      <x:c r="Q1616" s="10" t="n">
        <x:f>J1616*'Assumptions'!$S$102</x:f>
        <x:v>24309.946948234694</x:v>
      </x:c>
      <x:c r="R1616" s="10" t="n">
        <x:f>H1616*'Assumptions'!$Y$102*'Assumptions'!$Z$102*'Assumptions'!$D$11*(1+'Assumptions'!$D$13)^(13-1)</x:f>
        <x:v>910.9769569362495</x:v>
      </x:c>
      <x:c r="S1616" s="10" t="n">
        <x:f>IF(I1616=0,0,J1616*'Assumptions'!$W$102+H1616*'Assumptions'!$X$102)</x:f>
        <x:v>1206.9278146104023</x:v>
      </x:c>
      <x:c r="T1616" s="10" t="n">
        <x:f>N1616*'Assumptions'!$AA$102</x:f>
        <x:v>1572.0432359858437</x:v>
      </x:c>
      <x:c r="U1616" s="10" t="n">
        <x:f>'Assumptions'!$AE$102*'Assumptions'!$D$11*(1+'Assumptions'!$D$13)^(13-1)</x:f>
        <x:v>0</x:v>
      </x:c>
      <x:c r="V1616" s="10" t="n">
        <x:f>0</x:f>
        <x:v>0</x:v>
      </x:c>
      <x:c r="W1616" s="10" t="n">
        <x:f>H1616*('Assumptions'!$P$102+'Assumptions'!$Y$102)</x:f>
        <x:v>47.92056816858793</x:v>
      </x:c>
      <x:c r="X1616" s="10" t="n">
        <x:f>N1616/12*'Assumptions'!$AF$102</x:f>
        <x:v>0</x:v>
      </x:c>
      <x:c r="Y1616" s="10" t="n">
        <x:f>P1616/12</x:f>
        <x:v>0</x:v>
      </x:c>
      <x:c r="Z1616" s="10" t="n">
        <x:f>0</x:f>
        <x:v>0</x:v>
      </x:c>
      <x:c r="AA1616" s="10" t="n">
        <x:f>Z1616*'Assumptions'!$AC$102*'Assumptions'!$D$11*(1+'Assumptions'!$D$13)^(13-1)</x:f>
        <x:v>0</x:v>
      </x:c>
      <x:c r="AB1616" s="10" t="n">
        <x:f>F1616/1</x:f>
        <x:v>44.51227382783063</x:v>
      </x:c>
      <x:c r="AC1616" s="10" t="n">
        <x:f>AB1616/'Assumptions'!$AM$102</x:f>
        <x:v>296.74849218553754</x:v>
      </x:c>
      <x:c r="AD1616" s="10" t="n">
        <x:f>IF(AB1616=0,0,T1616/AB1616)</x:f>
        <x:v>35.3170732653731</x:v>
      </x:c>
      <x:c r="AE1616" s="10" t="n">
        <x:f>AA1616*'Assumptions'!$D$21</x:f>
        <x:v>0</x:v>
      </x:c>
    </x:row>
    <x:row r="1617" ht="16" customHeight="1">
      <x:c r="A1617" s="1"/>
      <x:c r="B1617" s="1"/>
      <x:c r="C1617" s="1" t="str">
        <x:v>DOT-074</x:v>
      </x:c>
      <x:c r="D1617" s="10" t="str">
        <x:v>S’otality interiors</x:v>
      </x:c>
      <x:c r="E1617" s="10" t="n">
        <x:v>13</x:v>
      </x:c>
      <x:c r="F1617" s="21" t="n">
        <x:f>F1489*(1+'Assumptions'!$M$103)</x:f>
        <x:v>18.9127759735106</x:v>
      </x:c>
      <x:c r="G1617" s="21" t="n">
        <x:f>H1489*'Assumptions'!$K$103</x:f>
        <x:v>39.507242391094195</x:v>
      </x:c>
      <x:c r="H1617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1617+G1617,NA())</x:f>
        <x:v>58.42001836460479</x:v>
      </x:c>
      <x:c r="I1617" s="22" t="n">
        <x:f>'Assumptions'!$H$103*IF('Assumptions'!$O$103=1,1,'Assumptions'!$D$10)*(1+'Assumptions'!$N$103)^(13-1)</x:f>
        <x:v>1902.3626918438183</x:v>
      </x:c>
      <x:c r="J1617" s="10" t="n">
        <x:f>H1617*I1617</x:f>
        <x:v>111136.06339365487</x:v>
      </x:c>
      <x:c r="K1617" s="10" t="n">
        <x:f>J1617*'Assumptions'!$T$103</x:f>
        <x:v>11113.606339365488</x:v>
      </x:c>
      <x:c r="L1617" s="10" t="n">
        <x:f>K1617*'Assumptions'!$U$103</x:f>
        <x:v>333.4081901809646</x:v>
      </x:c>
      <x:c r="M1617" s="10" t="n">
        <x:f>K1617*'Assumptions'!$V$103</x:f>
        <x:v>0</x:v>
      </x:c>
      <x:c r="N1617" s="10" t="n">
        <x:f>K1617-L1617-M1617</x:f>
        <x:v>10780.198149184524</x:v>
      </x:c>
      <x:c r="O1617" s="10" t="n">
        <x:f>H1617*'Assumptions'!$P$103*'Assumptions'!$Q$103*'Assumptions'!$D$11*(1+'Assumptions'!$D$13)^(13-1)</x:f>
        <x:v>3331.7190877235603</x:v>
      </x:c>
      <x:c r="P1617" s="10" t="n">
        <x:f>H1617*'Assumptions'!$R$103*'Assumptions'!$D$11*(1+'Assumptions'!$D$13)^(13-1)</x:f>
        <x:v>0</x:v>
      </x:c>
      <x:c r="Q1617" s="10" t="n">
        <x:f>J1617*'Assumptions'!$S$103</x:f>
        <x:v>0</x:v>
      </x:c>
      <x:c r="R1617" s="10" t="n">
        <x:f>H1617*'Assumptions'!$Y$103*'Assumptions'!$Z$103*'Assumptions'!$D$11*(1+'Assumptions'!$D$13)^(13-1)</x:f>
        <x:v>374.81839736890055</x:v>
      </x:c>
      <x:c r="S1617" s="10" t="n">
        <x:f>IF(I1617=0,0,J1617*'Assumptions'!$W$103+H1617*'Assumptions'!$X$103)</x:f>
        <x:v>3240.4718439253725</x:v>
      </x:c>
      <x:c r="T1617" s="10" t="n">
        <x:f>N1617*'Assumptions'!$AA$103</x:f>
        <x:v>539.0099074592262</x:v>
      </x:c>
      <x:c r="U1617" s="10" t="n">
        <x:f>'Assumptions'!$AE$103*'Assumptions'!$D$11*(1+'Assumptions'!$D$13)^(13-1)</x:f>
        <x:v>0</x:v>
      </x:c>
      <x:c r="V1617" s="10" t="n">
        <x:f>0</x:f>
        <x:v>0</x:v>
      </x:c>
      <x:c r="W1617" s="10" t="n">
        <x:f>H1617*('Assumptions'!$P$103+'Assumptions'!$Y$103)</x:f>
        <x:v>67.1830211192955</x:v>
      </x:c>
      <x:c r="X1617" s="10" t="n">
        <x:f>N1617/12*'Assumptions'!$AF$103</x:f>
        <x:v>0</x:v>
      </x:c>
      <x:c r="Y1617" s="10" t="n">
        <x:f>P1617/12</x:f>
        <x:v>0</x:v>
      </x:c>
      <x:c r="Z1617" s="10" t="n">
        <x:f>0</x:f>
        <x:v>0</x:v>
      </x:c>
      <x:c r="AA1617" s="10" t="n">
        <x:f>Z1617*'Assumptions'!$AC$103*'Assumptions'!$D$11*(1+'Assumptions'!$D$13)^(13-1)</x:f>
        <x:v>0</x:v>
      </x:c>
      <x:c r="AB1617" s="10" t="n">
        <x:f>F1617/1</x:f>
        <x:v>18.9127759735106</x:v>
      </x:c>
      <x:c r="AC1617" s="10" t="n">
        <x:f>AB1617/'Assumptions'!$AM$103</x:f>
        <x:v>378.25551947021194</x:v>
      </x:c>
      <x:c r="AD1617" s="10" t="n">
        <x:f>IF(AB1617=0,0,T1617/AB1617)</x:f>
        <x:v>28.49977751622333</x:v>
      </x:c>
      <x:c r="AE1617" s="10" t="n">
        <x:f>AA1617*'Assumptions'!$D$21</x:f>
        <x:v>0</x:v>
      </x:c>
    </x:row>
    <x:row r="1618" ht="16" customHeight="1">
      <x:c r="A1618" s="1"/>
      <x:c r="B1618" s="1"/>
      <x:c r="C1618" s="1" t="str">
        <x:v>DOT-075</x:v>
      </x:c>
      <x:c r="D1618" s="10" t="str">
        <x:v>S’otality concierge</x:v>
      </x:c>
      <x:c r="E1618" s="10" t="n">
        <x:v>13</x:v>
      </x:c>
      <x:c r="F1618" s="21" t="n">
        <x:f>F1490*(1+'Assumptions'!$M$104)</x:f>
        <x:v>222.56136913915313</x:v>
      </x:c>
      <x:c r="G1618" s="21" t="n">
        <x:f>H1490*'Assumptions'!$K$104</x:f>
        <x:v>209.8782543470784</x:v>
      </x:c>
      <x:c r="H1618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1618+G1618,NA())</x:f>
        <x:v>432.43962348623154</x:v>
      </x:c>
      <x:c r="I1618" s="22" t="n">
        <x:f>'Assumptions'!$H$104*IF('Assumptions'!$O$104=1,1,'Assumptions'!$D$10)*(1+'Assumptions'!$N$104)^(13-1)</x:f>
        <x:v>95.11813459219091</x:v>
      </x:c>
      <x:c r="J1618" s="10" t="n">
        <x:f>H1618*I1618</x:f>
        <x:v>41132.850309759735</x:v>
      </x:c>
      <x:c r="K1618" s="10" t="n">
        <x:f>J1618*'Assumptions'!$T$104</x:f>
        <x:v>41132.850309759735</x:v>
      </x:c>
      <x:c r="L1618" s="10" t="n">
        <x:f>K1618*'Assumptions'!$U$104</x:f>
        <x:v>1233.985509292792</x:v>
      </x:c>
      <x:c r="M1618" s="10" t="n">
        <x:f>K1618*'Assumptions'!$V$104</x:f>
        <x:v>0</x:v>
      </x:c>
      <x:c r="N1618" s="10" t="n">
        <x:f>K1618-L1618-M1618</x:f>
        <x:v>39898.864800466945</x:v>
      </x:c>
      <x:c r="O1618" s="10" t="n">
        <x:f>H1618*'Assumptions'!$P$104*'Assumptions'!$Q$104*'Assumptions'!$D$11*(1+'Assumptions'!$D$13)^(13-1)</x:f>
        <x:v>16184.581903590379</x:v>
      </x:c>
      <x:c r="P1618" s="10" t="n">
        <x:f>H1618*'Assumptions'!$R$104*'Assumptions'!$D$11*(1+'Assumptions'!$D$13)^(13-1)</x:f>
        <x:v>0</x:v>
      </x:c>
      <x:c r="Q1618" s="10" t="n">
        <x:f>J1618*'Assumptions'!$S$104</x:f>
        <x:v>0</x:v>
      </x:c>
      <x:c r="R1618" s="10" t="n">
        <x:f>H1618*'Assumptions'!$Y$104*'Assumptions'!$Z$104*'Assumptions'!$D$11*(1+'Assumptions'!$D$13)^(13-1)</x:f>
        <x:v>4624.1662581686805</x:v>
      </x:c>
      <x:c r="S1618" s="10" t="n">
        <x:f>IF(I1618=0,0,J1618*'Assumptions'!$W$104+H1618*'Assumptions'!$X$104)</x:f>
        <x:v>1322.5845460289017</x:v>
      </x:c>
      <x:c r="T1618" s="10" t="n">
        <x:f>N1618*'Assumptions'!$AA$104</x:f>
        <x:v>1595.9545920186779</x:v>
      </x:c>
      <x:c r="U1618" s="10" t="n">
        <x:f>'Assumptions'!$AE$104*'Assumptions'!$D$11*(1+'Assumptions'!$D$13)^(13-1)</x:f>
        <x:v>0</x:v>
      </x:c>
      <x:c r="V1618" s="10" t="n">
        <x:f>0</x:f>
        <x:v>0</x:v>
      </x:c>
      <x:c r="W1618" s="10" t="n">
        <x:f>H1618*('Assumptions'!$P$104+'Assumptions'!$Y$104)</x:f>
        <x:v>432.43962348623154</x:v>
      </x:c>
      <x:c r="X1618" s="10" t="n">
        <x:f>N1618/12*'Assumptions'!$AF$104</x:f>
        <x:v>3324.905400038912</x:v>
      </x:c>
      <x:c r="Y1618" s="10" t="n">
        <x:f>P1618/12</x:f>
        <x:v>0</x:v>
      </x:c>
      <x:c r="Z1618" s="10" t="n">
        <x:f>0</x:f>
        <x:v>0</x:v>
      </x:c>
      <x:c r="AA1618" s="10" t="n">
        <x:f>Z1618*'Assumptions'!$AC$104*'Assumptions'!$D$11*(1+'Assumptions'!$D$13)^(13-1)</x:f>
        <x:v>0</x:v>
      </x:c>
      <x:c r="AB1618" s="10" t="n">
        <x:f>F1618/1</x:f>
        <x:v>222.56136913915313</x:v>
      </x:c>
      <x:c r="AC1618" s="10" t="n">
        <x:f>AB1618/'Assumptions'!$AM$104</x:f>
        <x:v>1112.8068456957656</x:v>
      </x:c>
      <x:c r="AD1618" s="10" t="n">
        <x:f>IF(AB1618=0,0,T1618/AB1618)</x:f>
        <x:v>7.170851788842256</x:v>
      </x:c>
      <x:c r="AE1618" s="10" t="n">
        <x:f>AA1618*'Assumptions'!$D$21</x:f>
        <x:v>0</x:v>
      </x:c>
    </x:row>
    <x:row r="1619" ht="16" customHeight="1">
      <x:c r="A1619" s="1"/>
      <x:c r="B1619" s="1"/>
      <x:c r="C1619" s="1" t="str">
        <x:v>DOT-076</x:v>
      </x:c>
      <x:c r="D1619" s="10" t="str">
        <x:v>S’otality administration</x:v>
      </x:c>
      <x:c r="E1619" s="10" t="n">
        <x:v>13</x:v>
      </x:c>
      <x:c r="F1619" s="21" t="n">
        <x:f>F1491*(1+'Assumptions'!$M$105)</x:f>
        <x:v>445.12273827830626</x:v>
      </x:c>
      <x:c r="G1619" s="21" t="n">
        <x:f>H1491*'Assumptions'!$K$105</x:f>
        <x:v>419.7565086941568</x:v>
      </x:c>
      <x:c r="H1619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1619+G1619,NA())</x:f>
        <x:v>864.8792469724631</x:v>
      </x:c>
      <x:c r="I1619" s="22" t="n">
        <x:f>'Assumptions'!$H$105*IF('Assumptions'!$O$105=1,1,'Assumptions'!$D$10)*(1+'Assumptions'!$N$105)^(13-1)</x:f>
        <x:v>76.09450767375273</x:v>
      </x:c>
      <x:c r="J1619" s="10" t="n">
        <x:f>H1619*I1619</x:f>
        <x:v>65812.56049561557</x:v>
      </x:c>
      <x:c r="K1619" s="10" t="n">
        <x:f>J1619*'Assumptions'!$T$105</x:f>
        <x:v>65812.56049561557</x:v>
      </x:c>
      <x:c r="L1619" s="10" t="n">
        <x:f>K1619*'Assumptions'!$U$105</x:f>
        <x:v>1974.3768148684671</x:v>
      </x:c>
      <x:c r="M1619" s="10" t="n">
        <x:f>K1619*'Assumptions'!$V$105</x:f>
        <x:v>0</x:v>
      </x:c>
      <x:c r="N1619" s="10" t="n">
        <x:f>K1619-L1619-M1619</x:f>
        <x:v>63838.183680747105</x:v>
      </x:c>
      <x:c r="O1619" s="10" t="n">
        <x:f>H1619*'Assumptions'!$P$105*'Assumptions'!$Q$105*'Assumptions'!$D$11*(1+'Assumptions'!$D$13)^(13-1)</x:f>
        <x:v>36993.330065349444</x:v>
      </x:c>
      <x:c r="P1619" s="10" t="n">
        <x:f>H1619*'Assumptions'!$R$105*'Assumptions'!$D$11*(1+'Assumptions'!$D$13)^(13-1)</x:f>
        <x:v>0</x:v>
      </x:c>
      <x:c r="Q1619" s="10" t="n">
        <x:f>J1619*'Assumptions'!$S$105</x:f>
        <x:v>0</x:v>
      </x:c>
      <x:c r="R1619" s="10" t="n">
        <x:f>H1619*'Assumptions'!$Y$105*'Assumptions'!$Z$105*'Assumptions'!$D$11*(1+'Assumptions'!$D$13)^(13-1)</x:f>
        <x:v>9248.332516337361</x:v>
      </x:c>
      <x:c r="S1619" s="10" t="n">
        <x:f>IF(I1619=0,0,J1619*'Assumptions'!$W$105+H1619*'Assumptions'!$X$105)</x:f>
        <x:v>2168.0280284645905</x:v>
      </x:c>
      <x:c r="T1619" s="10" t="n">
        <x:f>N1619*'Assumptions'!$AA$105</x:f>
        <x:v>2553.527347229884</x:v>
      </x:c>
      <x:c r="U1619" s="10" t="n">
        <x:f>'Assumptions'!$AE$105*'Assumptions'!$D$11*(1+'Assumptions'!$D$13)^(13-1)</x:f>
        <x:v>0</x:v>
      </x:c>
      <x:c r="V1619" s="10" t="n">
        <x:f>0</x:f>
        <x:v>0</x:v>
      </x:c>
      <x:c r="W1619" s="10" t="n">
        <x:f>H1619*('Assumptions'!$P$105+'Assumptions'!$Y$105)</x:f>
        <x:v>1081.0990587155788</x:v>
      </x:c>
      <x:c r="X1619" s="10" t="n">
        <x:f>N1619/12*'Assumptions'!$AF$105</x:f>
        <x:v>5319.848640062259</x:v>
      </x:c>
      <x:c r="Y1619" s="10" t="n">
        <x:f>P1619/12</x:f>
        <x:v>0</x:v>
      </x:c>
      <x:c r="Z1619" s="10" t="n">
        <x:f>0</x:f>
        <x:v>0</x:v>
      </x:c>
      <x:c r="AA1619" s="10" t="n">
        <x:f>Z1619*'Assumptions'!$AC$105*'Assumptions'!$D$11*(1+'Assumptions'!$D$13)^(13-1)</x:f>
        <x:v>0</x:v>
      </x:c>
      <x:c r="AB1619" s="10" t="n">
        <x:f>F1619/1</x:f>
        <x:v>445.12273827830626</x:v>
      </x:c>
      <x:c r="AC1619" s="10" t="n">
        <x:f>AB1619/'Assumptions'!$AM$105</x:f>
        <x:v>2225.613691391531</x:v>
      </x:c>
      <x:c r="AD1619" s="10" t="n">
        <x:f>IF(AB1619=0,0,T1619/AB1619)</x:f>
        <x:v>5.736681431073803</x:v>
      </x:c>
      <x:c r="AE1619" s="10" t="n">
        <x:f>AA1619*'Assumptions'!$D$21</x:f>
        <x:v>0</x:v>
      </x:c>
    </x:row>
    <x:row r="1620" ht="16" customHeight="1">
      <x:c r="A1620" s="1"/>
      <x:c r="B1620" s="1"/>
      <x:c r="C1620" s="1" t="str">
        <x:v>DOT-077</x:v>
      </x:c>
      <x:c r="D1620" s="10" t="str">
        <x:v>S’otality bike tours</x:v>
      </x:c>
      <x:c r="E1620" s="10" t="n">
        <x:v>13</x:v>
      </x:c>
      <x:c r="F1620" s="21" t="n">
        <x:f>F1492*(1+'Assumptions'!$M$106)</x:f>
        <x:v>178.04909531132253</x:v>
      </x:c>
      <x:c r="G1620" s="21" t="n">
        <x:f>H1492*'Assumptions'!$K$106</x:f>
        <x:v>247.78090369152125</x:v>
      </x:c>
      <x:c r="H1620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1620+G1620,NA())</x:f>
        <x:v>425.8299990028438</x:v>
      </x:c>
      <x:c r="I1620" s="22" t="n">
        <x:f>'Assumptions'!$H$106*IF('Assumptions'!$O$106=1,1,'Assumptions'!$D$10)*(1+'Assumptions'!$N$106)^(13-1)</x:f>
        <x:v>82.43571664656545</x:v>
      </x:c>
      <x:c r="J1620" s="10" t="n">
        <x:f>H1620*I1620</x:f>
        <x:v>35103.60113740568</x:v>
      </x:c>
      <x:c r="K1620" s="10" t="n">
        <x:f>J1620*'Assumptions'!$T$106</x:f>
        <x:v>35103.60113740568</x:v>
      </x:c>
      <x:c r="L1620" s="10" t="n">
        <x:f>K1620*'Assumptions'!$U$106</x:f>
        <x:v>1053.1080341221705</x:v>
      </x:c>
      <x:c r="M1620" s="10" t="n">
        <x:f>K1620*'Assumptions'!$V$106</x:f>
        <x:v>0</x:v>
      </x:c>
      <x:c r="N1620" s="10" t="n">
        <x:f>K1620-L1620-M1620</x:f>
        <x:v>34050.493103283516</x:v>
      </x:c>
      <x:c r="O1620" s="10" t="n">
        <x:f>H1620*'Assumptions'!$P$106*'Assumptions'!$Q$106*'Assumptions'!$D$11*(1+'Assumptions'!$D$13)^(13-1)</x:f>
        <x:v>3187.4417243760117</x:v>
      </x:c>
      <x:c r="P1620" s="10" t="n">
        <x:f>H1620*'Assumptions'!$R$106*'Assumptions'!$D$11*(1+'Assumptions'!$D$13)^(13-1)</x:f>
        <x:v>3035.6587851200106</x:v>
      </x:c>
      <x:c r="Q1620" s="10" t="n">
        <x:f>J1620*'Assumptions'!$S$106</x:f>
        <x:v>15796.620511832558</x:v>
      </x:c>
      <x:c r="R1620" s="10" t="n">
        <x:f>H1620*'Assumptions'!$Y$106*'Assumptions'!$Z$106*'Assumptions'!$D$11*(1+'Assumptions'!$D$13)^(13-1)</x:f>
        <x:v>3642.790542144014</x:v>
      </x:c>
      <x:c r="S1620" s="10" t="n">
        <x:f>IF(I1620=0,0,J1620*'Assumptions'!$W$106+H1620*'Assumptions'!$X$106)</x:f>
        <x:v>1145.753432685618</x:v>
      </x:c>
      <x:c r="T1620" s="10" t="n">
        <x:f>N1620*'Assumptions'!$AA$106</x:f>
        <x:v>1362.0197241313406</x:v>
      </x:c>
      <x:c r="U1620" s="10" t="n">
        <x:f>'Assumptions'!$AE$106*'Assumptions'!$D$11*(1+'Assumptions'!$D$13)^(13-1)</x:f>
        <x:v>0</x:v>
      </x:c>
      <x:c r="V1620" s="10" t="n">
        <x:f>0</x:f>
        <x:v>0</x:v>
      </x:c>
      <x:c r="W1620" s="10" t="n">
        <x:f>H1620*('Assumptions'!$P$106+'Assumptions'!$Y$106)</x:f>
        <x:v>149.04049965099532</x:v>
      </x:c>
      <x:c r="X1620" s="10" t="n">
        <x:f>N1620/12*'Assumptions'!$AF$106</x:f>
        <x:v>0</x:v>
      </x:c>
      <x:c r="Y1620" s="10" t="n">
        <x:f>P1620/12</x:f>
        <x:v>252.97156542666755</x:v>
      </x:c>
      <x:c r="Z1620" s="10" t="n">
        <x:f>0</x:f>
        <x:v>0</x:v>
      </x:c>
      <x:c r="AA1620" s="10" t="n">
        <x:f>Z1620*'Assumptions'!$AC$106*'Assumptions'!$D$11*(1+'Assumptions'!$D$13)^(13-1)</x:f>
        <x:v>0</x:v>
      </x:c>
      <x:c r="AB1620" s="10" t="n">
        <x:f>F1620/1</x:f>
        <x:v>178.04909531132253</x:v>
      </x:c>
      <x:c r="AC1620" s="10" t="n">
        <x:f>AB1620/'Assumptions'!$AM$106</x:f>
        <x:v>1186.9939687421502</x:v>
      </x:c>
      <x:c r="AD1620" s="10" t="n">
        <x:f>IF(AB1620=0,0,T1620/AB1620)</x:f>
        <x:v>7.6496862943887525</x:v>
      </x:c>
      <x:c r="AE1620" s="10" t="n">
        <x:f>AA1620*'Assumptions'!$D$21</x:f>
        <x:v>0</x:v>
      </x:c>
    </x:row>
    <x:row r="1621" ht="16" customHeight="1">
      <x:c r="A1621" s="1"/>
      <x:c r="B1621" s="1"/>
      <x:c r="C1621" s="1" t="str">
        <x:v>DOT-078</x:v>
      </x:c>
      <x:c r="D1621" s="10" t="str">
        <x:v>S’otality editorial</x:v>
      </x:c>
      <x:c r="E1621" s="10" t="n">
        <x:v>13</x:v>
      </x:c>
      <x:c r="F1621" s="21" t="n">
        <x:f>F1493*(1+'Assumptions'!$M$107)</x:f>
        <x:v>14.466488994044958</x:v>
      </x:c>
      <x:c r="G1621" s="21" t="n">
        <x:f>H1493*'Assumptions'!$K$107</x:f>
        <x:v>7.445845059835708</x:v>
      </x:c>
      <x:c r="H1621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1621+G1621,NA())</x:f>
        <x:v>21.912334053880667</x:v>
      </x:c>
      <x:c r="I1621" s="22" t="n">
        <x:f>'Assumptions'!$H$107*IF('Assumptions'!$O$107=1,1,'Assumptions'!$D$10)*(1+'Assumptions'!$N$107)^(13-1)</x:f>
        <x:v>317.06044864063637</x:v>
      </x:c>
      <x:c r="J1621" s="10" t="n">
        <x:f>H1621*I1621</x:f>
        <x:v>6947.534465886898</x:v>
      </x:c>
      <x:c r="K1621" s="10" t="n">
        <x:f>J1621*'Assumptions'!$T$107</x:f>
        <x:v>6947.534465886898</x:v>
      </x:c>
      <x:c r="L1621" s="10" t="n">
        <x:f>K1621*'Assumptions'!$U$107</x:f>
        <x:v>208.42603397660693</x:v>
      </x:c>
      <x:c r="M1621" s="10" t="n">
        <x:f>K1621*'Assumptions'!$V$107</x:f>
        <x:v>0</x:v>
      </x:c>
      <x:c r="N1621" s="10" t="n">
        <x:f>K1621-L1621-M1621</x:f>
        <x:v>6739.108431910291</x:v>
      </x:c>
      <x:c r="O1621" s="10" t="n">
        <x:f>H1621*'Assumptions'!$P$107*'Assumptions'!$Q$107*'Assumptions'!$D$11*(1+'Assumptions'!$D$13)^(13-1)</x:f>
        <x:v>2499.339906682451</x:v>
      </x:c>
      <x:c r="P1621" s="10" t="n">
        <x:f>H1621*'Assumptions'!$R$107*'Assumptions'!$D$11*(1+'Assumptions'!$D$13)^(13-1)</x:f>
        <x:v>0</x:v>
      </x:c>
      <x:c r="Q1621" s="10" t="n">
        <x:f>J1621*'Assumptions'!$S$107</x:f>
        <x:v>0</x:v>
      </x:c>
      <x:c r="R1621" s="10" t="n">
        <x:f>H1621*'Assumptions'!$Y$107*'Assumptions'!$Z$107*'Assumptions'!$D$11*(1+'Assumptions'!$D$13)^(13-1)</x:f>
        <x:v>468.6262325029595</x:v>
      </x:c>
      <x:c r="S1621" s="10" t="n">
        <x:f>IF(I1621=0,0,J1621*'Assumptions'!$W$107+H1621*'Assumptions'!$X$107)</x:f>
        <x:v>208.05219972688425</x:v>
      </x:c>
      <x:c r="T1621" s="10" t="n">
        <x:f>N1621*'Assumptions'!$AA$107</x:f>
        <x:v>539.1286745528233</x:v>
      </x:c>
      <x:c r="U1621" s="10" t="n">
        <x:f>'Assumptions'!$AE$107*'Assumptions'!$D$11*(1+'Assumptions'!$D$13)^(13-1)</x:f>
        <x:v>0</x:v>
      </x:c>
      <x:c r="V1621" s="10" t="n">
        <x:f>0</x:f>
        <x:v>0</x:v>
      </x:c>
      <x:c r="W1621" s="10" t="n">
        <x:f>H1621*('Assumptions'!$P$107+'Assumptions'!$Y$107)</x:f>
        <x:v>54.78083513470167</x:v>
      </x:c>
      <x:c r="X1621" s="10" t="n">
        <x:f>N1621/12*'Assumptions'!$AF$107</x:f>
        <x:v>561.5923693258576</x:v>
      </x:c>
      <x:c r="Y1621" s="10" t="n">
        <x:f>P1621/12</x:f>
        <x:v>0</x:v>
      </x:c>
      <x:c r="Z1621" s="10" t="n">
        <x:f>0</x:f>
        <x:v>0</x:v>
      </x:c>
      <x:c r="AA1621" s="10" t="n">
        <x:f>Z1621*'Assumptions'!$AC$107*'Assumptions'!$D$11*(1+'Assumptions'!$D$13)^(13-1)</x:f>
        <x:v>0</x:v>
      </x:c>
      <x:c r="AB1621" s="10" t="n">
        <x:f>F1621/1</x:f>
        <x:v>14.466488994044958</x:v>
      </x:c>
      <x:c r="AC1621" s="10" t="n">
        <x:f>AB1621/'Assumptions'!$AM$107</x:f>
        <x:v>144.66488994044957</x:v>
      </x:c>
      <x:c r="AD1621" s="10" t="n">
        <x:f>IF(AB1621=0,0,T1621/AB1621)</x:f>
        <x:v>37.267416770907744</x:v>
      </x:c>
      <x:c r="AE1621" s="10" t="n">
        <x:f>AA1621*'Assumptions'!$D$21</x:f>
        <x:v>0</x:v>
      </x:c>
    </x:row>
    <x:row r="1622" ht="16" customHeight="1">
      <x:c r="A1622" s="1"/>
      <x:c r="B1622" s="1"/>
      <x:c r="C1622" s="1" t="str">
        <x:v>DOT-079</x:v>
      </x:c>
      <x:c r="D1622" s="10" t="str">
        <x:v>S’otality editorial</x:v>
      </x:c>
      <x:c r="E1622" s="10" t="n">
        <x:v>13</x:v>
      </x:c>
      <x:c r="F1622" s="21" t="n">
        <x:f>F1494*(1+'Assumptions'!$M$108)</x:f>
        <x:v>4.822162998014986</x:v>
      </x:c>
      <x:c r="G1622" s="21" t="n">
        <x:f>H1494*'Assumptions'!$K$108</x:f>
        <x:v>2.481948353278569</x:v>
      </x:c>
      <x:c r="H1622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1622+G1622,NA())</x:f>
        <x:v>7.304111351293555</x:v>
      </x:c>
      <x:c r="I1622" s="22" t="n">
        <x:f>'Assumptions'!$H$108*IF('Assumptions'!$O$108=1,1,'Assumptions'!$D$10)*(1+'Assumptions'!$N$108)^(13-1)</x:f>
        <x:v>1268.2417945625455</x:v>
      </x:c>
      <x:c r="J1622" s="10" t="n">
        <x:f>H1622*I1622</x:f>
        <x:v>9263.379287849197</x:v>
      </x:c>
      <x:c r="K1622" s="10" t="n">
        <x:f>J1622*'Assumptions'!$T$108</x:f>
        <x:v>9263.379287849197</x:v>
      </x:c>
      <x:c r="L1622" s="10" t="n">
        <x:f>K1622*'Assumptions'!$U$108</x:f>
        <x:v>277.9013786354759</x:v>
      </x:c>
      <x:c r="M1622" s="10" t="n">
        <x:f>K1622*'Assumptions'!$V$108</x:f>
        <x:v>0</x:v>
      </x:c>
      <x:c r="N1622" s="10" t="n">
        <x:f>K1622-L1622-M1622</x:f>
        <x:v>8985.477909213721</x:v>
      </x:c>
      <x:c r="O1622" s="10" t="n">
        <x:f>H1622*'Assumptions'!$P$108*'Assumptions'!$Q$108*'Assumptions'!$D$11*(1+'Assumptions'!$D$13)^(13-1)</x:f>
        <x:v>3332.4532089099343</x:v>
      </x:c>
      <x:c r="P1622" s="10" t="n">
        <x:f>H1622*'Assumptions'!$R$108*'Assumptions'!$D$11*(1+'Assumptions'!$D$13)^(13-1)</x:f>
        <x:v>1041.3916277843543</x:v>
      </x:c>
      <x:c r="Q1622" s="10" t="n">
        <x:f>J1622*'Assumptions'!$S$108</x:f>
        <x:v>0</x:v>
      </x:c>
      <x:c r="R1622" s="10" t="n">
        <x:f>H1622*'Assumptions'!$Y$108*'Assumptions'!$Z$108*'Assumptions'!$D$11*(1+'Assumptions'!$D$13)^(13-1)</x:f>
        <x:v>156.20874416765315</x:v>
      </x:c>
      <x:c r="S1622" s="10" t="n">
        <x:f>IF(I1622=0,0,J1622*'Assumptions'!$W$108+H1622*'Assumptions'!$X$108)</x:f>
        <x:v>270.82923275301476</x:v>
      </x:c>
      <x:c r="T1622" s="10" t="n">
        <x:f>N1622*'Assumptions'!$AA$108</x:f>
        <x:v>718.8382327370978</x:v>
      </x:c>
      <x:c r="U1622" s="10" t="n">
        <x:f>'Assumptions'!$AE$108*'Assumptions'!$D$11*(1+'Assumptions'!$D$13)^(13-1)</x:f>
        <x:v>0</x:v>
      </x:c>
      <x:c r="V1622" s="10" t="n">
        <x:f>0</x:f>
        <x:v>0</x:v>
      </x:c>
      <x:c r="W1622" s="10" t="n">
        <x:f>H1622*('Assumptions'!$P$108+'Assumptions'!$Y$108)</x:f>
        <x:v>62.08494648599522</x:v>
      </x:c>
      <x:c r="X1622" s="10" t="n">
        <x:f>N1622/12*'Assumptions'!$AF$108</x:f>
        <x:v>748.7898257678102</x:v>
      </x:c>
      <x:c r="Y1622" s="10" t="n">
        <x:f>P1622/12</x:f>
        <x:v>86.7826356486962</x:v>
      </x:c>
      <x:c r="Z1622" s="10" t="n">
        <x:f>0</x:f>
        <x:v>0</x:v>
      </x:c>
      <x:c r="AA1622" s="10" t="n">
        <x:f>Z1622*'Assumptions'!$AC$108*'Assumptions'!$D$11*(1+'Assumptions'!$D$13)^(13-1)</x:f>
        <x:v>0</x:v>
      </x:c>
      <x:c r="AB1622" s="10" t="n">
        <x:f>F1622/1</x:f>
        <x:v>4.822162998014986</x:v>
      </x:c>
      <x:c r="AC1622" s="10" t="n">
        <x:f>AB1622/'Assumptions'!$AM$108</x:f>
        <x:v>48.22162998014986</x:v>
      </x:c>
      <x:c r="AD1622" s="10" t="n">
        <x:f>IF(AB1622=0,0,T1622/AB1622)</x:f>
        <x:v>149.06966708363097</x:v>
      </x:c>
      <x:c r="AE1622" s="10" t="n">
        <x:f>AA1622*'Assumptions'!$D$21</x:f>
        <x:v>0</x:v>
      </x:c>
    </x:row>
    <x:row r="1623" ht="16" customHeight="1">
      <x:c r="A1623" s="1"/>
      <x:c r="B1623" s="1"/>
      <x:c r="C1623" s="1" t="str">
        <x:v>DOT-080</x:v>
      </x:c>
      <x:c r="D1623" s="10" t="str">
        <x:v>Tomato Odyssey</x:v>
      </x:c>
      <x:c r="E1623" s="10" t="n">
        <x:v>13</x:v>
      </x:c>
      <x:c r="F1623" s="21" t="n">
        <x:f>F1495*(1+'Assumptions'!$M$109)</x:f>
        <x:v>14.466488994044958</x:v>
      </x:c>
      <x:c r="G1623" s="21" t="n">
        <x:f>H1495*'Assumptions'!$K$109</x:f>
        <x:v>7.445845059835708</x:v>
      </x:c>
      <x:c r="H1623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1623+G1623,NA())</x:f>
        <x:v>21.912334053880667</x:v>
      </x:c>
      <x:c r="I1623" s="22" t="n">
        <x:f>'Assumptions'!$H$109*IF('Assumptions'!$O$109=1,1,'Assumptions'!$D$10)*(1+'Assumptions'!$N$109)^(13-1)</x:f>
        <x:v>317.06044864063637</x:v>
      </x:c>
      <x:c r="J1623" s="10" t="n">
        <x:f>H1623*I1623</x:f>
        <x:v>6947.534465886898</x:v>
      </x:c>
      <x:c r="K1623" s="10" t="n">
        <x:f>J1623*'Assumptions'!$T$109</x:f>
        <x:v>6947.534465886898</x:v>
      </x:c>
      <x:c r="L1623" s="10" t="n">
        <x:f>K1623*'Assumptions'!$U$109</x:f>
        <x:v>208.42603397660693</x:v>
      </x:c>
      <x:c r="M1623" s="10" t="n">
        <x:f>K1623*'Assumptions'!$V$109</x:f>
        <x:v>0</x:v>
      </x:c>
      <x:c r="N1623" s="10" t="n">
        <x:f>K1623-L1623-M1623</x:f>
        <x:v>6739.108431910291</x:v>
      </x:c>
      <x:c r="O1623" s="10" t="n">
        <x:f>H1623*'Assumptions'!$P$109*'Assumptions'!$Q$109*'Assumptions'!$D$11*(1+'Assumptions'!$D$13)^(13-1)</x:f>
        <x:v>2499.339906682451</x:v>
      </x:c>
      <x:c r="P1623" s="10" t="n">
        <x:f>H1623*'Assumptions'!$R$109*'Assumptions'!$D$11*(1+'Assumptions'!$D$13)^(13-1)</x:f>
        <x:v>0</x:v>
      </x:c>
      <x:c r="Q1623" s="10" t="n">
        <x:f>J1623*'Assumptions'!$S$109</x:f>
        <x:v>0</x:v>
      </x:c>
      <x:c r="R1623" s="10" t="n">
        <x:f>H1623*'Assumptions'!$Y$109*'Assumptions'!$Z$109*'Assumptions'!$D$11*(1+'Assumptions'!$D$13)^(13-1)</x:f>
        <x:v>468.6262325029595</x:v>
      </x:c>
      <x:c r="S1623" s="10" t="n">
        <x:f>IF(I1623=0,0,J1623*'Assumptions'!$W$109+H1623*'Assumptions'!$X$109)</x:f>
        <x:v>208.05219972688425</x:v>
      </x:c>
      <x:c r="T1623" s="10" t="n">
        <x:f>N1623*'Assumptions'!$AA$109</x:f>
        <x:v>539.1286745528233</x:v>
      </x:c>
      <x:c r="U1623" s="10" t="n">
        <x:f>'Assumptions'!$AE$109*'Assumptions'!$D$11*(1+'Assumptions'!$D$13)^(13-1)</x:f>
        <x:v>0</x:v>
      </x:c>
      <x:c r="V1623" s="10" t="n">
        <x:f>0</x:f>
        <x:v>0</x:v>
      </x:c>
      <x:c r="W1623" s="10" t="n">
        <x:f>H1623*('Assumptions'!$P$109+'Assumptions'!$Y$109)</x:f>
        <x:v>54.78083513470167</x:v>
      </x:c>
      <x:c r="X1623" s="10" t="n">
        <x:f>N1623/12*'Assumptions'!$AF$109</x:f>
        <x:v>561.5923693258576</x:v>
      </x:c>
      <x:c r="Y1623" s="10" t="n">
        <x:f>P1623/12</x:f>
        <x:v>0</x:v>
      </x:c>
      <x:c r="Z1623" s="10" t="n">
        <x:f>0</x:f>
        <x:v>0</x:v>
      </x:c>
      <x:c r="AA1623" s="10" t="n">
        <x:f>Z1623*'Assumptions'!$AC$109*'Assumptions'!$D$11*(1+'Assumptions'!$D$13)^(13-1)</x:f>
        <x:v>0</x:v>
      </x:c>
      <x:c r="AB1623" s="10" t="n">
        <x:f>F1623/1</x:f>
        <x:v>14.466488994044958</x:v>
      </x:c>
      <x:c r="AC1623" s="10" t="n">
        <x:f>AB1623/'Assumptions'!$AM$109</x:f>
        <x:v>144.66488994044957</x:v>
      </x:c>
      <x:c r="AD1623" s="10" t="n">
        <x:f>IF(AB1623=0,0,T1623/AB1623)</x:f>
        <x:v>37.267416770907744</x:v>
      </x:c>
      <x:c r="AE1623" s="10" t="n">
        <x:f>AA1623*'Assumptions'!$D$21</x:f>
        <x:v>0</x:v>
      </x:c>
    </x:row>
    <x:row r="1624" ht="16" customHeight="1">
      <x:c r="A1624" s="1"/>
      <x:c r="B1624" s="1"/>
      <x:c r="C1624" s="1" t="str">
        <x:v>DOT-081</x:v>
      </x:c>
      <x:c r="D1624" s="10" t="str">
        <x:v>Tomato Odyssey</x:v>
      </x:c>
      <x:c r="E1624" s="10" t="n">
        <x:v>13</x:v>
      </x:c>
      <x:c r="F1624" s="21" t="n">
        <x:f>F1496*(1+'Assumptions'!$M$110)</x:f>
        <x:v>4.822162998014986</x:v>
      </x:c>
      <x:c r="G1624" s="21" t="n">
        <x:f>H1496*'Assumptions'!$K$110</x:f>
        <x:v>2.481948353278569</x:v>
      </x:c>
      <x:c r="H1624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1624+G1624,NA())</x:f>
        <x:v>7.304111351293555</x:v>
      </x:c>
      <x:c r="I1624" s="22" t="n">
        <x:f>'Assumptions'!$H$110*IF('Assumptions'!$O$110=1,1,'Assumptions'!$D$10)*(1+'Assumptions'!$N$110)^(13-1)</x:f>
        <x:v>1268.2417945625455</x:v>
      </x:c>
      <x:c r="J1624" s="10" t="n">
        <x:f>H1624*I1624</x:f>
        <x:v>9263.379287849197</x:v>
      </x:c>
      <x:c r="K1624" s="10" t="n">
        <x:f>J1624*'Assumptions'!$T$110</x:f>
        <x:v>9263.379287849197</x:v>
      </x:c>
      <x:c r="L1624" s="10" t="n">
        <x:f>K1624*'Assumptions'!$U$110</x:f>
        <x:v>277.9013786354759</x:v>
      </x:c>
      <x:c r="M1624" s="10" t="n">
        <x:f>K1624*'Assumptions'!$V$110</x:f>
        <x:v>0</x:v>
      </x:c>
      <x:c r="N1624" s="10" t="n">
        <x:f>K1624-L1624-M1624</x:f>
        <x:v>8985.477909213721</x:v>
      </x:c>
      <x:c r="O1624" s="10" t="n">
        <x:f>H1624*'Assumptions'!$P$110*'Assumptions'!$Q$110*'Assumptions'!$D$11*(1+'Assumptions'!$D$13)^(13-1)</x:f>
        <x:v>3332.4532089099343</x:v>
      </x:c>
      <x:c r="P1624" s="10" t="n">
        <x:f>H1624*'Assumptions'!$R$110*'Assumptions'!$D$11*(1+'Assumptions'!$D$13)^(13-1)</x:f>
        <x:v>1041.3916277843543</x:v>
      </x:c>
      <x:c r="Q1624" s="10" t="n">
        <x:f>J1624*'Assumptions'!$S$110</x:f>
        <x:v>0</x:v>
      </x:c>
      <x:c r="R1624" s="10" t="n">
        <x:f>H1624*'Assumptions'!$Y$110*'Assumptions'!$Z$110*'Assumptions'!$D$11*(1+'Assumptions'!$D$13)^(13-1)</x:f>
        <x:v>156.20874416765315</x:v>
      </x:c>
      <x:c r="S1624" s="10" t="n">
        <x:f>IF(I1624=0,0,J1624*'Assumptions'!$W$110+H1624*'Assumptions'!$X$110)</x:f>
        <x:v>270.82923275301476</x:v>
      </x:c>
      <x:c r="T1624" s="10" t="n">
        <x:f>N1624*'Assumptions'!$AA$110</x:f>
        <x:v>718.8382327370978</x:v>
      </x:c>
      <x:c r="U1624" s="10" t="n">
        <x:f>'Assumptions'!$AE$110*'Assumptions'!$D$11*(1+'Assumptions'!$D$13)^(13-1)</x:f>
        <x:v>0</x:v>
      </x:c>
      <x:c r="V1624" s="10" t="n">
        <x:f>0</x:f>
        <x:v>0</x:v>
      </x:c>
      <x:c r="W1624" s="10" t="n">
        <x:f>H1624*('Assumptions'!$P$110+'Assumptions'!$Y$110)</x:f>
        <x:v>62.08494648599522</x:v>
      </x:c>
      <x:c r="X1624" s="10" t="n">
        <x:f>N1624/12*'Assumptions'!$AF$110</x:f>
        <x:v>748.7898257678102</x:v>
      </x:c>
      <x:c r="Y1624" s="10" t="n">
        <x:f>P1624/12</x:f>
        <x:v>86.7826356486962</x:v>
      </x:c>
      <x:c r="Z1624" s="10" t="n">
        <x:f>0</x:f>
        <x:v>0</x:v>
      </x:c>
      <x:c r="AA1624" s="10" t="n">
        <x:f>Z1624*'Assumptions'!$AC$110*'Assumptions'!$D$11*(1+'Assumptions'!$D$13)^(13-1)</x:f>
        <x:v>0</x:v>
      </x:c>
      <x:c r="AB1624" s="10" t="n">
        <x:f>F1624/1</x:f>
        <x:v>4.822162998014986</x:v>
      </x:c>
      <x:c r="AC1624" s="10" t="n">
        <x:f>AB1624/'Assumptions'!$AM$110</x:f>
        <x:v>48.22162998014986</x:v>
      </x:c>
      <x:c r="AD1624" s="10" t="n">
        <x:f>IF(AB1624=0,0,T1624/AB1624)</x:f>
        <x:v>149.06966708363097</x:v>
      </x:c>
      <x:c r="AE1624" s="10" t="n">
        <x:f>AA1624*'Assumptions'!$D$21</x:f>
        <x:v>0</x:v>
      </x:c>
    </x:row>
    <x:row r="1625" ht="16" customHeight="1">
      <x:c r="A1625" s="1"/>
      <x:c r="B1625" s="1"/>
      <x:c r="C1625" s="1" t="str">
        <x:v>DOT-082</x:v>
      </x:c>
      <x:c r="D1625" s="10" t="str">
        <x:v>Semajes Studio</x:v>
      </x:c>
      <x:c r="E1625" s="10" t="n">
        <x:v>13</x:v>
      </x:c>
      <x:c r="F1625" s="21" t="n">
        <x:f>F1497*(1+'Assumptions'!$M$111)</x:f>
        <x:v>33.38420537087296</x:v>
      </x:c>
      <x:c r="G1625" s="21" t="n">
        <x:f>H1497*'Assumptions'!$K$111</x:f>
        <x:v>31.48173815206176</x:v>
      </x:c>
      <x:c r="H1625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1625+G1625,NA())</x:f>
        <x:v>64.86594352293471</x:v>
      </x:c>
      <x:c r="I1625" s="22" t="n">
        <x:f>'Assumptions'!$H$111*IF('Assumptions'!$O$111=1,1,'Assumptions'!$D$10)*(1+'Assumptions'!$N$111)^(13-1)</x:f>
        <x:v>697.5329870094</x:v>
      </x:c>
      <x:c r="J1625" s="10" t="n">
        <x:f>H1625*I1625</x:f>
        <x:v>45246.135340735695</x:v>
      </x:c>
      <x:c r="K1625" s="10" t="n">
        <x:f>J1625*'Assumptions'!$T$111</x:f>
        <x:v>45246.135340735695</x:v>
      </x:c>
      <x:c r="L1625" s="10" t="n">
        <x:f>K1625*'Assumptions'!$U$111</x:f>
        <x:v>1357.3840602220707</x:v>
      </x:c>
      <x:c r="M1625" s="10" t="n">
        <x:f>K1625*'Assumptions'!$V$111</x:f>
        <x:v>0</x:v>
      </x:c>
      <x:c r="N1625" s="10" t="n">
        <x:f>K1625-L1625-M1625</x:f>
        <x:v>43888.75128051362</x:v>
      </x:c>
      <x:c r="O1625" s="10" t="n">
        <x:f>H1625*'Assumptions'!$P$111*'Assumptions'!$Q$111*'Assumptions'!$D$11*(1+'Assumptions'!$D$13)^(13-1)</x:f>
        <x:v>27744.99754901207</x:v>
      </x:c>
      <x:c r="P1625" s="10" t="n">
        <x:f>H1625*'Assumptions'!$R$111*'Assumptions'!$D$11*(1+'Assumptions'!$D$13)^(13-1)</x:f>
        <x:v>7398.666013069886</x:v>
      </x:c>
      <x:c r="Q1625" s="10" t="n">
        <x:f>J1625*'Assumptions'!$S$111</x:f>
        <x:v>0</x:v>
      </x:c>
      <x:c r="R1625" s="10" t="n">
        <x:f>H1625*'Assumptions'!$Y$111*'Assumptions'!$Z$111*'Assumptions'!$D$11*(1+'Assumptions'!$D$13)^(13-1)</x:f>
        <x:v>693.6249387253018</x:v>
      </x:c>
      <x:c r="S1625" s="10" t="n">
        <x:f>IF(I1625=0,0,J1625*'Assumptions'!$W$111+H1625*'Assumptions'!$X$111)</x:f>
        <x:v>1331.5977079382158</x:v>
      </x:c>
      <x:c r="T1625" s="10" t="n">
        <x:f>N1625*'Assumptions'!$AA$111</x:f>
        <x:v>1755.550051220545</x:v>
      </x:c>
      <x:c r="U1625" s="10" t="n">
        <x:f>'Assumptions'!$AE$111*'Assumptions'!$D$11*(1+'Assumptions'!$D$13)^(13-1)</x:f>
        <x:v>0</x:v>
      </x:c>
      <x:c r="V1625" s="10" t="n">
        <x:f>0</x:f>
        <x:v>0</x:v>
      </x:c>
      <x:c r="W1625" s="10" t="n">
        <x:f>H1625*('Assumptions'!$P$111+'Assumptions'!$Y$111)</x:f>
        <x:v>405.41214701834195</x:v>
      </x:c>
      <x:c r="X1625" s="10" t="n">
        <x:f>N1625/12*'Assumptions'!$AF$111</x:f>
        <x:v>3657.3959400428016</x:v>
      </x:c>
      <x:c r="Y1625" s="10" t="n">
        <x:f>P1625/12</x:f>
        <x:v>616.5555010891571</x:v>
      </x:c>
      <x:c r="Z1625" s="10" t="n">
        <x:f>0</x:f>
        <x:v>0</x:v>
      </x:c>
      <x:c r="AA1625" s="10" t="n">
        <x:f>Z1625*'Assumptions'!$AC$111*'Assumptions'!$D$11*(1+'Assumptions'!$D$13)^(13-1)</x:f>
        <x:v>0</x:v>
      </x:c>
      <x:c r="AB1625" s="10" t="n">
        <x:f>F1625/1</x:f>
        <x:v>33.38420537087296</x:v>
      </x:c>
      <x:c r="AC1625" s="10" t="n">
        <x:f>AB1625/'Assumptions'!$AM$111</x:f>
        <x:v>166.9210268543648</x:v>
      </x:c>
      <x:c r="AD1625" s="10" t="n">
        <x:f>IF(AB1625=0,0,T1625/AB1625)</x:f>
        <x:v>52.586246451509865</x:v>
      </x:c>
      <x:c r="AE1625" s="10" t="n">
        <x:f>AA1625*'Assumptions'!$D$21</x:f>
        <x:v>0</x:v>
      </x:c>
    </x:row>
    <x:row r="1626" ht="16" customHeight="1">
      <x:c r="A1626" s="1"/>
      <x:c r="B1626" s="1"/>
      <x:c r="C1626" s="1" t="str">
        <x:v>DOT-083</x:v>
      </x:c>
      <x:c r="D1626" s="10" t="str">
        <x:v>Semajes Studio</x:v>
      </x:c>
      <x:c r="E1626" s="10" t="n">
        <x:v>13</x:v>
      </x:c>
      <x:c r="F1626" s="21" t="n">
        <x:f>F1498*(1+'Assumptions'!$M$112)</x:f>
        <x:v>16.69210268543648</x:v>
      </x:c>
      <x:c r="G1626" s="21" t="n">
        <x:f>H1498*'Assumptions'!$K$112</x:f>
        <x:v>15.74086907603088</x:v>
      </x:c>
      <x:c r="H1626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1626+G1626,NA())</x:f>
        <x:v>32.43297176146736</x:v>
      </x:c>
      <x:c r="I1626" s="22" t="n">
        <x:f>'Assumptions'!$H$112*IF('Assumptions'!$O$112=1,1,'Assumptions'!$D$10)*(1+'Assumptions'!$N$112)^(13-1)</x:f>
        <x:v>1521.8901534750546</x:v>
      </x:c>
      <x:c r="J1626" s="10" t="n">
        <x:f>H1626*I1626</x:f>
        <x:v>49359.42037171167</x:v>
      </x:c>
      <x:c r="K1626" s="10" t="n">
        <x:f>J1626*'Assumptions'!$T$112</x:f>
        <x:v>49359.42037171167</x:v>
      </x:c>
      <x:c r="L1626" s="10" t="n">
        <x:f>K1626*'Assumptions'!$U$112</x:f>
        <x:v>1480.78261115135</x:v>
      </x:c>
      <x:c r="M1626" s="10" t="n">
        <x:f>K1626*'Assumptions'!$V$112</x:f>
        <x:v>0</x:v>
      </x:c>
      <x:c r="N1626" s="10" t="n">
        <x:f>K1626-L1626-M1626</x:f>
        <x:v>47878.63776056032</x:v>
      </x:c>
      <x:c r="O1626" s="10" t="n">
        <x:f>H1626*'Assumptions'!$P$112*'Assumptions'!$Q$112*'Assumptions'!$D$11*(1+'Assumptions'!$D$13)^(13-1)</x:f>
        <x:v>23120.83129084339</x:v>
      </x:c>
      <x:c r="P1626" s="10" t="n">
        <x:f>H1626*'Assumptions'!$R$112*'Assumptions'!$D$11*(1+'Assumptions'!$D$13)^(13-1)</x:f>
        <x:v>6936.249387253018</x:v>
      </x:c>
      <x:c r="Q1626" s="10" t="n">
        <x:f>J1626*'Assumptions'!$S$112</x:f>
        <x:v>0</x:v>
      </x:c>
      <x:c r="R1626" s="10" t="n">
        <x:f>H1626*'Assumptions'!$Y$112*'Assumptions'!$Z$112*'Assumptions'!$D$11*(1+'Assumptions'!$D$13)^(13-1)</x:f>
        <x:v>346.8124693626509</x:v>
      </x:c>
      <x:c r="S1626" s="10" t="n">
        <x:f>IF(I1626=0,0,J1626*'Assumptions'!$W$112+H1626*'Assumptions'!$X$112)</x:f>
        <x:v>1441.1530823080786</x:v>
      </x:c>
      <x:c r="T1626" s="10" t="n">
        <x:f>N1626*'Assumptions'!$AA$112</x:f>
        <x:v>1915.1455104224128</x:v>
      </x:c>
      <x:c r="U1626" s="10" t="n">
        <x:f>'Assumptions'!$AE$112*'Assumptions'!$D$11*(1+'Assumptions'!$D$13)^(13-1)</x:f>
        <x:v>0</x:v>
      </x:c>
      <x:c r="V1626" s="10" t="n">
        <x:f>0</x:f>
        <x:v>0</x:v>
      </x:c>
      <x:c r="W1626" s="10" t="n">
        <x:f>H1626*('Assumptions'!$P$112+'Assumptions'!$Y$112)</x:f>
        <x:v>332.43796055504043</x:v>
      </x:c>
      <x:c r="X1626" s="10" t="n">
        <x:f>N1626/12*'Assumptions'!$AF$112</x:f>
        <x:v>3989.886480046693</x:v>
      </x:c>
      <x:c r="Y1626" s="10" t="n">
        <x:f>P1626/12</x:f>
        <x:v>578.0207822710848</x:v>
      </x:c>
      <x:c r="Z1626" s="10" t="n">
        <x:f>0</x:f>
        <x:v>0</x:v>
      </x:c>
      <x:c r="AA1626" s="10" t="n">
        <x:f>Z1626*'Assumptions'!$AC$112*'Assumptions'!$D$11*(1+'Assumptions'!$D$13)^(13-1)</x:f>
        <x:v>0</x:v>
      </x:c>
      <x:c r="AB1626" s="10" t="n">
        <x:f>F1626/1</x:f>
        <x:v>16.69210268543648</x:v>
      </x:c>
      <x:c r="AC1626" s="10" t="n">
        <x:f>AB1626/'Assumptions'!$AM$112</x:f>
        <x:v>83.4605134271824</x:v>
      </x:c>
      <x:c r="AD1626" s="10" t="n">
        <x:f>IF(AB1626=0,0,T1626/AB1626)</x:f>
        <x:v>114.73362862147609</x:v>
      </x:c>
      <x:c r="AE1626" s="10" t="n">
        <x:f>AA1626*'Assumptions'!$D$21</x:f>
        <x:v>0</x:v>
      </x:c>
    </x:row>
    <x:row r="1627" ht="16" customHeight="1">
      <x:c r="A1627" s="1"/>
      <x:c r="B1627" s="1"/>
      <x:c r="C1627" s="1" t="str">
        <x:v>DOT-084</x:v>
      </x:c>
      <x:c r="D1627" s="10" t="str">
        <x:v>Semajes Studio</x:v>
      </x:c>
      <x:c r="E1627" s="10" t="n">
        <x:v>13</x:v>
      </x:c>
      <x:c r="F1627" s="21" t="n">
        <x:f>F1499*(1+'Assumptions'!$M$113)</x:f>
        <x:v>111.28068456957656</x:v>
      </x:c>
      <x:c r="G1627" s="21" t="n">
        <x:f>H1499*'Assumptions'!$K$113</x:f>
        <x:v>104.9391271735392</x:v>
      </x:c>
      <x:c r="H1627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1627+G1627,NA())</x:f>
        <x:v>216.21981174311577</x:v>
      </x:c>
      <x:c r="I1627" s="22" t="n">
        <x:f>'Assumptions'!$H$113*IF('Assumptions'!$O$113=1,1,'Assumptions'!$D$10)*(1+'Assumptions'!$N$113)^(13-1)</x:f>
        <x:v>44.388462809689095</x:v>
      </x:c>
      <x:c r="J1627" s="10" t="n">
        <x:f>H1627*I1627</x:f>
        <x:v>9597.665072277272</x:v>
      </x:c>
      <x:c r="K1627" s="10" t="n">
        <x:f>J1627*'Assumptions'!$T$113</x:f>
        <x:v>9597.665072277272</x:v>
      </x:c>
      <x:c r="L1627" s="10" t="n">
        <x:f>K1627*'Assumptions'!$U$113</x:f>
        <x:v>287.92995216831815</x:v>
      </x:c>
      <x:c r="M1627" s="10" t="n">
        <x:f>K1627*'Assumptions'!$V$113</x:f>
        <x:v>0</x:v>
      </x:c>
      <x:c r="N1627" s="10" t="n">
        <x:f>K1627-L1627-M1627</x:f>
        <x:v>9309.735120108953</x:v>
      </x:c>
      <x:c r="O1627" s="10" t="n">
        <x:f>H1627*'Assumptions'!$P$113*'Assumptions'!$Q$113*'Assumptions'!$D$11*(1+'Assumptions'!$D$13)^(13-1)</x:f>
        <x:v>1541.3887527228933</x:v>
      </x:c>
      <x:c r="P1627" s="10" t="n">
        <x:f>H1627*'Assumptions'!$R$113*'Assumptions'!$D$11*(1+'Assumptions'!$D$13)^(13-1)</x:f>
        <x:v>0</x:v>
      </x:c>
      <x:c r="Q1627" s="10" t="n">
        <x:f>J1627*'Assumptions'!$S$113</x:f>
        <x:v>0</x:v>
      </x:c>
      <x:c r="R1627" s="10" t="n">
        <x:f>H1627*'Assumptions'!$Y$113*'Assumptions'!$Z$113*'Assumptions'!$D$11*(1+'Assumptions'!$D$13)^(13-1)</x:f>
        <x:v>2312.0831290843403</x:v>
      </x:c>
      <x:c r="S1627" s="10" t="n">
        <x:f>IF(I1627=0,0,J1627*'Assumptions'!$W$113+H1627*'Assumptions'!$X$113)</x:f>
        <x:v>343.19823061897563</x:v>
      </x:c>
      <x:c r="T1627" s="10" t="n">
        <x:f>N1627*'Assumptions'!$AA$113</x:f>
        <x:v>372.38940480435815</x:v>
      </x:c>
      <x:c r="U1627" s="10" t="n">
        <x:f>'Assumptions'!$AE$113*'Assumptions'!$D$11*(1+'Assumptions'!$D$13)^(13-1)</x:f>
        <x:v>0</x:v>
      </x:c>
      <x:c r="V1627" s="10" t="n">
        <x:f>0</x:f>
        <x:v>0</x:v>
      </x:c>
      <x:c r="W1627" s="10" t="n">
        <x:f>H1627*('Assumptions'!$P$113+'Assumptions'!$Y$113)</x:f>
        <x:v>75.67693411009051</x:v>
      </x:c>
      <x:c r="X1627" s="10" t="n">
        <x:f>N1627/12*'Assumptions'!$AF$113</x:f>
        <x:v>775.8112600090794</x:v>
      </x:c>
      <x:c r="Y1627" s="10" t="n">
        <x:f>P1627/12</x:f>
        <x:v>0</x:v>
      </x:c>
      <x:c r="Z1627" s="10" t="n">
        <x:f>0</x:f>
        <x:v>0</x:v>
      </x:c>
      <x:c r="AA1627" s="10" t="n">
        <x:f>Z1627*'Assumptions'!$AC$113*'Assumptions'!$D$11*(1+'Assumptions'!$D$13)^(13-1)</x:f>
        <x:v>0</x:v>
      </x:c>
      <x:c r="AB1627" s="10" t="n">
        <x:f>F1627/1</x:f>
        <x:v>111.28068456957656</x:v>
      </x:c>
      <x:c r="AC1627" s="10" t="n">
        <x:f>AB1627/'Assumptions'!$AM$113</x:f>
        <x:v>556.4034228478828</x:v>
      </x:c>
      <x:c r="AD1627" s="10" t="n">
        <x:f>IF(AB1627=0,0,T1627/AB1627)</x:f>
        <x:v>3.346397501459719</x:v>
      </x:c>
      <x:c r="AE1627" s="10" t="n">
        <x:f>AA1627*'Assumptions'!$D$21</x:f>
        <x:v>0</x:v>
      </x:c>
    </x:row>
    <x:row r="1628" ht="16" customHeight="1">
      <x:c r="A1628" s="1"/>
      <x:c r="B1628" s="1"/>
      <x:c r="C1628" s="1" t="str">
        <x:v>DOT-085</x:v>
      </x:c>
      <x:c r="D1628" s="10" t="str">
        <x:v>Semajes Studio</x:v>
      </x:c>
      <x:c r="E1628" s="10" t="n">
        <x:v>13</x:v>
      </x:c>
      <x:c r="F1628" s="21" t="n">
        <x:f>F1500*(1+'Assumptions'!$M$114)</x:f>
        <x:v>33.38420537087296</x:v>
      </x:c>
      <x:c r="G1628" s="21" t="n">
        <x:f>H1500*'Assumptions'!$K$114</x:f>
        <x:v>31.48173815206176</x:v>
      </x:c>
      <x:c r="H1628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1628+G1628,NA())</x:f>
        <x:v>64.86594352293471</x:v>
      </x:c>
      <x:c r="I1628" s="22" t="n">
        <x:f>'Assumptions'!$H$114*IF('Assumptions'!$O$114=1,1,'Assumptions'!$D$10)*(1+'Assumptions'!$N$114)^(13-1)</x:f>
        <x:v>190.23626918438183</x:v>
      </x:c>
      <x:c r="J1628" s="10" t="n">
        <x:f>H1628*I1628</x:f>
        <x:v>12339.855092927917</x:v>
      </x:c>
      <x:c r="K1628" s="10" t="n">
        <x:f>J1628*'Assumptions'!$T$114</x:f>
        <x:v>12339.855092927917</x:v>
      </x:c>
      <x:c r="L1628" s="10" t="n">
        <x:f>K1628*'Assumptions'!$U$114</x:f>
        <x:v>370.1956527878375</x:v>
      </x:c>
      <x:c r="M1628" s="10" t="n">
        <x:f>K1628*'Assumptions'!$V$114</x:f>
        <x:v>0</x:v>
      </x:c>
      <x:c r="N1628" s="10" t="n">
        <x:f>K1628-L1628-M1628</x:f>
        <x:v>11969.65944014008</x:v>
      </x:c>
      <x:c r="O1628" s="10" t="n">
        <x:f>H1628*'Assumptions'!$P$114*'Assumptions'!$Q$114*'Assumptions'!$D$11*(1+'Assumptions'!$D$13)^(13-1)</x:f>
        <x:v>1156.0415645421697</x:v>
      </x:c>
      <x:c r="P1628" s="10" t="n">
        <x:f>H1628*'Assumptions'!$R$114*'Assumptions'!$D$11*(1+'Assumptions'!$D$13)^(13-1)</x:f>
        <x:v>0</x:v>
      </x:c>
      <x:c r="Q1628" s="10" t="n">
        <x:f>J1628*'Assumptions'!$S$114</x:f>
        <x:v>0</x:v>
      </x:c>
      <x:c r="R1628" s="10" t="n">
        <x:f>H1628*'Assumptions'!$Y$114*'Assumptions'!$Z$114*'Assumptions'!$D$11*(1+'Assumptions'!$D$13)^(13-1)</x:f>
        <x:v>693.6249387253018</x:v>
      </x:c>
      <x:c r="S1628" s="10" t="n">
        <x:f>IF(I1628=0,0,J1628*'Assumptions'!$W$114+H1628*'Assumptions'!$X$114)</x:f>
        <x:v>377.31558075179004</x:v>
      </x:c>
      <x:c r="T1628" s="10" t="n">
        <x:f>N1628*'Assumptions'!$AA$114</x:f>
        <x:v>478.7863776056032</x:v>
      </x:c>
      <x:c r="U1628" s="10" t="n">
        <x:f>'Assumptions'!$AE$114*'Assumptions'!$D$11*(1+'Assumptions'!$D$13)^(13-1)</x:f>
        <x:v>0</x:v>
      </x:c>
      <x:c r="V1628" s="10" t="n">
        <x:f>0</x:f>
        <x:v>0</x:v>
      </x:c>
      <x:c r="W1628" s="10" t="n">
        <x:f>H1628*('Assumptions'!$P$114+'Assumptions'!$Y$114)</x:f>
        <x:v>32.43297176146736</x:v>
      </x:c>
      <x:c r="X1628" s="10" t="n">
        <x:f>N1628/12*'Assumptions'!$AF$114</x:f>
        <x:v>997.4716200116733</x:v>
      </x:c>
      <x:c r="Y1628" s="10" t="n">
        <x:f>P1628/12</x:f>
        <x:v>0</x:v>
      </x:c>
      <x:c r="Z1628" s="10" t="n">
        <x:f>0</x:f>
        <x:v>0</x:v>
      </x:c>
      <x:c r="AA1628" s="10" t="n">
        <x:f>Z1628*'Assumptions'!$AC$114*'Assumptions'!$D$11*(1+'Assumptions'!$D$13)^(13-1)</x:f>
        <x:v>0</x:v>
      </x:c>
      <x:c r="AB1628" s="10" t="n">
        <x:f>F1628/1</x:f>
        <x:v>33.38420537087296</x:v>
      </x:c>
      <x:c r="AC1628" s="10" t="n">
        <x:f>AB1628/'Assumptions'!$AM$114</x:f>
        <x:v>166.9210268543648</x:v>
      </x:c>
      <x:c r="AD1628" s="10" t="n">
        <x:f>IF(AB1628=0,0,T1628/AB1628)</x:f>
        <x:v>14.34170357768451</x:v>
      </x:c>
      <x:c r="AE1628" s="10" t="n">
        <x:f>AA1628*'Assumptions'!$D$21</x:f>
        <x:v>0</x:v>
      </x:c>
    </x:row>
    <x:row r="1629" ht="16" customHeight="1">
      <x:c r="A1629" s="1"/>
      <x:c r="B1629" s="1"/>
      <x:c r="C1629" s="1" t="str">
        <x:v>DOT-086</x:v>
      </x:c>
      <x:c r="D1629" s="10" t="str">
        <x:v>Semajes Studio</x:v>
      </x:c>
      <x:c r="E1629" s="10" t="n">
        <x:v>13</x:v>
      </x:c>
      <x:c r="F1629" s="21" t="n">
        <x:f>F1501*(1+'Assumptions'!$M$115)</x:f>
        <x:v>16.69210268543648</x:v>
      </x:c>
      <x:c r="G1629" s="21" t="n">
        <x:f>H1501*'Assumptions'!$K$115</x:f>
        <x:v>15.74086907603088</x:v>
      </x:c>
      <x:c r="H1629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1629+G1629,NA())</x:f>
        <x:v>32.43297176146736</x:v>
      </x:c>
      <x:c r="I1629" s="22" t="n">
        <x:f>'Assumptions'!$H$115*IF('Assumptions'!$O$115=1,1,'Assumptions'!$D$10)*(1+'Assumptions'!$N$115)^(13-1)</x:f>
        <x:v>634.1208972812727</x:v>
      </x:c>
      <x:c r="J1629" s="10" t="n">
        <x:f>H1629*I1629</x:f>
        <x:v>20566.42515487986</x:v>
      </x:c>
      <x:c r="K1629" s="10" t="n">
        <x:f>J1629*'Assumptions'!$T$115</x:f>
        <x:v>20566.42515487986</x:v>
      </x:c>
      <x:c r="L1629" s="10" t="n">
        <x:f>K1629*'Assumptions'!$U$115</x:f>
        <x:v>616.9927546463958</x:v>
      </x:c>
      <x:c r="M1629" s="10" t="n">
        <x:f>K1629*'Assumptions'!$V$115</x:f>
        <x:v>0</x:v>
      </x:c>
      <x:c r="N1629" s="10" t="n">
        <x:f>K1629-L1629-M1629</x:f>
        <x:v>19949.432400233465</x:v>
      </x:c>
      <x:c r="O1629" s="10" t="n">
        <x:f>H1629*'Assumptions'!$P$115*'Assumptions'!$Q$115*'Assumptions'!$D$11*(1+'Assumptions'!$D$13)^(13-1)</x:f>
        <x:v>2312.0831290843394</x:v>
      </x:c>
      <x:c r="P1629" s="10" t="n">
        <x:f>H1629*'Assumptions'!$R$115*'Assumptions'!$D$11*(1+'Assumptions'!$D$13)^(13-1)</x:f>
        <x:v>0</x:v>
      </x:c>
      <x:c r="Q1629" s="10" t="n">
        <x:f>J1629*'Assumptions'!$S$115</x:f>
        <x:v>0</x:v>
      </x:c>
      <x:c r="R1629" s="10" t="n">
        <x:f>H1629*'Assumptions'!$Y$115*'Assumptions'!$Z$115*'Assumptions'!$D$11*(1+'Assumptions'!$D$13)^(13-1)</x:f>
        <x:v>346.8124693626509</x:v>
      </x:c>
      <x:c r="S1629" s="10" t="n">
        <x:f>IF(I1629=0,0,J1629*'Assumptions'!$W$115+H1629*'Assumptions'!$X$115)</x:f>
        <x:v>606.1562210199562</x:v>
      </x:c>
      <x:c r="T1629" s="10" t="n">
        <x:f>N1629*'Assumptions'!$AA$115</x:f>
        <x:v>797.9772960093386</x:v>
      </x:c>
      <x:c r="U1629" s="10" t="n">
        <x:f>'Assumptions'!$AE$115*'Assumptions'!$D$11*(1+'Assumptions'!$D$13)^(13-1)</x:f>
        <x:v>0</x:v>
      </x:c>
      <x:c r="V1629" s="10" t="n">
        <x:f>0</x:f>
        <x:v>0</x:v>
      </x:c>
      <x:c r="W1629" s="10" t="n">
        <x:f>H1629*('Assumptions'!$P$115+'Assumptions'!$Y$115)</x:f>
        <x:v>40.54121470183419</x:v>
      </x:c>
      <x:c r="X1629" s="10" t="n">
        <x:f>N1629/12*'Assumptions'!$AF$115</x:f>
        <x:v>1662.4527000194555</x:v>
      </x:c>
      <x:c r="Y1629" s="10" t="n">
        <x:f>P1629/12</x:f>
        <x:v>0</x:v>
      </x:c>
      <x:c r="Z1629" s="10" t="n">
        <x:f>0</x:f>
        <x:v>0</x:v>
      </x:c>
      <x:c r="AA1629" s="10" t="n">
        <x:f>Z1629*'Assumptions'!$AC$115*'Assumptions'!$D$11*(1+'Assumptions'!$D$13)^(13-1)</x:f>
        <x:v>0</x:v>
      </x:c>
      <x:c r="AB1629" s="10" t="n">
        <x:f>F1629/1</x:f>
        <x:v>16.69210268543648</x:v>
      </x:c>
      <x:c r="AC1629" s="10" t="n">
        <x:f>AB1629/'Assumptions'!$AM$115</x:f>
        <x:v>83.4605134271824</x:v>
      </x:c>
      <x:c r="AD1629" s="10" t="n">
        <x:f>IF(AB1629=0,0,T1629/AB1629)</x:f>
        <x:v>47.805678592281694</x:v>
      </x:c>
      <x:c r="AE1629" s="10" t="n">
        <x:f>AA1629*'Assumptions'!$D$21</x:f>
        <x:v>0</x:v>
      </x:c>
    </x:row>
    <x:row r="1630" ht="16" customHeight="1">
      <x:c r="A1630" s="1"/>
      <x:c r="B1630" s="1"/>
      <x:c r="C1630" s="1" t="str">
        <x:v>DOT-087</x:v>
      </x:c>
      <x:c r="D1630" s="10" t="str">
        <x:v>Semajes Studio</x:v>
      </x:c>
      <x:c r="E1630" s="10" t="n">
        <x:v>13</x:v>
      </x:c>
      <x:c r="F1630" s="21" t="n">
        <x:f>F1502*(1+'Assumptions'!$M$116)</x:f>
        <x:v>167.43612880950403</x:v>
      </x:c>
      <x:c r="G1630" s="21" t="n">
        <x:f>H1502*'Assumptions'!$K$116</x:f>
        <x:v>68.80896370584068</x:v>
      </x:c>
      <x:c r="H1630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1630+G1630,NA())</x:f>
        <x:v>236.2450925153447</x:v>
      </x:c>
      <x:c r="I1630" s="22" t="n">
        <x:f>'Assumptions'!$H$116*IF('Assumptions'!$O$116=1,1,'Assumptions'!$D$10)*(1+'Assumptions'!$N$116)^(13-1)</x:f>
        <x:v>120.48297048344182</x:v>
      </x:c>
      <x:c r="J1630" s="10" t="n">
        <x:f>H1630*I1630</x:f>
        <x:v>28463.510508384257</x:v>
      </x:c>
      <x:c r="K1630" s="10" t="n">
        <x:f>J1630*'Assumptions'!$T$116</x:f>
        <x:v>28463.510508384257</x:v>
      </x:c>
      <x:c r="L1630" s="10" t="n">
        <x:f>K1630*'Assumptions'!$U$116</x:f>
        <x:v>853.9053152515277</x:v>
      </x:c>
      <x:c r="M1630" s="10" t="n">
        <x:f>K1630*'Assumptions'!$V$116</x:f>
        <x:v>569.2702101676851</x:v>
      </x:c>
      <x:c r="N1630" s="10" t="n">
        <x:f>K1630-L1630-M1630</x:f>
        <x:v>27040.334982965047</x:v>
      </x:c>
      <x:c r="O1630" s="10" t="n">
        <x:f>H1630*'Assumptions'!$P$116*'Assumptions'!$Q$116*'Assumptions'!$D$11*(1+'Assumptions'!$D$13)^(13-1)</x:f>
        <x:v>2526.2175946330167</x:v>
      </x:c>
      <x:c r="P1630" s="10" t="n">
        <x:f>H1630*'Assumptions'!$R$116*'Assumptions'!$D$11*(1+'Assumptions'!$D$13)^(13-1)</x:f>
        <x:v>11789.015441620746</x:v>
      </x:c>
      <x:c r="Q1630" s="10" t="n">
        <x:f>J1630*'Assumptions'!$S$116</x:f>
        <x:v>0</x:v>
      </x:c>
      <x:c r="R1630" s="10" t="n">
        <x:f>H1630*'Assumptions'!$Y$116*'Assumptions'!$Z$116*'Assumptions'!$D$11*(1+'Assumptions'!$D$13)^(13-1)</x:f>
        <x:v>1515.73055677981</x:v>
      </x:c>
      <x:c r="S1630" s="10" t="n">
        <x:f>IF(I1630=0,0,J1630*'Assumptions'!$W$116+H1630*'Assumptions'!$X$116)</x:f>
        <x:v>896.3153324977469</x:v>
      </x:c>
      <x:c r="T1630" s="10" t="n">
        <x:f>N1630*'Assumptions'!$AA$116</x:f>
        <x:v>2163.226798637204</x:v>
      </x:c>
      <x:c r="U1630" s="10" t="n">
        <x:f>'Assumptions'!$AE$116*'Assumptions'!$D$11*(1+'Assumptions'!$D$13)^(13-1)</x:f>
        <x:v>0</x:v>
      </x:c>
      <x:c r="V1630" s="10" t="n">
        <x:f>0</x:f>
        <x:v>0</x:v>
      </x:c>
      <x:c r="W1630" s="10" t="n">
        <x:f>H1630*('Assumptions'!$P$116+'Assumptions'!$Y$116)</x:f>
        <x:v>70.87352775460342</x:v>
      </x:c>
      <x:c r="X1630" s="10" t="n">
        <x:f>N1630/12*'Assumptions'!$AF$116</x:f>
        <x:v>0</x:v>
      </x:c>
      <x:c r="Y1630" s="10" t="n">
        <x:f>P1630/12</x:f>
        <x:v>982.4179534683955</x:v>
      </x:c>
      <x:c r="Z1630" s="10" t="n">
        <x:f>0</x:f>
        <x:v>0</x:v>
      </x:c>
      <x:c r="AA1630" s="10" t="n">
        <x:f>Z1630*'Assumptions'!$AC$116*'Assumptions'!$D$11*(1+'Assumptions'!$D$13)^(13-1)</x:f>
        <x:v>0</x:v>
      </x:c>
      <x:c r="AB1630" s="10" t="n">
        <x:f>F1630/1</x:f>
        <x:v>167.43612880950403</x:v>
      </x:c>
      <x:c r="AC1630" s="10" t="n">
        <x:f>AB1630/'Assumptions'!$AM$116</x:f>
        <x:v>5581.204293650135</x:v>
      </x:c>
      <x:c r="AD1630" s="10" t="n">
        <x:f>IF(AB1630=0,0,T1630/AB1630)</x:f>
        <x:v>12.919713409633099</x:v>
      </x:c>
      <x:c r="AE1630" s="10" t="n">
        <x:f>AA1630*'Assumptions'!$D$21</x:f>
        <x:v>0</x:v>
      </x:c>
    </x:row>
    <x:row r="1631" ht="16" customHeight="1">
      <x:c r="A1631" s="1"/>
      <x:c r="B1631" s="1"/>
      <x:c r="C1631" s="1" t="str">
        <x:v>DOT-088</x:v>
      </x:c>
      <x:c r="D1631" s="10" t="str">
        <x:v>Semajes Studio</x:v>
      </x:c>
      <x:c r="E1631" s="10" t="n">
        <x:v>13</x:v>
      </x:c>
      <x:c r="F1631" s="21" t="n">
        <x:f>F1503*(1+'Assumptions'!$M$117)</x:f>
        <x:v>83.71806440475201</x:v>
      </x:c>
      <x:c r="G1631" s="21" t="n">
        <x:f>H1503*'Assumptions'!$K$117</x:f>
        <x:v>34.40448185292034</x:v>
      </x:c>
      <x:c r="H1631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1631+G1631,NA())</x:f>
        <x:v>118.12254625767235</x:v>
      </x:c>
      <x:c r="I1631" s="22" t="n">
        <x:f>'Assumptions'!$H$117*IF('Assumptions'!$O$117=1,1,'Assumptions'!$D$10)*(1+'Assumptions'!$N$117)^(13-1)</x:f>
        <x:v>317.06044864063637</x:v>
      </x:c>
      <x:c r="J1631" s="10" t="n">
        <x:f>H1631*I1631</x:f>
        <x:v>37451.98751103192</x:v>
      </x:c>
      <x:c r="K1631" s="10" t="n">
        <x:f>J1631*'Assumptions'!$T$117</x:f>
        <x:v>37451.98751103192</x:v>
      </x:c>
      <x:c r="L1631" s="10" t="n">
        <x:f>K1631*'Assumptions'!$U$117</x:f>
        <x:v>1123.5596253309575</x:v>
      </x:c>
      <x:c r="M1631" s="10" t="n">
        <x:f>K1631*'Assumptions'!$V$117</x:f>
        <x:v>749.0397502206384</x:v>
      </x:c>
      <x:c r="N1631" s="10" t="n">
        <x:f>K1631-L1631-M1631</x:f>
        <x:v>35579.38813548032</x:v>
      </x:c>
      <x:c r="O1631" s="10" t="n">
        <x:f>H1631*'Assumptions'!$P$117*'Assumptions'!$Q$117*'Assumptions'!$D$11*(1+'Assumptions'!$D$13)^(13-1)</x:f>
        <x:v>2105.181328860847</x:v>
      </x:c>
      <x:c r="P1631" s="10" t="n">
        <x:f>H1631*'Assumptions'!$R$117*'Assumptions'!$D$11*(1+'Assumptions'!$D$13)^(13-1)</x:f>
        <x:v>18525.595693975454</x:v>
      </x:c>
      <x:c r="Q1631" s="10" t="n">
        <x:f>J1631*'Assumptions'!$S$117</x:f>
        <x:v>0</x:v>
      </x:c>
      <x:c r="R1631" s="10" t="n">
        <x:f>H1631*'Assumptions'!$Y$117*'Assumptions'!$Z$117*'Assumptions'!$D$11*(1+'Assumptions'!$D$13)^(13-1)</x:f>
        <x:v>757.865278389905</x:v>
      </x:c>
      <x:c r="S1631" s="10" t="n">
        <x:f>IF(I1631=0,0,J1631*'Assumptions'!$W$117+H1631*'Assumptions'!$X$117)</x:f>
        <x:v>1121.5444016972274</x:v>
      </x:c>
      <x:c r="T1631" s="10" t="n">
        <x:f>N1631*'Assumptions'!$AA$117</x:f>
        <x:v>2846.351050838426</x:v>
      </x:c>
      <x:c r="U1631" s="10" t="n">
        <x:f>'Assumptions'!$AE$117*'Assumptions'!$D$11*(1+'Assumptions'!$D$13)^(13-1)</x:f>
        <x:v>0</x:v>
      </x:c>
      <x:c r="V1631" s="10" t="n">
        <x:f>0</x:f>
        <x:v>0</x:v>
      </x:c>
      <x:c r="W1631" s="10" t="n">
        <x:f>H1631*('Assumptions'!$P$117+'Assumptions'!$Y$117)</x:f>
        <x:v>47.249018503068946</x:v>
      </x:c>
      <x:c r="X1631" s="10" t="n">
        <x:f>N1631/12*'Assumptions'!$AF$117</x:f>
        <x:v>0</x:v>
      </x:c>
      <x:c r="Y1631" s="10" t="n">
        <x:f>P1631/12</x:f>
        <x:v>1543.799641164621</x:v>
      </x:c>
      <x:c r="Z1631" s="10" t="n">
        <x:f>0</x:f>
        <x:v>0</x:v>
      </x:c>
      <x:c r="AA1631" s="10" t="n">
        <x:f>Z1631*'Assumptions'!$AC$117*'Assumptions'!$D$11*(1+'Assumptions'!$D$13)^(13-1)</x:f>
        <x:v>0</x:v>
      </x:c>
      <x:c r="AB1631" s="10" t="n">
        <x:f>F1631/1</x:f>
        <x:v>83.71806440475201</x:v>
      </x:c>
      <x:c r="AC1631" s="10" t="n">
        <x:f>AB1631/'Assumptions'!$AM$117</x:f>
        <x:v>2790.6021468250674</x:v>
      </x:c>
      <x:c r="AD1631" s="10" t="n">
        <x:f>IF(AB1631=0,0,T1631/AB1631)</x:f>
        <x:v>33.999245814823944</x:v>
      </x:c>
      <x:c r="AE1631" s="10" t="n">
        <x:f>AA1631*'Assumptions'!$D$21</x:f>
        <x:v>0</x:v>
      </x:c>
    </x:row>
    <x:row r="1632" ht="16" customHeight="1">
      <x:c r="A1632" s="1"/>
      <x:c r="B1632" s="1"/>
      <x:c r="C1632" s="1" t="str">
        <x:v>DOT-089</x:v>
      </x:c>
      <x:c r="D1632" s="10" t="str">
        <x:v>Semajes Studio</x:v>
      </x:c>
      <x:c r="E1632" s="10" t="n">
        <x:v>13</x:v>
      </x:c>
      <x:c r="F1632" s="21" t="n">
        <x:f>F1504*(1+'Assumptions'!$M$118)</x:f>
        <x:v>33.487225761900795</x:v>
      </x:c>
      <x:c r="G1632" s="21" t="n">
        <x:f>H1504*'Assumptions'!$K$118</x:f>
        <x:v>13.761792741168133</x:v>
      </x:c>
      <x:c r="H1632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1632+G1632,NA())</x:f>
        <x:v>47.249018503068925</x:v>
      </x:c>
      <x:c r="I1632" s="22" t="n">
        <x:f>'Assumptions'!$H$118*IF('Assumptions'!$O$118=1,1,'Assumptions'!$D$10)*(1+'Assumptions'!$N$118)^(13-1)</x:f>
        <x:v>221.94231404844547</x:v>
      </x:c>
      <x:c r="J1632" s="10" t="n">
        <x:f>H1632*I1632</x:f>
        <x:v>10486.556503088934</x:v>
      </x:c>
      <x:c r="K1632" s="10" t="n">
        <x:f>J1632*'Assumptions'!$T$118</x:f>
        <x:v>10486.556503088934</x:v>
      </x:c>
      <x:c r="L1632" s="10" t="n">
        <x:f>K1632*'Assumptions'!$U$118</x:f>
        <x:v>314.596695092668</x:v>
      </x:c>
      <x:c r="M1632" s="10" t="n">
        <x:f>K1632*'Assumptions'!$V$118</x:f>
        <x:v>209.73113006177869</x:v>
      </x:c>
      <x:c r="N1632" s="10" t="n">
        <x:f>K1632-L1632-M1632</x:f>
        <x:v>9962.228677934487</x:v>
      </x:c>
      <x:c r="O1632" s="10" t="n">
        <x:f>H1632*'Assumptions'!$P$118*'Assumptions'!$Q$118*'Assumptions'!$D$11*(1+'Assumptions'!$D$13)^(13-1)</x:f>
        <x:v>1684.1450630886773</x:v>
      </x:c>
      <x:c r="P1632" s="10" t="n">
        <x:f>H1632*'Assumptions'!$R$118*'Assumptions'!$D$11*(1+'Assumptions'!$D$13)^(13-1)</x:f>
        <x:v>6062.9222271192375</x:v>
      </x:c>
      <x:c r="Q1632" s="10" t="n">
        <x:f>J1632*'Assumptions'!$S$118</x:f>
        <x:v>0</x:v>
      </x:c>
      <x:c r="R1632" s="10" t="n">
        <x:f>H1632*'Assumptions'!$Y$118*'Assumptions'!$Z$118*'Assumptions'!$D$11*(1+'Assumptions'!$D$13)^(13-1)</x:f>
        <x:v>303.14611135596186</x:v>
      </x:c>
      <x:c r="S1632" s="10" t="n">
        <x:f>IF(I1632=0,0,J1632*'Assumptions'!$W$118+H1632*'Assumptions'!$X$118)</x:f>
        <x:v>318.2848441404998</x:v>
      </x:c>
      <x:c r="T1632" s="10" t="n">
        <x:f>N1632*'Assumptions'!$AA$118</x:f>
        <x:v>796.978294234759</x:v>
      </x:c>
      <x:c r="U1632" s="10" t="n">
        <x:f>'Assumptions'!$AE$118*'Assumptions'!$D$11*(1+'Assumptions'!$D$13)^(13-1)</x:f>
        <x:v>0</x:v>
      </x:c>
      <x:c r="V1632" s="10" t="n">
        <x:f>0</x:f>
        <x:v>0</x:v>
      </x:c>
      <x:c r="W1632" s="10" t="n">
        <x:f>H1632*('Assumptions'!$P$118+'Assumptions'!$Y$118)</x:f>
        <x:v>30.7118620269948</x:v>
      </x:c>
      <x:c r="X1632" s="10" t="n">
        <x:f>N1632/12*'Assumptions'!$AF$118</x:f>
        <x:v>0</x:v>
      </x:c>
      <x:c r="Y1632" s="10" t="n">
        <x:f>P1632/12</x:f>
        <x:v>505.24351892660314</x:v>
      </x:c>
      <x:c r="Z1632" s="10" t="n">
        <x:f>0</x:f>
        <x:v>0</x:v>
      </x:c>
      <x:c r="AA1632" s="10" t="n">
        <x:f>Z1632*'Assumptions'!$AC$118*'Assumptions'!$D$11*(1+'Assumptions'!$D$13)^(13-1)</x:f>
        <x:v>0</x:v>
      </x:c>
      <x:c r="AB1632" s="10" t="n">
        <x:f>F1632/1</x:f>
        <x:v>33.487225761900795</x:v>
      </x:c>
      <x:c r="AC1632" s="10" t="n">
        <x:f>AB1632/'Assumptions'!$AM$118</x:f>
        <x:v>1116.2408587300265</x:v>
      </x:c>
      <x:c r="AD1632" s="10" t="n">
        <x:f>IF(AB1632=0,0,T1632/AB1632)</x:f>
        <x:v>23.79947207037676</x:v>
      </x:c>
      <x:c r="AE1632" s="10" t="n">
        <x:f>AA1632*'Assumptions'!$D$21</x:f>
        <x:v>0</x:v>
      </x:c>
    </x:row>
    <x:row r="1633" ht="16" customHeight="1">
      <x:c r="A1633" s="1"/>
      <x:c r="B1633" s="1"/>
      <x:c r="C1633" s="1" t="str">
        <x:v>DOT-090</x:v>
      </x:c>
      <x:c r="D1633" s="10" t="str">
        <x:v>Semajes Marketplace</x:v>
      </x:c>
      <x:c r="E1633" s="10" t="n">
        <x:v>13</x:v>
      </x:c>
      <x:c r="F1633" s="21" t="n">
        <x:f>F1505*(1+'Assumptions'!$M$119)</x:f>
        <x:v>94.56387986755301</x:v>
      </x:c>
      <x:c r="G1633" s="21" t="n">
        <x:f>H1505*'Assumptions'!$K$119</x:f>
        <x:v>197.12097333944104</x:v>
      </x:c>
      <x:c r="H1633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1633+G1633,NA())</x:f>
        <x:v>291.68485320699403</x:v>
      </x:c>
      <x:c r="I1633" s="22" t="n">
        <x:f>'Assumptions'!$H$119*IF('Assumptions'!$O$119=1,1,'Assumptions'!$D$10)*(1+'Assumptions'!$N$119)^(13-1)</x:f>
        <x:v>760.9450767375273</x:v>
      </x:c>
      <x:c r="J1633" s="10" t="n">
        <x:f>H1633*I1633</x:f>
        <x:v>221956.15300677047</x:v>
      </x:c>
      <x:c r="K1633" s="10" t="n">
        <x:f>J1633*'Assumptions'!$T$119</x:f>
        <x:v>33293.42295101557</x:v>
      </x:c>
      <x:c r="L1633" s="10" t="n">
        <x:f>K1633*'Assumptions'!$U$119</x:f>
        <x:v>998.8026885304671</x:v>
      </x:c>
      <x:c r="M1633" s="10" t="n">
        <x:f>K1633*'Assumptions'!$V$119</x:f>
        <x:v>0</x:v>
      </x:c>
      <x:c r="N1633" s="10" t="n">
        <x:f>K1633-L1633-M1633</x:f>
        <x:v>32294.620262485103</x:v>
      </x:c>
      <x:c r="O1633" s="10" t="n">
        <x:f>H1633*'Assumptions'!$P$119*'Assumptions'!$Q$119*'Assumptions'!$D$11*(1+'Assumptions'!$D$13)^(13-1)</x:f>
        <x:v>3638.8874811450123</x:v>
      </x:c>
      <x:c r="P1633" s="10" t="n">
        <x:f>H1633*'Assumptions'!$R$119*'Assumptions'!$D$11*(1+'Assumptions'!$D$13)^(13-1)</x:f>
        <x:v>0</x:v>
      </x:c>
      <x:c r="Q1633" s="10" t="n">
        <x:f>J1633*'Assumptions'!$S$119</x:f>
        <x:v>0</x:v>
      </x:c>
      <x:c r="R1633" s="10" t="n">
        <x:f>H1633*'Assumptions'!$Y$119*'Assumptions'!$Z$119*'Assumptions'!$D$11*(1+'Assumptions'!$D$13)^(13-1)</x:f>
        <x:v>1871.4278474460064</x:v>
      </x:c>
      <x:c r="S1633" s="10" t="n">
        <x:f>IF(I1633=0,0,J1633*'Assumptions'!$W$119+H1633*'Assumptions'!$X$119)</x:f>
        <x:v>6524.233893158443</x:v>
      </x:c>
      <x:c r="T1633" s="10" t="n">
        <x:f>N1633*'Assumptions'!$AA$119</x:f>
        <x:v>1614.7310131242552</x:v>
      </x:c>
      <x:c r="U1633" s="10" t="n">
        <x:f>'Assumptions'!$AE$119*'Assumptions'!$D$11*(1+'Assumptions'!$D$13)^(13-1)</x:f>
        <x:v>342.182612843083</x:v>
      </x:c>
      <x:c r="V1633" s="10" t="n">
        <x:f>0</x:f>
        <x:v>0</x:v>
      </x:c>
      <x:c r="W1633" s="10" t="n">
        <x:f>H1633*('Assumptions'!$P$119+'Assumptions'!$Y$119)</x:f>
        <x:v>116.67394128279761</x:v>
      </x:c>
      <x:c r="X1633" s="10" t="n">
        <x:f>N1633/12*'Assumptions'!$AF$119</x:f>
        <x:v>0</x:v>
      </x:c>
      <x:c r="Y1633" s="10" t="n">
        <x:f>P1633/12</x:f>
        <x:v>0</x:v>
      </x:c>
      <x:c r="Z1633" s="10" t="n">
        <x:f>0</x:f>
        <x:v>0</x:v>
      </x:c>
      <x:c r="AA1633" s="10" t="n">
        <x:f>Z1633*'Assumptions'!$AC$119*'Assumptions'!$D$11*(1+'Assumptions'!$D$13)^(13-1)</x:f>
        <x:v>0</x:v>
      </x:c>
      <x:c r="AB1633" s="10" t="n">
        <x:f>F1633/1</x:f>
        <x:v>94.56387986755301</x:v>
      </x:c>
      <x:c r="AC1633" s="10" t="n">
        <x:f>AB1633/'Assumptions'!$AM$119</x:f>
        <x:v>1891.2775973510602</x:v>
      </x:c>
      <x:c r="AD1633" s="10" t="n">
        <x:f>IF(AB1633=0,0,T1633/AB1633)</x:f>
        <x:v>17.075557976109497</x:v>
      </x:c>
      <x:c r="AE1633" s="10" t="n">
        <x:f>AA1633*'Assumptions'!$D$21</x:f>
        <x:v>0</x:v>
      </x:c>
    </x:row>
    <x:row r="1634" ht="16" customHeight="1">
      <x:c r="A1634" s="1"/>
      <x:c r="B1634" s="1"/>
      <x:c r="C1634" s="1" t="str">
        <x:v>DOT-091</x:v>
      </x:c>
      <x:c r="D1634" s="10" t="str">
        <x:v>Semajes Marketplace</x:v>
      </x:c>
      <x:c r="E1634" s="10" t="n">
        <x:v>13</x:v>
      </x:c>
      <x:c r="F1634" s="21" t="n">
        <x:f>F1506*(1+'Assumptions'!$M$120)</x:f>
        <x:v>189.12775973510603</x:v>
      </x:c>
      <x:c r="G1634" s="21" t="n">
        <x:f>H1506*'Assumptions'!$K$120</x:f>
        <x:v>394.2419466788821</x:v>
      </x:c>
      <x:c r="H1634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1634+G1634,NA())</x:f>
        <x:v>583.3697064139881</x:v>
      </x:c>
      <x:c r="I1634" s="22" t="n">
        <x:f>'Assumptions'!$H$120*IF('Assumptions'!$O$120=1,1,'Assumptions'!$D$10)*(1+'Assumptions'!$N$120)^(13-1)</x:f>
        <x:v>95.11813459219091</x:v>
      </x:c>
      <x:c r="J1634" s="10" t="n">
        <x:f>H1634*I1634</x:f>
        <x:v>55489.03825169262</x:v>
      </x:c>
      <x:c r="K1634" s="10" t="n">
        <x:f>J1634*'Assumptions'!$T$120</x:f>
        <x:v>11097.807650338524</x:v>
      </x:c>
      <x:c r="L1634" s="10" t="n">
        <x:f>K1634*'Assumptions'!$U$120</x:f>
        <x:v>332.9342295101557</x:v>
      </x:c>
      <x:c r="M1634" s="10" t="n">
        <x:f>K1634*'Assumptions'!$V$120</x:f>
        <x:v>0</x:v>
      </x:c>
      <x:c r="N1634" s="10" t="n">
        <x:f>K1634-L1634-M1634</x:f>
        <x:v>10764.873420828368</x:v>
      </x:c>
      <x:c r="O1634" s="10" t="n">
        <x:f>H1634*'Assumptions'!$P$120*'Assumptions'!$Q$120*'Assumptions'!$D$11*(1+'Assumptions'!$D$13)^(13-1)</x:f>
        <x:v>2911.10998491601</x:v>
      </x:c>
      <x:c r="P1634" s="10" t="n">
        <x:f>H1634*'Assumptions'!$R$120*'Assumptions'!$D$11*(1+'Assumptions'!$D$13)^(13-1)</x:f>
        <x:v>0</x:v>
      </x:c>
      <x:c r="Q1634" s="10" t="n">
        <x:f>J1634*'Assumptions'!$S$120</x:f>
        <x:v>0</x:v>
      </x:c>
      <x:c r="R1634" s="10" t="n">
        <x:f>H1634*'Assumptions'!$Y$120*'Assumptions'!$Z$120*'Assumptions'!$D$11*(1+'Assumptions'!$D$13)^(13-1)</x:f>
        <x:v>3742.8556948920127</x:v>
      </x:c>
      <x:c r="S1634" s="10" t="n">
        <x:f>IF(I1634=0,0,J1634*'Assumptions'!$W$120+H1634*'Assumptions'!$X$120)</x:f>
        <x:v>1784.1930212232824</x:v>
      </x:c>
      <x:c r="T1634" s="10" t="n">
        <x:f>N1634*'Assumptions'!$AA$120</x:f>
        <x:v>538.2436710414185</x:v>
      </x:c>
      <x:c r="U1634" s="10" t="n">
        <x:f>'Assumptions'!$AE$120*'Assumptions'!$D$11*(1+'Assumptions'!$D$13)^(13-1)</x:f>
        <x:v>0</x:v>
      </x:c>
      <x:c r="V1634" s="10" t="n">
        <x:f>0</x:f>
        <x:v>0</x:v>
      </x:c>
      <x:c r="W1634" s="10" t="n">
        <x:f>H1634*('Assumptions'!$P$120+'Assumptions'!$Y$120)</x:f>
        <x:v>145.84242660349702</x:v>
      </x:c>
      <x:c r="X1634" s="10" t="n">
        <x:f>N1634/12*'Assumptions'!$AF$120</x:f>
        <x:v>0</x:v>
      </x:c>
      <x:c r="Y1634" s="10" t="n">
        <x:f>P1634/12</x:f>
        <x:v>0</x:v>
      </x:c>
      <x:c r="Z1634" s="10" t="n">
        <x:f>0</x:f>
        <x:v>0</x:v>
      </x:c>
      <x:c r="AA1634" s="10" t="n">
        <x:f>Z1634*'Assumptions'!$AC$120*'Assumptions'!$D$11*(1+'Assumptions'!$D$13)^(13-1)</x:f>
        <x:v>0</x:v>
      </x:c>
      <x:c r="AB1634" s="10" t="n">
        <x:f>F1634/1</x:f>
        <x:v>189.12775973510603</x:v>
      </x:c>
      <x:c r="AC1634" s="10" t="n">
        <x:f>AB1634/'Assumptions'!$AM$120</x:f>
        <x:v>3782.5551947021204</x:v>
      </x:c>
      <x:c r="AD1634" s="10" t="n">
        <x:f>IF(AB1634=0,0,T1634/AB1634)</x:f>
        <x:v>2.8459263293515833</x:v>
      </x:c>
      <x:c r="AE1634" s="10" t="n">
        <x:f>AA1634*'Assumptions'!$D$21</x:f>
        <x:v>0</x:v>
      </x:c>
    </x:row>
    <x:row r="1635" ht="16" customHeight="1">
      <x:c r="A1635" s="1"/>
      <x:c r="B1635" s="1"/>
      <x:c r="C1635" s="1" t="str">
        <x:v>DOT-092</x:v>
      </x:c>
      <x:c r="D1635" s="10" t="str">
        <x:v>Semajes Marketplace</x:v>
      </x:c>
      <x:c r="E1635" s="10" t="n">
        <x:v>13</x:v>
      </x:c>
      <x:c r="F1635" s="21" t="n">
        <x:f>F1507*(1+'Assumptions'!$M$121)</x:f>
        <x:v>94.56387986755301</x:v>
      </x:c>
      <x:c r="G1635" s="21" t="n">
        <x:f>H1507*'Assumptions'!$K$121</x:f>
        <x:v>197.12097333944104</x:v>
      </x:c>
      <x:c r="H1635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1635+G1635,NA())</x:f>
        <x:v>291.68485320699403</x:v>
      </x:c>
      <x:c r="I1635" s="22" t="n">
        <x:f>'Assumptions'!$H$121*IF('Assumptions'!$O$121=1,1,'Assumptions'!$D$10)*(1+'Assumptions'!$N$121)^(13-1)</x:f>
        <x:v>317.06044864063637</x:v>
      </x:c>
      <x:c r="J1635" s="10" t="n">
        <x:f>H1635*I1635</x:f>
        <x:v>92481.73041948769</x:v>
      </x:c>
      <x:c r="K1635" s="10" t="n">
        <x:f>J1635*'Assumptions'!$T$121</x:f>
        <x:v>18496.34608389754</x:v>
      </x:c>
      <x:c r="L1635" s="10" t="n">
        <x:f>K1635*'Assumptions'!$U$121</x:f>
        <x:v>554.8903825169263</x:v>
      </x:c>
      <x:c r="M1635" s="10" t="n">
        <x:f>K1635*'Assumptions'!$V$121</x:f>
        <x:v>0</x:v>
      </x:c>
      <x:c r="N1635" s="10" t="n">
        <x:f>K1635-L1635-M1635</x:f>
        <x:v>17941.455701380615</x:v>
      </x:c>
      <x:c r="O1635" s="10" t="n">
        <x:f>H1635*'Assumptions'!$P$121*'Assumptions'!$Q$121*'Assumptions'!$D$11*(1+'Assumptions'!$D$13)^(13-1)</x:f>
        <x:v>2183.3324886870073</x:v>
      </x:c>
      <x:c r="P1635" s="10" t="n">
        <x:f>H1635*'Assumptions'!$R$121*'Assumptions'!$D$11*(1+'Assumptions'!$D$13)^(13-1)</x:f>
        <x:v>0</x:v>
      </x:c>
      <x:c r="Q1635" s="10" t="n">
        <x:f>J1635*'Assumptions'!$S$121</x:f>
        <x:v>0</x:v>
      </x:c>
      <x:c r="R1635" s="10" t="n">
        <x:f>H1635*'Assumptions'!$Y$121*'Assumptions'!$Z$121*'Assumptions'!$D$11*(1+'Assumptions'!$D$13)^(13-1)</x:f>
        <x:v>1871.4278474460064</x:v>
      </x:c>
      <x:c r="S1635" s="10" t="n">
        <x:f>IF(I1635=0,0,J1635*'Assumptions'!$W$121+H1635*'Assumptions'!$X$121)</x:f>
        <x:v>2769.4756381272414</x:v>
      </x:c>
      <x:c r="T1635" s="10" t="n">
        <x:f>N1635*'Assumptions'!$AA$121</x:f>
        <x:v>897.0727850690308</x:v>
      </x:c>
      <x:c r="U1635" s="10" t="n">
        <x:f>'Assumptions'!$AE$121*'Assumptions'!$D$11*(1+'Assumptions'!$D$13)^(13-1)</x:f>
        <x:v>0</x:v>
      </x:c>
      <x:c r="V1635" s="10" t="n">
        <x:f>0</x:f>
        <x:v>0</x:v>
      </x:c>
      <x:c r="W1635" s="10" t="n">
        <x:f>H1635*('Assumptions'!$P$121+'Assumptions'!$Y$121)</x:f>
        <x:v>87.50545596209821</x:v>
      </x:c>
      <x:c r="X1635" s="10" t="n">
        <x:f>N1635/12*'Assumptions'!$AF$121</x:f>
        <x:v>0</x:v>
      </x:c>
      <x:c r="Y1635" s="10" t="n">
        <x:f>P1635/12</x:f>
        <x:v>0</x:v>
      </x:c>
      <x:c r="Z1635" s="10" t="n">
        <x:f>0</x:f>
        <x:v>0</x:v>
      </x:c>
      <x:c r="AA1635" s="10" t="n">
        <x:f>Z1635*'Assumptions'!$AC$121*'Assumptions'!$D$11*(1+'Assumptions'!$D$13)^(13-1)</x:f>
        <x:v>0</x:v>
      </x:c>
      <x:c r="AB1635" s="10" t="n">
        <x:f>F1635/1</x:f>
        <x:v>94.56387986755301</x:v>
      </x:c>
      <x:c r="AC1635" s="10" t="n">
        <x:f>AB1635/'Assumptions'!$AM$121</x:f>
        <x:v>1891.2775973510602</x:v>
      </x:c>
      <x:c r="AD1635" s="10" t="n">
        <x:f>IF(AB1635=0,0,T1635/AB1635)</x:f>
        <x:v>9.486421097838612</x:v>
      </x:c>
      <x:c r="AE1635" s="10" t="n">
        <x:f>AA1635*'Assumptions'!$D$21</x:f>
        <x:v>0</x:v>
      </x:c>
    </x:row>
    <x:row r="1636" ht="16" customHeight="1">
      <x:c r="A1636" s="1"/>
      <x:c r="B1636" s="1"/>
      <x:c r="C1636" s="1" t="str">
        <x:v>DOT-093</x:v>
      </x:c>
      <x:c r="D1636" s="10" t="str">
        <x:v>Semajes Marketplace</x:v>
      </x:c>
      <x:c r="E1636" s="10" t="n">
        <x:v>13</x:v>
      </x:c>
      <x:c r="F1636" s="21" t="n">
        <x:f>F1508*(1+'Assumptions'!$M$122)</x:f>
        <x:v>18.9127759735106</x:v>
      </x:c>
      <x:c r="G1636" s="21" t="n">
        <x:f>H1508*'Assumptions'!$K$122</x:f>
        <x:v>39.4241946678882</x:v>
      </x:c>
      <x:c r="H1636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1636+G1636,NA())</x:f>
        <x:v>58.3369706413988</x:v>
      </x:c>
      <x:c r="I1636" s="22" t="n">
        <x:f>'Assumptions'!$H$122*IF('Assumptions'!$O$122=1,1,'Assumptions'!$D$10)*(1+'Assumptions'!$N$122)^(13-1)</x:f>
        <x:v>634.1208972812727</x:v>
      </x:c>
      <x:c r="J1636" s="10" t="n">
        <x:f>H1636*I1636</x:f>
        <x:v>36992.692167795074</x:v>
      </x:c>
      <x:c r="K1636" s="10" t="n">
        <x:f>J1636*'Assumptions'!$T$122</x:f>
        <x:v>5548.903825169261</x:v>
      </x:c>
      <x:c r="L1636" s="10" t="n">
        <x:f>K1636*'Assumptions'!$U$122</x:f>
        <x:v>166.46711475507783</x:v>
      </x:c>
      <x:c r="M1636" s="10" t="n">
        <x:f>K1636*'Assumptions'!$V$122</x:f>
        <x:v>0</x:v>
      </x:c>
      <x:c r="N1636" s="10" t="n">
        <x:f>K1636-L1636-M1636</x:f>
        <x:v>5382.436710414183</x:v>
      </x:c>
      <x:c r="O1636" s="10" t="n">
        <x:f>H1636*'Assumptions'!$P$122*'Assumptions'!$Q$122*'Assumptions'!$D$11*(1+'Assumptions'!$D$13)^(13-1)</x:f>
        <x:v>727.7774962290024</x:v>
      </x:c>
      <x:c r="P1636" s="10" t="n">
        <x:f>H1636*'Assumptions'!$R$122*'Assumptions'!$D$11*(1+'Assumptions'!$D$13)^(13-1)</x:f>
        <x:v>0</x:v>
      </x:c>
      <x:c r="Q1636" s="10" t="n">
        <x:f>J1636*'Assumptions'!$S$122</x:f>
        <x:v>0</x:v>
      </x:c>
      <x:c r="R1636" s="10" t="n">
        <x:f>H1636*'Assumptions'!$Y$122*'Assumptions'!$Z$122*'Assumptions'!$D$11*(1+'Assumptions'!$D$13)^(13-1)</x:f>
        <x:v>374.28556948920124</x:v>
      </x:c>
      <x:c r="S1636" s="10" t="n">
        <x:f>IF(I1636=0,0,J1636*'Assumptions'!$W$122+H1636*'Assumptions'!$X$122)</x:f>
        <x:v>1090.289164058477</x:v>
      </x:c>
      <x:c r="T1636" s="10" t="n">
        <x:f>N1636*'Assumptions'!$AA$122</x:f>
        <x:v>269.12183552070917</x:v>
      </x:c>
      <x:c r="U1636" s="10" t="n">
        <x:f>'Assumptions'!$AE$122*'Assumptions'!$D$11*(1+'Assumptions'!$D$13)^(13-1)</x:f>
        <x:v>0</x:v>
      </x:c>
      <x:c r="V1636" s="10" t="n">
        <x:f>0</x:f>
        <x:v>0</x:v>
      </x:c>
      <x:c r="W1636" s="10" t="n">
        <x:f>H1636*('Assumptions'!$P$122+'Assumptions'!$Y$122)</x:f>
        <x:v>23.33478825655952</x:v>
      </x:c>
      <x:c r="X1636" s="10" t="n">
        <x:f>N1636/12*'Assumptions'!$AF$122</x:f>
        <x:v>0</x:v>
      </x:c>
      <x:c r="Y1636" s="10" t="n">
        <x:f>P1636/12</x:f>
        <x:v>0</x:v>
      </x:c>
      <x:c r="Z1636" s="10" t="n">
        <x:f>0</x:f>
        <x:v>0</x:v>
      </x:c>
      <x:c r="AA1636" s="10" t="n">
        <x:f>Z1636*'Assumptions'!$AC$122*'Assumptions'!$D$11*(1+'Assumptions'!$D$13)^(13-1)</x:f>
        <x:v>0</x:v>
      </x:c>
      <x:c r="AB1636" s="10" t="n">
        <x:f>F1636/1</x:f>
        <x:v>18.9127759735106</x:v>
      </x:c>
      <x:c r="AC1636" s="10" t="n">
        <x:f>AB1636/'Assumptions'!$AM$122</x:f>
        <x:v>378.25551947021194</x:v>
      </x:c>
      <x:c r="AD1636" s="10" t="n">
        <x:f>IF(AB1636=0,0,T1636/AB1636)</x:f>
        <x:v>14.229631646757916</x:v>
      </x:c>
      <x:c r="AE1636" s="10" t="n">
        <x:f>AA1636*'Assumptions'!$D$21</x:f>
        <x:v>0</x:v>
      </x:c>
    </x:row>
    <x:row r="1637" ht="16" customHeight="1">
      <x:c r="A1637" s="1"/>
      <x:c r="B1637" s="1"/>
      <x:c r="C1637" s="1" t="str">
        <x:v>DOT-094</x:v>
      </x:c>
      <x:c r="D1637" s="10" t="str">
        <x:v>Semajes premium and media</x:v>
      </x:c>
      <x:c r="E1637" s="10" t="n">
        <x:v>13</x:v>
      </x:c>
      <x:c r="F1637" s="21" t="n">
        <x:f>F1509*(1+'Assumptions'!$M$123)</x:f>
        <x:v>94.56387986755301</x:v>
      </x:c>
      <x:c r="G1637" s="21" t="n">
        <x:f>H1509*'Assumptions'!$K$123</x:f>
        <x:v>197.12097333944104</x:v>
      </x:c>
      <x:c r="H1637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1637+G1637,NA())</x:f>
        <x:v>291.68485320699403</x:v>
      </x:c>
      <x:c r="I1637" s="22" t="n">
        <x:f>'Assumptions'!$H$123*IF('Assumptions'!$O$123=1,1,'Assumptions'!$D$10)*(1+'Assumptions'!$N$123)^(13-1)</x:f>
        <x:v>11.41417615106291</x:v>
      </x:c>
      <x:c r="J1637" s="10" t="n">
        <x:f>H1637*I1637</x:f>
        <x:v>3329.342295101557</x:v>
      </x:c>
      <x:c r="K1637" s="10" t="n">
        <x:f>J1637*'Assumptions'!$T$123</x:f>
        <x:v>3329.342295101557</x:v>
      </x:c>
      <x:c r="L1637" s="10" t="n">
        <x:f>K1637*'Assumptions'!$U$123</x:f>
        <x:v>99.8802688530467</x:v>
      </x:c>
      <x:c r="M1637" s="10" t="n">
        <x:f>K1637*'Assumptions'!$V$123</x:f>
        <x:v>0</x:v>
      </x:c>
      <x:c r="N1637" s="10" t="n">
        <x:f>K1637-L1637-M1637</x:f>
        <x:v>3229.46202624851</x:v>
      </x:c>
      <x:c r="O1637" s="10" t="n">
        <x:f>H1637*'Assumptions'!$P$123*'Assumptions'!$Q$123*'Assumptions'!$D$11*(1+'Assumptions'!$D$13)^(13-1)</x:f>
        <x:v>727.7774962290025</x:v>
      </x:c>
      <x:c r="P1637" s="10" t="n">
        <x:f>H1637*'Assumptions'!$R$123*'Assumptions'!$D$11*(1+'Assumptions'!$D$13)^(13-1)</x:f>
        <x:v>0</x:v>
      </x:c>
      <x:c r="Q1637" s="10" t="n">
        <x:f>J1637*'Assumptions'!$S$123</x:f>
        <x:v>0</x:v>
      </x:c>
      <x:c r="R1637" s="10" t="n">
        <x:f>H1637*'Assumptions'!$Y$123*'Assumptions'!$Z$123*'Assumptions'!$D$11*(1+'Assumptions'!$D$13)^(13-1)</x:f>
        <x:v>1871.4278474460064</x:v>
      </x:c>
      <x:c r="S1637" s="10" t="n">
        <x:f>IF(I1637=0,0,J1637*'Assumptions'!$W$123+H1637*'Assumptions'!$X$123)</x:f>
        <x:v>184.05638252004337</x:v>
      </x:c>
      <x:c r="T1637" s="10" t="n">
        <x:f>N1637*'Assumptions'!$AA$123</x:f>
        <x:v>161.4731013124255</x:v>
      </x:c>
      <x:c r="U1637" s="10" t="n">
        <x:f>'Assumptions'!$AE$123*'Assumptions'!$D$11*(1+'Assumptions'!$D$13)^(13-1)</x:f>
        <x:v>0</x:v>
      </x:c>
      <x:c r="V1637" s="10" t="n">
        <x:f>0</x:f>
        <x:v>0</x:v>
      </x:c>
      <x:c r="W1637" s="10" t="n">
        <x:f>H1637*('Assumptions'!$P$123+'Assumptions'!$Y$123)</x:f>
        <x:v>58.33697064139881</x:v>
      </x:c>
      <x:c r="X1637" s="10" t="n">
        <x:f>N1637/12*'Assumptions'!$AF$123</x:f>
        <x:v>0</x:v>
      </x:c>
      <x:c r="Y1637" s="10" t="n">
        <x:f>P1637/12</x:f>
        <x:v>0</x:v>
      </x:c>
      <x:c r="Z1637" s="10" t="n">
        <x:f>0</x:f>
        <x:v>0</x:v>
      </x:c>
      <x:c r="AA1637" s="10" t="n">
        <x:f>Z1637*'Assumptions'!$AC$123*'Assumptions'!$D$11*(1+'Assumptions'!$D$13)^(13-1)</x:f>
        <x:v>0</x:v>
      </x:c>
      <x:c r="AB1637" s="10" t="n">
        <x:f>F1637/12</x:f>
        <x:v>7.880323322296085</x:v>
      </x:c>
      <x:c r="AC1637" s="10" t="n">
        <x:f>AB1637/'Assumptions'!$AM$123</x:f>
        <x:v>157.60646644592168</x:v>
      </x:c>
      <x:c r="AD1637" s="10" t="n">
        <x:f>IF(AB1637=0,0,T1637/AB1637)</x:f>
        <x:v>20.490669571331395</x:v>
      </x:c>
      <x:c r="AE1637" s="10" t="n">
        <x:f>AA1637*'Assumptions'!$D$21</x:f>
        <x:v>0</x:v>
      </x:c>
    </x:row>
    <x:row r="1638" ht="16" customHeight="1">
      <x:c r="A1638" s="1"/>
      <x:c r="B1638" s="1"/>
      <x:c r="C1638" s="1" t="str">
        <x:v>DOT-095</x:v>
      </x:c>
      <x:c r="D1638" s="10" t="str">
        <x:v>Semajes premium and media</x:v>
      </x:c>
      <x:c r="E1638" s="10" t="n">
        <x:v>13</x:v>
      </x:c>
      <x:c r="F1638" s="21" t="n">
        <x:f>F1510*(1+'Assumptions'!$M$124)</x:f>
        <x:v>94.56387986755301</x:v>
      </x:c>
      <x:c r="G1638" s="21" t="n">
        <x:f>H1510*'Assumptions'!$K$124</x:f>
        <x:v>197.12097333944104</x:v>
      </x:c>
      <x:c r="H1638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1638+G1638,NA())</x:f>
        <x:v>291.68485320699403</x:v>
      </x:c>
      <x:c r="I1638" s="22" t="n">
        <x:f>'Assumptions'!$H$124*IF('Assumptions'!$O$124=1,1,'Assumptions'!$D$10)*(1+'Assumptions'!$N$124)^(13-1)</x:f>
        <x:v>24.096594096688364</x:v>
      </x:c>
      <x:c r="J1638" s="10" t="n">
        <x:f>H1638*I1638</x:f>
        <x:v>7028.611511881064</x:v>
      </x:c>
      <x:c r="K1638" s="10" t="n">
        <x:f>J1638*'Assumptions'!$T$124</x:f>
        <x:v>7028.611511881064</x:v>
      </x:c>
      <x:c r="L1638" s="10" t="n">
        <x:f>K1638*'Assumptions'!$U$124</x:f>
        <x:v>210.8583453564319</x:v>
      </x:c>
      <x:c r="M1638" s="10" t="n">
        <x:f>K1638*'Assumptions'!$V$124</x:f>
        <x:v>0</x:v>
      </x:c>
      <x:c r="N1638" s="10" t="n">
        <x:f>K1638-L1638-M1638</x:f>
        <x:v>6817.753166524632</x:v>
      </x:c>
      <x:c r="O1638" s="10" t="n">
        <x:f>H1638*'Assumptions'!$P$124*'Assumptions'!$Q$124*'Assumptions'!$D$11*(1+'Assumptions'!$D$13)^(13-1)</x:f>
        <x:v>1455.554992458005</x:v>
      </x:c>
      <x:c r="P1638" s="10" t="n">
        <x:f>H1638*'Assumptions'!$R$124*'Assumptions'!$D$11*(1+'Assumptions'!$D$13)^(13-1)</x:f>
        <x:v>0</x:v>
      </x:c>
      <x:c r="Q1638" s="10" t="n">
        <x:f>J1638*'Assumptions'!$S$124</x:f>
        <x:v>0</x:v>
      </x:c>
      <x:c r="R1638" s="10" t="n">
        <x:f>H1638*'Assumptions'!$Y$124*'Assumptions'!$Z$124*'Assumptions'!$D$11*(1+'Assumptions'!$D$13)^(13-1)</x:f>
        <x:v>1871.4278474460064</x:v>
      </x:c>
      <x:c r="S1638" s="10" t="n">
        <x:f>IF(I1638=0,0,J1638*'Assumptions'!$W$124+H1638*'Assumptions'!$X$124)</x:f>
        <x:v>291.33518980664905</x:v>
      </x:c>
      <x:c r="T1638" s="10" t="n">
        <x:f>N1638*'Assumptions'!$AA$124</x:f>
        <x:v>340.88765832623164</x:v>
      </x:c>
      <x:c r="U1638" s="10" t="n">
        <x:f>'Assumptions'!$AE$124*'Assumptions'!$D$11*(1+'Assumptions'!$D$13)^(13-1)</x:f>
        <x:v>0</x:v>
      </x:c>
      <x:c r="V1638" s="10" t="n">
        <x:f>0</x:f>
        <x:v>0</x:v>
      </x:c>
      <x:c r="W1638" s="10" t="n">
        <x:f>H1638*('Assumptions'!$P$124+'Assumptions'!$Y$124)</x:f>
        <x:v>72.92121330174851</x:v>
      </x:c>
      <x:c r="X1638" s="10" t="n">
        <x:f>N1638/12*'Assumptions'!$AF$124</x:f>
        <x:v>0</x:v>
      </x:c>
      <x:c r="Y1638" s="10" t="n">
        <x:f>P1638/12</x:f>
        <x:v>0</x:v>
      </x:c>
      <x:c r="Z1638" s="10" t="n">
        <x:f>0</x:f>
        <x:v>0</x:v>
      </x:c>
      <x:c r="AA1638" s="10" t="n">
        <x:f>Z1638*'Assumptions'!$AC$124*'Assumptions'!$D$11*(1+'Assumptions'!$D$13)^(13-1)</x:f>
        <x:v>0</x:v>
      </x:c>
      <x:c r="AB1638" s="10" t="n">
        <x:f>F1638/12</x:f>
        <x:v>7.880323322296085</x:v>
      </x:c>
      <x:c r="AC1638" s="10" t="n">
        <x:f>AB1638/'Assumptions'!$AM$124</x:f>
        <x:v>157.60646644592168</x:v>
      </x:c>
      <x:c r="AD1638" s="10" t="n">
        <x:f>IF(AB1638=0,0,T1638/AB1638)</x:f>
        <x:v>43.25808020614406</x:v>
      </x:c>
      <x:c r="AE1638" s="10" t="n">
        <x:f>AA1638*'Assumptions'!$D$21</x:f>
        <x:v>0</x:v>
      </x:c>
    </x:row>
    <x:row r="1639" ht="16" customHeight="1">
      <x:c r="A1639" s="1"/>
      <x:c r="B1639" s="1"/>
      <x:c r="C1639" s="1" t="str">
        <x:v>DOT-096</x:v>
      </x:c>
      <x:c r="D1639" s="10" t="str">
        <x:v>Semajes premium and media</x:v>
      </x:c>
      <x:c r="E1639" s="10" t="n">
        <x:v>13</x:v>
      </x:c>
      <x:c r="F1639" s="21" t="n">
        <x:f>F1511*(1+'Assumptions'!$M$125)</x:f>
        <x:v>47.281939933776506</x:v>
      </x:c>
      <x:c r="G1639" s="21" t="n">
        <x:f>H1511*'Assumptions'!$K$125</x:f>
        <x:v>98.56048666972052</x:v>
      </x:c>
      <x:c r="H1639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1639+G1639,NA())</x:f>
        <x:v>145.84242660349702</x:v>
      </x:c>
      <x:c r="I1639" s="22" t="n">
        <x:f>'Assumptions'!$H$125*IF('Assumptions'!$O$125=1,1,'Assumptions'!$D$10)*(1+'Assumptions'!$N$125)^(13-1)</x:f>
        <x:v>49.461429987939276</x:v>
      </x:c>
      <x:c r="J1639" s="10" t="n">
        <x:f>H1639*I1639</x:f>
        <x:v>7213.57497272004</x:v>
      </x:c>
      <x:c r="K1639" s="10" t="n">
        <x:f>J1639*'Assumptions'!$T$125</x:f>
        <x:v>7213.57497272004</x:v>
      </x:c>
      <x:c r="L1639" s="10" t="n">
        <x:f>K1639*'Assumptions'!$U$125</x:f>
        <x:v>216.4072491816012</x:v>
      </x:c>
      <x:c r="M1639" s="10" t="n">
        <x:f>K1639*'Assumptions'!$V$125</x:f>
        <x:v>0</x:v>
      </x:c>
      <x:c r="N1639" s="10" t="n">
        <x:f>K1639-L1639-M1639</x:f>
        <x:v>6997.167723538439</x:v>
      </x:c>
      <x:c r="O1639" s="10" t="n">
        <x:f>H1639*'Assumptions'!$P$125*'Assumptions'!$Q$125*'Assumptions'!$D$11*(1+'Assumptions'!$D$13)^(13-1)</x:f>
        <x:v>1455.554992458005</x:v>
      </x:c>
      <x:c r="P1639" s="10" t="n">
        <x:f>H1639*'Assumptions'!$R$125*'Assumptions'!$D$11*(1+'Assumptions'!$D$13)^(13-1)</x:f>
        <x:v>0</x:v>
      </x:c>
      <x:c r="Q1639" s="10" t="n">
        <x:f>J1639*'Assumptions'!$S$125</x:f>
        <x:v>0</x:v>
      </x:c>
      <x:c r="R1639" s="10" t="n">
        <x:f>H1639*'Assumptions'!$Y$125*'Assumptions'!$Z$125*'Assumptions'!$D$11*(1+'Assumptions'!$D$13)^(13-1)</x:f>
        <x:v>935.7139237230032</x:v>
      </x:c>
      <x:c r="S1639" s="10" t="n">
        <x:f>IF(I1639=0,0,J1639*'Assumptions'!$W$125+H1639*'Assumptions'!$X$125)</x:f>
        <x:v>252.94640218993027</x:v>
      </x:c>
      <x:c r="T1639" s="10" t="n">
        <x:f>N1639*'Assumptions'!$AA$125</x:f>
        <x:v>349.85838617692195</x:v>
      </x:c>
      <x:c r="U1639" s="10" t="n">
        <x:f>'Assumptions'!$AE$125*'Assumptions'!$D$11*(1+'Assumptions'!$D$13)^(13-1)</x:f>
        <x:v>0</x:v>
      </x:c>
      <x:c r="V1639" s="10" t="n">
        <x:f>0</x:f>
        <x:v>0</x:v>
      </x:c>
      <x:c r="W1639" s="10" t="n">
        <x:f>H1639*('Assumptions'!$P$125+'Assumptions'!$Y$125)</x:f>
        <x:v>51.044849311223956</x:v>
      </x:c>
      <x:c r="X1639" s="10" t="n">
        <x:f>N1639/12*'Assumptions'!$AF$125</x:f>
        <x:v>0</x:v>
      </x:c>
      <x:c r="Y1639" s="10" t="n">
        <x:f>P1639/12</x:f>
        <x:v>0</x:v>
      </x:c>
      <x:c r="Z1639" s="10" t="n">
        <x:f>0</x:f>
        <x:v>0</x:v>
      </x:c>
      <x:c r="AA1639" s="10" t="n">
        <x:f>Z1639*'Assumptions'!$AC$125*'Assumptions'!$D$11*(1+'Assumptions'!$D$13)^(13-1)</x:f>
        <x:v>0</x:v>
      </x:c>
      <x:c r="AB1639" s="10" t="n">
        <x:f>F1639/12</x:f>
        <x:v>3.9401616611480423</x:v>
      </x:c>
      <x:c r="AC1639" s="10" t="n">
        <x:f>AB1639/'Assumptions'!$AM$125</x:f>
        <x:v>78.80323322296084</x:v>
      </x:c>
      <x:c r="AD1639" s="10" t="n">
        <x:f>IF(AB1639=0,0,T1639/AB1639)</x:f>
        <x:v>88.79290147576938</x:v>
      </x:c>
      <x:c r="AE1639" s="10" t="n">
        <x:f>AA1639*'Assumptions'!$D$21</x:f>
        <x:v>0</x:v>
      </x:c>
    </x:row>
    <x:row r="1640" ht="16" customHeight="1">
      <x:c r="A1640" s="1"/>
      <x:c r="B1640" s="1"/>
      <x:c r="C1640" s="1" t="str">
        <x:v>DOT-097</x:v>
      </x:c>
      <x:c r="D1640" s="10" t="str">
        <x:v>Semajes premium and media</x:v>
      </x:c>
      <x:c r="E1640" s="10" t="n">
        <x:v>13</x:v>
      </x:c>
      <x:c r="F1640" s="21" t="n">
        <x:f>F1512*(1+'Assumptions'!$M$126)</x:f>
        <x:v>28.369163960265897</x:v>
      </x:c>
      <x:c r="G1640" s="21" t="n">
        <x:f>H1512*'Assumptions'!$K$126</x:f>
        <x:v>59.13629200183229</x:v>
      </x:c>
      <x:c r="H1640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1640+G1640,NA())</x:f>
        <x:v>87.50545596209818</x:v>
      </x:c>
      <x:c r="I1640" s="22" t="n">
        <x:f>'Assumptions'!$H$126*IF('Assumptions'!$O$126=1,1,'Assumptions'!$D$10)*(1+'Assumptions'!$N$126)^(13-1)</x:f>
        <x:v>125.555937661692</x:v>
      </x:c>
      <x:c r="J1640" s="10" t="n">
        <x:f>H1640*I1640</x:f>
        <x:v>10986.829573835133</x:v>
      </x:c>
      <x:c r="K1640" s="10" t="n">
        <x:f>J1640*'Assumptions'!$T$126</x:f>
        <x:v>10986.829573835133</x:v>
      </x:c>
      <x:c r="L1640" s="10" t="n">
        <x:f>K1640*'Assumptions'!$U$126</x:f>
        <x:v>329.604887215054</x:v>
      </x:c>
      <x:c r="M1640" s="10" t="n">
        <x:f>K1640*'Assumptions'!$V$126</x:f>
        <x:v>0</x:v>
      </x:c>
      <x:c r="N1640" s="10" t="n">
        <x:f>K1640-L1640-M1640</x:f>
        <x:v>10657.22468662008</x:v>
      </x:c>
      <x:c r="O1640" s="10" t="n">
        <x:f>H1640*'Assumptions'!$P$126*'Assumptions'!$Q$126*'Assumptions'!$D$11*(1+'Assumptions'!$D$13)^(13-1)</x:f>
        <x:v>4366.664977374014</x:v>
      </x:c>
      <x:c r="P1640" s="10" t="n">
        <x:f>H1640*'Assumptions'!$R$126*'Assumptions'!$D$11*(1+'Assumptions'!$D$13)^(13-1)</x:f>
        <x:v>0</x:v>
      </x:c>
      <x:c r="Q1640" s="10" t="n">
        <x:f>J1640*'Assumptions'!$S$126</x:f>
        <x:v>0</x:v>
      </x:c>
      <x:c r="R1640" s="10" t="n">
        <x:f>H1640*'Assumptions'!$Y$126*'Assumptions'!$Z$126*'Assumptions'!$D$11*(1+'Assumptions'!$D$13)^(13-1)</x:f>
        <x:v>561.4283542338018</x:v>
      </x:c>
      <x:c r="S1640" s="10" t="n">
        <x:f>IF(I1640=0,0,J1640*'Assumptions'!$W$126+H1640*'Assumptions'!$X$126)</x:f>
        <x:v>344.8696944298484</x:v>
      </x:c>
      <x:c r="T1640" s="10" t="n">
        <x:f>N1640*'Assumptions'!$AA$126</x:f>
        <x:v>532.8612343310041</x:v>
      </x:c>
      <x:c r="U1640" s="10" t="n">
        <x:f>'Assumptions'!$AE$126*'Assumptions'!$D$11*(1+'Assumptions'!$D$13)^(13-1)</x:f>
        <x:v>0</x:v>
      </x:c>
      <x:c r="V1640" s="10" t="n">
        <x:f>0</x:f>
        <x:v>0</x:v>
      </x:c>
      <x:c r="W1640" s="10" t="n">
        <x:f>H1640*('Assumptions'!$P$126+'Assumptions'!$Y$126)</x:f>
        <x:v>100.6312743564129</x:v>
      </x:c>
      <x:c r="X1640" s="10" t="n">
        <x:f>N1640/12*'Assumptions'!$AF$126</x:f>
        <x:v>0</x:v>
      </x:c>
      <x:c r="Y1640" s="10" t="n">
        <x:f>P1640/12</x:f>
        <x:v>0</x:v>
      </x:c>
      <x:c r="Z1640" s="10" t="n">
        <x:f>0</x:f>
        <x:v>0</x:v>
      </x:c>
      <x:c r="AA1640" s="10" t="n">
        <x:f>Z1640*'Assumptions'!$AC$126*'Assumptions'!$D$11*(1+'Assumptions'!$D$13)^(13-1)</x:f>
        <x:v>0</x:v>
      </x:c>
      <x:c r="AB1640" s="10" t="n">
        <x:f>F1640/1</x:f>
        <x:v>28.369163960265897</x:v>
      </x:c>
      <x:c r="AC1640" s="10" t="n">
        <x:f>AB1640/'Assumptions'!$AM$126</x:f>
        <x:v>567.3832792053179</x:v>
      </x:c>
      <x:c r="AD1640" s="10" t="n">
        <x:f>IF(AB1640=0,0,T1640/AB1640)</x:f>
        <x:v>18.783113773720448</x:v>
      </x:c>
      <x:c r="AE1640" s="10" t="n">
        <x:f>AA1640*'Assumptions'!$D$21</x:f>
        <x:v>0</x:v>
      </x:c>
    </x:row>
    <x:row r="1641" ht="16" customHeight="1">
      <x:c r="A1641" s="1"/>
      <x:c r="B1641" s="1"/>
      <x:c r="C1641" s="1" t="str">
        <x:v>DOT-098</x:v>
      </x:c>
      <x:c r="D1641" s="10" t="str">
        <x:v>Semajes premium and media</x:v>
      </x:c>
      <x:c r="E1641" s="10" t="n">
        <x:v>13</x:v>
      </x:c>
      <x:c r="F1641" s="21" t="n">
        <x:f>F1513*(1+'Assumptions'!$M$127)</x:f>
        <x:v>14.184581980132949</x:v>
      </x:c>
      <x:c r="G1641" s="21" t="n">
        <x:f>H1513*'Assumptions'!$K$127</x:f>
        <x:v>29.568146000916144</x:v>
      </x:c>
      <x:c r="H1641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1641+G1641,NA())</x:f>
        <x:v>43.75272798104909</x:v>
      </x:c>
      <x:c r="I1641" s="22" t="n">
        <x:f>'Assumptions'!$H$127*IF('Assumptions'!$O$127=1,1,'Assumptions'!$D$10)*(1+'Assumptions'!$N$127)^(13-1)</x:f>
        <x:v>315.79220684607384</x:v>
      </x:c>
      <x:c r="J1641" s="10" t="n">
        <x:f>H1641*I1641</x:f>
        <x:v>13816.770524671458</x:v>
      </x:c>
      <x:c r="K1641" s="10" t="n">
        <x:f>J1641*'Assumptions'!$T$127</x:f>
        <x:v>13816.770524671458</x:v>
      </x:c>
      <x:c r="L1641" s="10" t="n">
        <x:f>K1641*'Assumptions'!$U$127</x:f>
        <x:v>414.5031157401437</x:v>
      </x:c>
      <x:c r="M1641" s="10" t="n">
        <x:f>K1641*'Assumptions'!$V$127</x:f>
        <x:v>0</x:v>
      </x:c>
      <x:c r="N1641" s="10" t="n">
        <x:f>K1641-L1641-M1641</x:f>
        <x:v>13402.267408931313</x:v>
      </x:c>
      <x:c r="O1641" s="10" t="n">
        <x:f>H1641*'Assumptions'!$P$127*'Assumptions'!$Q$127*'Assumptions'!$D$11*(1+'Assumptions'!$D$13)^(13-1)</x:f>
        <x:v>6549.9974660610205</x:v>
      </x:c>
      <x:c r="P1641" s="10" t="n">
        <x:f>H1641*'Assumptions'!$R$127*'Assumptions'!$D$11*(1+'Assumptions'!$D$13)^(13-1)</x:f>
        <x:v>0</x:v>
      </x:c>
      <x:c r="Q1641" s="10" t="n">
        <x:f>J1641*'Assumptions'!$S$127</x:f>
        <x:v>0</x:v>
      </x:c>
      <x:c r="R1641" s="10" t="n">
        <x:f>H1641*'Assumptions'!$Y$127*'Assumptions'!$Z$127*'Assumptions'!$D$11*(1+'Assumptions'!$D$13)^(13-1)</x:f>
        <x:v>280.7141771169009</x:v>
      </x:c>
      <x:c r="S1641" s="10" t="n">
        <x:f>IF(I1641=0,0,J1641*'Assumptions'!$W$127+H1641*'Assumptions'!$X$127)</x:f>
        <x:v>413.812163609787</x:v>
      </x:c>
      <x:c r="T1641" s="10" t="n">
        <x:f>N1641*'Assumptions'!$AA$127</x:f>
        <x:v>670.1133704465657</x:v>
      </x:c>
      <x:c r="U1641" s="10" t="n">
        <x:f>'Assumptions'!$AE$127*'Assumptions'!$D$11*(1+'Assumptions'!$D$13)^(13-1)</x:f>
        <x:v>0</x:v>
      </x:c>
      <x:c r="V1641" s="10" t="n">
        <x:f>0</x:f>
        <x:v>0</x:v>
      </x:c>
      <x:c r="W1641" s="10" t="n">
        <x:f>H1641*('Assumptions'!$P$127+'Assumptions'!$Y$127)</x:f>
        <x:v>137.82109314030464</x:v>
      </x:c>
      <x:c r="X1641" s="10" t="n">
        <x:f>N1641/12*'Assumptions'!$AF$127</x:f>
        <x:v>0</x:v>
      </x:c>
      <x:c r="Y1641" s="10" t="n">
        <x:f>P1641/12</x:f>
        <x:v>0</x:v>
      </x:c>
      <x:c r="Z1641" s="10" t="n">
        <x:f>0</x:f>
        <x:v>0</x:v>
      </x:c>
      <x:c r="AA1641" s="10" t="n">
        <x:f>Z1641*'Assumptions'!$AC$127*'Assumptions'!$D$11*(1+'Assumptions'!$D$13)^(13-1)</x:f>
        <x:v>0</x:v>
      </x:c>
      <x:c r="AB1641" s="10" t="n">
        <x:f>F1641/1</x:f>
        <x:v>14.184581980132949</x:v>
      </x:c>
      <x:c r="AC1641" s="10" t="n">
        <x:f>AB1641/'Assumptions'!$AM$127</x:f>
        <x:v>283.69163960265894</x:v>
      </x:c>
      <x:c r="AD1641" s="10" t="n">
        <x:f>IF(AB1641=0,0,T1641/AB1641)</x:f>
        <x:v>47.24237706723627</x:v>
      </x:c>
      <x:c r="AE1641" s="10" t="n">
        <x:f>AA1641*'Assumptions'!$D$21</x:f>
        <x:v>0</x:v>
      </x:c>
    </x:row>
    <x:row r="1642" ht="16" customHeight="1">
      <x:c r="A1642" s="1"/>
      <x:c r="B1642" s="1"/>
      <x:c r="C1642" s="1" t="str">
        <x:v>DOT-099</x:v>
      </x:c>
      <x:c r="D1642" s="10" t="str">
        <x:v>Semajes premium and media</x:v>
      </x:c>
      <x:c r="E1642" s="10" t="n">
        <x:v>13</x:v>
      </x:c>
      <x:c r="F1642" s="21" t="n">
        <x:f>F1514*(1+'Assumptions'!$M$128)</x:f>
        <x:v>47.281939933776506</x:v>
      </x:c>
      <x:c r="G1642" s="21" t="n">
        <x:f>H1514*'Assumptions'!$K$128</x:f>
        <x:v>98.56048666972052</x:v>
      </x:c>
      <x:c r="H1642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1642+G1642,NA())</x:f>
        <x:v>145.84242660349702</x:v>
      </x:c>
      <x:c r="I1642" s="22" t="n">
        <x:f>'Assumptions'!$H$128*IF('Assumptions'!$O$128=1,1,'Assumptions'!$D$10)*(1+'Assumptions'!$N$128)^(13-1)</x:f>
        <x:v>36.779012042313816</x:v>
      </x:c>
      <x:c r="J1642" s="10" t="n">
        <x:f>H1642*I1642</x:f>
        <x:v>5363.940364330286</x:v>
      </x:c>
      <x:c r="K1642" s="10" t="n">
        <x:f>J1642*'Assumptions'!$T$128</x:f>
        <x:v>5363.940364330286</x:v>
      </x:c>
      <x:c r="L1642" s="10" t="n">
        <x:f>K1642*'Assumptions'!$U$128</x:f>
        <x:v>160.91821092990855</x:v>
      </x:c>
      <x:c r="M1642" s="10" t="n">
        <x:f>K1642*'Assumptions'!$V$128</x:f>
        <x:v>0</x:v>
      </x:c>
      <x:c r="N1642" s="10" t="n">
        <x:f>K1642-L1642-M1642</x:f>
        <x:v>5203.022153400378</x:v>
      </x:c>
      <x:c r="O1642" s="10" t="n">
        <x:f>H1642*'Assumptions'!$P$128*'Assumptions'!$Q$128*'Assumptions'!$D$11*(1+'Assumptions'!$D$13)^(13-1)</x:f>
        <x:v>1091.6662443435036</x:v>
      </x:c>
      <x:c r="P1642" s="10" t="n">
        <x:f>H1642*'Assumptions'!$R$128*'Assumptions'!$D$11*(1+'Assumptions'!$D$13)^(13-1)</x:f>
        <x:v>0</x:v>
      </x:c>
      <x:c r="Q1642" s="10" t="n">
        <x:f>J1642*'Assumptions'!$S$128</x:f>
        <x:v>0</x:v>
      </x:c>
      <x:c r="R1642" s="10" t="n">
        <x:f>H1642*'Assumptions'!$Y$128*'Assumptions'!$Z$128*'Assumptions'!$D$11*(1+'Assumptions'!$D$13)^(13-1)</x:f>
        <x:v>935.7139237230032</x:v>
      </x:c>
      <x:c r="S1642" s="10" t="n">
        <x:f>IF(I1642=0,0,J1642*'Assumptions'!$W$128+H1642*'Assumptions'!$X$128)</x:f>
        <x:v>199.3069985466274</x:v>
      </x:c>
      <x:c r="T1642" s="10" t="n">
        <x:f>N1642*'Assumptions'!$AA$128</x:f>
        <x:v>260.1511076700189</x:v>
      </x:c>
      <x:c r="U1642" s="10" t="n">
        <x:f>'Assumptions'!$AE$128*'Assumptions'!$D$11*(1+'Assumptions'!$D$13)^(13-1)</x:f>
        <x:v>0</x:v>
      </x:c>
      <x:c r="V1642" s="10" t="n">
        <x:f>0</x:f>
        <x:v>0</x:v>
      </x:c>
      <x:c r="W1642" s="10" t="n">
        <x:f>H1642*('Assumptions'!$P$128+'Assumptions'!$Y$128)</x:f>
        <x:v>43.752727981049105</x:v>
      </x:c>
      <x:c r="X1642" s="10" t="n">
        <x:f>N1642/12*'Assumptions'!$AF$128</x:f>
        <x:v>0</x:v>
      </x:c>
      <x:c r="Y1642" s="10" t="n">
        <x:f>P1642/12</x:f>
        <x:v>0</x:v>
      </x:c>
      <x:c r="Z1642" s="10" t="n">
        <x:f>0</x:f>
        <x:v>0</x:v>
      </x:c>
      <x:c r="AA1642" s="10" t="n">
        <x:f>Z1642*'Assumptions'!$AC$128*'Assumptions'!$D$11*(1+'Assumptions'!$D$13)^(13-1)</x:f>
        <x:v>0</x:v>
      </x:c>
      <x:c r="AB1642" s="10" t="n">
        <x:f>F1642/1</x:f>
        <x:v>47.281939933776506</x:v>
      </x:c>
      <x:c r="AC1642" s="10" t="n">
        <x:f>AB1642/'Assumptions'!$AM$128</x:f>
        <x:v>945.6387986755301</x:v>
      </x:c>
      <x:c r="AD1642" s="10" t="n">
        <x:f>IF(AB1642=0,0,T1642/AB1642)</x:f>
        <x:v>5.502124236746394</x:v>
      </x:c>
      <x:c r="AE1642" s="10" t="n">
        <x:f>AA1642*'Assumptions'!$D$21</x:f>
        <x:v>0</x:v>
      </x:c>
    </x:row>
    <x:row r="1643" ht="16" customHeight="1">
      <x:c r="A1643" s="1"/>
      <x:c r="B1643" s="1"/>
      <x:c r="C1643" s="1" t="str">
        <x:v>DOT-100</x:v>
      </x:c>
      <x:c r="D1643" s="10" t="str">
        <x:v>Semajes courses</x:v>
      </x:c>
      <x:c r="E1643" s="10" t="n">
        <x:v>13</x:v>
      </x:c>
      <x:c r="F1643" s="21" t="n">
        <x:f>F1515*(1+'Assumptions'!$M$129)</x:f>
        <x:v>398.80598213879085</x:v>
      </x:c>
      <x:c r="G1643" s="21" t="n">
        <x:f>H1515*'Assumptions'!$K$129</x:f>
        <x:v>127.82222190232301</x:v>
      </x:c>
      <x:c r="H1643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1643+G1643,NA())</x:f>
        <x:v>526.6282040411138</x:v>
      </x:c>
      <x:c r="I1643" s="22" t="n">
        <x:f>'Assumptions'!$H$129*IF('Assumptions'!$O$129=1,1,'Assumptions'!$D$10)*(1+'Assumptions'!$N$129)^(13-1)</x:f>
        <x:v>49.461429987939276</x:v>
      </x:c>
      <x:c r="J1643" s="10" t="n">
        <x:f>H1643*I1643</x:f>
        <x:v>26047.78404385375</x:v>
      </x:c>
      <x:c r="K1643" s="10" t="n">
        <x:f>J1643*'Assumptions'!$T$129</x:f>
        <x:v>26047.78404385375</x:v>
      </x:c>
      <x:c r="L1643" s="10" t="n">
        <x:f>K1643*'Assumptions'!$U$129</x:f>
        <x:v>781.4335213156124</x:v>
      </x:c>
      <x:c r="M1643" s="10" t="n">
        <x:f>K1643*'Assumptions'!$V$129</x:f>
        <x:v>0</x:v>
      </x:c>
      <x:c r="N1643" s="10" t="n">
        <x:f>K1643-L1643-M1643</x:f>
        <x:v>25266.350522538138</x:v>
      </x:c>
      <x:c r="O1643" s="10" t="n">
        <x:f>H1643*'Assumptions'!$P$129*'Assumptions'!$Q$129*'Assumptions'!$D$11*(1+'Assumptions'!$D$13)^(13-1)</x:f>
        <x:v>3941.9409499673125</x:v>
      </x:c>
      <x:c r="P1643" s="10" t="n">
        <x:f>H1643*'Assumptions'!$R$129*'Assumptions'!$D$11*(1+'Assumptions'!$D$13)^(13-1)</x:f>
        <x:v>0</x:v>
      </x:c>
      <x:c r="Q1643" s="10" t="n">
        <x:f>J1643*'Assumptions'!$S$129</x:f>
        <x:v>0</x:v>
      </x:c>
      <x:c r="R1643" s="10" t="n">
        <x:f>H1643*'Assumptions'!$Y$129*'Assumptions'!$Z$129*'Assumptions'!$D$11*(1+'Assumptions'!$D$13)^(13-1)</x:f>
        <x:v>2252.5376856956077</x:v>
      </x:c>
      <x:c r="S1643" s="10" t="n">
        <x:f>IF(I1643=0,0,J1643*'Assumptions'!$W$129+H1643*'Assumptions'!$X$129)</x:f>
        <x:v>913.3741984840929</x:v>
      </x:c>
      <x:c r="T1643" s="10" t="n">
        <x:f>N1643*'Assumptions'!$AA$129</x:f>
        <x:v>1263.317526126907</x:v>
      </x:c>
      <x:c r="U1643" s="10" t="n">
        <x:f>'Assumptions'!$AE$129*'Assumptions'!$D$11*(1+'Assumptions'!$D$13)^(13-1)</x:f>
        <x:v>0</x:v>
      </x:c>
      <x:c r="V1643" s="10" t="n">
        <x:f>0</x:f>
        <x:v>0</x:v>
      </x:c>
      <x:c r="W1643" s="10" t="n">
        <x:f>H1643*('Assumptions'!$P$129+'Assumptions'!$Y$129)</x:f>
        <x:v>131.65705101027845</x:v>
      </x:c>
      <x:c r="X1643" s="10" t="n">
        <x:f>N1643/12*'Assumptions'!$AF$129</x:f>
        <x:v>0</x:v>
      </x:c>
      <x:c r="Y1643" s="10" t="n">
        <x:f>P1643/12</x:f>
        <x:v>0</x:v>
      </x:c>
      <x:c r="Z1643" s="10" t="n">
        <x:f>0</x:f>
        <x:v>0</x:v>
      </x:c>
      <x:c r="AA1643" s="10" t="n">
        <x:f>Z1643*'Assumptions'!$AC$129*'Assumptions'!$D$11*(1+'Assumptions'!$D$13)^(13-1)</x:f>
        <x:v>0</x:v>
      </x:c>
      <x:c r="AB1643" s="10" t="n">
        <x:f>F1643/1</x:f>
        <x:v>398.80598213879085</x:v>
      </x:c>
      <x:c r="AC1643" s="10" t="n">
        <x:f>AB1643/'Assumptions'!$AM$129</x:f>
        <x:v>7976.119642775817</x:v>
      </x:c>
      <x:c r="AD1643" s="10" t="n">
        <x:f>IF(AB1643=0,0,T1643/AB1643)</x:f>
        <x:v>3.167749689590294</x:v>
      </x:c>
      <x:c r="AE1643" s="10" t="n">
        <x:f>AA1643*'Assumptions'!$D$21</x:f>
        <x:v>0</x:v>
      </x:c>
    </x:row>
    <x:row r="1644" ht="16" customHeight="1">
      <x:c r="A1644" s="1"/>
      <x:c r="B1644" s="1"/>
      <x:c r="C1644" s="1" t="str">
        <x:v>DOT-101</x:v>
      </x:c>
      <x:c r="D1644" s="10" t="str">
        <x:v>Sleepy Face</x:v>
      </x:c>
      <x:c r="E1644" s="10" t="n">
        <x:v>13</x:v>
      </x:c>
      <x:c r="F1644" s="21" t="n">
        <x:f>F1516*(1+'Assumptions'!$M$130)</x:f>
        <x:v>334.87225761900805</x:v>
      </x:c>
      <x:c r="G1644" s="21" t="n">
        <x:f>H1516*'Assumptions'!$K$130</x:f>
        <x:v>137.61789552522134</x:v>
      </x:c>
      <x:c r="H1644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1644+G1644,NA())</x:f>
        <x:v>472.4901531442294</x:v>
      </x:c>
      <x:c r="I1644" s="22" t="n">
        <x:f>'Assumptions'!$H$130*IF('Assumptions'!$O$130=1,1,'Assumptions'!$D$10)*(1+'Assumptions'!$N$130)^(13-1)</x:f>
        <x:v>120.48297048344182</x:v>
      </x:c>
      <x:c r="J1644" s="10" t="n">
        <x:f>H1644*I1644</x:f>
        <x:v>56927.017174993096</x:v>
      </x:c>
      <x:c r="K1644" s="10" t="n">
        <x:f>J1644*'Assumptions'!$T$130</x:f>
        <x:v>56927.017174993096</x:v>
      </x:c>
      <x:c r="L1644" s="10" t="n">
        <x:f>K1644*'Assumptions'!$U$130</x:f>
        <x:v>4554.161373999448</x:v>
      </x:c>
      <x:c r="M1644" s="10" t="n">
        <x:f>K1644*'Assumptions'!$V$130</x:f>
        <x:v>1138.540343499862</x:v>
      </x:c>
      <x:c r="N1644" s="10" t="n">
        <x:f>K1644-L1644-M1644</x:f>
        <x:v>51234.31545749379</x:v>
      </x:c>
      <x:c r="O1644" s="10" t="n">
        <x:f>H1644*'Assumptions'!$P$130*'Assumptions'!$Q$130*'Assumptions'!$D$11*(1+'Assumptions'!$D$13)^(13-1)</x:f>
        <x:v>3536.7043938082684</x:v>
      </x:c>
      <x:c r="P1644" s="10" t="n">
        <x:f>H1644*'Assumptions'!$R$130*'Assumptions'!$D$11*(1+'Assumptions'!$D$13)^(13-1)</x:f>
        <x:v>20209.739393190106</x:v>
      </x:c>
      <x:c r="Q1644" s="10" t="n">
        <x:f>J1644*'Assumptions'!$S$130</x:f>
        <x:v>0</x:v>
      </x:c>
      <x:c r="R1644" s="10" t="n">
        <x:f>H1644*'Assumptions'!$Y$130*'Assumptions'!$Z$130*'Assumptions'!$D$11*(1+'Assumptions'!$D$13)^(13-1)</x:f>
        <x:v>3031.460908978516</x:v>
      </x:c>
      <x:c r="S1644" s="10" t="n">
        <x:f>IF(I1644=0,0,J1644*'Assumptions'!$W$130+H1644*'Assumptions'!$X$130)</x:f>
        <x:v>1792.6305440180688</x:v>
      </x:c>
      <x:c r="T1644" s="10" t="n">
        <x:f>N1644*'Assumptions'!$AA$130</x:f>
        <x:v>4098.745236599503</x:v>
      </x:c>
      <x:c r="U1644" s="10" t="n">
        <x:f>'Assumptions'!$AE$130*'Assumptions'!$D$11*(1+'Assumptions'!$D$13)^(13-1)</x:f>
        <x:v>0</x:v>
      </x:c>
      <x:c r="V1644" s="10" t="n">
        <x:f>0</x:f>
        <x:v>0</x:v>
      </x:c>
      <x:c r="W1644" s="10" t="n">
        <x:f>H1644*('Assumptions'!$P$130+'Assumptions'!$Y$130)</x:f>
        <x:v>141.7470459432688</x:v>
      </x:c>
      <x:c r="X1644" s="10" t="n">
        <x:f>N1644/12*'Assumptions'!$AF$130</x:f>
        <x:v>0</x:v>
      </x:c>
      <x:c r="Y1644" s="10" t="n">
        <x:f>P1644/12</x:f>
        <x:v>1684.1449494325088</x:v>
      </x:c>
      <x:c r="Z1644" s="10" t="n">
        <x:f>0</x:f>
        <x:v>0</x:v>
      </x:c>
      <x:c r="AA1644" s="10" t="n">
        <x:f>Z1644*'Assumptions'!$AC$130*'Assumptions'!$D$11*(1+'Assumptions'!$D$13)^(13-1)</x:f>
        <x:v>0</x:v>
      </x:c>
      <x:c r="AB1644" s="10" t="n">
        <x:f>F1644/1</x:f>
        <x:v>334.87225761900805</x:v>
      </x:c>
      <x:c r="AC1644" s="10" t="n">
        <x:f>AB1644/'Assumptions'!$AM$130</x:f>
        <x:v>11162.40858730027</x:v>
      </x:c>
      <x:c r="AD1644" s="10" t="n">
        <x:f>IF(AB1644=0,0,T1644/AB1644)</x:f>
        <x:v>12.239727667326628</x:v>
      </x:c>
      <x:c r="AE1644" s="10" t="n">
        <x:f>AA1644*'Assumptions'!$D$21</x:f>
        <x:v>0</x:v>
      </x:c>
    </x:row>
    <x:row r="1645" ht="16" customHeight="1">
      <x:c r="A1645" s="1"/>
      <x:c r="B1645" s="1"/>
      <x:c r="C1645" s="1" t="str">
        <x:v>DOT-102</x:v>
      </x:c>
      <x:c r="D1645" s="10" t="str">
        <x:v>Sleepy Face</x:v>
      </x:c>
      <x:c r="E1645" s="10" t="n">
        <x:v>13</x:v>
      </x:c>
      <x:c r="F1645" s="21" t="n">
        <x:f>F1517*(1+'Assumptions'!$M$131)</x:f>
        <x:v>502.30838642851194</x:v>
      </x:c>
      <x:c r="G1645" s="21" t="n">
        <x:f>H1517*'Assumptions'!$K$131</x:f>
        <x:v>206.42684328783199</x:v>
      </x:c>
      <x:c r="H1645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1645+G1645,NA())</x:f>
        <x:v>708.735229716344</x:v>
      </x:c>
      <x:c r="I1645" s="22" t="n">
        <x:f>'Assumptions'!$H$131*IF('Assumptions'!$O$131=1,1,'Assumptions'!$D$10)*(1+'Assumptions'!$N$131)^(13-1)</x:f>
        <x:v>209.25989610282</x:v>
      </x:c>
      <x:c r="J1645" s="10" t="n">
        <x:f>H1645*I1645</x:f>
        <x:v>148309.8605348504</x:v>
      </x:c>
      <x:c r="K1645" s="10" t="n">
        <x:f>J1645*'Assumptions'!$T$131</x:f>
        <x:v>148309.8605348504</x:v>
      </x:c>
      <x:c r="L1645" s="10" t="n">
        <x:f>K1645*'Assumptions'!$U$131</x:f>
        <x:v>11864.788842788032</x:v>
      </x:c>
      <x:c r="M1645" s="10" t="n">
        <x:f>K1645*'Assumptions'!$V$131</x:f>
        <x:v>2966.197210697008</x:v>
      </x:c>
      <x:c r="N1645" s="10" t="n">
        <x:f>K1645-L1645-M1645</x:f>
        <x:v>133478.87448136535</x:v>
      </x:c>
      <x:c r="O1645" s="10" t="n">
        <x:f>H1645*'Assumptions'!$P$131*'Assumptions'!$Q$131*'Assumptions'!$D$11*(1+'Assumptions'!$D$13)^(13-1)</x:f>
        <x:v>5305.056590712402</x:v>
      </x:c>
      <x:c r="P1645" s="10" t="n">
        <x:f>H1645*'Assumptions'!$R$131*'Assumptions'!$D$11*(1+'Assumptions'!$D$13)^(13-1)</x:f>
        <x:v>60629.218179570315</x:v>
      </x:c>
      <x:c r="Q1645" s="10" t="n">
        <x:f>J1645*'Assumptions'!$S$131</x:f>
        <x:v>0</x:v>
      </x:c>
      <x:c r="R1645" s="10" t="n">
        <x:f>H1645*'Assumptions'!$Y$131*'Assumptions'!$Z$131*'Assumptions'!$D$11*(1+'Assumptions'!$D$13)^(13-1)</x:f>
        <x:v>4547.191363467773</x:v>
      </x:c>
      <x:c r="S1645" s="10" t="n">
        <x:f>IF(I1645=0,0,J1645*'Assumptions'!$W$131+H1645*'Assumptions'!$X$131)</x:f>
        <x:v>4513.606524425564</x:v>
      </x:c>
      <x:c r="T1645" s="10" t="n">
        <x:f>N1645*'Assumptions'!$AA$131</x:f>
        <x:v>10678.309958509228</x:v>
      </x:c>
      <x:c r="U1645" s="10" t="n">
        <x:f>'Assumptions'!$AE$131*'Assumptions'!$D$11*(1+'Assumptions'!$D$13)^(13-1)</x:f>
        <x:v>0</x:v>
      </x:c>
      <x:c r="V1645" s="10" t="n">
        <x:f>0</x:f>
        <x:v>0</x:v>
      </x:c>
      <x:c r="W1645" s="10" t="n">
        <x:f>H1645*('Assumptions'!$P$131+'Assumptions'!$Y$131)</x:f>
        <x:v>212.62056891490317</x:v>
      </x:c>
      <x:c r="X1645" s="10" t="n">
        <x:f>N1645/12*'Assumptions'!$AF$131</x:f>
        <x:v>0</x:v>
      </x:c>
      <x:c r="Y1645" s="10" t="n">
        <x:f>P1645/12</x:f>
        <x:v>5052.4348482975265</x:v>
      </x:c>
      <x:c r="Z1645" s="10" t="n">
        <x:f>0</x:f>
        <x:v>0</x:v>
      </x:c>
      <x:c r="AA1645" s="10" t="n">
        <x:f>Z1645*'Assumptions'!$AC$131*'Assumptions'!$D$11*(1+'Assumptions'!$D$13)^(13-1)</x:f>
        <x:v>0</x:v>
      </x:c>
      <x:c r="AB1645" s="10" t="n">
        <x:f>F1645/1</x:f>
        <x:v>502.30838642851194</x:v>
      </x:c>
      <x:c r="AC1645" s="10" t="n">
        <x:f>AB1645/'Assumptions'!$AM$131</x:f>
        <x:v>16743.612880950397</x:v>
      </x:c>
      <x:c r="AD1645" s="10" t="n">
        <x:f>IF(AB1645=0,0,T1645/AB1645)</x:f>
        <x:v>21.2584743695673</x:v>
      </x:c>
      <x:c r="AE1645" s="10" t="n">
        <x:f>AA1645*'Assumptions'!$D$21</x:f>
        <x:v>0</x:v>
      </x:c>
    </x:row>
    <x:row r="1646" ht="16" customHeight="1">
      <x:c r="A1646" s="1"/>
      <x:c r="B1646" s="1"/>
      <x:c r="C1646" s="1" t="str">
        <x:v>DOT-103</x:v>
      </x:c>
      <x:c r="D1646" s="10" t="str">
        <x:v>Sleepy Face</x:v>
      </x:c>
      <x:c r="E1646" s="10" t="n">
        <x:v>13</x:v>
      </x:c>
      <x:c r="F1646" s="21" t="n">
        <x:f>F1518*(1+'Assumptions'!$M$132)</x:f>
        <x:v>111.62408587300264</x:v>
      </x:c>
      <x:c r="G1646" s="21" t="n">
        <x:f>H1518*'Assumptions'!$K$132</x:f>
        <x:v>45.87263184174044</x:v>
      </x:c>
      <x:c r="H1646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1646+G1646,NA())</x:f>
        <x:v>157.49671771474308</x:v>
      </x:c>
      <x:c r="I1646" s="22" t="n">
        <x:f>'Assumptions'!$H$132*IF('Assumptions'!$O$132=1,1,'Assumptions'!$D$10)*(1+'Assumptions'!$N$132)^(13-1)</x:f>
        <x:v>285.3544037765727</x:v>
      </x:c>
      <x:c r="J1646" s="10" t="n">
        <x:f>H1646*I1646</x:f>
        <x:v>44942.38198025769</x:v>
      </x:c>
      <x:c r="K1646" s="10" t="n">
        <x:f>J1646*'Assumptions'!$T$132</x:f>
        <x:v>44942.38198025769</x:v>
      </x:c>
      <x:c r="L1646" s="10" t="n">
        <x:f>K1646*'Assumptions'!$U$132</x:f>
        <x:v>3595.3905584206154</x:v>
      </x:c>
      <x:c r="M1646" s="10" t="n">
        <x:f>K1646*'Assumptions'!$V$132</x:f>
        <x:v>898.8476396051539</x:v>
      </x:c>
      <x:c r="N1646" s="10" t="n">
        <x:f>K1646-L1646-M1646</x:f>
        <x:v>40448.14378223192</x:v>
      </x:c>
      <x:c r="O1646" s="10" t="n">
        <x:f>H1646*'Assumptions'!$P$132*'Assumptions'!$Q$132*'Assumptions'!$D$11*(1+'Assumptions'!$D$13)^(13-1)</x:f>
        <x:v>1178.901464602756</x:v>
      </x:c>
      <x:c r="P1646" s="10" t="n">
        <x:f>H1646*'Assumptions'!$R$132*'Assumptions'!$D$11*(1+'Assumptions'!$D$13)^(13-1)</x:f>
        <x:v>20209.7393931901</x:v>
      </x:c>
      <x:c r="Q1646" s="10" t="n">
        <x:f>J1646*'Assumptions'!$S$132</x:f>
        <x:v>0</x:v>
      </x:c>
      <x:c r="R1646" s="10" t="n">
        <x:f>H1646*'Assumptions'!$Y$132*'Assumptions'!$Z$132*'Assumptions'!$D$11*(1+'Assumptions'!$D$13)^(13-1)</x:f>
        <x:v>1010.4869696595051</x:v>
      </x:c>
      <x:c r="S1646" s="10" t="n">
        <x:f>IF(I1646=0,0,J1646*'Assumptions'!$W$132+H1646*'Assumptions'!$X$132)</x:f>
        <x:v>1350.578092741896</x:v>
      </x:c>
      <x:c r="T1646" s="10" t="n">
        <x:f>N1646*'Assumptions'!$AA$132</x:f>
        <x:v>3235.8515025785537</x:v>
      </x:c>
      <x:c r="U1646" s="10" t="n">
        <x:f>'Assumptions'!$AE$132*'Assumptions'!$D$11*(1+'Assumptions'!$D$13)^(13-1)</x:f>
        <x:v>0</x:v>
      </x:c>
      <x:c r="V1646" s="10" t="n">
        <x:f>0</x:f>
        <x:v>0</x:v>
      </x:c>
      <x:c r="W1646" s="10" t="n">
        <x:f>H1646*('Assumptions'!$P$132+'Assumptions'!$Y$132)</x:f>
        <x:v>47.24901531442293</x:v>
      </x:c>
      <x:c r="X1646" s="10" t="n">
        <x:f>N1646/12*'Assumptions'!$AF$132</x:f>
        <x:v>0</x:v>
      </x:c>
      <x:c r="Y1646" s="10" t="n">
        <x:f>P1646/12</x:f>
        <x:v>1684.1449494325082</x:v>
      </x:c>
      <x:c r="Z1646" s="10" t="n">
        <x:f>0</x:f>
        <x:v>0</x:v>
      </x:c>
      <x:c r="AA1646" s="10" t="n">
        <x:f>Z1646*'Assumptions'!$AC$132*'Assumptions'!$D$11*(1+'Assumptions'!$D$13)^(13-1)</x:f>
        <x:v>0</x:v>
      </x:c>
      <x:c r="AB1646" s="10" t="n">
        <x:f>F1646/1</x:f>
        <x:v>111.62408587300264</x:v>
      </x:c>
      <x:c r="AC1646" s="10" t="n">
        <x:f>AB1646/'Assumptions'!$AM$132</x:f>
        <x:v>3720.8028624334215</x:v>
      </x:c>
      <x:c r="AD1646" s="10" t="n">
        <x:f>IF(AB1646=0,0,T1646/AB1646)</x:f>
        <x:v>28.98882868577359</x:v>
      </x:c>
      <x:c r="AE1646" s="10" t="n">
        <x:f>AA1646*'Assumptions'!$D$21</x:f>
        <x:v>0</x:v>
      </x:c>
    </x:row>
    <x:row r="1647" ht="16" customHeight="1">
      <x:c r="A1647" s="1"/>
      <x:c r="B1647" s="1"/>
      <x:c r="C1647" s="1" t="str">
        <x:v>DOT-104</x:v>
      </x:c>
      <x:c r="D1647" s="10" t="str">
        <x:v>Sleepy Face</x:v>
      </x:c>
      <x:c r="E1647" s="10" t="n">
        <x:v>13</x:v>
      </x:c>
      <x:c r="F1647" s="21" t="n">
        <x:f>F1519*(1+'Assumptions'!$M$133)</x:f>
        <x:v>334.87225761900805</x:v>
      </x:c>
      <x:c r="G1647" s="21" t="n">
        <x:f>H1519*'Assumptions'!$K$133</x:f>
        <x:v>137.61789552522134</x:v>
      </x:c>
      <x:c r="H1647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1647+G1647,NA())</x:f>
        <x:v>472.4901531442294</x:v>
      </x:c>
      <x:c r="I1647" s="22" t="n">
        <x:f>'Assumptions'!$H$133*IF('Assumptions'!$O$133=1,1,'Assumptions'!$D$10)*(1+'Assumptions'!$N$133)^(13-1)</x:f>
        <x:v>120.48297048344182</x:v>
      </x:c>
      <x:c r="J1647" s="10" t="n">
        <x:f>H1647*I1647</x:f>
        <x:v>56927.017174993096</x:v>
      </x:c>
      <x:c r="K1647" s="10" t="n">
        <x:f>J1647*'Assumptions'!$T$133</x:f>
        <x:v>56927.017174993096</x:v>
      </x:c>
      <x:c r="L1647" s="10" t="n">
        <x:f>K1647*'Assumptions'!$U$133</x:f>
        <x:v>4554.161373999448</x:v>
      </x:c>
      <x:c r="M1647" s="10" t="n">
        <x:f>K1647*'Assumptions'!$V$133</x:f>
        <x:v>1138.540343499862</x:v>
      </x:c>
      <x:c r="N1647" s="10" t="n">
        <x:f>K1647-L1647-M1647</x:f>
        <x:v>51234.31545749379</x:v>
      </x:c>
      <x:c r="O1647" s="10" t="n">
        <x:f>H1647*'Assumptions'!$P$133*'Assumptions'!$Q$133*'Assumptions'!$D$11*(1+'Assumptions'!$D$13)^(13-1)</x:f>
        <x:v>3536.7043938082684</x:v>
      </x:c>
      <x:c r="P1647" s="10" t="n">
        <x:f>H1647*'Assumptions'!$R$133*'Assumptions'!$D$11*(1+'Assumptions'!$D$13)^(13-1)</x:f>
        <x:v>23578.029292055126</x:v>
      </x:c>
      <x:c r="Q1647" s="10" t="n">
        <x:f>J1647*'Assumptions'!$S$133</x:f>
        <x:v>0</x:v>
      </x:c>
      <x:c r="R1647" s="10" t="n">
        <x:f>H1647*'Assumptions'!$Y$133*'Assumptions'!$Z$133*'Assumptions'!$D$11*(1+'Assumptions'!$D$13)^(13-1)</x:f>
        <x:v>3031.460908978516</x:v>
      </x:c>
      <x:c r="S1647" s="10" t="n">
        <x:f>IF(I1647=0,0,J1647*'Assumptions'!$W$133+H1647*'Assumptions'!$X$133)</x:f>
        <x:v>1792.6305440180688</x:v>
      </x:c>
      <x:c r="T1647" s="10" t="n">
        <x:f>N1647*'Assumptions'!$AA$133</x:f>
        <x:v>4098.745236599503</x:v>
      </x:c>
      <x:c r="U1647" s="10" t="n">
        <x:f>'Assumptions'!$AE$133*'Assumptions'!$D$11*(1+'Assumptions'!$D$13)^(13-1)</x:f>
        <x:v>0</x:v>
      </x:c>
      <x:c r="V1647" s="10" t="n">
        <x:f>0</x:f>
        <x:v>0</x:v>
      </x:c>
      <x:c r="W1647" s="10" t="n">
        <x:f>H1647*('Assumptions'!$P$133+'Assumptions'!$Y$133)</x:f>
        <x:v>141.7470459432688</x:v>
      </x:c>
      <x:c r="X1647" s="10" t="n">
        <x:f>N1647/12*'Assumptions'!$AF$133</x:f>
        <x:v>0</x:v>
      </x:c>
      <x:c r="Y1647" s="10" t="n">
        <x:f>P1647/12</x:f>
        <x:v>1964.8357743379272</x:v>
      </x:c>
      <x:c r="Z1647" s="10" t="n">
        <x:f>0</x:f>
        <x:v>0</x:v>
      </x:c>
      <x:c r="AA1647" s="10" t="n">
        <x:f>Z1647*'Assumptions'!$AC$133*'Assumptions'!$D$11*(1+'Assumptions'!$D$13)^(13-1)</x:f>
        <x:v>0</x:v>
      </x:c>
      <x:c r="AB1647" s="10" t="n">
        <x:f>F1647/1</x:f>
        <x:v>334.87225761900805</x:v>
      </x:c>
      <x:c r="AC1647" s="10" t="n">
        <x:f>AB1647/'Assumptions'!$AM$133</x:f>
        <x:v>11162.40858730027</x:v>
      </x:c>
      <x:c r="AD1647" s="10" t="n">
        <x:f>IF(AB1647=0,0,T1647/AB1647)</x:f>
        <x:v>12.239727667326628</x:v>
      </x:c>
      <x:c r="AE1647" s="10" t="n">
        <x:f>AA1647*'Assumptions'!$D$21</x:f>
        <x:v>0</x:v>
      </x:c>
    </x:row>
    <x:row r="1648" ht="16" customHeight="1">
      <x:c r="A1648" s="1"/>
      <x:c r="B1648" s="1"/>
      <x:c r="C1648" s="1" t="str">
        <x:v>DOT-105</x:v>
      </x:c>
      <x:c r="D1648" s="10" t="str">
        <x:v>Sleepy Face</x:v>
      </x:c>
      <x:c r="E1648" s="10" t="n">
        <x:v>13</x:v>
      </x:c>
      <x:c r="F1648" s="21" t="n">
        <x:f>F1520*(1+'Assumptions'!$M$134)</x:f>
        <x:v>167.43612880950403</x:v>
      </x:c>
      <x:c r="G1648" s="21" t="n">
        <x:f>H1520*'Assumptions'!$K$134</x:f>
        <x:v>68.80894776261067</x:v>
      </x:c>
      <x:c r="H1648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1648+G1648,NA())</x:f>
        <x:v>236.2450765721147</x:v>
      </x:c>
      <x:c r="I1648" s="22" t="n">
        <x:f>'Assumptions'!$H$134*IF('Assumptions'!$O$134=1,1,'Assumptions'!$D$10)*(1+'Assumptions'!$N$134)^(13-1)</x:f>
        <x:v>221.94231404844547</x:v>
      </x:c>
      <x:c r="J1648" s="10" t="n">
        <x:f>H1648*I1648</x:f>
        <x:v>52432.778976967325</x:v>
      </x:c>
      <x:c r="K1648" s="10" t="n">
        <x:f>J1648*'Assumptions'!$T$134</x:f>
        <x:v>52432.778976967325</x:v>
      </x:c>
      <x:c r="L1648" s="10" t="n">
        <x:f>K1648*'Assumptions'!$U$134</x:f>
        <x:v>4194.622318157386</x:v>
      </x:c>
      <x:c r="M1648" s="10" t="n">
        <x:f>K1648*'Assumptions'!$V$134</x:f>
        <x:v>1048.6555795393465</x:v>
      </x:c>
      <x:c r="N1648" s="10" t="n">
        <x:f>K1648-L1648-M1648</x:f>
        <x:v>47189.501079270594</x:v>
      </x:c>
      <x:c r="O1648" s="10" t="n">
        <x:f>H1648*'Assumptions'!$P$134*'Assumptions'!$Q$134*'Assumptions'!$D$11*(1+'Assumptions'!$D$13)^(13-1)</x:f>
        <x:v>1768.3521969041342</x:v>
      </x:c>
      <x:c r="P1648" s="10" t="n">
        <x:f>H1648*'Assumptions'!$R$134*'Assumptions'!$D$11*(1+'Assumptions'!$D$13)^(13-1)</x:f>
        <x:v>21893.884342622616</x:v>
      </x:c>
      <x:c r="Q1648" s="10" t="n">
        <x:f>J1648*'Assumptions'!$S$134</x:f>
        <x:v>0</x:v>
      </x:c>
      <x:c r="R1648" s="10" t="n">
        <x:f>H1648*'Assumptions'!$Y$134*'Assumptions'!$Z$134*'Assumptions'!$D$11*(1+'Assumptions'!$D$13)^(13-1)</x:f>
        <x:v>1515.730454489258</x:v>
      </x:c>
      <x:c r="S1648" s="10" t="n">
        <x:f>IF(I1648=0,0,J1648*'Assumptions'!$W$134+H1648*'Assumptions'!$X$134)</x:f>
        <x:v>1591.424113303687</x:v>
      </x:c>
      <x:c r="T1648" s="10" t="n">
        <x:f>N1648*'Assumptions'!$AA$134</x:f>
        <x:v>3775.1600863416475</x:v>
      </x:c>
      <x:c r="U1648" s="10" t="n">
        <x:f>'Assumptions'!$AE$134*'Assumptions'!$D$11*(1+'Assumptions'!$D$13)^(13-1)</x:f>
        <x:v>0</x:v>
      </x:c>
      <x:c r="V1648" s="10" t="n">
        <x:f>0</x:f>
        <x:v>0</x:v>
      </x:c>
      <x:c r="W1648" s="10" t="n">
        <x:f>H1648*('Assumptions'!$P$134+'Assumptions'!$Y$134)</x:f>
        <x:v>70.8735229716344</x:v>
      </x:c>
      <x:c r="X1648" s="10" t="n">
        <x:f>N1648/12*'Assumptions'!$AF$134</x:f>
        <x:v>0</x:v>
      </x:c>
      <x:c r="Y1648" s="10" t="n">
        <x:f>P1648/12</x:f>
        <x:v>1824.490361885218</x:v>
      </x:c>
      <x:c r="Z1648" s="10" t="n">
        <x:f>0</x:f>
        <x:v>0</x:v>
      </x:c>
      <x:c r="AA1648" s="10" t="n">
        <x:f>Z1648*'Assumptions'!$AC$134*'Assumptions'!$D$11*(1+'Assumptions'!$D$13)^(13-1)</x:f>
        <x:v>0</x:v>
      </x:c>
      <x:c r="AB1648" s="10" t="n">
        <x:f>F1648/1</x:f>
        <x:v>167.43612880950403</x:v>
      </x:c>
      <x:c r="AC1648" s="10" t="n">
        <x:f>AB1648/'Assumptions'!$AM$134</x:f>
        <x:v>5581.204293650135</x:v>
      </x:c>
      <x:c r="AD1648" s="10" t="n">
        <x:f>IF(AB1648=0,0,T1648/AB1648)</x:f>
        <x:v>22.546866755601684</x:v>
      </x:c>
      <x:c r="AE1648" s="10" t="n">
        <x:f>AA1648*'Assumptions'!$D$21</x:f>
        <x:v>0</x:v>
      </x:c>
    </x:row>
    <x:row r="1649" ht="16" customHeight="1">
      <x:c r="A1649" s="1"/>
      <x:c r="B1649" s="1"/>
      <x:c r="C1649" s="1" t="str">
        <x:v>DOT-106</x:v>
      </x:c>
      <x:c r="D1649" s="10" t="str">
        <x:v>QzoticMusic</x:v>
      </x:c>
      <x:c r="E1649" s="10" t="n">
        <x:v>13</x:v>
      </x:c>
      <x:c r="F1649" s="21" t="n">
        <x:f>F1521*(1+'Assumptions'!$M$135)</x:f>
        <x:v>997.0149553469772</x:v>
      </x:c>
      <x:c r="G1649" s="21" t="n">
        <x:f>H1521*'Assumptions'!$K$135</x:f>
        <x:v>319.5555458151108</x:v>
      </x:c>
      <x:c r="H1649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1649+G1649,NA())</x:f>
        <x:v>1316.570501162088</x:v>
      </x:c>
      <x:c r="I1649" s="22" t="n">
        <x:f>'Assumptions'!$H$135*IF('Assumptions'!$O$135=1,1,'Assumptions'!$D$10)*(1+'Assumptions'!$N$135)^(13-1)</x:f>
        <x:v>6.341208972812727</x:v>
      </x:c>
      <x:c r="J1649" s="10" t="n">
        <x:f>H1649*I1649</x:f>
        <x:v>8348.648675309581</x:v>
      </x:c>
      <x:c r="K1649" s="10" t="n">
        <x:f>J1649*'Assumptions'!$T$135</x:f>
        <x:v>8348.648675309581</x:v>
      </x:c>
      <x:c r="L1649" s="10" t="n">
        <x:f>K1649*'Assumptions'!$U$135</x:f>
        <x:v>250.45946025928743</x:v>
      </x:c>
      <x:c r="M1649" s="10" t="n">
        <x:f>K1649*'Assumptions'!$V$135</x:f>
        <x:v>0</x:v>
      </x:c>
      <x:c r="N1649" s="10" t="n">
        <x:f>K1649-L1649-M1649</x:f>
        <x:v>8098.189215050294</x:v>
      </x:c>
      <x:c r="O1649" s="10" t="n">
        <x:f>H1649*'Assumptions'!$P$135*'Assumptions'!$Q$135*'Assumptions'!$D$11*(1+'Assumptions'!$D$13)^(13-1)</x:f>
        <x:v>1313.9803077326642</x:v>
      </x:c>
      <x:c r="P1649" s="10" t="n">
        <x:f>H1649*'Assumptions'!$R$135*'Assumptions'!$D$11*(1+'Assumptions'!$D$13)^(13-1)</x:f>
        <x:v>0</x:v>
      </x:c>
      <x:c r="Q1649" s="10" t="n">
        <x:f>J1649*'Assumptions'!$S$135</x:f>
        <x:v>0</x:v>
      </x:c>
      <x:c r="R1649" s="10" t="n">
        <x:f>H1649*'Assumptions'!$Y$135*'Assumptions'!$Z$135*'Assumptions'!$D$11*(1+'Assumptions'!$D$13)^(13-1)</x:f>
        <x:v>5631.344175997132</x:v>
      </x:c>
      <x:c r="S1649" s="10" t="n">
        <x:f>IF(I1649=0,0,J1649*'Assumptions'!$W$135+H1649*'Assumptions'!$X$135)</x:f>
        <x:v>637.0819619326043</x:v>
      </x:c>
      <x:c r="T1649" s="10" t="n">
        <x:f>N1649*'Assumptions'!$AA$135</x:f>
        <x:v>404.9094607525147</x:v>
      </x:c>
      <x:c r="U1649" s="10" t="n">
        <x:f>'Assumptions'!$AE$135*'Assumptions'!$D$11*(1+'Assumptions'!$D$13)^(13-1)</x:f>
        <x:v>0</x:v>
      </x:c>
      <x:c r="V1649" s="10" t="n">
        <x:f>0</x:f>
        <x:v>0</x:v>
      </x:c>
      <x:c r="W1649" s="10" t="n">
        <x:f>H1649*('Assumptions'!$P$135+'Assumptions'!$Y$135)</x:f>
        <x:v>157.98846013945058</x:v>
      </x:c>
      <x:c r="X1649" s="10" t="n">
        <x:f>N1649/12*'Assumptions'!$AF$135</x:f>
        <x:v>0</x:v>
      </x:c>
      <x:c r="Y1649" s="10" t="n">
        <x:f>P1649/12</x:f>
        <x:v>0</x:v>
      </x:c>
      <x:c r="Z1649" s="10" t="n">
        <x:f>0</x:f>
        <x:v>0</x:v>
      </x:c>
      <x:c r="AA1649" s="10" t="n">
        <x:f>Z1649*'Assumptions'!$AC$135*'Assumptions'!$D$11*(1+'Assumptions'!$D$13)^(13-1)</x:f>
        <x:v>0</x:v>
      </x:c>
      <x:c r="AB1649" s="10" t="n">
        <x:f>F1649/12</x:f>
        <x:v>83.0845796122481</x:v>
      </x:c>
      <x:c r="AC1649" s="10" t="n">
        <x:f>AB1649/'Assumptions'!$AM$135</x:f>
        <x:v>1661.691592244962</x:v>
      </x:c>
      <x:c r="AD1649" s="10" t="n">
        <x:f>IF(AB1649=0,0,T1649/AB1649)</x:f>
        <x:v>4.873461027812964</x:v>
      </x:c>
      <x:c r="AE1649" s="10" t="n">
        <x:f>AA1649*'Assumptions'!$D$21</x:f>
        <x:v>0</x:v>
      </x:c>
    </x:row>
    <x:row r="1650" ht="16" customHeight="1">
      <x:c r="A1650" s="1"/>
      <x:c r="B1650" s="1"/>
      <x:c r="C1650" s="1" t="str">
        <x:v>DOT-107</x:v>
      </x:c>
      <x:c r="D1650" s="10" t="str">
        <x:v>QzoticMusic</x:v>
      </x:c>
      <x:c r="E1650" s="10" t="n">
        <x:v>13</x:v>
      </x:c>
      <x:c r="F1650" s="21" t="n">
        <x:f>F1522*(1+'Assumptions'!$M$136)</x:f>
        <x:v>289.3297798808991</x:v>
      </x:c>
      <x:c r="G1650" s="21" t="n">
        <x:f>H1522*'Assumptions'!$K$136</x:f>
        <x:v>148.91690119671412</x:v>
      </x:c>
      <x:c r="H1650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1650+G1650,NA())</x:f>
        <x:v>438.2466810776132</x:v>
      </x:c>
      <x:c r="I1650" s="22" t="n">
        <x:f>'Assumptions'!$H$136*IF('Assumptions'!$O$136=1,1,'Assumptions'!$D$10)*(1+'Assumptions'!$N$136)^(13-1)</x:f>
        <x:v>31.70604486406364</x:v>
      </x:c>
      <x:c r="J1650" s="10" t="n">
        <x:f>H1650*I1650</x:f>
        <x:v>13895.068931773792</x:v>
      </x:c>
      <x:c r="K1650" s="10" t="n">
        <x:f>J1650*'Assumptions'!$T$136</x:f>
        <x:v>13895.068931773792</x:v>
      </x:c>
      <x:c r="L1650" s="10" t="n">
        <x:f>K1650*'Assumptions'!$U$136</x:f>
        <x:v>416.85206795321375</x:v>
      </x:c>
      <x:c r="M1650" s="10" t="n">
        <x:f>K1650*'Assumptions'!$V$136</x:f>
        <x:v>0</x:v>
      </x:c>
      <x:c r="N1650" s="10" t="n">
        <x:f>K1650-L1650-M1650</x:f>
        <x:v>13478.216863820579</x:v>
      </x:c>
      <x:c r="O1650" s="10" t="n">
        <x:f>H1650*'Assumptions'!$P$136*'Assumptions'!$Q$136*'Assumptions'!$D$11*(1+'Assumptions'!$D$13)^(13-1)</x:f>
        <x:v>3280.383627520715</x:v>
      </x:c>
      <x:c r="P1650" s="10" t="n">
        <x:f>H1650*'Assumptions'!$R$136*'Assumptions'!$D$11*(1+'Assumptions'!$D$13)^(13-1)</x:f>
        <x:v>6248.349766706125</x:v>
      </x:c>
      <x:c r="Q1650" s="10" t="n">
        <x:f>J1650*'Assumptions'!$S$136</x:f>
        <x:v>0</x:v>
      </x:c>
      <x:c r="R1650" s="10" t="n">
        <x:f>H1650*'Assumptions'!$Y$136*'Assumptions'!$Z$136*'Assumptions'!$D$11*(1+'Assumptions'!$D$13)^(13-1)</x:f>
        <x:v>9372.524650059187</x:v>
      </x:c>
      <x:c r="S1650" s="10" t="n">
        <x:f>IF(I1650=0,0,J1650*'Assumptions'!$W$136+H1650*'Assumptions'!$X$136)</x:f>
        <x:v>534.431003344724</x:v>
      </x:c>
      <x:c r="T1650" s="10" t="n">
        <x:f>N1650*'Assumptions'!$AA$136</x:f>
        <x:v>1078.2573491056462</x:v>
      </x:c>
      <x:c r="U1650" s="10" t="n">
        <x:f>'Assumptions'!$AE$136*'Assumptions'!$D$11*(1+'Assumptions'!$D$13)^(13-1)</x:f>
        <x:v>0</x:v>
      </x:c>
      <x:c r="V1650" s="10" t="n">
        <x:f>0</x:f>
        <x:v>0</x:v>
      </x:c>
      <x:c r="W1650" s="10" t="n">
        <x:f>H1650*('Assumptions'!$P$136+'Assumptions'!$Y$136)</x:f>
        <x:v>284.8603427004486</x:v>
      </x:c>
      <x:c r="X1650" s="10" t="n">
        <x:f>N1650/12*'Assumptions'!$AF$136</x:f>
        <x:v>1123.184738651715</x:v>
      </x:c>
      <x:c r="Y1650" s="10" t="n">
        <x:f>P1650/12</x:f>
        <x:v>520.6958138921771</x:v>
      </x:c>
      <x:c r="Z1650" s="10" t="n">
        <x:f>0</x:f>
        <x:v>0</x:v>
      </x:c>
      <x:c r="AA1650" s="10" t="n">
        <x:f>Z1650*'Assumptions'!$AC$136*'Assumptions'!$D$11*(1+'Assumptions'!$D$13)^(13-1)</x:f>
        <x:v>0</x:v>
      </x:c>
      <x:c r="AB1650" s="10" t="n">
        <x:f>F1650/1</x:f>
        <x:v>289.3297798808991</x:v>
      </x:c>
      <x:c r="AC1650" s="10" t="n">
        <x:f>AB1650/'Assumptions'!$AM$136</x:f>
        <x:v>2893.2977988089906</x:v>
      </x:c>
      <x:c r="AD1650" s="10" t="n">
        <x:f>IF(AB1650=0,0,T1650/AB1650)</x:f>
        <x:v>3.7267416770907738</x:v>
      </x:c>
      <x:c r="AE1650" s="10" t="n">
        <x:f>AA1650*'Assumptions'!$D$21</x:f>
        <x:v>0</x:v>
      </x:c>
    </x:row>
    <x:row r="1651" ht="16" customHeight="1">
      <x:c r="A1651" s="1"/>
      <x:c r="B1651" s="1"/>
      <x:c r="C1651" s="1" t="str">
        <x:v>DOT-108</x:v>
      </x:c>
      <x:c r="D1651" s="10" t="str">
        <x:v>QzoticMusic</x:v>
      </x:c>
      <x:c r="E1651" s="10" t="n">
        <x:v>13</x:v>
      </x:c>
      <x:c r="F1651" s="21" t="n">
        <x:f>F1523*(1+'Assumptions'!$M$137)</x:f>
        <x:v>14.466488994044958</x:v>
      </x:c>
      <x:c r="G1651" s="21" t="n">
        <x:f>H1523*'Assumptions'!$K$137</x:f>
        <x:v>7.445845059835708</x:v>
      </x:c>
      <x:c r="H1651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1651+G1651,NA())</x:f>
        <x:v>21.912334053880667</x:v>
      </x:c>
      <x:c r="I1651" s="22" t="n">
        <x:f>'Assumptions'!$H$137*IF('Assumptions'!$O$137=1,1,'Assumptions'!$D$10)*(1+'Assumptions'!$N$137)^(13-1)</x:f>
        <x:v>317.06044864063637</x:v>
      </x:c>
      <x:c r="J1651" s="10" t="n">
        <x:f>H1651*I1651</x:f>
        <x:v>6947.534465886898</x:v>
      </x:c>
      <x:c r="K1651" s="10" t="n">
        <x:f>J1651*'Assumptions'!$T$137</x:f>
        <x:v>6947.534465886898</x:v>
      </x:c>
      <x:c r="L1651" s="10" t="n">
        <x:f>K1651*'Assumptions'!$U$137</x:f>
        <x:v>208.42603397660693</x:v>
      </x:c>
      <x:c r="M1651" s="10" t="n">
        <x:f>K1651*'Assumptions'!$V$137</x:f>
        <x:v>0</x:v>
      </x:c>
      <x:c r="N1651" s="10" t="n">
        <x:f>K1651-L1651-M1651</x:f>
        <x:v>6739.108431910291</x:v>
      </x:c>
      <x:c r="O1651" s="10" t="n">
        <x:f>H1651*'Assumptions'!$P$137*'Assumptions'!$Q$137*'Assumptions'!$D$11*(1+'Assumptions'!$D$13)^(13-1)</x:f>
        <x:v>2499.339906682451</x:v>
      </x:c>
      <x:c r="P1651" s="10" t="n">
        <x:f>H1651*'Assumptions'!$R$137*'Assumptions'!$D$11*(1+'Assumptions'!$D$13)^(13-1)</x:f>
        <x:v>0</x:v>
      </x:c>
      <x:c r="Q1651" s="10" t="n">
        <x:f>J1651*'Assumptions'!$S$137</x:f>
        <x:v>0</x:v>
      </x:c>
      <x:c r="R1651" s="10" t="n">
        <x:f>H1651*'Assumptions'!$Y$137*'Assumptions'!$Z$137*'Assumptions'!$D$11*(1+'Assumptions'!$D$13)^(13-1)</x:f>
        <x:v>468.6262325029595</x:v>
      </x:c>
      <x:c r="S1651" s="10" t="n">
        <x:f>IF(I1651=0,0,J1651*'Assumptions'!$W$137+H1651*'Assumptions'!$X$137)</x:f>
        <x:v>208.05219972688425</x:v>
      </x:c>
      <x:c r="T1651" s="10" t="n">
        <x:f>N1651*'Assumptions'!$AA$137</x:f>
        <x:v>539.1286745528233</x:v>
      </x:c>
      <x:c r="U1651" s="10" t="n">
        <x:f>'Assumptions'!$AE$137*'Assumptions'!$D$11*(1+'Assumptions'!$D$13)^(13-1)</x:f>
        <x:v>0</x:v>
      </x:c>
      <x:c r="V1651" s="10" t="n">
        <x:f>0</x:f>
        <x:v>0</x:v>
      </x:c>
      <x:c r="W1651" s="10" t="n">
        <x:f>H1651*('Assumptions'!$P$137+'Assumptions'!$Y$137)</x:f>
        <x:v>54.78083513470167</x:v>
      </x:c>
      <x:c r="X1651" s="10" t="n">
        <x:f>N1651/12*'Assumptions'!$AF$137</x:f>
        <x:v>561.5923693258576</x:v>
      </x:c>
      <x:c r="Y1651" s="10" t="n">
        <x:f>P1651/12</x:f>
        <x:v>0</x:v>
      </x:c>
      <x:c r="Z1651" s="10" t="n">
        <x:f>0</x:f>
        <x:v>0</x:v>
      </x:c>
      <x:c r="AA1651" s="10" t="n">
        <x:f>Z1651*'Assumptions'!$AC$137*'Assumptions'!$D$11*(1+'Assumptions'!$D$13)^(13-1)</x:f>
        <x:v>0</x:v>
      </x:c>
      <x:c r="AB1651" s="10" t="n">
        <x:f>F1651/1</x:f>
        <x:v>14.466488994044958</x:v>
      </x:c>
      <x:c r="AC1651" s="10" t="n">
        <x:f>AB1651/'Assumptions'!$AM$137</x:f>
        <x:v>144.66488994044957</x:v>
      </x:c>
      <x:c r="AD1651" s="10" t="n">
        <x:f>IF(AB1651=0,0,T1651/AB1651)</x:f>
        <x:v>37.267416770907744</x:v>
      </x:c>
      <x:c r="AE1651" s="10" t="n">
        <x:f>AA1651*'Assumptions'!$D$21</x:f>
        <x:v>0</x:v>
      </x:c>
    </x:row>
    <x:row r="1652" ht="16" customHeight="1">
      <x:c r="A1652" s="1"/>
      <x:c r="B1652" s="1"/>
      <x:c r="C1652" s="1" t="str">
        <x:v>DOT-109</x:v>
      </x:c>
      <x:c r="D1652" s="10" t="str">
        <x:v>LesPetitFilms</x:v>
      </x:c>
      <x:c r="E1652" s="10" t="n">
        <x:v>13</x:v>
      </x:c>
      <x:c r="F1652" s="21" t="n">
        <x:f>F1524*(1+'Assumptions'!$M$138)</x:f>
        <x:v>9.644325996029972</x:v>
      </x:c>
      <x:c r="G1652" s="21" t="n">
        <x:f>H1524*'Assumptions'!$K$138</x:f>
        <x:v>4.963896706557138</x:v>
      </x:c>
      <x:c r="H1652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1652+G1652,NA())</x:f>
        <x:v>14.60822270258711</x:v>
      </x:c>
      <x:c r="I1652" s="22" t="n">
        <x:f>'Assumptions'!$H$138*IF('Assumptions'!$O$138=1,1,'Assumptions'!$D$10)*(1+'Assumptions'!$N$138)^(13-1)</x:f>
        <x:v>4438.846280968909</x:v>
      </x:c>
      <x:c r="J1652" s="10" t="n">
        <x:f>H1652*I1652</x:f>
        <x:v>64843.65501494438</x:v>
      </x:c>
      <x:c r="K1652" s="10" t="n">
        <x:f>J1652*'Assumptions'!$T$138</x:f>
        <x:v>64843.65501494438</x:v>
      </x:c>
      <x:c r="L1652" s="10" t="n">
        <x:f>K1652*'Assumptions'!$U$138</x:f>
        <x:v>1945.3096504483312</x:v>
      </x:c>
      <x:c r="M1652" s="10" t="n">
        <x:f>K1652*'Assumptions'!$V$138</x:f>
        <x:v>0</x:v>
      </x:c>
      <x:c r="N1652" s="10" t="n">
        <x:f>K1652-L1652-M1652</x:f>
        <x:v>62898.34536449605</x:v>
      </x:c>
      <x:c r="O1652" s="10" t="n">
        <x:f>H1652*'Assumptions'!$P$138*'Assumptions'!$Q$138*'Assumptions'!$D$11*(1+'Assumptions'!$D$13)^(13-1)</x:f>
        <x:v>23431.31162514797</x:v>
      </x:c>
      <x:c r="P1652" s="10" t="n">
        <x:f>H1652*'Assumptions'!$R$138*'Assumptions'!$D$11*(1+'Assumptions'!$D$13)^(13-1)</x:f>
        <x:v>7289.741394490481</x:v>
      </x:c>
      <x:c r="Q1652" s="10" t="n">
        <x:f>J1652*'Assumptions'!$S$138</x:f>
        <x:v>0</x:v>
      </x:c>
      <x:c r="R1652" s="10" t="n">
        <x:f>H1652*'Assumptions'!$Y$138*'Assumptions'!$Z$138*'Assumptions'!$D$11*(1+'Assumptions'!$D$13)^(13-1)</x:f>
        <x:v>312.4174883353063</x:v>
      </x:c>
      <x:c r="S1652" s="10" t="n">
        <x:f>IF(I1652=0,0,J1652*'Assumptions'!$W$138+H1652*'Assumptions'!$X$138)</x:f>
        <x:v>1884.848462244163</x:v>
      </x:c>
      <x:c r="T1652" s="10" t="n">
        <x:f>N1652*'Assumptions'!$AA$138</x:f>
        <x:v>5031.867629159684</x:v>
      </x:c>
      <x:c r="U1652" s="10" t="n">
        <x:f>'Assumptions'!$AE$138*'Assumptions'!$D$11*(1+'Assumptions'!$D$13)^(13-1)</x:f>
        <x:v>0</x:v>
      </x:c>
      <x:c r="V1652" s="10" t="n">
        <x:f>0</x:f>
        <x:v>0</x:v>
      </x:c>
      <x:c r="W1652" s="10" t="n">
        <x:f>H1652*('Assumptions'!$P$138+'Assumptions'!$Y$138)</x:f>
        <x:v>372.5096789159713</x:v>
      </x:c>
      <x:c r="X1652" s="10" t="n">
        <x:f>N1652/12*'Assumptions'!$AF$138</x:f>
        <x:v>5241.5287803746705</x:v>
      </x:c>
      <x:c r="Y1652" s="10" t="n">
        <x:f>P1652/12</x:f>
        <x:v>607.4784495408734</x:v>
      </x:c>
      <x:c r="Z1652" s="10" t="n">
        <x:f>0</x:f>
        <x:v>0</x:v>
      </x:c>
      <x:c r="AA1652" s="10" t="n">
        <x:f>Z1652*'Assumptions'!$AC$138*'Assumptions'!$D$11*(1+'Assumptions'!$D$13)^(13-1)</x:f>
        <x:v>0</x:v>
      </x:c>
      <x:c r="AB1652" s="10" t="n">
        <x:f>F1652/1</x:f>
        <x:v>9.644325996029972</x:v>
      </x:c>
      <x:c r="AC1652" s="10" t="n">
        <x:f>AB1652/'Assumptions'!$AM$138</x:f>
        <x:v>96.44325996029971</x:v>
      </x:c>
      <x:c r="AD1652" s="10" t="n">
        <x:f>IF(AB1652=0,0,T1652/AB1652)</x:f>
        <x:v>521.7438347927083</x:v>
      </x:c>
      <x:c r="AE1652" s="10" t="n">
        <x:f>AA1652*'Assumptions'!$D$21</x:f>
        <x:v>0</x:v>
      </x:c>
    </x:row>
    <x:row r="1653" ht="16" customHeight="1">
      <x:c r="A1653" s="1"/>
      <x:c r="B1653" s="1"/>
      <x:c r="C1653" s="1" t="str">
        <x:v>DOT-110</x:v>
      </x:c>
      <x:c r="D1653" s="10" t="str">
        <x:v>LesPetitFilms</x:v>
      </x:c>
      <x:c r="E1653" s="10" t="n">
        <x:v>13</x:v>
      </x:c>
      <x:c r="F1653" s="21" t="n">
        <x:f>F1525*(1+'Assumptions'!$M$139)</x:f>
        <x:v>9.644325996029972</x:v>
      </x:c>
      <x:c r="G1653" s="21" t="n">
        <x:f>H1525*'Assumptions'!$K$139</x:f>
        <x:v>4.963896706557138</x:v>
      </x:c>
      <x:c r="H1653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1653+G1653,NA())</x:f>
        <x:v>14.60822270258711</x:v>
      </x:c>
      <x:c r="I1653" s="22" t="n">
        <x:f>'Assumptions'!$H$139*IF('Assumptions'!$O$139=1,1,'Assumptions'!$D$10)*(1+'Assumptions'!$N$139)^(13-1)</x:f>
        <x:v>1902.3626918438183</x:v>
      </x:c>
      <x:c r="J1653" s="10" t="n">
        <x:f>H1653*I1653</x:f>
        <x:v>27790.137863547592</x:v>
      </x:c>
      <x:c r="K1653" s="10" t="n">
        <x:f>J1653*'Assumptions'!$T$139</x:f>
        <x:v>27790.137863547592</x:v>
      </x:c>
      <x:c r="L1653" s="10" t="n">
        <x:f>K1653*'Assumptions'!$U$139</x:f>
        <x:v>833.7041359064277</x:v>
      </x:c>
      <x:c r="M1653" s="10" t="n">
        <x:f>K1653*'Assumptions'!$V$139</x:f>
        <x:v>0</x:v>
      </x:c>
      <x:c r="N1653" s="10" t="n">
        <x:f>K1653-L1653-M1653</x:f>
        <x:v>26956.433727641164</x:v>
      </x:c>
      <x:c r="O1653" s="10" t="n">
        <x:f>H1653*'Assumptions'!$P$139*'Assumptions'!$Q$139*'Assumptions'!$D$11*(1+'Assumptions'!$D$13)^(13-1)</x:f>
        <x:v>9372.52465005919</x:v>
      </x:c>
      <x:c r="P1653" s="10" t="n">
        <x:f>H1653*'Assumptions'!$R$139*'Assumptions'!$D$11*(1+'Assumptions'!$D$13)^(13-1)</x:f>
        <x:v>4165.566511137417</x:v>
      </x:c>
      <x:c r="Q1653" s="10" t="n">
        <x:f>J1653*'Assumptions'!$S$139</x:f>
        <x:v>0</x:v>
      </x:c>
      <x:c r="R1653" s="10" t="n">
        <x:f>H1653*'Assumptions'!$Y$139*'Assumptions'!$Z$139*'Assumptions'!$D$11*(1+'Assumptions'!$D$13)^(13-1)</x:f>
        <x:v>312.4174883353063</x:v>
      </x:c>
      <x:c r="S1653" s="10" t="n">
        <x:f>IF(I1653=0,0,J1653*'Assumptions'!$W$139+H1653*'Assumptions'!$X$139)</x:f>
        <x:v>810.2964648536563</x:v>
      </x:c>
      <x:c r="T1653" s="10" t="n">
        <x:f>N1653*'Assumptions'!$AA$139</x:f>
        <x:v>2156.5146982112933</x:v>
      </x:c>
      <x:c r="U1653" s="10" t="n">
        <x:f>'Assumptions'!$AE$139*'Assumptions'!$D$11*(1+'Assumptions'!$D$13)^(13-1)</x:f>
        <x:v>0</x:v>
      </x:c>
      <x:c r="V1653" s="10" t="n">
        <x:f>0</x:f>
        <x:v>0</x:v>
      </x:c>
      <x:c r="W1653" s="10" t="n">
        <x:f>H1653*('Assumptions'!$P$139+'Assumptions'!$Y$139)</x:f>
        <x:v>153.38633837716466</x:v>
      </x:c>
      <x:c r="X1653" s="10" t="n">
        <x:f>N1653/12*'Assumptions'!$AF$139</x:f>
        <x:v>2246.3694773034304</x:v>
      </x:c>
      <x:c r="Y1653" s="10" t="n">
        <x:f>P1653/12</x:f>
        <x:v>347.1305425947848</x:v>
      </x:c>
      <x:c r="Z1653" s="10" t="n">
        <x:f>0</x:f>
        <x:v>0</x:v>
      </x:c>
      <x:c r="AA1653" s="10" t="n">
        <x:f>Z1653*'Assumptions'!$AC$139*'Assumptions'!$D$11*(1+'Assumptions'!$D$13)^(13-1)</x:f>
        <x:v>0</x:v>
      </x:c>
      <x:c r="AB1653" s="10" t="n">
        <x:f>F1653/1</x:f>
        <x:v>9.644325996029972</x:v>
      </x:c>
      <x:c r="AC1653" s="10" t="n">
        <x:f>AB1653/'Assumptions'!$AM$139</x:f>
        <x:v>96.44325996029971</x:v>
      </x:c>
      <x:c r="AD1653" s="10" t="n">
        <x:f>IF(AB1653=0,0,T1653/AB1653)</x:f>
        <x:v>223.60450062544646</x:v>
      </x:c>
      <x:c r="AE1653" s="10" t="n">
        <x:f>AA1653*'Assumptions'!$D$21</x:f>
        <x:v>0</x:v>
      </x:c>
    </x:row>
    <x:row r="1654" ht="16" customHeight="1">
      <x:c r="A1654" s="1"/>
      <x:c r="B1654" s="1"/>
      <x:c r="C1654" s="1" t="str">
        <x:v>DOT-111</x:v>
      </x:c>
      <x:c r="D1654" s="10" t="str">
        <x:v>LesPetitFilms</x:v>
      </x:c>
      <x:c r="E1654" s="10" t="n">
        <x:v>13</x:v>
      </x:c>
      <x:c r="F1654" s="21" t="n">
        <x:f>F1526*(1+'Assumptions'!$M$140)</x:f>
        <x:v>14.466488994044958</x:v>
      </x:c>
      <x:c r="G1654" s="21" t="n">
        <x:f>H1526*'Assumptions'!$K$140</x:f>
        <x:v>7.445845059835708</x:v>
      </x:c>
      <x:c r="H1654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1654+G1654,NA())</x:f>
        <x:v>21.912334053880667</x:v>
      </x:c>
      <x:c r="I1654" s="22" t="n">
        <x:f>'Assumptions'!$H$140*IF('Assumptions'!$O$140=1,1,'Assumptions'!$D$10)*(1+'Assumptions'!$N$140)^(13-1)</x:f>
        <x:v>634.1208972812727</x:v>
      </x:c>
      <x:c r="J1654" s="10" t="n">
        <x:f>H1654*I1654</x:f>
        <x:v>13895.068931773796</x:v>
      </x:c>
      <x:c r="K1654" s="10" t="n">
        <x:f>J1654*'Assumptions'!$T$140</x:f>
        <x:v>13895.068931773796</x:v>
      </x:c>
      <x:c r="L1654" s="10" t="n">
        <x:f>K1654*'Assumptions'!$U$140</x:f>
        <x:v>416.85206795321386</x:v>
      </x:c>
      <x:c r="M1654" s="10" t="n">
        <x:f>K1654*'Assumptions'!$V$140</x:f>
        <x:v>0</x:v>
      </x:c>
      <x:c r="N1654" s="10" t="n">
        <x:f>K1654-L1654-M1654</x:f>
        <x:v>13478.216863820582</x:v>
      </x:c>
      <x:c r="O1654" s="10" t="n">
        <x:f>H1654*'Assumptions'!$P$140*'Assumptions'!$Q$140*'Assumptions'!$D$11*(1+'Assumptions'!$D$13)^(13-1)</x:f>
        <x:v>3749.009860023676</x:v>
      </x:c>
      <x:c r="P1654" s="10" t="n">
        <x:f>H1654*'Assumptions'!$R$140*'Assumptions'!$D$11*(1+'Assumptions'!$D$13)^(13-1)</x:f>
        <x:v>1562.0874416765319</x:v>
      </x:c>
      <x:c r="Q1654" s="10" t="n">
        <x:f>J1654*'Assumptions'!$S$140</x:f>
        <x:v>0</x:v>
      </x:c>
      <x:c r="R1654" s="10" t="n">
        <x:f>H1654*'Assumptions'!$Y$140*'Assumptions'!$Z$140*'Assumptions'!$D$11*(1+'Assumptions'!$D$13)^(13-1)</x:f>
        <x:v>468.6262325029595</x:v>
      </x:c>
      <x:c r="S1654" s="10" t="n">
        <x:f>IF(I1654=0,0,J1654*'Assumptions'!$W$140+H1654*'Assumptions'!$X$140)</x:f>
        <x:v>409.53069923760427</x:v>
      </x:c>
      <x:c r="T1654" s="10" t="n">
        <x:f>N1654*'Assumptions'!$AA$140</x:f>
        <x:v>1078.2573491056467</x:v>
      </x:c>
      <x:c r="U1654" s="10" t="n">
        <x:f>'Assumptions'!$AE$140*'Assumptions'!$D$11*(1+'Assumptions'!$D$13)^(13-1)</x:f>
        <x:v>0</x:v>
      </x:c>
      <x:c r="V1654" s="10" t="n">
        <x:f>0</x:f>
        <x:v>0</x:v>
      </x:c>
      <x:c r="W1654" s="10" t="n">
        <x:f>H1654*('Assumptions'!$P$140+'Assumptions'!$Y$140)</x:f>
        <x:v>76.69316918858233</x:v>
      </x:c>
      <x:c r="X1654" s="10" t="n">
        <x:f>N1654/12*'Assumptions'!$AF$140</x:f>
        <x:v>1123.1847386517152</x:v>
      </x:c>
      <x:c r="Y1654" s="10" t="n">
        <x:f>P1654/12</x:f>
        <x:v>130.17395347304432</x:v>
      </x:c>
      <x:c r="Z1654" s="10" t="n">
        <x:f>0</x:f>
        <x:v>0</x:v>
      </x:c>
      <x:c r="AA1654" s="10" t="n">
        <x:f>Z1654*'Assumptions'!$AC$140*'Assumptions'!$D$11*(1+'Assumptions'!$D$13)^(13-1)</x:f>
        <x:v>0</x:v>
      </x:c>
      <x:c r="AB1654" s="10" t="n">
        <x:f>F1654/1</x:f>
        <x:v>14.466488994044958</x:v>
      </x:c>
      <x:c r="AC1654" s="10" t="n">
        <x:f>AB1654/'Assumptions'!$AM$140</x:f>
        <x:v>144.66488994044957</x:v>
      </x:c>
      <x:c r="AD1654" s="10" t="n">
        <x:f>IF(AB1654=0,0,T1654/AB1654)</x:f>
        <x:v>74.53483354181549</x:v>
      </x:c>
      <x:c r="AE1654" s="10" t="n">
        <x:f>AA1654*'Assumptions'!$D$21</x:f>
        <x:v>0</x:v>
      </x:c>
    </x:row>
    <x:row r="1655" ht="16" customHeight="1">
      <x:c r="A1655" s="1"/>
      <x:c r="B1655" s="1"/>
      <x:c r="C1655" s="1" t="str">
        <x:v>DOT-112</x:v>
      </x:c>
      <x:c r="D1655" s="10" t="str">
        <x:v>Learn Anglais</x:v>
      </x:c>
      <x:c r="E1655" s="10" t="n">
        <x:v>13</x:v>
      </x:c>
      <x:c r="F1655" s="21" t="n">
        <x:f>F1527*(1+'Assumptions'!$M$141)</x:f>
        <x:v>472.8193993377651</x:v>
      </x:c>
      <x:c r="G1655" s="21" t="n">
        <x:f>H1527*'Assumptions'!$K$141</x:f>
        <x:v>987.681059777355</x:v>
      </x:c>
      <x:c r="H1655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1655+G1655,NA())</x:f>
        <x:v>1460.50045911512</x:v>
      </x:c>
      <x:c r="I1655" s="22" t="n">
        <x:f>'Assumptions'!$H$141*IF('Assumptions'!$O$141=1,1,'Assumptions'!$D$10)*(1+'Assumptions'!$N$141)^(13-1)</x:f>
        <x:v>57.07088075531455</x:v>
      </x:c>
      <x:c r="J1655" s="10" t="n">
        <x:f>H1655*I1655</x:f>
        <x:v>83352.04754524116</x:v>
      </x:c>
      <x:c r="K1655" s="10" t="n">
        <x:f>J1655*'Assumptions'!$T$141</x:f>
        <x:v>27784.01584841372</x:v>
      </x:c>
      <x:c r="L1655" s="10" t="n">
        <x:f>K1655*'Assumptions'!$U$141</x:f>
        <x:v>833.5204754524116</x:v>
      </x:c>
      <x:c r="M1655" s="10" t="n">
        <x:f>K1655*'Assumptions'!$V$141</x:f>
        <x:v>0</x:v>
      </x:c>
      <x:c r="N1655" s="10" t="n">
        <x:f>K1655-L1655-M1655</x:f>
        <x:v>26950.495372961308</x:v>
      </x:c>
      <x:c r="O1655" s="10" t="n">
        <x:f>H1655*'Assumptions'!$P$141*'Assumptions'!$Q$141*'Assumptions'!$D$11*(1+'Assumptions'!$D$13)^(13-1)</x:f>
        <x:v>7288.135504395289</x:v>
      </x:c>
      <x:c r="P1655" s="10" t="n">
        <x:f>H1655*'Assumptions'!$R$141*'Assumptions'!$D$11*(1+'Assumptions'!$D$13)^(13-1)</x:f>
        <x:v>0</x:v>
      </x:c>
      <x:c r="Q1655" s="10" t="n">
        <x:f>J1655*'Assumptions'!$S$141</x:f>
        <x:v>0</x:v>
      </x:c>
      <x:c r="R1655" s="10" t="n">
        <x:f>H1655*'Assumptions'!$Y$141*'Assumptions'!$Z$141*'Assumptions'!$D$11*(1+'Assumptions'!$D$13)^(13-1)</x:f>
        <x:v>9370.459934222516</x:v>
      </x:c>
      <x:c r="S1655" s="10" t="n">
        <x:f>IF(I1655=0,0,J1655*'Assumptions'!$W$141+H1655*'Assumptions'!$X$141)</x:f>
        <x:v>2855.35951654653</x:v>
      </x:c>
      <x:c r="T1655" s="10" t="n">
        <x:f>N1655*'Assumptions'!$AA$141</x:f>
        <x:v>1347.5247686480654</x:v>
      </x:c>
      <x:c r="U1655" s="10" t="n">
        <x:f>'Assumptions'!$AE$141*'Assumptions'!$D$11*(1+'Assumptions'!$D$13)^(13-1)</x:f>
        <x:v>0</x:v>
      </x:c>
      <x:c r="V1655" s="10" t="n">
        <x:f>0</x:f>
        <x:v>0</x:v>
      </x:c>
      <x:c r="W1655" s="10" t="n">
        <x:f>H1655*('Assumptions'!$P$141+'Assumptions'!$Y$141)</x:f>
        <x:v>365.12511477878</x:v>
      </x:c>
      <x:c r="X1655" s="10" t="n">
        <x:f>N1655/12*'Assumptions'!$AF$141</x:f>
        <x:v>0</x:v>
      </x:c>
      <x:c r="Y1655" s="10" t="n">
        <x:f>P1655/12</x:f>
        <x:v>0</x:v>
      </x:c>
      <x:c r="Z1655" s="10" t="n">
        <x:f>0</x:f>
        <x:v>0</x:v>
      </x:c>
      <x:c r="AA1655" s="10" t="n">
        <x:f>Z1655*'Assumptions'!$AC$141*'Assumptions'!$D$11*(1+'Assumptions'!$D$13)^(13-1)</x:f>
        <x:v>0</x:v>
      </x:c>
      <x:c r="AB1655" s="10" t="n">
        <x:f>F1655/1</x:f>
        <x:v>472.8193993377651</x:v>
      </x:c>
      <x:c r="AC1655" s="10" t="n">
        <x:f>AB1655/'Assumptions'!$AM$141</x:f>
        <x:v>9456.387986755302</x:v>
      </x:c>
      <x:c r="AD1655" s="10" t="n">
        <x:f>IF(AB1655=0,0,T1655/AB1655)</x:f>
        <x:v>2.8499777516223324</x:v>
      </x:c>
      <x:c r="AE1655" s="10" t="n">
        <x:f>AA1655*'Assumptions'!$D$21</x:f>
        <x:v>0</x:v>
      </x:c>
    </x:row>
    <x:row r="1656" ht="16" customHeight="1">
      <x:c r="A1656" s="1"/>
      <x:c r="B1656" s="1"/>
      <x:c r="C1656" s="1" t="str">
        <x:v>DOT-113</x:v>
      </x:c>
      <x:c r="D1656" s="10" t="str">
        <x:v>Learn Anglais</x:v>
      </x:c>
      <x:c r="E1656" s="10" t="n">
        <x:v>13</x:v>
      </x:c>
      <x:c r="F1656" s="21" t="n">
        <x:f>F1528*(1+'Assumptions'!$M$142)</x:f>
        <x:v>283.69163960265894</x:v>
      </x:c>
      <x:c r="G1656" s="21" t="n">
        <x:f>H1528*'Assumptions'!$K$142</x:f>
        <x:v>592.6086358664129</x:v>
      </x:c>
      <x:c r="H1656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1656+G1656,NA())</x:f>
        <x:v>876.3002754690718</x:v>
      </x:c>
      <x:c r="I1656" s="22" t="n">
        <x:f>'Assumptions'!$H$142*IF('Assumptions'!$O$142=1,1,'Assumptions'!$D$10)*(1+'Assumptions'!$N$142)^(13-1)</x:f>
        <x:v>107.80055253781637</x:v>
      </x:c>
      <x:c r="J1656" s="10" t="n">
        <x:f>H1656*I1656</x:f>
        <x:v>94465.65388460664</x:v>
      </x:c>
      <x:c r="K1656" s="10" t="n">
        <x:f>J1656*'Assumptions'!$T$142</x:f>
        <x:v>28339.696165381993</x:v>
      </x:c>
      <x:c r="L1656" s="10" t="n">
        <x:f>K1656*'Assumptions'!$U$142</x:f>
        <x:v>850.1908849614598</x:v>
      </x:c>
      <x:c r="M1656" s="10" t="n">
        <x:f>K1656*'Assumptions'!$V$142</x:f>
        <x:v>0</x:v>
      </x:c>
      <x:c r="N1656" s="10" t="n">
        <x:f>K1656-L1656-M1656</x:f>
        <x:v>27489.505280420533</x:v>
      </x:c>
      <x:c r="O1656" s="10" t="n">
        <x:f>H1656*'Assumptions'!$P$142*'Assumptions'!$Q$142*'Assumptions'!$D$11*(1+'Assumptions'!$D$13)^(13-1)</x:f>
        <x:v>4372.881302637173</x:v>
      </x:c>
      <x:c r="P1656" s="10" t="n">
        <x:f>H1656*'Assumptions'!$R$142*'Assumptions'!$D$11*(1+'Assumptions'!$D$13)^(13-1)</x:f>
        <x:v>0</x:v>
      </x:c>
      <x:c r="Q1656" s="10" t="n">
        <x:f>J1656*'Assumptions'!$S$142</x:f>
        <x:v>0</x:v>
      </x:c>
      <x:c r="R1656" s="10" t="n">
        <x:f>H1656*'Assumptions'!$Y$142*'Assumptions'!$Z$142*'Assumptions'!$D$11*(1+'Assumptions'!$D$13)^(13-1)</x:f>
        <x:v>5622.275960533507</x:v>
      </x:c>
      <x:c r="S1656" s="10" t="n">
        <x:f>IF(I1656=0,0,J1656*'Assumptions'!$W$142+H1656*'Assumptions'!$X$142)</x:f>
        <x:v>3002.3940452943143</x:v>
      </x:c>
      <x:c r="T1656" s="10" t="n">
        <x:f>N1656*'Assumptions'!$AA$142</x:f>
        <x:v>1374.4752640210268</x:v>
      </x:c>
      <x:c r="U1656" s="10" t="n">
        <x:f>'Assumptions'!$AE$142*'Assumptions'!$D$11*(1+'Assumptions'!$D$13)^(13-1)</x:f>
        <x:v>0</x:v>
      </x:c>
      <x:c r="V1656" s="10" t="n">
        <x:f>0</x:f>
        <x:v>0</x:v>
      </x:c>
      <x:c r="W1656" s="10" t="n">
        <x:f>H1656*('Assumptions'!$P$142+'Assumptions'!$Y$142)</x:f>
        <x:v>219.07506886726796</x:v>
      </x:c>
      <x:c r="X1656" s="10" t="n">
        <x:f>N1656/12*'Assumptions'!$AF$142</x:f>
        <x:v>0</x:v>
      </x:c>
      <x:c r="Y1656" s="10" t="n">
        <x:f>P1656/12</x:f>
        <x:v>0</x:v>
      </x:c>
      <x:c r="Z1656" s="10" t="n">
        <x:f>0</x:f>
        <x:v>0</x:v>
      </x:c>
      <x:c r="AA1656" s="10" t="n">
        <x:f>Z1656*'Assumptions'!$AC$142*'Assumptions'!$D$11*(1+'Assumptions'!$D$13)^(13-1)</x:f>
        <x:v>0</x:v>
      </x:c>
      <x:c r="AB1656" s="10" t="n">
        <x:f>F1656/1</x:f>
        <x:v>283.69163960265894</x:v>
      </x:c>
      <x:c r="AC1656" s="10" t="n">
        <x:f>AB1656/'Assumptions'!$AM$142</x:f>
        <x:v>5673.832792053178</x:v>
      </x:c>
      <x:c r="AD1656" s="10" t="n">
        <x:f>IF(AB1656=0,0,T1656/AB1656)</x:f>
        <x:v>4.844962177757967</x:v>
      </x:c>
      <x:c r="AE1656" s="10" t="n">
        <x:f>AA1656*'Assumptions'!$D$21</x:f>
        <x:v>0</x:v>
      </x:c>
    </x:row>
    <x:row r="1657" ht="16" customHeight="1">
      <x:c r="A1657" s="1"/>
      <x:c r="B1657" s="1"/>
      <x:c r="C1657" s="1" t="str">
        <x:v>DOT-114</x:v>
      </x:c>
      <x:c r="D1657" s="10" t="str">
        <x:v>Learn Anglais</x:v>
      </x:c>
      <x:c r="E1657" s="10" t="n">
        <x:v>13</x:v>
      </x:c>
      <x:c r="F1657" s="21" t="n">
        <x:f>F1529*(1+'Assumptions'!$M$143)</x:f>
        <x:v>398.80598213879085</x:v>
      </x:c>
      <x:c r="G1657" s="21" t="n">
        <x:f>H1529*'Assumptions'!$K$143</x:f>
        <x:v>127.82222190232301</x:v>
      </x:c>
      <x:c r="H1657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1657+G1657,NA())</x:f>
        <x:v>526.6282040411138</x:v>
      </x:c>
      <x:c r="I1657" s="22" t="n">
        <x:f>'Assumptions'!$H$143*IF('Assumptions'!$O$143=1,1,'Assumptions'!$D$10)*(1+'Assumptions'!$N$143)^(13-1)</x:f>
        <x:v>36.779012042313816</x:v>
      </x:c>
      <x:c r="J1657" s="10" t="n">
        <x:f>H1657*I1657</x:f>
        <x:v>19368.865058250223</x:v>
      </x:c>
      <x:c r="K1657" s="10" t="n">
        <x:f>J1657*'Assumptions'!$T$143</x:f>
        <x:v>19368.865058250223</x:v>
      </x:c>
      <x:c r="L1657" s="10" t="n">
        <x:f>K1657*'Assumptions'!$U$143</x:f>
        <x:v>581.0659517475067</x:v>
      </x:c>
      <x:c r="M1657" s="10" t="n">
        <x:f>K1657*'Assumptions'!$V$143</x:f>
        <x:v>0</x:v>
      </x:c>
      <x:c r="N1657" s="10" t="n">
        <x:f>K1657-L1657-M1657</x:f>
        <x:v>18787.799106502716</x:v>
      </x:c>
      <x:c r="O1657" s="10" t="n">
        <x:f>H1657*'Assumptions'!$P$143*'Assumptions'!$Q$143*'Assumptions'!$D$11*(1+'Assumptions'!$D$13)^(13-1)</x:f>
        <x:v>3941.9409499673125</x:v>
      </x:c>
      <x:c r="P1657" s="10" t="n">
        <x:f>H1657*'Assumptions'!$R$143*'Assumptions'!$D$11*(1+'Assumptions'!$D$13)^(13-1)</x:f>
        <x:v>0</x:v>
      </x:c>
      <x:c r="Q1657" s="10" t="n">
        <x:f>J1657*'Assumptions'!$S$143</x:f>
        <x:v>0</x:v>
      </x:c>
      <x:c r="R1657" s="10" t="n">
        <x:f>H1657*'Assumptions'!$Y$143*'Assumptions'!$Z$143*'Assumptions'!$D$11*(1+'Assumptions'!$D$13)^(13-1)</x:f>
        <x:v>2252.5376856956077</x:v>
      </x:c>
      <x:c r="S1657" s="10" t="n">
        <x:f>IF(I1657=0,0,J1657*'Assumptions'!$W$143+H1657*'Assumptions'!$X$143)</x:f>
        <x:v>719.6855479015906</x:v>
      </x:c>
      <x:c r="T1657" s="10" t="n">
        <x:f>N1657*'Assumptions'!$AA$143</x:f>
        <x:v>939.3899553251358</x:v>
      </x:c>
      <x:c r="U1657" s="10" t="n">
        <x:f>'Assumptions'!$AE$143*'Assumptions'!$D$11*(1+'Assumptions'!$D$13)^(13-1)</x:f>
        <x:v>0</x:v>
      </x:c>
      <x:c r="V1657" s="10" t="n">
        <x:f>0</x:f>
        <x:v>0</x:v>
      </x:c>
      <x:c r="W1657" s="10" t="n">
        <x:f>H1657*('Assumptions'!$P$143+'Assumptions'!$Y$143)</x:f>
        <x:v>131.65705101027845</x:v>
      </x:c>
      <x:c r="X1657" s="10" t="n">
        <x:f>N1657/12*'Assumptions'!$AF$143</x:f>
        <x:v>0</x:v>
      </x:c>
      <x:c r="Y1657" s="10" t="n">
        <x:f>P1657/12</x:f>
        <x:v>0</x:v>
      </x:c>
      <x:c r="Z1657" s="10" t="n">
        <x:f>0</x:f>
        <x:v>0</x:v>
      </x:c>
      <x:c r="AA1657" s="10" t="n">
        <x:f>Z1657*'Assumptions'!$AC$143*'Assumptions'!$D$11*(1+'Assumptions'!$D$13)^(13-1)</x:f>
        <x:v>0</x:v>
      </x:c>
      <x:c r="AB1657" s="10" t="n">
        <x:f>F1657/1</x:f>
        <x:v>398.80598213879085</x:v>
      </x:c>
      <x:c r="AC1657" s="10" t="n">
        <x:f>AB1657/'Assumptions'!$AM$143</x:f>
        <x:v>7976.119642775817</x:v>
      </x:c>
      <x:c r="AD1657" s="10" t="n">
        <x:f>IF(AB1657=0,0,T1657/AB1657)</x:f>
        <x:v>2.3555061794389363</x:v>
      </x:c>
      <x:c r="AE1657" s="10" t="n">
        <x:f>AA1657*'Assumptions'!$D$21</x:f>
        <x:v>0</x:v>
      </x:c>
    </x:row>
    <x:row r="1658" ht="16" customHeight="1">
      <x:c r="A1658" s="1"/>
      <x:c r="B1658" s="1"/>
      <x:c r="C1658" s="1" t="str">
        <x:v>DOT-115</x:v>
      </x:c>
      <x:c r="D1658" s="10" t="str">
        <x:v>Learn Anglais</x:v>
      </x:c>
      <x:c r="E1658" s="10" t="n">
        <x:v>13</x:v>
      </x:c>
      <x:c r="F1658" s="21" t="n">
        <x:f>F1530*(1+'Assumptions'!$M$144)</x:f>
        <x:v>189.12775973510603</x:v>
      </x:c>
      <x:c r="G1658" s="21" t="n">
        <x:f>H1530*'Assumptions'!$K$144</x:f>
        <x:v>394.2419466788821</x:v>
      </x:c>
      <x:c r="H1658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1658+G1658,NA())</x:f>
        <x:v>583.3697064139881</x:v>
      </x:c>
      <x:c r="I1658" s="22" t="n">
        <x:f>'Assumptions'!$H$144*IF('Assumptions'!$O$144=1,1,'Assumptions'!$D$10)*(1+'Assumptions'!$N$144)^(13-1)</x:f>
        <x:v>57.07088075531455</x:v>
      </x:c>
      <x:c r="J1658" s="10" t="n">
        <x:f>H1658*I1658</x:f>
        <x:v>33293.42295101557</x:v>
      </x:c>
      <x:c r="K1658" s="10" t="n">
        <x:f>J1658*'Assumptions'!$T$144</x:f>
        <x:v>11097.807650338524</x:v>
      </x:c>
      <x:c r="L1658" s="10" t="n">
        <x:f>K1658*'Assumptions'!$U$144</x:f>
        <x:v>332.9342295101557</x:v>
      </x:c>
      <x:c r="M1658" s="10" t="n">
        <x:f>K1658*'Assumptions'!$V$144</x:f>
        <x:v>0</x:v>
      </x:c>
      <x:c r="N1658" s="10" t="n">
        <x:f>K1658-L1658-M1658</x:f>
        <x:v>10764.873420828368</x:v>
      </x:c>
      <x:c r="O1658" s="10" t="n">
        <x:f>H1658*'Assumptions'!$P$144*'Assumptions'!$Q$144*'Assumptions'!$D$11*(1+'Assumptions'!$D$13)^(13-1)</x:f>
        <x:v>4366.664977374015</x:v>
      </x:c>
      <x:c r="P1658" s="10" t="n">
        <x:f>H1658*'Assumptions'!$R$144*'Assumptions'!$D$11*(1+'Assumptions'!$D$13)^(13-1)</x:f>
        <x:v>0</x:v>
      </x:c>
      <x:c r="Q1658" s="10" t="n">
        <x:f>J1658*'Assumptions'!$S$144</x:f>
        <x:v>0</x:v>
      </x:c>
      <x:c r="R1658" s="10" t="n">
        <x:f>H1658*'Assumptions'!$Y$144*'Assumptions'!$Z$144*'Assumptions'!$D$11*(1+'Assumptions'!$D$13)^(13-1)</x:f>
        <x:v>3742.8556948920127</x:v>
      </x:c>
      <x:c r="S1658" s="10" t="n">
        <x:f>IF(I1658=0,0,J1658*'Assumptions'!$W$144+H1658*'Assumptions'!$X$144)</x:f>
        <x:v>1140.520177503648</x:v>
      </x:c>
      <x:c r="T1658" s="10" t="n">
        <x:f>N1658*'Assumptions'!$AA$144</x:f>
        <x:v>538.2436710414185</x:v>
      </x:c>
      <x:c r="U1658" s="10" t="n">
        <x:f>'Assumptions'!$AE$144*'Assumptions'!$D$11*(1+'Assumptions'!$D$13)^(13-1)</x:f>
        <x:v>0</x:v>
      </x:c>
      <x:c r="V1658" s="10" t="n">
        <x:f>0</x:f>
        <x:v>0</x:v>
      </x:c>
      <x:c r="W1658" s="10" t="n">
        <x:f>H1658*('Assumptions'!$P$144+'Assumptions'!$Y$144)</x:f>
        <x:v>175.01091192419642</x:v>
      </x:c>
      <x:c r="X1658" s="10" t="n">
        <x:f>N1658/12*'Assumptions'!$AF$144</x:f>
        <x:v>0</x:v>
      </x:c>
      <x:c r="Y1658" s="10" t="n">
        <x:f>P1658/12</x:f>
        <x:v>0</x:v>
      </x:c>
      <x:c r="Z1658" s="10" t="n">
        <x:f>0</x:f>
        <x:v>0</x:v>
      </x:c>
      <x:c r="AA1658" s="10" t="n">
        <x:f>Z1658*'Assumptions'!$AC$144*'Assumptions'!$D$11*(1+'Assumptions'!$D$13)^(13-1)</x:f>
        <x:v>0</x:v>
      </x:c>
      <x:c r="AB1658" s="10" t="n">
        <x:f>F1658/1</x:f>
        <x:v>189.12775973510603</x:v>
      </x:c>
      <x:c r="AC1658" s="10" t="n">
        <x:f>AB1658/'Assumptions'!$AM$144</x:f>
        <x:v>3782.5551947021204</x:v>
      </x:c>
      <x:c r="AD1658" s="10" t="n">
        <x:f>IF(AB1658=0,0,T1658/AB1658)</x:f>
        <x:v>2.8459263293515833</x:v>
      </x:c>
      <x:c r="AE1658" s="10" t="n">
        <x:f>AA1658*'Assumptions'!$D$21</x:f>
        <x:v>0</x:v>
      </x:c>
    </x:row>
    <x:row r="1659" ht="16" customHeight="1">
      <x:c r="A1659" s="1"/>
      <x:c r="B1659" s="1"/>
      <x:c r="C1659" s="1" t="str">
        <x:v>DOT-116</x:v>
      </x:c>
      <x:c r="D1659" s="10" t="str">
        <x:v>Fiefé</x:v>
      </x:c>
      <x:c r="E1659" s="10" t="n">
        <x:v>13</x:v>
      </x:c>
      <x:c r="F1659" s="21" t="n">
        <x:f>F1531*(1+'Assumptions'!$M$145)</x:f>
        <x:v>66.97445152380159</x:v>
      </x:c>
      <x:c r="G1659" s="21" t="n">
        <x:f>H1531*'Assumptions'!$K$145</x:f>
        <x:v>27.523579105044266</x:v>
      </x:c>
      <x:c r="H1659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1659+G1659,NA())</x:f>
        <x:v>94.49803062884585</x:v>
      </x:c>
      <x:c r="I1659" s="22" t="n">
        <x:f>'Assumptions'!$H$145*IF('Assumptions'!$O$145=1,1,'Assumptions'!$D$10)*(1+'Assumptions'!$N$145)^(13-1)</x:f>
        <x:v>570.7088075531454</x:v>
      </x:c>
      <x:c r="J1659" s="10" t="n">
        <x:f>H1659*I1659</x:f>
        <x:v>53930.85837630923</x:v>
      </x:c>
      <x:c r="K1659" s="10" t="n">
        <x:f>J1659*'Assumptions'!$T$145</x:f>
        <x:v>53930.85837630923</x:v>
      </x:c>
      <x:c r="L1659" s="10" t="n">
        <x:f>K1659*'Assumptions'!$U$145</x:f>
        <x:v>1617.9257512892768</x:v>
      </x:c>
      <x:c r="M1659" s="10" t="n">
        <x:f>K1659*'Assumptions'!$V$145</x:f>
        <x:v>1078.6171675261846</x:v>
      </x:c>
      <x:c r="N1659" s="10" t="n">
        <x:f>K1659-L1659-M1659</x:f>
        <x:v>51234.315457493765</x:v>
      </x:c>
      <x:c r="O1659" s="10" t="n">
        <x:f>H1659*'Assumptions'!$P$145*'Assumptions'!$Q$145*'Assumptions'!$D$11*(1+'Assumptions'!$D$13)^(13-1)</x:f>
        <x:v>3368.2898988650168</x:v>
      </x:c>
      <x:c r="P1659" s="10" t="n">
        <x:f>H1659*'Assumptions'!$R$145*'Assumptions'!$D$11*(1+'Assumptions'!$D$13)^(13-1)</x:f>
        <x:v>33682.898988650166</x:v>
      </x:c>
      <x:c r="Q1659" s="10" t="n">
        <x:f>J1659*'Assumptions'!$S$145</x:f>
        <x:v>0</x:v>
      </x:c>
      <x:c r="R1659" s="10" t="n">
        <x:f>H1659*'Assumptions'!$Y$145*'Assumptions'!$Z$145*'Assumptions'!$D$11*(1+'Assumptions'!$D$13)^(13-1)</x:f>
        <x:v>606.2921817957031</x:v>
      </x:c>
      <x:c r="S1659" s="10" t="n">
        <x:f>IF(I1659=0,0,J1659*'Assumptions'!$W$145+H1659*'Assumptions'!$X$145)</x:f>
        <x:v>1592.3443021016215</x:v>
      </x:c>
      <x:c r="T1659" s="10" t="n">
        <x:f>N1659*'Assumptions'!$AA$145</x:f>
        <x:v>4098.745236599501</x:v>
      </x:c>
      <x:c r="U1659" s="10" t="n">
        <x:f>'Assumptions'!$AE$145*'Assumptions'!$D$11*(1+'Assumptions'!$D$13)^(13-1)</x:f>
        <x:v>0</x:v>
      </x:c>
      <x:c r="V1659" s="10" t="n">
        <x:f>0</x:f>
        <x:v>0</x:v>
      </x:c>
      <x:c r="W1659" s="10" t="n">
        <x:f>H1659*('Assumptions'!$P$145+'Assumptions'!$Y$145)</x:f>
        <x:v>61.42371990874981</x:v>
      </x:c>
      <x:c r="X1659" s="10" t="n">
        <x:f>N1659/12*'Assumptions'!$AF$145</x:f>
        <x:v>0</x:v>
      </x:c>
      <x:c r="Y1659" s="10" t="n">
        <x:f>P1659/12</x:f>
        <x:v>2806.9082490541805</x:v>
      </x:c>
      <x:c r="Z1659" s="10" t="n">
        <x:f>0</x:f>
        <x:v>0</x:v>
      </x:c>
      <x:c r="AA1659" s="10" t="n">
        <x:f>Z1659*'Assumptions'!$AC$145*'Assumptions'!$D$11*(1+'Assumptions'!$D$13)^(13-1)</x:f>
        <x:v>0</x:v>
      </x:c>
      <x:c r="AB1659" s="10" t="n">
        <x:f>F1659/1</x:f>
        <x:v>66.97445152380159</x:v>
      </x:c>
      <x:c r="AC1659" s="10" t="n">
        <x:f>AB1659/'Assumptions'!$AM$145</x:f>
        <x:v>2232.481717460053</x:v>
      </x:c>
      <x:c r="AD1659" s="10" t="n">
        <x:f>IF(AB1659=0,0,T1659/AB1659)</x:f>
        <x:v>61.19863833663313</x:v>
      </x:c>
      <x:c r="AE1659" s="10" t="n">
        <x:f>AA1659*'Assumptions'!$D$21</x:f>
        <x:v>0</x:v>
      </x:c>
    </x:row>
    <x:row r="1660" ht="16" customHeight="1">
      <x:c r="A1660" s="1"/>
      <x:c r="B1660" s="1"/>
      <x:c r="C1660" s="1" t="str">
        <x:v>DOT-117</x:v>
      </x:c>
      <x:c r="D1660" s="10" t="str">
        <x:v>Fiefé</x:v>
      </x:c>
      <x:c r="E1660" s="10" t="n">
        <x:v>13</x:v>
      </x:c>
      <x:c r="F1660" s="21" t="n">
        <x:f>F1532*(1+'Assumptions'!$M$146)</x:f>
        <x:v>83.71806440475201</x:v>
      </x:c>
      <x:c r="G1660" s="21" t="n">
        <x:f>H1532*'Assumptions'!$K$146</x:f>
        <x:v>34.404473881305336</x:v>
      </x:c>
      <x:c r="H1660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1660+G1660,NA())</x:f>
        <x:v>118.12253828605735</x:v>
      </x:c>
      <x:c r="I1660" s="22" t="n">
        <x:f>'Assumptions'!$H$146*IF('Assumptions'!$O$146=1,1,'Assumptions'!$D$10)*(1+'Assumptions'!$N$146)^(13-1)</x:f>
        <x:v>221.94231404844547</x:v>
      </x:c>
      <x:c r="J1660" s="10" t="n">
        <x:f>H1660*I1660</x:f>
        <x:v>26216.389488483663</x:v>
      </x:c>
      <x:c r="K1660" s="10" t="n">
        <x:f>J1660*'Assumptions'!$T$146</x:f>
        <x:v>26216.389488483663</x:v>
      </x:c>
      <x:c r="L1660" s="10" t="n">
        <x:f>K1660*'Assumptions'!$U$146</x:f>
        <x:v>786.4916846545099</x:v>
      </x:c>
      <x:c r="M1660" s="10" t="n">
        <x:f>K1660*'Assumptions'!$V$146</x:f>
        <x:v>524.3277897696732</x:v>
      </x:c>
      <x:c r="N1660" s="10" t="n">
        <x:f>K1660-L1660-M1660</x:f>
        <x:v>24905.57001405948</x:v>
      </x:c>
      <x:c r="O1660" s="10" t="n">
        <x:f>H1660*'Assumptions'!$P$146*'Assumptions'!$Q$146*'Assumptions'!$D$11*(1+'Assumptions'!$D$13)^(13-1)</x:f>
        <x:v>1894.6630681115726</x:v>
      </x:c>
      <x:c r="P1660" s="10" t="n">
        <x:f>H1660*'Assumptions'!$R$146*'Assumptions'!$D$11*(1+'Assumptions'!$D$13)^(13-1)</x:f>
        <x:v>13473.159595460073</x:v>
      </x:c>
      <x:c r="Q1660" s="10" t="n">
        <x:f>J1660*'Assumptions'!$S$146</x:f>
        <x:v>0</x:v>
      </x:c>
      <x:c r="R1660" s="10" t="n">
        <x:f>H1660*'Assumptions'!$Y$146*'Assumptions'!$Z$146*'Assumptions'!$D$11*(1+'Assumptions'!$D$13)^(13-1)</x:f>
        <x:v>757.865227244629</x:v>
      </x:c>
      <x:c r="S1660" s="10" t="n">
        <x:f>IF(I1660=0,0,J1660*'Assumptions'!$W$146+H1660*'Assumptions'!$X$146)</x:f>
        <x:v>795.7120566518435</x:v>
      </x:c>
      <x:c r="T1660" s="10" t="n">
        <x:f>N1660*'Assumptions'!$AA$146</x:f>
        <x:v>1992.4456011247587</x:v>
      </x:c>
      <x:c r="U1660" s="10" t="n">
        <x:f>'Assumptions'!$AE$146*'Assumptions'!$D$11*(1+'Assumptions'!$D$13)^(13-1)</x:f>
        <x:v>0</x:v>
      </x:c>
      <x:c r="V1660" s="10" t="n">
        <x:f>0</x:f>
        <x:v>0</x:v>
      </x:c>
      <x:c r="W1660" s="10" t="n">
        <x:f>H1660*('Assumptions'!$P$146+'Assumptions'!$Y$146)</x:f>
        <x:v>47.24901531442294</x:v>
      </x:c>
      <x:c r="X1660" s="10" t="n">
        <x:f>N1660/12*'Assumptions'!$AF$146</x:f>
        <x:v>0</x:v>
      </x:c>
      <x:c r="Y1660" s="10" t="n">
        <x:f>P1660/12</x:f>
        <x:v>1122.7632996216728</x:v>
      </x:c>
      <x:c r="Z1660" s="10" t="n">
        <x:f>0</x:f>
        <x:v>0</x:v>
      </x:c>
      <x:c r="AA1660" s="10" t="n">
        <x:f>Z1660*'Assumptions'!$AC$146*'Assumptions'!$D$11*(1+'Assumptions'!$D$13)^(13-1)</x:f>
        <x:v>0</x:v>
      </x:c>
      <x:c r="AB1660" s="10" t="n">
        <x:f>F1660/1</x:f>
        <x:v>83.71806440475201</x:v>
      </x:c>
      <x:c r="AC1660" s="10" t="n">
        <x:f>AB1660/'Assumptions'!$AM$146</x:f>
        <x:v>2790.6021468250674</x:v>
      </x:c>
      <x:c r="AD1660" s="10" t="n">
        <x:f>IF(AB1660=0,0,T1660/AB1660)</x:f>
        <x:v>23.799470464246223</x:v>
      </x:c>
      <x:c r="AE1660" s="10" t="n">
        <x:f>AA1660*'Assumptions'!$D$21</x:f>
        <x:v>0</x:v>
      </x:c>
    </x:row>
    <x:row r="1661" ht="16" customHeight="1">
      <x:c r="A1661" s="1"/>
      <x:c r="B1661" s="1"/>
      <x:c r="C1661" s="1" t="str">
        <x:v>DOT-118</x:v>
      </x:c>
      <x:c r="D1661" s="10" t="str">
        <x:v>Fiefé Design</x:v>
      </x:c>
      <x:c r="E1661" s="10" t="n">
        <x:v>13</x:v>
      </x:c>
      <x:c r="F1661" s="21" t="n">
        <x:f>F1533*(1+'Assumptions'!$M$147)</x:f>
        <x:v>11.162408587300268</x:v>
      </x:c>
      <x:c r="G1661" s="21" t="n">
        <x:f>H1533*'Assumptions'!$K$147</x:f>
        <x:v>4.587263184174045</x:v>
      </x:c>
      <x:c r="H1661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1661+G1661,NA())</x:f>
        <x:v>15.749671771474313</x:v>
      </x:c>
      <x:c r="I1661" s="22" t="n">
        <x:f>'Assumptions'!$H$147*IF('Assumptions'!$O$147=1,1,'Assumptions'!$D$10)*(1+'Assumptions'!$N$147)^(13-1)</x:f>
        <x:v>3170.604486406364</x:v>
      </x:c>
      <x:c r="J1661" s="10" t="n">
        <x:f>H1661*I1661</x:f>
        <x:v>49935.97997806412</x:v>
      </x:c>
      <x:c r="K1661" s="10" t="n">
        <x:f>J1661*'Assumptions'!$T$147</x:f>
        <x:v>49935.97997806412</x:v>
      </x:c>
      <x:c r="L1661" s="10" t="n">
        <x:f>K1661*'Assumptions'!$U$147</x:f>
        <x:v>1498.0793993419236</x:v>
      </x:c>
      <x:c r="M1661" s="10" t="n">
        <x:f>K1661*'Assumptions'!$V$147</x:f>
        <x:v>998.7195995612824</x:v>
      </x:c>
      <x:c r="N1661" s="10" t="n">
        <x:f>K1661-L1661-M1661</x:f>
        <x:v>47439.18097916091</x:v>
      </x:c>
      <x:c r="O1661" s="10" t="n">
        <x:f>H1661*'Assumptions'!$P$147*'Assumptions'!$Q$147*'Assumptions'!$D$11*(1+'Assumptions'!$D$13)^(13-1)</x:f>
        <x:v>10778.527676368058</x:v>
      </x:c>
      <x:c r="P1661" s="10" t="n">
        <x:f>H1661*'Assumptions'!$R$147*'Assumptions'!$D$11*(1+'Assumptions'!$D$13)^(13-1)</x:f>
        <x:v>20209.739393190106</x:v>
      </x:c>
      <x:c r="Q1661" s="10" t="n">
        <x:f>J1661*'Assumptions'!$S$147</x:f>
        <x:v>0</x:v>
      </x:c>
      <x:c r="R1661" s="10" t="n">
        <x:f>H1661*'Assumptions'!$Y$147*'Assumptions'!$Z$147*'Assumptions'!$D$11*(1+'Assumptions'!$D$13)^(13-1)</x:f>
        <x:v>101.04869696595053</x:v>
      </x:c>
      <x:c r="S1661" s="10" t="n">
        <x:f>IF(I1661=0,0,J1661*'Assumptions'!$W$147+H1661*'Assumptions'!$X$147)</x:f>
        <x:v>1452.8683208953018</x:v>
      </x:c>
      <x:c r="T1661" s="10" t="n">
        <x:f>N1661*'Assumptions'!$AA$147</x:f>
        <x:v>3795.134478332873</x:v>
      </x:c>
      <x:c r="U1661" s="10" t="n">
        <x:f>'Assumptions'!$AE$147*'Assumptions'!$D$11*(1+'Assumptions'!$D$13)^(13-1)</x:f>
        <x:v>0</x:v>
      </x:c>
      <x:c r="V1661" s="10" t="n">
        <x:f>0</x:f>
        <x:v>0</x:v>
      </x:c>
      <x:c r="W1661" s="10" t="n">
        <x:f>H1661*('Assumptions'!$P$147+'Assumptions'!$Y$147)</x:f>
        <x:v>128.35982493751567</x:v>
      </x:c>
      <x:c r="X1661" s="10" t="n">
        <x:f>N1661/12*'Assumptions'!$AF$147</x:f>
        <x:v>0</x:v>
      </x:c>
      <x:c r="Y1661" s="10" t="n">
        <x:f>P1661/12</x:f>
        <x:v>1684.1449494325088</x:v>
      </x:c>
      <x:c r="Z1661" s="10" t="n">
        <x:f>0</x:f>
        <x:v>0</x:v>
      </x:c>
      <x:c r="AA1661" s="10" t="n">
        <x:f>Z1661*'Assumptions'!$AC$147*'Assumptions'!$D$11*(1+'Assumptions'!$D$13)^(13-1)</x:f>
        <x:v>0</x:v>
      </x:c>
      <x:c r="AB1661" s="10" t="n">
        <x:f>F1661/1</x:f>
        <x:v>11.162408587300268</x:v>
      </x:c>
      <x:c r="AC1661" s="10" t="n">
        <x:f>AB1661/'Assumptions'!$AM$147</x:f>
        <x:v>372.0802862433423</x:v>
      </x:c>
      <x:c r="AD1661" s="10" t="n">
        <x:f>IF(AB1661=0,0,T1661/AB1661)</x:f>
        <x:v>339.99243520351746</x:v>
      </x:c>
      <x:c r="AE1661" s="10" t="n">
        <x:f>AA1661*'Assumptions'!$D$21</x:f>
        <x:v>0</x:v>
      </x:c>
    </x:row>
    <x:row r="1662" ht="16" customHeight="1">
      <x:c r="A1662" s="1"/>
      <x:c r="B1662" s="1"/>
      <x:c r="C1662" s="1" t="str">
        <x:v>DOT-119</x:v>
      </x:c>
      <x:c r="D1662" s="10" t="str">
        <x:v>OsezArt</x:v>
      </x:c>
      <x:c r="E1662" s="10" t="n">
        <x:v>13</x:v>
      </x:c>
      <x:c r="F1662" s="21" t="n">
        <x:f>F1534*(1+'Assumptions'!$M$148)</x:f>
        <x:v>9.4563879867553</x:v>
      </x:c>
      <x:c r="G1662" s="21" t="n">
        <x:f>H1534*'Assumptions'!$K$148</x:f>
        <x:v>19.7120973339441</x:v>
      </x:c>
      <x:c r="H1662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1662+G1662,NA())</x:f>
        <x:v>29.1684853206994</x:v>
      </x:c>
      <x:c r="I1662" s="22" t="n">
        <x:f>'Assumptions'!$H$148*IF('Assumptions'!$O$148=1,1,'Assumptions'!$D$10)*(1+'Assumptions'!$N$148)^(13-1)</x:f>
        <x:v>6341.208972812728</x:v>
      </x:c>
      <x:c r="J1662" s="10" t="n">
        <x:f>H1662*I1662</x:f>
        <x:v>184963.46083897536</x:v>
      </x:c>
      <x:c r="K1662" s="10" t="n">
        <x:f>J1662*'Assumptions'!$T$148</x:f>
        <x:v>36992.692167795074</x:v>
      </x:c>
      <x:c r="L1662" s="10" t="n">
        <x:f>K1662*'Assumptions'!$U$148</x:f>
        <x:v>1109.7807650338523</x:v>
      </x:c>
      <x:c r="M1662" s="10" t="n">
        <x:f>K1662*'Assumptions'!$V$148</x:f>
        <x:v>0</x:v>
      </x:c>
      <x:c r="N1662" s="10" t="n">
        <x:f>K1662-L1662-M1662</x:f>
        <x:v>35882.91140276122</x:v>
      </x:c>
      <x:c r="O1662" s="10" t="n">
        <x:f>H1662*'Assumptions'!$P$148*'Assumptions'!$Q$148*'Assumptions'!$D$11*(1+'Assumptions'!$D$13)^(13-1)</x:f>
        <x:v>9980.948519712034</x:v>
      </x:c>
      <x:c r="P1662" s="10" t="n">
        <x:f>H1662*'Assumptions'!$R$148*'Assumptions'!$D$11*(1+'Assumptions'!$D$13)^(13-1)</x:f>
        <x:v>0</x:v>
      </x:c>
      <x:c r="Q1662" s="10" t="n">
        <x:f>J1662*'Assumptions'!$S$148</x:f>
        <x:v>0</x:v>
      </x:c>
      <x:c r="R1662" s="10" t="n">
        <x:f>H1662*'Assumptions'!$Y$148*'Assumptions'!$Z$148*'Assumptions'!$D$11*(1+'Assumptions'!$D$13)^(13-1)</x:f>
        <x:v>187.14278474460062</x:v>
      </x:c>
      <x:c r="S1662" s="10" t="n">
        <x:f>IF(I1662=0,0,J1662*'Assumptions'!$W$148+H1662*'Assumptions'!$X$148)</x:f>
        <x:v>5372.690909926496</x:v>
      </x:c>
      <x:c r="T1662" s="10" t="n">
        <x:f>N1662*'Assumptions'!$AA$148</x:f>
        <x:v>1794.1455701380612</x:v>
      </x:c>
      <x:c r="U1662" s="10" t="n">
        <x:f>'Assumptions'!$AE$148*'Assumptions'!$D$11*(1+'Assumptions'!$D$13)^(13-1)</x:f>
        <x:v>0</x:v>
      </x:c>
      <x:c r="V1662" s="10" t="n">
        <x:f>0</x:f>
        <x:v>0</x:v>
      </x:c>
      <x:c r="W1662" s="10" t="n">
        <x:f>H1662*('Assumptions'!$P$148+'Assumptions'!$Y$148)</x:f>
        <x:v>121.04921408090252</x:v>
      </x:c>
      <x:c r="X1662" s="10" t="n">
        <x:f>N1662/12*'Assumptions'!$AF$148</x:f>
        <x:v>0</x:v>
      </x:c>
      <x:c r="Y1662" s="10" t="n">
        <x:f>P1662/12</x:f>
        <x:v>0</x:v>
      </x:c>
      <x:c r="Z1662" s="10" t="n">
        <x:f>0</x:f>
        <x:v>0</x:v>
      </x:c>
      <x:c r="AA1662" s="10" t="n">
        <x:f>Z1662*'Assumptions'!$AC$148*'Assumptions'!$D$11*(1+'Assumptions'!$D$13)^(13-1)</x:f>
        <x:v>0</x:v>
      </x:c>
      <x:c r="AB1662" s="10" t="n">
        <x:f>F1662/1</x:f>
        <x:v>9.4563879867553</x:v>
      </x:c>
      <x:c r="AC1662" s="10" t="n">
        <x:f>AB1662/'Assumptions'!$AM$148</x:f>
        <x:v>189.12775973510597</x:v>
      </x:c>
      <x:c r="AD1662" s="10" t="n">
        <x:f>IF(AB1662=0,0,T1662/AB1662)</x:f>
        <x:v>189.72842195677222</x:v>
      </x:c>
      <x:c r="AE1662" s="10" t="n">
        <x:f>AA1662*'Assumptions'!$D$21</x:f>
        <x:v>0</x:v>
      </x:c>
    </x:row>
    <x:row r="1663" ht="16" customHeight="1">
      <x:c r="A1663" s="1"/>
      <x:c r="B1663" s="1"/>
      <x:c r="C1663" s="1" t="str">
        <x:v>DOT-120</x:v>
      </x:c>
      <x:c r="D1663" s="10" t="str">
        <x:v>OsezArt</x:v>
      </x:c>
      <x:c r="E1663" s="10" t="n">
        <x:v>13</x:v>
      </x:c>
      <x:c r="F1663" s="21" t="n">
        <x:f>F1535*(1+'Assumptions'!$M$149)</x:f>
        <x:v>5.564034228478829</x:v>
      </x:c>
      <x:c r="G1663" s="21" t="n">
        <x:f>H1535*'Assumptions'!$K$149</x:f>
        <x:v>5.246956358676961</x:v>
      </x:c>
      <x:c r="H1663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1663+G1663,NA())</x:f>
        <x:v>10.81099058715579</x:v>
      </x:c>
      <x:c r="I1663" s="22" t="n">
        <x:f>'Assumptions'!$H$149*IF('Assumptions'!$O$149=1,1,'Assumptions'!$D$10)*(1+'Assumptions'!$N$149)^(13-1)</x:f>
        <x:v>6341.208972812728</x:v>
      </x:c>
      <x:c r="J1663" s="10" t="n">
        <x:f>H1663*I1663</x:f>
        <x:v>68554.75051626623</x:v>
      </x:c>
      <x:c r="K1663" s="10" t="n">
        <x:f>J1663*'Assumptions'!$T$149</x:f>
        <x:v>68554.75051626623</x:v>
      </x:c>
      <x:c r="L1663" s="10" t="n">
        <x:f>K1663*'Assumptions'!$U$149</x:f>
        <x:v>2056.6425154879867</x:v>
      </x:c>
      <x:c r="M1663" s="10" t="n">
        <x:f>K1663*'Assumptions'!$V$149</x:f>
        <x:v>0</x:v>
      </x:c>
      <x:c r="N1663" s="10" t="n">
        <x:f>K1663-L1663-M1663</x:f>
        <x:v>66498.10800077824</x:v>
      </x:c>
      <x:c r="O1663" s="10" t="n">
        <x:f>H1663*'Assumptions'!$P$149*'Assumptions'!$Q$149*'Assumptions'!$D$11*(1+'Assumptions'!$D$13)^(13-1)</x:f>
        <x:v>30057.08067809642</x:v>
      </x:c>
      <x:c r="P1663" s="10" t="n">
        <x:f>H1663*'Assumptions'!$R$149*'Assumptions'!$D$11*(1+'Assumptions'!$D$13)^(13-1)</x:f>
        <x:v>3853.471881807234</x:v>
      </x:c>
      <x:c r="Q1663" s="10" t="n">
        <x:f>J1663*'Assumptions'!$S$149</x:f>
        <x:v>0</x:v>
      </x:c>
      <x:c r="R1663" s="10" t="n">
        <x:f>H1663*'Assumptions'!$Y$149*'Assumptions'!$Z$149*'Assumptions'!$D$11*(1+'Assumptions'!$D$13)^(13-1)</x:f>
        <x:v>115.604156454217</x:v>
      </x:c>
      <x:c r="S1663" s="10" t="n">
        <x:f>IF(I1663=0,0,J1663*'Assumptions'!$W$149+H1663*'Assumptions'!$X$149)</x:f>
        <x:v>1991.3310621478674</x:v>
      </x:c>
      <x:c r="T1663" s="10" t="n">
        <x:f>N1663*'Assumptions'!$AA$149</x:f>
        <x:v>2659.92432003113</x:v>
      </x:c>
      <x:c r="U1663" s="10" t="n">
        <x:f>'Assumptions'!$AE$149*'Assumptions'!$D$11*(1+'Assumptions'!$D$13)^(13-1)</x:f>
        <x:v>0</x:v>
      </x:c>
      <x:c r="V1663" s="10" t="n">
        <x:f>0</x:f>
        <x:v>0</x:v>
      </x:c>
      <x:c r="W1663" s="10" t="n">
        <x:f>H1663*('Assumptions'!$P$149+'Assumptions'!$Y$149)</x:f>
        <x:v>327.0324652614626</x:v>
      </x:c>
      <x:c r="X1663" s="10" t="n">
        <x:f>N1663/12*'Assumptions'!$AF$149</x:f>
        <x:v>5541.509000064853</x:v>
      </x:c>
      <x:c r="Y1663" s="10" t="n">
        <x:f>P1663/12</x:f>
        <x:v>321.1226568172695</x:v>
      </x:c>
      <x:c r="Z1663" s="10" t="n">
        <x:f>0</x:f>
        <x:v>0</x:v>
      </x:c>
      <x:c r="AA1663" s="10" t="n">
        <x:f>Z1663*'Assumptions'!$AC$149*'Assumptions'!$D$11*(1+'Assumptions'!$D$13)^(13-1)</x:f>
        <x:v>0</x:v>
      </x:c>
      <x:c r="AB1663" s="10" t="n">
        <x:f>F1663/1</x:f>
        <x:v>5.564034228478829</x:v>
      </x:c>
      <x:c r="AC1663" s="10" t="n">
        <x:f>AB1663/'Assumptions'!$AM$149</x:f>
        <x:v>27.820171142394145</x:v>
      </x:c>
      <x:c r="AD1663" s="10" t="n">
        <x:f>IF(AB1663=0,0,T1663/AB1663)</x:f>
        <x:v>478.05678592281697</x:v>
      </x:c>
      <x:c r="AE1663" s="10" t="n">
        <x:f>AA1663*'Assumptions'!$D$21</x:f>
        <x:v>0</x:v>
      </x:c>
    </x:row>
    <x:row r="1664" ht="16" customHeight="1">
      <x:c r="A1664" s="1"/>
      <x:c r="B1664" s="1"/>
      <x:c r="C1664" s="1" t="str">
        <x:v>DOT-121</x:v>
      </x:c>
      <x:c r="D1664" s="10" t="str">
        <x:v>OsezArt</x:v>
      </x:c>
      <x:c r="E1664" s="10" t="n">
        <x:v>13</x:v>
      </x:c>
      <x:c r="F1664" s="21" t="n">
        <x:f>F1536*(1+'Assumptions'!$M$150)</x:f>
        <x:v>5.564034228478829</x:v>
      </x:c>
      <x:c r="G1664" s="21" t="n">
        <x:f>H1536*'Assumptions'!$K$150</x:f>
        <x:v>5.246590147739461</x:v>
      </x:c>
      <x:c r="H1664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1664+G1664,NA())</x:f>
        <x:v>10.81062437621829</x:v>
      </x:c>
      <x:c r="I1664" s="22" t="n">
        <x:f>'Assumptions'!$H$150*IF('Assumptions'!$O$150=1,1,'Assumptions'!$D$10)*(1+'Assumptions'!$N$150)^(13-1)</x:f>
        <x:v>3804.7253836876366</x:v>
      </x:c>
      <x:c r="J1664" s="10" t="n">
        <x:f>H1664*I1664</x:f>
        <x:v>41131.45697771005</x:v>
      </x:c>
      <x:c r="K1664" s="10" t="n">
        <x:f>J1664*'Assumptions'!$T$150</x:f>
        <x:v>41131.45697771005</x:v>
      </x:c>
      <x:c r="L1664" s="10" t="n">
        <x:f>K1664*'Assumptions'!$U$150</x:f>
        <x:v>1233.9437093313013</x:v>
      </x:c>
      <x:c r="M1664" s="10" t="n">
        <x:f>K1664*'Assumptions'!$V$150</x:f>
        <x:v>0</x:v>
      </x:c>
      <x:c r="N1664" s="10" t="n">
        <x:f>K1664-L1664-M1664</x:f>
        <x:v>39897.513268378745</x:v>
      </x:c>
      <x:c r="O1664" s="10" t="n">
        <x:f>H1664*'Assumptions'!$P$150*'Assumptions'!$Q$150*'Assumptions'!$D$11*(1+'Assumptions'!$D$13)^(13-1)</x:f>
        <x:v>18033.637515657556</x:v>
      </x:c>
      <x:c r="P1664" s="10" t="n">
        <x:f>H1664*'Assumptions'!$R$150*'Assumptions'!$D$11*(1+'Assumptions'!$D$13)^(13-1)</x:f>
        <x:v>3082.6730795995823</x:v>
      </x:c>
      <x:c r="Q1664" s="10" t="n">
        <x:f>J1664*'Assumptions'!$S$150</x:f>
        <x:v>0</x:v>
      </x:c>
      <x:c r="R1664" s="10" t="n">
        <x:f>H1664*'Assumptions'!$Y$150*'Assumptions'!$Z$150*'Assumptions'!$D$11*(1+'Assumptions'!$D$13)^(13-1)</x:f>
        <x:v>115.60024048498433</x:v>
      </x:c>
      <x:c r="S1664" s="10" t="n">
        <x:f>IF(I1664=0,0,J1664*'Assumptions'!$W$150+H1664*'Assumptions'!$X$150)</x:f>
        <x:v>1196.055439666457</x:v>
      </x:c>
      <x:c r="T1664" s="10" t="n">
        <x:f>N1664*'Assumptions'!$AA$150</x:f>
        <x:v>1595.90053073515</x:v>
      </x:c>
      <x:c r="U1664" s="10" t="n">
        <x:f>'Assumptions'!$AE$150*'Assumptions'!$D$11*(1+'Assumptions'!$D$13)^(13-1)</x:f>
        <x:v>0</x:v>
      </x:c>
      <x:c r="V1664" s="10" t="n">
        <x:f>0</x:f>
        <x:v>0</x:v>
      </x:c>
      <x:c r="W1664" s="10" t="n">
        <x:f>H1664*('Assumptions'!$P$150+'Assumptions'!$Y$150)</x:f>
        <x:v>197.2938948659838</x:v>
      </x:c>
      <x:c r="X1664" s="10" t="n">
        <x:f>N1664/12*'Assumptions'!$AF$150</x:f>
        <x:v>3324.7927723648954</x:v>
      </x:c>
      <x:c r="Y1664" s="10" t="n">
        <x:f>P1664/12</x:f>
        <x:v>256.8894232999652</x:v>
      </x:c>
      <x:c r="Z1664" s="10" t="n">
        <x:f>0</x:f>
        <x:v>0</x:v>
      </x:c>
      <x:c r="AA1664" s="10" t="n">
        <x:f>Z1664*'Assumptions'!$AC$150*'Assumptions'!$D$11*(1+'Assumptions'!$D$13)^(13-1)</x:f>
        <x:v>0</x:v>
      </x:c>
      <x:c r="AB1664" s="10" t="n">
        <x:f>F1664/1</x:f>
        <x:v>5.564034228478829</x:v>
      </x:c>
      <x:c r="AC1664" s="10" t="n">
        <x:f>AB1664/'Assumptions'!$AM$150</x:f>
        <x:v>27.820171142394145</x:v>
      </x:c>
      <x:c r="AD1664" s="10" t="n">
        <x:f>IF(AB1664=0,0,T1664/AB1664)</x:f>
        <x:v>286.82435535114575</x:v>
      </x:c>
      <x:c r="AE1664" s="10" t="n">
        <x:f>AA1664*'Assumptions'!$D$21</x:f>
        <x:v>0</x:v>
      </x:c>
    </x:row>
    <x:row r="1665" ht="16" customHeight="1">
      <x:c r="A1665" s="1"/>
      <x:c r="B1665" s="1"/>
      <x:c r="C1665" s="1" t="str">
        <x:v>DOT-122</x:v>
      </x:c>
      <x:c r="D1665" s="10" t="str">
        <x:v>OsezArt</x:v>
      </x:c>
      <x:c r="E1665" s="10" t="n">
        <x:v>13</x:v>
      </x:c>
      <x:c r="F1665" s="21" t="n">
        <x:f>F1537*(1+'Assumptions'!$M$151)</x:f>
        <x:v>1.85467807615961</x:v>
      </x:c>
      <x:c r="G1665" s="21" t="n">
        <x:f>H1537*'Assumptions'!$K$151</x:f>
        <x:v>1.7488633825798208</x:v>
      </x:c>
      <x:c r="H1665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1665+G1665,NA())</x:f>
        <x:v>3.6035414587394308</x:v>
      </x:c>
      <x:c r="I1665" s="22" t="n">
        <x:f>'Assumptions'!$H$151*IF('Assumptions'!$O$151=1,1,'Assumptions'!$D$10)*(1+'Assumptions'!$N$151)^(13-1)</x:f>
        <x:v>12682.417945625455</x:v>
      </x:c>
      <x:c r="J1665" s="10" t="n">
        <x:f>H1665*I1665</x:f>
        <x:v>45701.61886412229</x:v>
      </x:c>
      <x:c r="K1665" s="10" t="n">
        <x:f>J1665*'Assumptions'!$T$151</x:f>
        <x:v>45701.61886412229</x:v>
      </x:c>
      <x:c r="L1665" s="10" t="n">
        <x:f>K1665*'Assumptions'!$U$151</x:f>
        <x:v>1371.0485659236688</x:v>
      </x:c>
      <x:c r="M1665" s="10" t="n">
        <x:f>K1665*'Assumptions'!$V$151</x:f>
        <x:v>0</x:v>
      </x:c>
      <x:c r="N1665" s="10" t="n">
        <x:f>K1665-L1665-M1665</x:f>
        <x:v>44330.570298198625</x:v>
      </x:c>
      <x:c r="O1665" s="10" t="n">
        <x:f>H1665*'Assumptions'!$P$151*'Assumptions'!$Q$151*'Assumptions'!$D$11*(1+'Assumptions'!$D$13)^(13-1)</x:f>
        <x:v>20037.37501739729</x:v>
      </x:c>
      <x:c r="P1665" s="10" t="n">
        <x:f>H1665*'Assumptions'!$R$151*'Assumptions'!$D$11*(1+'Assumptions'!$D$13)^(13-1)</x:f>
        <x:v>2568.8942329996526</x:v>
      </x:c>
      <x:c r="Q1665" s="10" t="n">
        <x:f>J1665*'Assumptions'!$S$151</x:f>
        <x:v>0</x:v>
      </x:c>
      <x:c r="R1665" s="10" t="n">
        <x:f>H1665*'Assumptions'!$Y$151*'Assumptions'!$Z$151*'Assumptions'!$D$11*(1+'Assumptions'!$D$13)^(13-1)</x:f>
        <x:v>38.53341349499479</x:v>
      </x:c>
      <x:c r="S1665" s="10" t="n">
        <x:f>IF(I1665=0,0,J1665*'Assumptions'!$W$151+H1665*'Assumptions'!$X$151)</x:f>
        <x:v>1326.4280094971682</x:v>
      </x:c>
      <x:c r="T1665" s="10" t="n">
        <x:f>N1665*'Assumptions'!$AA$151</x:f>
        <x:v>1773.222811927945</x:v>
      </x:c>
      <x:c r="U1665" s="10" t="n">
        <x:f>'Assumptions'!$AE$151*'Assumptions'!$D$11*(1+'Assumptions'!$D$13)^(13-1)</x:f>
        <x:v>0</x:v>
      </x:c>
      <x:c r="V1665" s="10" t="n">
        <x:f>0</x:f>
        <x:v>0</x:v>
      </x:c>
      <x:c r="W1665" s="10" t="n">
        <x:f>H1665*('Assumptions'!$P$151+'Assumptions'!$Y$151)</x:f>
        <x:v>217.1133728890507</x:v>
      </x:c>
      <x:c r="X1665" s="10" t="n">
        <x:f>N1665/12*'Assumptions'!$AF$151</x:f>
        <x:v>3694.214191516552</x:v>
      </x:c>
      <x:c r="Y1665" s="10" t="n">
        <x:f>P1665/12</x:f>
        <x:v>214.0745194166377</x:v>
      </x:c>
      <x:c r="Z1665" s="10" t="n">
        <x:f>0</x:f>
        <x:v>0</x:v>
      </x:c>
      <x:c r="AA1665" s="10" t="n">
        <x:f>Z1665*'Assumptions'!$AC$151*'Assumptions'!$D$11*(1+'Assumptions'!$D$13)^(13-1)</x:f>
        <x:v>0</x:v>
      </x:c>
      <x:c r="AB1665" s="10" t="n">
        <x:f>F1665/1</x:f>
        <x:v>1.85467807615961</x:v>
      </x:c>
      <x:c r="AC1665" s="10" t="n">
        <x:f>AB1665/'Assumptions'!$AM$151</x:f>
        <x:v>9.27339038079805</x:v>
      </x:c>
      <x:c r="AD1665" s="10" t="n">
        <x:f>IF(AB1665=0,0,T1665/AB1665)</x:f>
        <x:v>956.0811845038195</x:v>
      </x:c>
      <x:c r="AE1665" s="10" t="n">
        <x:f>AA1665*'Assumptions'!$D$21</x:f>
        <x:v>0</x:v>
      </x:c>
    </x:row>
    <x:row r="1666" ht="16" customHeight="1">
      <x:c r="A1666" s="1"/>
      <x:c r="B1666" s="1"/>
      <x:c r="C1666" s="1" t="str">
        <x:v>DOT-123</x:v>
      </x:c>
      <x:c r="D1666" s="10" t="str">
        <x:v>FinBot research</x:v>
      </x:c>
      <x:c r="E1666" s="10" t="n">
        <x:v>13</x:v>
      </x:c>
      <x:c r="F1666" s="21" t="n">
        <x:f>F1538*(1+'Assumptions'!$M$152)</x:f>
        <x:v>199.40299106939543</x:v>
      </x:c>
      <x:c r="G1666" s="21" t="n">
        <x:f>H1538*'Assumptions'!$K$152</x:f>
        <x:v>63.91110916302216</x:v>
      </x:c>
      <x:c r="H1666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1666+G1666,NA())</x:f>
        <x:v>263.31410023241756</x:v>
      </x:c>
      <x:c r="I1666" s="22" t="n">
        <x:f>'Assumptions'!$H$152*IF('Assumptions'!$O$152=1,1,'Assumptions'!$D$10)*(1+'Assumptions'!$N$152)^(13-1)</x:f>
        <x:v>36.779012042313816</x:v>
      </x:c>
      <x:c r="J1666" s="10" t="n">
        <x:f>H1666*I1666</x:f>
        <x:v>9684.432463359113</x:v>
      </x:c>
      <x:c r="K1666" s="10" t="n">
        <x:f>J1666*'Assumptions'!$T$152</x:f>
        <x:v>9684.432463359113</x:v>
      </x:c>
      <x:c r="L1666" s="10" t="n">
        <x:f>K1666*'Assumptions'!$U$152</x:f>
        <x:v>290.53297390077336</x:v>
      </x:c>
      <x:c r="M1666" s="10" t="n">
        <x:f>K1666*'Assumptions'!$V$152</x:f>
        <x:v>0</x:v>
      </x:c>
      <x:c r="N1666" s="10" t="n">
        <x:f>K1666-L1666-M1666</x:f>
        <x:v>9393.89948945834</x:v>
      </x:c>
      <x:c r="O1666" s="10" t="n">
        <x:f>H1666*'Assumptions'!$P$152*'Assumptions'!$Q$152*'Assumptions'!$D$11*(1+'Assumptions'!$D$13)^(13-1)</x:f>
        <x:v>3378.806505598279</x:v>
      </x:c>
      <x:c r="P1666" s="10" t="n">
        <x:f>H1666*'Assumptions'!$R$152*'Assumptions'!$D$11*(1+'Assumptions'!$D$13)^(13-1)</x:f>
        <x:v>0</x:v>
      </x:c>
      <x:c r="Q1666" s="10" t="n">
        <x:f>J1666*'Assumptions'!$S$152</x:f>
        <x:v>0</x:v>
      </x:c>
      <x:c r="R1666" s="10" t="n">
        <x:f>H1666*'Assumptions'!$Y$152*'Assumptions'!$Z$152*'Assumptions'!$D$11*(1+'Assumptions'!$D$13)^(13-1)</x:f>
        <x:v>1126.2688351994263</x:v>
      </x:c>
      <x:c r="S1666" s="10" t="n">
        <x:f>IF(I1666=0,0,J1666*'Assumptions'!$W$152+H1666*'Assumptions'!$X$152)</x:f>
        <x:v>359.84277150713956</x:v>
      </x:c>
      <x:c r="T1666" s="10" t="n">
        <x:f>N1666*'Assumptions'!$AA$152</x:f>
        <x:v>469.694974472917</x:v>
      </x:c>
      <x:c r="U1666" s="10" t="n">
        <x:f>'Assumptions'!$AE$152*'Assumptions'!$D$11*(1+'Assumptions'!$D$13)^(13-1)</x:f>
        <x:v>342.182612843083</x:v>
      </x:c>
      <x:c r="V1666" s="10" t="n">
        <x:f>0</x:f>
        <x:v>0</x:v>
      </x:c>
      <x:c r="W1666" s="10" t="n">
        <x:f>H1666*('Assumptions'!$P$152+'Assumptions'!$Y$152)</x:f>
        <x:v>78.99423006972528</x:v>
      </x:c>
      <x:c r="X1666" s="10" t="n">
        <x:f>N1666/12*'Assumptions'!$AF$152</x:f>
        <x:v>0</x:v>
      </x:c>
      <x:c r="Y1666" s="10" t="n">
        <x:f>P1666/12</x:f>
        <x:v>0</x:v>
      </x:c>
      <x:c r="Z1666" s="10" t="n">
        <x:f>0</x:f>
        <x:v>0</x:v>
      </x:c>
      <x:c r="AA1666" s="10" t="n">
        <x:f>Z1666*'Assumptions'!$AC$152*'Assumptions'!$D$11*(1+'Assumptions'!$D$13)^(13-1)</x:f>
        <x:v>0</x:v>
      </x:c>
      <x:c r="AB1666" s="10" t="n">
        <x:f>F1666/12</x:f>
        <x:v>16.616915922449618</x:v>
      </x:c>
      <x:c r="AC1666" s="10" t="n">
        <x:f>AB1666/'Assumptions'!$AM$152</x:f>
        <x:v>332.3383184489923</x:v>
      </x:c>
      <x:c r="AD1666" s="10" t="n">
        <x:f>IF(AB1666=0,0,T1666/AB1666)</x:f>
        <x:v>28.266073961315197</x:v>
      </x:c>
      <x:c r="AE1666" s="10" t="n">
        <x:f>AA1666*'Assumptions'!$D$21</x:f>
        <x:v>0</x:v>
      </x:c>
    </x:row>
    <x:row r="1667" ht="16" customHeight="1">
      <x:c r="A1667" s="1"/>
      <x:c r="B1667" s="1"/>
      <x:c r="C1667" s="1" t="str">
        <x:v>DOT-124</x:v>
      </x:c>
      <x:c r="D1667" s="10" t="str">
        <x:v>Functional Analysis</x:v>
      </x:c>
      <x:c r="E1667" s="10" t="n">
        <x:v>13</x:v>
      </x:c>
      <x:c r="F1667" s="21" t="n">
        <x:f>F1539*(1+'Assumptions'!$M$153)</x:f>
        <x:v>398.80598213879085</x:v>
      </x:c>
      <x:c r="G1667" s="21" t="n">
        <x:f>H1539*'Assumptions'!$K$153</x:f>
        <x:v>127.82221832604432</x:v>
      </x:c>
      <x:c r="H1667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1667+G1667,NA())</x:f>
        <x:v>526.6282004648351</x:v>
      </x:c>
      <x:c r="I1667" s="22" t="n">
        <x:f>'Assumptions'!$H$153*IF('Assumptions'!$O$153=1,1,'Assumptions'!$D$10)*(1+'Assumptions'!$N$153)^(13-1)</x:f>
        <x:v>24.096594096688364</x:v>
      </x:c>
      <x:c r="J1667" s="10" t="n">
        <x:f>H1667*I1667</x:f>
        <x:v>12689.945986470562</x:v>
      </x:c>
      <x:c r="K1667" s="10" t="n">
        <x:f>J1667*'Assumptions'!$T$153</x:f>
        <x:v>12689.945986470562</x:v>
      </x:c>
      <x:c r="L1667" s="10" t="n">
        <x:f>K1667*'Assumptions'!$U$153</x:f>
        <x:v>380.69837959411683</x:v>
      </x:c>
      <x:c r="M1667" s="10" t="n">
        <x:f>K1667*'Assumptions'!$V$153</x:f>
        <x:v>0</x:v>
      </x:c>
      <x:c r="N1667" s="10" t="n">
        <x:f>K1667-L1667-M1667</x:f>
        <x:v>12309.247606876446</x:v>
      </x:c>
      <x:c r="O1667" s="10" t="n">
        <x:f>H1667*'Assumptions'!$P$153*'Assumptions'!$Q$153*'Assumptions'!$D$11*(1+'Assumptions'!$D$13)^(13-1)</x:f>
        <x:v>2627.9606154653284</x:v>
      </x:c>
      <x:c r="P1667" s="10" t="n">
        <x:f>H1667*'Assumptions'!$R$153*'Assumptions'!$D$11*(1+'Assumptions'!$D$13)^(13-1)</x:f>
        <x:v>0</x:v>
      </x:c>
      <x:c r="Q1667" s="10" t="n">
        <x:f>J1667*'Assumptions'!$S$153</x:f>
        <x:v>0</x:v>
      </x:c>
      <x:c r="R1667" s="10" t="n">
        <x:f>H1667*'Assumptions'!$Y$153*'Assumptions'!$Z$153*'Assumptions'!$D$11*(1+'Assumptions'!$D$13)^(13-1)</x:f>
        <x:v>2252.5376703988527</x:v>
      </x:c>
      <x:c r="S1667" s="10" t="n">
        <x:f>IF(I1667=0,0,J1667*'Assumptions'!$W$153+H1667*'Assumptions'!$X$153)</x:f>
        <x:v>525.9968937470969</x:v>
      </x:c>
      <x:c r="T1667" s="10" t="n">
        <x:f>N1667*'Assumptions'!$AA$153</x:f>
        <x:v>615.4623803438224</x:v>
      </x:c>
      <x:c r="U1667" s="10" t="n">
        <x:f>'Assumptions'!$AE$153*'Assumptions'!$D$11*(1+'Assumptions'!$D$13)^(13-1)</x:f>
        <x:v>0</x:v>
      </x:c>
      <x:c r="V1667" s="10" t="n">
        <x:f>0</x:f>
        <x:v>0</x:v>
      </x:c>
      <x:c r="W1667" s="10" t="n">
        <x:f>H1667*('Assumptions'!$P$153+'Assumptions'!$Y$153)</x:f>
        <x:v>105.32564009296703</x:v>
      </x:c>
      <x:c r="X1667" s="10" t="n">
        <x:f>N1667/12*'Assumptions'!$AF$153</x:f>
        <x:v>0</x:v>
      </x:c>
      <x:c r="Y1667" s="10" t="n">
        <x:f>P1667/12</x:f>
        <x:v>0</x:v>
      </x:c>
      <x:c r="Z1667" s="10" t="n">
        <x:f>0</x:f>
        <x:v>0</x:v>
      </x:c>
      <x:c r="AA1667" s="10" t="n">
        <x:f>Z1667*'Assumptions'!$AC$153*'Assumptions'!$D$11*(1+'Assumptions'!$D$13)^(13-1)</x:f>
        <x:v>0</x:v>
      </x:c>
      <x:c r="AB1667" s="10" t="n">
        <x:f>F1667/1</x:f>
        <x:v>398.80598213879085</x:v>
      </x:c>
      <x:c r="AC1667" s="10" t="n">
        <x:f>AB1667/'Assumptions'!$AM$153</x:f>
        <x:v>7976.119642775817</x:v>
      </x:c>
      <x:c r="AD1667" s="10" t="n">
        <x:f>IF(AB1667=0,0,T1667/AB1667)</x:f>
        <x:v>1.543262658807439</x:v>
      </x:c>
      <x:c r="AE1667" s="10" t="n">
        <x:f>AA1667*'Assumptions'!$D$21</x:f>
        <x:v>0</x:v>
      </x:c>
    </x:row>
    <x:row r="1668" ht="16" customHeight="1">
      <x:c r="A1668" s="1"/>
      <x:c r="B1668" s="1"/>
      <x:c r="C1668" s="1" t="str">
        <x:v>DOT-125</x:v>
      </x:c>
      <x:c r="D1668" s="10" t="str">
        <x:v>Functional Analysis</x:v>
      </x:c>
      <x:c r="E1668" s="10" t="n">
        <x:v>13</x:v>
      </x:c>
      <x:c r="F1668" s="21" t="n">
        <x:f>F1540*(1+'Assumptions'!$M$154)</x:f>
        <x:v>33.38420537087296</x:v>
      </x:c>
      <x:c r="G1668" s="21" t="n">
        <x:f>H1540*'Assumptions'!$K$154</x:f>
        <x:v>31.47954088643676</x:v>
      </x:c>
      <x:c r="H1668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1668+G1668,NA())</x:f>
        <x:v>64.86374625730971</x:v>
      </x:c>
      <x:c r="I1668" s="22" t="n">
        <x:f>'Assumptions'!$H$154*IF('Assumptions'!$O$154=1,1,'Assumptions'!$D$10)*(1+'Assumptions'!$N$154)^(13-1)</x:f>
        <x:v>125.555937661692</x:v>
      </x:c>
      <x:c r="J1668" s="10" t="n">
        <x:f>H1668*I1668</x:f>
        <x:v>8144.028481586586</x:v>
      </x:c>
      <x:c r="K1668" s="10" t="n">
        <x:f>J1668*'Assumptions'!$T$154</x:f>
        <x:v>8144.028481586586</x:v>
      </x:c>
      <x:c r="L1668" s="10" t="n">
        <x:f>K1668*'Assumptions'!$U$154</x:f>
        <x:v>244.32085444759758</x:v>
      </x:c>
      <x:c r="M1668" s="10" t="n">
        <x:f>K1668*'Assumptions'!$V$154</x:f>
        <x:v>0</x:v>
      </x:c>
      <x:c r="N1668" s="10" t="n">
        <x:f>K1668-L1668-M1668</x:f>
        <x:v>7899.707627138989</x:v>
      </x:c>
      <x:c r="O1668" s="10" t="n">
        <x:f>H1668*'Assumptions'!$P$154*'Assumptions'!$Q$154*'Assumptions'!$D$11*(1+'Assumptions'!$D$13)^(13-1)</x:f>
        <x:v>3699.2076955194975</x:v>
      </x:c>
      <x:c r="P1668" s="10" t="n">
        <x:f>H1668*'Assumptions'!$R$154*'Assumptions'!$D$11*(1+'Assumptions'!$D$13)^(13-1)</x:f>
        <x:v>0</x:v>
      </x:c>
      <x:c r="Q1668" s="10" t="n">
        <x:f>J1668*'Assumptions'!$S$154</x:f>
        <x:v>0</x:v>
      </x:c>
      <x:c r="R1668" s="10" t="n">
        <x:f>H1668*'Assumptions'!$Y$154*'Assumptions'!$Z$154*'Assumptions'!$D$11*(1+'Assumptions'!$D$13)^(13-1)</x:f>
        <x:v>693.6014429099058</x:v>
      </x:c>
      <x:c r="S1668" s="10" t="n">
        <x:f>IF(I1668=0,0,J1668*'Assumptions'!$W$154+H1668*'Assumptions'!$X$154)</x:f>
        <x:v>255.63594984320395</x:v>
      </x:c>
      <x:c r="T1668" s="10" t="n">
        <x:f>N1668*'Assumptions'!$AA$154</x:f>
        <x:v>315.98830508555955</x:v>
      </x:c>
      <x:c r="U1668" s="10" t="n">
        <x:f>'Assumptions'!$AE$154*'Assumptions'!$D$11*(1+'Assumptions'!$D$13)^(13-1)</x:f>
        <x:v>0</x:v>
      </x:c>
      <x:c r="V1668" s="10" t="n">
        <x:f>0</x:f>
        <x:v>0</x:v>
      </x:c>
      <x:c r="W1668" s="10" t="n">
        <x:f>H1668*('Assumptions'!$P$154+'Assumptions'!$Y$154)</x:f>
        <x:v>81.07968282163714</x:v>
      </x:c>
      <x:c r="X1668" s="10" t="n">
        <x:f>N1668/12*'Assumptions'!$AF$154</x:f>
        <x:v>658.3089689282491</x:v>
      </x:c>
      <x:c r="Y1668" s="10" t="n">
        <x:f>P1668/12</x:f>
        <x:v>0</x:v>
      </x:c>
      <x:c r="Z1668" s="10" t="n">
        <x:f>0</x:f>
        <x:v>0</x:v>
      </x:c>
      <x:c r="AA1668" s="10" t="n">
        <x:f>Z1668*'Assumptions'!$AC$154*'Assumptions'!$D$11*(1+'Assumptions'!$D$13)^(13-1)</x:f>
        <x:v>0</x:v>
      </x:c>
      <x:c r="AB1668" s="10" t="n">
        <x:f>F1668/1</x:f>
        <x:v>33.38420537087296</x:v>
      </x:c>
      <x:c r="AC1668" s="10" t="n">
        <x:f>AB1668/'Assumptions'!$AM$154</x:f>
        <x:v>166.9210268543648</x:v>
      </x:c>
      <x:c r="AD1668" s="10" t="n">
        <x:f>IF(AB1668=0,0,T1668/AB1668)</x:f>
        <x:v>9.46520372658781</x:v>
      </x:c>
      <x:c r="AE1668" s="10" t="n">
        <x:f>AA1668*'Assumptions'!$D$21</x:f>
        <x:v>0</x:v>
      </x:c>
    </x:row>
    <x:row r="1669" ht="16" customHeight="1">
      <x:c r="A1669" s="1"/>
      <x:c r="B1669" s="1"/>
      <x:c r="C1669" s="1" t="str">
        <x:v>DOT-126</x:v>
      </x:c>
      <x:c r="D1669" s="10" t="str">
        <x:v>Independent candy game</x:v>
      </x:c>
      <x:c r="E1669" s="10" t="n">
        <x:v>13</x:v>
      </x:c>
      <x:c r="F1669" s="21" t="n">
        <x:f>F1541*(1+'Assumptions'!$M$155)</x:f>
        <x:v>997.0149553469772</x:v>
      </x:c>
      <x:c r="G1669" s="21" t="n">
        <x:f>H1541*'Assumptions'!$K$155</x:f>
        <x:v>319.5555458151108</x:v>
      </x:c>
      <x:c r="H1669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1669+G1669,NA())</x:f>
        <x:v>1316.570501162088</x:v>
      </x:c>
      <x:c r="I1669" s="22" t="n">
        <x:f>'Assumptions'!$H$155*IF('Assumptions'!$O$155=1,1,'Assumptions'!$D$10)*(1+'Assumptions'!$N$155)^(13-1)</x:f>
        <x:v>6.328526554867103</x:v>
      </x:c>
      <x:c r="J1669" s="10" t="n">
        <x:f>H1669*I1669</x:f>
        <x:v>8331.951377958963</x:v>
      </x:c>
      <x:c r="K1669" s="10" t="n">
        <x:f>J1669*'Assumptions'!$T$155</x:f>
        <x:v>8331.951377958963</x:v>
      </x:c>
      <x:c r="L1669" s="10" t="n">
        <x:f>K1669*'Assumptions'!$U$155</x:f>
        <x:v>249.9585413387689</x:v>
      </x:c>
      <x:c r="M1669" s="10" t="n">
        <x:f>K1669*'Assumptions'!$V$155</x:f>
        <x:v>0</x:v>
      </x:c>
      <x:c r="N1669" s="10" t="n">
        <x:f>K1669-L1669-M1669</x:f>
        <x:v>8081.992836620195</x:v>
      </x:c>
      <x:c r="O1669" s="10" t="n">
        <x:f>H1669*'Assumptions'!$P$155*'Assumptions'!$Q$155*'Assumptions'!$D$11*(1+'Assumptions'!$D$13)^(13-1)</x:f>
        <x:v>1313.9803077326642</x:v>
      </x:c>
      <x:c r="P1669" s="10" t="n">
        <x:f>H1669*'Assumptions'!$R$155*'Assumptions'!$D$11*(1+'Assumptions'!$D$13)^(13-1)</x:f>
        <x:v>0</x:v>
      </x:c>
      <x:c r="Q1669" s="10" t="n">
        <x:f>J1669*'Assumptions'!$S$155</x:f>
        <x:v>0</x:v>
      </x:c>
      <x:c r="R1669" s="10" t="n">
        <x:f>H1669*'Assumptions'!$Y$155*'Assumptions'!$Z$155*'Assumptions'!$D$11*(1+'Assumptions'!$D$13)^(13-1)</x:f>
        <x:v>5631.344175997132</x:v>
      </x:c>
      <x:c r="S1669" s="10" t="n">
        <x:f>IF(I1669=0,0,J1669*'Assumptions'!$W$155+H1669*'Assumptions'!$X$155)</x:f>
        <x:v>636.5977403094364</x:v>
      </x:c>
      <x:c r="T1669" s="10" t="n">
        <x:f>N1669*'Assumptions'!$AA$155</x:f>
        <x:v>404.09964183100976</x:v>
      </x:c>
      <x:c r="U1669" s="10" t="n">
        <x:f>'Assumptions'!$AE$155*'Assumptions'!$D$11*(1+'Assumptions'!$D$13)^(13-1)</x:f>
        <x:v>0</x:v>
      </x:c>
      <x:c r="V1669" s="10" t="n">
        <x:f>0</x:f>
        <x:v>0</x:v>
      </x:c>
      <x:c r="W1669" s="10" t="n">
        <x:f>H1669*('Assumptions'!$P$155+'Assumptions'!$Y$155)</x:f>
        <x:v>157.98846013945058</x:v>
      </x:c>
      <x:c r="X1669" s="10" t="n">
        <x:f>N1669/12*'Assumptions'!$AF$155</x:f>
        <x:v>0</x:v>
      </x:c>
      <x:c r="Y1669" s="10" t="n">
        <x:f>P1669/12</x:f>
        <x:v>0</x:v>
      </x:c>
      <x:c r="Z1669" s="10" t="n">
        <x:f>0</x:f>
        <x:v>0</x:v>
      </x:c>
      <x:c r="AA1669" s="10" t="n">
        <x:f>Z1669*'Assumptions'!$AC$155*'Assumptions'!$D$11*(1+'Assumptions'!$D$13)^(13-1)</x:f>
        <x:v>0</x:v>
      </x:c>
      <x:c r="AB1669" s="10" t="n">
        <x:f>F1669/1</x:f>
        <x:v>997.0149553469772</x:v>
      </x:c>
      <x:c r="AC1669" s="10" t="n">
        <x:f>AB1669/'Assumptions'!$AM$155</x:f>
        <x:v>19940.299106939543</x:v>
      </x:c>
      <x:c r="AD1669" s="10" t="n">
        <x:f>IF(AB1669=0,0,T1669/AB1669)</x:f>
        <x:v>0.4053095088131116</x:v>
      </x:c>
      <x:c r="AE1669" s="10" t="n">
        <x:f>AA1669*'Assumptions'!$D$21</x:f>
        <x:v>0</x:v>
      </x:c>
    </x:row>
    <x:row r="1670" ht="16" customHeight="1">
      <x:c r="A1670" s="1"/>
      <x:c r="B1670" s="1"/>
      <x:c r="C1670" s="1" t="str">
        <x:v>DOT-127</x:v>
      </x:c>
      <x:c r="D1670" s="10" t="str">
        <x:v>Learn Anglais</x:v>
      </x:c>
      <x:c r="E1670" s="10" t="n">
        <x:v>13</x:v>
      </x:c>
      <x:c r="F1670" s="21" t="n">
        <x:f>F1542*(1+'Assumptions'!$M$156)</x:f>
        <x:v>236.40969966888255</x:v>
      </x:c>
      <x:c r="G1670" s="21" t="n">
        <x:f>H1542*'Assumptions'!$K$156</x:f>
        <x:v>493.8405298886775</x:v>
      </x:c>
      <x:c r="H1670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1670+G1670,NA())</x:f>
        <x:v>730.25022955756</x:v>
      </x:c>
      <x:c r="I1670" s="22" t="n">
        <x:f>'Assumptions'!$H$156*IF('Assumptions'!$O$156=1,1,'Assumptions'!$D$10)*(1+'Assumptions'!$N$156)^(13-1)</x:f>
        <x:v>30.437803069501093</x:v>
      </x:c>
      <x:c r="J1670" s="10" t="n">
        <x:f>H1670*I1670</x:f>
        <x:v>22227.21267873098</x:v>
      </x:c>
      <x:c r="K1670" s="10" t="n">
        <x:f>J1670*'Assumptions'!$T$156</x:f>
        <x:v>7409.070892910326</x:v>
      </x:c>
      <x:c r="L1670" s="10" t="n">
        <x:f>K1670*'Assumptions'!$U$156</x:f>
        <x:v>222.27212678730976</x:v>
      </x:c>
      <x:c r="M1670" s="10" t="n">
        <x:f>K1670*'Assumptions'!$V$156</x:f>
        <x:v>0</x:v>
      </x:c>
      <x:c r="N1670" s="10" t="n">
        <x:f>K1670-L1670-M1670</x:f>
        <x:v>7186.798766123016</x:v>
      </x:c>
      <x:c r="O1670" s="10" t="n">
        <x:f>H1670*'Assumptions'!$P$156*'Assumptions'!$Q$156*'Assumptions'!$D$11*(1+'Assumptions'!$D$13)^(13-1)</x:f>
        <x:v>3644.0677521976445</x:v>
      </x:c>
      <x:c r="P1670" s="10" t="n">
        <x:f>H1670*'Assumptions'!$R$156*'Assumptions'!$D$11*(1+'Assumptions'!$D$13)^(13-1)</x:f>
        <x:v>0</x:v>
      </x:c>
      <x:c r="Q1670" s="10" t="n">
        <x:f>J1670*'Assumptions'!$S$156</x:f>
        <x:v>0</x:v>
      </x:c>
      <x:c r="R1670" s="10" t="n">
        <x:f>H1670*'Assumptions'!$Y$156*'Assumptions'!$Z$156*'Assumptions'!$D$11*(1+'Assumptions'!$D$13)^(13-1)</x:f>
        <x:v>4685.229967111258</x:v>
      </x:c>
      <x:c r="S1670" s="10" t="n">
        <x:f>IF(I1670=0,0,J1670*'Assumptions'!$W$156+H1670*'Assumptions'!$X$156)</x:f>
        <x:v>863.6642365504664</x:v>
      </x:c>
      <x:c r="T1670" s="10" t="n">
        <x:f>N1670*'Assumptions'!$AA$156</x:f>
        <x:v>359.3399383061508</x:v>
      </x:c>
      <x:c r="U1670" s="10" t="n">
        <x:f>'Assumptions'!$AE$156*'Assumptions'!$D$11*(1+'Assumptions'!$D$13)^(13-1)</x:f>
        <x:v>0</x:v>
      </x:c>
      <x:c r="V1670" s="10" t="n">
        <x:f>0</x:f>
        <x:v>0</x:v>
      </x:c>
      <x:c r="W1670" s="10" t="n">
        <x:f>H1670*('Assumptions'!$P$156+'Assumptions'!$Y$156)</x:f>
        <x:v>182.56255738939</x:v>
      </x:c>
      <x:c r="X1670" s="10" t="n">
        <x:f>N1670/12*'Assumptions'!$AF$156</x:f>
        <x:v>0</x:v>
      </x:c>
      <x:c r="Y1670" s="10" t="n">
        <x:f>P1670/12</x:f>
        <x:v>0</x:v>
      </x:c>
      <x:c r="Z1670" s="10" t="n">
        <x:f>0</x:f>
        <x:v>0</x:v>
      </x:c>
      <x:c r="AA1670" s="10" t="n">
        <x:f>Z1670*'Assumptions'!$AC$156*'Assumptions'!$D$11*(1+'Assumptions'!$D$13)^(13-1)</x:f>
        <x:v>0</x:v>
      </x:c>
      <x:c r="AB1670" s="10" t="n">
        <x:f>F1670/1</x:f>
        <x:v>236.40969966888255</x:v>
      </x:c>
      <x:c r="AC1670" s="10" t="n">
        <x:f>AB1670/'Assumptions'!$AM$156</x:f>
        <x:v>4728.193993377651</x:v>
      </x:c>
      <x:c r="AD1670" s="10" t="n">
        <x:f>IF(AB1670=0,0,T1670/AB1670)</x:f>
        <x:v>1.5199881341985775</x:v>
      </x:c>
      <x:c r="AE1670" s="10" t="n">
        <x:f>AA1670*'Assumptions'!$D$21</x:f>
        <x:v>0</x:v>
      </x:c>
    </x:row>
    <x:row r="1671" ht="16" customHeight="1">
      <x:c r="A1671" s="1"/>
      <x:c r="B1671" s="1"/>
      <x:c r="C1671" s="1" t="str">
        <x:v>DOT-128</x:v>
      </x:c>
      <x:c r="D1671" s="10" t="str">
        <x:v>Learn Anglais</x:v>
      </x:c>
      <x:c r="E1671" s="10" t="n">
        <x:v>13</x:v>
      </x:c>
      <x:c r="F1671" s="21" t="n">
        <x:f>F1543*(1+'Assumptions'!$M$157)</x:f>
        <x:v>94.56387986755301</x:v>
      </x:c>
      <x:c r="G1671" s="21" t="n">
        <x:f>H1543*'Assumptions'!$K$157</x:f>
        <x:v>197.536211955471</x:v>
      </x:c>
      <x:c r="H1671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1671+G1671,NA())</x:f>
        <x:v>292.100091823024</x:v>
      </x:c>
      <x:c r="I1671" s="22" t="n">
        <x:f>'Assumptions'!$H$157*IF('Assumptions'!$O$157=1,1,'Assumptions'!$D$10)*(1+'Assumptions'!$N$157)^(13-1)</x:f>
        <x:v>209.25989610282</x:v>
      </x:c>
      <x:c r="J1671" s="10" t="n">
        <x:f>H1671*I1671</x:f>
        <x:v>61124.83486651018</x:v>
      </x:c>
      <x:c r="K1671" s="10" t="n">
        <x:f>J1671*'Assumptions'!$T$157</x:f>
        <x:v>18337.450459953052</x:v>
      </x:c>
      <x:c r="L1671" s="10" t="n">
        <x:f>K1671*'Assumptions'!$U$157</x:f>
        <x:v>550.1235137985915</x:v>
      </x:c>
      <x:c r="M1671" s="10" t="n">
        <x:f>K1671*'Assumptions'!$V$157</x:f>
        <x:v>0</x:v>
      </x:c>
      <x:c r="N1671" s="10" t="n">
        <x:f>K1671-L1671-M1671</x:f>
        <x:v>17787.32694615446</x:v>
      </x:c>
      <x:c r="O1671" s="10" t="n">
        <x:f>H1671*'Assumptions'!$P$157*'Assumptions'!$Q$157*'Assumptions'!$D$11*(1+'Assumptions'!$D$13)^(13-1)</x:f>
        <x:v>1457.627100879058</x:v>
      </x:c>
      <x:c r="P1671" s="10" t="n">
        <x:f>H1671*'Assumptions'!$R$157*'Assumptions'!$D$11*(1+'Assumptions'!$D$13)^(13-1)</x:f>
        <x:v>0</x:v>
      </x:c>
      <x:c r="Q1671" s="10" t="n">
        <x:f>J1671*'Assumptions'!$S$157</x:f>
        <x:v>0</x:v>
      </x:c>
      <x:c r="R1671" s="10" t="n">
        <x:f>H1671*'Assumptions'!$Y$157*'Assumptions'!$Z$157*'Assumptions'!$D$11*(1+'Assumptions'!$D$13)^(13-1)</x:f>
        <x:v>1874.0919868445028</x:v>
      </x:c>
      <x:c r="S1671" s="10" t="n">
        <x:f>IF(I1671=0,0,J1671*'Assumptions'!$W$157+H1671*'Assumptions'!$X$157)</x:f>
        <x:v>1860.2502386757026</x:v>
      </x:c>
      <x:c r="T1671" s="10" t="n">
        <x:f>N1671*'Assumptions'!$AA$157</x:f>
        <x:v>889.366347307723</x:v>
      </x:c>
      <x:c r="U1671" s="10" t="n">
        <x:f>'Assumptions'!$AE$157*'Assumptions'!$D$11*(1+'Assumptions'!$D$13)^(13-1)</x:f>
        <x:v>0</x:v>
      </x:c>
      <x:c r="V1671" s="10" t="n">
        <x:f>0</x:f>
        <x:v>0</x:v>
      </x:c>
      <x:c r="W1671" s="10" t="n">
        <x:f>H1671*('Assumptions'!$P$157+'Assumptions'!$Y$157)</x:f>
        <x:v>73.025022955756</x:v>
      </x:c>
      <x:c r="X1671" s="10" t="n">
        <x:f>N1671/12*'Assumptions'!$AF$157</x:f>
        <x:v>0</x:v>
      </x:c>
      <x:c r="Y1671" s="10" t="n">
        <x:f>P1671/12</x:f>
        <x:v>0</x:v>
      </x:c>
      <x:c r="Z1671" s="10" t="n">
        <x:f>0</x:f>
        <x:v>0</x:v>
      </x:c>
      <x:c r="AA1671" s="10" t="n">
        <x:f>Z1671*'Assumptions'!$AC$157*'Assumptions'!$D$11*(1+'Assumptions'!$D$13)^(13-1)</x:f>
        <x:v>0</x:v>
      </x:c>
      <x:c r="AB1671" s="10" t="n">
        <x:f>F1671/1</x:f>
        <x:v>94.56387986755301</x:v>
      </x:c>
      <x:c r="AC1671" s="10" t="n">
        <x:f>AB1671/'Assumptions'!$AM$157</x:f>
        <x:v>1891.2775973510602</x:v>
      </x:c>
      <x:c r="AD1671" s="10" t="n">
        <x:f>IF(AB1671=0,0,T1671/AB1671)</x:f>
        <x:v>9.404926580353695</x:v>
      </x:c>
      <x:c r="AE1671" s="10" t="n">
        <x:f>AA1671*'Assumptions'!$D$21</x:f>
        <x:v>0</x:v>
      </x:c>
    </x:row>
    <x:row r="1672" ht="16" customHeight="1">
      <x:c r="A1672" s="1"/>
      <x:c r="B1672" s="1"/>
      <x:c r="C1672" s="1" t="str">
        <x:v>DOT-001</x:v>
      </x:c>
      <x:c r="D1672" s="10" t="str">
        <x:v>ETV courses</x:v>
      </x:c>
      <x:c r="E1672" s="10" t="n">
        <x:v>14</x:v>
      </x:c>
      <x:c r="F1672" s="21" t="n">
        <x:f>F1544*(1+'Assumptions'!$M$30)</x:f>
        <x:v>410.7701616029546</x:v>
      </x:c>
      <x:c r="G1672" s="21" t="n">
        <x:f>H1544*'Assumptions'!$K$30</x:f>
        <x:v>131.65705190434812</x:v>
      </x:c>
      <x:c r="H1672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1672+G1672,NA())</x:f>
        <x:v>542.4272135073027</x:v>
      </x:c>
      <x:c r="I1672" s="22" t="n">
        <x:f>'Assumptions'!$H$30*IF('Assumptions'!$O$30=1,1,'Assumptions'!$D$10)*(1+'Assumptions'!$N$30)^(14-1)</x:f>
        <x:v>29</x:v>
      </x:c>
      <x:c r="J1672" s="10" t="n">
        <x:f>H1672*I1672</x:f>
        <x:v>15730.389191711778</x:v>
      </x:c>
      <x:c r="K1672" s="10" t="n">
        <x:f>J1672*'Assumptions'!$T$30</x:f>
        <x:v>15730.389191711778</x:v>
      </x:c>
      <x:c r="L1672" s="10" t="n">
        <x:f>K1672*'Assumptions'!$U$30</x:f>
        <x:v>471.9116757513533</x:v>
      </x:c>
      <x:c r="M1672" s="10" t="n">
        <x:f>K1672*'Assumptions'!$V$30</x:f>
        <x:v>0</x:v>
      </x:c>
      <x:c r="N1672" s="10" t="n">
        <x:f>K1672-L1672-M1672</x:f>
        <x:v>15258.477515960425</x:v>
      </x:c>
      <x:c r="O1672" s="10" t="n">
        <x:f>H1672*'Assumptions'!$P$30*'Assumptions'!$Q$30*'Assumptions'!$D$11*(1+'Assumptions'!$D$13)^(14-1)</x:f>
        <x:v>4182.006413177586</x:v>
      </x:c>
      <x:c r="P1672" s="10" t="n">
        <x:f>H1672*'Assumptions'!$R$30*'Assumptions'!$D$11*(1+'Assumptions'!$D$13)^(14-1)</x:f>
        <x:v>0</x:v>
      </x:c>
      <x:c r="Q1672" s="10" t="n">
        <x:f>J1672*'Assumptions'!$S$30</x:f>
        <x:v>0</x:v>
      </x:c>
      <x:c r="R1672" s="10" t="n">
        <x:f>H1672*'Assumptions'!$Y$30*'Assumptions'!$Z$30*'Assumptions'!$D$11*(1+'Assumptions'!$D$13)^(14-1)</x:f>
        <x:v>2389.717950387192</x:v>
      </x:c>
      <x:c r="S1672" s="10" t="n">
        <x:f>IF(I1672=0,0,J1672*'Assumptions'!$W$30+H1672*'Assumptions'!$X$30)</x:f>
        <x:v>618.9094506118324</x:v>
      </x:c>
      <x:c r="T1672" s="10" t="n">
        <x:f>N1672*'Assumptions'!$AA$30</x:f>
        <x:v>762.9238757980213</x:v>
      </x:c>
      <x:c r="U1672" s="10" t="n">
        <x:f>'Assumptions'!$AE$30*'Assumptions'!$D$11*(1+'Assumptions'!$D$13)^(14-1)</x:f>
        <x:v>0</x:v>
      </x:c>
      <x:c r="V1672" s="10" t="n">
        <x:f>0</x:f>
        <x:v>0</x:v>
      </x:c>
      <x:c r="W1672" s="10" t="n">
        <x:f>H1672*('Assumptions'!$P$30+'Assumptions'!$Y$30)</x:f>
        <x:v>135.60680337682567</x:v>
      </x:c>
      <x:c r="X1672" s="10" t="n">
        <x:f>N1672/12*'Assumptions'!$AF$30</x:f>
        <x:v>0</x:v>
      </x:c>
      <x:c r="Y1672" s="10" t="n">
        <x:f>P1672/12</x:f>
        <x:v>0</x:v>
      </x:c>
      <x:c r="Z1672" s="10" t="n">
        <x:f>0</x:f>
        <x:v>0</x:v>
      </x:c>
      <x:c r="AA1672" s="10" t="n">
        <x:f>Z1672*'Assumptions'!$AC$30*'Assumptions'!$D$11*(1+'Assumptions'!$D$13)^(14-1)</x:f>
        <x:v>0</x:v>
      </x:c>
      <x:c r="AB1672" s="10" t="n">
        <x:f>F1672/1</x:f>
        <x:v>410.7701616029546</x:v>
      </x:c>
      <x:c r="AC1672" s="10" t="n">
        <x:f>AB1672/'Assumptions'!$AM$30</x:f>
        <x:v>8215.403232059092</x:v>
      </x:c>
      <x:c r="AD1672" s="10" t="n">
        <x:f>IF(AB1672=0,0,T1672/AB1672)</x:f>
        <x:v>1.8573011068302818</x:v>
      </x:c>
      <x:c r="AE1672" s="10" t="n">
        <x:f>AA1672*'Assumptions'!$D$21</x:f>
        <x:v>0</x:v>
      </x:c>
    </x:row>
    <x:row r="1673" ht="16" customHeight="1">
      <x:c r="A1673" s="1"/>
      <x:c r="B1673" s="1"/>
      <x:c r="C1673" s="1" t="str">
        <x:v>DOT-002</x:v>
      </x:c>
      <x:c r="D1673" s="10" t="str">
        <x:v>ETV courses</x:v>
      </x:c>
      <x:c r="E1673" s="10" t="n">
        <x:v>14</x:v>
      </x:c>
      <x:c r="F1673" s="21" t="n">
        <x:f>F1545*(1+'Assumptions'!$M$31)</x:f>
        <x:v>650.3860892046781</x:v>
      </x:c>
      <x:c r="G1673" s="21" t="n">
        <x:f>H1545*'Assumptions'!$K$31</x:f>
        <x:v>208.45699884855122</x:v>
      </x:c>
      <x:c r="H1673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1673+G1673,NA())</x:f>
        <x:v>858.8430880532294</x:v>
      </x:c>
      <x:c r="I1673" s="22" t="n">
        <x:f>'Assumptions'!$H$31*IF('Assumptions'!$O$31=1,1,'Assumptions'!$D$10)*(1+'Assumptions'!$N$31)^(14-1)</x:f>
        <x:v>50.450658587698065</x:v>
      </x:c>
      <x:c r="J1673" s="10" t="n">
        <x:f>H1673*I1673</x:f>
        <x:v>43329.19941577778</x:v>
      </x:c>
      <x:c r="K1673" s="10" t="n">
        <x:f>J1673*'Assumptions'!$T$31</x:f>
        <x:v>43329.19941577778</x:v>
      </x:c>
      <x:c r="L1673" s="10" t="n">
        <x:f>K1673*'Assumptions'!$U$31</x:f>
        <x:v>1299.8759824733334</x:v>
      </x:c>
      <x:c r="M1673" s="10" t="n">
        <x:f>K1673*'Assumptions'!$V$31</x:f>
        <x:v>0</x:v>
      </x:c>
      <x:c r="N1673" s="10" t="n">
        <x:f>K1673-L1673-M1673</x:f>
        <x:v>42029.323433304446</x:v>
      </x:c>
      <x:c r="O1673" s="10" t="n">
        <x:f>H1673*'Assumptions'!$P$31*'Assumptions'!$Q$31*'Assumptions'!$D$11*(1+'Assumptions'!$D$13)^(14-1)</x:f>
        <x:v>6621.510154197846</x:v>
      </x:c>
      <x:c r="P1673" s="10" t="n">
        <x:f>H1673*'Assumptions'!$R$31*'Assumptions'!$D$11*(1+'Assumptions'!$D$13)^(14-1)</x:f>
        <x:v>0</x:v>
      </x:c>
      <x:c r="Q1673" s="10" t="n">
        <x:f>J1673*'Assumptions'!$S$31</x:f>
        <x:v>0</x:v>
      </x:c>
      <x:c r="R1673" s="10" t="n">
        <x:f>H1673*'Assumptions'!$Y$31*'Assumptions'!$Z$31*'Assumptions'!$D$11*(1+'Assumptions'!$D$13)^(14-1)</x:f>
        <x:v>3783.7200881130548</x:v>
      </x:c>
      <x:c r="S1673" s="10" t="n">
        <x:f>IF(I1673=0,0,J1673*'Assumptions'!$W$31+H1673*'Assumptions'!$X$31)</x:f>
        <x:v>1514.1997094735245</x:v>
      </x:c>
      <x:c r="T1673" s="10" t="n">
        <x:f>N1673*'Assumptions'!$AA$31</x:f>
        <x:v>2101.466171665222</x:v>
      </x:c>
      <x:c r="U1673" s="10" t="n">
        <x:f>'Assumptions'!$AE$31*'Assumptions'!$D$11*(1+'Assumptions'!$D$13)^(14-1)</x:f>
        <x:v>0</x:v>
      </x:c>
      <x:c r="V1673" s="10" t="n">
        <x:f>0</x:f>
        <x:v>0</x:v>
      </x:c>
      <x:c r="W1673" s="10" t="n">
        <x:f>H1673*('Assumptions'!$P$31+'Assumptions'!$Y$31)</x:f>
        <x:v>214.71077201330735</x:v>
      </x:c>
      <x:c r="X1673" s="10" t="n">
        <x:f>N1673/12*'Assumptions'!$AF$31</x:f>
        <x:v>0</x:v>
      </x:c>
      <x:c r="Y1673" s="10" t="n">
        <x:f>P1673/12</x:f>
        <x:v>0</x:v>
      </x:c>
      <x:c r="Z1673" s="10" t="n">
        <x:f>0</x:f>
        <x:v>0</x:v>
      </x:c>
      <x:c r="AA1673" s="10" t="n">
        <x:f>Z1673*'Assumptions'!$AC$31*'Assumptions'!$D$11*(1+'Assumptions'!$D$13)^(14-1)</x:f>
        <x:v>0</x:v>
      </x:c>
      <x:c r="AB1673" s="10" t="n">
        <x:f>F1673/1</x:f>
        <x:v>650.3860892046781</x:v>
      </x:c>
      <x:c r="AC1673" s="10" t="n">
        <x:f>AB1673/'Assumptions'!$AM$31</x:f>
        <x:v>13007.721784093561</x:v>
      </x:c>
      <x:c r="AD1673" s="10" t="n">
        <x:f>IF(AB1673=0,0,T1673/AB1673)</x:f>
        <x:v>3.2311056563878715</x:v>
      </x:c>
      <x:c r="AE1673" s="10" t="n">
        <x:f>AA1673*'Assumptions'!$D$21</x:f>
        <x:v>0</x:v>
      </x:c>
    </x:row>
    <x:row r="1674" ht="16" customHeight="1">
      <x:c r="A1674" s="1"/>
      <x:c r="B1674" s="1"/>
      <x:c r="C1674" s="1" t="str">
        <x:v>DOT-003</x:v>
      </x:c>
      <x:c r="D1674" s="10" t="str">
        <x:v>ETV services</x:v>
      </x:c>
      <x:c r="E1674" s="10" t="n">
        <x:v>14</x:v>
      </x:c>
      <x:c r="F1674" s="21" t="n">
        <x:f>F1546*(1+'Assumptions'!$M$32)</x:f>
        <x:v>11.461910510666389</x:v>
      </x:c>
      <x:c r="G1674" s="21" t="n">
        <x:f>H1546*'Assumptions'!$K$32</x:f>
        <x:v>10.81135679809329</x:v>
      </x:c>
      <x:c r="H1674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1674+G1674,NA())</x:f>
        <x:v>22.273267308759678</x:v>
      </x:c>
      <x:c r="I1674" s="22" t="n">
        <x:f>'Assumptions'!$H$32*IF('Assumptions'!$O$32=1,1,'Assumptions'!$D$10)*(1+'Assumptions'!$N$32)^(14-1)</x:f>
        <x:v>2263.811603294144</x:v>
      </x:c>
      <x:c r="J1674" s="10" t="n">
        <x:f>H1674*I1674</x:f>
        <x:v>50422.480976842286</x:v>
      </x:c>
      <x:c r="K1674" s="10" t="n">
        <x:f>J1674*'Assumptions'!$T$32</x:f>
        <x:v>50422.480976842286</x:v>
      </x:c>
      <x:c r="L1674" s="10" t="n">
        <x:f>K1674*'Assumptions'!$U$32</x:f>
        <x:v>1512.6744293052684</x:v>
      </x:c>
      <x:c r="M1674" s="10" t="n">
        <x:f>K1674*'Assumptions'!$V$32</x:f>
        <x:v>0</x:v>
      </x:c>
      <x:c r="N1674" s="10" t="n">
        <x:f>K1674-L1674-M1674</x:f>
        <x:v>48909.80654753702</x:v>
      </x:c>
      <x:c r="O1674" s="10" t="n">
        <x:f>H1674*'Assumptions'!$P$32*'Assumptions'!$Q$32*'Assumptions'!$D$11*(1+'Assumptions'!$D$13)^(14-1)</x:f>
        <x:v>29438.13955646897</x:v>
      </x:c>
      <x:c r="P1674" s="10" t="n">
        <x:f>H1674*'Assumptions'!$R$32*'Assumptions'!$D$11*(1+'Assumptions'!$D$13)^(14-1)</x:f>
        <x:v>817.7260987908047</x:v>
      </x:c>
      <x:c r="Q1674" s="10" t="n">
        <x:f>J1674*'Assumptions'!$S$32</x:f>
        <x:v>0</x:v>
      </x:c>
      <x:c r="R1674" s="10" t="n">
        <x:f>H1674*'Assumptions'!$Y$32*'Assumptions'!$Z$32*'Assumptions'!$D$11*(1+'Assumptions'!$D$13)^(14-1)</x:f>
        <x:v>245.31782963724143</x:v>
      </x:c>
      <x:c r="S1674" s="10" t="n">
        <x:f>IF(I1674=0,0,J1674*'Assumptions'!$W$32+H1674*'Assumptions'!$X$32)</x:f>
        <x:v>1468.9339285210542</x:v>
      </x:c>
      <x:c r="T1674" s="10" t="n">
        <x:f>N1674*'Assumptions'!$AA$32</x:f>
        <x:v>1956.3922619014807</x:v>
      </x:c>
      <x:c r="U1674" s="10" t="n">
        <x:f>'Assumptions'!$AE$32*'Assumptions'!$D$11*(1+'Assumptions'!$D$13)^(14-1)</x:f>
        <x:v>0</x:v>
      </x:c>
      <x:c r="V1674" s="10" t="n">
        <x:f>0</x:f>
        <x:v>0</x:v>
      </x:c>
      <x:c r="W1674" s="10" t="n">
        <x:f>H1674*('Assumptions'!$P$32+'Assumptions'!$Y$32)</x:f>
        <x:v>451.0336630023835</x:v>
      </x:c>
      <x:c r="X1674" s="10" t="n">
        <x:f>N1674/12*'Assumptions'!$AF$32</x:f>
        <x:v>4075.8172122947512</x:v>
      </x:c>
      <x:c r="Y1674" s="10" t="n">
        <x:f>P1674/12</x:f>
        <x:v>68.14384156590039</x:v>
      </x:c>
      <x:c r="Z1674" s="10" t="n">
        <x:f>0</x:f>
        <x:v>0</x:v>
      </x:c>
      <x:c r="AA1674" s="10" t="n">
        <x:f>Z1674*'Assumptions'!$AC$32*'Assumptions'!$D$11*(1+'Assumptions'!$D$13)^(14-1)</x:f>
        <x:v>0</x:v>
      </x:c>
      <x:c r="AB1674" s="10" t="n">
        <x:f>F1674/1</x:f>
        <x:v>11.461910510666389</x:v>
      </x:c>
      <x:c r="AC1674" s="10" t="n">
        <x:f>AB1674/'Assumptions'!$AM$32</x:f>
        <x:v>57.30955255333194</x:v>
      </x:c>
      <x:c r="AD1674" s="10" t="n">
        <x:f>IF(AB1674=0,0,T1674/AB1674)</x:f>
        <x:v>170.68640171992908</x:v>
      </x:c>
      <x:c r="AE1674" s="10" t="n">
        <x:f>AA1674*'Assumptions'!$D$21</x:f>
        <x:v>0</x:v>
      </x:c>
    </x:row>
    <x:row r="1675" ht="16" customHeight="1">
      <x:c r="A1675" s="1"/>
      <x:c r="B1675" s="1"/>
      <x:c r="C1675" s="1" t="str">
        <x:v>DOT-004</x:v>
      </x:c>
      <x:c r="D1675" s="10" t="str">
        <x:v>ETV services</x:v>
      </x:c>
      <x:c r="E1675" s="10" t="n">
        <x:v>14</x:v>
      </x:c>
      <x:c r="F1675" s="21" t="n">
        <x:f>F1547*(1+'Assumptions'!$M$33)</x:f>
        <x:v>7.641273673777594</x:v>
      </x:c>
      <x:c r="G1675" s="21" t="n">
        <x:f>H1547*'Assumptions'!$K$33</x:f>
        <x:v>7.2075711987288615</x:v>
      </x:c>
      <x:c r="H1675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1675+G1675,NA())</x:f>
        <x:v>14.848844872506454</x:v>
      </x:c>
      <x:c r="I1675" s="22" t="n">
        <x:f>'Assumptions'!$H$33*IF('Assumptions'!$O$33=1,1,'Assumptions'!$D$10)*(1+'Assumptions'!$N$33)^(14-1)</x:f>
        <x:v>3234.0165761344915</x:v>
      </x:c>
      <x:c r="J1675" s="10" t="n">
        <x:f>H1675*I1675</x:f>
        <x:v>48021.41045413553</x:v>
      </x:c>
      <x:c r="K1675" s="10" t="n">
        <x:f>J1675*'Assumptions'!$T$33</x:f>
        <x:v>48021.41045413553</x:v>
      </x:c>
      <x:c r="L1675" s="10" t="n">
        <x:f>K1675*'Assumptions'!$U$33</x:f>
        <x:v>1440.6423136240658</x:v>
      </x:c>
      <x:c r="M1675" s="10" t="n">
        <x:f>K1675*'Assumptions'!$V$33</x:f>
        <x:v>0</x:v>
      </x:c>
      <x:c r="N1675" s="10" t="n">
        <x:f>K1675-L1675-M1675</x:f>
        <x:v>46580.76814051146</x:v>
      </x:c>
      <x:c r="O1675" s="10" t="n">
        <x:f>H1675*'Assumptions'!$P$33*'Assumptions'!$Q$33*'Assumptions'!$D$11*(1+'Assumptions'!$D$13)^(14-1)</x:f>
        <x:v>29438.139556468977</x:v>
      </x:c>
      <x:c r="P1675" s="10" t="n">
        <x:f>H1675*'Assumptions'!$R$33*'Assumptions'!$D$11*(1+'Assumptions'!$D$13)^(14-1)</x:f>
        <x:v>545.1507325272032</x:v>
      </x:c>
      <x:c r="Q1675" s="10" t="n">
        <x:f>J1675*'Assumptions'!$S$33</x:f>
        <x:v>0</x:v>
      </x:c>
      <x:c r="R1675" s="10" t="n">
        <x:f>H1675*'Assumptions'!$Y$33*'Assumptions'!$Z$33*'Assumptions'!$D$11*(1+'Assumptions'!$D$13)^(14-1)</x:f>
        <x:v>163.54521975816098</x:v>
      </x:c>
      <x:c r="S1675" s="10" t="n">
        <x:f>IF(I1675=0,0,J1675*'Assumptions'!$W$33+H1675*'Assumptions'!$X$33)</x:f>
        <x:v>1397.0755566316823</x:v>
      </x:c>
      <x:c r="T1675" s="10" t="n">
        <x:f>N1675*'Assumptions'!$AA$33</x:f>
        <x:v>1863.2307256204585</x:v>
      </x:c>
      <x:c r="U1675" s="10" t="n">
        <x:f>'Assumptions'!$AE$33*'Assumptions'!$D$11*(1+'Assumptions'!$D$13)^(14-1)</x:f>
        <x:v>0</x:v>
      </x:c>
      <x:c r="V1675" s="10" t="n">
        <x:f>0</x:f>
        <x:v>0</x:v>
      </x:c>
      <x:c r="W1675" s="10" t="n">
        <x:f>H1675*('Assumptions'!$P$33+'Assumptions'!$Y$33)</x:f>
        <x:v>449.1775573933202</x:v>
      </x:c>
      <x:c r="X1675" s="10" t="n">
        <x:f>N1675/12*'Assumptions'!$AF$33</x:f>
        <x:v>3881.7306783759554</x:v>
      </x:c>
      <x:c r="Y1675" s="10" t="n">
        <x:f>P1675/12</x:f>
        <x:v>45.429227710600266</x:v>
      </x:c>
      <x:c r="Z1675" s="10" t="n">
        <x:f>0</x:f>
        <x:v>0</x:v>
      </x:c>
      <x:c r="AA1675" s="10" t="n">
        <x:f>Z1675*'Assumptions'!$AC$33*'Assumptions'!$D$11*(1+'Assumptions'!$D$13)^(14-1)</x:f>
        <x:v>0</x:v>
      </x:c>
      <x:c r="AB1675" s="10" t="n">
        <x:f>F1675/1</x:f>
        <x:v>7.641273673777594</x:v>
      </x:c>
      <x:c r="AC1675" s="10" t="n">
        <x:f>AB1675/'Assumptions'!$AM$33</x:f>
        <x:v>38.206368368887965</x:v>
      </x:c>
      <x:c r="AD1675" s="10" t="n">
        <x:f>IF(AB1675=0,0,T1675/AB1675)</x:f>
        <x:v>243.83771674275587</x:v>
      </x:c>
      <x:c r="AE1675" s="10" t="n">
        <x:f>AA1675*'Assumptions'!$D$21</x:f>
        <x:v>0</x:v>
      </x:c>
    </x:row>
    <x:row r="1676" ht="16" customHeight="1">
      <x:c r="A1676" s="1"/>
      <x:c r="B1676" s="1"/>
      <x:c r="C1676" s="1" t="str">
        <x:v>DOT-005</x:v>
      </x:c>
      <x:c r="D1676" s="10" t="str">
        <x:v>ETV services</x:v>
      </x:c>
      <x:c r="E1676" s="10" t="n">
        <x:v>14</x:v>
      </x:c>
      <x:c r="F1676" s="21" t="n">
        <x:f>F1548*(1+'Assumptions'!$M$34)</x:f>
        <x:v>7.641273673777594</x:v>
      </x:c>
      <x:c r="G1676" s="21" t="n">
        <x:f>H1548*'Assumptions'!$K$34</x:f>
        <x:v>7.2075711987288615</x:v>
      </x:c>
      <x:c r="H1676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1676+G1676,NA())</x:f>
        <x:v>14.848844872506454</x:v>
      </x:c>
      <x:c r="I1676" s="22" t="n">
        <x:f>'Assumptions'!$H$34*IF('Assumptions'!$O$34=1,1,'Assumptions'!$D$10)*(1+'Assumptions'!$N$34)^(14-1)</x:f>
        <x:v>1940.4099456806948</x:v>
      </x:c>
      <x:c r="J1676" s="10" t="n">
        <x:f>H1676*I1676</x:f>
        <x:v>28812.846272481314</x:v>
      </x:c>
      <x:c r="K1676" s="10" t="n">
        <x:f>J1676*'Assumptions'!$T$34</x:f>
        <x:v>28812.846272481314</x:v>
      </x:c>
      <x:c r="L1676" s="10" t="n">
        <x:f>K1676*'Assumptions'!$U$34</x:f>
        <x:v>864.3853881744394</x:v>
      </x:c>
      <x:c r="M1676" s="10" t="n">
        <x:f>K1676*'Assumptions'!$V$34</x:f>
        <x:v>0</x:v>
      </x:c>
      <x:c r="N1676" s="10" t="n">
        <x:f>K1676-L1676-M1676</x:f>
        <x:v>27948.460884306875</x:v>
      </x:c>
      <x:c r="O1676" s="10" t="n">
        <x:f>H1676*'Assumptions'!$P$34*'Assumptions'!$Q$34*'Assumptions'!$D$11*(1+'Assumptions'!$D$13)^(14-1)</x:f>
        <x:v>17662.883733881383</x:v>
      </x:c>
      <x:c r="P1676" s="10" t="n">
        <x:f>H1676*'Assumptions'!$R$34*'Assumptions'!$D$11*(1+'Assumptions'!$D$13)^(14-1)</x:f>
        <x:v>545.1507325272032</x:v>
      </x:c>
      <x:c r="Q1676" s="10" t="n">
        <x:f>J1676*'Assumptions'!$S$34</x:f>
        <x:v>0</x:v>
      </x:c>
      <x:c r="R1676" s="10" t="n">
        <x:f>H1676*'Assumptions'!$Y$34*'Assumptions'!$Z$34*'Assumptions'!$D$11*(1+'Assumptions'!$D$13)^(14-1)</x:f>
        <x:v>163.54521975816098</x:v>
      </x:c>
      <x:c r="S1676" s="10" t="n">
        <x:f>IF(I1676=0,0,J1676*'Assumptions'!$W$34+H1676*'Assumptions'!$X$34)</x:f>
        <x:v>840.0271953637101</x:v>
      </x:c>
      <x:c r="T1676" s="10" t="n">
        <x:f>N1676*'Assumptions'!$AA$34</x:f>
        <x:v>1117.938435372275</x:v>
      </x:c>
      <x:c r="U1676" s="10" t="n">
        <x:f>'Assumptions'!$AE$34*'Assumptions'!$D$11*(1+'Assumptions'!$D$13)^(14-1)</x:f>
        <x:v>0</x:v>
      </x:c>
      <x:c r="V1676" s="10" t="n">
        <x:f>0</x:f>
        <x:v>0</x:v>
      </x:c>
      <x:c r="W1676" s="10" t="n">
        <x:f>H1676*('Assumptions'!$P$34+'Assumptions'!$Y$34)</x:f>
        <x:v>270.9914189232428</x:v>
      </x:c>
      <x:c r="X1676" s="10" t="n">
        <x:f>N1676/12*'Assumptions'!$AF$34</x:f>
        <x:v>2329.0384070255727</x:v>
      </x:c>
      <x:c r="Y1676" s="10" t="n">
        <x:f>P1676/12</x:f>
        <x:v>45.429227710600266</x:v>
      </x:c>
      <x:c r="Z1676" s="10" t="n">
        <x:f>0</x:f>
        <x:v>0</x:v>
      </x:c>
      <x:c r="AA1676" s="10" t="n">
        <x:f>Z1676*'Assumptions'!$AC$34*'Assumptions'!$D$11*(1+'Assumptions'!$D$13)^(14-1)</x:f>
        <x:v>0</x:v>
      </x:c>
      <x:c r="AB1676" s="10" t="n">
        <x:f>F1676/1</x:f>
        <x:v>7.641273673777594</x:v>
      </x:c>
      <x:c r="AC1676" s="10" t="n">
        <x:f>AB1676/'Assumptions'!$AM$34</x:f>
        <x:v>38.206368368887965</x:v>
      </x:c>
      <x:c r="AD1676" s="10" t="n">
        <x:f>IF(AB1676=0,0,T1676/AB1676)</x:f>
        <x:v>146.30263004565353</x:v>
      </x:c>
      <x:c r="AE1676" s="10" t="n">
        <x:f>AA1676*'Assumptions'!$D$21</x:f>
        <x:v>0</x:v>
      </x:c>
    </x:row>
    <x:row r="1677" ht="16" customHeight="1">
      <x:c r="A1677" s="1"/>
      <x:c r="B1677" s="1"/>
      <x:c r="C1677" s="1" t="str">
        <x:v>DOT-006</x:v>
      </x:c>
      <x:c r="D1677" s="10" t="str">
        <x:v>ETV services</x:v>
      </x:c>
      <x:c r="E1677" s="10" t="n">
        <x:v>14</x:v>
      </x:c>
      <x:c r="F1677" s="21" t="n">
        <x:f>F1549*(1+'Assumptions'!$M$35)</x:f>
        <x:v>11.461910510666389</x:v>
      </x:c>
      <x:c r="G1677" s="21" t="n">
        <x:f>H1549*'Assumptions'!$K$35</x:f>
        <x:v>10.81135679809329</x:v>
      </x:c>
      <x:c r="H1677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1677+G1677,NA())</x:f>
        <x:v>22.273267308759678</x:v>
      </x:c>
      <x:c r="I1677" s="22" t="n">
        <x:f>'Assumptions'!$H$35*IF('Assumptions'!$O$35=1,1,'Assumptions'!$D$10)*(1+'Assumptions'!$N$35)^(14-1)</x:f>
        <x:v>970.2049728403474</x:v>
      </x:c>
      <x:c r="J1677" s="10" t="n">
        <x:f>H1677*I1677</x:f>
        <x:v>21609.634704360982</x:v>
      </x:c>
      <x:c r="K1677" s="10" t="n">
        <x:f>J1677*'Assumptions'!$T$35</x:f>
        <x:v>21609.634704360982</x:v>
      </x:c>
      <x:c r="L1677" s="10" t="n">
        <x:f>K1677*'Assumptions'!$U$35</x:f>
        <x:v>648.2890411308294</x:v>
      </x:c>
      <x:c r="M1677" s="10" t="n">
        <x:f>K1677*'Assumptions'!$V$35</x:f>
        <x:v>0</x:v>
      </x:c>
      <x:c r="N1677" s="10" t="n">
        <x:f>K1677-L1677-M1677</x:f>
        <x:v>20961.345663230153</x:v>
      </x:c>
      <x:c r="O1677" s="10" t="n">
        <x:f>H1677*'Assumptions'!$P$35*'Assumptions'!$Q$35*'Assumptions'!$D$11*(1+'Assumptions'!$D$13)^(14-1)</x:f>
        <x:v>11775.25582258759</x:v>
      </x:c>
      <x:c r="P1677" s="10" t="n">
        <x:f>H1677*'Assumptions'!$R$35*'Assumptions'!$D$11*(1+'Assumptions'!$D$13)^(14-1)</x:f>
        <x:v>817.7260987908047</x:v>
      </x:c>
      <x:c r="Q1677" s="10" t="n">
        <x:f>J1677*'Assumptions'!$S$35</x:f>
        <x:v>0</x:v>
      </x:c>
      <x:c r="R1677" s="10" t="n">
        <x:f>H1677*'Assumptions'!$Y$35*'Assumptions'!$Z$35*'Assumptions'!$D$11*(1+'Assumptions'!$D$13)^(14-1)</x:f>
        <x:v>245.31782963724143</x:v>
      </x:c>
      <x:c r="S1677" s="10" t="n">
        <x:f>IF(I1677=0,0,J1677*'Assumptions'!$W$35+H1677*'Assumptions'!$X$35)</x:f>
        <x:v>633.3613866190964</x:v>
      </x:c>
      <x:c r="T1677" s="10" t="n">
        <x:f>N1677*'Assumptions'!$AA$35</x:f>
        <x:v>838.4538265292061</x:v>
      </x:c>
      <x:c r="U1677" s="10" t="n">
        <x:f>'Assumptions'!$AE$35*'Assumptions'!$D$11*(1+'Assumptions'!$D$13)^(14-1)</x:f>
        <x:v>0</x:v>
      </x:c>
      <x:c r="V1677" s="10" t="n">
        <x:f>0</x:f>
        <x:v>0</x:v>
      </x:c>
      <x:c r="W1677" s="10" t="n">
        <x:f>H1677*('Assumptions'!$P$35+'Assumptions'!$Y$35)</x:f>
        <x:v>183.75445529726736</x:v>
      </x:c>
      <x:c r="X1677" s="10" t="n">
        <x:f>N1677/12*'Assumptions'!$AF$35</x:f>
        <x:v>1746.7788052691794</x:v>
      </x:c>
      <x:c r="Y1677" s="10" t="n">
        <x:f>P1677/12</x:f>
        <x:v>68.14384156590039</x:v>
      </x:c>
      <x:c r="Z1677" s="10" t="n">
        <x:f>0</x:f>
        <x:v>0</x:v>
      </x:c>
      <x:c r="AA1677" s="10" t="n">
        <x:f>Z1677*'Assumptions'!$AC$35*'Assumptions'!$D$11*(1+'Assumptions'!$D$13)^(14-1)</x:f>
        <x:v>0</x:v>
      </x:c>
      <x:c r="AB1677" s="10" t="n">
        <x:f>F1677/1</x:f>
        <x:v>11.461910510666389</x:v>
      </x:c>
      <x:c r="AC1677" s="10" t="n">
        <x:f>AB1677/'Assumptions'!$AM$35</x:f>
        <x:v>57.30955255333194</x:v>
      </x:c>
      <x:c r="AD1677" s="10" t="n">
        <x:f>IF(AB1677=0,0,T1677/AB1677)</x:f>
        <x:v>73.15131502282676</x:v>
      </x:c>
      <x:c r="AE1677" s="10" t="n">
        <x:f>AA1677*'Assumptions'!$D$21</x:f>
        <x:v>0</x:v>
      </x:c>
    </x:row>
    <x:row r="1678" ht="16" customHeight="1">
      <x:c r="A1678" s="1"/>
      <x:c r="B1678" s="1"/>
      <x:c r="C1678" s="1" t="str">
        <x:v>DOT-007</x:v>
      </x:c>
      <x:c r="D1678" s="10" t="str">
        <x:v>BPA professional services</x:v>
      </x:c>
      <x:c r="E1678" s="10" t="n">
        <x:v>14</x:v>
      </x:c>
      <x:c r="F1678" s="21" t="n">
        <x:f>F1550*(1+'Assumptions'!$M$36)</x:f>
        <x:v>45.847642042665555</x:v>
      </x:c>
      <x:c r="G1678" s="21" t="n">
        <x:f>H1550*'Assumptions'!$K$36</x:f>
        <x:v>43.24396234862316</x:v>
      </x:c>
      <x:c r="H1678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1678+G1678,NA())</x:f>
        <x:v>89.09160439128871</x:v>
      </x:c>
      <x:c r="I1678" s="22" t="n">
        <x:f>'Assumptions'!$H$36*IF('Assumptions'!$O$36=1,1,'Assumptions'!$D$10)*(1+'Assumptions'!$N$36)^(14-1)</x:f>
        <x:v>250</x:v>
      </x:c>
      <x:c r="J1678" s="10" t="n">
        <x:f>H1678*I1678</x:f>
        <x:v>22272.901097822178</x:v>
      </x:c>
      <x:c r="K1678" s="10" t="n">
        <x:f>J1678*'Assumptions'!$T$36</x:f>
        <x:v>22272.901097822178</x:v>
      </x:c>
      <x:c r="L1678" s="10" t="n">
        <x:f>K1678*'Assumptions'!$U$36</x:f>
        <x:v>668.1870329346654</x:v>
      </x:c>
      <x:c r="M1678" s="10" t="n">
        <x:f>K1678*'Assumptions'!$V$36</x:f>
        <x:v>0</x:v>
      </x:c>
      <x:c r="N1678" s="10" t="n">
        <x:f>K1678-L1678-M1678</x:f>
        <x:v>21604.714064887514</x:v>
      </x:c>
      <x:c r="O1678" s="10" t="n">
        <x:f>H1678*'Assumptions'!$P$36*'Assumptions'!$Q$36*'Assumptions'!$D$11*(1+'Assumptions'!$D$13)^(14-1)</x:f>
        <x:v>6539.084551212165</x:v>
      </x:c>
      <x:c r="P1678" s="10" t="n">
        <x:f>H1678*'Assumptions'!$R$36*'Assumptions'!$D$11*(1+'Assumptions'!$D$13)^(14-1)</x:f>
        <x:v>1308.3402463409693</x:v>
      </x:c>
      <x:c r="Q1678" s="10" t="n">
        <x:f>J1678*'Assumptions'!$S$36</x:f>
        <x:v>0</x:v>
      </x:c>
      <x:c r="R1678" s="10" t="n">
        <x:f>H1678*'Assumptions'!$Y$36*'Assumptions'!$Z$36*'Assumptions'!$D$11*(1+'Assumptions'!$D$13)^(14-1)</x:f>
        <x:v>981.2551847557271</x:v>
      </x:c>
      <x:c r="S1678" s="10" t="n">
        <x:f>IF(I1678=0,0,J1678*'Assumptions'!$W$36+H1678*'Assumptions'!$X$36)</x:f>
        <x:v>672.6416131542298</x:v>
      </x:c>
      <x:c r="T1678" s="10" t="n">
        <x:f>N1678*'Assumptions'!$AA$36</x:f>
        <x:v>864.1885625955006</x:v>
      </x:c>
      <x:c r="U1678" s="10" t="n">
        <x:f>'Assumptions'!$AE$36*'Assumptions'!$D$11*(1+'Assumptions'!$D$13)^(14-1)</x:f>
        <x:v>0</x:v>
      </x:c>
      <x:c r="V1678" s="10" t="n">
        <x:f>0</x:f>
        <x:v>0</x:v>
      </x:c>
      <x:c r="W1678" s="10" t="n">
        <x:f>H1678*('Assumptions'!$P$36+'Assumptions'!$Y$36)</x:f>
        <x:v>96.48620755576567</x:v>
      </x:c>
      <x:c r="X1678" s="10" t="n">
        <x:f>N1678/12*'Assumptions'!$AF$36</x:f>
        <x:v>1800.392838740626</x:v>
      </x:c>
      <x:c r="Y1678" s="10" t="n">
        <x:f>P1678/12</x:f>
        <x:v>109.02835386174745</x:v>
      </x:c>
      <x:c r="Z1678" s="10" t="n">
        <x:f>0</x:f>
        <x:v>0</x:v>
      </x:c>
      <x:c r="AA1678" s="10" t="n">
        <x:f>Z1678*'Assumptions'!$AC$36*'Assumptions'!$D$11*(1+'Assumptions'!$D$13)^(14-1)</x:f>
        <x:v>0</x:v>
      </x:c>
      <x:c r="AB1678" s="10" t="n">
        <x:f>F1678/1</x:f>
        <x:v>45.847642042665555</x:v>
      </x:c>
      <x:c r="AC1678" s="10" t="n">
        <x:f>AB1678/'Assumptions'!$AM$36</x:f>
        <x:v>229.23821021332776</x:v>
      </x:c>
      <x:c r="AD1678" s="10" t="n">
        <x:f>IF(AB1678=0,0,T1678/AB1678)</x:f>
        <x:v>18.849138670889367</x:v>
      </x:c>
      <x:c r="AE1678" s="10" t="n">
        <x:f>AA1678*'Assumptions'!$D$21</x:f>
        <x:v>0</x:v>
      </x:c>
    </x:row>
    <x:row r="1679" ht="16" customHeight="1">
      <x:c r="A1679" s="1"/>
      <x:c r="B1679" s="1"/>
      <x:c r="C1679" s="1" t="str">
        <x:v>DOT-008</x:v>
      </x:c>
      <x:c r="D1679" s="10" t="str">
        <x:v>BPA professional services</x:v>
      </x:c>
      <x:c r="E1679" s="10" t="n">
        <x:v>14</x:v>
      </x:c>
      <x:c r="F1679" s="21" t="n">
        <x:f>F1551*(1+'Assumptions'!$M$37)</x:f>
        <x:v>17.192865765999574</x:v>
      </x:c>
      <x:c r="G1679" s="21" t="n">
        <x:f>H1551*'Assumptions'!$K$37</x:f>
        <x:v>16.21648588073368</x:v>
      </x:c>
      <x:c r="H1679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1679+G1679,NA())</x:f>
        <x:v>33.409351646733256</x:v>
      </x:c>
      <x:c r="I1679" s="22" t="n">
        <x:f>'Assumptions'!$H$37*IF('Assumptions'!$O$37=1,1,'Assumptions'!$D$10)*(1+'Assumptions'!$N$37)^(14-1)</x:f>
        <x:v>600</x:v>
      </x:c>
      <x:c r="J1679" s="10" t="n">
        <x:f>H1679*I1679</x:f>
        <x:v>20045.610988039953</x:v>
      </x:c>
      <x:c r="K1679" s="10" t="n">
        <x:f>J1679*'Assumptions'!$T$37</x:f>
        <x:v>20045.610988039953</x:v>
      </x:c>
      <x:c r="L1679" s="10" t="n">
        <x:f>K1679*'Assumptions'!$U$37</x:f>
        <x:v>601.3683296411986</x:v>
      </x:c>
      <x:c r="M1679" s="10" t="n">
        <x:f>K1679*'Assumptions'!$V$37</x:f>
        <x:v>0</x:v>
      </x:c>
      <x:c r="N1679" s="10" t="n">
        <x:f>K1679-L1679-M1679</x:f>
        <x:v>19444.242658398754</x:v>
      </x:c>
      <x:c r="O1679" s="10" t="n">
        <x:f>H1679*'Assumptions'!$P$37*'Assumptions'!$Q$37*'Assumptions'!$D$11*(1+'Assumptions'!$D$13)^(14-1)</x:f>
        <x:v>11775.06221706872</x:v>
      </x:c>
      <x:c r="P1679" s="10" t="n">
        <x:f>H1679*'Assumptions'!$R$37*'Assumptions'!$D$11*(1+'Assumptions'!$D$13)^(14-1)</x:f>
        <x:v>490.6275923778634</x:v>
      </x:c>
      <x:c r="Q1679" s="10" t="n">
        <x:f>J1679*'Assumptions'!$S$37</x:f>
        <x:v>0</x:v>
      </x:c>
      <x:c r="R1679" s="10" t="n">
        <x:f>H1679*'Assumptions'!$Y$37*'Assumptions'!$Z$37*'Assumptions'!$D$11*(1+'Assumptions'!$D$13)^(14-1)</x:f>
        <x:v>367.9706942833975</x:v>
      </x:c>
      <x:c r="S1679" s="10" t="n">
        <x:f>IF(I1679=0,0,J1679*'Assumptions'!$W$37+H1679*'Assumptions'!$X$37)</x:f>
        <x:v>591.3455241471786</x:v>
      </x:c>
      <x:c r="T1679" s="10" t="n">
        <x:f>N1679*'Assumptions'!$AA$37</x:f>
        <x:v>777.7697063359502</x:v>
      </x:c>
      <x:c r="U1679" s="10" t="n">
        <x:f>'Assumptions'!$AE$37*'Assumptions'!$D$11*(1+'Assumptions'!$D$13)^(14-1)</x:f>
        <x:v>0</x:v>
      </x:c>
      <x:c r="V1679" s="10" t="n">
        <x:f>0</x:f>
        <x:v>0</x:v>
      </x:c>
      <x:c r="W1679" s="10" t="n">
        <x:f>H1679*('Assumptions'!$P$37+'Assumptions'!$Y$37)</x:f>
        <x:v>141.98974449861635</x:v>
      </x:c>
      <x:c r="X1679" s="10" t="n">
        <x:f>N1679/12*'Assumptions'!$AF$37</x:f>
        <x:v>1620.353554866563</x:v>
      </x:c>
      <x:c r="Y1679" s="10" t="n">
        <x:f>P1679/12</x:f>
        <x:v>40.885632698155284</x:v>
      </x:c>
      <x:c r="Z1679" s="10" t="n">
        <x:f>0</x:f>
        <x:v>0</x:v>
      </x:c>
      <x:c r="AA1679" s="10" t="n">
        <x:f>Z1679*'Assumptions'!$AC$37*'Assumptions'!$D$11*(1+'Assumptions'!$D$13)^(14-1)</x:f>
        <x:v>0</x:v>
      </x:c>
      <x:c r="AB1679" s="10" t="n">
        <x:f>F1679/1</x:f>
        <x:v>17.192865765999574</x:v>
      </x:c>
      <x:c r="AC1679" s="10" t="n">
        <x:f>AB1679/'Assumptions'!$AM$37</x:f>
        <x:v>85.96432882999787</x:v>
      </x:c>
      <x:c r="AD1679" s="10" t="n">
        <x:f>IF(AB1679=0,0,T1679/AB1679)</x:f>
        <x:v>45.23793281013449</x:v>
      </x:c>
      <x:c r="AE1679" s="10" t="n">
        <x:f>AA1679*'Assumptions'!$D$21</x:f>
        <x:v>0</x:v>
      </x:c>
    </x:row>
    <x:row r="1680" ht="16" customHeight="1">
      <x:c r="A1680" s="1"/>
      <x:c r="B1680" s="1"/>
      <x:c r="C1680" s="1" t="str">
        <x:v>DOT-009</x:v>
      </x:c>
      <x:c r="D1680" s="10" t="str">
        <x:v>BPA professional services</x:v>
      </x:c>
      <x:c r="E1680" s="10" t="n">
        <x:v>14</x:v>
      </x:c>
      <x:c r="F1680" s="21" t="n">
        <x:f>F1552*(1+'Assumptions'!$M$38)</x:f>
        <x:v>11.461910510666389</x:v>
      </x:c>
      <x:c r="G1680" s="21" t="n">
        <x:f>H1552*'Assumptions'!$K$38</x:f>
        <x:v>10.81099058715579</x:v>
      </x:c>
      <x:c r="H1680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1680+G1680,NA())</x:f>
        <x:v>22.272901097822178</x:v>
      </x:c>
      <x:c r="I1680" s="22" t="n">
        <x:f>'Assumptions'!$H$38*IF('Assumptions'!$O$38=1,1,'Assumptions'!$D$10)*(1+'Assumptions'!$N$38)^(14-1)</x:f>
        <x:v>900</x:v>
      </x:c>
      <x:c r="J1680" s="10" t="n">
        <x:f>H1680*I1680</x:f>
        <x:v>20045.61098803996</x:v>
      </x:c>
      <x:c r="K1680" s="10" t="n">
        <x:f>J1680*'Assumptions'!$T$38</x:f>
        <x:v>20045.61098803996</x:v>
      </x:c>
      <x:c r="L1680" s="10" t="n">
        <x:f>K1680*'Assumptions'!$U$38</x:f>
        <x:v>601.3683296411988</x:v>
      </x:c>
      <x:c r="M1680" s="10" t="n">
        <x:f>K1680*'Assumptions'!$V$38</x:f>
        <x:v>0</x:v>
      </x:c>
      <x:c r="N1680" s="10" t="n">
        <x:f>K1680-L1680-M1680</x:f>
        <x:v>19444.24265839876</x:v>
      </x:c>
      <x:c r="O1680" s="10" t="n">
        <x:f>H1680*'Assumptions'!$P$38*'Assumptions'!$Q$38*'Assumptions'!$D$11*(1+'Assumptions'!$D$13)^(14-1)</x:f>
        <x:v>11775.062217068726</x:v>
      </x:c>
      <x:c r="P1680" s="10" t="n">
        <x:f>H1680*'Assumptions'!$R$38*'Assumptions'!$D$11*(1+'Assumptions'!$D$13)^(14-1)</x:f>
        <x:v>327.08506158524233</x:v>
      </x:c>
      <x:c r="Q1680" s="10" t="n">
        <x:f>J1680*'Assumptions'!$S$38</x:f>
        <x:v>0</x:v>
      </x:c>
      <x:c r="R1680" s="10" t="n">
        <x:f>H1680*'Assumptions'!$Y$38*'Assumptions'!$Z$38*'Assumptions'!$D$11*(1+'Assumptions'!$D$13)^(14-1)</x:f>
        <x:v>245.31379618893178</x:v>
      </x:c>
      <x:c r="S1680" s="10" t="n">
        <x:f>IF(I1680=0,0,J1680*'Assumptions'!$W$38+H1680*'Assumptions'!$X$38)</x:f>
        <x:v>588.0045889825055</x:v>
      </x:c>
      <x:c r="T1680" s="10" t="n">
        <x:f>N1680*'Assumptions'!$AA$38</x:f>
        <x:v>777.7697063359504</x:v>
      </x:c>
      <x:c r="U1680" s="10" t="n">
        <x:f>'Assumptions'!$AE$38*'Assumptions'!$D$11*(1+'Assumptions'!$D$13)^(14-1)</x:f>
        <x:v>0</x:v>
      </x:c>
      <x:c r="V1680" s="10" t="n">
        <x:f>0</x:f>
        <x:v>0</x:v>
      </x:c>
      <x:c r="W1680" s="10" t="n">
        <x:f>H1680*('Assumptions'!$P$38+'Assumptions'!$Y$38)</x:f>
        <x:v>139.2056318613886</x:v>
      </x:c>
      <x:c r="X1680" s="10" t="n">
        <x:f>N1680/12*'Assumptions'!$AF$38</x:f>
        <x:v>1620.3535548665634</x:v>
      </x:c>
      <x:c r="Y1680" s="10" t="n">
        <x:f>P1680/12</x:f>
        <x:v>27.257088465436862</x:v>
      </x:c>
      <x:c r="Z1680" s="10" t="n">
        <x:f>0</x:f>
        <x:v>0</x:v>
      </x:c>
      <x:c r="AA1680" s="10" t="n">
        <x:f>Z1680*'Assumptions'!$AC$38*'Assumptions'!$D$11*(1+'Assumptions'!$D$13)^(14-1)</x:f>
        <x:v>0</x:v>
      </x:c>
      <x:c r="AB1680" s="10" t="n">
        <x:f>F1680/1</x:f>
        <x:v>11.461910510666389</x:v>
      </x:c>
      <x:c r="AC1680" s="10" t="n">
        <x:f>AB1680/'Assumptions'!$AM$38</x:f>
        <x:v>57.30955255333194</x:v>
      </x:c>
      <x:c r="AD1680" s="10" t="n">
        <x:f>IF(AB1680=0,0,T1680/AB1680)</x:f>
        <x:v>67.85689921520172</x:v>
      </x:c>
      <x:c r="AE1680" s="10" t="n">
        <x:f>AA1680*'Assumptions'!$D$21</x:f>
        <x:v>0</x:v>
      </x:c>
    </x:row>
    <x:row r="1681" ht="16" customHeight="1">
      <x:c r="A1681" s="1"/>
      <x:c r="B1681" s="1"/>
      <x:c r="C1681" s="1" t="str">
        <x:v>DOT-010</x:v>
      </x:c>
      <x:c r="D1681" s="10" t="str">
        <x:v>BPA professional services</x:v>
      </x:c>
      <x:c r="E1681" s="10" t="n">
        <x:v>14</x:v>
      </x:c>
      <x:c r="F1681" s="21" t="n">
        <x:f>F1553*(1+'Assumptions'!$M$39)</x:f>
        <x:v>11.461910510666389</x:v>
      </x:c>
      <x:c r="G1681" s="21" t="n">
        <x:f>H1553*'Assumptions'!$K$39</x:f>
        <x:v>10.81099058715579</x:v>
      </x:c>
      <x:c r="H1681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1681+G1681,NA())</x:f>
        <x:v>22.272901097822178</x:v>
      </x:c>
      <x:c r="I1681" s="22" t="n">
        <x:f>'Assumptions'!$H$39*IF('Assumptions'!$O$39=1,1,'Assumptions'!$D$10)*(1+'Assumptions'!$N$39)^(14-1)</x:f>
        <x:v>1800</x:v>
      </x:c>
      <x:c r="J1681" s="10" t="n">
        <x:f>H1681*I1681</x:f>
        <x:v>40091.22197607992</x:v>
      </x:c>
      <x:c r="K1681" s="10" t="n">
        <x:f>J1681*'Assumptions'!$T$39</x:f>
        <x:v>40091.22197607992</x:v>
      </x:c>
      <x:c r="L1681" s="10" t="n">
        <x:f>K1681*'Assumptions'!$U$39</x:f>
        <x:v>1202.7366592823976</x:v>
      </x:c>
      <x:c r="M1681" s="10" t="n">
        <x:f>K1681*'Assumptions'!$V$39</x:f>
        <x:v>0</x:v>
      </x:c>
      <x:c r="N1681" s="10" t="n">
        <x:f>K1681-L1681-M1681</x:f>
        <x:v>38888.48531679752</x:v>
      </x:c>
      <x:c r="O1681" s="10" t="n">
        <x:f>H1681*'Assumptions'!$P$39*'Assumptions'!$Q$39*'Assumptions'!$D$11*(1+'Assumptions'!$D$13)^(14-1)</x:f>
        <x:v>23550.12443413745</x:v>
      </x:c>
      <x:c r="P1681" s="10" t="n">
        <x:f>H1681*'Assumptions'!$R$39*'Assumptions'!$D$11*(1+'Assumptions'!$D$13)^(14-1)</x:f>
        <x:v>327.08506158524233</x:v>
      </x:c>
      <x:c r="Q1681" s="10" t="n">
        <x:f>J1681*'Assumptions'!$S$39</x:f>
        <x:v>0</x:v>
      </x:c>
      <x:c r="R1681" s="10" t="n">
        <x:f>H1681*'Assumptions'!$Y$39*'Assumptions'!$Z$39*'Assumptions'!$D$11*(1+'Assumptions'!$D$13)^(14-1)</x:f>
        <x:v>245.31379618893178</x:v>
      </x:c>
      <x:c r="S1681" s="10" t="n">
        <x:f>IF(I1681=0,0,J1681*'Assumptions'!$W$39+H1681*'Assumptions'!$X$39)</x:f>
        <x:v>1169.3273076356643</x:v>
      </x:c>
      <x:c r="T1681" s="10" t="n">
        <x:f>N1681*'Assumptions'!$AA$39</x:f>
        <x:v>1555.539412671901</x:v>
      </x:c>
      <x:c r="U1681" s="10" t="n">
        <x:f>'Assumptions'!$AE$39*'Assumptions'!$D$11*(1+'Assumptions'!$D$13)^(14-1)</x:f>
        <x:v>0</x:v>
      </x:c>
      <x:c r="V1681" s="10" t="n">
        <x:f>0</x:f>
        <x:v>0</x:v>
      </x:c>
      <x:c r="W1681" s="10" t="n">
        <x:f>H1681*('Assumptions'!$P$39+'Assumptions'!$Y$39)</x:f>
        <x:v>272.8430384483217</x:v>
      </x:c>
      <x:c r="X1681" s="10" t="n">
        <x:f>N1681/12*'Assumptions'!$AF$39</x:f>
        <x:v>3240.707109733127</x:v>
      </x:c>
      <x:c r="Y1681" s="10" t="n">
        <x:f>P1681/12</x:f>
        <x:v>27.257088465436862</x:v>
      </x:c>
      <x:c r="Z1681" s="10" t="n">
        <x:f>0</x:f>
        <x:v>0</x:v>
      </x:c>
      <x:c r="AA1681" s="10" t="n">
        <x:f>Z1681*'Assumptions'!$AC$39*'Assumptions'!$D$11*(1+'Assumptions'!$D$13)^(14-1)</x:f>
        <x:v>0</x:v>
      </x:c>
      <x:c r="AB1681" s="10" t="n">
        <x:f>F1681/1</x:f>
        <x:v>11.461910510666389</x:v>
      </x:c>
      <x:c r="AC1681" s="10" t="n">
        <x:f>AB1681/'Assumptions'!$AM$39</x:f>
        <x:v>57.30955255333194</x:v>
      </x:c>
      <x:c r="AD1681" s="10" t="n">
        <x:f>IF(AB1681=0,0,T1681/AB1681)</x:f>
        <x:v>135.71379843040344</x:v>
      </x:c>
      <x:c r="AE1681" s="10" t="n">
        <x:f>AA1681*'Assumptions'!$D$21</x:f>
        <x:v>0</x:v>
      </x:c>
    </x:row>
    <x:row r="1682" ht="16" customHeight="1">
      <x:c r="A1682" s="1"/>
      <x:c r="B1682" s="1"/>
      <x:c r="C1682" s="1" t="str">
        <x:v>DOT-011</x:v>
      </x:c>
      <x:c r="D1682" s="10" t="str">
        <x:v>BPA professional services</x:v>
      </x:c>
      <x:c r="E1682" s="10" t="n">
        <x:v>14</x:v>
      </x:c>
      <x:c r="F1682" s="21" t="n">
        <x:f>F1554*(1+'Assumptions'!$M$40)</x:f>
        <x:v>34.38573153199915</x:v>
      </x:c>
      <x:c r="G1682" s="21" t="n">
        <x:f>H1554*'Assumptions'!$K$40</x:f>
        <x:v>32.43297176146736</x:v>
      </x:c>
      <x:c r="H1682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1682+G1682,NA())</x:f>
        <x:v>66.81870329346651</x:v>
      </x:c>
      <x:c r="I1682" s="22" t="n">
        <x:f>'Assumptions'!$H$40*IF('Assumptions'!$O$40=1,1,'Assumptions'!$D$10)*(1+'Assumptions'!$N$40)^(14-1)</x:f>
        <x:v>600</x:v>
      </x:c>
      <x:c r="J1682" s="10" t="n">
        <x:f>H1682*I1682</x:f>
        <x:v>40091.221976079905</x:v>
      </x:c>
      <x:c r="K1682" s="10" t="n">
        <x:f>J1682*'Assumptions'!$T$40</x:f>
        <x:v>40091.221976079905</x:v>
      </x:c>
      <x:c r="L1682" s="10" t="n">
        <x:f>K1682*'Assumptions'!$U$40</x:f>
        <x:v>1202.736659282397</x:v>
      </x:c>
      <x:c r="M1682" s="10" t="n">
        <x:f>K1682*'Assumptions'!$V$40</x:f>
        <x:v>0</x:v>
      </x:c>
      <x:c r="N1682" s="10" t="n">
        <x:f>K1682-L1682-M1682</x:f>
        <x:v>38888.48531679751</x:v>
      </x:c>
      <x:c r="O1682" s="10" t="n">
        <x:f>H1682*'Assumptions'!$P$40*'Assumptions'!$Q$40*'Assumptions'!$D$11*(1+'Assumptions'!$D$13)^(14-1)</x:f>
        <x:v>23550.12443413744</x:v>
      </x:c>
      <x:c r="P1682" s="10" t="n">
        <x:f>H1682*'Assumptions'!$R$40*'Assumptions'!$D$11*(1+'Assumptions'!$D$13)^(14-1)</x:f>
        <x:v>981.2551847557268</x:v>
      </x:c>
      <x:c r="Q1682" s="10" t="n">
        <x:f>J1682*'Assumptions'!$S$40</x:f>
        <x:v>0</x:v>
      </x:c>
      <x:c r="R1682" s="10" t="n">
        <x:f>H1682*'Assumptions'!$Y$40*'Assumptions'!$Z$40*'Assumptions'!$D$11*(1+'Assumptions'!$D$13)^(14-1)</x:f>
        <x:v>735.941388566795</x:v>
      </x:c>
      <x:c r="S1682" s="10" t="n">
        <x:f>IF(I1682=0,0,J1682*'Assumptions'!$W$40+H1682*'Assumptions'!$X$40)</x:f>
        <x:v>1182.6910482943572</x:v>
      </x:c>
      <x:c r="T1682" s="10" t="n">
        <x:f>N1682*'Assumptions'!$AA$40</x:f>
        <x:v>1555.5394126719004</x:v>
      </x:c>
      <x:c r="U1682" s="10" t="n">
        <x:f>'Assumptions'!$AE$40*'Assumptions'!$D$11*(1+'Assumptions'!$D$13)^(14-1)</x:f>
        <x:v>0</x:v>
      </x:c>
      <x:c r="V1682" s="10" t="n">
        <x:f>0</x:f>
        <x:v>0</x:v>
      </x:c>
      <x:c r="W1682" s="10" t="n">
        <x:f>H1682*('Assumptions'!$P$40+'Assumptions'!$Y$40)</x:f>
        <x:v>283.9794889972327</x:v>
      </x:c>
      <x:c r="X1682" s="10" t="n">
        <x:f>N1682/12*'Assumptions'!$AF$40</x:f>
        <x:v>3240.707109733126</x:v>
      </x:c>
      <x:c r="Y1682" s="10" t="n">
        <x:f>P1682/12</x:f>
        <x:v>81.77126539631057</x:v>
      </x:c>
      <x:c r="Z1682" s="10" t="n">
        <x:f>0</x:f>
        <x:v>0</x:v>
      </x:c>
      <x:c r="AA1682" s="10" t="n">
        <x:f>Z1682*'Assumptions'!$AC$40*'Assumptions'!$D$11*(1+'Assumptions'!$D$13)^(14-1)</x:f>
        <x:v>0</x:v>
      </x:c>
      <x:c r="AB1682" s="10" t="n">
        <x:f>F1682/12</x:f>
        <x:v>2.865477627666596</x:v>
      </x:c>
      <x:c r="AC1682" s="10" t="n">
        <x:f>AB1682/'Assumptions'!$AM$40</x:f>
        <x:v>14.327388138332978</x:v>
      </x:c>
      <x:c r="AD1682" s="10" t="n">
        <x:f>IF(AB1682=0,0,T1682/AB1682)</x:f>
        <x:v>542.8551937216139</x:v>
      </x:c>
      <x:c r="AE1682" s="10" t="n">
        <x:f>AA1682*'Assumptions'!$D$21</x:f>
        <x:v>0</x:v>
      </x:c>
    </x:row>
    <x:row r="1683" ht="16" customHeight="1">
      <x:c r="A1683" s="1"/>
      <x:c r="B1683" s="1"/>
      <x:c r="C1683" s="1" t="str">
        <x:v>DOT-012</x:v>
      </x:c>
      <x:c r="D1683" s="10" t="str">
        <x:v>BPA professional services</x:v>
      </x:c>
      <x:c r="E1683" s="10" t="n">
        <x:v>14</x:v>
      </x:c>
      <x:c r="F1683" s="21" t="n">
        <x:f>F1555*(1+'Assumptions'!$M$41)</x:f>
        <x:v>22.923821021332778</x:v>
      </x:c>
      <x:c r="G1683" s="21" t="n">
        <x:f>H1555*'Assumptions'!$K$41</x:f>
        <x:v>21.62198117431158</x:v>
      </x:c>
      <x:c r="H1683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1683+G1683,NA())</x:f>
        <x:v>44.545802195644356</x:v>
      </x:c>
      <x:c r="I1683" s="22" t="n">
        <x:f>'Assumptions'!$H$41*IF('Assumptions'!$O$41=1,1,'Assumptions'!$D$10)*(1+'Assumptions'!$N$41)^(14-1)</x:f>
        <x:v>1080</x:v>
      </x:c>
      <x:c r="J1683" s="10" t="n">
        <x:f>H1683*I1683</x:f>
        <x:v>48109.4663712959</x:v>
      </x:c>
      <x:c r="K1683" s="10" t="n">
        <x:f>J1683*'Assumptions'!$T$41</x:f>
        <x:v>48109.4663712959</x:v>
      </x:c>
      <x:c r="L1683" s="10" t="n">
        <x:f>K1683*'Assumptions'!$U$41</x:f>
        <x:v>1443.283991138877</x:v>
      </x:c>
      <x:c r="M1683" s="10" t="n">
        <x:f>K1683*'Assumptions'!$V$41</x:f>
        <x:v>0</x:v>
      </x:c>
      <x:c r="N1683" s="10" t="n">
        <x:f>K1683-L1683-M1683</x:f>
        <x:v>46666.18238015702</x:v>
      </x:c>
      <x:c r="O1683" s="10" t="n">
        <x:f>H1683*'Assumptions'!$P$41*'Assumptions'!$Q$41*'Assumptions'!$D$11*(1+'Assumptions'!$D$13)^(14-1)</x:f>
        <x:v>31400.165912183267</x:v>
      </x:c>
      <x:c r="P1683" s="10" t="n">
        <x:f>H1683*'Assumptions'!$R$41*'Assumptions'!$D$11*(1+'Assumptions'!$D$13)^(14-1)</x:f>
        <x:v>654.1701231704847</x:v>
      </x:c>
      <x:c r="Q1683" s="10" t="n">
        <x:f>J1683*'Assumptions'!$S$41</x:f>
        <x:v>0</x:v>
      </x:c>
      <x:c r="R1683" s="10" t="n">
        <x:f>H1683*'Assumptions'!$Y$41*'Assumptions'!$Z$41*'Assumptions'!$D$11*(1+'Assumptions'!$D$13)^(14-1)</x:f>
        <x:v>490.62759237786355</x:v>
      </x:c>
      <x:c r="S1683" s="10" t="n">
        <x:f>IF(I1683=0,0,J1683*'Assumptions'!$W$41+H1683*'Assumptions'!$X$41)</x:f>
        <x:v>1408.5382654262746</x:v>
      </x:c>
      <x:c r="T1683" s="10" t="n">
        <x:f>N1683*'Assumptions'!$AA$41</x:f>
        <x:v>1866.647295206281</x:v>
      </x:c>
      <x:c r="U1683" s="10" t="n">
        <x:f>'Assumptions'!$AE$41*'Assumptions'!$D$11*(1+'Assumptions'!$D$13)^(14-1)</x:f>
        <x:v>0</x:v>
      </x:c>
      <x:c r="V1683" s="10" t="n">
        <x:f>0</x:f>
        <x:v>0</x:v>
      </x:c>
      <x:c r="W1683" s="10" t="n">
        <x:f>H1683*('Assumptions'!$P$41+'Assumptions'!$Y$41)</x:f>
        <x:v>367.50286811406596</x:v>
      </x:c>
      <x:c r="X1683" s="10" t="n">
        <x:f>N1683/12*'Assumptions'!$AF$41</x:f>
        <x:v>3888.848531679752</x:v>
      </x:c>
      <x:c r="Y1683" s="10" t="n">
        <x:f>P1683/12</x:f>
        <x:v>54.514176930873724</x:v>
      </x:c>
      <x:c r="Z1683" s="10" t="n">
        <x:f>0</x:f>
        <x:v>0</x:v>
      </x:c>
      <x:c r="AA1683" s="10" t="n">
        <x:f>Z1683*'Assumptions'!$AC$41*'Assumptions'!$D$11*(1+'Assumptions'!$D$13)^(14-1)</x:f>
        <x:v>0</x:v>
      </x:c>
      <x:c r="AB1683" s="10" t="n">
        <x:f>F1683/12</x:f>
        <x:v>1.9103184184443982</x:v>
      </x:c>
      <x:c r="AC1683" s="10" t="n">
        <x:f>AB1683/'Assumptions'!$AM$41</x:f>
        <x:v>9.551592092221991</x:v>
      </x:c>
      <x:c r="AD1683" s="10" t="n">
        <x:f>IF(AB1683=0,0,T1683/AB1683)</x:f>
        <x:v>977.1393486989047</x:v>
      </x:c>
      <x:c r="AE1683" s="10" t="n">
        <x:f>AA1683*'Assumptions'!$D$21</x:f>
        <x:v>0</x:v>
      </x:c>
    </x:row>
    <x:row r="1684" ht="16" customHeight="1">
      <x:c r="A1684" s="1"/>
      <x:c r="B1684" s="1"/>
      <x:c r="C1684" s="1" t="str">
        <x:v>DOT-013</x:v>
      </x:c>
      <x:c r="D1684" s="10" t="str">
        <x:v>BPA professional services</x:v>
      </x:c>
      <x:c r="E1684" s="10" t="n">
        <x:v>14</x:v>
      </x:c>
      <x:c r="F1684" s="21" t="n">
        <x:f>F1556*(1+'Assumptions'!$M$42)</x:f>
        <x:v>17.192865765999574</x:v>
      </x:c>
      <x:c r="G1684" s="21" t="n">
        <x:f>H1556*'Assumptions'!$K$42</x:f>
        <x:v>16.21648588073368</x:v>
      </x:c>
      <x:c r="H1684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1684+G1684,NA())</x:f>
        <x:v>33.409351646733256</x:v>
      </x:c>
      <x:c r="I1684" s="22" t="n">
        <x:f>'Assumptions'!$H$42*IF('Assumptions'!$O$42=1,1,'Assumptions'!$D$10)*(1+'Assumptions'!$N$42)^(14-1)</x:f>
        <x:v>2160</x:v>
      </x:c>
      <x:c r="J1684" s="10" t="n">
        <x:f>H1684*I1684</x:f>
        <x:v>72164.19955694383</x:v>
      </x:c>
      <x:c r="K1684" s="10" t="n">
        <x:f>J1684*'Assumptions'!$T$42</x:f>
        <x:v>72164.19955694383</x:v>
      </x:c>
      <x:c r="L1684" s="10" t="n">
        <x:f>K1684*'Assumptions'!$U$42</x:f>
        <x:v>2164.9259867083147</x:v>
      </x:c>
      <x:c r="M1684" s="10" t="n">
        <x:f>K1684*'Assumptions'!$V$42</x:f>
        <x:v>0</x:v>
      </x:c>
      <x:c r="N1684" s="10" t="n">
        <x:f>K1684-L1684-M1684</x:f>
        <x:v>69999.27357023551</x:v>
      </x:c>
      <x:c r="O1684" s="10" t="n">
        <x:f>H1684*'Assumptions'!$P$42*'Assumptions'!$Q$42*'Assumptions'!$D$11*(1+'Assumptions'!$D$13)^(14-1)</x:f>
        <x:v>47100.24886827488</x:v>
      </x:c>
      <x:c r="P1684" s="10" t="n">
        <x:f>H1684*'Assumptions'!$R$42*'Assumptions'!$D$11*(1+'Assumptions'!$D$13)^(14-1)</x:f>
        <x:v>490.6275923778634</x:v>
      </x:c>
      <x:c r="Q1684" s="10" t="n">
        <x:f>J1684*'Assumptions'!$S$42</x:f>
        <x:v>0</x:v>
      </x:c>
      <x:c r="R1684" s="10" t="n">
        <x:f>H1684*'Assumptions'!$Y$42*'Assumptions'!$Z$42*'Assumptions'!$D$11*(1+'Assumptions'!$D$13)^(14-1)</x:f>
        <x:v>367.9706942833975</x:v>
      </x:c>
      <x:c r="S1684" s="10" t="n">
        <x:f>IF(I1684=0,0,J1684*'Assumptions'!$W$42+H1684*'Assumptions'!$X$42)</x:f>
        <x:v>2102.784592645391</x:v>
      </x:c>
      <x:c r="T1684" s="10" t="n">
        <x:f>N1684*'Assumptions'!$AA$42</x:f>
        <x:v>2799.9709428094206</x:v>
      </x:c>
      <x:c r="U1684" s="10" t="n">
        <x:f>'Assumptions'!$AE$42*'Assumptions'!$D$11*(1+'Assumptions'!$D$13)^(14-1)</x:f>
        <x:v>0</x:v>
      </x:c>
      <x:c r="V1684" s="10" t="n">
        <x:f>0</x:f>
        <x:v>0</x:v>
      </x:c>
      <x:c r="W1684" s="10" t="n">
        <x:f>H1684*('Assumptions'!$P$42+'Assumptions'!$Y$42)</x:f>
        <x:v>542.9019642594154</x:v>
      </x:c>
      <x:c r="X1684" s="10" t="n">
        <x:f>N1684/12*'Assumptions'!$AF$42</x:f>
        <x:v>5833.272797519626</x:v>
      </x:c>
      <x:c r="Y1684" s="10" t="n">
        <x:f>P1684/12</x:f>
        <x:v>40.885632698155284</x:v>
      </x:c>
      <x:c r="Z1684" s="10" t="n">
        <x:f>0</x:f>
        <x:v>0</x:v>
      </x:c>
      <x:c r="AA1684" s="10" t="n">
        <x:f>Z1684*'Assumptions'!$AC$42*'Assumptions'!$D$11*(1+'Assumptions'!$D$13)^(14-1)</x:f>
        <x:v>0</x:v>
      </x:c>
      <x:c r="AB1684" s="10" t="n">
        <x:f>F1684/12</x:f>
        <x:v>1.432738813833298</x:v>
      </x:c>
      <x:c r="AC1684" s="10" t="n">
        <x:f>AB1684/'Assumptions'!$AM$42</x:f>
        <x:v>7.163694069166489</x:v>
      </x:c>
      <x:c r="AD1684" s="10" t="n">
        <x:f>IF(AB1684=0,0,T1684/AB1684)</x:f>
        <x:v>1954.2786973978098</x:v>
      </x:c>
      <x:c r="AE1684" s="10" t="n">
        <x:f>AA1684*'Assumptions'!$D$21</x:f>
        <x:v>0</x:v>
      </x:c>
    </x:row>
    <x:row r="1685" ht="16" customHeight="1">
      <x:c r="A1685" s="1"/>
      <x:c r="B1685" s="1"/>
      <x:c r="C1685" s="1" t="str">
        <x:v>DOT-014</x:v>
      </x:c>
      <x:c r="D1685" s="10" t="str">
        <x:v>BPA professional services</x:v>
      </x:c>
      <x:c r="E1685" s="10" t="n">
        <x:v>14</x:v>
      </x:c>
      <x:c r="F1685" s="21" t="n">
        <x:f>F1557*(1+'Assumptions'!$M$43)</x:f>
        <x:v>11.461910510666389</x:v>
      </x:c>
      <x:c r="G1685" s="21" t="n">
        <x:f>H1557*'Assumptions'!$K$43</x:f>
        <x:v>10.81099058715579</x:v>
      </x:c>
      <x:c r="H1685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1685+G1685,NA())</x:f>
        <x:v>22.272901097822178</x:v>
      </x:c>
      <x:c r="I1685" s="22" t="n">
        <x:f>'Assumptions'!$H$43*IF('Assumptions'!$O$43=1,1,'Assumptions'!$D$10)*(1+'Assumptions'!$N$43)^(14-1)</x:f>
        <x:v>3000</x:v>
      </x:c>
      <x:c r="J1685" s="10" t="n">
        <x:f>H1685*I1685</x:f>
        <x:v>66818.70329346653</x:v>
      </x:c>
      <x:c r="K1685" s="10" t="n">
        <x:f>J1685*'Assumptions'!$T$43</x:f>
        <x:v>66818.70329346653</x:v>
      </x:c>
      <x:c r="L1685" s="10" t="n">
        <x:f>K1685*'Assumptions'!$U$43</x:f>
        <x:v>2004.561098803996</x:v>
      </x:c>
      <x:c r="M1685" s="10" t="n">
        <x:f>K1685*'Assumptions'!$V$43</x:f>
        <x:v>0</x:v>
      </x:c>
      <x:c r="N1685" s="10" t="n">
        <x:f>K1685-L1685-M1685</x:f>
        <x:v>64814.142194662534</x:v>
      </x:c>
      <x:c r="O1685" s="10" t="n">
        <x:f>H1685*'Assumptions'!$P$43*'Assumptions'!$Q$43*'Assumptions'!$D$11*(1+'Assumptions'!$D$13)^(14-1)</x:f>
        <x:v>39250.20739022909</x:v>
      </x:c>
      <x:c r="P1685" s="10" t="n">
        <x:f>H1685*'Assumptions'!$R$43*'Assumptions'!$D$11*(1+'Assumptions'!$D$13)^(14-1)</x:f>
        <x:v>327.08506158524233</x:v>
      </x:c>
      <x:c r="Q1685" s="10" t="n">
        <x:f>J1685*'Assumptions'!$S$43</x:f>
        <x:v>0</x:v>
      </x:c>
      <x:c r="R1685" s="10" t="n">
        <x:f>H1685*'Assumptions'!$Y$43*'Assumptions'!$Z$43*'Assumptions'!$D$11*(1+'Assumptions'!$D$13)^(14-1)</x:f>
        <x:v>245.31379618893178</x:v>
      </x:c>
      <x:c r="S1685" s="10" t="n">
        <x:f>IF(I1685=0,0,J1685*'Assumptions'!$W$43+H1685*'Assumptions'!$X$43)</x:f>
        <x:v>1944.4242658398762</x:v>
      </x:c>
      <x:c r="T1685" s="10" t="n">
        <x:f>N1685*'Assumptions'!$AA$43</x:f>
        <x:v>2592.5656877865013</x:v>
      </x:c>
      <x:c r="U1685" s="10" t="n">
        <x:f>'Assumptions'!$AE$43*'Assumptions'!$D$11*(1+'Assumptions'!$D$13)^(14-1)</x:f>
        <x:v>0</x:v>
      </x:c>
      <x:c r="V1685" s="10" t="n">
        <x:f>0</x:f>
        <x:v>0</x:v>
      </x:c>
      <x:c r="W1685" s="10" t="n">
        <x:f>H1685*('Assumptions'!$P$43+'Assumptions'!$Y$43)</x:f>
        <x:v>451.0262472308991</x:v>
      </x:c>
      <x:c r="X1685" s="10" t="n">
        <x:f>N1685/12*'Assumptions'!$AF$43</x:f>
        <x:v>5401.1785162218775</x:v>
      </x:c>
      <x:c r="Y1685" s="10" t="n">
        <x:f>P1685/12</x:f>
        <x:v>27.257088465436862</x:v>
      </x:c>
      <x:c r="Z1685" s="10" t="n">
        <x:f>0</x:f>
        <x:v>0</x:v>
      </x:c>
      <x:c r="AA1685" s="10" t="n">
        <x:f>Z1685*'Assumptions'!$AC$43*'Assumptions'!$D$11*(1+'Assumptions'!$D$13)^(14-1)</x:f>
        <x:v>0</x:v>
      </x:c>
      <x:c r="AB1685" s="10" t="n">
        <x:f>F1685/12</x:f>
        <x:v>0.9551592092221991</x:v>
      </x:c>
      <x:c r="AC1685" s="10" t="n">
        <x:f>AB1685/'Assumptions'!$AM$43</x:f>
        <x:v>4.775796046110996</x:v>
      </x:c>
      <x:c r="AD1685" s="10" t="n">
        <x:f>IF(AB1685=0,0,T1685/AB1685)</x:f>
        <x:v>2714.2759686080685</x:v>
      </x:c>
      <x:c r="AE1685" s="10" t="n">
        <x:f>AA1685*'Assumptions'!$D$21</x:f>
        <x:v>0</x:v>
      </x:c>
    </x:row>
    <x:row r="1686" ht="16" customHeight="1">
      <x:c r="A1686" s="1"/>
      <x:c r="B1686" s="1"/>
      <x:c r="C1686" s="1" t="str">
        <x:v>DOT-015</x:v>
      </x:c>
      <x:c r="D1686" s="10" t="str">
        <x:v>BPA professional services</x:v>
      </x:c>
      <x:c r="E1686" s="10" t="n">
        <x:v>14</x:v>
      </x:c>
      <x:c r="F1686" s="21" t="n">
        <x:f>F1558*(1+'Assumptions'!$M$44)</x:f>
        <x:v>9.55159209222199</x:v>
      </x:c>
      <x:c r="G1686" s="21" t="n">
        <x:f>H1558*'Assumptions'!$K$44</x:f>
        <x:v>9.009158822629825</x:v>
      </x:c>
      <x:c r="H1686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1686+G1686,NA())</x:f>
        <x:v>18.560750914851816</x:v>
      </x:c>
      <x:c r="I1686" s="22" t="n">
        <x:f>'Assumptions'!$H$44*IF('Assumptions'!$O$44=1,1,'Assumptions'!$D$10)*(1+'Assumptions'!$N$44)^(14-1)</x:f>
        <x:v>1200</x:v>
      </x:c>
      <x:c r="J1686" s="10" t="n">
        <x:f>H1686*I1686</x:f>
        <x:v>22272.901097822178</x:v>
      </x:c>
      <x:c r="K1686" s="10" t="n">
        <x:f>J1686*'Assumptions'!$T$44</x:f>
        <x:v>22272.901097822178</x:v>
      </x:c>
      <x:c r="L1686" s="10" t="n">
        <x:f>K1686*'Assumptions'!$U$44</x:f>
        <x:v>668.1870329346654</x:v>
      </x:c>
      <x:c r="M1686" s="10" t="n">
        <x:f>K1686*'Assumptions'!$V$44</x:f>
        <x:v>0</x:v>
      </x:c>
      <x:c r="N1686" s="10" t="n">
        <x:f>K1686-L1686-M1686</x:f>
        <x:v>21604.714064887514</x:v>
      </x:c>
      <x:c r="O1686" s="10" t="n">
        <x:f>H1686*'Assumptions'!$P$44*'Assumptions'!$Q$44*'Assumptions'!$D$11*(1+'Assumptions'!$D$13)^(14-1)</x:f>
        <x:v>16354.253079262118</x:v>
      </x:c>
      <x:c r="P1686" s="10" t="n">
        <x:f>H1686*'Assumptions'!$R$44*'Assumptions'!$D$11*(1+'Assumptions'!$D$13)^(14-1)</x:f>
        <x:v>272.5708846543686</x:v>
      </x:c>
      <x:c r="Q1686" s="10" t="n">
        <x:f>J1686*'Assumptions'!$S$44</x:f>
        <x:v>0</x:v>
      </x:c>
      <x:c r="R1686" s="10" t="n">
        <x:f>H1686*'Assumptions'!$Y$44*'Assumptions'!$Z$44*'Assumptions'!$D$11*(1+'Assumptions'!$D$13)^(14-1)</x:f>
        <x:v>204.42816349077648</x:v>
      </x:c>
      <x:c r="S1686" s="10" t="n">
        <x:f>IF(I1686=0,0,J1686*'Assumptions'!$W$44+H1686*'Assumptions'!$X$44)</x:f>
        <x:v>651.4823571112988</x:v>
      </x:c>
      <x:c r="T1686" s="10" t="n">
        <x:f>N1686*'Assumptions'!$AA$44</x:f>
        <x:v>864.1885625955006</x:v>
      </x:c>
      <x:c r="U1686" s="10" t="n">
        <x:f>'Assumptions'!$AE$44*'Assumptions'!$D$11*(1+'Assumptions'!$D$13)^(14-1)</x:f>
        <x:v>0</x:v>
      </x:c>
      <x:c r="V1686" s="10" t="n">
        <x:f>0</x:f>
        <x:v>0</x:v>
      </x:c>
      <x:c r="W1686" s="10" t="n">
        <x:f>H1686*('Assumptions'!$P$44+'Assumptions'!$Y$44)</x:f>
        <x:v>190.2476968772311</x:v>
      </x:c>
      <x:c r="X1686" s="10" t="n">
        <x:f>N1686/12*'Assumptions'!$AF$44</x:f>
        <x:v>1800.392838740626</x:v>
      </x:c>
      <x:c r="Y1686" s="10" t="n">
        <x:f>P1686/12</x:f>
        <x:v>22.714240387864052</x:v>
      </x:c>
      <x:c r="Z1686" s="10" t="n">
        <x:f>0</x:f>
        <x:v>0</x:v>
      </x:c>
      <x:c r="AA1686" s="10" t="n">
        <x:f>Z1686*'Assumptions'!$AC$44*'Assumptions'!$D$11*(1+'Assumptions'!$D$13)^(14-1)</x:f>
        <x:v>0</x:v>
      </x:c>
      <x:c r="AB1686" s="10" t="n">
        <x:f>F1686/1</x:f>
        <x:v>9.55159209222199</x:v>
      </x:c>
      <x:c r="AC1686" s="10" t="n">
        <x:f>AB1686/'Assumptions'!$AM$44</x:f>
        <x:v>47.757960461109946</x:v>
      </x:c>
      <x:c r="AD1686" s="10" t="n">
        <x:f>IF(AB1686=0,0,T1686/AB1686)</x:f>
        <x:v>90.47586562026898</x:v>
      </x:c>
      <x:c r="AE1686" s="10" t="n">
        <x:f>AA1686*'Assumptions'!$D$21</x:f>
        <x:v>0</x:v>
      </x:c>
    </x:row>
    <x:row r="1687" ht="16" customHeight="1">
      <x:c r="A1687" s="1"/>
      <x:c r="B1687" s="1"/>
      <x:c r="C1687" s="1" t="str">
        <x:v>DOT-016</x:v>
      </x:c>
      <x:c r="D1687" s="10" t="str">
        <x:v>BPA professional services</x:v>
      </x:c>
      <x:c r="E1687" s="10" t="n">
        <x:v>14</x:v>
      </x:c>
      <x:c r="F1687" s="21" t="n">
        <x:f>F1559*(1+'Assumptions'!$M$45)</x:f>
        <x:v>5.730955255333194</x:v>
      </x:c>
      <x:c r="G1687" s="21" t="n">
        <x:f>H1559*'Assumptions'!$K$45</x:f>
        <x:v>5.405495293577895</x:v>
      </x:c>
      <x:c r="H1687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1687+G1687,NA())</x:f>
        <x:v>11.136450548911089</x:v>
      </x:c>
      <x:c r="I1687" s="22" t="n">
        <x:f>'Assumptions'!$H$45*IF('Assumptions'!$O$45=1,1,'Assumptions'!$D$10)*(1+'Assumptions'!$N$45)^(14-1)</x:f>
        <x:v>1800</x:v>
      </x:c>
      <x:c r="J1687" s="10" t="n">
        <x:f>H1687*I1687</x:f>
        <x:v>20045.61098803996</x:v>
      </x:c>
      <x:c r="K1687" s="10" t="n">
        <x:f>J1687*'Assumptions'!$T$45</x:f>
        <x:v>20045.61098803996</x:v>
      </x:c>
      <x:c r="L1687" s="10" t="n">
        <x:f>K1687*'Assumptions'!$U$45</x:f>
        <x:v>601.3683296411988</x:v>
      </x:c>
      <x:c r="M1687" s="10" t="n">
        <x:f>K1687*'Assumptions'!$V$45</x:f>
        <x:v>0</x:v>
      </x:c>
      <x:c r="N1687" s="10" t="n">
        <x:f>K1687-L1687-M1687</x:f>
        <x:v>19444.24265839876</x:v>
      </x:c>
      <x:c r="O1687" s="10" t="n">
        <x:f>H1687*'Assumptions'!$P$45*'Assumptions'!$Q$45*'Assumptions'!$D$11*(1+'Assumptions'!$D$13)^(14-1)</x:f>
        <x:v>4906.275923778636</x:v>
      </x:c>
      <x:c r="P1687" s="10" t="n">
        <x:f>H1687*'Assumptions'!$R$45*'Assumptions'!$D$11*(1+'Assumptions'!$D$13)^(14-1)</x:f>
        <x:v>163.54253079262116</x:v>
      </x:c>
      <x:c r="Q1687" s="10" t="n">
        <x:f>J1687*'Assumptions'!$S$45</x:f>
        <x:v>0</x:v>
      </x:c>
      <x:c r="R1687" s="10" t="n">
        <x:f>H1687*'Assumptions'!$Y$45*'Assumptions'!$Z$45*'Assumptions'!$D$11*(1+'Assumptions'!$D$13)^(14-1)</x:f>
        <x:v>122.65689809446589</x:v>
      </x:c>
      <x:c r="S1687" s="10" t="n">
        <x:f>IF(I1687=0,0,J1687*'Assumptions'!$W$45+H1687*'Assumptions'!$X$45)</x:f>
        <x:v>584.6636538178321</x:v>
      </x:c>
      <x:c r="T1687" s="10" t="n">
        <x:f>N1687*'Assumptions'!$AA$45</x:f>
        <x:v>777.7697063359504</x:v>
      </x:c>
      <x:c r="U1687" s="10" t="n">
        <x:f>'Assumptions'!$AE$45*'Assumptions'!$D$11*(1+'Assumptions'!$D$13)^(14-1)</x:f>
        <x:v>0</x:v>
      </x:c>
      <x:c r="V1687" s="10" t="n">
        <x:f>0</x:f>
        <x:v>0</x:v>
      </x:c>
      <x:c r="W1687" s="10" t="n">
        <x:f>H1687*('Assumptions'!$P$45+'Assumptions'!$Y$45)</x:f>
        <x:v>58.46636538178322</x:v>
      </x:c>
      <x:c r="X1687" s="10" t="n">
        <x:f>N1687/12*'Assumptions'!$AF$45</x:f>
        <x:v>1620.3535548665634</x:v>
      </x:c>
      <x:c r="Y1687" s="10" t="n">
        <x:f>P1687/12</x:f>
        <x:v>13.628544232718431</x:v>
      </x:c>
      <x:c r="Z1687" s="10" t="n">
        <x:f>0</x:f>
        <x:v>0</x:v>
      </x:c>
      <x:c r="AA1687" s="10" t="n">
        <x:f>Z1687*'Assumptions'!$AC$45*'Assumptions'!$D$11*(1+'Assumptions'!$D$13)^(14-1)</x:f>
        <x:v>0</x:v>
      </x:c>
      <x:c r="AB1687" s="10" t="n">
        <x:f>F1687/1</x:f>
        <x:v>5.730955255333194</x:v>
      </x:c>
      <x:c r="AC1687" s="10" t="n">
        <x:f>AB1687/'Assumptions'!$AM$45</x:f>
        <x:v>28.65477627666597</x:v>
      </x:c>
      <x:c r="AD1687" s="10" t="n">
        <x:f>IF(AB1687=0,0,T1687/AB1687)</x:f>
        <x:v>135.71379843040344</x:v>
      </x:c>
      <x:c r="AE1687" s="10" t="n">
        <x:f>AA1687*'Assumptions'!$D$21</x:f>
        <x:v>0</x:v>
      </x:c>
    </x:row>
    <x:row r="1688" ht="16" customHeight="1">
      <x:c r="A1688" s="1"/>
      <x:c r="B1688" s="1"/>
      <x:c r="C1688" s="1" t="str">
        <x:v>DOT-017</x:v>
      </x:c>
      <x:c r="D1688" s="10" t="str">
        <x:v>BPA professional services</x:v>
      </x:c>
      <x:c r="E1688" s="10" t="n">
        <x:v>14</x:v>
      </x:c>
      <x:c r="F1688" s="21" t="n">
        <x:f>F1560*(1+'Assumptions'!$M$46)</x:f>
        <x:v>5.730955255333194</x:v>
      </x:c>
      <x:c r="G1688" s="21" t="n">
        <x:f>H1560*'Assumptions'!$K$46</x:f>
        <x:v>5.405495293577895</x:v>
      </x:c>
      <x:c r="H1688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1688+G1688,NA())</x:f>
        <x:v>11.136450548911089</x:v>
      </x:c>
      <x:c r="I1688" s="22" t="n">
        <x:f>'Assumptions'!$H$46*IF('Assumptions'!$O$46=1,1,'Assumptions'!$D$10)*(1+'Assumptions'!$N$46)^(14-1)</x:f>
        <x:v>1500</x:v>
      </x:c>
      <x:c r="J1688" s="10" t="n">
        <x:f>H1688*I1688</x:f>
        <x:v>16704.675823366633</x:v>
      </x:c>
      <x:c r="K1688" s="10" t="n">
        <x:f>J1688*'Assumptions'!$T$46</x:f>
        <x:v>16704.675823366633</x:v>
      </x:c>
      <x:c r="L1688" s="10" t="n">
        <x:f>K1688*'Assumptions'!$U$46</x:f>
        <x:v>501.140274700999</x:v>
      </x:c>
      <x:c r="M1688" s="10" t="n">
        <x:f>K1688*'Assumptions'!$V$46</x:f>
        <x:v>0</x:v>
      </x:c>
      <x:c r="N1688" s="10" t="n">
        <x:f>K1688-L1688-M1688</x:f>
        <x:v>16203.535548665634</x:v>
      </x:c>
      <x:c r="O1688" s="10" t="n">
        <x:f>H1688*'Assumptions'!$P$46*'Assumptions'!$Q$46*'Assumptions'!$D$11*(1+'Assumptions'!$D$13)^(14-1)</x:f>
        <x:v>5887.531108534363</x:v>
      </x:c>
      <x:c r="P1688" s="10" t="n">
        <x:f>H1688*'Assumptions'!$R$46*'Assumptions'!$D$11*(1+'Assumptions'!$D$13)^(14-1)</x:f>
        <x:v>163.54253079262116</x:v>
      </x:c>
      <x:c r="Q1688" s="10" t="n">
        <x:f>J1688*'Assumptions'!$S$46</x:f>
        <x:v>0</x:v>
      </x:c>
      <x:c r="R1688" s="10" t="n">
        <x:f>H1688*'Assumptions'!$Y$46*'Assumptions'!$Z$46*'Assumptions'!$D$11*(1+'Assumptions'!$D$13)^(14-1)</x:f>
        <x:v>122.65689809446589</x:v>
      </x:c>
      <x:c r="S1688" s="10" t="n">
        <x:f>IF(I1688=0,0,J1688*'Assumptions'!$W$46+H1688*'Assumptions'!$X$46)</x:f>
        <x:v>487.77653404230574</x:v>
      </x:c>
      <x:c r="T1688" s="10" t="n">
        <x:f>N1688*'Assumptions'!$AA$46</x:f>
        <x:v>648.1414219466253</x:v>
      </x:c>
      <x:c r="U1688" s="10" t="n">
        <x:f>'Assumptions'!$AE$46*'Assumptions'!$D$11*(1+'Assumptions'!$D$13)^(14-1)</x:f>
        <x:v>0</x:v>
      </x:c>
      <x:c r="V1688" s="10" t="n">
        <x:f>0</x:f>
        <x:v>0</x:v>
      </x:c>
      <x:c r="W1688" s="10" t="n">
        <x:f>H1688*('Assumptions'!$P$46+'Assumptions'!$Y$46)</x:f>
        <x:v>69.6028159306943</x:v>
      </x:c>
      <x:c r="X1688" s="10" t="n">
        <x:f>N1688/12*'Assumptions'!$AF$46</x:f>
        <x:v>1350.2946290554694</x:v>
      </x:c>
      <x:c r="Y1688" s="10" t="n">
        <x:f>P1688/12</x:f>
        <x:v>13.628544232718431</x:v>
      </x:c>
      <x:c r="Z1688" s="10" t="n">
        <x:f>0</x:f>
        <x:v>0</x:v>
      </x:c>
      <x:c r="AA1688" s="10" t="n">
        <x:f>Z1688*'Assumptions'!$AC$46*'Assumptions'!$D$11*(1+'Assumptions'!$D$13)^(14-1)</x:f>
        <x:v>0</x:v>
      </x:c>
      <x:c r="AB1688" s="10" t="n">
        <x:f>F1688/1</x:f>
        <x:v>5.730955255333194</x:v>
      </x:c>
      <x:c r="AC1688" s="10" t="n">
        <x:f>AB1688/'Assumptions'!$AM$46</x:f>
        <x:v>28.65477627666597</x:v>
      </x:c>
      <x:c r="AD1688" s="10" t="n">
        <x:f>IF(AB1688=0,0,T1688/AB1688)</x:f>
        <x:v>113.09483202533619</x:v>
      </x:c>
      <x:c r="AE1688" s="10" t="n">
        <x:f>AA1688*'Assumptions'!$D$21</x:f>
        <x:v>0</x:v>
      </x:c>
    </x:row>
    <x:row r="1689" ht="16" customHeight="1">
      <x:c r="A1689" s="1"/>
      <x:c r="B1689" s="1"/>
      <x:c r="C1689" s="1" t="str">
        <x:v>DOT-018</x:v>
      </x:c>
      <x:c r="D1689" s="10" t="str">
        <x:v>BPA professional services</x:v>
      </x:c>
      <x:c r="E1689" s="10" t="n">
        <x:v>14</x:v>
      </x:c>
      <x:c r="F1689" s="21" t="n">
        <x:f>F1561*(1+'Assumptions'!$M$47)</x:f>
        <x:v>7.641273673777594</x:v>
      </x:c>
      <x:c r="G1689" s="21" t="n">
        <x:f>H1561*'Assumptions'!$K$47</x:f>
        <x:v>7.2073270581038615</x:v>
      </x:c>
      <x:c r="H1689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1689+G1689,NA())</x:f>
        <x:v>14.848600731881454</x:v>
      </x:c>
      <x:c r="I1689" s="22" t="n">
        <x:f>'Assumptions'!$H$47*IF('Assumptions'!$O$47=1,1,'Assumptions'!$D$10)*(1+'Assumptions'!$N$47)^(14-1)</x:f>
        <x:v>1200</x:v>
      </x:c>
      <x:c r="J1689" s="10" t="n">
        <x:f>H1689*I1689</x:f>
        <x:v>17818.320878257746</x:v>
      </x:c>
      <x:c r="K1689" s="10" t="n">
        <x:f>J1689*'Assumptions'!$T$47</x:f>
        <x:v>17818.320878257746</x:v>
      </x:c>
      <x:c r="L1689" s="10" t="n">
        <x:f>K1689*'Assumptions'!$U$47</x:f>
        <x:v>534.5496263477323</x:v>
      </x:c>
      <x:c r="M1689" s="10" t="n">
        <x:f>K1689*'Assumptions'!$V$47</x:f>
        <x:v>0</x:v>
      </x:c>
      <x:c r="N1689" s="10" t="n">
        <x:f>K1689-L1689-M1689</x:f>
        <x:v>17283.771251910013</x:v>
      </x:c>
      <x:c r="O1689" s="10" t="n">
        <x:f>H1689*'Assumptions'!$P$47*'Assumptions'!$Q$47*'Assumptions'!$D$11*(1+'Assumptions'!$D$13)^(14-1)</x:f>
        <x:v>5233.360985363879</x:v>
      </x:c>
      <x:c r="P1689" s="10" t="n">
        <x:f>H1689*'Assumptions'!$R$47*'Assumptions'!$D$11*(1+'Assumptions'!$D$13)^(14-1)</x:f>
        <x:v>218.05670772349492</x:v>
      </x:c>
      <x:c r="Q1689" s="10" t="n">
        <x:f>J1689*'Assumptions'!$S$47</x:f>
        <x:v>0</x:v>
      </x:c>
      <x:c r="R1689" s="10" t="n">
        <x:f>H1689*'Assumptions'!$Y$47*'Assumptions'!$Z$47*'Assumptions'!$D$11*(1+'Assumptions'!$D$13)^(14-1)</x:f>
        <x:v>163.54253079262122</x:v>
      </x:c>
      <x:c r="S1689" s="10" t="n">
        <x:f>IF(I1689=0,0,J1689*'Assumptions'!$W$47+H1689*'Assumptions'!$X$47)</x:f>
        <x:v>521.1858856890392</x:v>
      </x:c>
      <x:c r="T1689" s="10" t="n">
        <x:f>N1689*'Assumptions'!$AA$47</x:f>
        <x:v>691.3508500764005</x:v>
      </x:c>
      <x:c r="U1689" s="10" t="n">
        <x:f>'Assumptions'!$AE$47*'Assumptions'!$D$11*(1+'Assumptions'!$D$13)^(14-1)</x:f>
        <x:v>0</x:v>
      </x:c>
      <x:c r="V1689" s="10" t="n">
        <x:f>0</x:f>
        <x:v>0</x:v>
      </x:c>
      <x:c r="W1689" s="10" t="n">
        <x:f>H1689*('Assumptions'!$P$47+'Assumptions'!$Y$47)</x:f>
        <x:v>63.10655311049618</x:v>
      </x:c>
      <x:c r="X1689" s="10" t="n">
        <x:f>N1689/12*'Assumptions'!$AF$47</x:f>
        <x:v>1440.3142709925012</x:v>
      </x:c>
      <x:c r="Y1689" s="10" t="n">
        <x:f>P1689/12</x:f>
        <x:v>18.171392310291242</x:v>
      </x:c>
      <x:c r="Z1689" s="10" t="n">
        <x:f>0</x:f>
        <x:v>0</x:v>
      </x:c>
      <x:c r="AA1689" s="10" t="n">
        <x:f>Z1689*'Assumptions'!$AC$47*'Assumptions'!$D$11*(1+'Assumptions'!$D$13)^(14-1)</x:f>
        <x:v>0</x:v>
      </x:c>
      <x:c r="AB1689" s="10" t="n">
        <x:f>F1689/1</x:f>
        <x:v>7.641273673777594</x:v>
      </x:c>
      <x:c r="AC1689" s="10" t="n">
        <x:f>AB1689/'Assumptions'!$AM$47</x:f>
        <x:v>38.206368368887965</x:v>
      </x:c>
      <x:c r="AD1689" s="10" t="n">
        <x:f>IF(AB1689=0,0,T1689/AB1689)</x:f>
        <x:v>90.47586562026896</x:v>
      </x:c>
      <x:c r="AE1689" s="10" t="n">
        <x:f>AA1689*'Assumptions'!$D$21</x:f>
        <x:v>0</x:v>
      </x:c>
    </x:row>
    <x:row r="1690" ht="16" customHeight="1">
      <x:c r="A1690" s="1"/>
      <x:c r="B1690" s="1"/>
      <x:c r="C1690" s="1" t="str">
        <x:v>DOT-019</x:v>
      </x:c>
      <x:c r="D1690" s="10" t="str">
        <x:v>BPA professional services</x:v>
      </x:c>
      <x:c r="E1690" s="10" t="n">
        <x:v>14</x:v>
      </x:c>
      <x:c r="F1690" s="21" t="n">
        <x:f>F1562*(1+'Assumptions'!$M$48)</x:f>
        <x:v>3.820636836888797</x:v>
      </x:c>
      <x:c r="G1690" s="21" t="n">
        <x:f>H1562*'Assumptions'!$K$48</x:f>
        <x:v>3.6036635290519308</x:v>
      </x:c>
      <x:c r="H1690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1690+G1690,NA())</x:f>
        <x:v>7.424300365940727</x:v>
      </x:c>
      <x:c r="I1690" s="22" t="n">
        <x:f>'Assumptions'!$H$48*IF('Assumptions'!$O$48=1,1,'Assumptions'!$D$10)*(1+'Assumptions'!$N$48)^(14-1)</x:f>
        <x:v>3000</x:v>
      </x:c>
      <x:c r="J1690" s="10" t="n">
        <x:f>H1690*I1690</x:f>
        <x:v>22272.90109782218</x:v>
      </x:c>
      <x:c r="K1690" s="10" t="n">
        <x:f>J1690*'Assumptions'!$T$48</x:f>
        <x:v>22272.90109782218</x:v>
      </x:c>
      <x:c r="L1690" s="10" t="n">
        <x:f>K1690*'Assumptions'!$U$48</x:f>
        <x:v>668.1870329346655</x:v>
      </x:c>
      <x:c r="M1690" s="10" t="n">
        <x:f>K1690*'Assumptions'!$V$48</x:f>
        <x:v>0</x:v>
      </x:c>
      <x:c r="N1690" s="10" t="n">
        <x:f>K1690-L1690-M1690</x:f>
        <x:v>21604.714064887517</x:v>
      </x:c>
      <x:c r="O1690" s="10" t="n">
        <x:f>H1690*'Assumptions'!$P$48*'Assumptions'!$Q$48*'Assumptions'!$D$11*(1+'Assumptions'!$D$13)^(14-1)</x:f>
        <x:v>7850.041478045819</x:v>
      </x:c>
      <x:c r="P1690" s="10" t="n">
        <x:f>H1690*'Assumptions'!$R$48*'Assumptions'!$D$11*(1+'Assumptions'!$D$13)^(14-1)</x:f>
        <x:v>109.02835386174746</x:v>
      </x:c>
      <x:c r="Q1690" s="10" t="n">
        <x:f>J1690*'Assumptions'!$S$48</x:f>
        <x:v>0</x:v>
      </x:c>
      <x:c r="R1690" s="10" t="n">
        <x:f>H1690*'Assumptions'!$Y$48*'Assumptions'!$Z$48*'Assumptions'!$D$11*(1+'Assumptions'!$D$13)^(14-1)</x:f>
        <x:v>81.77126539631061</x:v>
      </x:c>
      <x:c r="S1690" s="10" t="n">
        <x:f>IF(I1690=0,0,J1690*'Assumptions'!$W$48+H1690*'Assumptions'!$X$48)</x:f>
        <x:v>648.1414219466254</x:v>
      </x:c>
      <x:c r="T1690" s="10" t="n">
        <x:f>N1690*'Assumptions'!$AA$48</x:f>
        <x:v>864.1885625955007</x:v>
      </x:c>
      <x:c r="U1690" s="10" t="n">
        <x:f>'Assumptions'!$AE$48*'Assumptions'!$D$11*(1+'Assumptions'!$D$13)^(14-1)</x:f>
        <x:v>0</x:v>
      </x:c>
      <x:c r="V1690" s="10" t="n">
        <x:f>0</x:f>
        <x:v>0</x:v>
      </x:c>
      <x:c r="W1690" s="10" t="n">
        <x:f>H1690*('Assumptions'!$P$48+'Assumptions'!$Y$48)</x:f>
        <x:v>90.9476794827739</x:v>
      </x:c>
      <x:c r="X1690" s="10" t="n">
        <x:f>N1690/12*'Assumptions'!$AF$48</x:f>
        <x:v>1800.3928387406265</x:v>
      </x:c>
      <x:c r="Y1690" s="10" t="n">
        <x:f>P1690/12</x:f>
        <x:v>9.085696155145621</x:v>
      </x:c>
      <x:c r="Z1690" s="10" t="n">
        <x:f>0</x:f>
        <x:v>0</x:v>
      </x:c>
      <x:c r="AA1690" s="10" t="n">
        <x:f>Z1690*'Assumptions'!$AC$48*'Assumptions'!$D$11*(1+'Assumptions'!$D$13)^(14-1)</x:f>
        <x:v>0</x:v>
      </x:c>
      <x:c r="AB1690" s="10" t="n">
        <x:f>F1690/1</x:f>
        <x:v>3.820636836888797</x:v>
      </x:c>
      <x:c r="AC1690" s="10" t="n">
        <x:f>AB1690/'Assumptions'!$AM$48</x:f>
        <x:v>19.103184184443982</x:v>
      </x:c>
      <x:c r="AD1690" s="10" t="n">
        <x:f>IF(AB1690=0,0,T1690/AB1690)</x:f>
        <x:v>226.18966405067243</x:v>
      </x:c>
      <x:c r="AE1690" s="10" t="n">
        <x:f>AA1690*'Assumptions'!$D$21</x:f>
        <x:v>0</x:v>
      </x:c>
    </x:row>
    <x:row r="1691" ht="16" customHeight="1">
      <x:c r="A1691" s="1"/>
      <x:c r="B1691" s="1"/>
      <x:c r="C1691" s="1" t="str">
        <x:v>DOT-020</x:v>
      </x:c>
      <x:c r="D1691" s="10" t="str">
        <x:v>BPA professional services</x:v>
      </x:c>
      <x:c r="E1691" s="10" t="n">
        <x:v>14</x:v>
      </x:c>
      <x:c r="F1691" s="21" t="n">
        <x:f>F1563*(1+'Assumptions'!$M$49)</x:f>
        <x:v>5.730955255333194</x:v>
      </x:c>
      <x:c r="G1691" s="21" t="n">
        <x:f>H1563*'Assumptions'!$K$49</x:f>
        <x:v>5.405495293577895</x:v>
      </x:c>
      <x:c r="H1691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1691+G1691,NA())</x:f>
        <x:v>11.136450548911089</x:v>
      </x:c>
      <x:c r="I1691" s="22" t="n">
        <x:f>'Assumptions'!$H$49*IF('Assumptions'!$O$49=1,1,'Assumptions'!$D$10)*(1+'Assumptions'!$N$49)^(14-1)</x:f>
        <x:v>1800</x:v>
      </x:c>
      <x:c r="J1691" s="10" t="n">
        <x:f>H1691*I1691</x:f>
        <x:v>20045.61098803996</x:v>
      </x:c>
      <x:c r="K1691" s="10" t="n">
        <x:f>J1691*'Assumptions'!$T$49</x:f>
        <x:v>20045.61098803996</x:v>
      </x:c>
      <x:c r="L1691" s="10" t="n">
        <x:f>K1691*'Assumptions'!$U$49</x:f>
        <x:v>601.3683296411988</x:v>
      </x:c>
      <x:c r="M1691" s="10" t="n">
        <x:f>K1691*'Assumptions'!$V$49</x:f>
        <x:v>0</x:v>
      </x:c>
      <x:c r="N1691" s="10" t="n">
        <x:f>K1691-L1691-M1691</x:f>
        <x:v>19444.24265839876</x:v>
      </x:c>
      <x:c r="O1691" s="10" t="n">
        <x:f>H1691*'Assumptions'!$P$49*'Assumptions'!$Q$49*'Assumptions'!$D$11*(1+'Assumptions'!$D$13)^(14-1)</x:f>
        <x:v>5887.531108534363</x:v>
      </x:c>
      <x:c r="P1691" s="10" t="n">
        <x:f>H1691*'Assumptions'!$R$49*'Assumptions'!$D$11*(1+'Assumptions'!$D$13)^(14-1)</x:f>
        <x:v>163.54253079262116</x:v>
      </x:c>
      <x:c r="Q1691" s="10" t="n">
        <x:f>J1691*'Assumptions'!$S$49</x:f>
        <x:v>0</x:v>
      </x:c>
      <x:c r="R1691" s="10" t="n">
        <x:f>H1691*'Assumptions'!$Y$49*'Assumptions'!$Z$49*'Assumptions'!$D$11*(1+'Assumptions'!$D$13)^(14-1)</x:f>
        <x:v>122.65689809446589</x:v>
      </x:c>
      <x:c r="S1691" s="10" t="n">
        <x:f>IF(I1691=0,0,J1691*'Assumptions'!$W$49+H1691*'Assumptions'!$X$49)</x:f>
        <x:v>584.6636538178321</x:v>
      </x:c>
      <x:c r="T1691" s="10" t="n">
        <x:f>N1691*'Assumptions'!$AA$49</x:f>
        <x:v>777.7697063359504</x:v>
      </x:c>
      <x:c r="U1691" s="10" t="n">
        <x:f>'Assumptions'!$AE$49*'Assumptions'!$D$11*(1+'Assumptions'!$D$13)^(14-1)</x:f>
        <x:v>0</x:v>
      </x:c>
      <x:c r="V1691" s="10" t="n">
        <x:f>0</x:f>
        <x:v>0</x:v>
      </x:c>
      <x:c r="W1691" s="10" t="n">
        <x:f>H1691*('Assumptions'!$P$49+'Assumptions'!$Y$49)</x:f>
        <x:v>69.6028159306943</x:v>
      </x:c>
      <x:c r="X1691" s="10" t="n">
        <x:f>N1691/12*'Assumptions'!$AF$49</x:f>
        <x:v>1620.3535548665634</x:v>
      </x:c>
      <x:c r="Y1691" s="10" t="n">
        <x:f>P1691/12</x:f>
        <x:v>13.628544232718431</x:v>
      </x:c>
      <x:c r="Z1691" s="10" t="n">
        <x:f>0</x:f>
        <x:v>0</x:v>
      </x:c>
      <x:c r="AA1691" s="10" t="n">
        <x:f>Z1691*'Assumptions'!$AC$49*'Assumptions'!$D$11*(1+'Assumptions'!$D$13)^(14-1)</x:f>
        <x:v>0</x:v>
      </x:c>
      <x:c r="AB1691" s="10" t="n">
        <x:f>F1691/1</x:f>
        <x:v>5.730955255333194</x:v>
      </x:c>
      <x:c r="AC1691" s="10" t="n">
        <x:f>AB1691/'Assumptions'!$AM$49</x:f>
        <x:v>28.65477627666597</x:v>
      </x:c>
      <x:c r="AD1691" s="10" t="n">
        <x:f>IF(AB1691=0,0,T1691/AB1691)</x:f>
        <x:v>135.71379843040344</x:v>
      </x:c>
      <x:c r="AE1691" s="10" t="n">
        <x:f>AA1691*'Assumptions'!$D$21</x:f>
        <x:v>0</x:v>
      </x:c>
    </x:row>
    <x:row r="1692" ht="16" customHeight="1">
      <x:c r="A1692" s="1"/>
      <x:c r="B1692" s="1"/>
      <x:c r="C1692" s="1" t="str">
        <x:v>DOT-021</x:v>
      </x:c>
      <x:c r="D1692" s="10" t="str">
        <x:v>BPA professional services</x:v>
      </x:c>
      <x:c r="E1692" s="10" t="n">
        <x:v>14</x:v>
      </x:c>
      <x:c r="F1692" s="21" t="n">
        <x:f>F1564*(1+'Assumptions'!$M$50)</x:f>
        <x:v>3.820636836888797</x:v>
      </x:c>
      <x:c r="G1692" s="21" t="n">
        <x:f>H1564*'Assumptions'!$K$50</x:f>
        <x:v>3.6036635290519308</x:v>
      </x:c>
      <x:c r="H1692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1692+G1692,NA())</x:f>
        <x:v>7.424300365940727</x:v>
      </x:c>
      <x:c r="I1692" s="22" t="n">
        <x:f>'Assumptions'!$H$50*IF('Assumptions'!$O$50=1,1,'Assumptions'!$D$10)*(1+'Assumptions'!$N$50)^(14-1)</x:f>
        <x:v>4200</x:v>
      </x:c>
      <x:c r="J1692" s="10" t="n">
        <x:f>H1692*I1692</x:f>
        <x:v>31182.061536951052</x:v>
      </x:c>
      <x:c r="K1692" s="10" t="n">
        <x:f>J1692*'Assumptions'!$T$50</x:f>
        <x:v>31182.061536951052</x:v>
      </x:c>
      <x:c r="L1692" s="10" t="n">
        <x:f>K1692*'Assumptions'!$U$50</x:f>
        <x:v>935.4618461085315</x:v>
      </x:c>
      <x:c r="M1692" s="10" t="n">
        <x:f>K1692*'Assumptions'!$V$50</x:f>
        <x:v>0</x:v>
      </x:c>
      <x:c r="N1692" s="10" t="n">
        <x:f>K1692-L1692-M1692</x:f>
        <x:v>30246.599690842522</x:v>
      </x:c>
      <x:c r="O1692" s="10" t="n">
        <x:f>H1692*'Assumptions'!$P$50*'Assumptions'!$Q$50*'Assumptions'!$D$11*(1+'Assumptions'!$D$13)^(14-1)</x:f>
        <x:v>7850.041478045819</x:v>
      </x:c>
      <x:c r="P1692" s="10" t="n">
        <x:f>H1692*'Assumptions'!$R$50*'Assumptions'!$D$11*(1+'Assumptions'!$D$13)^(14-1)</x:f>
        <x:v>109.02835386174746</x:v>
      </x:c>
      <x:c r="Q1692" s="10" t="n">
        <x:f>J1692*'Assumptions'!$S$50</x:f>
        <x:v>0</x:v>
      </x:c>
      <x:c r="R1692" s="10" t="n">
        <x:f>H1692*'Assumptions'!$Y$50*'Assumptions'!$Z$50*'Assumptions'!$D$11*(1+'Assumptions'!$D$13)^(14-1)</x:f>
        <x:v>81.77126539631061</x:v>
      </x:c>
      <x:c r="S1692" s="10" t="n">
        <x:f>IF(I1692=0,0,J1692*'Assumptions'!$W$50+H1692*'Assumptions'!$X$50)</x:f>
        <x:v>906.5070746813627</x:v>
      </x:c>
      <x:c r="T1692" s="10" t="n">
        <x:f>N1692*'Assumptions'!$AA$50</x:f>
        <x:v>1209.8639876337008</x:v>
      </x:c>
      <x:c r="U1692" s="10" t="n">
        <x:f>'Assumptions'!$AE$50*'Assumptions'!$D$11*(1+'Assumptions'!$D$13)^(14-1)</x:f>
        <x:v>0</x:v>
      </x:c>
      <x:c r="V1692" s="10" t="n">
        <x:f>0</x:f>
        <x:v>0</x:v>
      </x:c>
      <x:c r="W1692" s="10" t="n">
        <x:f>H1692*('Assumptions'!$P$50+'Assumptions'!$Y$50)</x:f>
        <x:v>90.9476794827739</x:v>
      </x:c>
      <x:c r="X1692" s="10" t="n">
        <x:f>N1692/12*'Assumptions'!$AF$50</x:f>
        <x:v>2520.549974236877</x:v>
      </x:c>
      <x:c r="Y1692" s="10" t="n">
        <x:f>P1692/12</x:f>
        <x:v>9.085696155145621</x:v>
      </x:c>
      <x:c r="Z1692" s="10" t="n">
        <x:f>0</x:f>
        <x:v>0</x:v>
      </x:c>
      <x:c r="AA1692" s="10" t="n">
        <x:f>Z1692*'Assumptions'!$AC$50*'Assumptions'!$D$11*(1+'Assumptions'!$D$13)^(14-1)</x:f>
        <x:v>0</x:v>
      </x:c>
      <x:c r="AB1692" s="10" t="n">
        <x:f>F1692/1</x:f>
        <x:v>3.820636836888797</x:v>
      </x:c>
      <x:c r="AC1692" s="10" t="n">
        <x:f>AB1692/'Assumptions'!$AM$50</x:f>
        <x:v>19.103184184443982</x:v>
      </x:c>
      <x:c r="AD1692" s="10" t="n">
        <x:f>IF(AB1692=0,0,T1692/AB1692)</x:f>
        <x:v>316.66552967094134</x:v>
      </x:c>
      <x:c r="AE1692" s="10" t="n">
        <x:f>AA1692*'Assumptions'!$D$21</x:f>
        <x:v>0</x:v>
      </x:c>
    </x:row>
    <x:row r="1693" ht="16" customHeight="1">
      <x:c r="A1693" s="1"/>
      <x:c r="B1693" s="1"/>
      <x:c r="C1693" s="1" t="str">
        <x:v>DOT-022</x:v>
      </x:c>
      <x:c r="D1693" s="10" t="str">
        <x:v>BPA professional services</x:v>
      </x:c>
      <x:c r="E1693" s="10" t="n">
        <x:v>14</x:v>
      </x:c>
      <x:c r="F1693" s="21" t="n">
        <x:f>F1565*(1+'Assumptions'!$M$51)</x:f>
        <x:v>15.282547347555187</x:v>
      </x:c>
      <x:c r="G1693" s="21" t="n">
        <x:f>H1565*'Assumptions'!$K$51</x:f>
        <x:v>14.414654116207723</x:v>
      </x:c>
      <x:c r="H1693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1693+G1693,NA())</x:f>
        <x:v>29.69720146376291</x:v>
      </x:c>
      <x:c r="I1693" s="22" t="n">
        <x:f>'Assumptions'!$H$51*IF('Assumptions'!$O$51=1,1,'Assumptions'!$D$10)*(1+'Assumptions'!$N$51)^(14-1)</x:f>
        <x:v>900</x:v>
      </x:c>
      <x:c r="J1693" s="10" t="n">
        <x:f>H1693*I1693</x:f>
        <x:v>26727.481317386617</x:v>
      </x:c>
      <x:c r="K1693" s="10" t="n">
        <x:f>J1693*'Assumptions'!$T$51</x:f>
        <x:v>26727.481317386617</x:v>
      </x:c>
      <x:c r="L1693" s="10" t="n">
        <x:f>K1693*'Assumptions'!$U$51</x:f>
        <x:v>801.8244395215985</x:v>
      </x:c>
      <x:c r="M1693" s="10" t="n">
        <x:f>K1693*'Assumptions'!$V$51</x:f>
        <x:v>0</x:v>
      </x:c>
      <x:c r="N1693" s="10" t="n">
        <x:f>K1693-L1693-M1693</x:f>
        <x:v>25925.656877865018</x:v>
      </x:c>
      <x:c r="O1693" s="10" t="n">
        <x:f>H1693*'Assumptions'!$P$51*'Assumptions'!$Q$51*'Assumptions'!$D$11*(1+'Assumptions'!$D$13)^(14-1)</x:f>
        <x:v>7850.041478045819</x:v>
      </x:c>
      <x:c r="P1693" s="10" t="n">
        <x:f>H1693*'Assumptions'!$R$51*'Assumptions'!$D$11*(1+'Assumptions'!$D$13)^(14-1)</x:f>
        <x:v>436.11341544698985</x:v>
      </x:c>
      <x:c r="Q1693" s="10" t="n">
        <x:f>J1693*'Assumptions'!$S$51</x:f>
        <x:v>0</x:v>
      </x:c>
      <x:c r="R1693" s="10" t="n">
        <x:f>H1693*'Assumptions'!$Y$51*'Assumptions'!$Z$51*'Assumptions'!$D$11*(1+'Assumptions'!$D$13)^(14-1)</x:f>
        <x:v>327.08506158524244</x:v>
      </x:c>
      <x:c r="S1693" s="10" t="n">
        <x:f>IF(I1693=0,0,J1693*'Assumptions'!$W$51+H1693*'Assumptions'!$X$51)</x:f>
        <x:v>784.0061186433408</x:v>
      </x:c>
      <x:c r="T1693" s="10" t="n">
        <x:f>N1693*'Assumptions'!$AA$51</x:f>
        <x:v>1037.0262751146008</x:v>
      </x:c>
      <x:c r="U1693" s="10" t="n">
        <x:f>'Assumptions'!$AE$51*'Assumptions'!$D$11*(1+'Assumptions'!$D$13)^(14-1)</x:f>
        <x:v>0</x:v>
      </x:c>
      <x:c r="V1693" s="10" t="n">
        <x:f>0</x:f>
        <x:v>0</x:v>
      </x:c>
      <x:c r="W1693" s="10" t="n">
        <x:f>H1693*('Assumptions'!$P$51+'Assumptions'!$Y$51)</x:f>
        <x:v>96.51590475722945</x:v>
      </x:c>
      <x:c r="X1693" s="10" t="n">
        <x:f>N1693/12*'Assumptions'!$AF$51</x:f>
        <x:v>2160.4714064887517</x:v>
      </x:c>
      <x:c r="Y1693" s="10" t="n">
        <x:f>P1693/12</x:f>
        <x:v>36.342784620582485</x:v>
      </x:c>
      <x:c r="Z1693" s="10" t="n">
        <x:f>0</x:f>
        <x:v>0</x:v>
      </x:c>
      <x:c r="AA1693" s="10" t="n">
        <x:f>Z1693*'Assumptions'!$AC$51*'Assumptions'!$D$11*(1+'Assumptions'!$D$13)^(14-1)</x:f>
        <x:v>0</x:v>
      </x:c>
      <x:c r="AB1693" s="10" t="n">
        <x:f>F1693/1</x:f>
        <x:v>15.282547347555187</x:v>
      </x:c>
      <x:c r="AC1693" s="10" t="n">
        <x:f>AB1693/'Assumptions'!$AM$51</x:f>
        <x:v>76.41273673777593</x:v>
      </x:c>
      <x:c r="AD1693" s="10" t="n">
        <x:f>IF(AB1693=0,0,T1693/AB1693)</x:f>
        <x:v>67.85689921520172</x:v>
      </x:c>
      <x:c r="AE1693" s="10" t="n">
        <x:f>AA1693*'Assumptions'!$D$21</x:f>
        <x:v>0</x:v>
      </x:c>
    </x:row>
    <x:row r="1694" ht="16" customHeight="1">
      <x:c r="A1694" s="1"/>
      <x:c r="B1694" s="1"/>
      <x:c r="C1694" s="1" t="str">
        <x:v>DOT-023</x:v>
      </x:c>
      <x:c r="D1694" s="10" t="str">
        <x:v>BPA professional services</x:v>
      </x:c>
      <x:c r="E1694" s="10" t="n">
        <x:v>14</x:v>
      </x:c>
      <x:c r="F1694" s="21" t="n">
        <x:f>F1566*(1+'Assumptions'!$M$52)</x:f>
        <x:v>9.55159209222199</x:v>
      </x:c>
      <x:c r="G1694" s="21" t="n">
        <x:f>H1566*'Assumptions'!$K$52</x:f>
        <x:v>9.009158822629825</x:v>
      </x:c>
      <x:c r="H1694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1694+G1694,NA())</x:f>
        <x:v>18.560750914851816</x:v>
      </x:c>
      <x:c r="I1694" s="22" t="n">
        <x:f>'Assumptions'!$H$52*IF('Assumptions'!$O$52=1,1,'Assumptions'!$D$10)*(1+'Assumptions'!$N$52)^(14-1)</x:f>
        <x:v>1800</x:v>
      </x:c>
      <x:c r="J1694" s="10" t="n">
        <x:f>H1694*I1694</x:f>
        <x:v>33409.35164673327</x:v>
      </x:c>
      <x:c r="K1694" s="10" t="n">
        <x:f>J1694*'Assumptions'!$T$52</x:f>
        <x:v>33409.35164673327</x:v>
      </x:c>
      <x:c r="L1694" s="10" t="n">
        <x:f>K1694*'Assumptions'!$U$52</x:f>
        <x:v>1002.280549401998</x:v>
      </x:c>
      <x:c r="M1694" s="10" t="n">
        <x:f>K1694*'Assumptions'!$V$52</x:f>
        <x:v>0</x:v>
      </x:c>
      <x:c r="N1694" s="10" t="n">
        <x:f>K1694-L1694-M1694</x:f>
        <x:v>32407.071097331267</x:v>
      </x:c>
      <x:c r="O1694" s="10" t="n">
        <x:f>H1694*'Assumptions'!$P$52*'Assumptions'!$Q$52*'Assumptions'!$D$11*(1+'Assumptions'!$D$13)^(14-1)</x:f>
        <x:v>9812.551847557272</x:v>
      </x:c>
      <x:c r="P1694" s="10" t="n">
        <x:f>H1694*'Assumptions'!$R$52*'Assumptions'!$D$11*(1+'Assumptions'!$D$13)^(14-1)</x:f>
        <x:v>272.5708846543686</x:v>
      </x:c>
      <x:c r="Q1694" s="10" t="n">
        <x:f>J1694*'Assumptions'!$S$52</x:f>
        <x:v>0</x:v>
      </x:c>
      <x:c r="R1694" s="10" t="n">
        <x:f>H1694*'Assumptions'!$Y$52*'Assumptions'!$Z$52*'Assumptions'!$D$11*(1+'Assumptions'!$D$13)^(14-1)</x:f>
        <x:v>204.42816349077648</x:v>
      </x:c>
      <x:c r="S1694" s="10" t="n">
        <x:f>IF(I1694=0,0,J1694*'Assumptions'!$W$52+H1694*'Assumptions'!$X$52)</x:f>
        <x:v>974.4394230297204</x:v>
      </x:c>
      <x:c r="T1694" s="10" t="n">
        <x:f>N1694*'Assumptions'!$AA$52</x:f>
        <x:v>1296.2828438932506</x:v>
      </x:c>
      <x:c r="U1694" s="10" t="n">
        <x:f>'Assumptions'!$AE$52*'Assumptions'!$D$11*(1+'Assumptions'!$D$13)^(14-1)</x:f>
        <x:v>0</x:v>
      </x:c>
      <x:c r="V1694" s="10" t="n">
        <x:f>0</x:f>
        <x:v>0</x:v>
      </x:c>
      <x:c r="W1694" s="10" t="n">
        <x:f>H1694*('Assumptions'!$P$52+'Assumptions'!$Y$52)</x:f>
        <x:v>116.00469321782386</x:v>
      </x:c>
      <x:c r="X1694" s="10" t="n">
        <x:f>N1694/12*'Assumptions'!$AF$52</x:f>
        <x:v>2700.5892581109388</x:v>
      </x:c>
      <x:c r="Y1694" s="10" t="n">
        <x:f>P1694/12</x:f>
        <x:v>22.714240387864052</x:v>
      </x:c>
      <x:c r="Z1694" s="10" t="n">
        <x:f>0</x:f>
        <x:v>0</x:v>
      </x:c>
      <x:c r="AA1694" s="10" t="n">
        <x:f>Z1694*'Assumptions'!$AC$52*'Assumptions'!$D$11*(1+'Assumptions'!$D$13)^(14-1)</x:f>
        <x:v>0</x:v>
      </x:c>
      <x:c r="AB1694" s="10" t="n">
        <x:f>F1694/1</x:f>
        <x:v>9.55159209222199</x:v>
      </x:c>
      <x:c r="AC1694" s="10" t="n">
        <x:f>AB1694/'Assumptions'!$AM$52</x:f>
        <x:v>47.757960461109946</x:v>
      </x:c>
      <x:c r="AD1694" s="10" t="n">
        <x:f>IF(AB1694=0,0,T1694/AB1694)</x:f>
        <x:v>135.71379843040344</x:v>
      </x:c>
      <x:c r="AE1694" s="10" t="n">
        <x:f>AA1694*'Assumptions'!$D$21</x:f>
        <x:v>0</x:v>
      </x:c>
    </x:row>
    <x:row r="1695" ht="16" customHeight="1">
      <x:c r="A1695" s="1"/>
      <x:c r="B1695" s="1"/>
      <x:c r="C1695" s="1" t="str">
        <x:v>DOT-024</x:v>
      </x:c>
      <x:c r="D1695" s="10" t="str">
        <x:v>BPA professional services</x:v>
      </x:c>
      <x:c r="E1695" s="10" t="n">
        <x:v>14</x:v>
      </x:c>
      <x:c r="F1695" s="21" t="n">
        <x:f>F1567*(1+'Assumptions'!$M$53)</x:f>
        <x:v>47.75796046110996</x:v>
      </x:c>
      <x:c r="G1695" s="21" t="n">
        <x:f>H1567*'Assumptions'!$K$53</x:f>
        <x:v>45.04426823424288</x:v>
      </x:c>
      <x:c r="H1695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1695+G1695,NA())</x:f>
        <x:v>92.80222869535284</x:v>
      </x:c>
      <x:c r="I1695" s="22" t="n">
        <x:f>'Assumptions'!$H$53*IF('Assumptions'!$O$53=1,1,'Assumptions'!$D$10)*(1+'Assumptions'!$N$53)^(14-1)</x:f>
        <x:v>540</x:v>
      </x:c>
      <x:c r="J1695" s="10" t="n">
        <x:f>H1695*I1695</x:f>
        <x:v>50113.20349549053</x:v>
      </x:c>
      <x:c r="K1695" s="10" t="n">
        <x:f>J1695*'Assumptions'!$T$53</x:f>
        <x:v>50113.20349549053</x:v>
      </x:c>
      <x:c r="L1695" s="10" t="n">
        <x:f>K1695*'Assumptions'!$U$53</x:f>
        <x:v>1503.3961048647159</x:v>
      </x:c>
      <x:c r="M1695" s="10" t="n">
        <x:f>K1695*'Assumptions'!$V$53</x:f>
        <x:v>0</x:v>
      </x:c>
      <x:c r="N1695" s="10" t="n">
        <x:f>K1695-L1695-M1695</x:f>
        <x:v>48609.807390625814</x:v>
      </x:c>
      <x:c r="O1695" s="10" t="n">
        <x:f>H1695*'Assumptions'!$P$53*'Assumptions'!$Q$53*'Assumptions'!$D$11*(1+'Assumptions'!$D$13)^(14-1)</x:f>
        <x:v>16353.984182708144</x:v>
      </x:c>
      <x:c r="P1695" s="10" t="n">
        <x:f>H1695*'Assumptions'!$R$53*'Assumptions'!$D$11*(1+'Assumptions'!$D$13)^(14-1)</x:f>
        <x:v>1362.8320152256786</x:v>
      </x:c>
      <x:c r="Q1695" s="10" t="n">
        <x:f>J1695*'Assumptions'!$S$53</x:f>
        <x:v>0</x:v>
      </x:c>
      <x:c r="R1695" s="10" t="n">
        <x:f>H1695*'Assumptions'!$Y$53*'Assumptions'!$Z$53*'Assumptions'!$D$11*(1+'Assumptions'!$D$13)^(14-1)</x:f>
        <x:v>1022.124011419259</x:v>
      </x:c>
      <x:c r="S1695" s="10" t="n">
        <x:f>IF(I1695=0,0,J1695*'Assumptions'!$W$53+H1695*'Assumptions'!$X$53)</x:f>
        <x:v>1481.1235699778315</x:v>
      </x:c>
      <x:c r="T1695" s="10" t="n">
        <x:f>N1695*'Assumptions'!$AA$53</x:f>
        <x:v>1944.3922956250326</x:v>
      </x:c>
      <x:c r="U1695" s="10" t="n">
        <x:f>'Assumptions'!$AE$53*'Assumptions'!$D$11*(1+'Assumptions'!$D$13)^(14-1)</x:f>
        <x:v>0</x:v>
      </x:c>
      <x:c r="V1695" s="10" t="n">
        <x:f>0</x:f>
        <x:v>0</x:v>
      </x:c>
      <x:c r="W1695" s="10" t="n">
        <x:f>H1695*('Assumptions'!$P$53+'Assumptions'!$Y$53)</x:f>
        <x:v>208.80501456454388</x:v>
      </x:c>
      <x:c r="X1695" s="10" t="n">
        <x:f>N1695/12*'Assumptions'!$AF$53</x:f>
        <x:v>4050.817282552151</x:v>
      </x:c>
      <x:c r="Y1695" s="10" t="n">
        <x:f>P1695/12</x:f>
        <x:v>113.56933460213988</x:v>
      </x:c>
      <x:c r="Z1695" s="10" t="n">
        <x:f>0</x:f>
        <x:v>0</x:v>
      </x:c>
      <x:c r="AA1695" s="10" t="n">
        <x:f>Z1695*'Assumptions'!$AC$53*'Assumptions'!$D$11*(1+'Assumptions'!$D$13)^(14-1)</x:f>
        <x:v>0</x:v>
      </x:c>
      <x:c r="AB1695" s="10" t="n">
        <x:f>F1695/1</x:f>
        <x:v>47.75796046110996</x:v>
      </x:c>
      <x:c r="AC1695" s="10" t="n">
        <x:f>AB1695/'Assumptions'!$AM$53</x:f>
        <x:v>238.78980230554978</x:v>
      </x:c>
      <x:c r="AD1695" s="10" t="n">
        <x:f>IF(AB1695=0,0,T1695/AB1695)</x:f>
        <x:v>40.71347010742599</x:v>
      </x:c>
      <x:c r="AE1695" s="10" t="n">
        <x:f>AA1695*'Assumptions'!$D$21</x:f>
        <x:v>0</x:v>
      </x:c>
    </x:row>
    <x:row r="1696" ht="16" customHeight="1">
      <x:c r="A1696" s="1"/>
      <x:c r="B1696" s="1"/>
      <x:c r="C1696" s="1" t="str">
        <x:v>DOT-025</x:v>
      </x:c>
      <x:c r="D1696" s="10" t="str">
        <x:v>BPA professional services</x:v>
      </x:c>
      <x:c r="E1696" s="10" t="n">
        <x:v>14</x:v>
      </x:c>
      <x:c r="F1696" s="21" t="n">
        <x:f>F1568*(1+'Assumptions'!$M$54)</x:f>
        <x:v>19.10318418444398</x:v>
      </x:c>
      <x:c r="G1696" s="21" t="n">
        <x:f>H1568*'Assumptions'!$K$54</x:f>
        <x:v>18.01770729369715</x:v>
      </x:c>
      <x:c r="H1696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1696+G1696,NA())</x:f>
        <x:v>37.12089147814113</x:v>
      </x:c>
      <x:c r="I1696" s="22" t="n">
        <x:f>'Assumptions'!$H$54*IF('Assumptions'!$O$54=1,1,'Assumptions'!$D$10)*(1+'Assumptions'!$N$54)^(14-1)</x:f>
        <x:v>1020</x:v>
      </x:c>
      <x:c r="J1696" s="10" t="n">
        <x:f>H1696*I1696</x:f>
        <x:v>37863.30930770395</x:v>
      </x:c>
      <x:c r="K1696" s="10" t="n">
        <x:f>J1696*'Assumptions'!$T$54</x:f>
        <x:v>37863.30930770395</x:v>
      </x:c>
      <x:c r="L1696" s="10" t="n">
        <x:f>K1696*'Assumptions'!$U$54</x:f>
        <x:v>1135.8992792311185</x:v>
      </x:c>
      <x:c r="M1696" s="10" t="n">
        <x:f>K1696*'Assumptions'!$V$54</x:f>
        <x:v>0</x:v>
      </x:c>
      <x:c r="N1696" s="10" t="n">
        <x:f>K1696-L1696-M1696</x:f>
        <x:v>36727.410028472834</x:v>
      </x:c>
      <x:c r="O1696" s="10" t="n">
        <x:f>H1696*'Assumptions'!$P$54*'Assumptions'!$Q$54*'Assumptions'!$D$11*(1+'Assumptions'!$D$13)^(14-1)</x:f>
        <x:v>16353.984182708142</x:v>
      </x:c>
      <x:c r="P1696" s="10" t="n">
        <x:f>H1696*'Assumptions'!$R$54*'Assumptions'!$D$11*(1+'Assumptions'!$D$13)^(14-1)</x:f>
        <x:v>545.1328060902714</x:v>
      </x:c>
      <x:c r="Q1696" s="10" t="n">
        <x:f>J1696*'Assumptions'!$S$54</x:f>
        <x:v>0</x:v>
      </x:c>
      <x:c r="R1696" s="10" t="n">
        <x:f>H1696*'Assumptions'!$Y$54*'Assumptions'!$Z$54*'Assumptions'!$D$11*(1+'Assumptions'!$D$13)^(14-1)</x:f>
        <x:v>408.8496045677035</x:v>
      </x:c>
      <x:c r="S1696" s="10" t="n">
        <x:f>IF(I1696=0,0,J1696*'Assumptions'!$W$54+H1696*'Assumptions'!$X$54)</x:f>
        <x:v>1109.1722373668572</x:v>
      </x:c>
      <x:c r="T1696" s="10" t="n">
        <x:f>N1696*'Assumptions'!$AA$54</x:f>
        <x:v>1469.0964011389133</x:v>
      </x:c>
      <x:c r="U1696" s="10" t="n">
        <x:f>'Assumptions'!$AE$54*'Assumptions'!$D$11*(1+'Assumptions'!$D$13)^(14-1)</x:f>
        <x:v>0</x:v>
      </x:c>
      <x:c r="V1696" s="10" t="n">
        <x:f>0</x:f>
        <x:v>0</x:v>
      </x:c>
      <x:c r="W1696" s="10" t="n">
        <x:f>H1696*('Assumptions'!$P$54+'Assumptions'!$Y$54)</x:f>
        <x:v>194.88468026024094</x:v>
      </x:c>
      <x:c r="X1696" s="10" t="n">
        <x:f>N1696/12*'Assumptions'!$AF$54</x:f>
        <x:v>3060.617502372736</x:v>
      </x:c>
      <x:c r="Y1696" s="10" t="n">
        <x:f>P1696/12</x:f>
        <x:v>45.42773384085595</x:v>
      </x:c>
      <x:c r="Z1696" s="10" t="n">
        <x:f>0</x:f>
        <x:v>0</x:v>
      </x:c>
      <x:c r="AA1696" s="10" t="n">
        <x:f>Z1696*'Assumptions'!$AC$54*'Assumptions'!$D$11*(1+'Assumptions'!$D$13)^(14-1)</x:f>
        <x:v>0</x:v>
      </x:c>
      <x:c r="AB1696" s="10" t="n">
        <x:f>F1696/1</x:f>
        <x:v>19.10318418444398</x:v>
      </x:c>
      <x:c r="AC1696" s="10" t="n">
        <x:f>AB1696/'Assumptions'!$AM$54</x:f>
        <x:v>95.51592092221989</x:v>
      </x:c>
      <x:c r="AD1696" s="10" t="n">
        <x:f>IF(AB1696=0,0,T1696/AB1696)</x:f>
        <x:v>76.90322131402688</x:v>
      </x:c>
      <x:c r="AE1696" s="10" t="n">
        <x:f>AA1696*'Assumptions'!$D$21</x:f>
        <x:v>0</x:v>
      </x:c>
    </x:row>
    <x:row r="1697" ht="16" customHeight="1">
      <x:c r="A1697" s="1"/>
      <x:c r="B1697" s="1"/>
      <x:c r="C1697" s="1" t="str">
        <x:v>DOT-026</x:v>
      </x:c>
      <x:c r="D1697" s="10" t="str">
        <x:v>BPA professional services</x:v>
      </x:c>
      <x:c r="E1697" s="10" t="n">
        <x:v>14</x:v>
      </x:c>
      <x:c r="F1697" s="21" t="n">
        <x:f>F1569*(1+'Assumptions'!$M$55)</x:f>
        <x:v>7.641273673777594</x:v>
      </x:c>
      <x:c r="G1697" s="21" t="n">
        <x:f>H1569*'Assumptions'!$K$55</x:f>
        <x:v>7.2070829174788615</x:v>
      </x:c>
      <x:c r="H1697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1697+G1697,NA())</x:f>
        <x:v>14.848356591256454</x:v>
      </x:c>
      <x:c r="I1697" s="22" t="n">
        <x:f>'Assumptions'!$H$55*IF('Assumptions'!$O$55=1,1,'Assumptions'!$D$10)*(1+'Assumptions'!$N$55)^(14-1)</x:f>
        <x:v>1800</x:v>
      </x:c>
      <x:c r="J1697" s="10" t="n">
        <x:f>H1697*I1697</x:f>
        <x:v>26727.041864261617</x:v>
      </x:c>
      <x:c r="K1697" s="10" t="n">
        <x:f>J1697*'Assumptions'!$T$55</x:f>
        <x:v>26727.041864261617</x:v>
      </x:c>
      <x:c r="L1697" s="10" t="n">
        <x:f>K1697*'Assumptions'!$U$55</x:f>
        <x:v>801.8112559278485</x:v>
      </x:c>
      <x:c r="M1697" s="10" t="n">
        <x:f>K1697*'Assumptions'!$V$55</x:f>
        <x:v>0</x:v>
      </x:c>
      <x:c r="N1697" s="10" t="n">
        <x:f>K1697-L1697-M1697</x:f>
        <x:v>25925.230608333768</x:v>
      </x:c>
      <x:c r="O1697" s="10" t="n">
        <x:f>H1697*'Assumptions'!$P$55*'Assumptions'!$Q$55*'Assumptions'!$D$11*(1+'Assumptions'!$D$13)^(14-1)</x:f>
        <x:v>13083.187346166513</x:v>
      </x:c>
      <x:c r="P1697" s="10" t="n">
        <x:f>H1697*'Assumptions'!$R$55*'Assumptions'!$D$11*(1+'Assumptions'!$D$13)^(14-1)</x:f>
        <x:v>218.05312243610857</x:v>
      </x:c>
      <x:c r="Q1697" s="10" t="n">
        <x:f>J1697*'Assumptions'!$S$55</x:f>
        <x:v>0</x:v>
      </x:c>
      <x:c r="R1697" s="10" t="n">
        <x:f>H1697*'Assumptions'!$Y$55*'Assumptions'!$Z$55*'Assumptions'!$D$11*(1+'Assumptions'!$D$13)^(14-1)</x:f>
        <x:v>163.53984182708146</x:v>
      </x:c>
      <x:c r="S1697" s="10" t="n">
        <x:f>IF(I1697=0,0,J1697*'Assumptions'!$W$55+H1697*'Assumptions'!$X$55)</x:f>
        <x:v>779.5387210409639</x:v>
      </x:c>
      <x:c r="T1697" s="10" t="n">
        <x:f>N1697*'Assumptions'!$AA$55</x:f>
        <x:v>1037.0092243333506</x:v>
      </x:c>
      <x:c r="U1697" s="10" t="n">
        <x:f>'Assumptions'!$AE$55*'Assumptions'!$D$11*(1+'Assumptions'!$D$13)^(14-1)</x:f>
        <x:v>0</x:v>
      </x:c>
      <x:c r="V1697" s="10" t="n">
        <x:f>0</x:f>
        <x:v>0</x:v>
      </x:c>
      <x:c r="W1697" s="10" t="n">
        <x:f>H1697*('Assumptions'!$P$55+'Assumptions'!$Y$55)</x:f>
        <x:v>152.19565506037867</x:v>
      </x:c>
      <x:c r="X1697" s="10" t="n">
        <x:f>N1697/12*'Assumptions'!$AF$55</x:f>
        <x:v>2160.435884027814</x:v>
      </x:c>
      <x:c r="Y1697" s="10" t="n">
        <x:f>P1697/12</x:f>
        <x:v>18.17109353634238</x:v>
      </x:c>
      <x:c r="Z1697" s="10" t="n">
        <x:f>0</x:f>
        <x:v>0</x:v>
      </x:c>
      <x:c r="AA1697" s="10" t="n">
        <x:f>Z1697*'Assumptions'!$AC$55*'Assumptions'!$D$11*(1+'Assumptions'!$D$13)^(14-1)</x:f>
        <x:v>0</x:v>
      </x:c>
      <x:c r="AB1697" s="10" t="n">
        <x:f>F1697/1</x:f>
        <x:v>7.641273673777594</x:v>
      </x:c>
      <x:c r="AC1697" s="10" t="n">
        <x:f>AB1697/'Assumptions'!$AM$55</x:f>
        <x:v>38.206368368887965</x:v>
      </x:c>
      <x:c r="AD1697" s="10" t="n">
        <x:f>IF(AB1697=0,0,T1697/AB1697)</x:f>
        <x:v>135.7115670247533</x:v>
      </x:c>
      <x:c r="AE1697" s="10" t="n">
        <x:f>AA1697*'Assumptions'!$D$21</x:f>
        <x:v>0</x:v>
      </x:c>
    </x:row>
    <x:row r="1698" ht="16" customHeight="1">
      <x:c r="A1698" s="1"/>
      <x:c r="B1698" s="1"/>
      <x:c r="C1698" s="1" t="str">
        <x:v>DOT-027</x:v>
      </x:c>
      <x:c r="D1698" s="10" t="str">
        <x:v>BPA professional services</x:v>
      </x:c>
      <x:c r="E1698" s="10" t="n">
        <x:v>14</x:v>
      </x:c>
      <x:c r="F1698" s="21" t="n">
        <x:f>F1570*(1+'Assumptions'!$M$56)</x:f>
        <x:v>7.641273673777594</x:v>
      </x:c>
      <x:c r="G1698" s="21" t="n">
        <x:f>H1570*'Assumptions'!$K$56</x:f>
        <x:v>7.2070829174788615</x:v>
      </x:c>
      <x:c r="H1698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1698+G1698,NA())</x:f>
        <x:v>14.848356591256454</x:v>
      </x:c>
      <x:c r="I1698" s="22" t="n">
        <x:f>'Assumptions'!$H$56*IF('Assumptions'!$O$56=1,1,'Assumptions'!$D$10)*(1+'Assumptions'!$N$56)^(14-1)</x:f>
        <x:v>1800</x:v>
      </x:c>
      <x:c r="J1698" s="10" t="n">
        <x:f>H1698*I1698</x:f>
        <x:v>26727.041864261617</x:v>
      </x:c>
      <x:c r="K1698" s="10" t="n">
        <x:f>J1698*'Assumptions'!$T$56</x:f>
        <x:v>26727.041864261617</x:v>
      </x:c>
      <x:c r="L1698" s="10" t="n">
        <x:f>K1698*'Assumptions'!$U$56</x:f>
        <x:v>801.8112559278485</x:v>
      </x:c>
      <x:c r="M1698" s="10" t="n">
        <x:f>K1698*'Assumptions'!$V$56</x:f>
        <x:v>0</x:v>
      </x:c>
      <x:c r="N1698" s="10" t="n">
        <x:f>K1698-L1698-M1698</x:f>
        <x:v>25925.230608333768</x:v>
      </x:c>
      <x:c r="O1698" s="10" t="n">
        <x:f>H1698*'Assumptions'!$P$56*'Assumptions'!$Q$56*'Assumptions'!$D$11*(1+'Assumptions'!$D$13)^(14-1)</x:f>
        <x:v>13083.187346166513</x:v>
      </x:c>
      <x:c r="P1698" s="10" t="n">
        <x:f>H1698*'Assumptions'!$R$56*'Assumptions'!$D$11*(1+'Assumptions'!$D$13)^(14-1)</x:f>
        <x:v>218.05312243610857</x:v>
      </x:c>
      <x:c r="Q1698" s="10" t="n">
        <x:f>J1698*'Assumptions'!$S$56</x:f>
        <x:v>0</x:v>
      </x:c>
      <x:c r="R1698" s="10" t="n">
        <x:f>H1698*'Assumptions'!$Y$56*'Assumptions'!$Z$56*'Assumptions'!$D$11*(1+'Assumptions'!$D$13)^(14-1)</x:f>
        <x:v>163.53984182708146</x:v>
      </x:c>
      <x:c r="S1698" s="10" t="n">
        <x:f>IF(I1698=0,0,J1698*'Assumptions'!$W$56+H1698*'Assumptions'!$X$56)</x:f>
        <x:v>779.5387210409639</x:v>
      </x:c>
      <x:c r="T1698" s="10" t="n">
        <x:f>N1698*'Assumptions'!$AA$56</x:f>
        <x:v>1037.0092243333506</x:v>
      </x:c>
      <x:c r="U1698" s="10" t="n">
        <x:f>'Assumptions'!$AE$56*'Assumptions'!$D$11*(1+'Assumptions'!$D$13)^(14-1)</x:f>
        <x:v>0</x:v>
      </x:c>
      <x:c r="V1698" s="10" t="n">
        <x:f>0</x:f>
        <x:v>0</x:v>
      </x:c>
      <x:c r="W1698" s="10" t="n">
        <x:f>H1698*('Assumptions'!$P$56+'Assumptions'!$Y$56)</x:f>
        <x:v>152.19565506037867</x:v>
      </x:c>
      <x:c r="X1698" s="10" t="n">
        <x:f>N1698/12*'Assumptions'!$AF$56</x:f>
        <x:v>2160.435884027814</x:v>
      </x:c>
      <x:c r="Y1698" s="10" t="n">
        <x:f>P1698/12</x:f>
        <x:v>18.17109353634238</x:v>
      </x:c>
      <x:c r="Z1698" s="10" t="n">
        <x:f>0</x:f>
        <x:v>0</x:v>
      </x:c>
      <x:c r="AA1698" s="10" t="n">
        <x:f>Z1698*'Assumptions'!$AC$56*'Assumptions'!$D$11*(1+'Assumptions'!$D$13)^(14-1)</x:f>
        <x:v>0</x:v>
      </x:c>
      <x:c r="AB1698" s="10" t="n">
        <x:f>F1698/1</x:f>
        <x:v>7.641273673777594</x:v>
      </x:c>
      <x:c r="AC1698" s="10" t="n">
        <x:f>AB1698/'Assumptions'!$AM$56</x:f>
        <x:v>38.206368368887965</x:v>
      </x:c>
      <x:c r="AD1698" s="10" t="n">
        <x:f>IF(AB1698=0,0,T1698/AB1698)</x:f>
        <x:v>135.7115670247533</x:v>
      </x:c>
      <x:c r="AE1698" s="10" t="n">
        <x:f>AA1698*'Assumptions'!$D$21</x:f>
        <x:v>0</x:v>
      </x:c>
    </x:row>
    <x:row r="1699" ht="16" customHeight="1">
      <x:c r="A1699" s="1"/>
      <x:c r="B1699" s="1"/>
      <x:c r="C1699" s="1" t="str">
        <x:v>DOT-028</x:v>
      </x:c>
      <x:c r="D1699" s="10" t="str">
        <x:v>BPA professional services</x:v>
      </x:c>
      <x:c r="E1699" s="10" t="n">
        <x:v>14</x:v>
      </x:c>
      <x:c r="F1699" s="21" t="n">
        <x:f>F1571*(1+'Assumptions'!$M$57)</x:f>
        <x:v>3.820636836888797</x:v>
      </x:c>
      <x:c r="G1699" s="21" t="n">
        <x:f>H1571*'Assumptions'!$K$57</x:f>
        <x:v>3.6035414587394308</x:v>
      </x:c>
      <x:c r="H1699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1699+G1699,NA())</x:f>
        <x:v>7.424178295628227</x:v>
      </x:c>
      <x:c r="I1699" s="22" t="n">
        <x:f>'Assumptions'!$H$57*IF('Assumptions'!$O$57=1,1,'Assumptions'!$D$10)*(1+'Assumptions'!$N$57)^(14-1)</x:f>
        <x:v>1800</x:v>
      </x:c>
      <x:c r="J1699" s="10" t="n">
        <x:f>H1699*I1699</x:f>
        <x:v>13363.520932130808</x:v>
      </x:c>
      <x:c r="K1699" s="10" t="n">
        <x:f>J1699*'Assumptions'!$T$57</x:f>
        <x:v>13363.520932130808</x:v>
      </x:c>
      <x:c r="L1699" s="10" t="n">
        <x:f>K1699*'Assumptions'!$U$57</x:f>
        <x:v>400.90562796392425</x:v>
      </x:c>
      <x:c r="M1699" s="10" t="n">
        <x:f>K1699*'Assumptions'!$V$57</x:f>
        <x:v>0</x:v>
      </x:c>
      <x:c r="N1699" s="10" t="n">
        <x:f>K1699-L1699-M1699</x:f>
        <x:v>12962.615304166884</x:v>
      </x:c>
      <x:c r="O1699" s="10" t="n">
        <x:f>H1699*'Assumptions'!$P$57*'Assumptions'!$Q$57*'Assumptions'!$D$11*(1+'Assumptions'!$D$13)^(14-1)</x:f>
        <x:v>7849.91240769991</x:v>
      </x:c>
      <x:c r="P1699" s="10" t="n">
        <x:f>H1699*'Assumptions'!$R$57*'Assumptions'!$D$11*(1+'Assumptions'!$D$13)^(14-1)</x:f>
        <x:v>109.02656121805428</x:v>
      </x:c>
      <x:c r="Q1699" s="10" t="n">
        <x:f>J1699*'Assumptions'!$S$57</x:f>
        <x:v>0</x:v>
      </x:c>
      <x:c r="R1699" s="10" t="n">
        <x:f>H1699*'Assumptions'!$Y$57*'Assumptions'!$Z$57*'Assumptions'!$D$11*(1+'Assumptions'!$D$13)^(14-1)</x:f>
        <x:v>81.76992091354073</x:v>
      </x:c>
      <x:c r="S1699" s="10" t="n">
        <x:f>IF(I1699=0,0,J1699*'Assumptions'!$W$57+H1699*'Assumptions'!$X$57)</x:f>
        <x:v>389.76936052048194</x:v>
      </x:c>
      <x:c r="T1699" s="10" t="n">
        <x:f>N1699*'Assumptions'!$AA$57</x:f>
        <x:v>518.5046121666753</x:v>
      </x:c>
      <x:c r="U1699" s="10" t="n">
        <x:f>'Assumptions'!$AE$57*'Assumptions'!$D$11*(1+'Assumptions'!$D$13)^(14-1)</x:f>
        <x:v>0</x:v>
      </x:c>
      <x:c r="V1699" s="10" t="n">
        <x:f>0</x:f>
        <x:v>0</x:v>
      </x:c>
      <x:c r="W1699" s="10" t="n">
        <x:f>H1699*('Assumptions'!$P$57+'Assumptions'!$Y$57)</x:f>
        <x:v>90.94618412144578</x:v>
      </x:c>
      <x:c r="X1699" s="10" t="n">
        <x:f>N1699/12*'Assumptions'!$AF$57</x:f>
        <x:v>1080.217942013907</x:v>
      </x:c>
      <x:c r="Y1699" s="10" t="n">
        <x:f>P1699/12</x:f>
        <x:v>9.08554676817119</x:v>
      </x:c>
      <x:c r="Z1699" s="10" t="n">
        <x:f>0</x:f>
        <x:v>0</x:v>
      </x:c>
      <x:c r="AA1699" s="10" t="n">
        <x:f>Z1699*'Assumptions'!$AC$57*'Assumptions'!$D$11*(1+'Assumptions'!$D$13)^(14-1)</x:f>
        <x:v>0</x:v>
      </x:c>
      <x:c r="AB1699" s="10" t="n">
        <x:f>F1699/1</x:f>
        <x:v>3.820636836888797</x:v>
      </x:c>
      <x:c r="AC1699" s="10" t="n">
        <x:f>AB1699/'Assumptions'!$AM$57</x:f>
        <x:v>19.103184184443982</x:v>
      </x:c>
      <x:c r="AD1699" s="10" t="n">
        <x:f>IF(AB1699=0,0,T1699/AB1699)</x:f>
        <x:v>135.7115670247533</x:v>
      </x:c>
      <x:c r="AE1699" s="10" t="n">
        <x:f>AA1699*'Assumptions'!$D$21</x:f>
        <x:v>0</x:v>
      </x:c>
    </x:row>
    <x:row r="1700" ht="16" customHeight="1">
      <x:c r="A1700" s="1"/>
      <x:c r="B1700" s="1"/>
      <x:c r="C1700" s="1" t="str">
        <x:v>DOT-029</x:v>
      </x:c>
      <x:c r="D1700" s="10" t="str">
        <x:v>BPA professional services</x:v>
      </x:c>
      <x:c r="E1700" s="10" t="n">
        <x:v>14</x:v>
      </x:c>
      <x:c r="F1700" s="21" t="n">
        <x:f>F1572*(1+'Assumptions'!$M$58)</x:f>
        <x:v>38.20636836888796</x:v>
      </x:c>
      <x:c r="G1700" s="21" t="n">
        <x:f>H1572*'Assumptions'!$K$58</x:f>
        <x:v>36.0354145873943</x:v>
      </x:c>
      <x:c r="H1700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1700+G1700,NA())</x:f>
        <x:v>74.24178295628226</x:v>
      </x:c>
      <x:c r="I1700" s="22" t="n">
        <x:f>'Assumptions'!$H$58*IF('Assumptions'!$O$58=1,1,'Assumptions'!$D$10)*(1+'Assumptions'!$N$58)^(14-1)</x:f>
        <x:v>180</x:v>
      </x:c>
      <x:c r="J1700" s="10" t="n">
        <x:f>H1700*I1700</x:f>
        <x:v>13363.520932130808</x:v>
      </x:c>
      <x:c r="K1700" s="10" t="n">
        <x:f>J1700*'Assumptions'!$T$58</x:f>
        <x:v>13363.520932130808</x:v>
      </x:c>
      <x:c r="L1700" s="10" t="n">
        <x:f>K1700*'Assumptions'!$U$58</x:f>
        <x:v>400.90562796392425</x:v>
      </x:c>
      <x:c r="M1700" s="10" t="n">
        <x:f>K1700*'Assumptions'!$V$58</x:f>
        <x:v>0</x:v>
      </x:c>
      <x:c r="N1700" s="10" t="n">
        <x:f>K1700-L1700-M1700</x:f>
        <x:v>12962.615304166884</x:v>
      </x:c>
      <x:c r="O1700" s="10" t="n">
        <x:f>H1700*'Assumptions'!$P$58*'Assumptions'!$Q$58*'Assumptions'!$D$11*(1+'Assumptions'!$D$13)^(14-1)</x:f>
        <x:v>6541.593673083256</x:v>
      </x:c>
      <x:c r="P1700" s="10" t="n">
        <x:f>H1700*'Assumptions'!$R$58*'Assumptions'!$D$11*(1+'Assumptions'!$D$13)^(14-1)</x:f>
        <x:v>1090.2656121805428</x:v>
      </x:c>
      <x:c r="Q1700" s="10" t="n">
        <x:f>J1700*'Assumptions'!$S$58</x:f>
        <x:v>0</x:v>
      </x:c>
      <x:c r="R1700" s="10" t="n">
        <x:f>H1700*'Assumptions'!$Y$58*'Assumptions'!$Z$58*'Assumptions'!$D$11*(1+'Assumptions'!$D$13)^(14-1)</x:f>
        <x:v>817.699209135407</x:v>
      </x:c>
      <x:c r="S1700" s="10" t="n">
        <x:f>IF(I1700=0,0,J1700*'Assumptions'!$W$58+H1700*'Assumptions'!$X$58)</x:f>
        <x:v>409.81464191867815</x:v>
      </x:c>
      <x:c r="T1700" s="10" t="n">
        <x:f>N1700*'Assumptions'!$AA$58</x:f>
        <x:v>518.5046121666753</x:v>
      </x:c>
      <x:c r="U1700" s="10" t="n">
        <x:f>'Assumptions'!$AE$58*'Assumptions'!$D$11*(1+'Assumptions'!$D$13)^(14-1)</x:f>
        <x:v>0</x:v>
      </x:c>
      <x:c r="V1700" s="10" t="n">
        <x:f>0</x:f>
        <x:v>0</x:v>
      </x:c>
      <x:c r="W1700" s="10" t="n">
        <x:f>H1700*('Assumptions'!$P$58+'Assumptions'!$Y$58)</x:f>
        <x:v>92.80222869535282</x:v>
      </x:c>
      <x:c r="X1700" s="10" t="n">
        <x:f>N1700/12*'Assumptions'!$AF$58</x:f>
        <x:v>1080.217942013907</x:v>
      </x:c>
      <x:c r="Y1700" s="10" t="n">
        <x:f>P1700/12</x:f>
        <x:v>90.8554676817119</x:v>
      </x:c>
      <x:c r="Z1700" s="10" t="n">
        <x:f>0</x:f>
        <x:v>0</x:v>
      </x:c>
      <x:c r="AA1700" s="10" t="n">
        <x:f>Z1700*'Assumptions'!$AC$58*'Assumptions'!$D$11*(1+'Assumptions'!$D$13)^(14-1)</x:f>
        <x:v>0</x:v>
      </x:c>
      <x:c r="AB1700" s="10" t="n">
        <x:f>F1700/1</x:f>
        <x:v>38.20636836888796</x:v>
      </x:c>
      <x:c r="AC1700" s="10" t="n">
        <x:f>AB1700/'Assumptions'!$AM$58</x:f>
        <x:v>191.03184184443978</x:v>
      </x:c>
      <x:c r="AD1700" s="10" t="n">
        <x:f>IF(AB1700=0,0,T1700/AB1700)</x:f>
        <x:v>13.571156702475331</x:v>
      </x:c>
      <x:c r="AE1700" s="10" t="n">
        <x:f>AA1700*'Assumptions'!$D$21</x:f>
        <x:v>0</x:v>
      </x:c>
    </x:row>
    <x:row r="1701" ht="16" customHeight="1">
      <x:c r="A1701" s="1"/>
      <x:c r="B1701" s="1"/>
      <x:c r="C1701" s="1" t="str">
        <x:v>DOT-030</x:v>
      </x:c>
      <x:c r="D1701" s="10" t="str">
        <x:v>BPA professional services</x:v>
      </x:c>
      <x:c r="E1701" s="10" t="n">
        <x:v>14</x:v>
      </x:c>
      <x:c r="F1701" s="21" t="n">
        <x:f>F1573*(1+'Assumptions'!$M$59)</x:f>
        <x:v>7.641273673777594</x:v>
      </x:c>
      <x:c r="G1701" s="21" t="n">
        <x:f>H1573*'Assumptions'!$K$59</x:f>
        <x:v>7.2070829174788615</x:v>
      </x:c>
      <x:c r="H1701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1701+G1701,NA())</x:f>
        <x:v>14.848356591256454</x:v>
      </x:c>
      <x:c r="I1701" s="22" t="n">
        <x:f>'Assumptions'!$H$59*IF('Assumptions'!$O$59=1,1,'Assumptions'!$D$10)*(1+'Assumptions'!$N$59)^(14-1)</x:f>
        <x:v>646.8033152268982</x:v>
      </x:c>
      <x:c r="J1701" s="10" t="n">
        <x:f>H1701*I1701</x:f>
        <x:v>9603.966268895841</x:v>
      </x:c>
      <x:c r="K1701" s="10" t="n">
        <x:f>J1701*'Assumptions'!$T$59</x:f>
        <x:v>9603.966268895841</x:v>
      </x:c>
      <x:c r="L1701" s="10" t="n">
        <x:f>K1701*'Assumptions'!$U$59</x:f>
        <x:v>288.11898806687526</x:v>
      </x:c>
      <x:c r="M1701" s="10" t="n">
        <x:f>K1701*'Assumptions'!$V$59</x:f>
        <x:v>0</x:v>
      </x:c>
      <x:c r="N1701" s="10" t="n">
        <x:f>K1701-L1701-M1701</x:f>
        <x:v>9315.847280828966</x:v>
      </x:c>
      <x:c r="O1701" s="10" t="n">
        <x:f>H1701*'Assumptions'!$P$59*'Assumptions'!$Q$59*'Assumptions'!$D$11*(1+'Assumptions'!$D$13)^(14-1)</x:f>
        <x:v>3924.956203849955</x:v>
      </x:c>
      <x:c r="P1701" s="10" t="n">
        <x:f>H1701*'Assumptions'!$R$59*'Assumptions'!$D$11*(1+'Assumptions'!$D$13)^(14-1)</x:f>
        <x:v>218.05312243610857</x:v>
      </x:c>
      <x:c r="Q1701" s="10" t="n">
        <x:f>J1701*'Assumptions'!$S$59</x:f>
        <x:v>0</x:v>
      </x:c>
      <x:c r="R1701" s="10" t="n">
        <x:f>H1701*'Assumptions'!$Y$59*'Assumptions'!$Z$59*'Assumptions'!$D$11*(1+'Assumptions'!$D$13)^(14-1)</x:f>
        <x:v>163.53984182708146</x:v>
      </x:c>
      <x:c r="S1701" s="10" t="n">
        <x:f>IF(I1701=0,0,J1701*'Assumptions'!$W$59+H1701*'Assumptions'!$X$59)</x:f>
        <x:v>282.96952877535637</x:v>
      </x:c>
      <x:c r="T1701" s="10" t="n">
        <x:f>N1701*'Assumptions'!$AA$59</x:f>
        <x:v>372.63389123315864</x:v>
      </x:c>
      <x:c r="U1701" s="10" t="n">
        <x:f>'Assumptions'!$AE$59*'Assumptions'!$D$11*(1+'Assumptions'!$D$13)^(14-1)</x:f>
        <x:v>0</x:v>
      </x:c>
      <x:c r="V1701" s="10" t="n">
        <x:f>0</x:f>
        <x:v>0</x:v>
      </x:c>
      <x:c r="W1701" s="10" t="n">
        <x:f>H1701*('Assumptions'!$P$59+'Assumptions'!$Y$59)</x:f>
        <x:v>48.257158921583475</x:v>
      </x:c>
      <x:c r="X1701" s="10" t="n">
        <x:f>N1701/12*'Assumptions'!$AF$59</x:f>
        <x:v>776.3206067357472</x:v>
      </x:c>
      <x:c r="Y1701" s="10" t="n">
        <x:f>P1701/12</x:f>
        <x:v>18.17109353634238</x:v>
      </x:c>
      <x:c r="Z1701" s="10" t="n">
        <x:f>0</x:f>
        <x:v>0</x:v>
      </x:c>
      <x:c r="AA1701" s="10" t="n">
        <x:f>Z1701*'Assumptions'!$AC$59*'Assumptions'!$D$11*(1+'Assumptions'!$D$13)^(14-1)</x:f>
        <x:v>0</x:v>
      </x:c>
      <x:c r="AB1701" s="10" t="n">
        <x:f>F1701/1</x:f>
        <x:v>7.641273673777594</x:v>
      </x:c>
      <x:c r="AC1701" s="10" t="n">
        <x:f>AB1701/'Assumptions'!$AM$59</x:f>
        <x:v>38.206368368887965</x:v>
      </x:c>
      <x:c r="AD1701" s="10" t="n">
        <x:f>IF(AB1701=0,0,T1701/AB1701)</x:f>
        <x:v>48.76593970347102</x:v>
      </x:c>
      <x:c r="AE1701" s="10" t="n">
        <x:f>AA1701*'Assumptions'!$D$21</x:f>
        <x:v>0</x:v>
      </x:c>
    </x:row>
    <x:row r="1702" ht="16" customHeight="1">
      <x:c r="A1702" s="1"/>
      <x:c r="B1702" s="1"/>
      <x:c r="C1702" s="1" t="str">
        <x:v>DOT-031</x:v>
      </x:c>
      <x:c r="D1702" s="10" t="str">
        <x:v>BPA professional services</x:v>
      </x:c>
      <x:c r="E1702" s="10" t="n">
        <x:v>14</x:v>
      </x:c>
      <x:c r="F1702" s="21" t="n">
        <x:f>F1574*(1+'Assumptions'!$M$60)</x:f>
        <x:v>3.820636836888797</x:v>
      </x:c>
      <x:c r="G1702" s="21" t="n">
        <x:f>H1574*'Assumptions'!$K$60</x:f>
        <x:v>3.6036635290519308</x:v>
      </x:c>
      <x:c r="H1702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1702+G1702,NA())</x:f>
        <x:v>7.424300365940727</x:v>
      </x:c>
      <x:c r="I1702" s="22" t="n">
        <x:f>'Assumptions'!$H$60*IF('Assumptions'!$O$60=1,1,'Assumptions'!$D$10)*(1+'Assumptions'!$N$60)^(14-1)</x:f>
        <x:v>6468.033152268983</x:v>
      </x:c>
      <x:c r="J1702" s="10" t="n">
        <x:f>H1702*I1702</x:f>
        <x:v>48020.62089930737</x:v>
      </x:c>
      <x:c r="K1702" s="10" t="n">
        <x:f>J1702*'Assumptions'!$T$60</x:f>
        <x:v>48020.62089930737</x:v>
      </x:c>
      <x:c r="L1702" s="10" t="n">
        <x:f>K1702*'Assumptions'!$U$60</x:f>
        <x:v>1440.618626979221</x:v>
      </x:c>
      <x:c r="M1702" s="10" t="n">
        <x:f>K1702*'Assumptions'!$V$60</x:f>
        <x:v>0</x:v>
      </x:c>
      <x:c r="N1702" s="10" t="n">
        <x:f>K1702-L1702-M1702</x:f>
        <x:v>46580.00227232814</x:v>
      </x:c>
      <x:c r="O1702" s="10" t="n">
        <x:f>H1702*'Assumptions'!$P$60*'Assumptions'!$Q$60*'Assumptions'!$D$11*(1+'Assumptions'!$D$13)^(14-1)</x:f>
        <x:v>26166.80492681939</x:v>
      </x:c>
      <x:c r="P1702" s="10" t="n">
        <x:f>H1702*'Assumptions'!$R$60*'Assumptions'!$D$11*(1+'Assumptions'!$D$13)^(14-1)</x:f>
        <x:v>109.02835386174746</x:v>
      </x:c>
      <x:c r="Q1702" s="10" t="n">
        <x:f>J1702*'Assumptions'!$S$60</x:f>
        <x:v>0</x:v>
      </x:c>
      <x:c r="R1702" s="10" t="n">
        <x:f>H1702*'Assumptions'!$Y$60*'Assumptions'!$Z$60*'Assumptions'!$D$11*(1+'Assumptions'!$D$13)^(14-1)</x:f>
        <x:v>81.77126539631061</x:v>
      </x:c>
      <x:c r="S1702" s="10" t="n">
        <x:f>IF(I1702=0,0,J1702*'Assumptions'!$W$60+H1702*'Assumptions'!$X$60)</x:f>
        <x:v>1394.8252961896958</x:v>
      </x:c>
      <x:c r="T1702" s="10" t="n">
        <x:f>N1702*'Assumptions'!$AA$60</x:f>
        <x:v>1863.200090893126</x:v>
      </x:c>
      <x:c r="U1702" s="10" t="n">
        <x:f>'Assumptions'!$AE$60*'Assumptions'!$D$11*(1+'Assumptions'!$D$13)^(14-1)</x:f>
        <x:v>0</x:v>
      </x:c>
      <x:c r="V1702" s="10" t="n">
        <x:f>0</x:f>
        <x:v>0</x:v>
      </x:c>
      <x:c r="W1702" s="10" t="n">
        <x:f>H1702*('Assumptions'!$P$60+'Assumptions'!$Y$60)</x:f>
        <x:v>298.82808972911425</x:v>
      </x:c>
      <x:c r="X1702" s="10" t="n">
        <x:f>N1702/12*'Assumptions'!$AF$60</x:f>
        <x:v>3881.666856027345</x:v>
      </x:c>
      <x:c r="Y1702" s="10" t="n">
        <x:f>P1702/12</x:f>
        <x:v>9.085696155145621</x:v>
      </x:c>
      <x:c r="Z1702" s="10" t="n">
        <x:f>0</x:f>
        <x:v>0</x:v>
      </x:c>
      <x:c r="AA1702" s="10" t="n">
        <x:f>Z1702*'Assumptions'!$AC$60*'Assumptions'!$D$11*(1+'Assumptions'!$D$13)^(14-1)</x:f>
        <x:v>0</x:v>
      </x:c>
      <x:c r="AB1702" s="10" t="n">
        <x:f>F1702/1</x:f>
        <x:v>3.820636836888797</x:v>
      </x:c>
      <x:c r="AC1702" s="10" t="n">
        <x:f>AB1702/'Assumptions'!$AM$60</x:f>
        <x:v>19.103184184443982</x:v>
      </x:c>
      <x:c r="AD1702" s="10" t="n">
        <x:f>IF(AB1702=0,0,T1702/AB1702)</x:f>
        <x:v>487.667415260111</x:v>
      </x:c>
      <x:c r="AE1702" s="10" t="n">
        <x:f>AA1702*'Assumptions'!$D$21</x:f>
        <x:v>0</x:v>
      </x:c>
    </x:row>
    <x:row r="1703" ht="16" customHeight="1">
      <x:c r="A1703" s="1"/>
      <x:c r="B1703" s="1"/>
      <x:c r="C1703" s="1" t="str">
        <x:v>DOT-032</x:v>
      </x:c>
      <x:c r="D1703" s="10" t="str">
        <x:v>BPA professional services</x:v>
      </x:c>
      <x:c r="E1703" s="10" t="n">
        <x:v>14</x:v>
      </x:c>
      <x:c r="F1703" s="21" t="n">
        <x:f>F1575*(1+'Assumptions'!$M$61)</x:f>
        <x:v>1.9103184184443984</x:v>
      </x:c>
      <x:c r="G1703" s="21" t="n">
        <x:f>H1575*'Assumptions'!$K$61</x:f>
        <x:v>1.8018317645259654</x:v>
      </x:c>
      <x:c r="H1703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1703+G1703,NA())</x:f>
        <x:v>3.7121501829703636</x:v>
      </x:c>
      <x:c r="I1703" s="22" t="n">
        <x:f>'Assumptions'!$H$61*IF('Assumptions'!$O$61=1,1,'Assumptions'!$D$10)*(1+'Assumptions'!$N$61)^(14-1)</x:f>
        <x:v>9702.049728403474</x:v>
      </x:c>
      <x:c r="J1703" s="10" t="n">
        <x:f>H1703*I1703</x:f>
        <x:v>36015.46567448052</x:v>
      </x:c>
      <x:c r="K1703" s="10" t="n">
        <x:f>J1703*'Assumptions'!$T$61</x:f>
        <x:v>36015.46567448052</x:v>
      </x:c>
      <x:c r="L1703" s="10" t="n">
        <x:f>K1703*'Assumptions'!$U$61</x:f>
        <x:v>1080.4639702344155</x:v>
      </x:c>
      <x:c r="M1703" s="10" t="n">
        <x:f>K1703*'Assumptions'!$V$61</x:f>
        <x:v>0</x:v>
      </x:c>
      <x:c r="N1703" s="10" t="n">
        <x:f>K1703-L1703-M1703</x:f>
        <x:v>34935.001704246104</x:v>
      </x:c>
      <x:c r="O1703" s="10" t="n">
        <x:f>H1703*'Assumptions'!$P$61*'Assumptions'!$Q$61*'Assumptions'!$D$11*(1+'Assumptions'!$D$13)^(14-1)</x:f>
        <x:v>19625.103695114547</x:v>
      </x:c>
      <x:c r="P1703" s="10" t="n">
        <x:f>H1703*'Assumptions'!$R$61*'Assumptions'!$D$11*(1+'Assumptions'!$D$13)^(14-1)</x:f>
        <x:v>54.51417693087373</x:v>
      </x:c>
      <x:c r="Q1703" s="10" t="n">
        <x:f>J1703*'Assumptions'!$S$61</x:f>
        <x:v>0</x:v>
      </x:c>
      <x:c r="R1703" s="10" t="n">
        <x:f>H1703*'Assumptions'!$Y$61*'Assumptions'!$Z$61*'Assumptions'!$D$11*(1+'Assumptions'!$D$13)^(14-1)</x:f>
        <x:v>40.885632698155305</x:v>
      </x:c>
      <x:c r="S1703" s="10" t="n">
        <x:f>IF(I1703=0,0,J1703*'Assumptions'!$W$61+H1703*'Assumptions'!$X$61)</x:f>
        <x:v>1045.5621496148262</x:v>
      </x:c>
      <x:c r="T1703" s="10" t="n">
        <x:f>N1703*'Assumptions'!$AA$61</x:f>
        <x:v>1397.4000681698442</x:v>
      </x:c>
      <x:c r="U1703" s="10" t="n">
        <x:f>'Assumptions'!$AE$61*'Assumptions'!$D$11*(1+'Assumptions'!$D$13)^(14-1)</x:f>
        <x:v>0</x:v>
      </x:c>
      <x:c r="V1703" s="10" t="n">
        <x:f>0</x:f>
        <x:v>0</x:v>
      </x:c>
      <x:c r="W1703" s="10" t="n">
        <x:f>H1703*('Assumptions'!$P$61+'Assumptions'!$Y$61)</x:f>
        <x:v>223.65704852396442</x:v>
      </x:c>
      <x:c r="X1703" s="10" t="n">
        <x:f>N1703/12*'Assumptions'!$AF$61</x:f>
        <x:v>2911.2501420205085</x:v>
      </x:c>
      <x:c r="Y1703" s="10" t="n">
        <x:f>P1703/12</x:f>
        <x:v>4.542848077572811</x:v>
      </x:c>
      <x:c r="Z1703" s="10" t="n">
        <x:f>0</x:f>
        <x:v>0</x:v>
      </x:c>
      <x:c r="AA1703" s="10" t="n">
        <x:f>Z1703*'Assumptions'!$AC$61*'Assumptions'!$D$11*(1+'Assumptions'!$D$13)^(14-1)</x:f>
        <x:v>0</x:v>
      </x:c>
      <x:c r="AB1703" s="10" t="n">
        <x:f>F1703/1</x:f>
        <x:v>1.9103184184443984</x:v>
      </x:c>
      <x:c r="AC1703" s="10" t="n">
        <x:f>AB1703/'Assumptions'!$AM$61</x:f>
        <x:v>9.551592092221991</x:v>
      </x:c>
      <x:c r="AD1703" s="10" t="n">
        <x:f>IF(AB1703=0,0,T1703/AB1703)</x:f>
        <x:v>731.5011228901664</x:v>
      </x:c>
      <x:c r="AE1703" s="10" t="n">
        <x:f>AA1703*'Assumptions'!$D$21</x:f>
        <x:v>0</x:v>
      </x:c>
    </x:row>
    <x:row r="1704" ht="16" customHeight="1">
      <x:c r="A1704" s="1"/>
      <x:c r="B1704" s="1"/>
      <x:c r="C1704" s="1" t="str">
        <x:v>DOT-033</x:v>
      </x:c>
      <x:c r="D1704" s="10" t="str">
        <x:v>CornerFlow</x:v>
      </x:c>
      <x:c r="E1704" s="10" t="n">
        <x:v>14</x:v>
      </x:c>
      <x:c r="F1704" s="21" t="n">
        <x:f>F1576*(1+'Assumptions'!$M$62)</x:f>
        <x:v>97.40079626357961</x:v>
      </x:c>
      <x:c r="G1704" s="21" t="n">
        <x:f>H1576*'Assumptions'!$K$62</x:f>
        <x:v>204.17939724489582</x:v>
      </x:c>
      <x:c r="H1704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1704+G1704,NA())</x:f>
        <x:v>301.5801935084754</x:v>
      </x:c>
      <x:c r="I1704" s="22" t="n">
        <x:f>'Assumptions'!$H$62*IF('Assumptions'!$O$62=1,1,'Assumptions'!$D$10)*(1+'Assumptions'!$N$62)^(14-1)</x:f>
        <x:v>63.38672489223603</x:v>
      </x:c>
      <x:c r="J1704" s="10" t="n">
        <x:f>H1704*I1704</x:f>
        <x:v>19116.18075886904</x:v>
      </x:c>
      <x:c r="K1704" s="10" t="n">
        <x:f>J1704*'Assumptions'!$T$62</x:f>
        <x:v>19116.18075886904</x:v>
      </x:c>
      <x:c r="L1704" s="10" t="n">
        <x:f>K1704*'Assumptions'!$U$62</x:f>
        <x:v>573.4854227660711</x:v>
      </x:c>
      <x:c r="M1704" s="10" t="n">
        <x:f>K1704*'Assumptions'!$V$62</x:f>
        <x:v>0</x:v>
      </x:c>
      <x:c r="N1704" s="10" t="n">
        <x:f>K1704-L1704-M1704</x:f>
        <x:v>18542.695336102966</x:v>
      </x:c>
      <x:c r="O1704" s="10" t="n">
        <x:f>H1704*'Assumptions'!$P$62*'Assumptions'!$Q$62*'Assumptions'!$D$11*(1+'Assumptions'!$D$13)^(14-1)</x:f>
        <x:v>2325.1235777513252</x:v>
      </x:c>
      <x:c r="P1704" s="10" t="n">
        <x:f>H1704*'Assumptions'!$R$62*'Assumptions'!$D$11*(1+'Assumptions'!$D$13)^(14-1)</x:f>
        <x:v>0</x:v>
      </x:c>
      <x:c r="Q1704" s="10" t="n">
        <x:f>J1704*'Assumptions'!$S$62</x:f>
        <x:v>0</x:v>
      </x:c>
      <x:c r="R1704" s="10" t="n">
        <x:f>H1704*'Assumptions'!$Y$62*'Assumptions'!$Z$62*'Assumptions'!$D$11*(1+'Assumptions'!$D$13)^(14-1)</x:f>
        <x:v>1992.9630666439928</x:v>
      </x:c>
      <x:c r="S1704" s="10" t="n">
        <x:f>IF(I1704=0,0,J1704*'Assumptions'!$W$62+H1704*'Assumptions'!$X$62)</x:f>
        <x:v>644.8433000597448</x:v>
      </x:c>
      <x:c r="T1704" s="10" t="n">
        <x:f>N1704*'Assumptions'!$AA$62</x:f>
        <x:v>927.1347668051484</x:v>
      </x:c>
      <x:c r="U1704" s="10" t="n">
        <x:f>'Assumptions'!$AE$62*'Assumptions'!$D$11*(1+'Assumptions'!$D$13)^(14-1)</x:f>
        <x:v>176.2240456141878</x:v>
      </x:c>
      <x:c r="V1704" s="10" t="n">
        <x:f>0</x:f>
        <x:v>0</x:v>
      </x:c>
      <x:c r="W1704" s="10" t="n">
        <x:f>H1704*('Assumptions'!$P$62+'Assumptions'!$Y$62)</x:f>
        <x:v>90.47405805254262</x:v>
      </x:c>
      <x:c r="X1704" s="10" t="n">
        <x:f>N1704/12*'Assumptions'!$AF$62</x:f>
        <x:v>0</x:v>
      </x:c>
      <x:c r="Y1704" s="10" t="n">
        <x:f>P1704/12</x:f>
        <x:v>0</x:v>
      </x:c>
      <x:c r="Z1704" s="10" t="n">
        <x:f>0</x:f>
        <x:v>0</x:v>
      </x:c>
      <x:c r="AA1704" s="10" t="n">
        <x:f>Z1704*'Assumptions'!$AC$62*'Assumptions'!$D$11*(1+'Assumptions'!$D$13)^(14-1)</x:f>
        <x:v>0</x:v>
      </x:c>
      <x:c r="AB1704" s="10" t="n">
        <x:f>F1704/12</x:f>
        <x:v>8.116733021964967</x:v>
      </x:c>
      <x:c r="AC1704" s="10" t="n">
        <x:f>AB1704/'Assumptions'!$AM$62</x:f>
        <x:v>162.3346604392993</x:v>
      </x:c>
      <x:c r="AD1704" s="10" t="n">
        <x:f>IF(AB1704=0,0,T1704/AB1704)</x:f>
        <x:v>114.22511548626738</x:v>
      </x:c>
      <x:c r="AE1704" s="10" t="n">
        <x:f>AA1704*'Assumptions'!$D$21</x:f>
        <x:v>0</x:v>
      </x:c>
    </x:row>
    <x:row r="1705" ht="16" customHeight="1">
      <x:c r="A1705" s="1"/>
      <x:c r="B1705" s="1"/>
      <x:c r="C1705" s="1" t="str">
        <x:v>DOT-034</x:v>
      </x:c>
      <x:c r="D1705" s="10" t="str">
        <x:v>CornerFlow</x:v>
      </x:c>
      <x:c r="E1705" s="10" t="n">
        <x:v>14</x:v>
      </x:c>
      <x:c r="F1705" s="21" t="n">
        <x:f>F1577*(1+'Assumptions'!$M$63)</x:f>
        <x:v>19.10318418444398</x:v>
      </x:c>
      <x:c r="G1705" s="21" t="n">
        <x:f>H1577*'Assumptions'!$K$63</x:f>
        <x:v>18.01770729369715</x:v>
      </x:c>
      <x:c r="H1705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1705+G1705,NA())</x:f>
        <x:v>37.12089147814113</x:v>
      </x:c>
      <x:c r="I1705" s="22" t="n">
        <x:f>'Assumptions'!$H$63*IF('Assumptions'!$O$63=1,1,'Assumptions'!$D$10)*(1+'Assumptions'!$N$63)^(14-1)</x:f>
        <x:v>257.4277194603055</x:v>
      </x:c>
      <x:c r="J1705" s="10" t="n">
        <x:f>H1705*I1705</x:f>
        <x:v>9555.946437551362</x:v>
      </x:c>
      <x:c r="K1705" s="10" t="n">
        <x:f>J1705*'Assumptions'!$T$63</x:f>
        <x:v>9555.946437551362</x:v>
      </x:c>
      <x:c r="L1705" s="10" t="n">
        <x:f>K1705*'Assumptions'!$U$63</x:f>
        <x:v>286.6783931265408</x:v>
      </x:c>
      <x:c r="M1705" s="10" t="n">
        <x:f>K1705*'Assumptions'!$V$63</x:f>
        <x:v>0</x:v>
      </x:c>
      <x:c r="N1705" s="10" t="n">
        <x:f>K1705-L1705-M1705</x:f>
        <x:v>9269.268044424822</x:v>
      </x:c>
      <x:c r="O1705" s="10" t="n">
        <x:f>H1705*'Assumptions'!$P$63*'Assumptions'!$Q$63*'Assumptions'!$D$11*(1+'Assumptions'!$D$13)^(14-1)</x:f>
        <x:v>4361.062448722171</x:v>
      </x:c>
      <x:c r="P1705" s="10" t="n">
        <x:f>H1705*'Assumptions'!$R$63*'Assumptions'!$D$11*(1+'Assumptions'!$D$13)^(14-1)</x:f>
        <x:v>0</x:v>
      </x:c>
      <x:c r="Q1705" s="10" t="n">
        <x:f>J1705*'Assumptions'!$S$63</x:f>
        <x:v>0</x:v>
      </x:c>
      <x:c r="R1705" s="10" t="n">
        <x:f>H1705*'Assumptions'!$Y$63*'Assumptions'!$Z$63*'Assumptions'!$D$11*(1+'Assumptions'!$D$13)^(14-1)</x:f>
        <x:v>408.8496045677035</x:v>
      </x:c>
      <x:c r="S1705" s="10" t="n">
        <x:f>IF(I1705=0,0,J1705*'Assumptions'!$W$63+H1705*'Assumptions'!$X$63)</x:f>
        <x:v>288.25871413243186</x:v>
      </x:c>
      <x:c r="T1705" s="10" t="n">
        <x:f>N1705*'Assumptions'!$AA$63</x:f>
        <x:v>370.7707217769929</x:v>
      </x:c>
      <x:c r="U1705" s="10" t="n">
        <x:f>'Assumptions'!$AE$63*'Assumptions'!$D$11*(1+'Assumptions'!$D$13)^(14-1)</x:f>
        <x:v>0</x:v>
      </x:c>
      <x:c r="V1705" s="10" t="n">
        <x:f>0</x:f>
        <x:v>0</x:v>
      </x:c>
      <x:c r="W1705" s="10" t="n">
        <x:f>H1705*('Assumptions'!$P$63+'Assumptions'!$Y$63)</x:f>
        <x:v>83.52200582581754</x:v>
      </x:c>
      <x:c r="X1705" s="10" t="n">
        <x:f>N1705/12*'Assumptions'!$AF$63</x:f>
        <x:v>772.4390037020685</x:v>
      </x:c>
      <x:c r="Y1705" s="10" t="n">
        <x:f>P1705/12</x:f>
        <x:v>0</x:v>
      </x:c>
      <x:c r="Z1705" s="10" t="n">
        <x:f>0</x:f>
        <x:v>0</x:v>
      </x:c>
      <x:c r="AA1705" s="10" t="n">
        <x:f>Z1705*'Assumptions'!$AC$63*'Assumptions'!$D$11*(1+'Assumptions'!$D$13)^(14-1)</x:f>
        <x:v>0</x:v>
      </x:c>
      <x:c r="AB1705" s="10" t="n">
        <x:f>F1705/1</x:f>
        <x:v>19.10318418444398</x:v>
      </x:c>
      <x:c r="AC1705" s="10" t="n">
        <x:f>AB1705/'Assumptions'!$AM$63</x:f>
        <x:v>95.51592092221989</x:v>
      </x:c>
      <x:c r="AD1705" s="10" t="n">
        <x:f>IF(AB1705=0,0,T1705/AB1705)</x:f>
        <x:v>19.408844001981475</x:v>
      </x:c>
      <x:c r="AE1705" s="10" t="n">
        <x:f>AA1705*'Assumptions'!$D$21</x:f>
        <x:v>0</x:v>
      </x:c>
    </x:row>
    <x:row r="1706" ht="16" customHeight="1">
      <x:c r="A1706" s="1"/>
      <x:c r="B1706" s="1"/>
      <x:c r="C1706" s="1" t="str">
        <x:v>DOT-035</x:v>
      </x:c>
      <x:c r="D1706" s="10" t="str">
        <x:v>Spindle</x:v>
      </x:c>
      <x:c r="E1706" s="10" t="n">
        <x:v>14</x:v>
      </x:c>
      <x:c r="F1706" s="21" t="n">
        <x:f>F1578*(1+'Assumptions'!$M$64)</x:f>
        <x:v>97.40079626357961</x:v>
      </x:c>
      <x:c r="G1706" s="21" t="n">
        <x:f>H1578*'Assumptions'!$K$64</x:f>
        <x:v>204.17939724489582</x:v>
      </x:c>
      <x:c r="H1706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1706+G1706,NA())</x:f>
        <x:v>301.5801935084754</x:v>
      </x:c>
      <x:c r="I1706" s="22" t="n">
        <x:f>'Assumptions'!$H$64*IF('Assumptions'!$O$64=1,1,'Assumptions'!$D$10)*(1+'Assumptions'!$N$64)^(14-1)</x:f>
        <x:v>63.38672489223603</x:v>
      </x:c>
      <x:c r="J1706" s="10" t="n">
        <x:f>H1706*I1706</x:f>
        <x:v>19116.18075886904</x:v>
      </x:c>
      <x:c r="K1706" s="10" t="n">
        <x:f>J1706*'Assumptions'!$T$64</x:f>
        <x:v>19116.18075886904</x:v>
      </x:c>
      <x:c r="L1706" s="10" t="n">
        <x:f>K1706*'Assumptions'!$U$64</x:f>
        <x:v>573.4854227660711</x:v>
      </x:c>
      <x:c r="M1706" s="10" t="n">
        <x:f>K1706*'Assumptions'!$V$64</x:f>
        <x:v>0</x:v>
      </x:c>
      <x:c r="N1706" s="10" t="n">
        <x:f>K1706-L1706-M1706</x:f>
        <x:v>18542.695336102966</x:v>
      </x:c>
      <x:c r="O1706" s="10" t="n">
        <x:f>H1706*'Assumptions'!$P$64*'Assumptions'!$Q$64*'Assumptions'!$D$11*(1+'Assumptions'!$D$13)^(14-1)</x:f>
        <x:v>2325.1235777513252</x:v>
      </x:c>
      <x:c r="P1706" s="10" t="n">
        <x:f>H1706*'Assumptions'!$R$64*'Assumptions'!$D$11*(1+'Assumptions'!$D$13)^(14-1)</x:f>
        <x:v>0</x:v>
      </x:c>
      <x:c r="Q1706" s="10" t="n">
        <x:f>J1706*'Assumptions'!$S$64</x:f>
        <x:v>0</x:v>
      </x:c>
      <x:c r="R1706" s="10" t="n">
        <x:f>H1706*'Assumptions'!$Y$64*'Assumptions'!$Z$64*'Assumptions'!$D$11*(1+'Assumptions'!$D$13)^(14-1)</x:f>
        <x:v>1992.9630666439928</x:v>
      </x:c>
      <x:c r="S1706" s="10" t="n">
        <x:f>IF(I1706=0,0,J1706*'Assumptions'!$W$64+H1706*'Assumptions'!$X$64)</x:f>
        <x:v>644.8433000597448</x:v>
      </x:c>
      <x:c r="T1706" s="10" t="n">
        <x:f>N1706*'Assumptions'!$AA$64</x:f>
        <x:v>927.1347668051484</x:v>
      </x:c>
      <x:c r="U1706" s="10" t="n">
        <x:f>'Assumptions'!$AE$64*'Assumptions'!$D$11*(1+'Assumptions'!$D$13)^(14-1)</x:f>
        <x:v>176.2240456141878</x:v>
      </x:c>
      <x:c r="V1706" s="10" t="n">
        <x:f>0</x:f>
        <x:v>0</x:v>
      </x:c>
      <x:c r="W1706" s="10" t="n">
        <x:f>H1706*('Assumptions'!$P$64+'Assumptions'!$Y$64)</x:f>
        <x:v>90.47405805254262</x:v>
      </x:c>
      <x:c r="X1706" s="10" t="n">
        <x:f>N1706/12*'Assumptions'!$AF$64</x:f>
        <x:v>0</x:v>
      </x:c>
      <x:c r="Y1706" s="10" t="n">
        <x:f>P1706/12</x:f>
        <x:v>0</x:v>
      </x:c>
      <x:c r="Z1706" s="10" t="n">
        <x:f>0</x:f>
        <x:v>0</x:v>
      </x:c>
      <x:c r="AA1706" s="10" t="n">
        <x:f>Z1706*'Assumptions'!$AC$64*'Assumptions'!$D$11*(1+'Assumptions'!$D$13)^(14-1)</x:f>
        <x:v>0</x:v>
      </x:c>
      <x:c r="AB1706" s="10" t="n">
        <x:f>F1706/12</x:f>
        <x:v>8.116733021964967</x:v>
      </x:c>
      <x:c r="AC1706" s="10" t="n">
        <x:f>AB1706/'Assumptions'!$AM$64</x:f>
        <x:v>162.3346604392993</x:v>
      </x:c>
      <x:c r="AD1706" s="10" t="n">
        <x:f>IF(AB1706=0,0,T1706/AB1706)</x:f>
        <x:v>114.22511548626738</x:v>
      </x:c>
      <x:c r="AE1706" s="10" t="n">
        <x:f>AA1706*'Assumptions'!$D$21</x:f>
        <x:v>0</x:v>
      </x:c>
    </x:row>
    <x:row r="1707" ht="16" customHeight="1">
      <x:c r="A1707" s="1"/>
      <x:c r="B1707" s="1"/>
      <x:c r="C1707" s="1" t="str">
        <x:v>DOT-036</x:v>
      </x:c>
      <x:c r="D1707" s="10" t="str">
        <x:v>Spindle</x:v>
      </x:c>
      <x:c r="E1707" s="10" t="n">
        <x:v>14</x:v>
      </x:c>
      <x:c r="F1707" s="21" t="n">
        <x:f>F1579*(1+'Assumptions'!$M$65)</x:f>
        <x:v>19.10318418444398</x:v>
      </x:c>
      <x:c r="G1707" s="21" t="n">
        <x:f>H1579*'Assumptions'!$K$65</x:f>
        <x:v>18.01770729369715</x:v>
      </x:c>
      <x:c r="H1707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1707+G1707,NA())</x:f>
        <x:v>37.12089147814113</x:v>
      </x:c>
      <x:c r="I1707" s="22" t="n">
        <x:f>'Assumptions'!$H$65*IF('Assumptions'!$O$65=1,1,'Assumptions'!$D$10)*(1+'Assumptions'!$N$65)^(14-1)</x:f>
        <x:v>257.4277194603055</x:v>
      </x:c>
      <x:c r="J1707" s="10" t="n">
        <x:f>H1707*I1707</x:f>
        <x:v>9555.946437551362</x:v>
      </x:c>
      <x:c r="K1707" s="10" t="n">
        <x:f>J1707*'Assumptions'!$T$65</x:f>
        <x:v>9555.946437551362</x:v>
      </x:c>
      <x:c r="L1707" s="10" t="n">
        <x:f>K1707*'Assumptions'!$U$65</x:f>
        <x:v>286.6783931265408</x:v>
      </x:c>
      <x:c r="M1707" s="10" t="n">
        <x:f>K1707*'Assumptions'!$V$65</x:f>
        <x:v>0</x:v>
      </x:c>
      <x:c r="N1707" s="10" t="n">
        <x:f>K1707-L1707-M1707</x:f>
        <x:v>9269.268044424822</x:v>
      </x:c>
      <x:c r="O1707" s="10" t="n">
        <x:f>H1707*'Assumptions'!$P$65*'Assumptions'!$Q$65*'Assumptions'!$D$11*(1+'Assumptions'!$D$13)^(14-1)</x:f>
        <x:v>4361.062448722171</x:v>
      </x:c>
      <x:c r="P1707" s="10" t="n">
        <x:f>H1707*'Assumptions'!$R$65*'Assumptions'!$D$11*(1+'Assumptions'!$D$13)^(14-1)</x:f>
        <x:v>0</x:v>
      </x:c>
      <x:c r="Q1707" s="10" t="n">
        <x:f>J1707*'Assumptions'!$S$65</x:f>
        <x:v>0</x:v>
      </x:c>
      <x:c r="R1707" s="10" t="n">
        <x:f>H1707*'Assumptions'!$Y$65*'Assumptions'!$Z$65*'Assumptions'!$D$11*(1+'Assumptions'!$D$13)^(14-1)</x:f>
        <x:v>408.8496045677035</x:v>
      </x:c>
      <x:c r="S1707" s="10" t="n">
        <x:f>IF(I1707=0,0,J1707*'Assumptions'!$W$65+H1707*'Assumptions'!$X$65)</x:f>
        <x:v>288.25871413243186</x:v>
      </x:c>
      <x:c r="T1707" s="10" t="n">
        <x:f>N1707*'Assumptions'!$AA$65</x:f>
        <x:v>370.7707217769929</x:v>
      </x:c>
      <x:c r="U1707" s="10" t="n">
        <x:f>'Assumptions'!$AE$65*'Assumptions'!$D$11*(1+'Assumptions'!$D$13)^(14-1)</x:f>
        <x:v>0</x:v>
      </x:c>
      <x:c r="V1707" s="10" t="n">
        <x:f>0</x:f>
        <x:v>0</x:v>
      </x:c>
      <x:c r="W1707" s="10" t="n">
        <x:f>H1707*('Assumptions'!$P$65+'Assumptions'!$Y$65)</x:f>
        <x:v>83.52200582581754</x:v>
      </x:c>
      <x:c r="X1707" s="10" t="n">
        <x:f>N1707/12*'Assumptions'!$AF$65</x:f>
        <x:v>772.4390037020685</x:v>
      </x:c>
      <x:c r="Y1707" s="10" t="n">
        <x:f>P1707/12</x:f>
        <x:v>0</x:v>
      </x:c>
      <x:c r="Z1707" s="10" t="n">
        <x:f>0</x:f>
        <x:v>0</x:v>
      </x:c>
      <x:c r="AA1707" s="10" t="n">
        <x:f>Z1707*'Assumptions'!$AC$65*'Assumptions'!$D$11*(1+'Assumptions'!$D$13)^(14-1)</x:f>
        <x:v>0</x:v>
      </x:c>
      <x:c r="AB1707" s="10" t="n">
        <x:f>F1707/1</x:f>
        <x:v>19.10318418444398</x:v>
      </x:c>
      <x:c r="AC1707" s="10" t="n">
        <x:f>AB1707/'Assumptions'!$AM$65</x:f>
        <x:v>95.51592092221989</x:v>
      </x:c>
      <x:c r="AD1707" s="10" t="n">
        <x:f>IF(AB1707=0,0,T1707/AB1707)</x:f>
        <x:v>19.408844001981475</x:v>
      </x:c>
      <x:c r="AE1707" s="10" t="n">
        <x:f>AA1707*'Assumptions'!$D$21</x:f>
        <x:v>0</x:v>
      </x:c>
    </x:row>
    <x:row r="1708" ht="16" customHeight="1">
      <x:c r="A1708" s="1"/>
      <x:c r="B1708" s="1"/>
      <x:c r="C1708" s="1" t="str">
        <x:v>DOT-037</x:v>
      </x:c>
      <x:c r="D1708" s="10" t="str">
        <x:v>Maison Contour</x:v>
      </x:c>
      <x:c r="E1708" s="10" t="n">
        <x:v>14</x:v>
      </x:c>
      <x:c r="F1708" s="21" t="n">
        <x:f>F1580*(1+'Assumptions'!$M$66)</x:f>
        <x:v>97.40079626357961</x:v>
      </x:c>
      <x:c r="G1708" s="21" t="n">
        <x:f>H1580*'Assumptions'!$K$66</x:f>
        <x:v>204.17939724489582</x:v>
      </x:c>
      <x:c r="H1708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1708+G1708,NA())</x:f>
        <x:v>301.5801935084754</x:v>
      </x:c>
      <x:c r="I1708" s="22" t="n">
        <x:f>'Assumptions'!$H$66*IF('Assumptions'!$O$66=1,1,'Assumptions'!$D$10)*(1+'Assumptions'!$N$66)^(14-1)</x:f>
        <x:v>102.19492380584992</x:v>
      </x:c>
      <x:c r="J1708" s="10" t="n">
        <x:f>H1708*I1708</x:f>
        <x:v>30819.964896952122</x:v>
      </x:c>
      <x:c r="K1708" s="10" t="n">
        <x:f>J1708*'Assumptions'!$T$66</x:f>
        <x:v>30819.964896952122</x:v>
      </x:c>
      <x:c r="L1708" s="10" t="n">
        <x:f>K1708*'Assumptions'!$U$66</x:f>
        <x:v>924.5989469085637</x:v>
      </x:c>
      <x:c r="M1708" s="10" t="n">
        <x:f>K1708*'Assumptions'!$V$66</x:f>
        <x:v>0</x:v>
      </x:c>
      <x:c r="N1708" s="10" t="n">
        <x:f>K1708-L1708-M1708</x:f>
        <x:v>29895.365950043557</x:v>
      </x:c>
      <x:c r="O1708" s="10" t="n">
        <x:f>H1708*'Assumptions'!$P$66*'Assumptions'!$Q$66*'Assumptions'!$D$11*(1+'Assumptions'!$D$13)^(14-1)</x:f>
        <x:v>2325.1235777513252</x:v>
      </x:c>
      <x:c r="P1708" s="10" t="n">
        <x:f>H1708*'Assumptions'!$R$66*'Assumptions'!$D$11*(1+'Assumptions'!$D$13)^(14-1)</x:f>
        <x:v>0</x:v>
      </x:c>
      <x:c r="Q1708" s="10" t="n">
        <x:f>J1708*'Assumptions'!$S$66</x:f>
        <x:v>0</x:v>
      </x:c>
      <x:c r="R1708" s="10" t="n">
        <x:f>H1708*'Assumptions'!$Y$66*'Assumptions'!$Z$66*'Assumptions'!$D$11*(1+'Assumptions'!$D$13)^(14-1)</x:f>
        <x:v>1992.9630666439928</x:v>
      </x:c>
      <x:c r="S1708" s="10" t="n">
        <x:f>IF(I1708=0,0,J1708*'Assumptions'!$W$66+H1708*'Assumptions'!$X$66)</x:f>
        <x:v>984.2530400641542</x:v>
      </x:c>
      <x:c r="T1708" s="10" t="n">
        <x:f>N1708*'Assumptions'!$AA$66</x:f>
        <x:v>1494.768297502178</x:v>
      </x:c>
      <x:c r="U1708" s="10" t="n">
        <x:f>'Assumptions'!$AE$66*'Assumptions'!$D$11*(1+'Assumptions'!$D$13)^(14-1)</x:f>
        <x:v>176.2240456141878</x:v>
      </x:c>
      <x:c r="V1708" s="10" t="n">
        <x:f>0</x:f>
        <x:v>0</x:v>
      </x:c>
      <x:c r="W1708" s="10" t="n">
        <x:f>H1708*('Assumptions'!$P$66+'Assumptions'!$Y$66)</x:f>
        <x:v>90.47405805254262</x:v>
      </x:c>
      <x:c r="X1708" s="10" t="n">
        <x:f>N1708/12*'Assumptions'!$AF$66</x:f>
        <x:v>0</x:v>
      </x:c>
      <x:c r="Y1708" s="10" t="n">
        <x:f>P1708/12</x:f>
        <x:v>0</x:v>
      </x:c>
      <x:c r="Z1708" s="10" t="n">
        <x:f>0</x:f>
        <x:v>0</x:v>
      </x:c>
      <x:c r="AA1708" s="10" t="n">
        <x:f>Z1708*'Assumptions'!$AC$66*'Assumptions'!$D$11*(1+'Assumptions'!$D$13)^(14-1)</x:f>
        <x:v>0</x:v>
      </x:c>
      <x:c r="AB1708" s="10" t="n">
        <x:f>F1708/12</x:f>
        <x:v>8.116733021964967</x:v>
      </x:c>
      <x:c r="AC1708" s="10" t="n">
        <x:f>AB1708/'Assumptions'!$AM$66</x:f>
        <x:v>162.3346604392993</x:v>
      </x:c>
      <x:c r="AD1708" s="10" t="n">
        <x:f>IF(AB1708=0,0,T1708/AB1708)</x:f>
        <x:v>184.15885966153314</x:v>
      </x:c>
      <x:c r="AE1708" s="10" t="n">
        <x:f>AA1708*'Assumptions'!$D$21</x:f>
        <x:v>0</x:v>
      </x:c>
    </x:row>
    <x:row r="1709" ht="16" customHeight="1">
      <x:c r="A1709" s="1"/>
      <x:c r="B1709" s="1"/>
      <x:c r="C1709" s="1" t="str">
        <x:v>DOT-038</x:v>
      </x:c>
      <x:c r="D1709" s="10" t="str">
        <x:v>Maison Contour</x:v>
      </x:c>
      <x:c r="E1709" s="10" t="n">
        <x:v>14</x:v>
      </x:c>
      <x:c r="F1709" s="21" t="n">
        <x:f>F1581*(1+'Assumptions'!$M$67)</x:f>
        <x:v>19.10318418444398</x:v>
      </x:c>
      <x:c r="G1709" s="21" t="n">
        <x:f>H1581*'Assumptions'!$K$67</x:f>
        <x:v>18.01770729369715</x:v>
      </x:c>
      <x:c r="H1709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1709+G1709,NA())</x:f>
        <x:v>37.12089147814113</x:v>
      </x:c>
      <x:c r="I1709" s="22" t="n">
        <x:f>'Assumptions'!$H$67*IF('Assumptions'!$O$67=1,1,'Assumptions'!$D$10)*(1+'Assumptions'!$N$67)^(14-1)</x:f>
        <x:v>257.4277194603055</x:v>
      </x:c>
      <x:c r="J1709" s="10" t="n">
        <x:f>H1709*I1709</x:f>
        <x:v>9555.946437551362</x:v>
      </x:c>
      <x:c r="K1709" s="10" t="n">
        <x:f>J1709*'Assumptions'!$T$67</x:f>
        <x:v>9555.946437551362</x:v>
      </x:c>
      <x:c r="L1709" s="10" t="n">
        <x:f>K1709*'Assumptions'!$U$67</x:f>
        <x:v>286.6783931265408</x:v>
      </x:c>
      <x:c r="M1709" s="10" t="n">
        <x:f>K1709*'Assumptions'!$V$67</x:f>
        <x:v>0</x:v>
      </x:c>
      <x:c r="N1709" s="10" t="n">
        <x:f>K1709-L1709-M1709</x:f>
        <x:v>9269.268044424822</x:v>
      </x:c>
      <x:c r="O1709" s="10" t="n">
        <x:f>H1709*'Assumptions'!$P$67*'Assumptions'!$Q$67*'Assumptions'!$D$11*(1+'Assumptions'!$D$13)^(14-1)</x:f>
        <x:v>4361.062448722171</x:v>
      </x:c>
      <x:c r="P1709" s="10" t="n">
        <x:f>H1709*'Assumptions'!$R$67*'Assumptions'!$D$11*(1+'Assumptions'!$D$13)^(14-1)</x:f>
        <x:v>0</x:v>
      </x:c>
      <x:c r="Q1709" s="10" t="n">
        <x:f>J1709*'Assumptions'!$S$67</x:f>
        <x:v>0</x:v>
      </x:c>
      <x:c r="R1709" s="10" t="n">
        <x:f>H1709*'Assumptions'!$Y$67*'Assumptions'!$Z$67*'Assumptions'!$D$11*(1+'Assumptions'!$D$13)^(14-1)</x:f>
        <x:v>408.8496045677035</x:v>
      </x:c>
      <x:c r="S1709" s="10" t="n">
        <x:f>IF(I1709=0,0,J1709*'Assumptions'!$W$67+H1709*'Assumptions'!$X$67)</x:f>
        <x:v>288.25871413243186</x:v>
      </x:c>
      <x:c r="T1709" s="10" t="n">
        <x:f>N1709*'Assumptions'!$AA$67</x:f>
        <x:v>370.7707217769929</x:v>
      </x:c>
      <x:c r="U1709" s="10" t="n">
        <x:f>'Assumptions'!$AE$67*'Assumptions'!$D$11*(1+'Assumptions'!$D$13)^(14-1)</x:f>
        <x:v>0</x:v>
      </x:c>
      <x:c r="V1709" s="10" t="n">
        <x:f>0</x:f>
        <x:v>0</x:v>
      </x:c>
      <x:c r="W1709" s="10" t="n">
        <x:f>H1709*('Assumptions'!$P$67+'Assumptions'!$Y$67)</x:f>
        <x:v>83.52200582581754</x:v>
      </x:c>
      <x:c r="X1709" s="10" t="n">
        <x:f>N1709/12*'Assumptions'!$AF$67</x:f>
        <x:v>772.4390037020685</x:v>
      </x:c>
      <x:c r="Y1709" s="10" t="n">
        <x:f>P1709/12</x:f>
        <x:v>0</x:v>
      </x:c>
      <x:c r="Z1709" s="10" t="n">
        <x:f>0</x:f>
        <x:v>0</x:v>
      </x:c>
      <x:c r="AA1709" s="10" t="n">
        <x:f>Z1709*'Assumptions'!$AC$67*'Assumptions'!$D$11*(1+'Assumptions'!$D$13)^(14-1)</x:f>
        <x:v>0</x:v>
      </x:c>
      <x:c r="AB1709" s="10" t="n">
        <x:f>F1709/1</x:f>
        <x:v>19.10318418444398</x:v>
      </x:c>
      <x:c r="AC1709" s="10" t="n">
        <x:f>AB1709/'Assumptions'!$AM$67</x:f>
        <x:v>95.51592092221989</x:v>
      </x:c>
      <x:c r="AD1709" s="10" t="n">
        <x:f>IF(AB1709=0,0,T1709/AB1709)</x:f>
        <x:v>19.408844001981475</x:v>
      </x:c>
      <x:c r="AE1709" s="10" t="n">
        <x:f>AA1709*'Assumptions'!$D$21</x:f>
        <x:v>0</x:v>
      </x:c>
    </x:row>
    <x:row r="1710" ht="16" customHeight="1">
      <x:c r="A1710" s="1"/>
      <x:c r="B1710" s="1"/>
      <x:c r="C1710" s="1" t="str">
        <x:v>DOT-039</x:v>
      </x:c>
      <x:c r="D1710" s="10" t="str">
        <x:v>DishLoom US</x:v>
      </x:c>
      <x:c r="E1710" s="10" t="n">
        <x:v>14</x:v>
      </x:c>
      <x:c r="F1710" s="21" t="n">
        <x:f>F1582*(1+'Assumptions'!$M$68)</x:f>
        <x:v>97.40079626357961</x:v>
      </x:c>
      <x:c r="G1710" s="21" t="n">
        <x:f>H1582*'Assumptions'!$K$68</x:f>
        <x:v>204.17939724489582</x:v>
      </x:c>
      <x:c r="H1710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1710+G1710,NA())</x:f>
        <x:v>301.5801935084754</x:v>
      </x:c>
      <x:c r="I1710" s="22" t="n">
        <x:f>'Assumptions'!$H$68*IF('Assumptions'!$O$68=1,1,'Assumptions'!$D$10)*(1+'Assumptions'!$N$68)^(14-1)</x:f>
        <x:v>50.450658587698065</x:v>
      </x:c>
      <x:c r="J1710" s="10" t="n">
        <x:f>H1710*I1710</x:f>
        <x:v>15214.91937950801</x:v>
      </x:c>
      <x:c r="K1710" s="10" t="n">
        <x:f>J1710*'Assumptions'!$T$68</x:f>
        <x:v>15214.91937950801</x:v>
      </x:c>
      <x:c r="L1710" s="10" t="n">
        <x:f>K1710*'Assumptions'!$U$68</x:f>
        <x:v>456.4475813852403</x:v>
      </x:c>
      <x:c r="M1710" s="10" t="n">
        <x:f>K1710*'Assumptions'!$V$68</x:f>
        <x:v>0</x:v>
      </x:c>
      <x:c r="N1710" s="10" t="n">
        <x:f>K1710-L1710-M1710</x:f>
        <x:v>14758.47179812277</x:v>
      </x:c>
      <x:c r="O1710" s="10" t="n">
        <x:f>H1710*'Assumptions'!$P$68*'Assumptions'!$Q$68*'Assumptions'!$D$11*(1+'Assumptions'!$D$13)^(14-1)</x:f>
        <x:v>2325.1235777513252</x:v>
      </x:c>
      <x:c r="P1710" s="10" t="n">
        <x:f>H1710*'Assumptions'!$R$68*'Assumptions'!$D$11*(1+'Assumptions'!$D$13)^(14-1)</x:f>
        <x:v>0</x:v>
      </x:c>
      <x:c r="Q1710" s="10" t="n">
        <x:f>J1710*'Assumptions'!$S$68</x:f>
        <x:v>0</x:v>
      </x:c>
      <x:c r="R1710" s="10" t="n">
        <x:f>H1710*'Assumptions'!$Y$68*'Assumptions'!$Z$68*'Assumptions'!$D$11*(1+'Assumptions'!$D$13)^(14-1)</x:f>
        <x:v>1992.9630666439928</x:v>
      </x:c>
      <x:c r="S1710" s="10" t="n">
        <x:f>IF(I1710=0,0,J1710*'Assumptions'!$W$68+H1710*'Assumptions'!$X$68)</x:f>
        <x:v>531.706720058275</x:v>
      </x:c>
      <x:c r="T1710" s="10" t="n">
        <x:f>N1710*'Assumptions'!$AA$68</x:f>
        <x:v>737.9235899061385</x:v>
      </x:c>
      <x:c r="U1710" s="10" t="n">
        <x:f>'Assumptions'!$AE$68*'Assumptions'!$D$11*(1+'Assumptions'!$D$13)^(14-1)</x:f>
        <x:v>176.2240456141878</x:v>
      </x:c>
      <x:c r="V1710" s="10" t="n">
        <x:f>0</x:f>
        <x:v>0</x:v>
      </x:c>
      <x:c r="W1710" s="10" t="n">
        <x:f>H1710*('Assumptions'!$P$68+'Assumptions'!$Y$68)</x:f>
        <x:v>90.47405805254262</x:v>
      </x:c>
      <x:c r="X1710" s="10" t="n">
        <x:f>N1710/12*'Assumptions'!$AF$68</x:f>
        <x:v>0</x:v>
      </x:c>
      <x:c r="Y1710" s="10" t="n">
        <x:f>P1710/12</x:f>
        <x:v>0</x:v>
      </x:c>
      <x:c r="Z1710" s="10" t="n">
        <x:f>0</x:f>
        <x:v>0</x:v>
      </x:c>
      <x:c r="AA1710" s="10" t="n">
        <x:f>Z1710*'Assumptions'!$AC$68*'Assumptions'!$D$11*(1+'Assumptions'!$D$13)^(14-1)</x:f>
        <x:v>0</x:v>
      </x:c>
      <x:c r="AB1710" s="10" t="n">
        <x:f>F1710/12</x:f>
        <x:v>8.116733021964967</x:v>
      </x:c>
      <x:c r="AC1710" s="10" t="n">
        <x:f>AB1710/'Assumptions'!$AM$68</x:f>
        <x:v>162.3346604392993</x:v>
      </x:c>
      <x:c r="AD1710" s="10" t="n">
        <x:f>IF(AB1710=0,0,T1710/AB1710)</x:f>
        <x:v>90.91386742784547</x:v>
      </x:c>
      <x:c r="AE1710" s="10" t="n">
        <x:f>AA1710*'Assumptions'!$D$21</x:f>
        <x:v>0</x:v>
      </x:c>
    </x:row>
    <x:row r="1711" ht="16" customHeight="1">
      <x:c r="A1711" s="1"/>
      <x:c r="B1711" s="1"/>
      <x:c r="C1711" s="1" t="str">
        <x:v>DOT-040</x:v>
      </x:c>
      <x:c r="D1711" s="10" t="str">
        <x:v>DishLoom US</x:v>
      </x:c>
      <x:c r="E1711" s="10" t="n">
        <x:v>14</x:v>
      </x:c>
      <x:c r="F1711" s="21" t="n">
        <x:f>F1583*(1+'Assumptions'!$M$69)</x:f>
        <x:v>194.80159252715922</x:v>
      </x:c>
      <x:c r="G1711" s="21" t="n">
        <x:f>H1583*'Assumptions'!$K$69</x:f>
        <x:v>408.35879448979165</x:v>
      </x:c>
      <x:c r="H1711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1711+G1711,NA())</x:f>
        <x:v>603.1603870169508</x:v>
      </x:c>
      <x:c r="I1711" s="22" t="n">
        <x:f>'Assumptions'!$H$69*IF('Assumptions'!$O$69=1,1,'Assumptions'!$D$10)*(1+'Assumptions'!$N$69)^(14-1)</x:f>
        <x:v>11.642459674084169</x:v>
      </x:c>
      <x:c r="J1711" s="10" t="n">
        <x:f>H1711*I1711</x:f>
        <x:v>7022.270482849851</x:v>
      </x:c>
      <x:c r="K1711" s="10" t="n">
        <x:f>J1711*'Assumptions'!$T$69</x:f>
        <x:v>7022.270482849851</x:v>
      </x:c>
      <x:c r="L1711" s="10" t="n">
        <x:f>K1711*'Assumptions'!$U$69</x:f>
        <x:v>210.66811448549552</x:v>
      </x:c>
      <x:c r="M1711" s="10" t="n">
        <x:f>K1711*'Assumptions'!$V$69</x:f>
        <x:v>0</x:v>
      </x:c>
      <x:c r="N1711" s="10" t="n">
        <x:f>K1711-L1711-M1711</x:f>
        <x:v>6811.602368364355</x:v>
      </x:c>
      <x:c r="O1711" s="10" t="n">
        <x:f>H1711*'Assumptions'!$P$69*'Assumptions'!$Q$69*'Assumptions'!$D$11*(1+'Assumptions'!$D$13)^(14-1)</x:f>
        <x:v>1550.08238516755</x:v>
      </x:c>
      <x:c r="P1711" s="10" t="n">
        <x:f>H1711*'Assumptions'!$R$69*'Assumptions'!$D$11*(1+'Assumptions'!$D$13)^(14-1)</x:f>
        <x:v>0</x:v>
      </x:c>
      <x:c r="Q1711" s="10" t="n">
        <x:f>J1711*'Assumptions'!$S$69</x:f>
        <x:v>0</x:v>
      </x:c>
      <x:c r="R1711" s="10" t="n">
        <x:f>H1711*'Assumptions'!$Y$69*'Assumptions'!$Z$69*'Assumptions'!$D$11*(1+'Assumptions'!$D$13)^(14-1)</x:f>
        <x:v>3985.9261332879855</x:v>
      </x:c>
      <x:c r="S1711" s="10" t="n">
        <x:f>IF(I1711=0,0,J1711*'Assumptions'!$W$69+H1711*'Assumptions'!$X$69)</x:f>
        <x:v>384.59396010773094</x:v>
      </x:c>
      <x:c r="T1711" s="10" t="n">
        <x:f>N1711*'Assumptions'!$AA$69</x:f>
        <x:v>340.5801184182178</x:v>
      </x:c>
      <x:c r="U1711" s="10" t="n">
        <x:f>'Assumptions'!$AE$69*'Assumptions'!$D$11*(1+'Assumptions'!$D$13)^(14-1)</x:f>
        <x:v>0</x:v>
      </x:c>
      <x:c r="V1711" s="10" t="n">
        <x:f>0</x:f>
        <x:v>0</x:v>
      </x:c>
      <x:c r="W1711" s="10" t="n">
        <x:f>H1711*('Assumptions'!$P$69+'Assumptions'!$Y$69)</x:f>
        <x:v>120.63207740339017</x:v>
      </x:c>
      <x:c r="X1711" s="10" t="n">
        <x:f>N1711/12*'Assumptions'!$AF$69</x:f>
        <x:v>0</x:v>
      </x:c>
      <x:c r="Y1711" s="10" t="n">
        <x:f>P1711/12</x:f>
        <x:v>0</x:v>
      </x:c>
      <x:c r="Z1711" s="10" t="n">
        <x:f>0</x:f>
        <x:v>0</x:v>
      </x:c>
      <x:c r="AA1711" s="10" t="n">
        <x:f>Z1711*'Assumptions'!$AC$69*'Assumptions'!$D$11*(1+'Assumptions'!$D$13)^(14-1)</x:f>
        <x:v>0</x:v>
      </x:c>
      <x:c r="AB1711" s="10" t="n">
        <x:f>F1711/1</x:f>
        <x:v>194.80159252715922</x:v>
      </x:c>
      <x:c r="AC1711" s="10" t="n">
        <x:f>AB1711/'Assumptions'!$AM$69</x:f>
        <x:v>3896.031850543184</x:v>
      </x:c>
      <x:c r="AD1711" s="10" t="n">
        <x:f>IF(AB1711=0,0,T1711/AB1711)</x:f>
        <x:v>1.7483436043816436</x:v>
      </x:c>
      <x:c r="AE1711" s="10" t="n">
        <x:f>AA1711*'Assumptions'!$D$21</x:f>
        <x:v>0</x:v>
      </x:c>
    </x:row>
    <x:row r="1712" ht="16" customHeight="1">
      <x:c r="A1712" s="1"/>
      <x:c r="B1712" s="1"/>
      <x:c r="C1712" s="1" t="str">
        <x:v>DOT-041</x:v>
      </x:c>
      <x:c r="D1712" s="10" t="str">
        <x:v>DishLoom US</x:v>
      </x:c>
      <x:c r="E1712" s="10" t="n">
        <x:v>14</x:v>
      </x:c>
      <x:c r="F1712" s="21" t="n">
        <x:f>F1584*(1+'Assumptions'!$M$70)</x:f>
        <x:v>243.50199065894904</x:v>
      </x:c>
      <x:c r="G1712" s="21" t="n">
        <x:f>H1584*'Assumptions'!$K$70</x:f>
        <x:v>510.4484931122395</x:v>
      </x:c>
      <x:c r="H1712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1712+G1712,NA())</x:f>
        <x:v>753.9504837711885</x:v>
      </x:c>
      <x:c r="I1712" s="22" t="n">
        <x:f>'Assumptions'!$H$70*IF('Assumptions'!$O$70=1,1,'Assumptions'!$D$10)*(1+'Assumptions'!$N$70)^(14-1)</x:f>
        <x:v>129.36066304537965</x:v>
      </x:c>
      <x:c r="J1712" s="10" t="n">
        <x:f>H1712*I1712</x:f>
        <x:v>97531.53448402569</x:v>
      </x:c>
      <x:c r="K1712" s="10" t="n">
        <x:f>J1712*'Assumptions'!$T$70</x:f>
        <x:v>14629.730172603853</x:v>
      </x:c>
      <x:c r="L1712" s="10" t="n">
        <x:f>K1712*'Assumptions'!$U$70</x:f>
        <x:v>438.89190517811556</x:v>
      </x:c>
      <x:c r="M1712" s="10" t="n">
        <x:f>K1712*'Assumptions'!$V$70</x:f>
        <x:v>0</x:v>
      </x:c>
      <x:c r="N1712" s="10" t="n">
        <x:f>K1712-L1712-M1712</x:f>
        <x:v>14190.838267425737</x:v>
      </x:c>
      <x:c r="O1712" s="10" t="n">
        <x:f>H1712*'Assumptions'!$P$70*'Assumptions'!$Q$70*'Assumptions'!$D$11*(1+'Assumptions'!$D$13)^(14-1)</x:f>
        <x:v>3875.2059629188752</x:v>
      </x:c>
      <x:c r="P1712" s="10" t="n">
        <x:f>H1712*'Assumptions'!$R$70*'Assumptions'!$D$11*(1+'Assumptions'!$D$13)^(14-1)</x:f>
        <x:v>0</x:v>
      </x:c>
      <x:c r="Q1712" s="10" t="n">
        <x:f>J1712*'Assumptions'!$S$70</x:f>
        <x:v>0</x:v>
      </x:c>
      <x:c r="R1712" s="10" t="n">
        <x:f>H1712*'Assumptions'!$Y$70*'Assumptions'!$Z$70*'Assumptions'!$D$11*(1+'Assumptions'!$D$13)^(14-1)</x:f>
        <x:v>4982.407666609982</x:v>
      </x:c>
      <x:c r="S1712" s="10" t="n">
        <x:f>IF(I1712=0,0,J1712*'Assumptions'!$W$70+H1712*'Assumptions'!$X$70)</x:f>
        <x:v>3054.5996451681017</x:v>
      </x:c>
      <x:c r="T1712" s="10" t="n">
        <x:f>N1712*'Assumptions'!$AA$70</x:f>
        <x:v>709.5419133712869</x:v>
      </x:c>
      <x:c r="U1712" s="10" t="n">
        <x:f>'Assumptions'!$AE$70*'Assumptions'!$D$11*(1+'Assumptions'!$D$13)^(14-1)</x:f>
        <x:v>0</x:v>
      </x:c>
      <x:c r="V1712" s="10" t="n">
        <x:f>0</x:f>
        <x:v>0</x:v>
      </x:c>
      <x:c r="W1712" s="10" t="n">
        <x:f>H1712*('Assumptions'!$P$70+'Assumptions'!$Y$70)</x:f>
        <x:v>188.48762094279712</x:v>
      </x:c>
      <x:c r="X1712" s="10" t="n">
        <x:f>N1712/12*'Assumptions'!$AF$70</x:f>
        <x:v>0</x:v>
      </x:c>
      <x:c r="Y1712" s="10" t="n">
        <x:f>P1712/12</x:f>
        <x:v>0</x:v>
      </x:c>
      <x:c r="Z1712" s="10" t="n">
        <x:f>0</x:f>
        <x:v>0</x:v>
      </x:c>
      <x:c r="AA1712" s="10" t="n">
        <x:f>Z1712*'Assumptions'!$AC$70*'Assumptions'!$D$11*(1+'Assumptions'!$D$13)^(14-1)</x:f>
        <x:v>0</x:v>
      </x:c>
      <x:c r="AB1712" s="10" t="n">
        <x:f>F1712/1</x:f>
        <x:v>243.50199065894904</x:v>
      </x:c>
      <x:c r="AC1712" s="10" t="n">
        <x:f>AB1712/'Assumptions'!$AM$70</x:f>
        <x:v>4870.039813178981</x:v>
      </x:c>
      <x:c r="AD1712" s="10" t="n">
        <x:f>IF(AB1712=0,0,T1712/AB1712)</x:f>
        <x:v>2.9139060073027383</x:v>
      </x:c>
      <x:c r="AE1712" s="10" t="n">
        <x:f>AA1712*'Assumptions'!$D$21</x:f>
        <x:v>0</x:v>
      </x:c>
    </x:row>
    <x:row r="1713" ht="16" customHeight="1">
      <x:c r="A1713" s="1"/>
      <x:c r="B1713" s="1"/>
      <x:c r="C1713" s="1" t="str">
        <x:v>DOT-042</x:v>
      </x:c>
      <x:c r="D1713" s="10" t="str">
        <x:v>Is Makes Travel Easy</x:v>
      </x:c>
      <x:c r="E1713" s="10" t="n">
        <x:v>14</x:v>
      </x:c>
      <x:c r="F1713" s="21" t="n">
        <x:f>F1585*(1+'Assumptions'!$M$71)</x:f>
        <x:v>292.2023887907387</x:v>
      </x:c>
      <x:c r="G1713" s="21" t="n">
        <x:f>H1585*'Assumptions'!$K$71</x:f>
        <x:v>613.4101928283502</x:v>
      </x:c>
      <x:c r="H1713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1713+G1713,NA())</x:f>
        <x:v>905.6125816190889</x:v>
      </x:c>
      <x:c r="I1713" s="22" t="n">
        <x:f>'Assumptions'!$H$71*IF('Assumptions'!$O$71=1,1,'Assumptions'!$D$10)*(1+'Assumptions'!$N$71)^(14-1)</x:f>
        <x:v>37.5145922831601</x:v>
      </x:c>
      <x:c r="J1713" s="10" t="n">
        <x:f>H1713*I1713</x:f>
        <x:v>33973.68676594017</x:v>
      </x:c>
      <x:c r="K1713" s="10" t="n">
        <x:f>J1713*'Assumptions'!$T$71</x:f>
        <x:v>33973.68676594017</x:v>
      </x:c>
      <x:c r="L1713" s="10" t="n">
        <x:f>K1713*'Assumptions'!$U$71</x:f>
        <x:v>1019.210602978205</x:v>
      </x:c>
      <x:c r="M1713" s="10" t="n">
        <x:f>K1713*'Assumptions'!$V$71</x:f>
        <x:v>0</x:v>
      </x:c>
      <x:c r="N1713" s="10" t="n">
        <x:f>K1713-L1713-M1713</x:f>
        <x:v>32954.47616296196</x:v>
      </x:c>
      <x:c r="O1713" s="10" t="n">
        <x:f>H1713*'Assumptions'!$P$71*'Assumptions'!$Q$71*'Assumptions'!$D$11*(1+'Assumptions'!$D$13)^(14-1)</x:f>
        <x:v>4654.729126017386</x:v>
      </x:c>
      <x:c r="P1713" s="10" t="n">
        <x:f>H1713*'Assumptions'!$R$71*'Assumptions'!$D$11*(1+'Assumptions'!$D$13)^(14-1)</x:f>
        <x:v>0</x:v>
      </x:c>
      <x:c r="Q1713" s="10" t="n">
        <x:f>J1713*'Assumptions'!$S$71</x:f>
        <x:v>0</x:v>
      </x:c>
      <x:c r="R1713" s="10" t="n">
        <x:f>H1713*'Assumptions'!$Y$71*'Assumptions'!$Z$71*'Assumptions'!$D$11*(1+'Assumptions'!$D$13)^(14-1)</x:f>
        <x:v>5984.651733450924</x:v>
      </x:c>
      <x:c r="S1713" s="10" t="n">
        <x:f>IF(I1713=0,0,J1713*'Assumptions'!$W$71+H1713*'Assumptions'!$X$71)</x:f>
        <x:v>1256.9206906979916</x:v>
      </x:c>
      <x:c r="T1713" s="10" t="n">
        <x:f>N1713*'Assumptions'!$AA$71</x:f>
        <x:v>1647.7238081480982</x:v>
      </x:c>
      <x:c r="U1713" s="10" t="n">
        <x:f>'Assumptions'!$AE$71*'Assumptions'!$D$11*(1+'Assumptions'!$D$13)^(14-1)</x:f>
        <x:v>352.4480912283756</x:v>
      </x:c>
      <x:c r="V1713" s="10" t="n">
        <x:f>0</x:f>
        <x:v>0</x:v>
      </x:c>
      <x:c r="W1713" s="10" t="n">
        <x:f>H1713*('Assumptions'!$P$71+'Assumptions'!$Y$71)</x:f>
        <x:v>226.40314540477223</x:v>
      </x:c>
      <x:c r="X1713" s="10" t="n">
        <x:f>N1713/12*'Assumptions'!$AF$71</x:f>
        <x:v>0</x:v>
      </x:c>
      <x:c r="Y1713" s="10" t="n">
        <x:f>P1713/12</x:f>
        <x:v>0</x:v>
      </x:c>
      <x:c r="Z1713" s="10" t="n">
        <x:f>0</x:f>
        <x:v>0</x:v>
      </x:c>
      <x:c r="AA1713" s="10" t="n">
        <x:f>Z1713*'Assumptions'!$AC$71*'Assumptions'!$D$11*(1+'Assumptions'!$D$13)^(14-1)</x:f>
        <x:v>0</x:v>
      </x:c>
      <x:c r="AB1713" s="10" t="n">
        <x:f>F1713/1</x:f>
        <x:v>292.2023887907387</x:v>
      </x:c>
      <x:c r="AC1713" s="10" t="n">
        <x:f>AB1713/'Assumptions'!$AM$71</x:f>
        <x:v>5844.0477758147745</x:v>
      </x:c>
      <x:c r="AD1713" s="10" t="n">
        <x:f>IF(AB1713=0,0,T1713/AB1713)</x:f>
        <x:v>5.63898130664537</x:v>
      </x:c>
      <x:c r="AE1713" s="10" t="n">
        <x:f>AA1713*'Assumptions'!$D$21</x:f>
        <x:v>0</x:v>
      </x:c>
    </x:row>
    <x:row r="1714" ht="16" customHeight="1">
      <x:c r="A1714" s="1"/>
      <x:c r="B1714" s="1"/>
      <x:c r="C1714" s="1" t="str">
        <x:v>DOT-043</x:v>
      </x:c>
      <x:c r="D1714" s="10" t="str">
        <x:v>Is Makes Travel Easy</x:v>
      </x:c>
      <x:c r="E1714" s="10" t="n">
        <x:v>14</x:v>
      </x:c>
      <x:c r="F1714" s="21" t="n">
        <x:f>F1586*(1+'Assumptions'!$M$72)</x:f>
        <x:v>146.10119439536936</x:v>
      </x:c>
      <x:c r="G1714" s="21" t="n">
        <x:f>H1586*'Assumptions'!$K$72</x:f>
        <x:v>306.7050964141751</x:v>
      </x:c>
      <x:c r="H1714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1714+G1714,NA())</x:f>
        <x:v>452.80629080954446</x:v>
      </x:c>
      <x:c r="I1714" s="22" t="n">
        <x:f>'Assumptions'!$H$72*IF('Assumptions'!$O$72=1,1,'Assumptions'!$D$10)*(1+'Assumptions'!$N$72)^(14-1)</x:f>
        <x:v>24.578525978622135</x:v>
      </x:c>
      <x:c r="J1714" s="10" t="n">
        <x:f>H1714*I1714</x:f>
        <x:v>11129.311181945917</x:v>
      </x:c>
      <x:c r="K1714" s="10" t="n">
        <x:f>J1714*'Assumptions'!$T$72</x:f>
        <x:v>11129.311181945917</x:v>
      </x:c>
      <x:c r="L1714" s="10" t="n">
        <x:f>K1714*'Assumptions'!$U$72</x:f>
        <x:v>333.8793354583775</x:v>
      </x:c>
      <x:c r="M1714" s="10" t="n">
        <x:f>K1714*'Assumptions'!$V$72</x:f>
        <x:v>0</x:v>
      </x:c>
      <x:c r="N1714" s="10" t="n">
        <x:f>K1714-L1714-M1714</x:f>
        <x:v>10795.43184648754</x:v>
      </x:c>
      <x:c r="O1714" s="10" t="n">
        <x:f>H1714*'Assumptions'!$P$72*'Assumptions'!$Q$72*'Assumptions'!$D$11*(1+'Assumptions'!$D$13)^(14-1)</x:f>
        <x:v>2327.364563008693</x:v>
      </x:c>
      <x:c r="P1714" s="10" t="n">
        <x:f>H1714*'Assumptions'!$R$72*'Assumptions'!$D$11*(1+'Assumptions'!$D$13)^(14-1)</x:f>
        <x:v>0</x:v>
      </x:c>
      <x:c r="Q1714" s="10" t="n">
        <x:f>J1714*'Assumptions'!$S$72</x:f>
        <x:v>0</x:v>
      </x:c>
      <x:c r="R1714" s="10" t="n">
        <x:f>H1714*'Assumptions'!$Y$72*'Assumptions'!$Z$72*'Assumptions'!$D$11*(1+'Assumptions'!$D$13)^(14-1)</x:f>
        <x:v>2992.325866725462</x:v>
      </x:c>
      <x:c r="S1714" s="10" t="n">
        <x:f>IF(I1714=0,0,J1714*'Assumptions'!$W$72+H1714*'Assumptions'!$X$72)</x:f>
        <x:v>458.59191151929497</x:v>
      </x:c>
      <x:c r="T1714" s="10" t="n">
        <x:f>N1714*'Assumptions'!$AA$72</x:f>
        <x:v>539.771592324377</x:v>
      </x:c>
      <x:c r="U1714" s="10" t="n">
        <x:f>'Assumptions'!$AE$72*'Assumptions'!$D$11*(1+'Assumptions'!$D$13)^(14-1)</x:f>
        <x:v>0</x:v>
      </x:c>
      <x:c r="V1714" s="10" t="n">
        <x:f>0</x:f>
        <x:v>0</x:v>
      </x:c>
      <x:c r="W1714" s="10" t="n">
        <x:f>H1714*('Assumptions'!$P$72+'Assumptions'!$Y$72)</x:f>
        <x:v>113.20157270238612</x:v>
      </x:c>
      <x:c r="X1714" s="10" t="n">
        <x:f>N1714/12*'Assumptions'!$AF$72</x:f>
        <x:v>0</x:v>
      </x:c>
      <x:c r="Y1714" s="10" t="n">
        <x:f>P1714/12</x:f>
        <x:v>0</x:v>
      </x:c>
      <x:c r="Z1714" s="10" t="n">
        <x:f>0</x:f>
        <x:v>0</x:v>
      </x:c>
      <x:c r="AA1714" s="10" t="n">
        <x:f>Z1714*'Assumptions'!$AC$72*'Assumptions'!$D$11*(1+'Assumptions'!$D$13)^(14-1)</x:f>
        <x:v>0</x:v>
      </x:c>
      <x:c r="AB1714" s="10" t="n">
        <x:f>F1714/12</x:f>
        <x:v>12.175099532947447</x:v>
      </x:c>
      <x:c r="AC1714" s="10" t="n">
        <x:f>AB1714/'Assumptions'!$AM$72</x:f>
        <x:v>243.50199065894893</x:v>
      </x:c>
      <x:c r="AD1714" s="10" t="n">
        <x:f>IF(AB1714=0,0,T1714/AB1714)</x:f>
        <x:v>44.334059928108424</x:v>
      </x:c>
      <x:c r="AE1714" s="10" t="n">
        <x:f>AA1714*'Assumptions'!$D$21</x:f>
        <x:v>0</x:v>
      </x:c>
    </x:row>
    <x:row r="1715" ht="16" customHeight="1">
      <x:c r="A1715" s="1"/>
      <x:c r="B1715" s="1"/>
      <x:c r="C1715" s="1" t="str">
        <x:v>DOT-044</x:v>
      </x:c>
      <x:c r="D1715" s="10" t="str">
        <x:v>Is Makes Travel Easy</x:v>
      </x:c>
      <x:c r="E1715" s="10" t="n">
        <x:v>14</x:v>
      </x:c>
      <x:c r="F1715" s="21" t="n">
        <x:f>F1587*(1+'Assumptions'!$M$73)</x:f>
        <x:v>59.60193465546523</x:v>
      </x:c>
      <x:c r="G1715" s="21" t="n">
        <x:f>H1587*'Assumptions'!$K$73</x:f>
        <x:v>30.677281868159064</x:v>
      </x:c>
      <x:c r="H1715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1715+G1715,NA())</x:f>
        <x:v>90.27921652362429</x:v>
      </x:c>
      <x:c r="I1715" s="22" t="n">
        <x:f>'Assumptions'!$H$73*IF('Assumptions'!$O$73=1,1,'Assumptions'!$D$10)*(1+'Assumptions'!$N$73)^(14-1)</x:f>
        <x:v>63.38672489223603</x:v>
      </x:c>
      <x:c r="J1715" s="10" t="n">
        <x:f>H1715*I1715</x:f>
        <x:v>5722.503861269582</x:v>
      </x:c>
      <x:c r="K1715" s="10" t="n">
        <x:f>J1715*'Assumptions'!$T$73</x:f>
        <x:v>5722.503861269582</x:v>
      </x:c>
      <x:c r="L1715" s="10" t="n">
        <x:f>K1715*'Assumptions'!$U$73</x:f>
        <x:v>171.67511583808744</x:v>
      </x:c>
      <x:c r="M1715" s="10" t="n">
        <x:f>K1715*'Assumptions'!$V$73</x:f>
        <x:v>0</x:v>
      </x:c>
      <x:c r="N1715" s="10" t="n">
        <x:f>K1715-L1715-M1715</x:f>
        <x:v>5550.828745431494</x:v>
      </x:c>
      <x:c r="O1715" s="10" t="n">
        <x:f>H1715*'Assumptions'!$P$73*'Assumptions'!$Q$73*'Assumptions'!$D$11*(1+'Assumptions'!$D$13)^(14-1)</x:f>
        <x:v>1160.0581395281886</x:v>
      </x:c>
      <x:c r="P1715" s="10" t="n">
        <x:f>H1715*'Assumptions'!$R$73*'Assumptions'!$D$11*(1+'Assumptions'!$D$13)^(14-1)</x:f>
        <x:v>0</x:v>
      </x:c>
      <x:c r="Q1715" s="10" t="n">
        <x:f>J1715*'Assumptions'!$S$73</x:f>
        <x:v>0</x:v>
      </x:c>
      <x:c r="R1715" s="10" t="n">
        <x:f>H1715*'Assumptions'!$Y$73*'Assumptions'!$Z$73*'Assumptions'!$D$11*(1+'Assumptions'!$D$13)^(14-1)</x:f>
        <x:v>1988.6710963340377</x:v>
      </x:c>
      <x:c r="S1715" s="10" t="n">
        <x:f>IF(I1715=0,0,J1715*'Assumptions'!$W$73+H1715*'Assumptions'!$X$73)</x:f>
        <x:v>193.03637693390516</x:v>
      </x:c>
      <x:c r="T1715" s="10" t="n">
        <x:f>N1715*'Assumptions'!$AA$73</x:f>
        <x:v>444.0662996345195</x:v>
      </x:c>
      <x:c r="U1715" s="10" t="n">
        <x:f>'Assumptions'!$AE$73*'Assumptions'!$D$11*(1+'Assumptions'!$D$13)^(14-1)</x:f>
        <x:v>0</x:v>
      </x:c>
      <x:c r="V1715" s="10" t="n">
        <x:f>0</x:f>
        <x:v>0</x:v>
      </x:c>
      <x:c r="W1715" s="10" t="n">
        <x:f>H1715*('Assumptions'!$P$73+'Assumptions'!$Y$73)</x:f>
        <x:v>67.7094123927182</x:v>
      </x:c>
      <x:c r="X1715" s="10" t="n">
        <x:f>N1715/12*'Assumptions'!$AF$73</x:f>
        <x:v>462.5690621192912</x:v>
      </x:c>
      <x:c r="Y1715" s="10" t="n">
        <x:f>P1715/12</x:f>
        <x:v>0</x:v>
      </x:c>
      <x:c r="Z1715" s="10" t="n">
        <x:f>0</x:f>
        <x:v>0</x:v>
      </x:c>
      <x:c r="AA1715" s="10" t="n">
        <x:f>Z1715*'Assumptions'!$AC$73*'Assumptions'!$D$11*(1+'Assumptions'!$D$13)^(14-1)</x:f>
        <x:v>0</x:v>
      </x:c>
      <x:c r="AB1715" s="10" t="n">
        <x:f>F1715/1</x:f>
        <x:v>59.60193465546523</x:v>
      </x:c>
      <x:c r="AC1715" s="10" t="n">
        <x:f>AB1715/'Assumptions'!$AM$73</x:f>
        <x:v>596.0193465546522</x:v>
      </x:c>
      <x:c r="AD1715" s="10" t="n">
        <x:f>IF(AB1715=0,0,T1715/AB1715)</x:f>
        <x:v>7.450534990206071</x:v>
      </x:c>
      <x:c r="AE1715" s="10" t="n">
        <x:f>AA1715*'Assumptions'!$D$21</x:f>
        <x:v>0</x:v>
      </x:c>
    </x:row>
    <x:row r="1716" ht="16" customHeight="1">
      <x:c r="A1716" s="1"/>
      <x:c r="B1716" s="1"/>
      <x:c r="C1716" s="1" t="str">
        <x:v>DOT-045</x:v>
      </x:c>
      <x:c r="D1716" s="10" t="str">
        <x:v>Is Makes Travel Easy</x:v>
      </x:c>
      <x:c r="E1716" s="10" t="n">
        <x:v>14</x:v>
      </x:c>
      <x:c r="F1716" s="21" t="n">
        <x:f>F1588*(1+'Assumptions'!$M$74)</x:f>
        <x:v>194.80159252715922</x:v>
      </x:c>
      <x:c r="G1716" s="21" t="n">
        <x:f>H1588*'Assumptions'!$K$74</x:f>
        <x:v>408.9401285522336</x:v>
      </x:c>
      <x:c r="H1716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1716+G1716,NA())</x:f>
        <x:v>603.7417210793928</x:v>
      </x:c>
      <x:c r="I1716" s="22" t="n">
        <x:f>'Assumptions'!$H$74*IF('Assumptions'!$O$74=1,1,'Assumptions'!$D$10)*(1+'Assumptions'!$N$74)^(14-1)</x:f>
        <x:v>194.0409945680695</x:v>
      </x:c>
      <x:c r="J1716" s="10" t="n">
        <x:f>H1716*I1716</x:f>
        <x:v>117150.64402048339</x:v>
      </x:c>
      <x:c r="K1716" s="10" t="n">
        <x:f>J1716*'Assumptions'!$T$74</x:f>
        <x:v>11715.06440204834</x:v>
      </x:c>
      <x:c r="L1716" s="10" t="n">
        <x:f>K1716*'Assumptions'!$U$74</x:f>
        <x:v>351.4519320614502</x:v>
      </x:c>
      <x:c r="M1716" s="10" t="n">
        <x:f>K1716*'Assumptions'!$V$74</x:f>
        <x:v>0</x:v>
      </x:c>
      <x:c r="N1716" s="10" t="n">
        <x:f>K1716-L1716-M1716</x:f>
        <x:v>11363.612469986889</x:v>
      </x:c>
      <x:c r="O1716" s="10" t="n">
        <x:f>H1716*'Assumptions'!$P$74*'Assumptions'!$Q$74*'Assumptions'!$D$11*(1+'Assumptions'!$D$13)^(14-1)</x:f>
        <x:v>3103.1527506782586</x:v>
      </x:c>
      <x:c r="P1716" s="10" t="n">
        <x:f>H1716*'Assumptions'!$R$74*'Assumptions'!$D$11*(1+'Assumptions'!$D$13)^(14-1)</x:f>
        <x:v>0</x:v>
      </x:c>
      <x:c r="Q1716" s="10" t="n">
        <x:f>J1716*'Assumptions'!$S$74</x:f>
        <x:v>0</x:v>
      </x:c>
      <x:c r="R1716" s="10" t="n">
        <x:f>H1716*'Assumptions'!$Y$74*'Assumptions'!$Z$74*'Assumptions'!$D$11*(1+'Assumptions'!$D$13)^(14-1)</x:f>
        <x:v>3989.7678223006183</x:v>
      </x:c>
      <x:c r="S1716" s="10" t="n">
        <x:f>IF(I1716=0,0,J1716*'Assumptions'!$W$74+H1716*'Assumptions'!$X$74)</x:f>
        <x:v>3578.4911929178365</x:v>
      </x:c>
      <x:c r="T1716" s="10" t="n">
        <x:f>N1716*'Assumptions'!$AA$74</x:f>
        <x:v>568.1806234993445</x:v>
      </x:c>
      <x:c r="U1716" s="10" t="n">
        <x:f>'Assumptions'!$AE$74*'Assumptions'!$D$11*(1+'Assumptions'!$D$13)^(14-1)</x:f>
        <x:v>0</x:v>
      </x:c>
      <x:c r="V1716" s="10" t="n">
        <x:f>0</x:f>
        <x:v>0</x:v>
      </x:c>
      <x:c r="W1716" s="10" t="n">
        <x:f>H1716*('Assumptions'!$P$74+'Assumptions'!$Y$74)</x:f>
        <x:v>150.9354302698482</x:v>
      </x:c>
      <x:c r="X1716" s="10" t="n">
        <x:f>N1716/12*'Assumptions'!$AF$74</x:f>
        <x:v>0</x:v>
      </x:c>
      <x:c r="Y1716" s="10" t="n">
        <x:f>P1716/12</x:f>
        <x:v>0</x:v>
      </x:c>
      <x:c r="Z1716" s="10" t="n">
        <x:f>0</x:f>
        <x:v>0</x:v>
      </x:c>
      <x:c r="AA1716" s="10" t="n">
        <x:f>Z1716*'Assumptions'!$AC$74*'Assumptions'!$D$11*(1+'Assumptions'!$D$13)^(14-1)</x:f>
        <x:v>0</x:v>
      </x:c>
      <x:c r="AB1716" s="10" t="n">
        <x:f>F1716/1</x:f>
        <x:v>194.80159252715922</x:v>
      </x:c>
      <x:c r="AC1716" s="10" t="n">
        <x:f>AB1716/'Assumptions'!$AM$74</x:f>
        <x:v>3896.031850543184</x:v>
      </x:c>
      <x:c r="AD1716" s="10" t="n">
        <x:f>IF(AB1716=0,0,T1716/AB1716)</x:f>
        <x:v>2.916714468954502</x:v>
      </x:c>
      <x:c r="AE1716" s="10" t="n">
        <x:f>AA1716*'Assumptions'!$D$21</x:f>
        <x:v>0</x:v>
      </x:c>
    </x:row>
    <x:row r="1717" ht="16" customHeight="1">
      <x:c r="A1717" s="1"/>
      <x:c r="B1717" s="1"/>
      <x:c r="C1717" s="1" t="str">
        <x:v>DOT-046</x:v>
      </x:c>
      <x:c r="D1717" s="10" t="str">
        <x:v>Turbo Tax - Made Easy!</x:v>
      </x:c>
      <x:c r="E1717" s="10" t="n">
        <x:v>14</x:v>
      </x:c>
      <x:c r="F1717" s="21" t="n">
        <x:f>F1589*(1+'Assumptions'!$M$75)</x:f>
        <x:v>513.4627020036933</x:v>
      </x:c>
      <x:c r="G1717" s="21" t="n">
        <x:f>H1589*'Assumptions'!$K$75</x:f>
        <x:v>164.57131413537712</x:v>
      </x:c>
      <x:c r="H1717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1717+G1717,NA())</x:f>
        <x:v>678.0340161390704</x:v>
      </x:c>
      <x:c r="I1717" s="22" t="n">
        <x:f>'Assumptions'!$H$75*IF('Assumptions'!$O$75=1,1,'Assumptions'!$D$10)*(1+'Assumptions'!$N$75)^(14-1)</x:f>
        <x:v>149</x:v>
      </x:c>
      <x:c r="J1717" s="10" t="n">
        <x:f>H1717*I1717</x:f>
        <x:v>101027.0684047215</x:v>
      </x:c>
      <x:c r="K1717" s="10" t="n">
        <x:f>J1717*'Assumptions'!$T$75</x:f>
        <x:v>101027.0684047215</x:v>
      </x:c>
      <x:c r="L1717" s="10" t="n">
        <x:f>K1717*'Assumptions'!$U$75</x:f>
        <x:v>3030.812052141645</x:v>
      </x:c>
      <x:c r="M1717" s="10" t="n">
        <x:f>K1717*'Assumptions'!$V$75</x:f>
        <x:v>0</x:v>
      </x:c>
      <x:c r="N1717" s="10" t="n">
        <x:f>K1717-L1717-M1717</x:f>
        <x:v>97996.25635257986</x:v>
      </x:c>
      <x:c r="O1717" s="10" t="n">
        <x:f>H1717*'Assumptions'!$P$75*'Assumptions'!$Q$75*'Assumptions'!$D$11*(1+'Assumptions'!$D$13)^(14-1)</x:f>
        <x:v>5227.508010727734</x:v>
      </x:c>
      <x:c r="P1717" s="10" t="n">
        <x:f>H1717*'Assumptions'!$R$75*'Assumptions'!$D$11*(1+'Assumptions'!$D$13)^(14-1)</x:f>
        <x:v>0</x:v>
      </x:c>
      <x:c r="Q1717" s="10" t="n">
        <x:f>J1717*'Assumptions'!$S$75</x:f>
        <x:v>0</x:v>
      </x:c>
      <x:c r="R1717" s="10" t="n">
        <x:f>H1717*'Assumptions'!$Y$75*'Assumptions'!$Z$75*'Assumptions'!$D$11*(1+'Assumptions'!$D$13)^(14-1)</x:f>
        <x:v>2987.147434701562</x:v>
      </x:c>
      <x:c r="S1717" s="10" t="n">
        <x:f>IF(I1717=0,0,J1717*'Assumptions'!$W$75+H1717*'Assumptions'!$X$75)</x:f>
        <x:v>3133.195188578645</x:v>
      </x:c>
      <x:c r="T1717" s="10" t="n">
        <x:f>N1717*'Assumptions'!$AA$75</x:f>
        <x:v>4899.812817628993</x:v>
      </x:c>
      <x:c r="U1717" s="10" t="n">
        <x:f>'Assumptions'!$AE$75*'Assumptions'!$D$11*(1+'Assumptions'!$D$13)^(14-1)</x:f>
        <x:v>0</x:v>
      </x:c>
      <x:c r="V1717" s="10" t="n">
        <x:f>0</x:f>
        <x:v>0</x:v>
      </x:c>
      <x:c r="W1717" s="10" t="n">
        <x:f>H1717*('Assumptions'!$P$75+'Assumptions'!$Y$75)</x:f>
        <x:v>169.5085040347676</x:v>
      </x:c>
      <x:c r="X1717" s="10" t="n">
        <x:f>N1717/12*'Assumptions'!$AF$75</x:f>
        <x:v>0</x:v>
      </x:c>
      <x:c r="Y1717" s="10" t="n">
        <x:f>P1717/12</x:f>
        <x:v>0</x:v>
      </x:c>
      <x:c r="Z1717" s="10" t="n">
        <x:f>0</x:f>
        <x:v>0</x:v>
      </x:c>
      <x:c r="AA1717" s="10" t="n">
        <x:f>Z1717*'Assumptions'!$AC$75*'Assumptions'!$D$11*(1+'Assumptions'!$D$13)^(14-1)</x:f>
        <x:v>0</x:v>
      </x:c>
      <x:c r="AB1717" s="10" t="n">
        <x:f>F1717/1</x:f>
        <x:v>513.4627020036933</x:v>
      </x:c>
      <x:c r="AC1717" s="10" t="n">
        <x:f>AB1717/'Assumptions'!$AM$75</x:f>
        <x:v>10269.254040073865</x:v>
      </x:c>
      <x:c r="AD1717" s="10" t="n">
        <x:f>IF(AB1717=0,0,T1717/AB1717)</x:f>
        <x:v>9.542684986676498</x:v>
      </x:c>
      <x:c r="AE1717" s="10" t="n">
        <x:f>AA1717*'Assumptions'!$D$21</x:f>
        <x:v>0</x:v>
      </x:c>
    </x:row>
    <x:row r="1718" ht="16" customHeight="1">
      <x:c r="A1718" s="1"/>
      <x:c r="B1718" s="1"/>
      <x:c r="C1718" s="1" t="str">
        <x:v>DOT-047</x:v>
      </x:c>
      <x:c r="D1718" s="10" t="str">
        <x:v>LavaLearning adult</x:v>
      </x:c>
      <x:c r="E1718" s="10" t="n">
        <x:v>14</x:v>
      </x:c>
      <x:c r="F1718" s="21" t="n">
        <x:f>F1590*(1+'Assumptions'!$M$76)</x:f>
        <x:v>342.3084680024621</x:v>
      </x:c>
      <x:c r="G1718" s="21" t="n">
        <x:f>H1590*'Assumptions'!$K$76</x:f>
        <x:v>109.71420917523204</x:v>
      </x:c>
      <x:c r="H1718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1718+G1718,NA())</x:f>
        <x:v>452.02267717769416</x:v>
      </x:c>
      <x:c r="I1718" s="22" t="n">
        <x:f>'Assumptions'!$H$76*IF('Assumptions'!$O$76=1,1,'Assumptions'!$D$10)*(1+'Assumptions'!$N$76)^(14-1)</x:f>
        <x:v>79</x:v>
      </x:c>
      <x:c r="J1718" s="10" t="n">
        <x:f>H1718*I1718</x:f>
        <x:v>35709.79149703784</x:v>
      </x:c>
      <x:c r="K1718" s="10" t="n">
        <x:f>J1718*'Assumptions'!$T$76</x:f>
        <x:v>35709.79149703784</x:v>
      </x:c>
      <x:c r="L1718" s="10" t="n">
        <x:f>K1718*'Assumptions'!$U$76</x:f>
        <x:v>1071.2937449111353</x:v>
      </x:c>
      <x:c r="M1718" s="10" t="n">
        <x:f>K1718*'Assumptions'!$V$76</x:f>
        <x:v>0</x:v>
      </x:c>
      <x:c r="N1718" s="10" t="n">
        <x:f>K1718-L1718-M1718</x:f>
        <x:v>34638.49775212671</x:v>
      </x:c>
      <x:c r="O1718" s="10" t="n">
        <x:f>H1718*'Assumptions'!$P$76*'Assumptions'!$Q$76*'Assumptions'!$D$11*(1+'Assumptions'!$D$13)^(14-1)</x:f>
        <x:v>3485.005338570405</x:v>
      </x:c>
      <x:c r="P1718" s="10" t="n">
        <x:f>H1718*'Assumptions'!$R$76*'Assumptions'!$D$11*(1+'Assumptions'!$D$13)^(14-1)</x:f>
        <x:v>0</x:v>
      </x:c>
      <x:c r="Q1718" s="10" t="n">
        <x:f>J1718*'Assumptions'!$S$76</x:f>
        <x:v>0</x:v>
      </x:c>
      <x:c r="R1718" s="10" t="n">
        <x:f>H1718*'Assumptions'!$Y$76*'Assumptions'!$Z$76*'Assumptions'!$D$11*(1+'Assumptions'!$D$13)^(14-1)</x:f>
        <x:v>1991.431622040231</x:v>
      </x:c>
      <x:c r="S1718" s="10" t="n">
        <x:f>IF(I1718=0,0,J1718*'Assumptions'!$W$76+H1718*'Assumptions'!$X$76)</x:f>
        <x:v>1171.1907565674055</x:v>
      </x:c>
      <x:c r="T1718" s="10" t="n">
        <x:f>N1718*'Assumptions'!$AA$76</x:f>
        <x:v>1731.9248876063355</x:v>
      </x:c>
      <x:c r="U1718" s="10" t="n">
        <x:f>'Assumptions'!$AE$76*'Assumptions'!$D$11*(1+'Assumptions'!$D$13)^(14-1)</x:f>
        <x:v>0</x:v>
      </x:c>
      <x:c r="V1718" s="10" t="n">
        <x:f>0</x:f>
        <x:v>0</x:v>
      </x:c>
      <x:c r="W1718" s="10" t="n">
        <x:f>H1718*('Assumptions'!$P$76+'Assumptions'!$Y$76)</x:f>
        <x:v>113.00566929442354</x:v>
      </x:c>
      <x:c r="X1718" s="10" t="n">
        <x:f>N1718/12*'Assumptions'!$AF$76</x:f>
        <x:v>0</x:v>
      </x:c>
      <x:c r="Y1718" s="10" t="n">
        <x:f>P1718/12</x:f>
        <x:v>0</x:v>
      </x:c>
      <x:c r="Z1718" s="10" t="n">
        <x:f>0</x:f>
        <x:v>0</x:v>
      </x:c>
      <x:c r="AA1718" s="10" t="n">
        <x:f>Z1718*'Assumptions'!$AC$76*'Assumptions'!$D$11*(1+'Assumptions'!$D$13)^(14-1)</x:f>
        <x:v>0</x:v>
      </x:c>
      <x:c r="AB1718" s="10" t="n">
        <x:f>F1718/1</x:f>
        <x:v>342.3084680024621</x:v>
      </x:c>
      <x:c r="AC1718" s="10" t="n">
        <x:f>AB1718/'Assumptions'!$AM$76</x:f>
        <x:v>6846.169360049242</x:v>
      </x:c>
      <x:c r="AD1718" s="10" t="n">
        <x:f>IF(AB1718=0,0,T1718/AB1718)</x:f>
        <x:v>5.059544386129175</x:v>
      </x:c>
      <x:c r="AE1718" s="10" t="n">
        <x:f>AA1718*'Assumptions'!$D$21</x:f>
        <x:v>0</x:v>
      </x:c>
    </x:row>
    <x:row r="1719" ht="16" customHeight="1">
      <x:c r="A1719" s="1"/>
      <x:c r="B1719" s="1"/>
      <x:c r="C1719" s="1" t="str">
        <x:v>DOT-048</x:v>
      </x:c>
      <x:c r="D1719" s="10" t="str">
        <x:v>Turbo Tax - Made Easy!</x:v>
      </x:c>
      <x:c r="E1719" s="10" t="n">
        <x:v>14</x:v>
      </x:c>
      <x:c r="F1719" s="21" t="n">
        <x:f>F1591*(1+'Assumptions'!$M$77)</x:f>
        <x:v>1026.9254040073865</x:v>
      </x:c>
      <x:c r="G1719" s="21" t="n">
        <x:f>H1591*'Assumptions'!$K$77</x:f>
        <x:v>329.14262827075424</x:v>
      </x:c>
      <x:c r="H1719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1719+G1719,NA())</x:f>
        <x:v>1356.068032278141</x:v>
      </x:c>
      <x:c r="I1719" s="22" t="n">
        <x:f>'Assumptions'!$H$77*IF('Assumptions'!$O$77=1,1,'Assumptions'!$D$10)*(1+'Assumptions'!$N$77)^(14-1)</x:f>
        <x:v>24.578525978622135</x:v>
      </x:c>
      <x:c r="J1719" s="10" t="n">
        <x:f>H1719*I1719</x:f>
        <x:v>33330.15336012729</x:v>
      </x:c>
      <x:c r="K1719" s="10" t="n">
        <x:f>J1719*'Assumptions'!$T$77</x:f>
        <x:v>33330.15336012729</x:v>
      </x:c>
      <x:c r="L1719" s="10" t="n">
        <x:f>K1719*'Assumptions'!$U$77</x:f>
        <x:v>999.9046008038187</x:v>
      </x:c>
      <x:c r="M1719" s="10" t="n">
        <x:f>K1719*'Assumptions'!$V$77</x:f>
        <x:v>0</x:v>
      </x:c>
      <x:c r="N1719" s="10" t="n">
        <x:f>K1719-L1719-M1719</x:f>
        <x:v>32330.24875932347</x:v>
      </x:c>
      <x:c r="O1719" s="10" t="n">
        <x:f>H1719*'Assumptions'!$P$77*'Assumptions'!$Q$77*'Assumptions'!$D$11*(1+'Assumptions'!$D$13)^(14-1)</x:f>
        <x:v>10455.016021455467</x:v>
      </x:c>
      <x:c r="P1719" s="10" t="n">
        <x:f>H1719*'Assumptions'!$R$77*'Assumptions'!$D$11*(1+'Assumptions'!$D$13)^(14-1)</x:f>
        <x:v>0</x:v>
      </x:c>
      <x:c r="Q1719" s="10" t="n">
        <x:f>J1719*'Assumptions'!$S$77</x:f>
        <x:v>0</x:v>
      </x:c>
      <x:c r="R1719" s="10" t="n">
        <x:f>H1719*'Assumptions'!$Y$77*'Assumptions'!$Z$77*'Assumptions'!$D$11*(1+'Assumptions'!$D$13)^(14-1)</x:f>
        <x:v>5974.294869403124</x:v>
      </x:c>
      <x:c r="S1719" s="10" t="n">
        <x:f>IF(I1719=0,0,J1719*'Assumptions'!$W$77+H1719*'Assumptions'!$X$77)</x:f>
        <x:v>1373.3948571271337</x:v>
      </x:c>
      <x:c r="T1719" s="10" t="n">
        <x:f>N1719*'Assumptions'!$AA$77</x:f>
        <x:v>1616.5124379661736</x:v>
      </x:c>
      <x:c r="U1719" s="10" t="n">
        <x:f>'Assumptions'!$AE$77*'Assumptions'!$D$11*(1+'Assumptions'!$D$13)^(14-1)</x:f>
        <x:v>0</x:v>
      </x:c>
      <x:c r="V1719" s="10" t="n">
        <x:f>0</x:f>
        <x:v>0</x:v>
      </x:c>
      <x:c r="W1719" s="10" t="n">
        <x:f>H1719*('Assumptions'!$P$77+'Assumptions'!$Y$77)</x:f>
        <x:v>339.0170080695352</x:v>
      </x:c>
      <x:c r="X1719" s="10" t="n">
        <x:f>N1719/12*'Assumptions'!$AF$77</x:f>
        <x:v>0</x:v>
      </x:c>
      <x:c r="Y1719" s="10" t="n">
        <x:f>P1719/12</x:f>
        <x:v>0</x:v>
      </x:c>
      <x:c r="Z1719" s="10" t="n">
        <x:f>0</x:f>
        <x:v>0</x:v>
      </x:c>
      <x:c r="AA1719" s="10" t="n">
        <x:f>Z1719*'Assumptions'!$AC$77*'Assumptions'!$D$11*(1+'Assumptions'!$D$13)^(14-1)</x:f>
        <x:v>0</x:v>
      </x:c>
      <x:c r="AB1719" s="10" t="n">
        <x:f>F1719/1</x:f>
        <x:v>1026.9254040073865</x:v>
      </x:c>
      <x:c r="AC1719" s="10" t="n">
        <x:f>AB1719/'Assumptions'!$AM$77</x:f>
        <x:v>20538.50808014773</x:v>
      </x:c>
      <x:c r="AD1719" s="10" t="n">
        <x:f>IF(AB1719=0,0,T1719/AB1719)</x:f>
        <x:v>1.5741283949720521</x:v>
      </x:c>
      <x:c r="AE1719" s="10" t="n">
        <x:f>AA1719*'Assumptions'!$D$21</x:f>
        <x:v>0</x:v>
      </x:c>
    </x:row>
    <x:row r="1720" ht="16" customHeight="1">
      <x:c r="A1720" s="1"/>
      <x:c r="B1720" s="1"/>
      <x:c r="C1720" s="1" t="str">
        <x:v>DOT-049</x:v>
      </x:c>
      <x:c r="D1720" s="10" t="str">
        <x:v>Turbo Tax - Made Easy!</x:v>
      </x:c>
      <x:c r="E1720" s="10" t="n">
        <x:v>14</x:v>
      </x:c>
      <x:c r="F1720" s="21" t="n">
        <x:f>F1592*(1+'Assumptions'!$M$78)</x:f>
        <x:v>342.3084680024621</x:v>
      </x:c>
      <x:c r="G1720" s="21" t="n">
        <x:f>H1592*'Assumptions'!$K$78</x:f>
        <x:v>109.71420843017398</x:v>
      </x:c>
      <x:c r="H1720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1720+G1720,NA())</x:f>
        <x:v>452.0226764326361</x:v>
      </x:c>
      <x:c r="I1720" s="22" t="n">
        <x:f>'Assumptions'!$H$78*IF('Assumptions'!$O$78=1,1,'Assumptions'!$D$10)*(1+'Assumptions'!$N$78)^(14-1)</x:f>
        <x:v>24.578525978622135</x:v>
      </x:c>
      <x:c r="J1720" s="10" t="n">
        <x:f>H1720*I1720</x:f>
        <x:v>11110.051095625855</x:v>
      </x:c>
      <x:c r="K1720" s="10" t="n">
        <x:f>J1720*'Assumptions'!$T$78</x:f>
        <x:v>11110.051095625855</x:v>
      </x:c>
      <x:c r="L1720" s="10" t="n">
        <x:f>K1720*'Assumptions'!$U$78</x:f>
        <x:v>333.3015328687756</x:v>
      </x:c>
      <x:c r="M1720" s="10" t="n">
        <x:f>K1720*'Assumptions'!$V$78</x:f>
        <x:v>0</x:v>
      </x:c>
      <x:c r="N1720" s="10" t="n">
        <x:f>K1720-L1720-M1720</x:f>
        <x:v>10776.749562757079</x:v>
      </x:c>
      <x:c r="O1720" s="10" t="n">
        <x:f>H1720*'Assumptions'!$P$78*'Assumptions'!$Q$78*'Assumptions'!$D$11*(1+'Assumptions'!$D$13)^(14-1)</x:f>
        <x:v>3485.0053328261547</x:v>
      </x:c>
      <x:c r="P1720" s="10" t="n">
        <x:f>H1720*'Assumptions'!$R$78*'Assumptions'!$D$11*(1+'Assumptions'!$D$13)^(14-1)</x:f>
        <x:v>0</x:v>
      </x:c>
      <x:c r="Q1720" s="10" t="n">
        <x:f>J1720*'Assumptions'!$S$78</x:f>
        <x:v>0</x:v>
      </x:c>
      <x:c r="R1720" s="10" t="n">
        <x:f>H1720*'Assumptions'!$Y$78*'Assumptions'!$Z$78*'Assumptions'!$D$11*(1+'Assumptions'!$D$13)^(14-1)</x:f>
        <x:v>1991.4316187578024</x:v>
      </x:c>
      <x:c r="S1720" s="10" t="n">
        <x:f>IF(I1720=0,0,J1720*'Assumptions'!$W$78+H1720*'Assumptions'!$X$78)</x:f>
        <x:v>457.79828470294063</x:v>
      </x:c>
      <x:c r="T1720" s="10" t="n">
        <x:f>N1720*'Assumptions'!$AA$78</x:f>
        <x:v>538.837478137854</x:v>
      </x:c>
      <x:c r="U1720" s="10" t="n">
        <x:f>'Assumptions'!$AE$78*'Assumptions'!$D$11*(1+'Assumptions'!$D$13)^(14-1)</x:f>
        <x:v>0</x:v>
      </x:c>
      <x:c r="V1720" s="10" t="n">
        <x:f>0</x:f>
        <x:v>0</x:v>
      </x:c>
      <x:c r="W1720" s="10" t="n">
        <x:f>H1720*('Assumptions'!$P$78+'Assumptions'!$Y$78)</x:f>
        <x:v>113.00566910815903</x:v>
      </x:c>
      <x:c r="X1720" s="10" t="n">
        <x:f>N1720/12*'Assumptions'!$AF$78</x:f>
        <x:v>0</x:v>
      </x:c>
      <x:c r="Y1720" s="10" t="n">
        <x:f>P1720/12</x:f>
        <x:v>0</x:v>
      </x:c>
      <x:c r="Z1720" s="10" t="n">
        <x:f>0</x:f>
        <x:v>0</x:v>
      </x:c>
      <x:c r="AA1720" s="10" t="n">
        <x:f>Z1720*'Assumptions'!$AC$78*'Assumptions'!$D$11*(1+'Assumptions'!$D$13)^(14-1)</x:f>
        <x:v>0</x:v>
      </x:c>
      <x:c r="AB1720" s="10" t="n">
        <x:f>F1720/1</x:f>
        <x:v>342.3084680024621</x:v>
      </x:c>
      <x:c r="AC1720" s="10" t="n">
        <x:f>AB1720/'Assumptions'!$AM$78</x:f>
        <x:v>6846.169360049242</x:v>
      </x:c>
      <x:c r="AD1720" s="10" t="n">
        <x:f>IF(AB1720=0,0,T1720/AB1720)</x:f>
        <x:v>1.574128391512588</x:v>
      </x:c>
      <x:c r="AE1720" s="10" t="n">
        <x:f>AA1720*'Assumptions'!$D$21</x:f>
        <x:v>0</x:v>
      </x:c>
    </x:row>
    <x:row r="1721" ht="16" customHeight="1">
      <x:c r="A1721" s="1"/>
      <x:c r="B1721" s="1"/>
      <x:c r="C1721" s="1" t="str">
        <x:v>DOT-050</x:v>
      </x:c>
      <x:c r="D1721" s="10" t="str">
        <x:v>LavaLearning adult</x:v>
      </x:c>
      <x:c r="E1721" s="10" t="n">
        <x:v>14</x:v>
      </x:c>
      <x:c r="F1721" s="21" t="n">
        <x:f>F1593*(1+'Assumptions'!$M$79)</x:f>
        <x:v>1026.9254040073865</x:v>
      </x:c>
      <x:c r="G1721" s="21" t="n">
        <x:f>H1593*'Assumptions'!$K$79</x:f>
        <x:v>329.1426275256962</x:v>
      </x:c>
      <x:c r="H1721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1721+G1721,NA())</x:f>
        <x:v>1356.0680315330828</x:v>
      </x:c>
      <x:c r="I1721" s="22" t="n">
        <x:f>'Assumptions'!$H$79*IF('Assumptions'!$O$79=1,1,'Assumptions'!$D$10)*(1+'Assumptions'!$N$79)^(14-1)</x:f>
        <x:v>24.578525978622135</x:v>
      </x:c>
      <x:c r="J1721" s="10" t="n">
        <x:f>H1721*I1721</x:f>
        <x:v>33330.153341814854</x:v>
      </x:c>
      <x:c r="K1721" s="10" t="n">
        <x:f>J1721*'Assumptions'!$T$79</x:f>
        <x:v>33330.153341814854</x:v>
      </x:c>
      <x:c r="L1721" s="10" t="n">
        <x:f>K1721*'Assumptions'!$U$79</x:f>
        <x:v>999.9046002544455</x:v>
      </x:c>
      <x:c r="M1721" s="10" t="n">
        <x:f>K1721*'Assumptions'!$V$79</x:f>
        <x:v>0</x:v>
      </x:c>
      <x:c r="N1721" s="10" t="n">
        <x:f>K1721-L1721-M1721</x:f>
        <x:v>32330.24874156041</x:v>
      </x:c>
      <x:c r="O1721" s="10" t="n">
        <x:f>H1721*'Assumptions'!$P$79*'Assumptions'!$Q$79*'Assumptions'!$D$11*(1+'Assumptions'!$D$13)^(14-1)</x:f>
        <x:v>10455.016015711217</x:v>
      </x:c>
      <x:c r="P1721" s="10" t="n">
        <x:f>H1721*'Assumptions'!$R$79*'Assumptions'!$D$11*(1+'Assumptions'!$D$13)^(14-1)</x:f>
        <x:v>0</x:v>
      </x:c>
      <x:c r="Q1721" s="10" t="n">
        <x:f>J1721*'Assumptions'!$S$79</x:f>
        <x:v>0</x:v>
      </x:c>
      <x:c r="R1721" s="10" t="n">
        <x:f>H1721*'Assumptions'!$Y$79*'Assumptions'!$Z$79*'Assumptions'!$D$11*(1+'Assumptions'!$D$13)^(14-1)</x:f>
        <x:v>5974.294866120696</x:v>
      </x:c>
      <x:c r="S1721" s="10" t="n">
        <x:f>IF(I1721=0,0,J1721*'Assumptions'!$W$79+H1721*'Assumptions'!$X$79)</x:f>
        <x:v>1373.3948563725558</x:v>
      </x:c>
      <x:c r="T1721" s="10" t="n">
        <x:f>N1721*'Assumptions'!$AA$79</x:f>
        <x:v>1616.5124370780204</x:v>
      </x:c>
      <x:c r="U1721" s="10" t="n">
        <x:f>'Assumptions'!$AE$79*'Assumptions'!$D$11*(1+'Assumptions'!$D$13)^(14-1)</x:f>
        <x:v>0</x:v>
      </x:c>
      <x:c r="V1721" s="10" t="n">
        <x:f>0</x:f>
        <x:v>0</x:v>
      </x:c>
      <x:c r="W1721" s="10" t="n">
        <x:f>H1721*('Assumptions'!$P$79+'Assumptions'!$Y$79)</x:f>
        <x:v>339.0170078832707</x:v>
      </x:c>
      <x:c r="X1721" s="10" t="n">
        <x:f>N1721/12*'Assumptions'!$AF$79</x:f>
        <x:v>0</x:v>
      </x:c>
      <x:c r="Y1721" s="10" t="n">
        <x:f>P1721/12</x:f>
        <x:v>0</x:v>
      </x:c>
      <x:c r="Z1721" s="10" t="n">
        <x:f>0</x:f>
        <x:v>0</x:v>
      </x:c>
      <x:c r="AA1721" s="10" t="n">
        <x:f>Z1721*'Assumptions'!$AC$79*'Assumptions'!$D$11*(1+'Assumptions'!$D$13)^(14-1)</x:f>
        <x:v>0</x:v>
      </x:c>
      <x:c r="AB1721" s="10" t="n">
        <x:f>F1721/1</x:f>
        <x:v>1026.9254040073865</x:v>
      </x:c>
      <x:c r="AC1721" s="10" t="n">
        <x:f>AB1721/'Assumptions'!$AM$79</x:f>
        <x:v>20538.50808014773</x:v>
      </x:c>
      <x:c r="AD1721" s="10" t="n">
        <x:f>IF(AB1721=0,0,T1721/AB1721)</x:f>
        <x:v>1.574128394107186</x:v>
      </x:c>
      <x:c r="AE1721" s="10" t="n">
        <x:f>AA1721*'Assumptions'!$D$21</x:f>
        <x:v>0</x:v>
      </x:c>
    </x:row>
    <x:row r="1722" ht="16" customHeight="1">
      <x:c r="A1722" s="1"/>
      <x:c r="B1722" s="1"/>
      <x:c r="C1722" s="1" t="str">
        <x:v>DOT-051</x:v>
      </x:c>
      <x:c r="D1722" s="10" t="str">
        <x:v>LavaLearning adult</x:v>
      </x:c>
      <x:c r="E1722" s="10" t="n">
        <x:v>14</x:v>
      </x:c>
      <x:c r="F1722" s="21" t="n">
        <x:f>F1594*(1+'Assumptions'!$M$80)</x:f>
        <x:v>205.3850808014773</x:v>
      </x:c>
      <x:c r="G1722" s="21" t="n">
        <x:f>H1594*'Assumptions'!$K$80</x:f>
        <x:v>65.82852505810439</x:v>
      </x:c>
      <x:c r="H1722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1722+G1722,NA())</x:f>
        <x:v>271.21360585958166</x:v>
      </x:c>
      <x:c r="I1722" s="22" t="n">
        <x:f>'Assumptions'!$H$80*IF('Assumptions'!$O$80=1,1,'Assumptions'!$D$10)*(1+'Assumptions'!$N$80)^(14-1)</x:f>
        <x:v>37.5145922831601</x:v>
      </x:c>
      <x:c r="J1722" s="10" t="n">
        <x:f>H1722*I1722</x:f>
        <x:v>10174.467845467887</x:v>
      </x:c>
      <x:c r="K1722" s="10" t="n">
        <x:f>J1722*'Assumptions'!$T$80</x:f>
        <x:v>10174.467845467887</x:v>
      </x:c>
      <x:c r="L1722" s="10" t="n">
        <x:f>K1722*'Assumptions'!$U$80</x:f>
        <x:v>305.2340353640366</x:v>
      </x:c>
      <x:c r="M1722" s="10" t="n">
        <x:f>K1722*'Assumptions'!$V$80</x:f>
        <x:v>0</x:v>
      </x:c>
      <x:c r="N1722" s="10" t="n">
        <x:f>K1722-L1722-M1722</x:f>
        <x:v>9869.233810103851</x:v>
      </x:c>
      <x:c r="O1722" s="10" t="n">
        <x:f>H1722*'Assumptions'!$P$80*'Assumptions'!$Q$80*'Assumptions'!$D$11*(1+'Assumptions'!$D$13)^(14-1)</x:f>
        <x:v>2091.0031996956927</x:v>
      </x:c>
      <x:c r="P1722" s="10" t="n">
        <x:f>H1722*'Assumptions'!$R$80*'Assumptions'!$D$11*(1+'Assumptions'!$D$13)^(14-1)</x:f>
        <x:v>0</x:v>
      </x:c>
      <x:c r="Q1722" s="10" t="n">
        <x:f>J1722*'Assumptions'!$S$80</x:f>
        <x:v>0</x:v>
      </x:c>
      <x:c r="R1722" s="10" t="n">
        <x:f>H1722*'Assumptions'!$Y$80*'Assumptions'!$Z$80*'Assumptions'!$D$11*(1+'Assumptions'!$D$13)^(14-1)</x:f>
        <x:v>1194.8589712546818</x:v>
      </x:c>
      <x:c r="S1722" s="10" t="n">
        <x:f>IF(I1722=0,0,J1722*'Assumptions'!$W$80+H1722*'Assumptions'!$X$80)</x:f>
        <x:v>376.4236492764432</x:v>
      </x:c>
      <x:c r="T1722" s="10" t="n">
        <x:f>N1722*'Assumptions'!$AA$80</x:f>
        <x:v>493.46169050519256</x:v>
      </x:c>
      <x:c r="U1722" s="10" t="n">
        <x:f>'Assumptions'!$AE$80*'Assumptions'!$D$11*(1+'Assumptions'!$D$13)^(14-1)</x:f>
        <x:v>0</x:v>
      </x:c>
      <x:c r="V1722" s="10" t="n">
        <x:f>0</x:f>
        <x:v>0</x:v>
      </x:c>
      <x:c r="W1722" s="10" t="n">
        <x:f>H1722*('Assumptions'!$P$80+'Assumptions'!$Y$80)</x:f>
        <x:v>67.80340146489542</x:v>
      </x:c>
      <x:c r="X1722" s="10" t="n">
        <x:f>N1722/12*'Assumptions'!$AF$80</x:f>
        <x:v>0</x:v>
      </x:c>
      <x:c r="Y1722" s="10" t="n">
        <x:f>P1722/12</x:f>
        <x:v>0</x:v>
      </x:c>
      <x:c r="Z1722" s="10" t="n">
        <x:f>0</x:f>
        <x:v>0</x:v>
      </x:c>
      <x:c r="AA1722" s="10" t="n">
        <x:f>Z1722*'Assumptions'!$AC$80*'Assumptions'!$D$11*(1+'Assumptions'!$D$13)^(14-1)</x:f>
        <x:v>0</x:v>
      </x:c>
      <x:c r="AB1722" s="10" t="n">
        <x:f>F1722/1</x:f>
        <x:v>205.3850808014773</x:v>
      </x:c>
      <x:c r="AC1722" s="10" t="n">
        <x:f>AB1722/'Assumptions'!$AM$80</x:f>
        <x:v>4107.701616029546</x:v>
      </x:c>
      <x:c r="AD1722" s="10" t="n">
        <x:f>IF(AB1722=0,0,T1722/AB1722)</x:f>
        <x:v>2.4026170186244764</x:v>
      </x:c>
      <x:c r="AE1722" s="10" t="n">
        <x:f>AA1722*'Assumptions'!$D$21</x:f>
        <x:v>0</x:v>
      </x:c>
    </x:row>
    <x:row r="1723" ht="16" customHeight="1">
      <x:c r="A1723" s="1"/>
      <x:c r="B1723" s="1"/>
      <x:c r="C1723" s="1" t="str">
        <x:v>DOT-052</x:v>
      </x:c>
      <x:c r="D1723" s="10" t="str">
        <x:v>LavaLearning Model Life</x:v>
      </x:c>
      <x:c r="E1723" s="10" t="n">
        <x:v>14</x:v>
      </x:c>
      <x:c r="F1723" s="21" t="n">
        <x:f>F1595*(1+'Assumptions'!$M$81)</x:f>
        <x:v>0</x:v>
      </x:c>
      <x:c r="G1723" s="21" t="n">
        <x:f>H1595*'Assumptions'!$K$81</x:f>
        <x:v>0</x:v>
      </x:c>
      <x:c r="H1723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1723+G1723,NA())</x:f>
        <x:v>0</x:v>
      </x:c>
      <x:c r="I1723" s="22" t="n">
        <x:f>'Assumptions'!$H$81*IF('Assumptions'!$O$81=1,1,'Assumptions'!$D$10)*(1+'Assumptions'!$N$81)^(14-1)</x:f>
        <x:v>0</x:v>
      </x:c>
      <x:c r="J1723" s="10" t="n">
        <x:f>H1723*I1723</x:f>
        <x:v>0</x:v>
      </x:c>
      <x:c r="K1723" s="10" t="n">
        <x:f>J1723*'Assumptions'!$T$81</x:f>
        <x:v>0</x:v>
      </x:c>
      <x:c r="L1723" s="10" t="n">
        <x:f>K1723*'Assumptions'!$U$81</x:f>
        <x:v>0</x:v>
      </x:c>
      <x:c r="M1723" s="10" t="n">
        <x:f>K1723*'Assumptions'!$V$81</x:f>
        <x:v>0</x:v>
      </x:c>
      <x:c r="N1723" s="10" t="n">
        <x:f>K1723-L1723-M1723</x:f>
        <x:v>0</x:v>
      </x:c>
      <x:c r="O1723" s="10" t="n">
        <x:f>H1723*'Assumptions'!$P$81*'Assumptions'!$Q$81*'Assumptions'!$D$11*(1+'Assumptions'!$D$13)^(14-1)</x:f>
        <x:v>0</x:v>
      </x:c>
      <x:c r="P1723" s="10" t="n">
        <x:f>H1723*'Assumptions'!$R$81*'Assumptions'!$D$11*(1+'Assumptions'!$D$13)^(14-1)</x:f>
        <x:v>0</x:v>
      </x:c>
      <x:c r="Q1723" s="10" t="n">
        <x:f>J1723*'Assumptions'!$S$81</x:f>
        <x:v>0</x:v>
      </x:c>
      <x:c r="R1723" s="10" t="n">
        <x:f>H1723*'Assumptions'!$Y$81*'Assumptions'!$Z$81*'Assumptions'!$D$11*(1+'Assumptions'!$D$13)^(14-1)</x:f>
        <x:v>0</x:v>
      </x:c>
      <x:c r="S1723" s="10" t="n">
        <x:f>IF(I1723=0,0,J1723*'Assumptions'!$W$81+H1723*'Assumptions'!$X$81)</x:f>
        <x:v>0</x:v>
      </x:c>
      <x:c r="T1723" s="10" t="n">
        <x:f>N1723*'Assumptions'!$AA$81</x:f>
        <x:v>0</x:v>
      </x:c>
      <x:c r="U1723" s="10" t="n">
        <x:f>'Assumptions'!$AE$81*'Assumptions'!$D$11*(1+'Assumptions'!$D$13)^(14-1)</x:f>
        <x:v>0</x:v>
      </x:c>
      <x:c r="V1723" s="10" t="n">
        <x:f>0</x:f>
        <x:v>0</x:v>
      </x:c>
      <x:c r="W1723" s="10" t="n">
        <x:f>H1723*('Assumptions'!$P$81+'Assumptions'!$Y$81)</x:f>
        <x:v>0</x:v>
      </x:c>
      <x:c r="X1723" s="10" t="n">
        <x:f>N1723/12*'Assumptions'!$AF$81</x:f>
        <x:v>0</x:v>
      </x:c>
      <x:c r="Y1723" s="10" t="n">
        <x:f>P1723/12</x:f>
        <x:v>0</x:v>
      </x:c>
      <x:c r="Z1723" s="10" t="n">
        <x:f>0</x:f>
        <x:v>0</x:v>
      </x:c>
      <x:c r="AA1723" s="10" t="n">
        <x:f>Z1723*'Assumptions'!$AC$81*'Assumptions'!$D$11*(1+'Assumptions'!$D$13)^(14-1)</x:f>
        <x:v>0</x:v>
      </x:c>
      <x:c r="AB1723" s="10" t="n">
        <x:f>F1723/1</x:f>
        <x:v>0</x:v>
      </x:c>
      <x:c r="AC1723" s="10" t="n">
        <x:f>AB1723/'Assumptions'!$AM$81</x:f>
        <x:v>0</x:v>
      </x:c>
      <x:c r="AD1723" s="10" t="n">
        <x:f>IF(AB1723=0,0,T1723/AB1723)</x:f>
        <x:v>0</x:v>
      </x:c>
      <x:c r="AE1723" s="10" t="n">
        <x:f>AA1723*'Assumptions'!$D$21</x:f>
        <x:v>0</x:v>
      </x:c>
    </x:row>
    <x:row r="1724" ht="16" customHeight="1">
      <x:c r="A1724" s="1"/>
      <x:c r="B1724" s="1"/>
      <x:c r="C1724" s="1" t="str">
        <x:v>DOT-053</x:v>
      </x:c>
      <x:c r="D1724" s="10" t="str">
        <x:v>LavaLearning Kids</x:v>
      </x:c>
      <x:c r="E1724" s="10" t="n">
        <x:v>14</x:v>
      </x:c>
      <x:c r="F1724" s="21" t="n">
        <x:f>F1596*(1+'Assumptions'!$M$82)</x:f>
        <x:v>1026.9254040073865</x:v>
      </x:c>
      <x:c r="G1724" s="21" t="n">
        <x:f>H1596*'Assumptions'!$K$82</x:f>
        <x:v>329.142625290522</x:v>
      </x:c>
      <x:c r="H1724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1724+G1724,NA())</x:f>
        <x:v>1356.0680292979087</x:v>
      </x:c>
      <x:c r="I1724" s="22" t="n">
        <x:f>'Assumptions'!$H$82*IF('Assumptions'!$O$82=1,1,'Assumptions'!$D$10)*(1+'Assumptions'!$N$82)^(14-1)</x:f>
        <x:v>24.578525978622135</x:v>
      </x:c>
      <x:c r="J1724" s="10" t="n">
        <x:f>H1724*I1724</x:f>
        <x:v>33330.15328687757</x:v>
      </x:c>
      <x:c r="K1724" s="10" t="n">
        <x:f>J1724*'Assumptions'!$T$82</x:f>
        <x:v>33330.15328687757</x:v>
      </x:c>
      <x:c r="L1724" s="10" t="n">
        <x:f>K1724*'Assumptions'!$U$82</x:f>
        <x:v>999.904598606327</x:v>
      </x:c>
      <x:c r="M1724" s="10" t="n">
        <x:f>K1724*'Assumptions'!$V$82</x:f>
        <x:v>0</x:v>
      </x:c>
      <x:c r="N1724" s="10" t="n">
        <x:f>K1724-L1724-M1724</x:f>
        <x:v>32330.24868827124</x:v>
      </x:c>
      <x:c r="O1724" s="10" t="n">
        <x:f>H1724*'Assumptions'!$P$82*'Assumptions'!$Q$82*'Assumptions'!$D$11*(1+'Assumptions'!$D$13)^(14-1)</x:f>
        <x:v>10455.015998478466</x:v>
      </x:c>
      <x:c r="P1724" s="10" t="n">
        <x:f>H1724*'Assumptions'!$R$82*'Assumptions'!$D$11*(1+'Assumptions'!$D$13)^(14-1)</x:f>
        <x:v>0</x:v>
      </x:c>
      <x:c r="Q1724" s="10" t="n">
        <x:f>J1724*'Assumptions'!$S$82</x:f>
        <x:v>0</x:v>
      </x:c>
      <x:c r="R1724" s="10" t="n">
        <x:f>H1724*'Assumptions'!$Y$82*'Assumptions'!$Z$82*'Assumptions'!$D$11*(1+'Assumptions'!$D$13)^(14-1)</x:f>
        <x:v>5974.294856273409</x:v>
      </x:c>
      <x:c r="S1724" s="10" t="n">
        <x:f>IF(I1724=0,0,J1724*'Assumptions'!$W$82+H1724*'Assumptions'!$X$82)</x:f>
        <x:v>1373.394854108822</x:v>
      </x:c>
      <x:c r="T1724" s="10" t="n">
        <x:f>N1724*'Assumptions'!$AA$82</x:f>
        <x:v>1616.512434413562</x:v>
      </x:c>
      <x:c r="U1724" s="10" t="n">
        <x:f>'Assumptions'!$AE$82*'Assumptions'!$D$11*(1+'Assumptions'!$D$13)^(14-1)</x:f>
        <x:v>352.4480912283756</x:v>
      </x:c>
      <x:c r="V1724" s="10" t="n">
        <x:f>0</x:f>
        <x:v>0</x:v>
      </x:c>
      <x:c r="W1724" s="10" t="n">
        <x:f>H1724*('Assumptions'!$P$82+'Assumptions'!$Y$82)</x:f>
        <x:v>339.01700732447716</x:v>
      </x:c>
      <x:c r="X1724" s="10" t="n">
        <x:f>N1724/12*'Assumptions'!$AF$82</x:f>
        <x:v>0</x:v>
      </x:c>
      <x:c r="Y1724" s="10" t="n">
        <x:f>P1724/12</x:f>
        <x:v>0</x:v>
      </x:c>
      <x:c r="Z1724" s="10" t="n">
        <x:f>0</x:f>
        <x:v>0</x:v>
      </x:c>
      <x:c r="AA1724" s="10" t="n">
        <x:f>Z1724*'Assumptions'!$AC$82*'Assumptions'!$D$11*(1+'Assumptions'!$D$13)^(14-1)</x:f>
        <x:v>0</x:v>
      </x:c>
      <x:c r="AB1724" s="10" t="n">
        <x:f>F1724/1</x:f>
        <x:v>1026.9254040073865</x:v>
      </x:c>
      <x:c r="AC1724" s="10" t="n">
        <x:f>AB1724/'Assumptions'!$AM$82</x:f>
        <x:v>20538.50808014773</x:v>
      </x:c>
      <x:c r="AD1724" s="10" t="n">
        <x:f>IF(AB1724=0,0,T1724/AB1724)</x:f>
        <x:v>1.574128391512588</x:v>
      </x:c>
      <x:c r="AE1724" s="10" t="n">
        <x:f>AA1724*'Assumptions'!$D$21</x:f>
        <x:v>0</x:v>
      </x:c>
    </x:row>
    <x:row r="1725" ht="16" customHeight="1">
      <x:c r="A1725" s="1"/>
      <x:c r="B1725" s="1"/>
      <x:c r="C1725" s="1" t="str">
        <x:v>DOT-054</x:v>
      </x:c>
      <x:c r="D1725" s="10" t="str">
        <x:v>VraiSkill adult</x:v>
      </x:c>
      <x:c r="E1725" s="10" t="n">
        <x:v>14</x:v>
      </x:c>
      <x:c r="F1725" s="21" t="n">
        <x:f>F1597*(1+'Assumptions'!$M$83)</x:f>
        <x:v>2053.850808014773</x:v>
      </x:c>
      <x:c r="G1725" s="21" t="n">
        <x:f>H1597*'Assumptions'!$K$83</x:f>
        <x:v>658.2852550513924</x:v>
      </x:c>
      <x:c r="H1725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1725+G1725,NA())</x:f>
        <x:v>2712.1360630661657</x:v>
      </x:c>
      <x:c r="I1725" s="22" t="n">
        <x:f>'Assumptions'!$H$83*IF('Assumptions'!$O$83=1,1,'Assumptions'!$D$10)*(1+'Assumptions'!$N$83)^(14-1)</x:f>
        <x:v>12.923130238233428</x:v>
      </x:c>
      <x:c r="J1725" s="10" t="n">
        <x:f>H1725*I1725</x:f>
        <x:v>35049.28756681373</x:v>
      </x:c>
      <x:c r="K1725" s="10" t="n">
        <x:f>J1725*'Assumptions'!$T$83</x:f>
        <x:v>35049.28756681373</x:v>
      </x:c>
      <x:c r="L1725" s="10" t="n">
        <x:f>K1725*'Assumptions'!$U$83</x:f>
        <x:v>1051.4786270044117</x:v>
      </x:c>
      <x:c r="M1725" s="10" t="n">
        <x:f>K1725*'Assumptions'!$V$83</x:f>
        <x:v>0</x:v>
      </x:c>
      <x:c r="N1725" s="10" t="n">
        <x:f>K1725-L1725-M1725</x:f>
        <x:v>33997.808939809314</x:v>
      </x:c>
      <x:c r="O1725" s="10" t="n">
        <x:f>H1725*'Assumptions'!$P$83*'Assumptions'!$Q$83*'Assumptions'!$D$11*(1+'Assumptions'!$D$13)^(14-1)</x:f>
        <x:v>20910.032031422434</x:v>
      </x:c>
      <x:c r="P1725" s="10" t="n">
        <x:f>H1725*'Assumptions'!$R$83*'Assumptions'!$D$11*(1+'Assumptions'!$D$13)^(14-1)</x:f>
        <x:v>0</x:v>
      </x:c>
      <x:c r="Q1725" s="10" t="n">
        <x:f>J1725*'Assumptions'!$S$83</x:f>
        <x:v>0</x:v>
      </x:c>
      <x:c r="R1725" s="10" t="n">
        <x:f>H1725*'Assumptions'!$Y$83*'Assumptions'!$Z$83*'Assumptions'!$D$11*(1+'Assumptions'!$D$13)^(14-1)</x:f>
        <x:v>11948.589732241391</x:v>
      </x:c>
      <x:c r="S1725" s="10" t="n">
        <x:f>IF(I1725=0,0,J1725*'Assumptions'!$W$83+H1725*'Assumptions'!$X$83)</x:f>
        <x:v>1830.0701583574478</x:v>
      </x:c>
      <x:c r="T1725" s="10" t="n">
        <x:f>N1725*'Assumptions'!$AA$83</x:f>
        <x:v>1699.8904469904658</x:v>
      </x:c>
      <x:c r="U1725" s="10" t="n">
        <x:f>'Assumptions'!$AE$83*'Assumptions'!$D$11*(1+'Assumptions'!$D$13)^(14-1)</x:f>
        <x:v>352.4480912283756</x:v>
      </x:c>
      <x:c r="V1725" s="10" t="n">
        <x:f>0</x:f>
        <x:v>0</x:v>
      </x:c>
      <x:c r="W1725" s="10" t="n">
        <x:f>H1725*('Assumptions'!$P$83+'Assumptions'!$Y$83)</x:f>
        <x:v>678.0340157665414</x:v>
      </x:c>
      <x:c r="X1725" s="10" t="n">
        <x:f>N1725/12*'Assumptions'!$AF$83</x:f>
        <x:v>0</x:v>
      </x:c>
      <x:c r="Y1725" s="10" t="n">
        <x:f>P1725/12</x:f>
        <x:v>0</x:v>
      </x:c>
      <x:c r="Z1725" s="10" t="n">
        <x:f>0</x:f>
        <x:v>0</x:v>
      </x:c>
      <x:c r="AA1725" s="10" t="n">
        <x:f>Z1725*'Assumptions'!$AC$83*'Assumptions'!$D$11*(1+'Assumptions'!$D$13)^(14-1)</x:f>
        <x:v>0</x:v>
      </x:c>
      <x:c r="AB1725" s="10" t="n">
        <x:f>F1725/1</x:f>
        <x:v>2053.850808014773</x:v>
      </x:c>
      <x:c r="AC1725" s="10" t="n">
        <x:f>AB1725/'Assumptions'!$AM$83</x:f>
        <x:v>41077.01616029546</x:v>
      </x:c>
      <x:c r="AD1725" s="10" t="n">
        <x:f>IF(AB1725=0,0,T1725/AB1725)</x:f>
        <x:v>0.8276601398489888</x:v>
      </x:c>
      <x:c r="AE1725" s="10" t="n">
        <x:f>AA1725*'Assumptions'!$D$21</x:f>
        <x:v>0</x:v>
      </x:c>
    </x:row>
    <x:row r="1726" ht="16" customHeight="1">
      <x:c r="A1726" s="1"/>
      <x:c r="B1726" s="1"/>
      <x:c r="C1726" s="1" t="str">
        <x:v>DOT-055</x:v>
      </x:c>
      <x:c r="D1726" s="10" t="str">
        <x:v>VraiSkill adult</x:v>
      </x:c>
      <x:c r="E1726" s="10" t="n">
        <x:v>14</x:v>
      </x:c>
      <x:c r="F1726" s="21" t="n">
        <x:f>F1598*(1+'Assumptions'!$M$84)</x:f>
        <x:v>684.6169360049242</x:v>
      </x:c>
      <x:c r="G1726" s="21" t="n">
        <x:f>H1598*'Assumptions'!$K$84</x:f>
        <x:v>219.42841835046409</x:v>
      </x:c>
      <x:c r="H1726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1726+G1726,NA())</x:f>
        <x:v>904.0453543553883</x:v>
      </x:c>
      <x:c r="I1726" s="22" t="n">
        <x:f>'Assumptions'!$H$84*IF('Assumptions'!$O$84=1,1,'Assumptions'!$D$10)*(1+'Assumptions'!$N$84)^(14-1)</x:f>
        <x:v>31.04655913089112</x:v>
      </x:c>
      <x:c r="J1726" s="10" t="n">
        <x:f>H1726*I1726</x:f>
        <x:v>28067.49755100198</x:v>
      </x:c>
      <x:c r="K1726" s="10" t="n">
        <x:f>J1726*'Assumptions'!$T$84</x:f>
        <x:v>28067.49755100198</x:v>
      </x:c>
      <x:c r="L1726" s="10" t="n">
        <x:f>K1726*'Assumptions'!$U$84</x:f>
        <x:v>842.0249265300594</x:v>
      </x:c>
      <x:c r="M1726" s="10" t="n">
        <x:f>K1726*'Assumptions'!$V$84</x:f>
        <x:v>0</x:v>
      </x:c>
      <x:c r="N1726" s="10" t="n">
        <x:f>K1726-L1726-M1726</x:f>
        <x:v>27225.47262447192</x:v>
      </x:c>
      <x:c r="O1726" s="10" t="n">
        <x:f>H1726*'Assumptions'!$P$84*'Assumptions'!$Q$84*'Assumptions'!$D$11*(1+'Assumptions'!$D$13)^(14-1)</x:f>
        <x:v>6970.01067714081</x:v>
      </x:c>
      <x:c r="P1726" s="10" t="n">
        <x:f>H1726*'Assumptions'!$R$84*'Assumptions'!$D$11*(1+'Assumptions'!$D$13)^(14-1)</x:f>
        <x:v>0</x:v>
      </x:c>
      <x:c r="Q1726" s="10" t="n">
        <x:f>J1726*'Assumptions'!$S$84</x:f>
        <x:v>0</x:v>
      </x:c>
      <x:c r="R1726" s="10" t="n">
        <x:f>H1726*'Assumptions'!$Y$84*'Assumptions'!$Z$84*'Assumptions'!$D$11*(1+'Assumptions'!$D$13)^(14-1)</x:f>
        <x:v>3982.863244080462</x:v>
      </x:c>
      <x:c r="S1726" s="10" t="n">
        <x:f>IF(I1726=0,0,J1726*'Assumptions'!$W$84+H1726*'Assumptions'!$X$84)</x:f>
        <x:v>1085.171035285674</x:v>
      </x:c>
      <x:c r="T1726" s="10" t="n">
        <x:f>N1726*'Assumptions'!$AA$84</x:f>
        <x:v>1361.273631223596</x:v>
      </x:c>
      <x:c r="U1726" s="10" t="n">
        <x:f>'Assumptions'!$AE$84*'Assumptions'!$D$11*(1+'Assumptions'!$D$13)^(14-1)</x:f>
        <x:v>0</x:v>
      </x:c>
      <x:c r="V1726" s="10" t="n">
        <x:f>0</x:f>
        <x:v>0</x:v>
      </x:c>
      <x:c r="W1726" s="10" t="n">
        <x:f>H1726*('Assumptions'!$P$84+'Assumptions'!$Y$84)</x:f>
        <x:v>226.01133858884708</x:v>
      </x:c>
      <x:c r="X1726" s="10" t="n">
        <x:f>N1726/12*'Assumptions'!$AF$84</x:f>
        <x:v>0</x:v>
      </x:c>
      <x:c r="Y1726" s="10" t="n">
        <x:f>P1726/12</x:f>
        <x:v>0</x:v>
      </x:c>
      <x:c r="Z1726" s="10" t="n">
        <x:f>0</x:f>
        <x:v>0</x:v>
      </x:c>
      <x:c r="AA1726" s="10" t="n">
        <x:f>Z1726*'Assumptions'!$AC$84*'Assumptions'!$D$11*(1+'Assumptions'!$D$13)^(14-1)</x:f>
        <x:v>0</x:v>
      </x:c>
      <x:c r="AB1726" s="10" t="n">
        <x:f>F1726/1</x:f>
        <x:v>684.6169360049242</x:v>
      </x:c>
      <x:c r="AC1726" s="10" t="n">
        <x:f>AB1726/'Assumptions'!$AM$84</x:f>
        <x:v>13692.338720098483</x:v>
      </x:c>
      <x:c r="AD1726" s="10" t="n">
        <x:f>IF(AB1726=0,0,T1726/AB1726)</x:f>
        <x:v>1.9883727083459193</x:v>
      </x:c>
      <x:c r="AE1726" s="10" t="n">
        <x:f>AA1726*'Assumptions'!$D$21</x:f>
        <x:v>0</x:v>
      </x:c>
    </x:row>
    <x:row r="1727" ht="16" customHeight="1">
      <x:c r="A1727" s="1"/>
      <x:c r="B1727" s="1"/>
      <x:c r="C1727" s="1" t="str">
        <x:v>DOT-056</x:v>
      </x:c>
      <x:c r="D1727" s="10" t="str">
        <x:v>VraiSkill teen</x:v>
      </x:c>
      <x:c r="E1727" s="10" t="n">
        <x:v>14</x:v>
      </x:c>
      <x:c r="F1727" s="21" t="n">
        <x:f>F1599*(1+'Assumptions'!$M$85)</x:f>
        <x:v>684.6169360049242</x:v>
      </x:c>
      <x:c r="G1727" s="21" t="n">
        <x:f>H1599*'Assumptions'!$K$85</x:f>
        <x:v>219.42841686034797</x:v>
      </x:c>
      <x:c r="H1727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1727+G1727,NA())</x:f>
        <x:v>904.0453528652722</x:v>
      </x:c>
      <x:c r="I1727" s="22" t="n">
        <x:f>'Assumptions'!$H$85*IF('Assumptions'!$O$85=1,1,'Assumptions'!$D$10)*(1+'Assumptions'!$N$85)^(14-1)</x:f>
        <x:v>31.04655913089112</x:v>
      </x:c>
      <x:c r="J1727" s="10" t="n">
        <x:f>H1727*I1727</x:f>
        <x:v>28067.497504739</x:v>
      </x:c>
      <x:c r="K1727" s="10" t="n">
        <x:f>J1727*'Assumptions'!$T$85</x:f>
        <x:v>28067.497504739</x:v>
      </x:c>
      <x:c r="L1727" s="10" t="n">
        <x:f>K1727*'Assumptions'!$U$85</x:f>
        <x:v>842.02492514217</x:v>
      </x:c>
      <x:c r="M1727" s="10" t="n">
        <x:f>K1727*'Assumptions'!$V$85</x:f>
        <x:v>0</x:v>
      </x:c>
      <x:c r="N1727" s="10" t="n">
        <x:f>K1727-L1727-M1727</x:f>
        <x:v>27225.47257959683</x:v>
      </x:c>
      <x:c r="O1727" s="10" t="n">
        <x:f>H1727*'Assumptions'!$P$85*'Assumptions'!$Q$85*'Assumptions'!$D$11*(1+'Assumptions'!$D$13)^(14-1)</x:f>
        <x:v>6970.010665652309</x:v>
      </x:c>
      <x:c r="P1727" s="10" t="n">
        <x:f>H1727*'Assumptions'!$R$85*'Assumptions'!$D$11*(1+'Assumptions'!$D$13)^(14-1)</x:f>
        <x:v>0</x:v>
      </x:c>
      <x:c r="Q1727" s="10" t="n">
        <x:f>J1727*'Assumptions'!$S$85</x:f>
        <x:v>0</x:v>
      </x:c>
      <x:c r="R1727" s="10" t="n">
        <x:f>H1727*'Assumptions'!$Y$85*'Assumptions'!$Z$85*'Assumptions'!$D$11*(1+'Assumptions'!$D$13)^(14-1)</x:f>
        <x:v>3982.863237515605</x:v>
      </x:c>
      <x:c r="S1727" s="10" t="n">
        <x:f>IF(I1727=0,0,J1727*'Assumptions'!$W$85+H1727*'Assumptions'!$X$85)</x:f>
        <x:v>1085.1710334970126</x:v>
      </x:c>
      <x:c r="T1727" s="10" t="n">
        <x:f>N1727*'Assumptions'!$AA$85</x:f>
        <x:v>1361.2736289798415</x:v>
      </x:c>
      <x:c r="U1727" s="10" t="n">
        <x:f>'Assumptions'!$AE$85*'Assumptions'!$D$11*(1+'Assumptions'!$D$13)^(14-1)</x:f>
        <x:v>352.4480912283756</x:v>
      </x:c>
      <x:c r="V1727" s="10" t="n">
        <x:f>0</x:f>
        <x:v>0</x:v>
      </x:c>
      <x:c r="W1727" s="10" t="n">
        <x:f>H1727*('Assumptions'!$P$85+'Assumptions'!$Y$85)</x:f>
        <x:v>226.01133821631805</x:v>
      </x:c>
      <x:c r="X1727" s="10" t="n">
        <x:f>N1727/12*'Assumptions'!$AF$85</x:f>
        <x:v>0</x:v>
      </x:c>
      <x:c r="Y1727" s="10" t="n">
        <x:f>P1727/12</x:f>
        <x:v>0</x:v>
      </x:c>
      <x:c r="Z1727" s="10" t="n">
        <x:f>0</x:f>
        <x:v>0</x:v>
      </x:c>
      <x:c r="AA1727" s="10" t="n">
        <x:f>Z1727*'Assumptions'!$AC$85*'Assumptions'!$D$11*(1+'Assumptions'!$D$13)^(14-1)</x:f>
        <x:v>0</x:v>
      </x:c>
      <x:c r="AB1727" s="10" t="n">
        <x:f>F1727/1</x:f>
        <x:v>684.6169360049242</x:v>
      </x:c>
      <x:c r="AC1727" s="10" t="n">
        <x:f>AB1727/'Assumptions'!$AM$85</x:f>
        <x:v>13692.338720098483</x:v>
      </x:c>
      <x:c r="AD1727" s="10" t="n">
        <x:f>IF(AB1727=0,0,T1727/AB1727)</x:f>
        <x:v>1.9883727050685325</x:v>
      </x:c>
      <x:c r="AE1727" s="10" t="n">
        <x:f>AA1727*'Assumptions'!$D$21</x:f>
        <x:v>0</x:v>
      </x:c>
    </x:row>
    <x:row r="1728" ht="16" customHeight="1">
      <x:c r="A1728" s="1"/>
      <x:c r="B1728" s="1"/>
      <x:c r="C1728" s="1" t="str">
        <x:v>DOT-057</x:v>
      </x:c>
      <x:c r="D1728" s="10" t="str">
        <x:v>VraiSkill Model Life</x:v>
      </x:c>
      <x:c r="E1728" s="10" t="n">
        <x:v>14</x:v>
      </x:c>
      <x:c r="F1728" s="21" t="n">
        <x:f>F1600*(1+'Assumptions'!$M$86)</x:f>
        <x:v>0</x:v>
      </x:c>
      <x:c r="G1728" s="21" t="n">
        <x:f>H1600*'Assumptions'!$K$86</x:f>
        <x:v>0</x:v>
      </x:c>
      <x:c r="H1728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1728+G1728,NA())</x:f>
        <x:v>0</x:v>
      </x:c>
      <x:c r="I1728" s="22" t="n">
        <x:f>'Assumptions'!$H$86*IF('Assumptions'!$O$86=1,1,'Assumptions'!$D$10)*(1+'Assumptions'!$N$86)^(14-1)</x:f>
        <x:v>0</x:v>
      </x:c>
      <x:c r="J1728" s="10" t="n">
        <x:f>H1728*I1728</x:f>
        <x:v>0</x:v>
      </x:c>
      <x:c r="K1728" s="10" t="n">
        <x:f>J1728*'Assumptions'!$T$86</x:f>
        <x:v>0</x:v>
      </x:c>
      <x:c r="L1728" s="10" t="n">
        <x:f>K1728*'Assumptions'!$U$86</x:f>
        <x:v>0</x:v>
      </x:c>
      <x:c r="M1728" s="10" t="n">
        <x:f>K1728*'Assumptions'!$V$86</x:f>
        <x:v>0</x:v>
      </x:c>
      <x:c r="N1728" s="10" t="n">
        <x:f>K1728-L1728-M1728</x:f>
        <x:v>0</x:v>
      </x:c>
      <x:c r="O1728" s="10" t="n">
        <x:f>H1728*'Assumptions'!$P$86*'Assumptions'!$Q$86*'Assumptions'!$D$11*(1+'Assumptions'!$D$13)^(14-1)</x:f>
        <x:v>0</x:v>
      </x:c>
      <x:c r="P1728" s="10" t="n">
        <x:f>H1728*'Assumptions'!$R$86*'Assumptions'!$D$11*(1+'Assumptions'!$D$13)^(14-1)</x:f>
        <x:v>0</x:v>
      </x:c>
      <x:c r="Q1728" s="10" t="n">
        <x:f>J1728*'Assumptions'!$S$86</x:f>
        <x:v>0</x:v>
      </x:c>
      <x:c r="R1728" s="10" t="n">
        <x:f>H1728*'Assumptions'!$Y$86*'Assumptions'!$Z$86*'Assumptions'!$D$11*(1+'Assumptions'!$D$13)^(14-1)</x:f>
        <x:v>0</x:v>
      </x:c>
      <x:c r="S1728" s="10" t="n">
        <x:f>IF(I1728=0,0,J1728*'Assumptions'!$W$86+H1728*'Assumptions'!$X$86)</x:f>
        <x:v>0</x:v>
      </x:c>
      <x:c r="T1728" s="10" t="n">
        <x:f>N1728*'Assumptions'!$AA$86</x:f>
        <x:v>0</x:v>
      </x:c>
      <x:c r="U1728" s="10" t="n">
        <x:f>'Assumptions'!$AE$86*'Assumptions'!$D$11*(1+'Assumptions'!$D$13)^(14-1)</x:f>
        <x:v>0</x:v>
      </x:c>
      <x:c r="V1728" s="10" t="n">
        <x:f>0</x:f>
        <x:v>0</x:v>
      </x:c>
      <x:c r="W1728" s="10" t="n">
        <x:f>H1728*('Assumptions'!$P$86+'Assumptions'!$Y$86)</x:f>
        <x:v>0</x:v>
      </x:c>
      <x:c r="X1728" s="10" t="n">
        <x:f>N1728/12*'Assumptions'!$AF$86</x:f>
        <x:v>0</x:v>
      </x:c>
      <x:c r="Y1728" s="10" t="n">
        <x:f>P1728/12</x:f>
        <x:v>0</x:v>
      </x:c>
      <x:c r="Z1728" s="10" t="n">
        <x:f>0</x:f>
        <x:v>0</x:v>
      </x:c>
      <x:c r="AA1728" s="10" t="n">
        <x:f>Z1728*'Assumptions'!$AC$86*'Assumptions'!$D$11*(1+'Assumptions'!$D$13)^(14-1)</x:f>
        <x:v>0</x:v>
      </x:c>
      <x:c r="AB1728" s="10" t="n">
        <x:f>F1728/1</x:f>
        <x:v>0</x:v>
      </x:c>
      <x:c r="AC1728" s="10" t="n">
        <x:f>AB1728/'Assumptions'!$AM$86</x:f>
        <x:v>0</x:v>
      </x:c>
      <x:c r="AD1728" s="10" t="n">
        <x:f>IF(AB1728=0,0,T1728/AB1728)</x:f>
        <x:v>0</x:v>
      </x:c>
      <x:c r="AE1728" s="10" t="n">
        <x:f>AA1728*'Assumptions'!$D$21</x:f>
        <x:v>0</x:v>
      </x:c>
    </x:row>
    <x:row r="1729" ht="16" customHeight="1">
      <x:c r="A1729" s="1"/>
      <x:c r="B1729" s="1"/>
      <x:c r="C1729" s="1" t="str">
        <x:v>DOT-058</x:v>
      </x:c>
      <x:c r="D1729" s="10" t="str">
        <x:v>Model Life</x:v>
      </x:c>
      <x:c r="E1729" s="10" t="n">
        <x:v>14</x:v>
      </x:c>
      <x:c r="F1729" s="21" t="n">
        <x:f>F1601*(1+'Assumptions'!$M$87)</x:f>
        <x:v>389.60318505431843</x:v>
      </x:c>
      <x:c r="G1729" s="21" t="n">
        <x:f>H1601*'Assumptions'!$K$87</x:f>
        <x:v>816.7175889795833</x:v>
      </x:c>
      <x:c r="H1729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1729+G1729,NA())</x:f>
        <x:v>1206.3207740339017</x:v>
      </x:c>
      <x:c r="I1729" s="22" t="n">
        <x:f>'Assumptions'!$H$87*IF('Assumptions'!$O$87=1,1,'Assumptions'!$D$10)*(1+'Assumptions'!$N$87)^(14-1)</x:f>
        <x:v>19.404099456806946</x:v>
      </x:c>
      <x:c r="J1729" s="10" t="n">
        <x:f>H1729*I1729</x:f>
        <x:v>23407.568276166166</x:v>
      </x:c>
      <x:c r="K1729" s="10" t="n">
        <x:f>J1729*'Assumptions'!$T$87</x:f>
        <x:v>23407.568276166166</x:v>
      </x:c>
      <x:c r="L1729" s="10" t="n">
        <x:f>K1729*'Assumptions'!$U$87</x:f>
        <x:v>702.227048284985</x:v>
      </x:c>
      <x:c r="M1729" s="10" t="n">
        <x:f>K1729*'Assumptions'!$V$87</x:f>
        <x:v>0</x:v>
      </x:c>
      <x:c r="N1729" s="10" t="n">
        <x:f>K1729-L1729-M1729</x:f>
        <x:v>22705.34122788118</x:v>
      </x:c>
      <x:c r="O1729" s="10" t="n">
        <x:f>H1729*'Assumptions'!$P$87*'Assumptions'!$Q$87*'Assumptions'!$D$11*(1+'Assumptions'!$D$13)^(14-1)</x:f>
        <x:v>6200.3295406702</x:v>
      </x:c>
      <x:c r="P1729" s="10" t="n">
        <x:f>H1729*'Assumptions'!$R$87*'Assumptions'!$D$11*(1+'Assumptions'!$D$13)^(14-1)</x:f>
        <x:v>0</x:v>
      </x:c>
      <x:c r="Q1729" s="10" t="n">
        <x:f>J1729*'Assumptions'!$S$87</x:f>
        <x:v>0</x:v>
      </x:c>
      <x:c r="R1729" s="10" t="n">
        <x:f>H1729*'Assumptions'!$Y$87*'Assumptions'!$Z$87*'Assumptions'!$D$11*(1+'Assumptions'!$D$13)^(14-1)</x:f>
        <x:v>7971.852266575971</x:v>
      </x:c>
      <x:c r="S1729" s="10" t="n">
        <x:f>IF(I1729=0,0,J1729*'Assumptions'!$W$87+H1729*'Assumptions'!$X$87)</x:f>
        <x:v>1040.7157122189894</x:v>
      </x:c>
      <x:c r="T1729" s="10" t="n">
        <x:f>N1729*'Assumptions'!$AA$87</x:f>
        <x:v>1135.267061394059</x:v>
      </x:c>
      <x:c r="U1729" s="10" t="n">
        <x:f>'Assumptions'!$AE$87*'Assumptions'!$D$11*(1+'Assumptions'!$D$13)^(14-1)</x:f>
        <x:v>88.1120228070939</x:v>
      </x:c>
      <x:c r="V1729" s="10" t="n">
        <x:f>0</x:f>
        <x:v>0</x:v>
      </x:c>
      <x:c r="W1729" s="10" t="n">
        <x:f>H1729*('Assumptions'!$P$87+'Assumptions'!$Y$87)</x:f>
        <x:v>301.5801935084754</x:v>
      </x:c>
      <x:c r="X1729" s="10" t="n">
        <x:f>N1729/12*'Assumptions'!$AF$87</x:f>
        <x:v>0</x:v>
      </x:c>
      <x:c r="Y1729" s="10" t="n">
        <x:f>P1729/12</x:f>
        <x:v>0</x:v>
      </x:c>
      <x:c r="Z1729" s="10" t="n">
        <x:f>0</x:f>
        <x:v>0</x:v>
      </x:c>
      <x:c r="AA1729" s="10" t="n">
        <x:f>Z1729*'Assumptions'!$AC$87*'Assumptions'!$D$11*(1+'Assumptions'!$D$13)^(14-1)</x:f>
        <x:v>0</x:v>
      </x:c>
      <x:c r="AB1729" s="10" t="n">
        <x:f>F1729/12</x:f>
        <x:v>32.46693208785987</x:v>
      </x:c>
      <x:c r="AC1729" s="10" t="n">
        <x:f>AB1729/'Assumptions'!$AM$87</x:f>
        <x:v>649.3386417571973</x:v>
      </x:c>
      <x:c r="AD1729" s="10" t="n">
        <x:f>IF(AB1729=0,0,T1729/AB1729)</x:f>
        <x:v>34.966872087632865</x:v>
      </x:c>
      <x:c r="AE1729" s="10" t="n">
        <x:f>AA1729*'Assumptions'!$D$21</x:f>
        <x:v>0</x:v>
      </x:c>
    </x:row>
    <x:row r="1730" ht="16" customHeight="1">
      <x:c r="A1730" s="1"/>
      <x:c r="B1730" s="1"/>
      <x:c r="C1730" s="1" t="str">
        <x:v>DOT-059</x:v>
      </x:c>
      <x:c r="D1730" s="10" t="str">
        <x:v>Model Life</x:v>
      </x:c>
      <x:c r="E1730" s="10" t="n">
        <x:v>14</x:v>
      </x:c>
      <x:c r="F1730" s="21" t="n">
        <x:f>F1602*(1+'Assumptions'!$M$88)</x:f>
        <x:v>97.40079626357961</x:v>
      </x:c>
      <x:c r="G1730" s="21" t="n">
        <x:f>H1602*'Assumptions'!$K$88</x:f>
        <x:v>204.17939724489582</x:v>
      </x:c>
      <x:c r="H1730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1730+G1730,NA())</x:f>
        <x:v>301.5801935084754</x:v>
      </x:c>
      <x:c r="I1730" s="22" t="n">
        <x:f>'Assumptions'!$H$88*IF('Assumptions'!$O$88=1,1,'Assumptions'!$D$10)*(1+'Assumptions'!$N$88)^(14-1)</x:f>
        <x:v>102.19492380584992</x:v>
      </x:c>
      <x:c r="J1730" s="10" t="n">
        <x:f>H1730*I1730</x:f>
        <x:v>30819.964896952122</x:v>
      </x:c>
      <x:c r="K1730" s="10" t="n">
        <x:f>J1730*'Assumptions'!$T$88</x:f>
        <x:v>30819.964896952122</x:v>
      </x:c>
      <x:c r="L1730" s="10" t="n">
        <x:f>K1730*'Assumptions'!$U$88</x:f>
        <x:v>924.5989469085637</x:v>
      </x:c>
      <x:c r="M1730" s="10" t="n">
        <x:f>K1730*'Assumptions'!$V$88</x:f>
        <x:v>0</x:v>
      </x:c>
      <x:c r="N1730" s="10" t="n">
        <x:f>K1730-L1730-M1730</x:f>
        <x:v>29895.365950043557</x:v>
      </x:c>
      <x:c r="O1730" s="10" t="n">
        <x:f>H1730*'Assumptions'!$P$88*'Assumptions'!$Q$88*'Assumptions'!$D$11*(1+'Assumptions'!$D$13)^(14-1)</x:f>
        <x:v>1550.08238516755</x:v>
      </x:c>
      <x:c r="P1730" s="10" t="n">
        <x:f>H1730*'Assumptions'!$R$88*'Assumptions'!$D$11*(1+'Assumptions'!$D$13)^(14-1)</x:f>
        <x:v>0</x:v>
      </x:c>
      <x:c r="Q1730" s="10" t="n">
        <x:f>J1730*'Assumptions'!$S$88</x:f>
        <x:v>0</x:v>
      </x:c>
      <x:c r="R1730" s="10" t="n">
        <x:f>H1730*'Assumptions'!$Y$88*'Assumptions'!$Z$88*'Assumptions'!$D$11*(1+'Assumptions'!$D$13)^(14-1)</x:f>
        <x:v>1992.9630666439928</x:v>
      </x:c>
      <x:c r="S1730" s="10" t="n">
        <x:f>IF(I1730=0,0,J1730*'Assumptions'!$W$88+H1730*'Assumptions'!$X$88)</x:f>
        <x:v>984.2530400641542</x:v>
      </x:c>
      <x:c r="T1730" s="10" t="n">
        <x:f>N1730*'Assumptions'!$AA$88</x:f>
        <x:v>1494.768297502178</x:v>
      </x:c>
      <x:c r="U1730" s="10" t="n">
        <x:f>'Assumptions'!$AE$88*'Assumptions'!$D$11*(1+'Assumptions'!$D$13)^(14-1)</x:f>
        <x:v>88.1120228070939</x:v>
      </x:c>
      <x:c r="V1730" s="10" t="n">
        <x:f>0</x:f>
        <x:v>0</x:v>
      </x:c>
      <x:c r="W1730" s="10" t="n">
        <x:f>H1730*('Assumptions'!$P$88+'Assumptions'!$Y$88)</x:f>
        <x:v>75.39504837711885</x:v>
      </x:c>
      <x:c r="X1730" s="10" t="n">
        <x:f>N1730/12*'Assumptions'!$AF$88</x:f>
        <x:v>0</x:v>
      </x:c>
      <x:c r="Y1730" s="10" t="n">
        <x:f>P1730/12</x:f>
        <x:v>0</x:v>
      </x:c>
      <x:c r="Z1730" s="10" t="n">
        <x:f>0</x:f>
        <x:v>0</x:v>
      </x:c>
      <x:c r="AA1730" s="10" t="n">
        <x:f>Z1730*'Assumptions'!$AC$88*'Assumptions'!$D$11*(1+'Assumptions'!$D$13)^(14-1)</x:f>
        <x:v>0</x:v>
      </x:c>
      <x:c r="AB1730" s="10" t="n">
        <x:f>F1730/12</x:f>
        <x:v>8.116733021964967</x:v>
      </x:c>
      <x:c r="AC1730" s="10" t="n">
        <x:f>AB1730/'Assumptions'!$AM$88</x:f>
        <x:v>162.3346604392993</x:v>
      </x:c>
      <x:c r="AD1730" s="10" t="n">
        <x:f>IF(AB1730=0,0,T1730/AB1730)</x:f>
        <x:v>184.15885966153314</x:v>
      </x:c>
      <x:c r="AE1730" s="10" t="n">
        <x:f>AA1730*'Assumptions'!$D$21</x:f>
        <x:v>0</x:v>
      </x:c>
    </x:row>
    <x:row r="1731" ht="16" customHeight="1">
      <x:c r="A1731" s="1"/>
      <x:c r="B1731" s="1"/>
      <x:c r="C1731" s="1" t="str">
        <x:v>DOT-060</x:v>
      </x:c>
      <x:c r="D1731" s="10" t="str">
        <x:v>Model Life</x:v>
      </x:c>
      <x:c r="E1731" s="10" t="n">
        <x:v>14</x:v>
      </x:c>
      <x:c r="F1731" s="21" t="n">
        <x:f>F1603*(1+'Assumptions'!$M$89)</x:f>
        <x:v>97.40079626357961</x:v>
      </x:c>
      <x:c r="G1731" s="21" t="n">
        <x:f>H1603*'Assumptions'!$K$89</x:f>
        <x:v>204.17939724489582</x:v>
      </x:c>
      <x:c r="H1731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1731+G1731,NA())</x:f>
        <x:v>301.5801935084754</x:v>
      </x:c>
      <x:c r="I1731" s="22" t="n">
        <x:f>'Assumptions'!$H$89*IF('Assumptions'!$O$89=1,1,'Assumptions'!$D$10)*(1+'Assumptions'!$N$89)^(14-1)</x:f>
        <x:v>76.32279119677399</x:v>
      </x:c>
      <x:c r="J1731" s="10" t="n">
        <x:f>H1731*I1731</x:f>
        <x:v>23017.442138230064</x:v>
      </x:c>
      <x:c r="K1731" s="10" t="n">
        <x:f>J1731*'Assumptions'!$T$89</x:f>
        <x:v>23017.442138230064</x:v>
      </x:c>
      <x:c r="L1731" s="10" t="n">
        <x:f>K1731*'Assumptions'!$U$89</x:f>
        <x:v>690.5232641469019</x:v>
      </x:c>
      <x:c r="M1731" s="10" t="n">
        <x:f>K1731*'Assumptions'!$V$89</x:f>
        <x:v>0</x:v>
      </x:c>
      <x:c r="N1731" s="10" t="n">
        <x:f>K1731-L1731-M1731</x:f>
        <x:v>22326.918874083163</x:v>
      </x:c>
      <x:c r="O1731" s="10" t="n">
        <x:f>H1731*'Assumptions'!$P$89*'Assumptions'!$Q$89*'Assumptions'!$D$11*(1+'Assumptions'!$D$13)^(14-1)</x:f>
        <x:v>1550.08238516755</x:v>
      </x:c>
      <x:c r="P1731" s="10" t="n">
        <x:f>H1731*'Assumptions'!$R$89*'Assumptions'!$D$11*(1+'Assumptions'!$D$13)^(14-1)</x:f>
        <x:v>0</x:v>
      </x:c>
      <x:c r="Q1731" s="10" t="n">
        <x:f>J1731*'Assumptions'!$S$89</x:f>
        <x:v>0</x:v>
      </x:c>
      <x:c r="R1731" s="10" t="n">
        <x:f>H1731*'Assumptions'!$Y$89*'Assumptions'!$Z$89*'Assumptions'!$D$11*(1+'Assumptions'!$D$13)^(14-1)</x:f>
        <x:v>1992.9630666439928</x:v>
      </x:c>
      <x:c r="S1731" s="10" t="n">
        <x:f>IF(I1731=0,0,J1731*'Assumptions'!$W$89+H1731*'Assumptions'!$X$89)</x:f>
        <x:v>757.9798800612145</x:v>
      </x:c>
      <x:c r="T1731" s="10" t="n">
        <x:f>N1731*'Assumptions'!$AA$89</x:f>
        <x:v>1116.3459437041581</x:v>
      </x:c>
      <x:c r="U1731" s="10" t="n">
        <x:f>'Assumptions'!$AE$89*'Assumptions'!$D$11*(1+'Assumptions'!$D$13)^(14-1)</x:f>
        <x:v>88.1120228070939</x:v>
      </x:c>
      <x:c r="V1731" s="10" t="n">
        <x:f>0</x:f>
        <x:v>0</x:v>
      </x:c>
      <x:c r="W1731" s="10" t="n">
        <x:f>H1731*('Assumptions'!$P$89+'Assumptions'!$Y$89)</x:f>
        <x:v>75.39504837711885</x:v>
      </x:c>
      <x:c r="X1731" s="10" t="n">
        <x:f>N1731/12*'Assumptions'!$AF$89</x:f>
        <x:v>0</x:v>
      </x:c>
      <x:c r="Y1731" s="10" t="n">
        <x:f>P1731/12</x:f>
        <x:v>0</x:v>
      </x:c>
      <x:c r="Z1731" s="10" t="n">
        <x:f>0</x:f>
        <x:v>0</x:v>
      </x:c>
      <x:c r="AA1731" s="10" t="n">
        <x:f>Z1731*'Assumptions'!$AC$89*'Assumptions'!$D$11*(1+'Assumptions'!$D$13)^(14-1)</x:f>
        <x:v>0</x:v>
      </x:c>
      <x:c r="AB1731" s="10" t="n">
        <x:f>F1731/12</x:f>
        <x:v>8.116733021964967</x:v>
      </x:c>
      <x:c r="AC1731" s="10" t="n">
        <x:f>AB1731/'Assumptions'!$AM$89</x:f>
        <x:v>162.3346604392993</x:v>
      </x:c>
      <x:c r="AD1731" s="10" t="n">
        <x:f>IF(AB1731=0,0,T1731/AB1731)</x:f>
        <x:v>137.5363635446893</x:v>
      </x:c>
      <x:c r="AE1731" s="10" t="n">
        <x:f>AA1731*'Assumptions'!$D$21</x:f>
        <x:v>0</x:v>
      </x:c>
    </x:row>
    <x:row r="1732" ht="16" customHeight="1">
      <x:c r="A1732" s="1"/>
      <x:c r="B1732" s="1"/>
      <x:c r="C1732" s="1" t="str">
        <x:v>DOT-061</x:v>
      </x:c>
      <x:c r="D1732" s="10" t="str">
        <x:v>Model Life</x:v>
      </x:c>
      <x:c r="E1732" s="10" t="n">
        <x:v>14</x:v>
      </x:c>
      <x:c r="F1732" s="21" t="n">
        <x:f>F1604*(1+'Assumptions'!$M$90)</x:f>
        <x:v>48.700398131789804</x:v>
      </x:c>
      <x:c r="G1732" s="21" t="n">
        <x:f>H1604*'Assumptions'!$K$90</x:f>
        <x:v>102.08969862244791</x:v>
      </x:c>
      <x:c r="H1732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1732+G1732,NA())</x:f>
        <x:v>150.7900967542377</x:v>
      </x:c>
      <x:c r="I1732" s="22" t="n">
        <x:f>'Assumptions'!$H$90*IF('Assumptions'!$O$90=1,1,'Assumptions'!$D$10)*(1+'Assumptions'!$N$90)^(14-1)</x:f>
        <x:v>128.06705641492584</x:v>
      </x:c>
      <x:c r="J1732" s="10" t="n">
        <x:f>H1732*I1732</x:f>
        <x:v>19311.243827837086</x:v>
      </x:c>
      <x:c r="K1732" s="10" t="n">
        <x:f>J1732*'Assumptions'!$T$90</x:f>
        <x:v>19311.243827837086</x:v>
      </x:c>
      <x:c r="L1732" s="10" t="n">
        <x:f>K1732*'Assumptions'!$U$90</x:f>
        <x:v>579.3373148351126</x:v>
      </x:c>
      <x:c r="M1732" s="10" t="n">
        <x:f>K1732*'Assumptions'!$V$90</x:f>
        <x:v>0</x:v>
      </x:c>
      <x:c r="N1732" s="10" t="n">
        <x:f>K1732-L1732-M1732</x:f>
        <x:v>18731.906513001974</x:v>
      </x:c>
      <x:c r="O1732" s="10" t="n">
        <x:f>H1732*'Assumptions'!$P$90*'Assumptions'!$Q$90*'Assumptions'!$D$11*(1+'Assumptions'!$D$13)^(14-1)</x:f>
        <x:v>775.041192583775</x:v>
      </x:c>
      <x:c r="P1732" s="10" t="n">
        <x:f>H1732*'Assumptions'!$R$90*'Assumptions'!$D$11*(1+'Assumptions'!$D$13)^(14-1)</x:f>
        <x:v>0</x:v>
      </x:c>
      <x:c r="Q1732" s="10" t="n">
        <x:f>J1732*'Assumptions'!$S$90</x:f>
        <x:v>0</x:v>
      </x:c>
      <x:c r="R1732" s="10" t="n">
        <x:f>H1732*'Assumptions'!$Y$90*'Assumptions'!$Z$90*'Assumptions'!$D$11*(1+'Assumptions'!$D$13)^(14-1)</x:f>
        <x:v>996.4815333219964</x:v>
      </x:c>
      <x:c r="S1732" s="10" t="n">
        <x:f>IF(I1732=0,0,J1732*'Assumptions'!$W$90+H1732*'Assumptions'!$X$90)</x:f>
        <x:v>605.2631000335468</x:v>
      </x:c>
      <x:c r="T1732" s="10" t="n">
        <x:f>N1732*'Assumptions'!$AA$90</x:f>
        <x:v>936.5953256500987</x:v>
      </x:c>
      <x:c r="U1732" s="10" t="n">
        <x:f>'Assumptions'!$AE$90*'Assumptions'!$D$11*(1+'Assumptions'!$D$13)^(14-1)</x:f>
        <x:v>88.1120228070939</x:v>
      </x:c>
      <x:c r="V1732" s="10" t="n">
        <x:f>0</x:f>
        <x:v>0</x:v>
      </x:c>
      <x:c r="W1732" s="10" t="n">
        <x:f>H1732*('Assumptions'!$P$90+'Assumptions'!$Y$90)</x:f>
        <x:v>37.69752418855943</x:v>
      </x:c>
      <x:c r="X1732" s="10" t="n">
        <x:f>N1732/12*'Assumptions'!$AF$90</x:f>
        <x:v>0</x:v>
      </x:c>
      <x:c r="Y1732" s="10" t="n">
        <x:f>P1732/12</x:f>
        <x:v>0</x:v>
      </x:c>
      <x:c r="Z1732" s="10" t="n">
        <x:f>0</x:f>
        <x:v>0</x:v>
      </x:c>
      <x:c r="AA1732" s="10" t="n">
        <x:f>Z1732*'Assumptions'!$AC$90*'Assumptions'!$D$11*(1+'Assumptions'!$D$13)^(14-1)</x:f>
        <x:v>0</x:v>
      </x:c>
      <x:c r="AB1732" s="10" t="n">
        <x:f>F1732/12</x:f>
        <x:v>4.058366510982483</x:v>
      </x:c>
      <x:c r="AC1732" s="10" t="n">
        <x:f>AB1732/'Assumptions'!$AM$90</x:f>
        <x:v>81.16733021964966</x:v>
      </x:c>
      <x:c r="AD1732" s="10" t="n">
        <x:f>IF(AB1732=0,0,T1732/AB1732)</x:f>
        <x:v>230.78135577837693</x:v>
      </x:c>
      <x:c r="AE1732" s="10" t="n">
        <x:f>AA1732*'Assumptions'!$D$21</x:f>
        <x:v>0</x:v>
      </x:c>
    </x:row>
    <x:row r="1733" ht="16" customHeight="1">
      <x:c r="A1733" s="1"/>
      <x:c r="B1733" s="1"/>
      <x:c r="C1733" s="1" t="str">
        <x:v>DOT-062</x:v>
      </x:c>
      <x:c r="D1733" s="10" t="str">
        <x:v>Model Life</x:v>
      </x:c>
      <x:c r="E1733" s="10" t="n">
        <x:v>14</x:v>
      </x:c>
      <x:c r="F1733" s="21" t="n">
        <x:f>F1605*(1+'Assumptions'!$M$91)</x:f>
        <x:v>48.700398131789804</x:v>
      </x:c>
      <x:c r="G1733" s="21" t="n">
        <x:f>H1605*'Assumptions'!$K$91</x:f>
        <x:v>102.08969862244791</x:v>
      </x:c>
      <x:c r="H1733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1733+G1733,NA())</x:f>
        <x:v>150.7900967542377</x:v>
      </x:c>
      <x:c r="I1733" s="22" t="n">
        <x:f>'Assumptions'!$H$91*IF('Assumptions'!$O$91=1,1,'Assumptions'!$D$10)*(1+'Assumptions'!$N$91)^(14-1)</x:f>
        <x:v>63.38672489223603</x:v>
      </x:c>
      <x:c r="J1733" s="10" t="n">
        <x:f>H1733*I1733</x:f>
        <x:v>9558.09037943452</x:v>
      </x:c>
      <x:c r="K1733" s="10" t="n">
        <x:f>J1733*'Assumptions'!$T$91</x:f>
        <x:v>9558.09037943452</x:v>
      </x:c>
      <x:c r="L1733" s="10" t="n">
        <x:f>K1733*'Assumptions'!$U$91</x:f>
        <x:v>286.74271138303556</x:v>
      </x:c>
      <x:c r="M1733" s="10" t="n">
        <x:f>K1733*'Assumptions'!$V$91</x:f>
        <x:v>0</x:v>
      </x:c>
      <x:c r="N1733" s="10" t="n">
        <x:f>K1733-L1733-M1733</x:f>
        <x:v>9271.347668051483</x:v>
      </x:c>
      <x:c r="O1733" s="10" t="n">
        <x:f>H1733*'Assumptions'!$P$91*'Assumptions'!$Q$91*'Assumptions'!$D$11*(1+'Assumptions'!$D$13)^(14-1)</x:f>
        <x:v>775.041192583775</x:v>
      </x:c>
      <x:c r="P1733" s="10" t="n">
        <x:f>H1733*'Assumptions'!$R$91*'Assumptions'!$D$11*(1+'Assumptions'!$D$13)^(14-1)</x:f>
        <x:v>0</x:v>
      </x:c>
      <x:c r="Q1733" s="10" t="n">
        <x:f>J1733*'Assumptions'!$S$91</x:f>
        <x:v>0</x:v>
      </x:c>
      <x:c r="R1733" s="10" t="n">
        <x:f>H1733*'Assumptions'!$Y$91*'Assumptions'!$Z$91*'Assumptions'!$D$11*(1+'Assumptions'!$D$13)^(14-1)</x:f>
        <x:v>996.4815333219964</x:v>
      </x:c>
      <x:c r="S1733" s="10" t="n">
        <x:f>IF(I1733=0,0,J1733*'Assumptions'!$W$91+H1733*'Assumptions'!$X$91)</x:f>
        <x:v>322.4216500298724</x:v>
      </x:c>
      <x:c r="T1733" s="10" t="n">
        <x:f>N1733*'Assumptions'!$AA$91</x:f>
        <x:v>463.5673834025742</x:v>
      </x:c>
      <x:c r="U1733" s="10" t="n">
        <x:f>'Assumptions'!$AE$91*'Assumptions'!$D$11*(1+'Assumptions'!$D$13)^(14-1)</x:f>
        <x:v>88.1120228070939</x:v>
      </x:c>
      <x:c r="V1733" s="10" t="n">
        <x:f>0</x:f>
        <x:v>0</x:v>
      </x:c>
      <x:c r="W1733" s="10" t="n">
        <x:f>H1733*('Assumptions'!$P$91+'Assumptions'!$Y$91)</x:f>
        <x:v>37.69752418855943</x:v>
      </x:c>
      <x:c r="X1733" s="10" t="n">
        <x:f>N1733/12*'Assumptions'!$AF$91</x:f>
        <x:v>0</x:v>
      </x:c>
      <x:c r="Y1733" s="10" t="n">
        <x:f>P1733/12</x:f>
        <x:v>0</x:v>
      </x:c>
      <x:c r="Z1733" s="10" t="n">
        <x:f>0</x:f>
        <x:v>0</x:v>
      </x:c>
      <x:c r="AA1733" s="10" t="n">
        <x:f>Z1733*'Assumptions'!$AC$91*'Assumptions'!$D$11*(1+'Assumptions'!$D$13)^(14-1)</x:f>
        <x:v>0</x:v>
      </x:c>
      <x:c r="AB1733" s="10" t="n">
        <x:f>F1733/12</x:f>
        <x:v>4.058366510982483</x:v>
      </x:c>
      <x:c r="AC1733" s="10" t="n">
        <x:f>AB1733/'Assumptions'!$AM$91</x:f>
        <x:v>81.16733021964966</x:v>
      </x:c>
      <x:c r="AD1733" s="10" t="n">
        <x:f>IF(AB1733=0,0,T1733/AB1733)</x:f>
        <x:v>114.22511548626738</x:v>
      </x:c>
      <x:c r="AE1733" s="10" t="n">
        <x:f>AA1733*'Assumptions'!$D$21</x:f>
        <x:v>0</x:v>
      </x:c>
    </x:row>
    <x:row r="1734" ht="16" customHeight="1">
      <x:c r="A1734" s="1"/>
      <x:c r="B1734" s="1"/>
      <x:c r="C1734" s="1" t="str">
        <x:v>DOT-063</x:v>
      </x:c>
      <x:c r="D1734" s="10" t="str">
        <x:v>S’otality cleaning</x:v>
      </x:c>
      <x:c r="E1734" s="10" t="n">
        <x:v>14</x:v>
      </x:c>
      <x:c r="F1734" s="21" t="n">
        <x:f>F1606*(1+'Assumptions'!$M$92)</x:f>
        <x:v>91.69528408533111</x:v>
      </x:c>
      <x:c r="G1734" s="21" t="n">
        <x:f>H1606*'Assumptions'!$K$92</x:f>
        <x:v>127.78818178290112</x:v>
      </x:c>
      <x:c r="H1734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1734+G1734,NA())</x:f>
        <x:v>219.48346586823223</x:v>
      </x:c>
      <x:c r="I1734" s="22" t="n">
        <x:f>'Assumptions'!$H$92*IF('Assumptions'!$O$92=1,1,'Assumptions'!$D$10)*(1+'Assumptions'!$N$92)^(14-1)</x:f>
        <x:v>192.74738793761568</x:v>
      </x:c>
      <x:c r="J1734" s="10" t="n">
        <x:f>H1734*I1734</x:f>
        <x:v>42304.86474159659</x:v>
      </x:c>
      <x:c r="K1734" s="10" t="n">
        <x:f>J1734*'Assumptions'!$T$92</x:f>
        <x:v>42304.86474159659</x:v>
      </x:c>
      <x:c r="L1734" s="10" t="n">
        <x:f>K1734*'Assumptions'!$U$92</x:f>
        <x:v>1269.1459422478977</x:v>
      </x:c>
      <x:c r="M1734" s="10" t="n">
        <x:f>K1734*'Assumptions'!$V$92</x:f>
        <x:v>0</x:v>
      </x:c>
      <x:c r="N1734" s="10" t="n">
        <x:f>K1734-L1734-M1734</x:f>
        <x:v>41035.718799348695</x:v>
      </x:c>
      <x:c r="O1734" s="10" t="n">
        <x:f>H1734*'Assumptions'!$P$92*'Assumptions'!$Q$92*'Assumptions'!$D$11*(1+'Assumptions'!$D$13)^(14-1)</x:f>
        <x:v>1128.1160421044322</x:v>
      </x:c>
      <x:c r="P1734" s="10" t="n">
        <x:f>H1734*'Assumptions'!$R$92*'Assumptions'!$D$11*(1+'Assumptions'!$D$13)^(14-1)</x:f>
        <x:v>2578.550953381559</x:v>
      </x:c>
      <x:c r="Q1734" s="10" t="n">
        <x:f>J1734*'Assumptions'!$S$92</x:f>
        <x:v>27498.162082037783</x:v>
      </x:c>
      <x:c r="R1734" s="10" t="n">
        <x:f>H1734*'Assumptions'!$Y$92*'Assumptions'!$Z$92*'Assumptions'!$D$11*(1+'Assumptions'!$D$13)^(14-1)</x:f>
        <x:v>1933.9132150361693</x:v>
      </x:c>
      <x:c r="S1734" s="10" t="n">
        <x:f>IF(I1734=0,0,J1734*'Assumptions'!$W$92+H1734*'Assumptions'!$X$92)</x:f>
        <x:v>1292.686117266771</x:v>
      </x:c>
      <x:c r="T1734" s="10" t="n">
        <x:f>N1734*'Assumptions'!$AA$92</x:f>
        <x:v>1641.4287519739478</x:v>
      </x:c>
      <x:c r="U1734" s="10" t="n">
        <x:f>'Assumptions'!$AE$92*'Assumptions'!$D$11*(1+'Assumptions'!$D$13)^(14-1)</x:f>
        <x:v>0</x:v>
      </x:c>
      <x:c r="V1734" s="10" t="n">
        <x:f>0</x:f>
        <x:v>0</x:v>
      </x:c>
      <x:c r="W1734" s="10" t="n">
        <x:f>H1734*('Assumptions'!$P$92+'Assumptions'!$Y$92)</x:f>
        <x:v>65.84503976046967</x:v>
      </x:c>
      <x:c r="X1734" s="10" t="n">
        <x:f>N1734/12*'Assumptions'!$AF$92</x:f>
        <x:v>0</x:v>
      </x:c>
      <x:c r="Y1734" s="10" t="n">
        <x:f>P1734/12</x:f>
        <x:v>214.87924611512992</x:v>
      </x:c>
      <x:c r="Z1734" s="10" t="n">
        <x:f>0</x:f>
        <x:v>0</x:v>
      </x:c>
      <x:c r="AA1734" s="10" t="n">
        <x:f>Z1734*'Assumptions'!$AC$92*'Assumptions'!$D$11*(1+'Assumptions'!$D$13)^(14-1)</x:f>
        <x:v>0</x:v>
      </x:c>
      <x:c r="AB1734" s="10" t="n">
        <x:f>F1734/1</x:f>
        <x:v>91.69528408533111</x:v>
      </x:c>
      <x:c r="AC1734" s="10" t="n">
        <x:f>AB1734/'Assumptions'!$AM$92</x:f>
        <x:v>611.3018939022074</x:v>
      </x:c>
      <x:c r="AD1734" s="10" t="n">
        <x:f>IF(AB1734=0,0,T1734/AB1734)</x:f>
        <x:v>17.90090699153561</x:v>
      </x:c>
      <x:c r="AE1734" s="10" t="n">
        <x:f>AA1734*'Assumptions'!$D$21</x:f>
        <x:v>0</x:v>
      </x:c>
    </x:row>
    <x:row r="1735" ht="16" customHeight="1">
      <x:c r="A1735" s="1"/>
      <x:c r="B1735" s="1"/>
      <x:c r="C1735" s="1" t="str">
        <x:v>DOT-064</x:v>
      </x:c>
      <x:c r="D1735" s="10" t="str">
        <x:v>S’otality cleaning</x:v>
      </x:c>
      <x:c r="E1735" s="10" t="n">
        <x:v>14</x:v>
      </x:c>
      <x:c r="F1735" s="21" t="n">
        <x:f>F1607*(1+'Assumptions'!$M$93)</x:f>
        <x:v>137.5429261279966</x:v>
      </x:c>
      <x:c r="G1735" s="21" t="n">
        <x:f>H1607*'Assumptions'!$K$93</x:f>
        <x:v>191.6822726743516</x:v>
      </x:c>
      <x:c r="H1735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1735+G1735,NA())</x:f>
        <x:v>329.2251988023482</x:v>
      </x:c>
      <x:c r="I1735" s="22" t="n">
        <x:f>'Assumptions'!$H$93*IF('Assumptions'!$O$93=1,1,'Assumptions'!$D$10)*(1+'Assumptions'!$N$93)^(14-1)</x:f>
        <x:v>179.8113216330777</x:v>
      </x:c>
      <x:c r="J1735" s="10" t="n">
        <x:f>H1735*I1735</x:f>
        <x:v>59198.41811156298</x:v>
      </x:c>
      <x:c r="K1735" s="10" t="n">
        <x:f>J1735*'Assumptions'!$T$93</x:f>
        <x:v>59198.41811156298</x:v>
      </x:c>
      <x:c r="L1735" s="10" t="n">
        <x:f>K1735*'Assumptions'!$U$93</x:f>
        <x:v>1775.9525433468893</x:v>
      </x:c>
      <x:c r="M1735" s="10" t="n">
        <x:f>K1735*'Assumptions'!$V$93</x:f>
        <x:v>0</x:v>
      </x:c>
      <x:c r="N1735" s="10" t="n">
        <x:f>K1735-L1735-M1735</x:f>
        <x:v>57422.465568216096</x:v>
      </x:c>
      <x:c r="O1735" s="10" t="n">
        <x:f>H1735*'Assumptions'!$P$93*'Assumptions'!$Q$93*'Assumptions'!$D$11*(1+'Assumptions'!$D$13)^(14-1)</x:f>
        <x:v>1692.1740631566477</x:v>
      </x:c>
      <x:c r="P1735" s="10" t="n">
        <x:f>H1735*'Assumptions'!$R$93*'Assumptions'!$D$11*(1+'Assumptions'!$D$13)^(14-1)</x:f>
        <x:v>3867.8264300723363</x:v>
      </x:c>
      <x:c r="Q1735" s="10" t="n">
        <x:f>J1735*'Assumptions'!$S$93</x:f>
        <x:v>38478.97177251594</x:v>
      </x:c>
      <x:c r="R1735" s="10" t="n">
        <x:f>H1735*'Assumptions'!$Y$93*'Assumptions'!$Z$93*'Assumptions'!$D$11*(1+'Assumptions'!$D$13)^(14-1)</x:f>
        <x:v>2900.869822554253</x:v>
      </x:c>
      <x:c r="S1735" s="10" t="n">
        <x:f>IF(I1735=0,0,J1735*'Assumptions'!$W$93+H1735*'Assumptions'!$X$93)</x:f>
        <x:v>1815.521684876031</x:v>
      </x:c>
      <x:c r="T1735" s="10" t="n">
        <x:f>N1735*'Assumptions'!$AA$93</x:f>
        <x:v>2296.8986227286437</x:v>
      </x:c>
      <x:c r="U1735" s="10" t="n">
        <x:f>'Assumptions'!$AE$93*'Assumptions'!$D$11*(1+'Assumptions'!$D$13)^(14-1)</x:f>
        <x:v>0</x:v>
      </x:c>
      <x:c r="V1735" s="10" t="n">
        <x:f>0</x:f>
        <x:v>0</x:v>
      </x:c>
      <x:c r="W1735" s="10" t="n">
        <x:f>H1735*('Assumptions'!$P$93+'Assumptions'!$Y$93)</x:f>
        <x:v>98.76755964070448</x:v>
      </x:c>
      <x:c r="X1735" s="10" t="n">
        <x:f>N1735/12*'Assumptions'!$AF$93</x:f>
        <x:v>0</x:v>
      </x:c>
      <x:c r="Y1735" s="10" t="n">
        <x:f>P1735/12</x:f>
        <x:v>322.3188691726947</x:v>
      </x:c>
      <x:c r="Z1735" s="10" t="n">
        <x:f>0</x:f>
        <x:v>0</x:v>
      </x:c>
      <x:c r="AA1735" s="10" t="n">
        <x:f>Z1735*'Assumptions'!$AC$93*'Assumptions'!$D$11*(1+'Assumptions'!$D$13)^(14-1)</x:f>
        <x:v>0</x:v>
      </x:c>
      <x:c r="AB1735" s="10" t="n">
        <x:f>F1735/1</x:f>
        <x:v>137.5429261279966</x:v>
      </x:c>
      <x:c r="AC1735" s="10" t="n">
        <x:f>AB1735/'Assumptions'!$AM$93</x:f>
        <x:v>916.9528408533107</x:v>
      </x:c>
      <x:c r="AD1735" s="10" t="n">
        <x:f>IF(AB1735=0,0,T1735/AB1735)</x:f>
        <x:v>16.699503837741275</x:v>
      </x:c>
      <x:c r="AE1735" s="10" t="n">
        <x:f>AA1735*'Assumptions'!$D$21</x:f>
        <x:v>0</x:v>
      </x:c>
    </x:row>
    <x:row r="1736" ht="16" customHeight="1">
      <x:c r="A1736" s="1"/>
      <x:c r="B1736" s="1"/>
      <x:c r="C1736" s="1" t="str">
        <x:v>DOT-065</x:v>
      </x:c>
      <x:c r="D1736" s="10" t="str">
        <x:v>S’otality cleaning</x:v>
      </x:c>
      <x:c r="E1736" s="10" t="n">
        <x:v>14</x:v>
      </x:c>
      <x:c r="F1736" s="21" t="n">
        <x:f>F1608*(1+'Assumptions'!$M$94)</x:f>
        <x:v>91.69528408533111</x:v>
      </x:c>
      <x:c r="G1736" s="21" t="n">
        <x:f>H1608*'Assumptions'!$K$94</x:f>
        <x:v>127.78818178290112</x:v>
      </x:c>
      <x:c r="H1736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1736+G1736,NA())</x:f>
        <x:v>219.48346586823223</x:v>
      </x:c>
      <x:c r="I1736" s="22" t="n">
        <x:f>'Assumptions'!$H$94*IF('Assumptions'!$O$94=1,1,'Assumptions'!$D$10)*(1+'Assumptions'!$N$94)^(14-1)</x:f>
        <x:v>205.68345424215366</x:v>
      </x:c>
      <x:c r="J1736" s="10" t="n">
        <x:f>H1736*I1736</x:f>
        <x:v>45144.11740881784</x:v>
      </x:c>
      <x:c r="K1736" s="10" t="n">
        <x:f>J1736*'Assumptions'!$T$94</x:f>
        <x:v>45144.11740881784</x:v>
      </x:c>
      <x:c r="L1736" s="10" t="n">
        <x:f>K1736*'Assumptions'!$U$94</x:f>
        <x:v>1354.323522264535</x:v>
      </x:c>
      <x:c r="M1736" s="10" t="n">
        <x:f>K1736*'Assumptions'!$V$94</x:f>
        <x:v>0</x:v>
      </x:c>
      <x:c r="N1736" s="10" t="n">
        <x:f>K1736-L1736-M1736</x:f>
        <x:v>43789.7938865533</x:v>
      </x:c>
      <x:c r="O1736" s="10" t="n">
        <x:f>H1736*'Assumptions'!$P$94*'Assumptions'!$Q$94*'Assumptions'!$D$11*(1+'Assumptions'!$D$13)^(14-1)</x:f>
        <x:v>1128.1160421044322</x:v>
      </x:c>
      <x:c r="P1736" s="10" t="n">
        <x:f>H1736*'Assumptions'!$R$94*'Assumptions'!$D$11*(1+'Assumptions'!$D$13)^(14-1)</x:f>
        <x:v>2578.550953381559</x:v>
      </x:c>
      <x:c r="Q1736" s="10" t="n">
        <x:f>J1736*'Assumptions'!$S$94</x:f>
        <x:v>29343.676315731595</x:v>
      </x:c>
      <x:c r="R1736" s="10" t="n">
        <x:f>H1736*'Assumptions'!$Y$94*'Assumptions'!$Z$94*'Assumptions'!$D$11*(1+'Assumptions'!$D$13)^(14-1)</x:f>
        <x:v>1933.9132150361693</x:v>
      </x:c>
      <x:c r="S1736" s="10" t="n">
        <x:f>IF(I1736=0,0,J1736*'Assumptions'!$W$94+H1736*'Assumptions'!$X$94)</x:f>
        <x:v>1375.024444616187</x:v>
      </x:c>
      <x:c r="T1736" s="10" t="n">
        <x:f>N1736*'Assumptions'!$AA$94</x:f>
        <x:v>1751.591755462132</x:v>
      </x:c>
      <x:c r="U1736" s="10" t="n">
        <x:f>'Assumptions'!$AE$94*'Assumptions'!$D$11*(1+'Assumptions'!$D$13)^(14-1)</x:f>
        <x:v>0</x:v>
      </x:c>
      <x:c r="V1736" s="10" t="n">
        <x:f>0</x:f>
        <x:v>0</x:v>
      </x:c>
      <x:c r="W1736" s="10" t="n">
        <x:f>H1736*('Assumptions'!$P$94+'Assumptions'!$Y$94)</x:f>
        <x:v>65.84503976046967</x:v>
      </x:c>
      <x:c r="X1736" s="10" t="n">
        <x:f>N1736/12*'Assumptions'!$AF$94</x:f>
        <x:v>0</x:v>
      </x:c>
      <x:c r="Y1736" s="10" t="n">
        <x:f>P1736/12</x:f>
        <x:v>214.87924611512992</x:v>
      </x:c>
      <x:c r="Z1736" s="10" t="n">
        <x:f>0</x:f>
        <x:v>0</x:v>
      </x:c>
      <x:c r="AA1736" s="10" t="n">
        <x:f>Z1736*'Assumptions'!$AC$94*'Assumptions'!$D$11*(1+'Assumptions'!$D$13)^(14-1)</x:f>
        <x:v>0</x:v>
      </x:c>
      <x:c r="AB1736" s="10" t="n">
        <x:f>F1736/1</x:f>
        <x:v>91.69528408533111</x:v>
      </x:c>
      <x:c r="AC1736" s="10" t="n">
        <x:f>AB1736/'Assumptions'!$AM$94</x:f>
        <x:v>611.3018939022074</x:v>
      </x:c>
      <x:c r="AD1736" s="10" t="n">
        <x:f>IF(AB1736=0,0,T1736/AB1736)</x:f>
        <x:v>19.102310145329945</x:v>
      </x:c>
      <x:c r="AE1736" s="10" t="n">
        <x:f>AA1736*'Assumptions'!$D$21</x:f>
        <x:v>0</x:v>
      </x:c>
    </x:row>
    <x:row r="1737" ht="16" customHeight="1">
      <x:c r="A1737" s="1"/>
      <x:c r="B1737" s="1"/>
      <x:c r="C1737" s="1" t="str">
        <x:v>DOT-066</x:v>
      </x:c>
      <x:c r="D1737" s="10" t="str">
        <x:v>S’otality cleaning</x:v>
      </x:c>
      <x:c r="E1737" s="10" t="n">
        <x:v>14</x:v>
      </x:c>
      <x:c r="F1737" s="21" t="n">
        <x:f>F1609*(1+'Assumptions'!$M$95)</x:f>
        <x:v>137.5429261279966</x:v>
      </x:c>
      <x:c r="G1737" s="21" t="n">
        <x:f>H1609*'Assumptions'!$K$95</x:f>
        <x:v>191.6822726743516</x:v>
      </x:c>
      <x:c r="H1737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1737+G1737,NA())</x:f>
        <x:v>329.2251988023482</x:v>
      </x:c>
      <x:c r="I1737" s="22" t="n">
        <x:f>'Assumptions'!$H$95*IF('Assumptions'!$O$95=1,1,'Assumptions'!$D$10)*(1+'Assumptions'!$N$95)^(14-1)</x:f>
        <x:v>192.74738793761568</x:v>
      </x:c>
      <x:c r="J1737" s="10" t="n">
        <x:f>H1737*I1737</x:f>
        <x:v>63457.29711239485</x:v>
      </x:c>
      <x:c r="K1737" s="10" t="n">
        <x:f>J1737*'Assumptions'!$T$95</x:f>
        <x:v>63457.29711239485</x:v>
      </x:c>
      <x:c r="L1737" s="10" t="n">
        <x:f>K1737*'Assumptions'!$U$95</x:f>
        <x:v>1903.7189133718455</x:v>
      </x:c>
      <x:c r="M1737" s="10" t="n">
        <x:f>K1737*'Assumptions'!$V$95</x:f>
        <x:v>0</x:v>
      </x:c>
      <x:c r="N1737" s="10" t="n">
        <x:f>K1737-L1737-M1737</x:f>
        <x:v>61553.57819902301</x:v>
      </x:c>
      <x:c r="O1737" s="10" t="n">
        <x:f>H1737*'Assumptions'!$P$95*'Assumptions'!$Q$95*'Assumptions'!$D$11*(1+'Assumptions'!$D$13)^(14-1)</x:f>
        <x:v>1692.1740631566477</x:v>
      </x:c>
      <x:c r="P1737" s="10" t="n">
        <x:f>H1737*'Assumptions'!$R$95*'Assumptions'!$D$11*(1+'Assumptions'!$D$13)^(14-1)</x:f>
        <x:v>3867.8264300723363</x:v>
      </x:c>
      <x:c r="Q1737" s="10" t="n">
        <x:f>J1737*'Assumptions'!$S$95</x:f>
        <x:v>41247.24312305666</x:v>
      </x:c>
      <x:c r="R1737" s="10" t="n">
        <x:f>H1737*'Assumptions'!$Y$95*'Assumptions'!$Z$95*'Assumptions'!$D$11*(1+'Assumptions'!$D$13)^(14-1)</x:f>
        <x:v>2900.869822554253</x:v>
      </x:c>
      <x:c r="S1737" s="10" t="n">
        <x:f>IF(I1737=0,0,J1737*'Assumptions'!$W$95+H1737*'Assumptions'!$X$95)</x:f>
        <x:v>1939.0291759001552</x:v>
      </x:c>
      <x:c r="T1737" s="10" t="n">
        <x:f>N1737*'Assumptions'!$AA$95</x:f>
        <x:v>2462.1431279609205</x:v>
      </x:c>
      <x:c r="U1737" s="10" t="n">
        <x:f>'Assumptions'!$AE$95*'Assumptions'!$D$11*(1+'Assumptions'!$D$13)^(14-1)</x:f>
        <x:v>0</x:v>
      </x:c>
      <x:c r="V1737" s="10" t="n">
        <x:f>0</x:f>
        <x:v>0</x:v>
      </x:c>
      <x:c r="W1737" s="10" t="n">
        <x:f>H1737*('Assumptions'!$P$95+'Assumptions'!$Y$95)</x:f>
        <x:v>98.76755964070448</x:v>
      </x:c>
      <x:c r="X1737" s="10" t="n">
        <x:f>N1737/12*'Assumptions'!$AF$95</x:f>
        <x:v>0</x:v>
      </x:c>
      <x:c r="Y1737" s="10" t="n">
        <x:f>P1737/12</x:f>
        <x:v>322.3188691726947</x:v>
      </x:c>
      <x:c r="Z1737" s="10" t="n">
        <x:f>0</x:f>
        <x:v>0</x:v>
      </x:c>
      <x:c r="AA1737" s="10" t="n">
        <x:f>Z1737*'Assumptions'!$AC$95*'Assumptions'!$D$11*(1+'Assumptions'!$D$13)^(14-1)</x:f>
        <x:v>0</x:v>
      </x:c>
      <x:c r="AB1737" s="10" t="n">
        <x:f>F1737/1</x:f>
        <x:v>137.5429261279966</x:v>
      </x:c>
      <x:c r="AC1737" s="10" t="n">
        <x:f>AB1737/'Assumptions'!$AM$95</x:f>
        <x:v>916.9528408533107</x:v>
      </x:c>
      <x:c r="AD1737" s="10" t="n">
        <x:f>IF(AB1737=0,0,T1737/AB1737)</x:f>
        <x:v>17.900906991535614</x:v>
      </x:c>
      <x:c r="AE1737" s="10" t="n">
        <x:f>AA1737*'Assumptions'!$D$21</x:f>
        <x:v>0</x:v>
      </x:c>
    </x:row>
    <x:row r="1738" ht="16" customHeight="1">
      <x:c r="A1738" s="1"/>
      <x:c r="B1738" s="1"/>
      <x:c r="C1738" s="1" t="str">
        <x:v>DOT-067</x:v>
      </x:c>
      <x:c r="D1738" s="10" t="str">
        <x:v>S’otality cleaning</x:v>
      </x:c>
      <x:c r="E1738" s="10" t="n">
        <x:v>14</x:v>
      </x:c>
      <x:c r="F1738" s="21" t="n">
        <x:f>F1610*(1+'Assumptions'!$M$96)</x:f>
        <x:v>61.13018939022075</x:v>
      </x:c>
      <x:c r="G1738" s="21" t="n">
        <x:f>H1610*'Assumptions'!$K$96</x:f>
        <x:v>85.19212118860078</x:v>
      </x:c>
      <x:c r="H1738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1738+G1738,NA())</x:f>
        <x:v>146.32231057882154</x:v>
      </x:c>
      <x:c r="I1738" s="22" t="n">
        <x:f>'Assumptions'!$H$96*IF('Assumptions'!$O$96=1,1,'Assumptions'!$D$10)*(1+'Assumptions'!$N$96)^(14-1)</x:f>
        <x:v>257.4277194603055</x:v>
      </x:c>
      <x:c r="J1738" s="10" t="n">
        <x:f>H1738*I1738</x:f>
        <x:v>37667.418718468565</x:v>
      </x:c>
      <x:c r="K1738" s="10" t="n">
        <x:f>J1738*'Assumptions'!$T$96</x:f>
        <x:v>37667.418718468565</x:v>
      </x:c>
      <x:c r="L1738" s="10" t="n">
        <x:f>K1738*'Assumptions'!$U$96</x:f>
        <x:v>1130.022561554057</x:v>
      </x:c>
      <x:c r="M1738" s="10" t="n">
        <x:f>K1738*'Assumptions'!$V$96</x:f>
        <x:v>0</x:v>
      </x:c>
      <x:c r="N1738" s="10" t="n">
        <x:f>K1738-L1738-M1738</x:f>
        <x:v>36537.39615691451</x:v>
      </x:c>
      <x:c r="O1738" s="10" t="n">
        <x:f>H1738*'Assumptions'!$P$96*'Assumptions'!$Q$96*'Assumptions'!$D$11*(1+'Assumptions'!$D$13)^(14-1)</x:f>
        <x:v>752.0773614029549</x:v>
      </x:c>
      <x:c r="P1738" s="10" t="n">
        <x:f>H1738*'Assumptions'!$R$96*'Assumptions'!$D$11*(1+'Assumptions'!$D$13)^(14-1)</x:f>
        <x:v>1719.0339689210398</x:v>
      </x:c>
      <x:c r="Q1738" s="10" t="n">
        <x:f>J1738*'Assumptions'!$S$96</x:f>
        <x:v>24483.822167004568</x:v>
      </x:c>
      <x:c r="R1738" s="10" t="n">
        <x:f>H1738*'Assumptions'!$Y$96*'Assumptions'!$Z$96*'Assumptions'!$D$11*(1+'Assumptions'!$D$13)^(14-1)</x:f>
        <x:v>1289.27547669078</x:v>
      </x:c>
      <x:c r="S1738" s="10" t="n">
        <x:f>IF(I1738=0,0,J1738*'Assumptions'!$W$96+H1738*'Assumptions'!$X$96)</x:f>
        <x:v>1136.251836009235</x:v>
      </x:c>
      <x:c r="T1738" s="10" t="n">
        <x:f>N1738*'Assumptions'!$AA$96</x:f>
        <x:v>1461.4958462765806</x:v>
      </x:c>
      <x:c r="U1738" s="10" t="n">
        <x:f>'Assumptions'!$AE$96*'Assumptions'!$D$11*(1+'Assumptions'!$D$13)^(14-1)</x:f>
        <x:v>0</x:v>
      </x:c>
      <x:c r="V1738" s="10" t="n">
        <x:f>0</x:f>
        <x:v>0</x:v>
      </x:c>
      <x:c r="W1738" s="10" t="n">
        <x:f>H1738*('Assumptions'!$P$96+'Assumptions'!$Y$96)</x:f>
        <x:v>43.89669317364647</x:v>
      </x:c>
      <x:c r="X1738" s="10" t="n">
        <x:f>N1738/12*'Assumptions'!$AF$96</x:f>
        <x:v>0</x:v>
      </x:c>
      <x:c r="Y1738" s="10" t="n">
        <x:f>P1738/12</x:f>
        <x:v>143.25283074342</x:v>
      </x:c>
      <x:c r="Z1738" s="10" t="n">
        <x:f>0</x:f>
        <x:v>0</x:v>
      </x:c>
      <x:c r="AA1738" s="10" t="n">
        <x:f>Z1738*'Assumptions'!$AC$96*'Assumptions'!$D$11*(1+'Assumptions'!$D$13)^(14-1)</x:f>
        <x:v>0</x:v>
      </x:c>
      <x:c r="AB1738" s="10" t="n">
        <x:f>F1738/1</x:f>
        <x:v>61.13018939022075</x:v>
      </x:c>
      <x:c r="AC1738" s="10" t="n">
        <x:f>AB1738/'Assumptions'!$AM$96</x:f>
        <x:v>407.534595934805</x:v>
      </x:c>
      <x:c r="AD1738" s="10" t="n">
        <x:f>IF(AB1738=0,0,T1738/AB1738)</x:f>
        <x:v>23.9079227605073</x:v>
      </x:c>
      <x:c r="AE1738" s="10" t="n">
        <x:f>AA1738*'Assumptions'!$D$21</x:f>
        <x:v>0</x:v>
      </x:c>
    </x:row>
    <x:row r="1739" ht="16" customHeight="1">
      <x:c r="A1739" s="1"/>
      <x:c r="B1739" s="1"/>
      <x:c r="C1739" s="1" t="str">
        <x:v>DOT-068</x:v>
      </x:c>
      <x:c r="D1739" s="10" t="str">
        <x:v>S’otality cleaning</x:v>
      </x:c>
      <x:c r="E1739" s="10" t="n">
        <x:v>14</x:v>
      </x:c>
      <x:c r="F1739" s="21" t="n">
        <x:f>F1611*(1+'Assumptions'!$M$97)</x:f>
        <x:v>91.69528408533111</x:v>
      </x:c>
      <x:c r="G1739" s="21" t="n">
        <x:f>H1611*'Assumptions'!$K$97</x:f>
        <x:v>127.78818178290112</x:v>
      </x:c>
      <x:c r="H1739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1739+G1739,NA())</x:f>
        <x:v>219.48346586823223</x:v>
      </x:c>
      <x:c r="I1739" s="22" t="n">
        <x:f>'Assumptions'!$H$97*IF('Assumptions'!$O$97=1,1,'Assumptions'!$D$10)*(1+'Assumptions'!$N$97)^(14-1)</x:f>
        <x:v>244.49165315576755</x:v>
      </x:c>
      <x:c r="J1739" s="10" t="n">
        <x:f>H1739*I1739</x:f>
        <x:v>53661.87541048158</x:v>
      </x:c>
      <x:c r="K1739" s="10" t="n">
        <x:f>J1739*'Assumptions'!$T$97</x:f>
        <x:v>53661.87541048158</x:v>
      </x:c>
      <x:c r="L1739" s="10" t="n">
        <x:f>K1739*'Assumptions'!$U$97</x:f>
        <x:v>1609.8562623144473</x:v>
      </x:c>
      <x:c r="M1739" s="10" t="n">
        <x:f>K1739*'Assumptions'!$V$97</x:f>
        <x:v>0</x:v>
      </x:c>
      <x:c r="N1739" s="10" t="n">
        <x:f>K1739-L1739-M1739</x:f>
        <x:v>52052.019148167135</x:v>
      </x:c>
      <x:c r="O1739" s="10" t="n">
        <x:f>H1739*'Assumptions'!$P$97*'Assumptions'!$Q$97*'Assumptions'!$D$11*(1+'Assumptions'!$D$13)^(14-1)</x:f>
        <x:v>1128.1160421044322</x:v>
      </x:c>
      <x:c r="P1739" s="10" t="n">
        <x:f>H1739*'Assumptions'!$R$97*'Assumptions'!$D$11*(1+'Assumptions'!$D$13)^(14-1)</x:f>
        <x:v>2578.550953381559</x:v>
      </x:c>
      <x:c r="Q1739" s="10" t="n">
        <x:f>J1739*'Assumptions'!$S$97</x:f>
        <x:v>34880.21901681303</x:v>
      </x:c>
      <x:c r="R1739" s="10" t="n">
        <x:f>H1739*'Assumptions'!$Y$97*'Assumptions'!$Z$97*'Assumptions'!$D$11*(1+'Assumptions'!$D$13)^(14-1)</x:f>
        <x:v>1933.9132150361693</x:v>
      </x:c>
      <x:c r="S1739" s="10" t="n">
        <x:f>IF(I1739=0,0,J1739*'Assumptions'!$W$97+H1739*'Assumptions'!$X$97)</x:f>
        <x:v>1622.0394266644357</x:v>
      </x:c>
      <x:c r="T1739" s="10" t="n">
        <x:f>N1739*'Assumptions'!$AA$97</x:f>
        <x:v>2082.0807659266857</x:v>
      </x:c>
      <x:c r="U1739" s="10" t="n">
        <x:f>'Assumptions'!$AE$97*'Assumptions'!$D$11*(1+'Assumptions'!$D$13)^(14-1)</x:f>
        <x:v>0</x:v>
      </x:c>
      <x:c r="V1739" s="10" t="n">
        <x:f>0</x:f>
        <x:v>0</x:v>
      </x:c>
      <x:c r="W1739" s="10" t="n">
        <x:f>H1739*('Assumptions'!$P$97+'Assumptions'!$Y$97)</x:f>
        <x:v>65.84503976046967</x:v>
      </x:c>
      <x:c r="X1739" s="10" t="n">
        <x:f>N1739/12*'Assumptions'!$AF$97</x:f>
        <x:v>0</x:v>
      </x:c>
      <x:c r="Y1739" s="10" t="n">
        <x:f>P1739/12</x:f>
        <x:v>214.87924611512992</x:v>
      </x:c>
      <x:c r="Z1739" s="10" t="n">
        <x:f>0</x:f>
        <x:v>0</x:v>
      </x:c>
      <x:c r="AA1739" s="10" t="n">
        <x:f>Z1739*'Assumptions'!$AC$97*'Assumptions'!$D$11*(1+'Assumptions'!$D$13)^(14-1)</x:f>
        <x:v>0</x:v>
      </x:c>
      <x:c r="AB1739" s="10" t="n">
        <x:f>F1739/1</x:f>
        <x:v>91.69528408533111</x:v>
      </x:c>
      <x:c r="AC1739" s="10" t="n">
        <x:f>AB1739/'Assumptions'!$AM$97</x:f>
        <x:v>611.3018939022074</x:v>
      </x:c>
      <x:c r="AD1739" s="10" t="n">
        <x:f>IF(AB1739=0,0,T1739/AB1739)</x:f>
        <x:v>22.70651960671296</x:v>
      </x:c>
      <x:c r="AE1739" s="10" t="n">
        <x:f>AA1739*'Assumptions'!$D$21</x:f>
        <x:v>0</x:v>
      </x:c>
    </x:row>
    <x:row r="1740" ht="16" customHeight="1">
      <x:c r="A1740" s="1"/>
      <x:c r="B1740" s="1"/>
      <x:c r="C1740" s="1" t="str">
        <x:v>DOT-069</x:v>
      </x:c>
      <x:c r="D1740" s="10" t="str">
        <x:v>S’otality cleaning</x:v>
      </x:c>
      <x:c r="E1740" s="10" t="n">
        <x:v>14</x:v>
      </x:c>
      <x:c r="F1740" s="21" t="n">
        <x:f>F1612*(1+'Assumptions'!$M$98)</x:f>
        <x:v>30.565094695110375</x:v>
      </x:c>
      <x:c r="G1740" s="21" t="n">
        <x:f>H1612*'Assumptions'!$K$98</x:f>
        <x:v>42.59606059430039</x:v>
      </x:c>
      <x:c r="H1740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1740+G1740,NA())</x:f>
        <x:v>73.16115528941077</x:v>
      </x:c>
      <x:c r="I1740" s="22" t="n">
        <x:f>'Assumptions'!$H$98*IF('Assumptions'!$O$98=1,1,'Assumptions'!$D$10)*(1+'Assumptions'!$N$98)^(14-1)</x:f>
        <x:v>386.78838250568515</x:v>
      </x:c>
      <x:c r="J1740" s="10" t="n">
        <x:f>H1740*I1740</x:f>
        <x:v>28297.884916638443</x:v>
      </x:c>
      <x:c r="K1740" s="10" t="n">
        <x:f>J1740*'Assumptions'!$T$98</x:f>
        <x:v>28297.884916638443</x:v>
      </x:c>
      <x:c r="L1740" s="10" t="n">
        <x:f>K1740*'Assumptions'!$U$98</x:f>
        <x:v>848.9365474991532</x:v>
      </x:c>
      <x:c r="M1740" s="10" t="n">
        <x:f>K1740*'Assumptions'!$V$98</x:f>
        <x:v>0</x:v>
      </x:c>
      <x:c r="N1740" s="10" t="n">
        <x:f>K1740-L1740-M1740</x:f>
        <x:v>27448.94836913929</x:v>
      </x:c>
      <x:c r="O1740" s="10" t="n">
        <x:f>H1740*'Assumptions'!$P$98*'Assumptions'!$Q$98*'Assumptions'!$D$11*(1+'Assumptions'!$D$13)^(14-1)</x:f>
        <x:v>376.03868070147746</x:v>
      </x:c>
      <x:c r="P1740" s="10" t="n">
        <x:f>H1740*'Assumptions'!$R$98*'Assumptions'!$D$11*(1+'Assumptions'!$D$13)^(14-1)</x:f>
        <x:v>859.5169844605199</x:v>
      </x:c>
      <x:c r="Q1740" s="10" t="n">
        <x:f>J1740*'Assumptions'!$S$98</x:f>
        <x:v>18393.625195814988</x:v>
      </x:c>
      <x:c r="R1740" s="10" t="n">
        <x:f>H1740*'Assumptions'!$Y$98*'Assumptions'!$Z$98*'Assumptions'!$D$11*(1+'Assumptions'!$D$13)^(14-1)</x:f>
        <x:v>644.63773834539</x:v>
      </x:c>
      <x:c r="S1740" s="10" t="n">
        <x:f>IF(I1740=0,0,J1740*'Assumptions'!$W$98+H1740*'Assumptions'!$X$98)</x:f>
        <x:v>842.5870091693381</x:v>
      </x:c>
      <x:c r="T1740" s="10" t="n">
        <x:f>N1740*'Assumptions'!$AA$98</x:f>
        <x:v>1097.9579347655715</x:v>
      </x:c>
      <x:c r="U1740" s="10" t="n">
        <x:f>'Assumptions'!$AE$98*'Assumptions'!$D$11*(1+'Assumptions'!$D$13)^(14-1)</x:f>
        <x:v>0</x:v>
      </x:c>
      <x:c r="V1740" s="10" t="n">
        <x:f>0</x:f>
        <x:v>0</x:v>
      </x:c>
      <x:c r="W1740" s="10" t="n">
        <x:f>H1740*('Assumptions'!$P$98+'Assumptions'!$Y$98)</x:f>
        <x:v>21.948346586823234</x:v>
      </x:c>
      <x:c r="X1740" s="10" t="n">
        <x:f>N1740/12*'Assumptions'!$AF$98</x:f>
        <x:v>0</x:v>
      </x:c>
      <x:c r="Y1740" s="10" t="n">
        <x:f>P1740/12</x:f>
        <x:v>71.62641537171</x:v>
      </x:c>
      <x:c r="Z1740" s="10" t="n">
        <x:f>0</x:f>
        <x:v>0</x:v>
      </x:c>
      <x:c r="AA1740" s="10" t="n">
        <x:f>Z1740*'Assumptions'!$AC$98*'Assumptions'!$D$11*(1+'Assumptions'!$D$13)^(14-1)</x:f>
        <x:v>0</x:v>
      </x:c>
      <x:c r="AB1740" s="10" t="n">
        <x:f>F1740/1</x:f>
        <x:v>30.565094695110375</x:v>
      </x:c>
      <x:c r="AC1740" s="10" t="n">
        <x:f>AB1740/'Assumptions'!$AM$98</x:f>
        <x:v>203.7672979674025</x:v>
      </x:c>
      <x:c r="AD1740" s="10" t="n">
        <x:f>IF(AB1740=0,0,T1740/AB1740)</x:f>
        <x:v>35.92195429845066</x:v>
      </x:c>
      <x:c r="AE1740" s="10" t="n">
        <x:f>AA1740*'Assumptions'!$D$21</x:f>
        <x:v>0</x:v>
      </x:c>
    </x:row>
    <x:row r="1741" ht="16" customHeight="1">
      <x:c r="A1741" s="1"/>
      <x:c r="B1741" s="1"/>
      <x:c r="C1741" s="1" t="str">
        <x:v>DOT-070</x:v>
      </x:c>
      <x:c r="D1741" s="10" t="str">
        <x:v>S’otality laundry</x:v>
      </x:c>
      <x:c r="E1741" s="10" t="n">
        <x:v>14</x:v>
      </x:c>
      <x:c r="F1741" s="21" t="n">
        <x:f>F1613*(1+'Assumptions'!$M$99)</x:f>
        <x:v>275.0858522559932</x:v>
      </x:c>
      <x:c r="G1741" s="21" t="n">
        <x:f>H1613*'Assumptions'!$K$99</x:f>
        <x:v>383.3645453487032</x:v>
      </x:c>
      <x:c r="H1741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1741+G1741,NA())</x:f>
        <x:v>658.4503976046964</x:v>
      </x:c>
      <x:c r="I1741" s="22" t="n">
        <x:f>'Assumptions'!$H$99*IF('Assumptions'!$O$99=1,1,'Assumptions'!$D$10)*(1+'Assumptions'!$N$99)^(14-1)</x:f>
        <x:v>77.61639782722779</x:v>
      </x:c>
      <x:c r="J1741" s="10" t="n">
        <x:f>H1741*I1741</x:f>
        <x:v>51106.54800998243</x:v>
      </x:c>
      <x:c r="K1741" s="10" t="n">
        <x:f>J1741*'Assumptions'!$T$99</x:f>
        <x:v>51106.54800998243</x:v>
      </x:c>
      <x:c r="L1741" s="10" t="n">
        <x:f>K1741*'Assumptions'!$U$99</x:f>
        <x:v>1533.1964402994727</x:v>
      </x:c>
      <x:c r="M1741" s="10" t="n">
        <x:f>K1741*'Assumptions'!$V$99</x:f>
        <x:v>0</x:v>
      </x:c>
      <x:c r="N1741" s="10" t="n">
        <x:f>K1741-L1741-M1741</x:f>
        <x:v>49573.351569682956</x:v>
      </x:c>
      <x:c r="O1741" s="10" t="n">
        <x:f>H1741*'Assumptions'!$P$99*'Assumptions'!$Q$99*'Assumptions'!$D$11*(1+'Assumptions'!$D$13)^(14-1)</x:f>
        <x:v>3384.3481263132953</x:v>
      </x:c>
      <x:c r="P1741" s="10" t="n">
        <x:f>H1741*'Assumptions'!$R$99*'Assumptions'!$D$11*(1+'Assumptions'!$D$13)^(14-1)</x:f>
        <x:v>0</x:v>
      </x:c>
      <x:c r="Q1741" s="10" t="n">
        <x:f>J1741*'Assumptions'!$S$99</x:f>
        <x:v>33219.25620648858</x:v>
      </x:c>
      <x:c r="R1741" s="10" t="n">
        <x:f>H1741*'Assumptions'!$Y$99*'Assumptions'!$Z$99*'Assumptions'!$D$11*(1+'Assumptions'!$D$13)^(14-1)</x:f>
        <x:v>5801.739645108506</x:v>
      </x:c>
      <x:c r="S1741" s="10" t="n">
        <x:f>IF(I1741=0,0,J1741*'Assumptions'!$W$99+H1741*'Assumptions'!$X$99)</x:f>
        <x:v>1679.6250115708995</x:v>
      </x:c>
      <x:c r="T1741" s="10" t="n">
        <x:f>N1741*'Assumptions'!$AA$99</x:f>
        <x:v>1982.9340627873182</x:v>
      </x:c>
      <x:c r="U1741" s="10" t="n">
        <x:f>'Assumptions'!$AE$99*'Assumptions'!$D$11*(1+'Assumptions'!$D$13)^(14-1)</x:f>
        <x:v>0</x:v>
      </x:c>
      <x:c r="V1741" s="10" t="n">
        <x:f>0</x:f>
        <x:v>0</x:v>
      </x:c>
      <x:c r="W1741" s="10" t="n">
        <x:f>H1741*('Assumptions'!$P$99+'Assumptions'!$Y$99)</x:f>
        <x:v>197.53511928140895</x:v>
      </x:c>
      <x:c r="X1741" s="10" t="n">
        <x:f>N1741/12*'Assumptions'!$AF$99</x:f>
        <x:v>0</x:v>
      </x:c>
      <x:c r="Y1741" s="10" t="n">
        <x:f>P1741/12</x:f>
        <x:v>0</x:v>
      </x:c>
      <x:c r="Z1741" s="10" t="n">
        <x:f>0</x:f>
        <x:v>0</x:v>
      </x:c>
      <x:c r="AA1741" s="10" t="n">
        <x:f>Z1741*'Assumptions'!$AC$99*'Assumptions'!$D$11*(1+'Assumptions'!$D$13)^(14-1)</x:f>
        <x:v>0</x:v>
      </x:c>
      <x:c r="AB1741" s="10" t="n">
        <x:f>F1741/1</x:f>
        <x:v>275.0858522559932</x:v>
      </x:c>
      <x:c r="AC1741" s="10" t="n">
        <x:f>AB1741/'Assumptions'!$AM$99</x:f>
        <x:v>1833.9056817066214</x:v>
      </x:c>
      <x:c r="AD1741" s="10" t="n">
        <x:f>IF(AB1741=0,0,T1741/AB1741)</x:f>
        <x:v>7.208418922766017</x:v>
      </x:c>
      <x:c r="AE1741" s="10" t="n">
        <x:f>AA1741*'Assumptions'!$D$21</x:f>
        <x:v>0</x:v>
      </x:c>
    </x:row>
    <x:row r="1742" ht="16" customHeight="1">
      <x:c r="A1742" s="1"/>
      <x:c r="B1742" s="1"/>
      <x:c r="C1742" s="1" t="str">
        <x:v>DOT-071</x:v>
      </x:c>
      <x:c r="D1742" s="10" t="str">
        <x:v>S’otality Personal Chef</x:v>
      </x:c>
      <x:c r="E1742" s="10" t="n">
        <x:v>14</x:v>
      </x:c>
      <x:c r="F1742" s="21" t="n">
        <x:f>F1614*(1+'Assumptions'!$M$100)</x:f>
        <x:v>45.847642042665555</x:v>
      </x:c>
      <x:c r="G1742" s="21" t="n">
        <x:f>H1614*'Assumptions'!$K$100</x:f>
        <x:v>63.87449985042657</x:v>
      </x:c>
      <x:c r="H1742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1742+G1742,NA())</x:f>
        <x:v>109.72214189309213</x:v>
      </x:c>
      <x:c r="I1742" s="22" t="n">
        <x:f>'Assumptions'!$H$100*IF('Assumptions'!$O$100=1,1,'Assumptions'!$D$10)*(1+'Assumptions'!$N$100)^(14-1)</x:f>
        <x:v>840.8443097949678</x:v>
      </x:c>
      <x:c r="J1742" s="10" t="n">
        <x:f>H1742*I1742</x:f>
        <x:v>92259.23866932257</x:v>
      </x:c>
      <x:c r="K1742" s="10" t="n">
        <x:f>J1742*'Assumptions'!$T$100</x:f>
        <x:v>92259.23866932257</x:v>
      </x:c>
      <x:c r="L1742" s="10" t="n">
        <x:f>K1742*'Assumptions'!$U$100</x:f>
        <x:v>2767.777160079677</x:v>
      </x:c>
      <x:c r="M1742" s="10" t="n">
        <x:f>K1742*'Assumptions'!$V$100</x:f>
        <x:v>0</x:v>
      </x:c>
      <x:c r="N1742" s="10" t="n">
        <x:f>K1742-L1742-M1742</x:f>
        <x:v>89491.46150924289</x:v>
      </x:c>
      <x:c r="O1742" s="10" t="n">
        <x:f>H1742*'Assumptions'!$P$100*'Assumptions'!$Q$100*'Assumptions'!$D$11*(1+'Assumptions'!$D$13)^(14-1)</x:f>
        <x:v>3222.613289642442</x:v>
      </x:c>
      <x:c r="P1742" s="10" t="n">
        <x:f>H1742*'Assumptions'!$R$100*'Assumptions'!$D$11*(1+'Assumptions'!$D$13)^(14-1)</x:f>
        <x:v>16113.066448212208</x:v>
      </x:c>
      <x:c r="Q1742" s="10" t="n">
        <x:f>J1742*'Assumptions'!$S$100</x:f>
        <x:v>46129.619334661285</x:v>
      </x:c>
      <x:c r="R1742" s="10" t="n">
        <x:f>H1742*'Assumptions'!$Y$100*'Assumptions'!$Z$100*'Assumptions'!$D$11*(1+'Assumptions'!$D$13)^(14-1)</x:f>
        <x:v>966.7839868927325</x:v>
      </x:c>
      <x:c r="S1742" s="10" t="n">
        <x:f>IF(I1742=0,0,J1742*'Assumptions'!$W$100+H1742*'Assumptions'!$X$100)</x:f>
        <x:v>2708.4345639782823</x:v>
      </x:c>
      <x:c r="T1742" s="10" t="n">
        <x:f>N1742*'Assumptions'!$AA$100</x:f>
        <x:v>3579.6584603697156</x:v>
      </x:c>
      <x:c r="U1742" s="10" t="n">
        <x:f>'Assumptions'!$AE$100*'Assumptions'!$D$11*(1+'Assumptions'!$D$13)^(14-1)</x:f>
        <x:v>0</x:v>
      </x:c>
      <x:c r="V1742" s="10" t="n">
        <x:f>0</x:f>
        <x:v>0</x:v>
      </x:c>
      <x:c r="W1742" s="10" t="n">
        <x:f>H1742*('Assumptions'!$P$100+'Assumptions'!$Y$100)</x:f>
        <x:v>76.80549932516449</x:v>
      </x:c>
      <x:c r="X1742" s="10" t="n">
        <x:f>N1742/12*'Assumptions'!$AF$100</x:f>
        <x:v>0</x:v>
      </x:c>
      <x:c r="Y1742" s="10" t="n">
        <x:f>P1742/12</x:f>
        <x:v>1342.7555373510174</x:v>
      </x:c>
      <x:c r="Z1742" s="10" t="n">
        <x:f>0</x:f>
        <x:v>0</x:v>
      </x:c>
      <x:c r="AA1742" s="10" t="n">
        <x:f>Z1742*'Assumptions'!$AC$100*'Assumptions'!$D$11*(1+'Assumptions'!$D$13)^(14-1)</x:f>
        <x:v>0</x:v>
      </x:c>
      <x:c r="AB1742" s="10" t="n">
        <x:f>F1742/1</x:f>
        <x:v>45.847642042665555</x:v>
      </x:c>
      <x:c r="AC1742" s="10" t="n">
        <x:f>AB1742/'Assumptions'!$AM$100</x:f>
        <x:v>305.6509469511037</x:v>
      </x:c>
      <x:c r="AD1742" s="10" t="n">
        <x:f>IF(AB1742=0,0,T1742/AB1742)</x:f>
        <x:v>78.07726419252937</x:v>
      </x:c>
      <x:c r="AE1742" s="10" t="n">
        <x:f>AA1742*'Assumptions'!$D$21</x:f>
        <x:v>0</x:v>
      </x:c>
    </x:row>
    <x:row r="1743" ht="16" customHeight="1">
      <x:c r="A1743" s="1"/>
      <x:c r="B1743" s="1"/>
      <x:c r="C1743" s="1" t="str">
        <x:v>DOT-072</x:v>
      </x:c>
      <x:c r="D1743" s="10" t="str">
        <x:v>S’otality interiors</x:v>
      </x:c>
      <x:c r="E1743" s="10" t="n">
        <x:v>14</x:v>
      </x:c>
      <x:c r="F1743" s="21" t="n">
        <x:f>F1615*(1+'Assumptions'!$M$101)</x:f>
        <x:v>17.192865765999574</x:v>
      </x:c>
      <x:c r="G1743" s="21" t="n">
        <x:f>H1615*'Assumptions'!$K$101</x:f>
        <x:v>16.21648588073368</x:v>
      </x:c>
      <x:c r="H1743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1743+G1743,NA())</x:f>
        <x:v>33.409351646733256</x:v>
      </x:c>
      <x:c r="I1743" s="22" t="n">
        <x:f>'Assumptions'!$H$101*IF('Assumptions'!$O$101=1,1,'Assumptions'!$D$10)*(1+'Assumptions'!$N$101)^(14-1)</x:f>
        <x:v>1940.4099456806948</x:v>
      </x:c>
      <x:c r="J1743" s="10" t="n">
        <x:f>H1743*I1743</x:f>
        <x:v>64827.83821406491</x:v>
      </x:c>
      <x:c r="K1743" s="10" t="n">
        <x:f>J1743*'Assumptions'!$T$101</x:f>
        <x:v>64827.83821406491</x:v>
      </x:c>
      <x:c r="L1743" s="10" t="n">
        <x:f>K1743*'Assumptions'!$U$101</x:f>
        <x:v>1944.8351464219472</x:v>
      </x:c>
      <x:c r="M1743" s="10" t="n">
        <x:f>K1743*'Assumptions'!$V$101</x:f>
        <x:v>0</x:v>
      </x:c>
      <x:c r="N1743" s="10" t="n">
        <x:f>K1743-L1743-M1743</x:f>
        <x:v>62883.00306764297</x:v>
      </x:c>
      <x:c r="O1743" s="10" t="n">
        <x:f>H1743*'Assumptions'!$P$101*'Assumptions'!$Q$101*'Assumptions'!$D$11*(1+'Assumptions'!$D$13)^(14-1)</x:f>
        <x:v>26984.517580782485</x:v>
      </x:c>
      <x:c r="P1743" s="10" t="n">
        <x:f>H1743*'Assumptions'!$R$101*'Assumptions'!$D$11*(1+'Assumptions'!$D$13)^(14-1)</x:f>
        <x:v>2453.137961889317</x:v>
      </x:c>
      <x:c r="Q1743" s="10" t="n">
        <x:f>J1743*'Assumptions'!$S$101</x:f>
        <x:v>0</x:v>
      </x:c>
      <x:c r="R1743" s="10" t="n">
        <x:f>H1743*'Assumptions'!$Y$101*'Assumptions'!$Z$101*'Assumptions'!$D$11*(1+'Assumptions'!$D$13)^(14-1)</x:f>
        <x:v>367.9706942833975</x:v>
      </x:c>
      <x:c r="S1743" s="10" t="n">
        <x:f>IF(I1743=0,0,J1743*'Assumptions'!$W$101+H1743*'Assumptions'!$X$101)</x:f>
        <x:v>1890.0301137019026</x:v>
      </x:c>
      <x:c r="T1743" s="10" t="n">
        <x:f>N1743*'Assumptions'!$AA$101</x:f>
        <x:v>2515.320122705719</x:v>
      </x:c>
      <x:c r="U1743" s="10" t="n">
        <x:f>'Assumptions'!$AE$101*'Assumptions'!$D$11*(1+'Assumptions'!$D$13)^(14-1)</x:f>
        <x:v>0</x:v>
      </x:c>
      <x:c r="V1743" s="10" t="n">
        <x:f>0</x:f>
        <x:v>0</x:v>
      </x:c>
      <x:c r="W1743" s="10" t="n">
        <x:f>H1743*('Assumptions'!$P$101+'Assumptions'!$Y$101)</x:f>
        <x:v>342.4458543790159</x:v>
      </x:c>
      <x:c r="X1743" s="10" t="n">
        <x:f>N1743/12*'Assumptions'!$AF$101</x:f>
        <x:v>5240.250255636914</x:v>
      </x:c>
      <x:c r="Y1743" s="10" t="n">
        <x:f>P1743/12</x:f>
        <x:v>204.42816349077643</x:v>
      </x:c>
      <x:c r="Z1743" s="10" t="n">
        <x:f>0</x:f>
        <x:v>0</x:v>
      </x:c>
      <x:c r="AA1743" s="10" t="n">
        <x:f>Z1743*'Assumptions'!$AC$101*'Assumptions'!$D$11*(1+'Assumptions'!$D$13)^(14-1)</x:f>
        <x:v>0</x:v>
      </x:c>
      <x:c r="AB1743" s="10" t="n">
        <x:f>F1743/1</x:f>
        <x:v>17.192865765999574</x:v>
      </x:c>
      <x:c r="AC1743" s="10" t="n">
        <x:f>AB1743/'Assumptions'!$AM$101</x:f>
        <x:v>85.96432882999787</x:v>
      </x:c>
      <x:c r="AD1743" s="10" t="n">
        <x:f>IF(AB1743=0,0,T1743/AB1743)</x:f>
        <x:v>146.30022457803332</x:v>
      </x:c>
      <x:c r="AE1743" s="10" t="n">
        <x:f>AA1743*'Assumptions'!$D$21</x:f>
        <x:v>0</x:v>
      </x:c>
    </x:row>
    <x:row r="1744" ht="16" customHeight="1">
      <x:c r="A1744" s="1"/>
      <x:c r="B1744" s="1"/>
      <x:c r="C1744" s="1" t="str">
        <x:v>DOT-073</x:v>
      </x:c>
      <x:c r="D1744" s="10" t="str">
        <x:v>S’otality interiors</x:v>
      </x:c>
      <x:c r="E1744" s="10" t="n">
        <x:v>14</x:v>
      </x:c>
      <x:c r="F1744" s="21" t="n">
        <x:f>F1616*(1+'Assumptions'!$M$102)</x:f>
        <x:v>45.847642042665555</x:v>
      </x:c>
      <x:c r="G1744" s="21" t="n">
        <x:f>H1616*'Assumptions'!$K$102</x:f>
        <x:v>63.89409089145056</x:v>
      </x:c>
      <x:c r="H1744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1744+G1744,NA())</x:f>
        <x:v>109.74173293411611</x:v>
      </x:c>
      <x:c r="I1744" s="22" t="n">
        <x:f>'Assumptions'!$H$102*IF('Assumptions'!$O$102=1,1,'Assumptions'!$D$10)*(1+'Assumptions'!$N$102)^(14-1)</x:f>
        <x:v>388.081989136139</x:v>
      </x:c>
      <x:c r="J1744" s="10" t="n">
        <x:f>H1744*I1744</x:f>
        <x:v>42588.79000831872</x:v>
      </x:c>
      <x:c r="K1744" s="10" t="n">
        <x:f>J1744*'Assumptions'!$T$102</x:f>
        <x:v>42588.79000831872</x:v>
      </x:c>
      <x:c r="L1744" s="10" t="n">
        <x:f>K1744*'Assumptions'!$U$102</x:f>
        <x:v>1277.6637002495615</x:v>
      </x:c>
      <x:c r="M1744" s="10" t="n">
        <x:f>K1744*'Assumptions'!$V$102</x:f>
        <x:v>0</x:v>
      </x:c>
      <x:c r="N1744" s="10" t="n">
        <x:f>K1744-L1744-M1744</x:f>
        <x:v>41311.12630806916</x:v>
      </x:c>
      <x:c r="O1744" s="10" t="n">
        <x:f>H1744*'Assumptions'!$P$102*'Assumptions'!$Q$102*'Assumptions'!$D$11*(1+'Assumptions'!$D$13)^(14-1)</x:f>
        <x:v>1410.1450526305398</x:v>
      </x:c>
      <x:c r="P1744" s="10" t="n">
        <x:f>H1744*'Assumptions'!$R$102*'Assumptions'!$D$11*(1+'Assumptions'!$D$13)^(14-1)</x:f>
        <x:v>0</x:v>
      </x:c>
      <x:c r="Q1744" s="10" t="n">
        <x:f>J1744*'Assumptions'!$S$102</x:f>
        <x:v>25553.27400499123</x:v>
      </x:c>
      <x:c r="R1744" s="10" t="n">
        <x:f>H1744*'Assumptions'!$Y$102*'Assumptions'!$Z$102*'Assumptions'!$D$11*(1+'Assumptions'!$D$13)^(14-1)</x:f>
        <x:v>966.9566075180846</x:v>
      </x:c>
      <x:c r="S1744" s="10" t="n">
        <x:f>IF(I1744=0,0,J1744*'Assumptions'!$W$102+H1744*'Assumptions'!$X$102)</x:f>
        <x:v>1267.9974301214777</x:v>
      </x:c>
      <x:c r="T1744" s="10" t="n">
        <x:f>N1744*'Assumptions'!$AA$102</x:f>
        <x:v>1652.4450523227663</x:v>
      </x:c>
      <x:c r="U1744" s="10" t="n">
        <x:f>'Assumptions'!$AE$102*'Assumptions'!$D$11*(1+'Assumptions'!$D$13)^(14-1)</x:f>
        <x:v>0</x:v>
      </x:c>
      <x:c r="V1744" s="10" t="n">
        <x:f>0</x:f>
        <x:v>0</x:v>
      </x:c>
      <x:c r="W1744" s="10" t="n">
        <x:f>H1744*('Assumptions'!$P$102+'Assumptions'!$Y$102)</x:f>
        <x:v>49.38377982035225</x:v>
      </x:c>
      <x:c r="X1744" s="10" t="n">
        <x:f>N1744/12*'Assumptions'!$AF$102</x:f>
        <x:v>0</x:v>
      </x:c>
      <x:c r="Y1744" s="10" t="n">
        <x:f>P1744/12</x:f>
        <x:v>0</x:v>
      </x:c>
      <x:c r="Z1744" s="10" t="n">
        <x:f>0</x:f>
        <x:v>0</x:v>
      </x:c>
      <x:c r="AA1744" s="10" t="n">
        <x:f>Z1744*'Assumptions'!$AC$102*'Assumptions'!$D$11*(1+'Assumptions'!$D$13)^(14-1)</x:f>
        <x:v>0</x:v>
      </x:c>
      <x:c r="AB1744" s="10" t="n">
        <x:f>F1744/1</x:f>
        <x:v>45.847642042665555</x:v>
      </x:c>
      <x:c r="AC1744" s="10" t="n">
        <x:f>AB1744/'Assumptions'!$AM$102</x:f>
        <x:v>305.6509469511037</x:v>
      </x:c>
      <x:c r="AD1744" s="10" t="n">
        <x:f>IF(AB1744=0,0,T1744/AB1744)</x:f>
        <x:v>36.042094613830095</x:v>
      </x:c>
      <x:c r="AE1744" s="10" t="n">
        <x:f>AA1744*'Assumptions'!$D$21</x:f>
        <x:v>0</x:v>
      </x:c>
    </x:row>
    <x:row r="1745" ht="16" customHeight="1">
      <x:c r="A1745" s="1"/>
      <x:c r="B1745" s="1"/>
      <x:c r="C1745" s="1" t="str">
        <x:v>DOT-074</x:v>
      </x:c>
      <x:c r="D1745" s="10" t="str">
        <x:v>S’otality interiors</x:v>
      </x:c>
      <x:c r="E1745" s="10" t="n">
        <x:v>14</x:v>
      </x:c>
      <x:c r="F1745" s="21" t="n">
        <x:f>F1617*(1+'Assumptions'!$M$103)</x:f>
        <x:v>19.480159252715918</x:v>
      </x:c>
      <x:c r="G1745" s="21" t="n">
        <x:f>H1617*'Assumptions'!$K$103</x:f>
        <x:v>40.89401285522335</x:v>
      </x:c>
      <x:c r="H1745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1745+G1745,NA())</x:f>
        <x:v>60.37417210793927</x:v>
      </x:c>
      <x:c r="I1745" s="22" t="n">
        <x:f>'Assumptions'!$H$103*IF('Assumptions'!$O$103=1,1,'Assumptions'!$D$10)*(1+'Assumptions'!$N$103)^(14-1)</x:f>
        <x:v>1940.4099456806948</x:v>
      </x:c>
      <x:c r="J1745" s="10" t="n">
        <x:f>H1745*I1745</x:f>
        <x:v>117150.64402048336</x:v>
      </x:c>
      <x:c r="K1745" s="10" t="n">
        <x:f>J1745*'Assumptions'!$T$103</x:f>
        <x:v>11715.064402048338</x:v>
      </x:c>
      <x:c r="L1745" s="10" t="n">
        <x:f>K1745*'Assumptions'!$U$103</x:f>
        <x:v>351.4519320614501</x:v>
      </x:c>
      <x:c r="M1745" s="10" t="n">
        <x:f>K1745*'Assumptions'!$V$103</x:f>
        <x:v>0</x:v>
      </x:c>
      <x:c r="N1745" s="10" t="n">
        <x:f>K1745-L1745-M1745</x:f>
        <x:v>11363.612469986887</x:v>
      </x:c>
      <x:c r="O1745" s="10" t="n">
        <x:f>H1745*'Assumptions'!$P$103*'Assumptions'!$Q$103*'Assumptions'!$D$11*(1+'Assumptions'!$D$13)^(14-1)</x:f>
        <x:v>3546.4602864894377</x:v>
      </x:c>
      <x:c r="P1745" s="10" t="n">
        <x:f>H1745*'Assumptions'!$R$103*'Assumptions'!$D$11*(1+'Assumptions'!$D$13)^(14-1)</x:f>
        <x:v>0</x:v>
      </x:c>
      <x:c r="Q1745" s="10" t="n">
        <x:f>J1745*'Assumptions'!$S$103</x:f>
        <x:v>0</x:v>
      </x:c>
      <x:c r="R1745" s="10" t="n">
        <x:f>H1745*'Assumptions'!$Y$103*'Assumptions'!$Z$103*'Assumptions'!$D$11*(1+'Assumptions'!$D$13)^(14-1)</x:f>
        <x:v>398.9767822300617</x:v>
      </x:c>
      <x:c r="S1745" s="10" t="n">
        <x:f>IF(I1745=0,0,J1745*'Assumptions'!$W$103+H1745*'Assumptions'!$X$103)</x:f>
        <x:v>3415.4809282263996</x:v>
      </x:c>
      <x:c r="T1745" s="10" t="n">
        <x:f>N1745*'Assumptions'!$AA$103</x:f>
        <x:v>568.1806234993444</x:v>
      </x:c>
      <x:c r="U1745" s="10" t="n">
        <x:f>'Assumptions'!$AE$103*'Assumptions'!$D$11*(1+'Assumptions'!$D$13)^(14-1)</x:f>
        <x:v>0</x:v>
      </x:c>
      <x:c r="V1745" s="10" t="n">
        <x:f>0</x:f>
        <x:v>0</x:v>
      </x:c>
      <x:c r="W1745" s="10" t="n">
        <x:f>H1745*('Assumptions'!$P$103+'Assumptions'!$Y$103)</x:f>
        <x:v>69.43029792413016</x:v>
      </x:c>
      <x:c r="X1745" s="10" t="n">
        <x:f>N1745/12*'Assumptions'!$AF$103</x:f>
        <x:v>0</x:v>
      </x:c>
      <x:c r="Y1745" s="10" t="n">
        <x:f>P1745/12</x:f>
        <x:v>0</x:v>
      </x:c>
      <x:c r="Z1745" s="10" t="n">
        <x:f>0</x:f>
        <x:v>0</x:v>
      </x:c>
      <x:c r="AA1745" s="10" t="n">
        <x:f>Z1745*'Assumptions'!$AC$103*'Assumptions'!$D$11*(1+'Assumptions'!$D$13)^(14-1)</x:f>
        <x:v>0</x:v>
      </x:c>
      <x:c r="AB1745" s="10" t="n">
        <x:f>F1745/1</x:f>
        <x:v>19.480159252715918</x:v>
      </x:c>
      <x:c r="AC1745" s="10" t="n">
        <x:f>AB1745/'Assumptions'!$AM$103</x:f>
        <x:v>389.6031850543183</x:v>
      </x:c>
      <x:c r="AD1745" s="10" t="n">
        <x:f>IF(AB1745=0,0,T1745/AB1745)</x:f>
        <x:v>29.167144689545022</x:v>
      </x:c>
      <x:c r="AE1745" s="10" t="n">
        <x:f>AA1745*'Assumptions'!$D$21</x:f>
        <x:v>0</x:v>
      </x:c>
    </x:row>
    <x:row r="1746" ht="16" customHeight="1">
      <x:c r="A1746" s="1"/>
      <x:c r="B1746" s="1"/>
      <x:c r="C1746" s="1" t="str">
        <x:v>DOT-075</x:v>
      </x:c>
      <x:c r="D1746" s="10" t="str">
        <x:v>S’otality concierge</x:v>
      </x:c>
      <x:c r="E1746" s="10" t="n">
        <x:v>14</x:v>
      </x:c>
      <x:c r="F1746" s="21" t="n">
        <x:f>F1618*(1+'Assumptions'!$M$104)</x:f>
        <x:v>229.23821021332773</x:v>
      </x:c>
      <x:c r="G1746" s="21" t="n">
        <x:f>H1618*'Assumptions'!$K$104</x:f>
        <x:v>216.21981174311577</x:v>
      </x:c>
      <x:c r="H1746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1746+G1746,NA())</x:f>
        <x:v>445.45802195644353</x:v>
      </x:c>
      <x:c r="I1746" s="22" t="n">
        <x:f>'Assumptions'!$H$104*IF('Assumptions'!$O$104=1,1,'Assumptions'!$D$10)*(1+'Assumptions'!$N$104)^(14-1)</x:f>
        <x:v>97.02049728403475</x:v>
      </x:c>
      <x:c r="J1746" s="10" t="n">
        <x:f>H1746*I1746</x:f>
        <x:v>43218.55880937662</x:v>
      </x:c>
      <x:c r="K1746" s="10" t="n">
        <x:f>J1746*'Assumptions'!$T$104</x:f>
        <x:v>43218.55880937662</x:v>
      </x:c>
      <x:c r="L1746" s="10" t="n">
        <x:f>K1746*'Assumptions'!$U$104</x:f>
        <x:v>1296.5567642812985</x:v>
      </x:c>
      <x:c r="M1746" s="10" t="n">
        <x:f>K1746*'Assumptions'!$V$104</x:f>
        <x:v>0</x:v>
      </x:c>
      <x:c r="N1746" s="10" t="n">
        <x:f>K1746-L1746-M1746</x:f>
        <x:v>41922.00204509532</x:v>
      </x:c>
      <x:c r="O1746" s="10" t="n">
        <x:f>H1746*'Assumptions'!$P$104*'Assumptions'!$Q$104*'Assumptions'!$D$11*(1+'Assumptions'!$D$13)^(14-1)</x:f>
        <x:v>17171.96573322522</x:v>
      </x:c>
      <x:c r="P1746" s="10" t="n">
        <x:f>H1746*'Assumptions'!$R$104*'Assumptions'!$D$11*(1+'Assumptions'!$D$13)^(14-1)</x:f>
        <x:v>0</x:v>
      </x:c>
      <x:c r="Q1746" s="10" t="n">
        <x:f>J1746*'Assumptions'!$S$104</x:f>
        <x:v>0</x:v>
      </x:c>
      <x:c r="R1746" s="10" t="n">
        <x:f>H1746*'Assumptions'!$Y$104*'Assumptions'!$Z$104*'Assumptions'!$D$11*(1+'Assumptions'!$D$13)^(14-1)</x:f>
        <x:v>4906.275923778636</x:v>
      </x:c>
      <x:c r="S1746" s="10" t="n">
        <x:f>IF(I1746=0,0,J1746*'Assumptions'!$W$104+H1746*'Assumptions'!$X$104)</x:f>
        <x:v>1386.9756120588552</x:v>
      </x:c>
      <x:c r="T1746" s="10" t="n">
        <x:f>N1746*'Assumptions'!$AA$104</x:f>
        <x:v>1676.880081803813</x:v>
      </x:c>
      <x:c r="U1746" s="10" t="n">
        <x:f>'Assumptions'!$AE$104*'Assumptions'!$D$11*(1+'Assumptions'!$D$13)^(14-1)</x:f>
        <x:v>0</x:v>
      </x:c>
      <x:c r="V1746" s="10" t="n">
        <x:f>0</x:f>
        <x:v>0</x:v>
      </x:c>
      <x:c r="W1746" s="10" t="n">
        <x:f>H1746*('Assumptions'!$P$104+'Assumptions'!$Y$104)</x:f>
        <x:v>445.45802195644353</x:v>
      </x:c>
      <x:c r="X1746" s="10" t="n">
        <x:f>N1746/12*'Assumptions'!$AF$104</x:f>
        <x:v>3493.50017042461</x:v>
      </x:c>
      <x:c r="Y1746" s="10" t="n">
        <x:f>P1746/12</x:f>
        <x:v>0</x:v>
      </x:c>
      <x:c r="Z1746" s="10" t="n">
        <x:f>0</x:f>
        <x:v>0</x:v>
      </x:c>
      <x:c r="AA1746" s="10" t="n">
        <x:f>Z1746*'Assumptions'!$AC$104*'Assumptions'!$D$11*(1+'Assumptions'!$D$13)^(14-1)</x:f>
        <x:v>0</x:v>
      </x:c>
      <x:c r="AB1746" s="10" t="n">
        <x:f>F1746/1</x:f>
        <x:v>229.23821021332773</x:v>
      </x:c>
      <x:c r="AC1746" s="10" t="n">
        <x:f>AB1746/'Assumptions'!$AM$104</x:f>
        <x:v>1146.1910510666387</x:v>
      </x:c>
      <x:c r="AD1746" s="10" t="n">
        <x:f>IF(AB1746=0,0,T1746/AB1746)</x:f>
        <x:v>7.315011228901667</x:v>
      </x:c>
      <x:c r="AE1746" s="10" t="n">
        <x:f>AA1746*'Assumptions'!$D$21</x:f>
        <x:v>0</x:v>
      </x:c>
    </x:row>
    <x:row r="1747" ht="16" customHeight="1">
      <x:c r="A1747" s="1"/>
      <x:c r="B1747" s="1"/>
      <x:c r="C1747" s="1" t="str">
        <x:v>DOT-076</x:v>
      </x:c>
      <x:c r="D1747" s="10" t="str">
        <x:v>S’otality administration</x:v>
      </x:c>
      <x:c r="E1747" s="10" t="n">
        <x:v>14</x:v>
      </x:c>
      <x:c r="F1747" s="21" t="n">
        <x:f>F1619*(1+'Assumptions'!$M$105)</x:f>
        <x:v>458.47642042665547</x:v>
      </x:c>
      <x:c r="G1747" s="21" t="n">
        <x:f>H1619*'Assumptions'!$K$105</x:f>
        <x:v>432.43962348623154</x:v>
      </x:c>
      <x:c r="H1747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1747+G1747,NA())</x:f>
        <x:v>890.9160439128871</x:v>
      </x:c>
      <x:c r="I1747" s="22" t="n">
        <x:f>'Assumptions'!$H$105*IF('Assumptions'!$O$105=1,1,'Assumptions'!$D$10)*(1+'Assumptions'!$N$105)^(14-1)</x:f>
        <x:v>77.61639782722779</x:v>
      </x:c>
      <x:c r="J1747" s="10" t="n">
        <x:f>H1747*I1747</x:f>
        <x:v>69149.69409500259</x:v>
      </x:c>
      <x:c r="K1747" s="10" t="n">
        <x:f>J1747*'Assumptions'!$T$105</x:f>
        <x:v>69149.69409500259</x:v>
      </x:c>
      <x:c r="L1747" s="10" t="n">
        <x:f>K1747*'Assumptions'!$U$105</x:f>
        <x:v>2074.4908228500776</x:v>
      </x:c>
      <x:c r="M1747" s="10" t="n">
        <x:f>K1747*'Assumptions'!$V$105</x:f>
        <x:v>0</x:v>
      </x:c>
      <x:c r="N1747" s="10" t="n">
        <x:f>K1747-L1747-M1747</x:f>
        <x:v>67075.20327215252</x:v>
      </x:c>
      <x:c r="O1747" s="10" t="n">
        <x:f>H1747*'Assumptions'!$P$105*'Assumptions'!$Q$105*'Assumptions'!$D$11*(1+'Assumptions'!$D$13)^(14-1)</x:f>
        <x:v>39250.20739022909</x:v>
      </x:c>
      <x:c r="P1747" s="10" t="n">
        <x:f>H1747*'Assumptions'!$R$105*'Assumptions'!$D$11*(1+'Assumptions'!$D$13)^(14-1)</x:f>
        <x:v>0</x:v>
      </x:c>
      <x:c r="Q1747" s="10" t="n">
        <x:f>J1747*'Assumptions'!$S$105</x:f>
        <x:v>0</x:v>
      </x:c>
      <x:c r="R1747" s="10" t="n">
        <x:f>H1747*'Assumptions'!$Y$105*'Assumptions'!$Z$105*'Assumptions'!$D$11*(1+'Assumptions'!$D$13)^(14-1)</x:f>
        <x:v>9812.551847557272</x:v>
      </x:c>
      <x:c r="S1747" s="10" t="n">
        <x:f>IF(I1747=0,0,J1747*'Assumptions'!$W$105+H1747*'Assumptions'!$X$105)</x:f>
        <x:v>2272.6159419289415</x:v>
      </x:c>
      <x:c r="T1747" s="10" t="n">
        <x:f>N1747*'Assumptions'!$AA$105</x:f>
        <x:v>2683.008130886101</x:v>
      </x:c>
      <x:c r="U1747" s="10" t="n">
        <x:f>'Assumptions'!$AE$105*'Assumptions'!$D$11*(1+'Assumptions'!$D$13)^(14-1)</x:f>
        <x:v>0</x:v>
      </x:c>
      <x:c r="V1747" s="10" t="n">
        <x:f>0</x:f>
        <x:v>0</x:v>
      </x:c>
      <x:c r="W1747" s="10" t="n">
        <x:f>H1747*('Assumptions'!$P$105+'Assumptions'!$Y$105)</x:f>
        <x:v>1113.6450548911089</x:v>
      </x:c>
      <x:c r="X1747" s="10" t="n">
        <x:f>N1747/12*'Assumptions'!$AF$105</x:f>
        <x:v>5589.600272679377</x:v>
      </x:c>
      <x:c r="Y1747" s="10" t="n">
        <x:f>P1747/12</x:f>
        <x:v>0</x:v>
      </x:c>
      <x:c r="Z1747" s="10" t="n">
        <x:f>0</x:f>
        <x:v>0</x:v>
      </x:c>
      <x:c r="AA1747" s="10" t="n">
        <x:f>Z1747*'Assumptions'!$AC$105*'Assumptions'!$D$11*(1+'Assumptions'!$D$13)^(14-1)</x:f>
        <x:v>0</x:v>
      </x:c>
      <x:c r="AB1747" s="10" t="n">
        <x:f>F1747/1</x:f>
        <x:v>458.47642042665547</x:v>
      </x:c>
      <x:c r="AC1747" s="10" t="n">
        <x:f>AB1747/'Assumptions'!$AM$105</x:f>
        <x:v>2292.3821021332774</x:v>
      </x:c>
      <x:c r="AD1747" s="10" t="n">
        <x:f>IF(AB1747=0,0,T1747/AB1747)</x:f>
        <x:v>5.852008983121333</x:v>
      </x:c>
      <x:c r="AE1747" s="10" t="n">
        <x:f>AA1747*'Assumptions'!$D$21</x:f>
        <x:v>0</x:v>
      </x:c>
    </x:row>
    <x:row r="1748" ht="16" customHeight="1">
      <x:c r="A1748" s="1"/>
      <x:c r="B1748" s="1"/>
      <x:c r="C1748" s="1" t="str">
        <x:v>DOT-077</x:v>
      </x:c>
      <x:c r="D1748" s="10" t="str">
        <x:v>S’otality bike tours</x:v>
      </x:c>
      <x:c r="E1748" s="10" t="n">
        <x:v>14</x:v>
      </x:c>
      <x:c r="F1748" s="21" t="n">
        <x:f>F1620*(1+'Assumptions'!$M$106)</x:f>
        <x:v>183.39056817066222</x:v>
      </x:c>
      <x:c r="G1748" s="21" t="n">
        <x:f>H1620*'Assumptions'!$K$106</x:f>
        <x:v>255.49799940170627</x:v>
      </x:c>
      <x:c r="H1748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1748+G1748,NA())</x:f>
        <x:v>438.8885675723685</x:v>
      </x:c>
      <x:c r="I1748" s="22" t="n">
        <x:f>'Assumptions'!$H$106*IF('Assumptions'!$O$106=1,1,'Assumptions'!$D$10)*(1+'Assumptions'!$N$106)^(14-1)</x:f>
        <x:v>84.08443097949677</x:v>
      </x:c>
      <x:c r="J1748" s="10" t="n">
        <x:f>H1748*I1748</x:f>
        <x:v>36903.69546772903</x:v>
      </x:c>
      <x:c r="K1748" s="10" t="n">
        <x:f>J1748*'Assumptions'!$T$106</x:f>
        <x:v>36903.69546772903</x:v>
      </x:c>
      <x:c r="L1748" s="10" t="n">
        <x:f>K1748*'Assumptions'!$U$106</x:f>
        <x:v>1107.1108640318707</x:v>
      </x:c>
      <x:c r="M1748" s="10" t="n">
        <x:f>K1748*'Assumptions'!$V$106</x:f>
        <x:v>0</x:v>
      </x:c>
      <x:c r="N1748" s="10" t="n">
        <x:f>K1748-L1748-M1748</x:f>
        <x:v>35796.584603697156</x:v>
      </x:c>
      <x:c r="O1748" s="10" t="n">
        <x:f>H1748*'Assumptions'!$P$106*'Assumptions'!$Q$106*'Assumptions'!$D$11*(1+'Assumptions'!$D$13)^(14-1)</x:f>
        <x:v>3383.743954124564</x:v>
      </x:c>
      <x:c r="P1748" s="10" t="n">
        <x:f>H1748*'Assumptions'!$R$106*'Assumptions'!$D$11*(1+'Assumptions'!$D$13)^(14-1)</x:f>
        <x:v>3222.613289642442</x:v>
      </x:c>
      <x:c r="Q1748" s="10" t="n">
        <x:f>J1748*'Assumptions'!$S$106</x:f>
        <x:v>16606.66296047806</x:v>
      </x:c>
      <x:c r="R1748" s="10" t="n">
        <x:f>H1748*'Assumptions'!$Y$106*'Assumptions'!$Z$106*'Assumptions'!$D$11*(1+'Assumptions'!$D$13)^(14-1)</x:f>
        <x:v>3867.13594757093</x:v>
      </x:c>
      <x:c r="S1748" s="10" t="n">
        <x:f>IF(I1748=0,0,J1748*'Assumptions'!$W$106+H1748*'Assumptions'!$X$106)</x:f>
        <x:v>1201.8737388358522</x:v>
      </x:c>
      <x:c r="T1748" s="10" t="n">
        <x:f>N1748*'Assumptions'!$AA$106</x:f>
        <x:v>1431.8633841478863</x:v>
      </x:c>
      <x:c r="U1748" s="10" t="n">
        <x:f>'Assumptions'!$AE$106*'Assumptions'!$D$11*(1+'Assumptions'!$D$13)^(14-1)</x:f>
        <x:v>0</x:v>
      </x:c>
      <x:c r="V1748" s="10" t="n">
        <x:f>0</x:f>
        <x:v>0</x:v>
      </x:c>
      <x:c r="W1748" s="10" t="n">
        <x:f>H1748*('Assumptions'!$P$106+'Assumptions'!$Y$106)</x:f>
        <x:v>153.61099865032898</x:v>
      </x:c>
      <x:c r="X1748" s="10" t="n">
        <x:f>N1748/12*'Assumptions'!$AF$106</x:f>
        <x:v>0</x:v>
      </x:c>
      <x:c r="Y1748" s="10" t="n">
        <x:f>P1748/12</x:f>
        <x:v>268.5511074702035</x:v>
      </x:c>
      <x:c r="Z1748" s="10" t="n">
        <x:f>0</x:f>
        <x:v>0</x:v>
      </x:c>
      <x:c r="AA1748" s="10" t="n">
        <x:f>Z1748*'Assumptions'!$AC$106*'Assumptions'!$D$11*(1+'Assumptions'!$D$13)^(14-1)</x:f>
        <x:v>0</x:v>
      </x:c>
      <x:c r="AB1748" s="10" t="n">
        <x:f>F1748/1</x:f>
        <x:v>183.39056817066222</x:v>
      </x:c>
      <x:c r="AC1748" s="10" t="n">
        <x:f>AB1748/'Assumptions'!$AM$106</x:f>
        <x:v>1222.6037878044149</x:v>
      </x:c>
      <x:c r="AD1748" s="10" t="n">
        <x:f>IF(AB1748=0,0,T1748/AB1748)</x:f>
        <x:v>7.807726419252938</x:v>
      </x:c>
      <x:c r="AE1748" s="10" t="n">
        <x:f>AA1748*'Assumptions'!$D$21</x:f>
        <x:v>0</x:v>
      </x:c>
    </x:row>
    <x:row r="1749" ht="16" customHeight="1">
      <x:c r="A1749" s="1"/>
      <x:c r="B1749" s="1"/>
      <x:c r="C1749" s="1" t="str">
        <x:v>DOT-078</x:v>
      </x:c>
      <x:c r="D1749" s="10" t="str">
        <x:v>S’otality editorial</x:v>
      </x:c>
      <x:c r="E1749" s="10" t="n">
        <x:v>14</x:v>
      </x:c>
      <x:c r="F1749" s="21" t="n">
        <x:f>F1621*(1+'Assumptions'!$M$107)</x:f>
        <x:v>14.900483663866307</x:v>
      </x:c>
      <x:c r="G1749" s="21" t="n">
        <x:f>H1621*'Assumptions'!$K$107</x:f>
        <x:v>7.669316918858232</x:v>
      </x:c>
      <x:c r="H1749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1749+G1749,NA())</x:f>
        <x:v>22.56980058272454</x:v>
      </x:c>
      <x:c r="I1749" s="22" t="n">
        <x:f>'Assumptions'!$H$107*IF('Assumptions'!$O$107=1,1,'Assumptions'!$D$10)*(1+'Assumptions'!$N$107)^(14-1)</x:f>
        <x:v>323.4016576134491</x:v>
      </x:c>
      <x:c r="J1749" s="10" t="n">
        <x:f>H1749*I1749</x:f>
        <x:v>7299.110920458106</x:v>
      </x:c>
      <x:c r="K1749" s="10" t="n">
        <x:f>J1749*'Assumptions'!$T$107</x:f>
        <x:v>7299.110920458106</x:v>
      </x:c>
      <x:c r="L1749" s="10" t="n">
        <x:f>K1749*'Assumptions'!$U$107</x:f>
        <x:v>218.97332761374318</x:v>
      </x:c>
      <x:c r="M1749" s="10" t="n">
        <x:f>K1749*'Assumptions'!$V$107</x:f>
        <x:v>0</x:v>
      </x:c>
      <x:c r="N1749" s="10" t="n">
        <x:f>K1749-L1749-M1749</x:f>
        <x:v>7080.137592844363</x:v>
      </x:c>
      <x:c r="O1749" s="10" t="n">
        <x:f>H1749*'Assumptions'!$P$107*'Assumptions'!$Q$107*'Assumptions'!$D$11*(1+'Assumptions'!$D$13)^(14-1)</x:f>
        <x:v>2651.5610449287806</x:v>
      </x:c>
      <x:c r="P1749" s="10" t="n">
        <x:f>H1749*'Assumptions'!$R$107*'Assumptions'!$D$11*(1+'Assumptions'!$D$13)^(14-1)</x:f>
        <x:v>0</x:v>
      </x:c>
      <x:c r="Q1749" s="10" t="n">
        <x:f>J1749*'Assumptions'!$S$107</x:f>
        <x:v>0</x:v>
      </x:c>
      <x:c r="R1749" s="10" t="n">
        <x:f>H1749*'Assumptions'!$Y$107*'Assumptions'!$Z$107*'Assumptions'!$D$11*(1+'Assumptions'!$D$13)^(14-1)</x:f>
        <x:v>497.16769592414636</x:v>
      </x:c>
      <x:c r="S1749" s="10" t="n">
        <x:f>IF(I1749=0,0,J1749*'Assumptions'!$W$107+H1749*'Assumptions'!$X$107)</x:f>
        <x:v>218.44515686810246</x:v>
      </x:c>
      <x:c r="T1749" s="10" t="n">
        <x:f>N1749*'Assumptions'!$AA$107</x:f>
        <x:v>566.4110074275491</x:v>
      </x:c>
      <x:c r="U1749" s="10" t="n">
        <x:f>'Assumptions'!$AE$107*'Assumptions'!$D$11*(1+'Assumptions'!$D$13)^(14-1)</x:f>
        <x:v>0</x:v>
      </x:c>
      <x:c r="V1749" s="10" t="n">
        <x:f>0</x:f>
        <x:v>0</x:v>
      </x:c>
      <x:c r="W1749" s="10" t="n">
        <x:f>H1749*('Assumptions'!$P$107+'Assumptions'!$Y$107)</x:f>
        <x:v>56.42450145681135</x:v>
      </x:c>
      <x:c r="X1749" s="10" t="n">
        <x:f>N1749/12*'Assumptions'!$AF$107</x:f>
        <x:v>590.0114660703636</x:v>
      </x:c>
      <x:c r="Y1749" s="10" t="n">
        <x:f>P1749/12</x:f>
        <x:v>0</x:v>
      </x:c>
      <x:c r="Z1749" s="10" t="n">
        <x:f>0</x:f>
        <x:v>0</x:v>
      </x:c>
      <x:c r="AA1749" s="10" t="n">
        <x:f>Z1749*'Assumptions'!$AC$107*'Assumptions'!$D$11*(1+'Assumptions'!$D$13)^(14-1)</x:f>
        <x:v>0</x:v>
      </x:c>
      <x:c r="AB1749" s="10" t="n">
        <x:f>F1749/1</x:f>
        <x:v>14.900483663866307</x:v>
      </x:c>
      <x:c r="AC1749" s="10" t="n">
        <x:f>AB1749/'Assumptions'!$AM$107</x:f>
        <x:v>149.00483663866305</x:v>
      </x:c>
      <x:c r="AD1749" s="10" t="n">
        <x:f>IF(AB1749=0,0,T1749/AB1749)</x:f>
        <x:v>38.012927647516335</x:v>
      </x:c>
      <x:c r="AE1749" s="10" t="n">
        <x:f>AA1749*'Assumptions'!$D$21</x:f>
        <x:v>0</x:v>
      </x:c>
    </x:row>
    <x:row r="1750" ht="16" customHeight="1">
      <x:c r="A1750" s="1"/>
      <x:c r="B1750" s="1"/>
      <x:c r="C1750" s="1" t="str">
        <x:v>DOT-079</x:v>
      </x:c>
      <x:c r="D1750" s="10" t="str">
        <x:v>S’otality editorial</x:v>
      </x:c>
      <x:c r="E1750" s="10" t="n">
        <x:v>14</x:v>
      </x:c>
      <x:c r="F1750" s="21" t="n">
        <x:f>F1622*(1+'Assumptions'!$M$108)</x:f>
        <x:v>4.966827887955436</x:v>
      </x:c>
      <x:c r="G1750" s="21" t="n">
        <x:f>H1622*'Assumptions'!$K$108</x:f>
        <x:v>2.556438972952744</x:v>
      </x:c>
      <x:c r="H1750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1750+G1750,NA())</x:f>
        <x:v>7.52326686090818</x:v>
      </x:c>
      <x:c r="I1750" s="22" t="n">
        <x:f>'Assumptions'!$H$108*IF('Assumptions'!$O$108=1,1,'Assumptions'!$D$10)*(1+'Assumptions'!$N$108)^(14-1)</x:f>
        <x:v>1293.6066304537965</x:v>
      </x:c>
      <x:c r="J1750" s="10" t="n">
        <x:f>H1750*I1750</x:f>
        <x:v>9732.14789394414</x:v>
      </x:c>
      <x:c r="K1750" s="10" t="n">
        <x:f>J1750*'Assumptions'!$T$108</x:f>
        <x:v>9732.14789394414</x:v>
      </x:c>
      <x:c r="L1750" s="10" t="n">
        <x:f>K1750*'Assumptions'!$U$108</x:f>
        <x:v>291.9644368183242</x:v>
      </x:c>
      <x:c r="M1750" s="10" t="n">
        <x:f>K1750*'Assumptions'!$V$108</x:f>
        <x:v>0</x:v>
      </x:c>
      <x:c r="N1750" s="10" t="n">
        <x:f>K1750-L1750-M1750</x:f>
        <x:v>9440.183457125817</x:v>
      </x:c>
      <x:c r="O1750" s="10" t="n">
        <x:f>H1750*'Assumptions'!$P$108*'Assumptions'!$Q$108*'Assumptions'!$D$11*(1+'Assumptions'!$D$13)^(14-1)</x:f>
        <x:v>3535.414726571708</x:v>
      </x:c>
      <x:c r="P1750" s="10" t="n">
        <x:f>H1750*'Assumptions'!$R$108*'Assumptions'!$D$11*(1+'Assumptions'!$D$13)^(14-1)</x:f>
        <x:v>1104.8171020536586</x:v>
      </x:c>
      <x:c r="Q1750" s="10" t="n">
        <x:f>J1750*'Assumptions'!$S$108</x:f>
        <x:v>0</x:v>
      </x:c>
      <x:c r="R1750" s="10" t="n">
        <x:f>H1750*'Assumptions'!$Y$108*'Assumptions'!$Z$108*'Assumptions'!$D$11*(1+'Assumptions'!$D$13)^(14-1)</x:f>
        <x:v>165.7225653080488</x:v>
      </x:c>
      <x:c r="S1750" s="10" t="n">
        <x:f>IF(I1750=0,0,J1750*'Assumptions'!$W$108+H1750*'Assumptions'!$X$108)</x:f>
        <x:v>284.48926898265256</x:v>
      </x:c>
      <x:c r="T1750" s="10" t="n">
        <x:f>N1750*'Assumptions'!$AA$108</x:f>
        <x:v>755.2146765700653</x:v>
      </x:c>
      <x:c r="U1750" s="10" t="n">
        <x:f>'Assumptions'!$AE$108*'Assumptions'!$D$11*(1+'Assumptions'!$D$13)^(14-1)</x:f>
        <x:v>0</x:v>
      </x:c>
      <x:c r="V1750" s="10" t="n">
        <x:f>0</x:f>
        <x:v>0</x:v>
      </x:c>
      <x:c r="W1750" s="10" t="n">
        <x:f>H1750*('Assumptions'!$P$108+'Assumptions'!$Y$108)</x:f>
        <x:v>63.94776831771953</x:v>
      </x:c>
      <x:c r="X1750" s="10" t="n">
        <x:f>N1750/12*'Assumptions'!$AF$108</x:f>
        <x:v>786.6819547604847</x:v>
      </x:c>
      <x:c r="Y1750" s="10" t="n">
        <x:f>P1750/12</x:f>
        <x:v>92.06809183780489</x:v>
      </x:c>
      <x:c r="Z1750" s="10" t="n">
        <x:f>0</x:f>
        <x:v>0</x:v>
      </x:c>
      <x:c r="AA1750" s="10" t="n">
        <x:f>Z1750*'Assumptions'!$AC$108*'Assumptions'!$D$11*(1+'Assumptions'!$D$13)^(14-1)</x:f>
        <x:v>0</x:v>
      </x:c>
      <x:c r="AB1750" s="10" t="n">
        <x:f>F1750/1</x:f>
        <x:v>4.966827887955436</x:v>
      </x:c>
      <x:c r="AC1750" s="10" t="n">
        <x:f>AB1750/'Assumptions'!$AM$108</x:f>
        <x:v>49.66827887955436</x:v>
      </x:c>
      <x:c r="AD1750" s="10" t="n">
        <x:f>IF(AB1750=0,0,T1750/AB1750)</x:f>
        <x:v>152.0517105900653</x:v>
      </x:c>
      <x:c r="AE1750" s="10" t="n">
        <x:f>AA1750*'Assumptions'!$D$21</x:f>
        <x:v>0</x:v>
      </x:c>
    </x:row>
    <x:row r="1751" ht="16" customHeight="1">
      <x:c r="A1751" s="1"/>
      <x:c r="B1751" s="1"/>
      <x:c r="C1751" s="1" t="str">
        <x:v>DOT-080</x:v>
      </x:c>
      <x:c r="D1751" s="10" t="str">
        <x:v>Tomato Odyssey</x:v>
      </x:c>
      <x:c r="E1751" s="10" t="n">
        <x:v>14</x:v>
      </x:c>
      <x:c r="F1751" s="21" t="n">
        <x:f>F1623*(1+'Assumptions'!$M$109)</x:f>
        <x:v>14.900483663866307</x:v>
      </x:c>
      <x:c r="G1751" s="21" t="n">
        <x:f>H1623*'Assumptions'!$K$109</x:f>
        <x:v>7.669316918858232</x:v>
      </x:c>
      <x:c r="H1751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1751+G1751,NA())</x:f>
        <x:v>22.56980058272454</x:v>
      </x:c>
      <x:c r="I1751" s="22" t="n">
        <x:f>'Assumptions'!$H$109*IF('Assumptions'!$O$109=1,1,'Assumptions'!$D$10)*(1+'Assumptions'!$N$109)^(14-1)</x:f>
        <x:v>323.4016576134491</x:v>
      </x:c>
      <x:c r="J1751" s="10" t="n">
        <x:f>H1751*I1751</x:f>
        <x:v>7299.110920458106</x:v>
      </x:c>
      <x:c r="K1751" s="10" t="n">
        <x:f>J1751*'Assumptions'!$T$109</x:f>
        <x:v>7299.110920458106</x:v>
      </x:c>
      <x:c r="L1751" s="10" t="n">
        <x:f>K1751*'Assumptions'!$U$109</x:f>
        <x:v>218.97332761374318</x:v>
      </x:c>
      <x:c r="M1751" s="10" t="n">
        <x:f>K1751*'Assumptions'!$V$109</x:f>
        <x:v>0</x:v>
      </x:c>
      <x:c r="N1751" s="10" t="n">
        <x:f>K1751-L1751-M1751</x:f>
        <x:v>7080.137592844363</x:v>
      </x:c>
      <x:c r="O1751" s="10" t="n">
        <x:f>H1751*'Assumptions'!$P$109*'Assumptions'!$Q$109*'Assumptions'!$D$11*(1+'Assumptions'!$D$13)^(14-1)</x:f>
        <x:v>2651.5610449287806</x:v>
      </x:c>
      <x:c r="P1751" s="10" t="n">
        <x:f>H1751*'Assumptions'!$R$109*'Assumptions'!$D$11*(1+'Assumptions'!$D$13)^(14-1)</x:f>
        <x:v>0</x:v>
      </x:c>
      <x:c r="Q1751" s="10" t="n">
        <x:f>J1751*'Assumptions'!$S$109</x:f>
        <x:v>0</x:v>
      </x:c>
      <x:c r="R1751" s="10" t="n">
        <x:f>H1751*'Assumptions'!$Y$109*'Assumptions'!$Z$109*'Assumptions'!$D$11*(1+'Assumptions'!$D$13)^(14-1)</x:f>
        <x:v>497.16769592414636</x:v>
      </x:c>
      <x:c r="S1751" s="10" t="n">
        <x:f>IF(I1751=0,0,J1751*'Assumptions'!$W$109+H1751*'Assumptions'!$X$109)</x:f>
        <x:v>218.44515686810246</x:v>
      </x:c>
      <x:c r="T1751" s="10" t="n">
        <x:f>N1751*'Assumptions'!$AA$109</x:f>
        <x:v>566.4110074275491</x:v>
      </x:c>
      <x:c r="U1751" s="10" t="n">
        <x:f>'Assumptions'!$AE$109*'Assumptions'!$D$11*(1+'Assumptions'!$D$13)^(14-1)</x:f>
        <x:v>0</x:v>
      </x:c>
      <x:c r="V1751" s="10" t="n">
        <x:f>0</x:f>
        <x:v>0</x:v>
      </x:c>
      <x:c r="W1751" s="10" t="n">
        <x:f>H1751*('Assumptions'!$P$109+'Assumptions'!$Y$109)</x:f>
        <x:v>56.42450145681135</x:v>
      </x:c>
      <x:c r="X1751" s="10" t="n">
        <x:f>N1751/12*'Assumptions'!$AF$109</x:f>
        <x:v>590.0114660703636</x:v>
      </x:c>
      <x:c r="Y1751" s="10" t="n">
        <x:f>P1751/12</x:f>
        <x:v>0</x:v>
      </x:c>
      <x:c r="Z1751" s="10" t="n">
        <x:f>0</x:f>
        <x:v>0</x:v>
      </x:c>
      <x:c r="AA1751" s="10" t="n">
        <x:f>Z1751*'Assumptions'!$AC$109*'Assumptions'!$D$11*(1+'Assumptions'!$D$13)^(14-1)</x:f>
        <x:v>0</x:v>
      </x:c>
      <x:c r="AB1751" s="10" t="n">
        <x:f>F1751/1</x:f>
        <x:v>14.900483663866307</x:v>
      </x:c>
      <x:c r="AC1751" s="10" t="n">
        <x:f>AB1751/'Assumptions'!$AM$109</x:f>
        <x:v>149.00483663866305</x:v>
      </x:c>
      <x:c r="AD1751" s="10" t="n">
        <x:f>IF(AB1751=0,0,T1751/AB1751)</x:f>
        <x:v>38.012927647516335</x:v>
      </x:c>
      <x:c r="AE1751" s="10" t="n">
        <x:f>AA1751*'Assumptions'!$D$21</x:f>
        <x:v>0</x:v>
      </x:c>
    </x:row>
    <x:row r="1752" ht="16" customHeight="1">
      <x:c r="A1752" s="1"/>
      <x:c r="B1752" s="1"/>
      <x:c r="C1752" s="1" t="str">
        <x:v>DOT-081</x:v>
      </x:c>
      <x:c r="D1752" s="10" t="str">
        <x:v>Tomato Odyssey</x:v>
      </x:c>
      <x:c r="E1752" s="10" t="n">
        <x:v>14</x:v>
      </x:c>
      <x:c r="F1752" s="21" t="n">
        <x:f>F1624*(1+'Assumptions'!$M$110)</x:f>
        <x:v>4.966827887955436</x:v>
      </x:c>
      <x:c r="G1752" s="21" t="n">
        <x:f>H1624*'Assumptions'!$K$110</x:f>
        <x:v>2.556438972952744</x:v>
      </x:c>
      <x:c r="H1752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1752+G1752,NA())</x:f>
        <x:v>7.52326686090818</x:v>
      </x:c>
      <x:c r="I1752" s="22" t="n">
        <x:f>'Assumptions'!$H$110*IF('Assumptions'!$O$110=1,1,'Assumptions'!$D$10)*(1+'Assumptions'!$N$110)^(14-1)</x:f>
        <x:v>1293.6066304537965</x:v>
      </x:c>
      <x:c r="J1752" s="10" t="n">
        <x:f>H1752*I1752</x:f>
        <x:v>9732.14789394414</x:v>
      </x:c>
      <x:c r="K1752" s="10" t="n">
        <x:f>J1752*'Assumptions'!$T$110</x:f>
        <x:v>9732.14789394414</x:v>
      </x:c>
      <x:c r="L1752" s="10" t="n">
        <x:f>K1752*'Assumptions'!$U$110</x:f>
        <x:v>291.9644368183242</x:v>
      </x:c>
      <x:c r="M1752" s="10" t="n">
        <x:f>K1752*'Assumptions'!$V$110</x:f>
        <x:v>0</x:v>
      </x:c>
      <x:c r="N1752" s="10" t="n">
        <x:f>K1752-L1752-M1752</x:f>
        <x:v>9440.183457125817</x:v>
      </x:c>
      <x:c r="O1752" s="10" t="n">
        <x:f>H1752*'Assumptions'!$P$110*'Assumptions'!$Q$110*'Assumptions'!$D$11*(1+'Assumptions'!$D$13)^(14-1)</x:f>
        <x:v>3535.414726571708</x:v>
      </x:c>
      <x:c r="P1752" s="10" t="n">
        <x:f>H1752*'Assumptions'!$R$110*'Assumptions'!$D$11*(1+'Assumptions'!$D$13)^(14-1)</x:f>
        <x:v>1104.8171020536586</x:v>
      </x:c>
      <x:c r="Q1752" s="10" t="n">
        <x:f>J1752*'Assumptions'!$S$110</x:f>
        <x:v>0</x:v>
      </x:c>
      <x:c r="R1752" s="10" t="n">
        <x:f>H1752*'Assumptions'!$Y$110*'Assumptions'!$Z$110*'Assumptions'!$D$11*(1+'Assumptions'!$D$13)^(14-1)</x:f>
        <x:v>165.7225653080488</x:v>
      </x:c>
      <x:c r="S1752" s="10" t="n">
        <x:f>IF(I1752=0,0,J1752*'Assumptions'!$W$110+H1752*'Assumptions'!$X$110)</x:f>
        <x:v>284.48926898265256</x:v>
      </x:c>
      <x:c r="T1752" s="10" t="n">
        <x:f>N1752*'Assumptions'!$AA$110</x:f>
        <x:v>755.2146765700653</x:v>
      </x:c>
      <x:c r="U1752" s="10" t="n">
        <x:f>'Assumptions'!$AE$110*'Assumptions'!$D$11*(1+'Assumptions'!$D$13)^(14-1)</x:f>
        <x:v>0</x:v>
      </x:c>
      <x:c r="V1752" s="10" t="n">
        <x:f>0</x:f>
        <x:v>0</x:v>
      </x:c>
      <x:c r="W1752" s="10" t="n">
        <x:f>H1752*('Assumptions'!$P$110+'Assumptions'!$Y$110)</x:f>
        <x:v>63.94776831771953</x:v>
      </x:c>
      <x:c r="X1752" s="10" t="n">
        <x:f>N1752/12*'Assumptions'!$AF$110</x:f>
        <x:v>786.6819547604847</x:v>
      </x:c>
      <x:c r="Y1752" s="10" t="n">
        <x:f>P1752/12</x:f>
        <x:v>92.06809183780489</x:v>
      </x:c>
      <x:c r="Z1752" s="10" t="n">
        <x:f>0</x:f>
        <x:v>0</x:v>
      </x:c>
      <x:c r="AA1752" s="10" t="n">
        <x:f>Z1752*'Assumptions'!$AC$110*'Assumptions'!$D$11*(1+'Assumptions'!$D$13)^(14-1)</x:f>
        <x:v>0</x:v>
      </x:c>
      <x:c r="AB1752" s="10" t="n">
        <x:f>F1752/1</x:f>
        <x:v>4.966827887955436</x:v>
      </x:c>
      <x:c r="AC1752" s="10" t="n">
        <x:f>AB1752/'Assumptions'!$AM$110</x:f>
        <x:v>49.66827887955436</x:v>
      </x:c>
      <x:c r="AD1752" s="10" t="n">
        <x:f>IF(AB1752=0,0,T1752/AB1752)</x:f>
        <x:v>152.0517105900653</x:v>
      </x:c>
      <x:c r="AE1752" s="10" t="n">
        <x:f>AA1752*'Assumptions'!$D$21</x:f>
        <x:v>0</x:v>
      </x:c>
    </x:row>
    <x:row r="1753" ht="16" customHeight="1">
      <x:c r="A1753" s="1"/>
      <x:c r="B1753" s="1"/>
      <x:c r="C1753" s="1" t="str">
        <x:v>DOT-082</x:v>
      </x:c>
      <x:c r="D1753" s="10" t="str">
        <x:v>Semajes Studio</x:v>
      </x:c>
      <x:c r="E1753" s="10" t="n">
        <x:v>14</x:v>
      </x:c>
      <x:c r="F1753" s="21" t="n">
        <x:f>F1625*(1+'Assumptions'!$M$111)</x:f>
        <x:v>34.38573153199915</x:v>
      </x:c>
      <x:c r="G1753" s="21" t="n">
        <x:f>H1625*'Assumptions'!$K$111</x:f>
        <x:v>32.43297176146736</x:v>
      </x:c>
      <x:c r="H1753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1753+G1753,NA())</x:f>
        <x:v>66.81870329346651</x:v>
      </x:c>
      <x:c r="I1753" s="22" t="n">
        <x:f>'Assumptions'!$H$111*IF('Assumptions'!$O$111=1,1,'Assumptions'!$D$10)*(1+'Assumptions'!$N$111)^(14-1)</x:f>
        <x:v>711.483646749588</x:v>
      </x:c>
      <x:c r="J1753" s="10" t="n">
        <x:f>H1753*I1753</x:f>
        <x:v>47540.41469031426</x:v>
      </x:c>
      <x:c r="K1753" s="10" t="n">
        <x:f>J1753*'Assumptions'!$T$111</x:f>
        <x:v>47540.41469031426</x:v>
      </x:c>
      <x:c r="L1753" s="10" t="n">
        <x:f>K1753*'Assumptions'!$U$111</x:f>
        <x:v>1426.2124407094277</x:v>
      </x:c>
      <x:c r="M1753" s="10" t="n">
        <x:f>K1753*'Assumptions'!$V$111</x:f>
        <x:v>0</x:v>
      </x:c>
      <x:c r="N1753" s="10" t="n">
        <x:f>K1753-L1753-M1753</x:f>
        <x:v>46114.20224960483</x:v>
      </x:c>
      <x:c r="O1753" s="10" t="n">
        <x:f>H1753*'Assumptions'!$P$111*'Assumptions'!$Q$111*'Assumptions'!$D$11*(1+'Assumptions'!$D$13)^(14-1)</x:f>
        <x:v>29437.655542671804</x:v>
      </x:c>
      <x:c r="P1753" s="10" t="n">
        <x:f>H1753*'Assumptions'!$R$111*'Assumptions'!$D$11*(1+'Assumptions'!$D$13)^(14-1)</x:f>
        <x:v>7850.041478045814</x:v>
      </x:c>
      <x:c r="Q1753" s="10" t="n">
        <x:f>J1753*'Assumptions'!$S$111</x:f>
        <x:v>0</x:v>
      </x:c>
      <x:c r="R1753" s="10" t="n">
        <x:f>H1753*'Assumptions'!$Y$111*'Assumptions'!$Z$111*'Assumptions'!$D$11*(1+'Assumptions'!$D$13)^(14-1)</x:f>
        <x:v>735.941388566795</x:v>
      </x:c>
      <x:c r="S1753" s="10" t="n">
        <x:f>IF(I1753=0,0,J1753*'Assumptions'!$W$111+H1753*'Assumptions'!$X$111)</x:f>
        <x:v>1398.7176370071536</x:v>
      </x:c>
      <x:c r="T1753" s="10" t="n">
        <x:f>N1753*'Assumptions'!$AA$111</x:f>
        <x:v>1844.5680899841932</x:v>
      </x:c>
      <x:c r="U1753" s="10" t="n">
        <x:f>'Assumptions'!$AE$111*'Assumptions'!$D$11*(1+'Assumptions'!$D$13)^(14-1)</x:f>
        <x:v>0</x:v>
      </x:c>
      <x:c r="V1753" s="10" t="n">
        <x:f>0</x:f>
        <x:v>0</x:v>
      </x:c>
      <x:c r="W1753" s="10" t="n">
        <x:f>H1753*('Assumptions'!$P$111+'Assumptions'!$Y$111)</x:f>
        <x:v>417.6168955841657</x:v>
      </x:c>
      <x:c r="X1753" s="10" t="n">
        <x:f>N1753/12*'Assumptions'!$AF$111</x:f>
        <x:v>3842.850187467069</x:v>
      </x:c>
      <x:c r="Y1753" s="10" t="n">
        <x:f>P1753/12</x:f>
        <x:v>654.1701231704845</x:v>
      </x:c>
      <x:c r="Z1753" s="10" t="n">
        <x:f>0</x:f>
        <x:v>0</x:v>
      </x:c>
      <x:c r="AA1753" s="10" t="n">
        <x:f>Z1753*'Assumptions'!$AC$111*'Assumptions'!$D$11*(1+'Assumptions'!$D$13)^(14-1)</x:f>
        <x:v>0</x:v>
      </x:c>
      <x:c r="AB1753" s="10" t="n">
        <x:f>F1753/1</x:f>
        <x:v>34.38573153199915</x:v>
      </x:c>
      <x:c r="AC1753" s="10" t="n">
        <x:f>AB1753/'Assumptions'!$AM$111</x:f>
        <x:v>171.92865765999574</x:v>
      </x:c>
      <x:c r="AD1753" s="10" t="n">
        <x:f>IF(AB1753=0,0,T1753/AB1753)</x:f>
        <x:v>53.64341567861221</x:v>
      </x:c>
      <x:c r="AE1753" s="10" t="n">
        <x:f>AA1753*'Assumptions'!$D$21</x:f>
        <x:v>0</x:v>
      </x:c>
    </x:row>
    <x:row r="1754" ht="16" customHeight="1">
      <x:c r="A1754" s="1"/>
      <x:c r="B1754" s="1"/>
      <x:c r="C1754" s="1" t="str">
        <x:v>DOT-083</x:v>
      </x:c>
      <x:c r="D1754" s="10" t="str">
        <x:v>Semajes Studio</x:v>
      </x:c>
      <x:c r="E1754" s="10" t="n">
        <x:v>14</x:v>
      </x:c>
      <x:c r="F1754" s="21" t="n">
        <x:f>F1626*(1+'Assumptions'!$M$112)</x:f>
        <x:v>17.192865765999574</x:v>
      </x:c>
      <x:c r="G1754" s="21" t="n">
        <x:f>H1626*'Assumptions'!$K$112</x:f>
        <x:v>16.21648588073368</x:v>
      </x:c>
      <x:c r="H1754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1754+G1754,NA())</x:f>
        <x:v>33.409351646733256</x:v>
      </x:c>
      <x:c r="I1754" s="22" t="n">
        <x:f>'Assumptions'!$H$112*IF('Assumptions'!$O$112=1,1,'Assumptions'!$D$10)*(1+'Assumptions'!$N$112)^(14-1)</x:f>
        <x:v>1552.327956544556</x:v>
      </x:c>
      <x:c r="J1754" s="10" t="n">
        <x:f>H1754*I1754</x:f>
        <x:v>51862.27057125193</x:v>
      </x:c>
      <x:c r="K1754" s="10" t="n">
        <x:f>J1754*'Assumptions'!$T$112</x:f>
        <x:v>51862.27057125193</x:v>
      </x:c>
      <x:c r="L1754" s="10" t="n">
        <x:f>K1754*'Assumptions'!$U$112</x:f>
        <x:v>1555.8681171375579</x:v>
      </x:c>
      <x:c r="M1754" s="10" t="n">
        <x:f>K1754*'Assumptions'!$V$112</x:f>
        <x:v>0</x:v>
      </x:c>
      <x:c r="N1754" s="10" t="n">
        <x:f>K1754-L1754-M1754</x:f>
        <x:v>50306.40245411437</x:v>
      </x:c>
      <x:c r="O1754" s="10" t="n">
        <x:f>H1754*'Assumptions'!$P$112*'Assumptions'!$Q$112*'Assumptions'!$D$11*(1+'Assumptions'!$D$13)^(14-1)</x:f>
        <x:v>24531.379618893174</x:v>
      </x:c>
      <x:c r="P1754" s="10" t="n">
        <x:f>H1754*'Assumptions'!$R$112*'Assumptions'!$D$11*(1+'Assumptions'!$D$13)^(14-1)</x:f>
        <x:v>7359.413885667951</x:v>
      </x:c>
      <x:c r="Q1754" s="10" t="n">
        <x:f>J1754*'Assumptions'!$S$112</x:f>
        <x:v>0</x:v>
      </x:c>
      <x:c r="R1754" s="10" t="n">
        <x:f>H1754*'Assumptions'!$Y$112*'Assumptions'!$Z$112*'Assumptions'!$D$11*(1+'Assumptions'!$D$13)^(14-1)</x:f>
        <x:v>367.9706942833975</x:v>
      </x:c>
      <x:c r="S1754" s="10" t="n">
        <x:f>IF(I1754=0,0,J1754*'Assumptions'!$W$112+H1754*'Assumptions'!$X$112)</x:f>
        <x:v>1514.028652060326</x:v>
      </x:c>
      <x:c r="T1754" s="10" t="n">
        <x:f>N1754*'Assumptions'!$AA$112</x:f>
        <x:v>2012.256098164575</x:v>
      </x:c>
      <x:c r="U1754" s="10" t="n">
        <x:f>'Assumptions'!$AE$112*'Assumptions'!$D$11*(1+'Assumptions'!$D$13)^(14-1)</x:f>
        <x:v>0</x:v>
      </x:c>
      <x:c r="V1754" s="10" t="n">
        <x:f>0</x:f>
        <x:v>0</x:v>
      </x:c>
      <x:c r="W1754" s="10" t="n">
        <x:f>H1754*('Assumptions'!$P$112+'Assumptions'!$Y$112)</x:f>
        <x:v>342.4458543790159</x:v>
      </x:c>
      <x:c r="X1754" s="10" t="n">
        <x:f>N1754/12*'Assumptions'!$AF$112</x:f>
        <x:v>4192.200204509531</x:v>
      </x:c>
      <x:c r="Y1754" s="10" t="n">
        <x:f>P1754/12</x:f>
        <x:v>613.2844904723293</x:v>
      </x:c>
      <x:c r="Z1754" s="10" t="n">
        <x:f>0</x:f>
        <x:v>0</x:v>
      </x:c>
      <x:c r="AA1754" s="10" t="n">
        <x:f>Z1754*'Assumptions'!$AC$112*'Assumptions'!$D$11*(1+'Assumptions'!$D$13)^(14-1)</x:f>
        <x:v>0</x:v>
      </x:c>
      <x:c r="AB1754" s="10" t="n">
        <x:f>F1754/1</x:f>
        <x:v>17.192865765999574</x:v>
      </x:c>
      <x:c r="AC1754" s="10" t="n">
        <x:f>AB1754/'Assumptions'!$AM$112</x:f>
        <x:v>85.96432882999787</x:v>
      </x:c>
      <x:c r="AD1754" s="10" t="n">
        <x:f>IF(AB1754=0,0,T1754/AB1754)</x:f>
        <x:v>117.04017966242667</x:v>
      </x:c>
      <x:c r="AE1754" s="10" t="n">
        <x:f>AA1754*'Assumptions'!$D$21</x:f>
        <x:v>0</x:v>
      </x:c>
    </x:row>
    <x:row r="1755" ht="16" customHeight="1">
      <x:c r="A1755" s="1"/>
      <x:c r="B1755" s="1"/>
      <x:c r="C1755" s="1" t="str">
        <x:v>DOT-084</x:v>
      </x:c>
      <x:c r="D1755" s="10" t="str">
        <x:v>Semajes Studio</x:v>
      </x:c>
      <x:c r="E1755" s="10" t="n">
        <x:v>14</x:v>
      </x:c>
      <x:c r="F1755" s="21" t="n">
        <x:f>F1627*(1+'Assumptions'!$M$113)</x:f>
        <x:v>114.61910510666387</x:v>
      </x:c>
      <x:c r="G1755" s="21" t="n">
        <x:f>H1627*'Assumptions'!$K$113</x:f>
        <x:v>108.10990587155788</x:v>
      </x:c>
      <x:c r="H1755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1755+G1755,NA())</x:f>
        <x:v>222.72901097822177</x:v>
      </x:c>
      <x:c r="I1755" s="22" t="n">
        <x:f>'Assumptions'!$H$113*IF('Assumptions'!$O$113=1,1,'Assumptions'!$D$10)*(1+'Assumptions'!$N$113)^(14-1)</x:f>
        <x:v>45.27623206588288</x:v>
      </x:c>
      <x:c r="J1755" s="10" t="n">
        <x:f>H1755*I1755</x:f>
        <x:v>10084.330388854545</x:v>
      </x:c>
      <x:c r="K1755" s="10" t="n">
        <x:f>J1755*'Assumptions'!$T$113</x:f>
        <x:v>10084.330388854545</x:v>
      </x:c>
      <x:c r="L1755" s="10" t="n">
        <x:f>K1755*'Assumptions'!$U$113</x:f>
        <x:v>302.52991166563635</x:v>
      </x:c>
      <x:c r="M1755" s="10" t="n">
        <x:f>K1755*'Assumptions'!$V$113</x:f>
        <x:v>0</x:v>
      </x:c>
      <x:c r="N1755" s="10" t="n">
        <x:f>K1755-L1755-M1755</x:f>
        <x:v>9781.800477188908</x:v>
      </x:c>
      <x:c r="O1755" s="10" t="n">
        <x:f>H1755*'Assumptions'!$P$113*'Assumptions'!$Q$113*'Assumptions'!$D$11*(1+'Assumptions'!$D$13)^(14-1)</x:f>
        <x:v>1635.4253079262119</x:v>
      </x:c>
      <x:c r="P1755" s="10" t="n">
        <x:f>H1755*'Assumptions'!$R$113*'Assumptions'!$D$11*(1+'Assumptions'!$D$13)^(14-1)</x:f>
        <x:v>0</x:v>
      </x:c>
      <x:c r="Q1755" s="10" t="n">
        <x:f>J1755*'Assumptions'!$S$113</x:f>
        <x:v>0</x:v>
      </x:c>
      <x:c r="R1755" s="10" t="n">
        <x:f>H1755*'Assumptions'!$Y$113*'Assumptions'!$Z$113*'Assumptions'!$D$11*(1+'Assumptions'!$D$13)^(14-1)</x:f>
        <x:v>2453.137961889318</x:v>
      </x:c>
      <x:c r="S1755" s="10" t="n">
        <x:f>IF(I1755=0,0,J1755*'Assumptions'!$W$113+H1755*'Assumptions'!$X$113)</x:f>
        <x:v>359.2642845702483</x:v>
      </x:c>
      <x:c r="T1755" s="10" t="n">
        <x:f>N1755*'Assumptions'!$AA$113</x:f>
        <x:v>391.2720190875563</x:v>
      </x:c>
      <x:c r="U1755" s="10" t="n">
        <x:f>'Assumptions'!$AE$113*'Assumptions'!$D$11*(1+'Assumptions'!$D$13)^(14-1)</x:f>
        <x:v>0</x:v>
      </x:c>
      <x:c r="V1755" s="10" t="n">
        <x:f>0</x:f>
        <x:v>0</x:v>
      </x:c>
      <x:c r="W1755" s="10" t="n">
        <x:f>H1755*('Assumptions'!$P$113+'Assumptions'!$Y$113)</x:f>
        <x:v>77.95515384237761</x:v>
      </x:c>
      <x:c r="X1755" s="10" t="n">
        <x:f>N1755/12*'Assumptions'!$AF$113</x:f>
        <x:v>815.1500397657423</x:v>
      </x:c>
      <x:c r="Y1755" s="10" t="n">
        <x:f>P1755/12</x:f>
        <x:v>0</x:v>
      </x:c>
      <x:c r="Z1755" s="10" t="n">
        <x:f>0</x:f>
        <x:v>0</x:v>
      </x:c>
      <x:c r="AA1755" s="10" t="n">
        <x:f>Z1755*'Assumptions'!$AC$113*'Assumptions'!$D$11*(1+'Assumptions'!$D$13)^(14-1)</x:f>
        <x:v>0</x:v>
      </x:c>
      <x:c r="AB1755" s="10" t="n">
        <x:f>F1755/1</x:f>
        <x:v>114.61910510666387</x:v>
      </x:c>
      <x:c r="AC1755" s="10" t="n">
        <x:f>AB1755/'Assumptions'!$AM$113</x:f>
        <x:v>573.0955255333193</x:v>
      </x:c>
      <x:c r="AD1755" s="10" t="n">
        <x:f>IF(AB1755=0,0,T1755/AB1755)</x:f>
        <x:v>3.413671906820777</x:v>
      </x:c>
      <x:c r="AE1755" s="10" t="n">
        <x:f>AA1755*'Assumptions'!$D$21</x:f>
        <x:v>0</x:v>
      </x:c>
    </x:row>
    <x:row r="1756" ht="16" customHeight="1">
      <x:c r="A1756" s="1"/>
      <x:c r="B1756" s="1"/>
      <x:c r="C1756" s="1" t="str">
        <x:v>DOT-085</x:v>
      </x:c>
      <x:c r="D1756" s="10" t="str">
        <x:v>Semajes Studio</x:v>
      </x:c>
      <x:c r="E1756" s="10" t="n">
        <x:v>14</x:v>
      </x:c>
      <x:c r="F1756" s="21" t="n">
        <x:f>F1628*(1+'Assumptions'!$M$114)</x:f>
        <x:v>34.38573153199915</x:v>
      </x:c>
      <x:c r="G1756" s="21" t="n">
        <x:f>H1628*'Assumptions'!$K$114</x:f>
        <x:v>32.43297176146736</x:v>
      </x:c>
      <x:c r="H1756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1756+G1756,NA())</x:f>
        <x:v>66.81870329346651</x:v>
      </x:c>
      <x:c r="I1756" s="22" t="n">
        <x:f>'Assumptions'!$H$114*IF('Assumptions'!$O$114=1,1,'Assumptions'!$D$10)*(1+'Assumptions'!$N$114)^(14-1)</x:f>
        <x:v>194.0409945680695</x:v>
      </x:c>
      <x:c r="J1756" s="10" t="n">
        <x:f>H1756*I1756</x:f>
        <x:v>12965.567642812983</x:v>
      </x:c>
      <x:c r="K1756" s="10" t="n">
        <x:f>J1756*'Assumptions'!$T$114</x:f>
        <x:v>12965.567642812983</x:v>
      </x:c>
      <x:c r="L1756" s="10" t="n">
        <x:f>K1756*'Assumptions'!$U$114</x:f>
        <x:v>388.96702928438947</x:v>
      </x:c>
      <x:c r="M1756" s="10" t="n">
        <x:f>K1756*'Assumptions'!$V$114</x:f>
        <x:v>0</x:v>
      </x:c>
      <x:c r="N1756" s="10" t="n">
        <x:f>K1756-L1756-M1756</x:f>
        <x:v>12576.600613528593</x:v>
      </x:c>
      <x:c r="O1756" s="10" t="n">
        <x:f>H1756*'Assumptions'!$P$114*'Assumptions'!$Q$114*'Assumptions'!$D$11*(1+'Assumptions'!$D$13)^(14-1)</x:f>
        <x:v>1226.5689809446585</x:v>
      </x:c>
      <x:c r="P1756" s="10" t="n">
        <x:f>H1756*'Assumptions'!$R$114*'Assumptions'!$D$11*(1+'Assumptions'!$D$13)^(14-1)</x:f>
        <x:v>0</x:v>
      </x:c>
      <x:c r="Q1756" s="10" t="n">
        <x:f>J1756*'Assumptions'!$S$114</x:f>
        <x:v>0</x:v>
      </x:c>
      <x:c r="R1756" s="10" t="n">
        <x:f>H1756*'Assumptions'!$Y$114*'Assumptions'!$Z$114*'Assumptions'!$D$11*(1+'Assumptions'!$D$13)^(14-1)</x:f>
        <x:v>735.941388566795</x:v>
      </x:c>
      <x:c r="S1756" s="10" t="n">
        <x:f>IF(I1756=0,0,J1756*'Assumptions'!$W$114+H1756*'Assumptions'!$X$114)</x:f>
        <x:v>396.0470726296164</x:v>
      </x:c>
      <x:c r="T1756" s="10" t="n">
        <x:f>N1756*'Assumptions'!$AA$114</x:f>
        <x:v>503.06402454114374</x:v>
      </x:c>
      <x:c r="U1756" s="10" t="n">
        <x:f>'Assumptions'!$AE$114*'Assumptions'!$D$11*(1+'Assumptions'!$D$13)^(14-1)</x:f>
        <x:v>0</x:v>
      </x:c>
      <x:c r="V1756" s="10" t="n">
        <x:f>0</x:f>
        <x:v>0</x:v>
      </x:c>
      <x:c r="W1756" s="10" t="n">
        <x:f>H1756*('Assumptions'!$P$114+'Assumptions'!$Y$114)</x:f>
        <x:v>33.409351646733256</x:v>
      </x:c>
      <x:c r="X1756" s="10" t="n">
        <x:f>N1756/12*'Assumptions'!$AF$114</x:f>
        <x:v>1048.0500511273829</x:v>
      </x:c>
      <x:c r="Y1756" s="10" t="n">
        <x:f>P1756/12</x:f>
        <x:v>0</x:v>
      </x:c>
      <x:c r="Z1756" s="10" t="n">
        <x:f>0</x:f>
        <x:v>0</x:v>
      </x:c>
      <x:c r="AA1756" s="10" t="n">
        <x:f>Z1756*'Assumptions'!$AC$114*'Assumptions'!$D$11*(1+'Assumptions'!$D$13)^(14-1)</x:f>
        <x:v>0</x:v>
      </x:c>
      <x:c r="AB1756" s="10" t="n">
        <x:f>F1756/1</x:f>
        <x:v>34.38573153199915</x:v>
      </x:c>
      <x:c r="AC1756" s="10" t="n">
        <x:f>AB1756/'Assumptions'!$AM$114</x:f>
        <x:v>171.92865765999574</x:v>
      </x:c>
      <x:c r="AD1756" s="10" t="n">
        <x:f>IF(AB1756=0,0,T1756/AB1756)</x:f>
        <x:v>14.630022457803333</x:v>
      </x:c>
      <x:c r="AE1756" s="10" t="n">
        <x:f>AA1756*'Assumptions'!$D$21</x:f>
        <x:v>0</x:v>
      </x:c>
    </x:row>
    <x:row r="1757" ht="16" customHeight="1">
      <x:c r="A1757" s="1"/>
      <x:c r="B1757" s="1"/>
      <x:c r="C1757" s="1" t="str">
        <x:v>DOT-086</x:v>
      </x:c>
      <x:c r="D1757" s="10" t="str">
        <x:v>Semajes Studio</x:v>
      </x:c>
      <x:c r="E1757" s="10" t="n">
        <x:v>14</x:v>
      </x:c>
      <x:c r="F1757" s="21" t="n">
        <x:f>F1629*(1+'Assumptions'!$M$115)</x:f>
        <x:v>17.192865765999574</x:v>
      </x:c>
      <x:c r="G1757" s="21" t="n">
        <x:f>H1629*'Assumptions'!$K$115</x:f>
        <x:v>16.21648588073368</x:v>
      </x:c>
      <x:c r="H1757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1757+G1757,NA())</x:f>
        <x:v>33.409351646733256</x:v>
      </x:c>
      <x:c r="I1757" s="22" t="n">
        <x:f>'Assumptions'!$H$115*IF('Assumptions'!$O$115=1,1,'Assumptions'!$D$10)*(1+'Assumptions'!$N$115)^(14-1)</x:f>
        <x:v>646.8033152268982</x:v>
      </x:c>
      <x:c r="J1757" s="10" t="n">
        <x:f>H1757*I1757</x:f>
        <x:v>21609.279404688303</x:v>
      </x:c>
      <x:c r="K1757" s="10" t="n">
        <x:f>J1757*'Assumptions'!$T$115</x:f>
        <x:v>21609.279404688303</x:v>
      </x:c>
      <x:c r="L1757" s="10" t="n">
        <x:f>K1757*'Assumptions'!$U$115</x:f>
        <x:v>648.2783821406491</x:v>
      </x:c>
      <x:c r="M1757" s="10" t="n">
        <x:f>K1757*'Assumptions'!$V$115</x:f>
        <x:v>0</x:v>
      </x:c>
      <x:c r="N1757" s="10" t="n">
        <x:f>K1757-L1757-M1757</x:f>
        <x:v>20961.001022547654</x:v>
      </x:c>
      <x:c r="O1757" s="10" t="n">
        <x:f>H1757*'Assumptions'!$P$115*'Assumptions'!$Q$115*'Assumptions'!$D$11*(1+'Assumptions'!$D$13)^(14-1)</x:f>
        <x:v>2453.137961889317</x:v>
      </x:c>
      <x:c r="P1757" s="10" t="n">
        <x:f>H1757*'Assumptions'!$R$115*'Assumptions'!$D$11*(1+'Assumptions'!$D$13)^(14-1)</x:f>
        <x:v>0</x:v>
      </x:c>
      <x:c r="Q1757" s="10" t="n">
        <x:f>J1757*'Assumptions'!$S$115</x:f>
        <x:v>0</x:v>
      </x:c>
      <x:c r="R1757" s="10" t="n">
        <x:f>H1757*'Assumptions'!$Y$115*'Assumptions'!$Z$115*'Assumptions'!$D$11*(1+'Assumptions'!$D$13)^(14-1)</x:f>
        <x:v>367.9706942833975</x:v>
      </x:c>
      <x:c r="S1757" s="10" t="n">
        <x:f>IF(I1757=0,0,J1757*'Assumptions'!$W$115+H1757*'Assumptions'!$X$115)</x:f>
        <x:v>636.6919082299808</x:v>
      </x:c>
      <x:c r="T1757" s="10" t="n">
        <x:f>N1757*'Assumptions'!$AA$115</x:f>
        <x:v>838.4400409019062</x:v>
      </x:c>
      <x:c r="U1757" s="10" t="n">
        <x:f>'Assumptions'!$AE$115*'Assumptions'!$D$11*(1+'Assumptions'!$D$13)^(14-1)</x:f>
        <x:v>0</x:v>
      </x:c>
      <x:c r="V1757" s="10" t="n">
        <x:f>0</x:f>
        <x:v>0</x:v>
      </x:c>
      <x:c r="W1757" s="10" t="n">
        <x:f>H1757*('Assumptions'!$P$115+'Assumptions'!$Y$115)</x:f>
        <x:v>41.76168955841657</x:v>
      </x:c>
      <x:c r="X1757" s="10" t="n">
        <x:f>N1757/12*'Assumptions'!$AF$115</x:f>
        <x:v>1746.7500852123046</x:v>
      </x:c>
      <x:c r="Y1757" s="10" t="n">
        <x:f>P1757/12</x:f>
        <x:v>0</x:v>
      </x:c>
      <x:c r="Z1757" s="10" t="n">
        <x:f>0</x:f>
        <x:v>0</x:v>
      </x:c>
      <x:c r="AA1757" s="10" t="n">
        <x:f>Z1757*'Assumptions'!$AC$115*'Assumptions'!$D$11*(1+'Assumptions'!$D$13)^(14-1)</x:f>
        <x:v>0</x:v>
      </x:c>
      <x:c r="AB1757" s="10" t="n">
        <x:f>F1757/1</x:f>
        <x:v>17.192865765999574</x:v>
      </x:c>
      <x:c r="AC1757" s="10" t="n">
        <x:f>AB1757/'Assumptions'!$AM$115</x:f>
        <x:v>85.96432882999787</x:v>
      </x:c>
      <x:c r="AD1757" s="10" t="n">
        <x:f>IF(AB1757=0,0,T1757/AB1757)</x:f>
        <x:v>48.7667415260111</x:v>
      </x:c>
      <x:c r="AE1757" s="10" t="n">
        <x:f>AA1757*'Assumptions'!$D$21</x:f>
        <x:v>0</x:v>
      </x:c>
    </x:row>
    <x:row r="1758" ht="16" customHeight="1">
      <x:c r="A1758" s="1"/>
      <x:c r="B1758" s="1"/>
      <x:c r="C1758" s="1" t="str">
        <x:v>DOT-087</x:v>
      </x:c>
      <x:c r="D1758" s="10" t="str">
        <x:v>Semajes Studio</x:v>
      </x:c>
      <x:c r="E1758" s="10" t="n">
        <x:v>14</x:v>
      </x:c>
      <x:c r="F1758" s="21" t="n">
        <x:f>F1630*(1+'Assumptions'!$M$116)</x:f>
        <x:v>172.45921267378915</x:v>
      </x:c>
      <x:c r="G1758" s="21" t="n">
        <x:f>H1630*'Assumptions'!$K$116</x:f>
        <x:v>70.87352775460342</x:v>
      </x:c>
      <x:c r="H1758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1758+G1758,NA())</x:f>
        <x:v>243.33274042839258</x:v>
      </x:c>
      <x:c r="I1758" s="22" t="n">
        <x:f>'Assumptions'!$H$116*IF('Assumptions'!$O$116=1,1,'Assumptions'!$D$10)*(1+'Assumptions'!$N$116)^(14-1)</x:f>
        <x:v>122.89262989311067</x:v>
      </x:c>
      <x:c r="J1758" s="10" t="n">
        <x:f>H1758*I1758</x:f>
        <x:v>29903.800410342817</x:v>
      </x:c>
      <x:c r="K1758" s="10" t="n">
        <x:f>J1758*'Assumptions'!$T$116</x:f>
        <x:v>29903.800410342817</x:v>
      </x:c>
      <x:c r="L1758" s="10" t="n">
        <x:f>K1758*'Assumptions'!$U$116</x:f>
        <x:v>897.1140123102845</x:v>
      </x:c>
      <x:c r="M1758" s="10" t="n">
        <x:f>K1758*'Assumptions'!$V$116</x:f>
        <x:v>598.0760082068564</x:v>
      </x:c>
      <x:c r="N1758" s="10" t="n">
        <x:f>K1758-L1758-M1758</x:f>
        <x:v>28408.610389825677</x:v>
      </x:c>
      <x:c r="O1758" s="10" t="n">
        <x:f>H1758*'Assumptions'!$P$116*'Assumptions'!$Q$116*'Assumptions'!$D$11*(1+'Assumptions'!$D$13)^(14-1)</x:f>
        <x:v>2680.0674967923983</x:v>
      </x:c>
      <x:c r="P1758" s="10" t="n">
        <x:f>H1758*'Assumptions'!$R$116*'Assumptions'!$D$11*(1+'Assumptions'!$D$13)^(14-1)</x:f>
        <x:v>12506.981651697857</x:v>
      </x:c>
      <x:c r="Q1758" s="10" t="n">
        <x:f>J1758*'Assumptions'!$S$116</x:f>
        <x:v>0</x:v>
      </x:c>
      <x:c r="R1758" s="10" t="n">
        <x:f>H1758*'Assumptions'!$Y$116*'Assumptions'!$Z$116*'Assumptions'!$D$11*(1+'Assumptions'!$D$13)^(14-1)</x:f>
        <x:v>1608.040498075439</x:v>
      </x:c>
      <x:c r="S1758" s="10" t="n">
        <x:f>IF(I1758=0,0,J1758*'Assumptions'!$W$116+H1758*'Assumptions'!$X$116)</x:f>
        <x:v>940.2100340284595</x:v>
      </x:c>
      <x:c r="T1758" s="10" t="n">
        <x:f>N1758*'Assumptions'!$AA$116</x:f>
        <x:v>2272.6888311860544</x:v>
      </x:c>
      <x:c r="U1758" s="10" t="n">
        <x:f>'Assumptions'!$AE$116*'Assumptions'!$D$11*(1+'Assumptions'!$D$13)^(14-1)</x:f>
        <x:v>0</x:v>
      </x:c>
      <x:c r="V1758" s="10" t="n">
        <x:f>0</x:f>
        <x:v>0</x:v>
      </x:c>
      <x:c r="W1758" s="10" t="n">
        <x:f>H1758*('Assumptions'!$P$116+'Assumptions'!$Y$116)</x:f>
        <x:v>72.99982212851778</x:v>
      </x:c>
      <x:c r="X1758" s="10" t="n">
        <x:f>N1758/12*'Assumptions'!$AF$116</x:f>
        <x:v>0</x:v>
      </x:c>
      <x:c r="Y1758" s="10" t="n">
        <x:f>P1758/12</x:f>
        <x:v>1042.2484709748214</x:v>
      </x:c>
      <x:c r="Z1758" s="10" t="n">
        <x:f>0</x:f>
        <x:v>0</x:v>
      </x:c>
      <x:c r="AA1758" s="10" t="n">
        <x:f>Z1758*'Assumptions'!$AC$116*'Assumptions'!$D$11*(1+'Assumptions'!$D$13)^(14-1)</x:f>
        <x:v>0</x:v>
      </x:c>
      <x:c r="AB1758" s="10" t="n">
        <x:f>F1758/1</x:f>
        <x:v>172.45921267378915</x:v>
      </x:c>
      <x:c r="AC1758" s="10" t="n">
        <x:f>AB1758/'Assumptions'!$AM$116</x:f>
        <x:v>5748.640422459639</x:v>
      </x:c>
      <x:c r="AD1758" s="10" t="n">
        <x:f>IF(AB1758=0,0,T1758/AB1758)</x:f>
        <x:v>13.178123661534402</x:v>
      </x:c>
      <x:c r="AE1758" s="10" t="n">
        <x:f>AA1758*'Assumptions'!$D$21</x:f>
        <x:v>0</x:v>
      </x:c>
    </x:row>
    <x:row r="1759" ht="16" customHeight="1">
      <x:c r="A1759" s="1"/>
      <x:c r="B1759" s="1"/>
      <x:c r="C1759" s="1" t="str">
        <x:v>DOT-088</x:v>
      </x:c>
      <x:c r="D1759" s="10" t="str">
        <x:v>Semajes Studio</x:v>
      </x:c>
      <x:c r="E1759" s="10" t="n">
        <x:v>14</x:v>
      </x:c>
      <x:c r="F1759" s="21" t="n">
        <x:f>F1631*(1+'Assumptions'!$M$117)</x:f>
        <x:v>86.22960633689458</x:v>
      </x:c>
      <x:c r="G1759" s="21" t="n">
        <x:f>H1631*'Assumptions'!$K$117</x:f>
        <x:v>35.43676387730171</x:v>
      </x:c>
      <x:c r="H1759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1759+G1759,NA())</x:f>
        <x:v>121.66637021419629</x:v>
      </x:c>
      <x:c r="I1759" s="22" t="n">
        <x:f>'Assumptions'!$H$117*IF('Assumptions'!$O$117=1,1,'Assumptions'!$D$10)*(1+'Assumptions'!$N$117)^(14-1)</x:f>
        <x:v>323.4016576134491</x:v>
      </x:c>
      <x:c r="J1759" s="10" t="n">
        <x:f>H1759*I1759</x:f>
        <x:v>39347.10580308265</x:v>
      </x:c>
      <x:c r="K1759" s="10" t="n">
        <x:f>J1759*'Assumptions'!$T$117</x:f>
        <x:v>39347.10580308265</x:v>
      </x:c>
      <x:c r="L1759" s="10" t="n">
        <x:f>K1759*'Assumptions'!$U$117</x:f>
        <x:v>1180.4131740924795</x:v>
      </x:c>
      <x:c r="M1759" s="10" t="n">
        <x:f>K1759*'Assumptions'!$V$117</x:f>
        <x:v>786.9421160616531</x:v>
      </x:c>
      <x:c r="N1759" s="10" t="n">
        <x:f>K1759-L1759-M1759</x:f>
        <x:v>37379.75051292852</x:v>
      </x:c>
      <x:c r="O1759" s="10" t="n">
        <x:f>H1759*'Assumptions'!$P$117*'Assumptions'!$Q$117*'Assumptions'!$D$11*(1+'Assumptions'!$D$13)^(14-1)</x:f>
        <x:v>2233.3895806603314</x:v>
      </x:c>
      <x:c r="P1759" s="10" t="n">
        <x:f>H1759*'Assumptions'!$R$117*'Assumptions'!$D$11*(1+'Assumptions'!$D$13)^(14-1)</x:f>
        <x:v>19653.828309810917</x:v>
      </x:c>
      <x:c r="Q1759" s="10" t="n">
        <x:f>J1759*'Assumptions'!$S$117</x:f>
        <x:v>0</x:v>
      </x:c>
      <x:c r="R1759" s="10" t="n">
        <x:f>H1759*'Assumptions'!$Y$117*'Assumptions'!$Z$117*'Assumptions'!$D$11*(1+'Assumptions'!$D$13)^(14-1)</x:f>
        <x:v>804.0202490377195</x:v>
      </x:c>
      <x:c r="S1759" s="10" t="n">
        <x:f>IF(I1759=0,0,J1759*'Assumptions'!$W$117+H1759*'Assumptions'!$X$117)</x:f>
        <x:v>1177.5659793536558</x:v>
      </x:c>
      <x:c r="T1759" s="10" t="n">
        <x:f>N1759*'Assumptions'!$AA$117</x:f>
        <x:v>2990.3800410342815</x:v>
      </x:c>
      <x:c r="U1759" s="10" t="n">
        <x:f>'Assumptions'!$AE$117*'Assumptions'!$D$11*(1+'Assumptions'!$D$13)^(14-1)</x:f>
        <x:v>0</x:v>
      </x:c>
      <x:c r="V1759" s="10" t="n">
        <x:f>0</x:f>
        <x:v>0</x:v>
      </x:c>
      <x:c r="W1759" s="10" t="n">
        <x:f>H1759*('Assumptions'!$P$117+'Assumptions'!$Y$117)</x:f>
        <x:v>48.66654808567852</x:v>
      </x:c>
      <x:c r="X1759" s="10" t="n">
        <x:f>N1759/12*'Assumptions'!$AF$117</x:f>
        <x:v>0</x:v>
      </x:c>
      <x:c r="Y1759" s="10" t="n">
        <x:f>P1759/12</x:f>
        <x:v>1637.8190258175764</x:v>
      </x:c>
      <x:c r="Z1759" s="10" t="n">
        <x:f>0</x:f>
        <x:v>0</x:v>
      </x:c>
      <x:c r="AA1759" s="10" t="n">
        <x:f>Z1759*'Assumptions'!$AC$117*'Assumptions'!$D$11*(1+'Assumptions'!$D$13)^(14-1)</x:f>
        <x:v>0</x:v>
      </x:c>
      <x:c r="AB1759" s="10" t="n">
        <x:f>F1759/1</x:f>
        <x:v>86.22960633689458</x:v>
      </x:c>
      <x:c r="AC1759" s="10" t="n">
        <x:f>AB1759/'Assumptions'!$AM$117</x:f>
        <x:v>2874.3202112298195</x:v>
      </x:c>
      <x:c r="AD1759" s="10" t="n">
        <x:f>IF(AB1759=0,0,T1759/AB1759)</x:f>
        <x:v>34.67927279351158</x:v>
      </x:c>
      <x:c r="AE1759" s="10" t="n">
        <x:f>AA1759*'Assumptions'!$D$21</x:f>
        <x:v>0</x:v>
      </x:c>
    </x:row>
    <x:row r="1760" ht="16" customHeight="1">
      <x:c r="A1760" s="1"/>
      <x:c r="B1760" s="1"/>
      <x:c r="C1760" s="1" t="str">
        <x:v>DOT-089</x:v>
      </x:c>
      <x:c r="D1760" s="10" t="str">
        <x:v>Semajes Studio</x:v>
      </x:c>
      <x:c r="E1760" s="10" t="n">
        <x:v>14</x:v>
      </x:c>
      <x:c r="F1760" s="21" t="n">
        <x:f>F1632*(1+'Assumptions'!$M$118)</x:f>
        <x:v>34.49184253475782</x:v>
      </x:c>
      <x:c r="G1760" s="21" t="n">
        <x:f>H1632*'Assumptions'!$K$118</x:f>
        <x:v>14.174705550920677</x:v>
      </x:c>
      <x:c r="H1760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1760+G1760,NA())</x:f>
        <x:v>48.6665480856785</x:v>
      </x:c>
      <x:c r="I1760" s="22" t="n">
        <x:f>'Assumptions'!$H$118*IF('Assumptions'!$O$118=1,1,'Assumptions'!$D$10)*(1+'Assumptions'!$N$118)^(14-1)</x:f>
        <x:v>226.3811603294144</x:v>
      </x:c>
      <x:c r="J1760" s="10" t="n">
        <x:f>H1760*I1760</x:f>
        <x:v>11017.18962486314</x:v>
      </x:c>
      <x:c r="K1760" s="10" t="n">
        <x:f>J1760*'Assumptions'!$T$118</x:f>
        <x:v>11017.18962486314</x:v>
      </x:c>
      <x:c r="L1760" s="10" t="n">
        <x:f>K1760*'Assumptions'!$U$118</x:f>
        <x:v>330.5156887458942</x:v>
      </x:c>
      <x:c r="M1760" s="10" t="n">
        <x:f>K1760*'Assumptions'!$V$118</x:f>
        <x:v>220.3437924972628</x:v>
      </x:c>
      <x:c r="N1760" s="10" t="n">
        <x:f>K1760-L1760-M1760</x:f>
        <x:v>10466.330143619984</x:v>
      </x:c>
      <x:c r="O1760" s="10" t="n">
        <x:f>H1760*'Assumptions'!$P$118*'Assumptions'!$Q$118*'Assumptions'!$D$11*(1+'Assumptions'!$D$13)^(14-1)</x:f>
        <x:v>1786.7116645282647</x:v>
      </x:c>
      <x:c r="P1760" s="10" t="n">
        <x:f>H1760*'Assumptions'!$R$118*'Assumptions'!$D$11*(1+'Assumptions'!$D$13)^(14-1)</x:f>
        <x:v>6432.161992301753</x:v>
      </x:c>
      <x:c r="Q1760" s="10" t="n">
        <x:f>J1760*'Assumptions'!$S$118</x:f>
        <x:v>0</x:v>
      </x:c>
      <x:c r="R1760" s="10" t="n">
        <x:f>H1760*'Assumptions'!$Y$118*'Assumptions'!$Z$118*'Assumptions'!$D$11*(1+'Assumptions'!$D$13)^(14-1)</x:f>
        <x:v>321.6080996150876</x:v>
      </x:c>
      <x:c r="S1760" s="10" t="n">
        <x:f>IF(I1760=0,0,J1760*'Assumptions'!$W$118+H1760*'Assumptions'!$X$118)</x:f>
        <x:v>334.09846354673465</x:v>
      </x:c>
      <x:c r="T1760" s="10" t="n">
        <x:f>N1760*'Assumptions'!$AA$118</x:f>
        <x:v>837.3064114895988</x:v>
      </x:c>
      <x:c r="U1760" s="10" t="n">
        <x:f>'Assumptions'!$AE$118*'Assumptions'!$D$11*(1+'Assumptions'!$D$13)^(14-1)</x:f>
        <x:v>0</x:v>
      </x:c>
      <x:c r="V1760" s="10" t="n">
        <x:f>0</x:f>
        <x:v>0</x:v>
      </x:c>
      <x:c r="W1760" s="10" t="n">
        <x:f>H1760*('Assumptions'!$P$118+'Assumptions'!$Y$118)</x:f>
        <x:v>31.633256255691027</x:v>
      </x:c>
      <x:c r="X1760" s="10" t="n">
        <x:f>N1760/12*'Assumptions'!$AF$118</x:f>
        <x:v>0</x:v>
      </x:c>
      <x:c r="Y1760" s="10" t="n">
        <x:f>P1760/12</x:f>
        <x:v>536.0134993584794</x:v>
      </x:c>
      <x:c r="Z1760" s="10" t="n">
        <x:f>0</x:f>
        <x:v>0</x:v>
      </x:c>
      <x:c r="AA1760" s="10" t="n">
        <x:f>Z1760*'Assumptions'!$AC$118*'Assumptions'!$D$11*(1+'Assumptions'!$D$13)^(14-1)</x:f>
        <x:v>0</x:v>
      </x:c>
      <x:c r="AB1760" s="10" t="n">
        <x:f>F1760/1</x:f>
        <x:v>34.49184253475782</x:v>
      </x:c>
      <x:c r="AC1760" s="10" t="n">
        <x:f>AB1760/'Assumptions'!$AM$118</x:f>
        <x:v>1149.7280844919273</x:v>
      </x:c>
      <x:c r="AD1760" s="10" t="n">
        <x:f>IF(AB1760=0,0,T1760/AB1760)</x:f>
        <x:v>24.275490955458107</x:v>
      </x:c>
      <x:c r="AE1760" s="10" t="n">
        <x:f>AA1760*'Assumptions'!$D$21</x:f>
        <x:v>0</x:v>
      </x:c>
    </x:row>
    <x:row r="1761" ht="16" customHeight="1">
      <x:c r="A1761" s="1"/>
      <x:c r="B1761" s="1"/>
      <x:c r="C1761" s="1" t="str">
        <x:v>DOT-090</x:v>
      </x:c>
      <x:c r="D1761" s="10" t="str">
        <x:v>Semajes Marketplace</x:v>
      </x:c>
      <x:c r="E1761" s="10" t="n">
        <x:v>14</x:v>
      </x:c>
      <x:c r="F1761" s="21" t="n">
        <x:f>F1633*(1+'Assumptions'!$M$119)</x:f>
        <x:v>97.40079626357961</x:v>
      </x:c>
      <x:c r="G1761" s="21" t="n">
        <x:f>H1633*'Assumptions'!$K$119</x:f>
        <x:v>204.17939724489582</x:v>
      </x:c>
      <x:c r="H1761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1761+G1761,NA())</x:f>
        <x:v>301.5801935084754</x:v>
      </x:c>
      <x:c r="I1761" s="22" t="n">
        <x:f>'Assumptions'!$H$119*IF('Assumptions'!$O$119=1,1,'Assumptions'!$D$10)*(1+'Assumptions'!$N$119)^(14-1)</x:f>
        <x:v>776.163978272278</x:v>
      </x:c>
      <x:c r="J1761" s="10" t="n">
        <x:f>H1761*I1761</x:f>
        <x:v>234075.6827616617</x:v>
      </x:c>
      <x:c r="K1761" s="10" t="n">
        <x:f>J1761*'Assumptions'!$T$119</x:f>
        <x:v>35111.35241424925</x:v>
      </x:c>
      <x:c r="L1761" s="10" t="n">
        <x:f>K1761*'Assumptions'!$U$119</x:f>
        <x:v>1053.3405724274776</x:v>
      </x:c>
      <x:c r="M1761" s="10" t="n">
        <x:f>K1761*'Assumptions'!$V$119</x:f>
        <x:v>0</x:v>
      </x:c>
      <x:c r="N1761" s="10" t="n">
        <x:f>K1761-L1761-M1761</x:f>
        <x:v>34058.011841821775</x:v>
      </x:c>
      <x:c r="O1761" s="10" t="n">
        <x:f>H1761*'Assumptions'!$P$119*'Assumptions'!$Q$119*'Assumptions'!$D$11*(1+'Assumptions'!$D$13)^(14-1)</x:f>
        <x:v>3875.2059629188752</x:v>
      </x:c>
      <x:c r="P1761" s="10" t="n">
        <x:f>H1761*'Assumptions'!$R$119*'Assumptions'!$D$11*(1+'Assumptions'!$D$13)^(14-1)</x:f>
        <x:v>0</x:v>
      </x:c>
      <x:c r="Q1761" s="10" t="n">
        <x:f>J1761*'Assumptions'!$S$119</x:f>
        <x:v>0</x:v>
      </x:c>
      <x:c r="R1761" s="10" t="n">
        <x:f>H1761*'Assumptions'!$Y$119*'Assumptions'!$Z$119*'Assumptions'!$D$11*(1+'Assumptions'!$D$13)^(14-1)</x:f>
        <x:v>1992.9630666439928</x:v>
      </x:c>
      <x:c r="S1761" s="10" t="n">
        <x:f>IF(I1761=0,0,J1761*'Assumptions'!$W$119+H1761*'Assumptions'!$X$119)</x:f>
        <x:v>6878.6688581407325</x:v>
      </x:c>
      <x:c r="T1761" s="10" t="n">
        <x:f>N1761*'Assumptions'!$AA$119</x:f>
        <x:v>1702.9005920910888</x:v>
      </x:c>
      <x:c r="U1761" s="10" t="n">
        <x:f>'Assumptions'!$AE$119*'Assumptions'!$D$11*(1+'Assumptions'!$D$13)^(14-1)</x:f>
        <x:v>352.4480912283756</x:v>
      </x:c>
      <x:c r="V1761" s="10" t="n">
        <x:f>0</x:f>
        <x:v>0</x:v>
      </x:c>
      <x:c r="W1761" s="10" t="n">
        <x:f>H1761*('Assumptions'!$P$119+'Assumptions'!$Y$119)</x:f>
        <x:v>120.63207740339017</x:v>
      </x:c>
      <x:c r="X1761" s="10" t="n">
        <x:f>N1761/12*'Assumptions'!$AF$119</x:f>
        <x:v>0</x:v>
      </x:c>
      <x:c r="Y1761" s="10" t="n">
        <x:f>P1761/12</x:f>
        <x:v>0</x:v>
      </x:c>
      <x:c r="Z1761" s="10" t="n">
        <x:f>0</x:f>
        <x:v>0</x:v>
      </x:c>
      <x:c r="AA1761" s="10" t="n">
        <x:f>Z1761*'Assumptions'!$AC$119*'Assumptions'!$D$11*(1+'Assumptions'!$D$13)^(14-1)</x:f>
        <x:v>0</x:v>
      </x:c>
      <x:c r="AB1761" s="10" t="n">
        <x:f>F1761/1</x:f>
        <x:v>97.40079626357961</x:v>
      </x:c>
      <x:c r="AC1761" s="10" t="n">
        <x:f>AB1761/'Assumptions'!$AM$119</x:f>
        <x:v>1948.015925271592</x:v>
      </x:c>
      <x:c r="AD1761" s="10" t="n">
        <x:f>IF(AB1761=0,0,T1761/AB1761)</x:f>
        <x:v>17.483436043816436</x:v>
      </x:c>
      <x:c r="AE1761" s="10" t="n">
        <x:f>AA1761*'Assumptions'!$D$21</x:f>
        <x:v>0</x:v>
      </x:c>
    </x:row>
    <x:row r="1762" ht="16" customHeight="1">
      <x:c r="A1762" s="1"/>
      <x:c r="B1762" s="1"/>
      <x:c r="C1762" s="1" t="str">
        <x:v>DOT-091</x:v>
      </x:c>
      <x:c r="D1762" s="10" t="str">
        <x:v>Semajes Marketplace</x:v>
      </x:c>
      <x:c r="E1762" s="10" t="n">
        <x:v>14</x:v>
      </x:c>
      <x:c r="F1762" s="21" t="n">
        <x:f>F1634*(1+'Assumptions'!$M$120)</x:f>
        <x:v>194.80159252715922</x:v>
      </x:c>
      <x:c r="G1762" s="21" t="n">
        <x:f>H1634*'Assumptions'!$K$120</x:f>
        <x:v>408.35879448979165</x:v>
      </x:c>
      <x:c r="H1762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1762+G1762,NA())</x:f>
        <x:v>603.1603870169508</x:v>
      </x:c>
      <x:c r="I1762" s="22" t="n">
        <x:f>'Assumptions'!$H$120*IF('Assumptions'!$O$120=1,1,'Assumptions'!$D$10)*(1+'Assumptions'!$N$120)^(14-1)</x:f>
        <x:v>97.02049728403475</x:v>
      </x:c>
      <x:c r="J1762" s="10" t="n">
        <x:f>H1762*I1762</x:f>
        <x:v>58518.92069041543</x:v>
      </x:c>
      <x:c r="K1762" s="10" t="n">
        <x:f>J1762*'Assumptions'!$T$120</x:f>
        <x:v>11703.784138083087</x:v>
      </x:c>
      <x:c r="L1762" s="10" t="n">
        <x:f>K1762*'Assumptions'!$U$120</x:f>
        <x:v>351.11352414249257</x:v>
      </x:c>
      <x:c r="M1762" s="10" t="n">
        <x:f>K1762*'Assumptions'!$V$120</x:f>
        <x:v>0</x:v>
      </x:c>
      <x:c r="N1762" s="10" t="n">
        <x:f>K1762-L1762-M1762</x:f>
        <x:v>11352.670613940594</x:v>
      </x:c>
      <x:c r="O1762" s="10" t="n">
        <x:f>H1762*'Assumptions'!$P$120*'Assumptions'!$Q$120*'Assumptions'!$D$11*(1+'Assumptions'!$D$13)^(14-1)</x:f>
        <x:v>3100.1647703351</x:v>
      </x:c>
      <x:c r="P1762" s="10" t="n">
        <x:f>H1762*'Assumptions'!$R$120*'Assumptions'!$D$11*(1+'Assumptions'!$D$13)^(14-1)</x:f>
        <x:v>0</x:v>
      </x:c>
      <x:c r="Q1762" s="10" t="n">
        <x:f>J1762*'Assumptions'!$S$120</x:f>
        <x:v>0</x:v>
      </x:c>
      <x:c r="R1762" s="10" t="n">
        <x:f>H1762*'Assumptions'!$Y$120*'Assumptions'!$Z$120*'Assumptions'!$D$11*(1+'Assumptions'!$D$13)^(14-1)</x:f>
        <x:v>3985.9261332879855</x:v>
      </x:c>
      <x:c r="S1762" s="10" t="n">
        <x:f>IF(I1762=0,0,J1762*'Assumptions'!$W$120+H1762*'Assumptions'!$X$120)</x:f>
        <x:v>1877.996816127133</x:v>
      </x:c>
      <x:c r="T1762" s="10" t="n">
        <x:f>N1762*'Assumptions'!$AA$120</x:f>
        <x:v>567.6335306970298</x:v>
      </x:c>
      <x:c r="U1762" s="10" t="n">
        <x:f>'Assumptions'!$AE$120*'Assumptions'!$D$11*(1+'Assumptions'!$D$13)^(14-1)</x:f>
        <x:v>0</x:v>
      </x:c>
      <x:c r="V1762" s="10" t="n">
        <x:f>0</x:f>
        <x:v>0</x:v>
      </x:c>
      <x:c r="W1762" s="10" t="n">
        <x:f>H1762*('Assumptions'!$P$120+'Assumptions'!$Y$120)</x:f>
        <x:v>150.7900967542377</x:v>
      </x:c>
      <x:c r="X1762" s="10" t="n">
        <x:f>N1762/12*'Assumptions'!$AF$120</x:f>
        <x:v>0</x:v>
      </x:c>
      <x:c r="Y1762" s="10" t="n">
        <x:f>P1762/12</x:f>
        <x:v>0</x:v>
      </x:c>
      <x:c r="Z1762" s="10" t="n">
        <x:f>0</x:f>
        <x:v>0</x:v>
      </x:c>
      <x:c r="AA1762" s="10" t="n">
        <x:f>Z1762*'Assumptions'!$AC$120*'Assumptions'!$D$11*(1+'Assumptions'!$D$13)^(14-1)</x:f>
        <x:v>0</x:v>
      </x:c>
      <x:c r="AB1762" s="10" t="n">
        <x:f>F1762/1</x:f>
        <x:v>194.80159252715922</x:v>
      </x:c>
      <x:c r="AC1762" s="10" t="n">
        <x:f>AB1762/'Assumptions'!$AM$120</x:f>
        <x:v>3896.031850543184</x:v>
      </x:c>
      <x:c r="AD1762" s="10" t="n">
        <x:f>IF(AB1762=0,0,T1762/AB1762)</x:f>
        <x:v>2.91390600730274</x:v>
      </x:c>
      <x:c r="AE1762" s="10" t="n">
        <x:f>AA1762*'Assumptions'!$D$21</x:f>
        <x:v>0</x:v>
      </x:c>
    </x:row>
    <x:row r="1763" ht="16" customHeight="1">
      <x:c r="A1763" s="1"/>
      <x:c r="B1763" s="1"/>
      <x:c r="C1763" s="1" t="str">
        <x:v>DOT-092</x:v>
      </x:c>
      <x:c r="D1763" s="10" t="str">
        <x:v>Semajes Marketplace</x:v>
      </x:c>
      <x:c r="E1763" s="10" t="n">
        <x:v>14</x:v>
      </x:c>
      <x:c r="F1763" s="21" t="n">
        <x:f>F1635*(1+'Assumptions'!$M$121)</x:f>
        <x:v>97.40079626357961</x:v>
      </x:c>
      <x:c r="G1763" s="21" t="n">
        <x:f>H1635*'Assumptions'!$K$121</x:f>
        <x:v>204.17939724489582</x:v>
      </x:c>
      <x:c r="H1763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1763+G1763,NA())</x:f>
        <x:v>301.5801935084754</x:v>
      </x:c>
      <x:c r="I1763" s="22" t="n">
        <x:f>'Assumptions'!$H$121*IF('Assumptions'!$O$121=1,1,'Assumptions'!$D$10)*(1+'Assumptions'!$N$121)^(14-1)</x:f>
        <x:v>323.4016576134491</x:v>
      </x:c>
      <x:c r="J1763" s="10" t="n">
        <x:f>H1763*I1763</x:f>
        <x:v>97531.5344840257</x:v>
      </x:c>
      <x:c r="K1763" s="10" t="n">
        <x:f>J1763*'Assumptions'!$T$121</x:f>
        <x:v>19506.30689680514</x:v>
      </x:c>
      <x:c r="L1763" s="10" t="n">
        <x:f>K1763*'Assumptions'!$U$121</x:f>
        <x:v>585.1892069041542</x:v>
      </x:c>
      <x:c r="M1763" s="10" t="n">
        <x:f>K1763*'Assumptions'!$V$121</x:f>
        <x:v>0</x:v>
      </x:c>
      <x:c r="N1763" s="10" t="n">
        <x:f>K1763-L1763-M1763</x:f>
        <x:v>18921.117689900988</x:v>
      </x:c>
      <x:c r="O1763" s="10" t="n">
        <x:f>H1763*'Assumptions'!$P$121*'Assumptions'!$Q$121*'Assumptions'!$D$11*(1+'Assumptions'!$D$13)^(14-1)</x:f>
        <x:v>2325.1235777513252</x:v>
      </x:c>
      <x:c r="P1763" s="10" t="n">
        <x:f>H1763*'Assumptions'!$R$121*'Assumptions'!$D$11*(1+'Assumptions'!$D$13)^(14-1)</x:f>
        <x:v>0</x:v>
      </x:c>
      <x:c r="Q1763" s="10" t="n">
        <x:f>J1763*'Assumptions'!$S$121</x:f>
        <x:v>0</x:v>
      </x:c>
      <x:c r="R1763" s="10" t="n">
        <x:f>H1763*'Assumptions'!$Y$121*'Assumptions'!$Z$121*'Assumptions'!$D$11*(1+'Assumptions'!$D$13)^(14-1)</x:f>
        <x:v>1992.9630666439928</x:v>
      </x:c>
      <x:c r="S1763" s="10" t="n">
        <x:f>IF(I1763=0,0,J1763*'Assumptions'!$W$121+H1763*'Assumptions'!$X$121)</x:f>
        <x:v>2918.8885580892884</x:v>
      </x:c>
      <x:c r="T1763" s="10" t="n">
        <x:f>N1763*'Assumptions'!$AA$121</x:f>
        <x:v>946.0558844950494</x:v>
      </x:c>
      <x:c r="U1763" s="10" t="n">
        <x:f>'Assumptions'!$AE$121*'Assumptions'!$D$11*(1+'Assumptions'!$D$13)^(14-1)</x:f>
        <x:v>0</x:v>
      </x:c>
      <x:c r="V1763" s="10" t="n">
        <x:f>0</x:f>
        <x:v>0</x:v>
      </x:c>
      <x:c r="W1763" s="10" t="n">
        <x:f>H1763*('Assumptions'!$P$121+'Assumptions'!$Y$121)</x:f>
        <x:v>90.47405805254262</x:v>
      </x:c>
      <x:c r="X1763" s="10" t="n">
        <x:f>N1763/12*'Assumptions'!$AF$121</x:f>
        <x:v>0</x:v>
      </x:c>
      <x:c r="Y1763" s="10" t="n">
        <x:f>P1763/12</x:f>
        <x:v>0</x:v>
      </x:c>
      <x:c r="Z1763" s="10" t="n">
        <x:f>0</x:f>
        <x:v>0</x:v>
      </x:c>
      <x:c r="AA1763" s="10" t="n">
        <x:f>Z1763*'Assumptions'!$AC$121*'Assumptions'!$D$11*(1+'Assumptions'!$D$13)^(14-1)</x:f>
        <x:v>0</x:v>
      </x:c>
      <x:c r="AB1763" s="10" t="n">
        <x:f>F1763/1</x:f>
        <x:v>97.40079626357961</x:v>
      </x:c>
      <x:c r="AC1763" s="10" t="n">
        <x:f>AB1763/'Assumptions'!$AM$121</x:f>
        <x:v>1948.015925271592</x:v>
      </x:c>
      <x:c r="AD1763" s="10" t="n">
        <x:f>IF(AB1763=0,0,T1763/AB1763)</x:f>
        <x:v>9.713020024342464</x:v>
      </x:c>
      <x:c r="AE1763" s="10" t="n">
        <x:f>AA1763*'Assumptions'!$D$21</x:f>
        <x:v>0</x:v>
      </x:c>
    </x:row>
    <x:row r="1764" ht="16" customHeight="1">
      <x:c r="A1764" s="1"/>
      <x:c r="B1764" s="1"/>
      <x:c r="C1764" s="1" t="str">
        <x:v>DOT-093</x:v>
      </x:c>
      <x:c r="D1764" s="10" t="str">
        <x:v>Semajes Marketplace</x:v>
      </x:c>
      <x:c r="E1764" s="10" t="n">
        <x:v>14</x:v>
      </x:c>
      <x:c r="F1764" s="21" t="n">
        <x:f>F1636*(1+'Assumptions'!$M$122)</x:f>
        <x:v>19.480159252715918</x:v>
      </x:c>
      <x:c r="G1764" s="21" t="n">
        <x:f>H1636*'Assumptions'!$K$122</x:f>
        <x:v>40.835879448979156</x:v>
      </x:c>
      <x:c r="H1764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1764+G1764,NA())</x:f>
        <x:v>60.31603870169508</x:v>
      </x:c>
      <x:c r="I1764" s="22" t="n">
        <x:f>'Assumptions'!$H$122*IF('Assumptions'!$O$122=1,1,'Assumptions'!$D$10)*(1+'Assumptions'!$N$122)^(14-1)</x:f>
        <x:v>646.8033152268982</x:v>
      </x:c>
      <x:c r="J1764" s="10" t="n">
        <x:f>H1764*I1764</x:f>
        <x:v>39012.613793610275</x:v>
      </x:c>
      <x:c r="K1764" s="10" t="n">
        <x:f>J1764*'Assumptions'!$T$122</x:f>
        <x:v>5851.892069041541</x:v>
      </x:c>
      <x:c r="L1764" s="10" t="n">
        <x:f>K1764*'Assumptions'!$U$122</x:f>
        <x:v>175.55676207124623</x:v>
      </x:c>
      <x:c r="M1764" s="10" t="n">
        <x:f>K1764*'Assumptions'!$V$122</x:f>
        <x:v>0</x:v>
      </x:c>
      <x:c r="N1764" s="10" t="n">
        <x:f>K1764-L1764-M1764</x:f>
        <x:v>5676.335306970294</x:v>
      </x:c>
      <x:c r="O1764" s="10" t="n">
        <x:f>H1764*'Assumptions'!$P$122*'Assumptions'!$Q$122*'Assumptions'!$D$11*(1+'Assumptions'!$D$13)^(14-1)</x:f>
        <x:v>775.041192583775</x:v>
      </x:c>
      <x:c r="P1764" s="10" t="n">
        <x:f>H1764*'Assumptions'!$R$122*'Assumptions'!$D$11*(1+'Assumptions'!$D$13)^(14-1)</x:f>
        <x:v>0</x:v>
      </x:c>
      <x:c r="Q1764" s="10" t="n">
        <x:f>J1764*'Assumptions'!$S$122</x:f>
        <x:v>0</x:v>
      </x:c>
      <x:c r="R1764" s="10" t="n">
        <x:f>H1764*'Assumptions'!$Y$122*'Assumptions'!$Z$122*'Assumptions'!$D$11*(1+'Assumptions'!$D$13)^(14-1)</x:f>
        <x:v>398.5926133287985</x:v>
      </x:c>
      <x:c r="S1764" s="10" t="n">
        <x:f>IF(I1764=0,0,J1764*'Assumptions'!$W$122+H1764*'Assumptions'!$X$122)</x:f>
        <x:v>1149.4606116252064</x:v>
      </x:c>
      <x:c r="T1764" s="10" t="n">
        <x:f>N1764*'Assumptions'!$AA$122</x:f>
        <x:v>283.8167653485147</x:v>
      </x:c>
      <x:c r="U1764" s="10" t="n">
        <x:f>'Assumptions'!$AE$122*'Assumptions'!$D$11*(1+'Assumptions'!$D$13)^(14-1)</x:f>
        <x:v>0</x:v>
      </x:c>
      <x:c r="V1764" s="10" t="n">
        <x:f>0</x:f>
        <x:v>0</x:v>
      </x:c>
      <x:c r="W1764" s="10" t="n">
        <x:f>H1764*('Assumptions'!$P$122+'Assumptions'!$Y$122)</x:f>
        <x:v>24.126415480678034</x:v>
      </x:c>
      <x:c r="X1764" s="10" t="n">
        <x:f>N1764/12*'Assumptions'!$AF$122</x:f>
        <x:v>0</x:v>
      </x:c>
      <x:c r="Y1764" s="10" t="n">
        <x:f>P1764/12</x:f>
        <x:v>0</x:v>
      </x:c>
      <x:c r="Z1764" s="10" t="n">
        <x:f>0</x:f>
        <x:v>0</x:v>
      </x:c>
      <x:c r="AA1764" s="10" t="n">
        <x:f>Z1764*'Assumptions'!$AC$122*'Assumptions'!$D$11*(1+'Assumptions'!$D$13)^(14-1)</x:f>
        <x:v>0</x:v>
      </x:c>
      <x:c r="AB1764" s="10" t="n">
        <x:f>F1764/1</x:f>
        <x:v>19.480159252715918</x:v>
      </x:c>
      <x:c r="AC1764" s="10" t="n">
        <x:f>AB1764/'Assumptions'!$AM$122</x:f>
        <x:v>389.6031850543183</x:v>
      </x:c>
      <x:c r="AD1764" s="10" t="n">
        <x:f>IF(AB1764=0,0,T1764/AB1764)</x:f>
        <x:v>14.569530036513694</x:v>
      </x:c>
      <x:c r="AE1764" s="10" t="n">
        <x:f>AA1764*'Assumptions'!$D$21</x:f>
        <x:v>0</x:v>
      </x:c>
    </x:row>
    <x:row r="1765" ht="16" customHeight="1">
      <x:c r="A1765" s="1"/>
      <x:c r="B1765" s="1"/>
      <x:c r="C1765" s="1" t="str">
        <x:v>DOT-094</x:v>
      </x:c>
      <x:c r="D1765" s="10" t="str">
        <x:v>Semajes premium and media</x:v>
      </x:c>
      <x:c r="E1765" s="10" t="n">
        <x:v>14</x:v>
      </x:c>
      <x:c r="F1765" s="21" t="n">
        <x:f>F1637*(1+'Assumptions'!$M$123)</x:f>
        <x:v>97.40079626357961</x:v>
      </x:c>
      <x:c r="G1765" s="21" t="n">
        <x:f>H1637*'Assumptions'!$K$123</x:f>
        <x:v>204.17939724489582</x:v>
      </x:c>
      <x:c r="H1765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1765+G1765,NA())</x:f>
        <x:v>301.5801935084754</x:v>
      </x:c>
      <x:c r="I1765" s="22" t="n">
        <x:f>'Assumptions'!$H$123*IF('Assumptions'!$O$123=1,1,'Assumptions'!$D$10)*(1+'Assumptions'!$N$123)^(14-1)</x:f>
        <x:v>11.642459674084169</x:v>
      </x:c>
      <x:c r="J1765" s="10" t="n">
        <x:f>H1765*I1765</x:f>
        <x:v>3511.1352414249254</x:v>
      </x:c>
      <x:c r="K1765" s="10" t="n">
        <x:f>J1765*'Assumptions'!$T$123</x:f>
        <x:v>3511.1352414249254</x:v>
      </x:c>
      <x:c r="L1765" s="10" t="n">
        <x:f>K1765*'Assumptions'!$U$123</x:f>
        <x:v>105.33405724274776</x:v>
      </x:c>
      <x:c r="M1765" s="10" t="n">
        <x:f>K1765*'Assumptions'!$V$123</x:f>
        <x:v>0</x:v>
      </x:c>
      <x:c r="N1765" s="10" t="n">
        <x:f>K1765-L1765-M1765</x:f>
        <x:v>3405.8011841821776</x:v>
      </x:c>
      <x:c r="O1765" s="10" t="n">
        <x:f>H1765*'Assumptions'!$P$123*'Assumptions'!$Q$123*'Assumptions'!$D$11*(1+'Assumptions'!$D$13)^(14-1)</x:f>
        <x:v>775.041192583775</x:v>
      </x:c>
      <x:c r="P1765" s="10" t="n">
        <x:f>H1765*'Assumptions'!$R$123*'Assumptions'!$D$11*(1+'Assumptions'!$D$13)^(14-1)</x:f>
        <x:v>0</x:v>
      </x:c>
      <x:c r="Q1765" s="10" t="n">
        <x:f>J1765*'Assumptions'!$S$123</x:f>
        <x:v>0</x:v>
      </x:c>
      <x:c r="R1765" s="10" t="n">
        <x:f>H1765*'Assumptions'!$Y$123*'Assumptions'!$Z$123*'Assumptions'!$D$11*(1+'Assumptions'!$D$13)^(14-1)</x:f>
        <x:v>1992.9630666439928</x:v>
      </x:c>
      <x:c r="S1765" s="10" t="n">
        <x:f>IF(I1765=0,0,J1765*'Assumptions'!$W$123+H1765*'Assumptions'!$X$123)</x:f>
        <x:v>192.29698005386547</x:v>
      </x:c>
      <x:c r="T1765" s="10" t="n">
        <x:f>N1765*'Assumptions'!$AA$123</x:f>
        <x:v>170.2900592091089</x:v>
      </x:c>
      <x:c r="U1765" s="10" t="n">
        <x:f>'Assumptions'!$AE$123*'Assumptions'!$D$11*(1+'Assumptions'!$D$13)^(14-1)</x:f>
        <x:v>0</x:v>
      </x:c>
      <x:c r="V1765" s="10" t="n">
        <x:f>0</x:f>
        <x:v>0</x:v>
      </x:c>
      <x:c r="W1765" s="10" t="n">
        <x:f>H1765*('Assumptions'!$P$123+'Assumptions'!$Y$123)</x:f>
        <x:v>60.316038701695085</x:v>
      </x:c>
      <x:c r="X1765" s="10" t="n">
        <x:f>N1765/12*'Assumptions'!$AF$123</x:f>
        <x:v>0</x:v>
      </x:c>
      <x:c r="Y1765" s="10" t="n">
        <x:f>P1765/12</x:f>
        <x:v>0</x:v>
      </x:c>
      <x:c r="Z1765" s="10" t="n">
        <x:f>0</x:f>
        <x:v>0</x:v>
      </x:c>
      <x:c r="AA1765" s="10" t="n">
        <x:f>Z1765*'Assumptions'!$AC$123*'Assumptions'!$D$11*(1+'Assumptions'!$D$13)^(14-1)</x:f>
        <x:v>0</x:v>
      </x:c>
      <x:c r="AB1765" s="10" t="n">
        <x:f>F1765/12</x:f>
        <x:v>8.116733021964967</x:v>
      </x:c>
      <x:c r="AC1765" s="10" t="n">
        <x:f>AB1765/'Assumptions'!$AM$123</x:f>
        <x:v>162.3346604392993</x:v>
      </x:c>
      <x:c r="AD1765" s="10" t="n">
        <x:f>IF(AB1765=0,0,T1765/AB1765)</x:f>
        <x:v>20.980123252579727</x:v>
      </x:c>
      <x:c r="AE1765" s="10" t="n">
        <x:f>AA1765*'Assumptions'!$D$21</x:f>
        <x:v>0</x:v>
      </x:c>
    </x:row>
    <x:row r="1766" ht="16" customHeight="1">
      <x:c r="A1766" s="1"/>
      <x:c r="B1766" s="1"/>
      <x:c r="C1766" s="1" t="str">
        <x:v>DOT-095</x:v>
      </x:c>
      <x:c r="D1766" s="10" t="str">
        <x:v>Semajes premium and media</x:v>
      </x:c>
      <x:c r="E1766" s="10" t="n">
        <x:v>14</x:v>
      </x:c>
      <x:c r="F1766" s="21" t="n">
        <x:f>F1638*(1+'Assumptions'!$M$124)</x:f>
        <x:v>97.40079626357961</x:v>
      </x:c>
      <x:c r="G1766" s="21" t="n">
        <x:f>H1638*'Assumptions'!$K$124</x:f>
        <x:v>204.17939724489582</x:v>
      </x:c>
      <x:c r="H1766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1766+G1766,NA())</x:f>
        <x:v>301.5801935084754</x:v>
      </x:c>
      <x:c r="I1766" s="22" t="n">
        <x:f>'Assumptions'!$H$124*IF('Assumptions'!$O$124=1,1,'Assumptions'!$D$10)*(1+'Assumptions'!$N$124)^(14-1)</x:f>
        <x:v>24.578525978622135</x:v>
      </x:c>
      <x:c r="J1766" s="10" t="n">
        <x:f>H1766*I1766</x:f>
        <x:v>7412.396620785954</x:v>
      </x:c>
      <x:c r="K1766" s="10" t="n">
        <x:f>J1766*'Assumptions'!$T$124</x:f>
        <x:v>7412.396620785954</x:v>
      </x:c>
      <x:c r="L1766" s="10" t="n">
        <x:f>K1766*'Assumptions'!$U$124</x:f>
        <x:v>222.3718986235786</x:v>
      </x:c>
      <x:c r="M1766" s="10" t="n">
        <x:f>K1766*'Assumptions'!$V$124</x:f>
        <x:v>0</x:v>
      </x:c>
      <x:c r="N1766" s="10" t="n">
        <x:f>K1766-L1766-M1766</x:f>
        <x:v>7190.024722162375</x:v>
      </x:c>
      <x:c r="O1766" s="10" t="n">
        <x:f>H1766*'Assumptions'!$P$124*'Assumptions'!$Q$124*'Assumptions'!$D$11*(1+'Assumptions'!$D$13)^(14-1)</x:f>
        <x:v>1550.08238516755</x:v>
      </x:c>
      <x:c r="P1766" s="10" t="n">
        <x:f>H1766*'Assumptions'!$R$124*'Assumptions'!$D$11*(1+'Assumptions'!$D$13)^(14-1)</x:f>
        <x:v>0</x:v>
      </x:c>
      <x:c r="Q1766" s="10" t="n">
        <x:f>J1766*'Assumptions'!$S$124</x:f>
        <x:v>0</x:v>
      </x:c>
      <x:c r="R1766" s="10" t="n">
        <x:f>H1766*'Assumptions'!$Y$124*'Assumptions'!$Z$124*'Assumptions'!$D$11*(1+'Assumptions'!$D$13)^(14-1)</x:f>
        <x:v>1992.9630666439928</x:v>
      </x:c>
      <x:c r="S1766" s="10" t="n">
        <x:f>IF(I1766=0,0,J1766*'Assumptions'!$W$124+H1766*'Assumptions'!$X$124)</x:f>
        <x:v>305.4335600553353</x:v>
      </x:c>
      <x:c r="T1766" s="10" t="n">
        <x:f>N1766*'Assumptions'!$AA$124</x:f>
        <x:v>359.50123610811875</x:v>
      </x:c>
      <x:c r="U1766" s="10" t="n">
        <x:f>'Assumptions'!$AE$124*'Assumptions'!$D$11*(1+'Assumptions'!$D$13)^(14-1)</x:f>
        <x:v>0</x:v>
      </x:c>
      <x:c r="V1766" s="10" t="n">
        <x:f>0</x:f>
        <x:v>0</x:v>
      </x:c>
      <x:c r="W1766" s="10" t="n">
        <x:f>H1766*('Assumptions'!$P$124+'Assumptions'!$Y$124)</x:f>
        <x:v>75.39504837711885</x:v>
      </x:c>
      <x:c r="X1766" s="10" t="n">
        <x:f>N1766/12*'Assumptions'!$AF$124</x:f>
        <x:v>0</x:v>
      </x:c>
      <x:c r="Y1766" s="10" t="n">
        <x:f>P1766/12</x:f>
        <x:v>0</x:v>
      </x:c>
      <x:c r="Z1766" s="10" t="n">
        <x:f>0</x:f>
        <x:v>0</x:v>
      </x:c>
      <x:c r="AA1766" s="10" t="n">
        <x:f>Z1766*'Assumptions'!$AC$124*'Assumptions'!$D$11*(1+'Assumptions'!$D$13)^(14-1)</x:f>
        <x:v>0</x:v>
      </x:c>
      <x:c r="AB1766" s="10" t="n">
        <x:f>F1766/12</x:f>
        <x:v>8.116733021964967</x:v>
      </x:c>
      <x:c r="AC1766" s="10" t="n">
        <x:f>AB1766/'Assumptions'!$AM$124</x:f>
        <x:v>162.3346604392993</x:v>
      </x:c>
      <x:c r="AD1766" s="10" t="n">
        <x:f>IF(AB1766=0,0,T1766/AB1766)</x:f>
        <x:v>44.29137131100164</x:v>
      </x:c>
      <x:c r="AE1766" s="10" t="n">
        <x:f>AA1766*'Assumptions'!$D$21</x:f>
        <x:v>0</x:v>
      </x:c>
    </x:row>
    <x:row r="1767" ht="16" customHeight="1">
      <x:c r="A1767" s="1"/>
      <x:c r="B1767" s="1"/>
      <x:c r="C1767" s="1" t="str">
        <x:v>DOT-096</x:v>
      </x:c>
      <x:c r="D1767" s="10" t="str">
        <x:v>Semajes premium and media</x:v>
      </x:c>
      <x:c r="E1767" s="10" t="n">
        <x:v>14</x:v>
      </x:c>
      <x:c r="F1767" s="21" t="n">
        <x:f>F1639*(1+'Assumptions'!$M$125)</x:f>
        <x:v>48.700398131789804</x:v>
      </x:c>
      <x:c r="G1767" s="21" t="n">
        <x:f>H1639*'Assumptions'!$K$125</x:f>
        <x:v>102.08969862244791</x:v>
      </x:c>
      <x:c r="H1767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1767+G1767,NA())</x:f>
        <x:v>150.7900967542377</x:v>
      </x:c>
      <x:c r="I1767" s="22" t="n">
        <x:f>'Assumptions'!$H$125*IF('Assumptions'!$O$125=1,1,'Assumptions'!$D$10)*(1+'Assumptions'!$N$125)^(14-1)</x:f>
        <x:v>50.450658587698065</x:v>
      </x:c>
      <x:c r="J1767" s="10" t="n">
        <x:f>H1767*I1767</x:f>
        <x:v>7607.459689754005</x:v>
      </x:c>
      <x:c r="K1767" s="10" t="n">
        <x:f>J1767*'Assumptions'!$T$125</x:f>
        <x:v>7607.459689754005</x:v>
      </x:c>
      <x:c r="L1767" s="10" t="n">
        <x:f>K1767*'Assumptions'!$U$125</x:f>
        <x:v>228.22379069262016</x:v>
      </x:c>
      <x:c r="M1767" s="10" t="n">
        <x:f>K1767*'Assumptions'!$V$125</x:f>
        <x:v>0</x:v>
      </x:c>
      <x:c r="N1767" s="10" t="n">
        <x:f>K1767-L1767-M1767</x:f>
        <x:v>7379.235899061385</x:v>
      </x:c>
      <x:c r="O1767" s="10" t="n">
        <x:f>H1767*'Assumptions'!$P$125*'Assumptions'!$Q$125*'Assumptions'!$D$11*(1+'Assumptions'!$D$13)^(14-1)</x:f>
        <x:v>1550.08238516755</x:v>
      </x:c>
      <x:c r="P1767" s="10" t="n">
        <x:f>H1767*'Assumptions'!$R$125*'Assumptions'!$D$11*(1+'Assumptions'!$D$13)^(14-1)</x:f>
        <x:v>0</x:v>
      </x:c>
      <x:c r="Q1767" s="10" t="n">
        <x:f>J1767*'Assumptions'!$S$125</x:f>
        <x:v>0</x:v>
      </x:c>
      <x:c r="R1767" s="10" t="n">
        <x:f>H1767*'Assumptions'!$Y$125*'Assumptions'!$Z$125*'Assumptions'!$D$11*(1+'Assumptions'!$D$13)^(14-1)</x:f>
        <x:v>996.4815333219964</x:v>
      </x:c>
      <x:c r="S1767" s="10" t="n">
        <x:f>IF(I1767=0,0,J1767*'Assumptions'!$W$125+H1767*'Assumptions'!$X$125)</x:f>
        <x:v>265.8533600291375</x:v>
      </x:c>
      <x:c r="T1767" s="10" t="n">
        <x:f>N1767*'Assumptions'!$AA$125</x:f>
        <x:v>368.9617949530693</x:v>
      </x:c>
      <x:c r="U1767" s="10" t="n">
        <x:f>'Assumptions'!$AE$125*'Assumptions'!$D$11*(1+'Assumptions'!$D$13)^(14-1)</x:f>
        <x:v>0</x:v>
      </x:c>
      <x:c r="V1767" s="10" t="n">
        <x:f>0</x:f>
        <x:v>0</x:v>
      </x:c>
      <x:c r="W1767" s="10" t="n">
        <x:f>H1767*('Assumptions'!$P$125+'Assumptions'!$Y$125)</x:f>
        <x:v>52.7765338639832</x:v>
      </x:c>
      <x:c r="X1767" s="10" t="n">
        <x:f>N1767/12*'Assumptions'!$AF$125</x:f>
        <x:v>0</x:v>
      </x:c>
      <x:c r="Y1767" s="10" t="n">
        <x:f>P1767/12</x:f>
        <x:v>0</x:v>
      </x:c>
      <x:c r="Z1767" s="10" t="n">
        <x:f>0</x:f>
        <x:v>0</x:v>
      </x:c>
      <x:c r="AA1767" s="10" t="n">
        <x:f>Z1767*'Assumptions'!$AC$125*'Assumptions'!$D$11*(1+'Assumptions'!$D$13)^(14-1)</x:f>
        <x:v>0</x:v>
      </x:c>
      <x:c r="AB1767" s="10" t="n">
        <x:f>F1767/12</x:f>
        <x:v>4.058366510982483</x:v>
      </x:c>
      <x:c r="AC1767" s="10" t="n">
        <x:f>AB1767/'Assumptions'!$AM$125</x:f>
        <x:v>81.16733021964966</x:v>
      </x:c>
      <x:c r="AD1767" s="10" t="n">
        <x:f>IF(AB1767=0,0,T1767/AB1767)</x:f>
        <x:v>90.91386742784547</x:v>
      </x:c>
      <x:c r="AE1767" s="10" t="n">
        <x:f>AA1767*'Assumptions'!$D$21</x:f>
        <x:v>0</x:v>
      </x:c>
    </x:row>
    <x:row r="1768" ht="16" customHeight="1">
      <x:c r="A1768" s="1"/>
      <x:c r="B1768" s="1"/>
      <x:c r="C1768" s="1" t="str">
        <x:v>DOT-097</x:v>
      </x:c>
      <x:c r="D1768" s="10" t="str">
        <x:v>Semajes premium and media</x:v>
      </x:c>
      <x:c r="E1768" s="10" t="n">
        <x:v>14</x:v>
      </x:c>
      <x:c r="F1768" s="21" t="n">
        <x:f>F1640*(1+'Assumptions'!$M$126)</x:f>
        <x:v>29.220238879073875</x:v>
      </x:c>
      <x:c r="G1768" s="21" t="n">
        <x:f>H1640*'Assumptions'!$K$126</x:f>
        <x:v>61.25381917346872</x:v>
      </x:c>
      <x:c r="H1768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1768+G1768,NA())</x:f>
        <x:v>90.4740580525426</x:v>
      </x:c>
      <x:c r="I1768" s="22" t="n">
        <x:f>'Assumptions'!$H$126*IF('Assumptions'!$O$126=1,1,'Assumptions'!$D$10)*(1+'Assumptions'!$N$126)^(14-1)</x:f>
        <x:v>128.06705641492584</x:v>
      </x:c>
      <x:c r="J1768" s="10" t="n">
        <x:f>H1768*I1768</x:f>
        <x:v>11586.74629670225</x:v>
      </x:c>
      <x:c r="K1768" s="10" t="n">
        <x:f>J1768*'Assumptions'!$T$126</x:f>
        <x:v>11586.74629670225</x:v>
      </x:c>
      <x:c r="L1768" s="10" t="n">
        <x:f>K1768*'Assumptions'!$U$126</x:f>
        <x:v>347.60238890106746</x:v>
      </x:c>
      <x:c r="M1768" s="10" t="n">
        <x:f>K1768*'Assumptions'!$V$126</x:f>
        <x:v>0</x:v>
      </x:c>
      <x:c r="N1768" s="10" t="n">
        <x:f>K1768-L1768-M1768</x:f>
        <x:v>11239.143907801183</x:v>
      </x:c>
      <x:c r="O1768" s="10" t="n">
        <x:f>H1768*'Assumptions'!$P$126*'Assumptions'!$Q$126*'Assumptions'!$D$11*(1+'Assumptions'!$D$13)^(14-1)</x:f>
        <x:v>4650.24715550265</x:v>
      </x:c>
      <x:c r="P1768" s="10" t="n">
        <x:f>H1768*'Assumptions'!$R$126*'Assumptions'!$D$11*(1+'Assumptions'!$D$13)^(14-1)</x:f>
        <x:v>0</x:v>
      </x:c>
      <x:c r="Q1768" s="10" t="n">
        <x:f>J1768*'Assumptions'!$S$126</x:f>
        <x:v>0</x:v>
      </x:c>
      <x:c r="R1768" s="10" t="n">
        <x:f>H1768*'Assumptions'!$Y$126*'Assumptions'!$Z$126*'Assumptions'!$D$11*(1+'Assumptions'!$D$13)^(14-1)</x:f>
        <x:v>597.8889199931978</x:v>
      </x:c>
      <x:c r="S1768" s="10" t="n">
        <x:f>IF(I1768=0,0,J1768*'Assumptions'!$W$126+H1768*'Assumptions'!$X$126)</x:f>
        <x:v>363.15786002012806</x:v>
      </x:c>
      <x:c r="T1768" s="10" t="n">
        <x:f>N1768*'Assumptions'!$AA$126</x:f>
        <x:v>561.9571953900592</x:v>
      </x:c>
      <x:c r="U1768" s="10" t="n">
        <x:f>'Assumptions'!$AE$126*'Assumptions'!$D$11*(1+'Assumptions'!$D$13)^(14-1)</x:f>
        <x:v>0</x:v>
      </x:c>
      <x:c r="V1768" s="10" t="n">
        <x:f>0</x:f>
        <x:v>0</x:v>
      </x:c>
      <x:c r="W1768" s="10" t="n">
        <x:f>H1768*('Assumptions'!$P$126+'Assumptions'!$Y$126)</x:f>
        <x:v>104.04516676042398</x:v>
      </x:c>
      <x:c r="X1768" s="10" t="n">
        <x:f>N1768/12*'Assumptions'!$AF$126</x:f>
        <x:v>0</x:v>
      </x:c>
      <x:c r="Y1768" s="10" t="n">
        <x:f>P1768/12</x:f>
        <x:v>0</x:v>
      </x:c>
      <x:c r="Z1768" s="10" t="n">
        <x:f>0</x:f>
        <x:v>0</x:v>
      </x:c>
      <x:c r="AA1768" s="10" t="n">
        <x:f>Z1768*'Assumptions'!$AC$126*'Assumptions'!$D$11*(1+'Assumptions'!$D$13)^(14-1)</x:f>
        <x:v>0</x:v>
      </x:c>
      <x:c r="AB1768" s="10" t="n">
        <x:f>F1768/1</x:f>
        <x:v>29.220238879073875</x:v>
      </x:c>
      <x:c r="AC1768" s="10" t="n">
        <x:f>AB1768/'Assumptions'!$AM$126</x:f>
        <x:v>584.4047775814774</x:v>
      </x:c>
      <x:c r="AD1768" s="10" t="n">
        <x:f>IF(AB1768=0,0,T1768/AB1768)</x:f>
        <x:v>19.231779648198078</x:v>
      </x:c>
      <x:c r="AE1768" s="10" t="n">
        <x:f>AA1768*'Assumptions'!$D$21</x:f>
        <x:v>0</x:v>
      </x:c>
    </x:row>
    <x:row r="1769" ht="16" customHeight="1">
      <x:c r="A1769" s="1"/>
      <x:c r="B1769" s="1"/>
      <x:c r="C1769" s="1" t="str">
        <x:v>DOT-098</x:v>
      </x:c>
      <x:c r="D1769" s="10" t="str">
        <x:v>Semajes premium and media</x:v>
      </x:c>
      <x:c r="E1769" s="10" t="n">
        <x:v>14</x:v>
      </x:c>
      <x:c r="F1769" s="21" t="n">
        <x:f>F1641*(1+'Assumptions'!$M$127)</x:f>
        <x:v>14.610119439536938</x:v>
      </x:c>
      <x:c r="G1769" s="21" t="n">
        <x:f>H1641*'Assumptions'!$K$127</x:f>
        <x:v>30.62690958673436</x:v>
      </x:c>
      <x:c r="H1769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1769+G1769,NA())</x:f>
        <x:v>45.2370290262713</x:v>
      </x:c>
      <x:c r="I1769" s="22" t="n">
        <x:f>'Assumptions'!$H$127*IF('Assumptions'!$O$127=1,1,'Assumptions'!$D$10)*(1+'Assumptions'!$N$127)^(14-1)</x:f>
        <x:v>322.10805098299534</x:v>
      </x:c>
      <x:c r="J1769" s="10" t="n">
        <x:f>H1769*I1769</x:f>
        <x:v>14571.211251913437</x:v>
      </x:c>
      <x:c r="K1769" s="10" t="n">
        <x:f>J1769*'Assumptions'!$T$127</x:f>
        <x:v>14571.211251913437</x:v>
      </x:c>
      <x:c r="L1769" s="10" t="n">
        <x:f>K1769*'Assumptions'!$U$127</x:f>
        <x:v>437.1363375574031</x:v>
      </x:c>
      <x:c r="M1769" s="10" t="n">
        <x:f>K1769*'Assumptions'!$V$127</x:f>
        <x:v>0</x:v>
      </x:c>
      <x:c r="N1769" s="10" t="n">
        <x:f>K1769-L1769-M1769</x:f>
        <x:v>14134.074914356033</x:v>
      </x:c>
      <x:c r="O1769" s="10" t="n">
        <x:f>H1769*'Assumptions'!$P$127*'Assumptions'!$Q$127*'Assumptions'!$D$11*(1+'Assumptions'!$D$13)^(14-1)</x:f>
        <x:v>6975.370733253973</x:v>
      </x:c>
      <x:c r="P1769" s="10" t="n">
        <x:f>H1769*'Assumptions'!$R$127*'Assumptions'!$D$11*(1+'Assumptions'!$D$13)^(14-1)</x:f>
        <x:v>0</x:v>
      </x:c>
      <x:c r="Q1769" s="10" t="n">
        <x:f>J1769*'Assumptions'!$S$127</x:f>
        <x:v>0</x:v>
      </x:c>
      <x:c r="R1769" s="10" t="n">
        <x:f>H1769*'Assumptions'!$Y$127*'Assumptions'!$Z$127*'Assumptions'!$D$11*(1+'Assumptions'!$D$13)^(14-1)</x:f>
        <x:v>298.9444599965989</x:v>
      </x:c>
      <x:c r="S1769" s="10" t="n">
        <x:f>IF(I1769=0,0,J1769*'Assumptions'!$W$127+H1769*'Assumptions'!$X$127)</x:f>
        <x:v>436.13623501337105</x:v>
      </x:c>
      <x:c r="T1769" s="10" t="n">
        <x:f>N1769*'Assumptions'!$AA$127</x:f>
        <x:v>706.7037457178017</x:v>
      </x:c>
      <x:c r="U1769" s="10" t="n">
        <x:f>'Assumptions'!$AE$127*'Assumptions'!$D$11*(1+'Assumptions'!$D$13)^(14-1)</x:f>
        <x:v>0</x:v>
      </x:c>
      <x:c r="V1769" s="10" t="n">
        <x:f>0</x:f>
        <x:v>0</x:v>
      </x:c>
      <x:c r="W1769" s="10" t="n">
        <x:f>H1769*('Assumptions'!$P$127+'Assumptions'!$Y$127)</x:f>
        <x:v>142.4966414327546</x:v>
      </x:c>
      <x:c r="X1769" s="10" t="n">
        <x:f>N1769/12*'Assumptions'!$AF$127</x:f>
        <x:v>0</x:v>
      </x:c>
      <x:c r="Y1769" s="10" t="n">
        <x:f>P1769/12</x:f>
        <x:v>0</x:v>
      </x:c>
      <x:c r="Z1769" s="10" t="n">
        <x:f>0</x:f>
        <x:v>0</x:v>
      </x:c>
      <x:c r="AA1769" s="10" t="n">
        <x:f>Z1769*'Assumptions'!$AC$127*'Assumptions'!$D$11*(1+'Assumptions'!$D$13)^(14-1)</x:f>
        <x:v>0</x:v>
      </x:c>
      <x:c r="AB1769" s="10" t="n">
        <x:f>F1769/1</x:f>
        <x:v>14.610119439536938</x:v>
      </x:c>
      <x:c r="AC1769" s="10" t="n">
        <x:f>AB1769/'Assumptions'!$AM$127</x:f>
        <x:v>292.2023887907387</x:v>
      </x:c>
      <x:c r="AD1769" s="10" t="n">
        <x:f>IF(AB1769=0,0,T1769/AB1769)</x:f>
        <x:v>48.370839721225465</x:v>
      </x:c>
      <x:c r="AE1769" s="10" t="n">
        <x:f>AA1769*'Assumptions'!$D$21</x:f>
        <x:v>0</x:v>
      </x:c>
    </x:row>
    <x:row r="1770" ht="16" customHeight="1">
      <x:c r="A1770" s="1"/>
      <x:c r="B1770" s="1"/>
      <x:c r="C1770" s="1" t="str">
        <x:v>DOT-099</x:v>
      </x:c>
      <x:c r="D1770" s="10" t="str">
        <x:v>Semajes premium and media</x:v>
      </x:c>
      <x:c r="E1770" s="10" t="n">
        <x:v>14</x:v>
      </x:c>
      <x:c r="F1770" s="21" t="n">
        <x:f>F1642*(1+'Assumptions'!$M$128)</x:f>
        <x:v>48.700398131789804</x:v>
      </x:c>
      <x:c r="G1770" s="21" t="n">
        <x:f>H1642*'Assumptions'!$K$128</x:f>
        <x:v>102.08969862244791</x:v>
      </x:c>
      <x:c r="H1770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1770+G1770,NA())</x:f>
        <x:v>150.7900967542377</x:v>
      </x:c>
      <x:c r="I1770" s="22" t="n">
        <x:f>'Assumptions'!$H$128*IF('Assumptions'!$O$128=1,1,'Assumptions'!$D$10)*(1+'Assumptions'!$N$128)^(14-1)</x:f>
        <x:v>37.5145922831601</x:v>
      </x:c>
      <x:c r="J1770" s="10" t="n">
        <x:f>H1770*I1770</x:f>
        <x:v>5656.8290000734905</x:v>
      </x:c>
      <x:c r="K1770" s="10" t="n">
        <x:f>J1770*'Assumptions'!$T$128</x:f>
        <x:v>5656.8290000734905</x:v>
      </x:c>
      <x:c r="L1770" s="10" t="n">
        <x:f>K1770*'Assumptions'!$U$128</x:f>
        <x:v>169.7048700022047</x:v>
      </x:c>
      <x:c r="M1770" s="10" t="n">
        <x:f>K1770*'Assumptions'!$V$128</x:f>
        <x:v>0</x:v>
      </x:c>
      <x:c r="N1770" s="10" t="n">
        <x:f>K1770-L1770-M1770</x:f>
        <x:v>5487.124130071285</x:v>
      </x:c>
      <x:c r="O1770" s="10" t="n">
        <x:f>H1770*'Assumptions'!$P$128*'Assumptions'!$Q$128*'Assumptions'!$D$11*(1+'Assumptions'!$D$13)^(14-1)</x:f>
        <x:v>1162.5617888756626</x:v>
      </x:c>
      <x:c r="P1770" s="10" t="n">
        <x:f>H1770*'Assumptions'!$R$128*'Assumptions'!$D$11*(1+'Assumptions'!$D$13)^(14-1)</x:f>
        <x:v>0</x:v>
      </x:c>
      <x:c r="Q1770" s="10" t="n">
        <x:f>J1770*'Assumptions'!$S$128</x:f>
        <x:v>0</x:v>
      </x:c>
      <x:c r="R1770" s="10" t="n">
        <x:f>H1770*'Assumptions'!$Y$128*'Assumptions'!$Z$128*'Assumptions'!$D$11*(1+'Assumptions'!$D$13)^(14-1)</x:f>
        <x:v>996.4815333219964</x:v>
      </x:c>
      <x:c r="S1770" s="10" t="n">
        <x:f>IF(I1770=0,0,J1770*'Assumptions'!$W$128+H1770*'Assumptions'!$X$128)</x:f>
        <x:v>209.28507002840254</x:v>
      </x:c>
      <x:c r="T1770" s="10" t="n">
        <x:f>N1770*'Assumptions'!$AA$128</x:f>
        <x:v>274.3562065035643</x:v>
      </x:c>
      <x:c r="U1770" s="10" t="n">
        <x:f>'Assumptions'!$AE$128*'Assumptions'!$D$11*(1+'Assumptions'!$D$13)^(14-1)</x:f>
        <x:v>0</x:v>
      </x:c>
      <x:c r="V1770" s="10" t="n">
        <x:f>0</x:f>
        <x:v>0</x:v>
      </x:c>
      <x:c r="W1770" s="10" t="n">
        <x:f>H1770*('Assumptions'!$P$128+'Assumptions'!$Y$128)</x:f>
        <x:v>45.23702902627131</x:v>
      </x:c>
      <x:c r="X1770" s="10" t="n">
        <x:f>N1770/12*'Assumptions'!$AF$128</x:f>
        <x:v>0</x:v>
      </x:c>
      <x:c r="Y1770" s="10" t="n">
        <x:f>P1770/12</x:f>
        <x:v>0</x:v>
      </x:c>
      <x:c r="Z1770" s="10" t="n">
        <x:f>0</x:f>
        <x:v>0</x:v>
      </x:c>
      <x:c r="AA1770" s="10" t="n">
        <x:f>Z1770*'Assumptions'!$AC$128*'Assumptions'!$D$11*(1+'Assumptions'!$D$13)^(14-1)</x:f>
        <x:v>0</x:v>
      </x:c>
      <x:c r="AB1770" s="10" t="n">
        <x:f>F1770/1</x:f>
        <x:v>48.700398131789804</x:v>
      </x:c>
      <x:c r="AC1770" s="10" t="n">
        <x:f>AB1770/'Assumptions'!$AM$128</x:f>
        <x:v>974.007962635796</x:v>
      </x:c>
      <x:c r="AD1770" s="10" t="n">
        <x:f>IF(AB1770=0,0,T1770/AB1770)</x:f>
        <x:v>5.633551614118629</x:v>
      </x:c>
      <x:c r="AE1770" s="10" t="n">
        <x:f>AA1770*'Assumptions'!$D$21</x:f>
        <x:v>0</x:v>
      </x:c>
    </x:row>
    <x:row r="1771" ht="16" customHeight="1">
      <x:c r="A1771" s="1"/>
      <x:c r="B1771" s="1"/>
      <x:c r="C1771" s="1" t="str">
        <x:v>DOT-100</x:v>
      </x:c>
      <x:c r="D1771" s="10" t="str">
        <x:v>Semajes courses</x:v>
      </x:c>
      <x:c r="E1771" s="10" t="n">
        <x:v>14</x:v>
      </x:c>
      <x:c r="F1771" s="21" t="n">
        <x:f>F1643*(1+'Assumptions'!$M$129)</x:f>
        <x:v>410.7701616029546</x:v>
      </x:c>
      <x:c r="G1771" s="21" t="n">
        <x:f>H1643*'Assumptions'!$K$129</x:f>
        <x:v>131.65705101027845</x:v>
      </x:c>
      <x:c r="H1771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1771+G1771,NA())</x:f>
        <x:v>542.427212613233</x:v>
      </x:c>
      <x:c r="I1771" s="22" t="n">
        <x:f>'Assumptions'!$H$129*IF('Assumptions'!$O$129=1,1,'Assumptions'!$D$10)*(1+'Assumptions'!$N$129)^(14-1)</x:f>
        <x:v>50.450658587698065</x:v>
      </x:c>
      <x:c r="J1771" s="10" t="n">
        <x:f>H1771*I1771</x:f>
        <x:v>27365.81011222693</x:v>
      </x:c>
      <x:c r="K1771" s="10" t="n">
        <x:f>J1771*'Assumptions'!$T$129</x:f>
        <x:v>27365.81011222693</x:v>
      </x:c>
      <x:c r="L1771" s="10" t="n">
        <x:f>K1771*'Assumptions'!$U$129</x:f>
        <x:v>820.9743033668078</x:v>
      </x:c>
      <x:c r="M1771" s="10" t="n">
        <x:f>K1771*'Assumptions'!$V$129</x:f>
        <x:v>0</x:v>
      </x:c>
      <x:c r="N1771" s="10" t="n">
        <x:f>K1771-L1771-M1771</x:f>
        <x:v>26544.83580886012</x:v>
      </x:c>
      <x:c r="O1771" s="10" t="n">
        <x:f>H1771*'Assumptions'!$P$129*'Assumptions'!$Q$129*'Assumptions'!$D$11*(1+'Assumptions'!$D$13)^(14-1)</x:f>
        <x:v>4182.006406284486</x:v>
      </x:c>
      <x:c r="P1771" s="10" t="n">
        <x:f>H1771*'Assumptions'!$R$129*'Assumptions'!$D$11*(1+'Assumptions'!$D$13)^(14-1)</x:f>
        <x:v>0</x:v>
      </x:c>
      <x:c r="Q1771" s="10" t="n">
        <x:f>J1771*'Assumptions'!$S$129</x:f>
        <x:v>0</x:v>
      </x:c>
      <x:c r="R1771" s="10" t="n">
        <x:f>H1771*'Assumptions'!$Y$129*'Assumptions'!$Z$129*'Assumptions'!$D$11*(1+'Assumptions'!$D$13)^(14-1)</x:f>
        <x:v>2389.717946448278</x:v>
      </x:c>
      <x:c r="S1771" s="10" t="n">
        <x:f>IF(I1771=0,0,J1771*'Assumptions'!$W$129+H1771*'Assumptions'!$X$129)</x:f>
        <x:v>956.3366570385508</x:v>
      </x:c>
      <x:c r="T1771" s="10" t="n">
        <x:f>N1771*'Assumptions'!$AA$129</x:f>
        <x:v>1327.241790443006</x:v>
      </x:c>
      <x:c r="U1771" s="10" t="n">
        <x:f>'Assumptions'!$AE$129*'Assumptions'!$D$11*(1+'Assumptions'!$D$13)^(14-1)</x:f>
        <x:v>0</x:v>
      </x:c>
      <x:c r="V1771" s="10" t="n">
        <x:f>0</x:f>
        <x:v>0</x:v>
      </x:c>
      <x:c r="W1771" s="10" t="n">
        <x:f>H1771*('Assumptions'!$P$129+'Assumptions'!$Y$129)</x:f>
        <x:v>135.60680315330825</x:v>
      </x:c>
      <x:c r="X1771" s="10" t="n">
        <x:f>N1771/12*'Assumptions'!$AF$129</x:f>
        <x:v>0</x:v>
      </x:c>
      <x:c r="Y1771" s="10" t="n">
        <x:f>P1771/12</x:f>
        <x:v>0</x:v>
      </x:c>
      <x:c r="Z1771" s="10" t="n">
        <x:f>0</x:f>
        <x:v>0</x:v>
      </x:c>
      <x:c r="AA1771" s="10" t="n">
        <x:f>Z1771*'Assumptions'!$AC$129*'Assumptions'!$D$11*(1+'Assumptions'!$D$13)^(14-1)</x:f>
        <x:v>0</x:v>
      </x:c>
      <x:c r="AB1771" s="10" t="n">
        <x:f>F1771/1</x:f>
        <x:v>410.7701616029546</x:v>
      </x:c>
      <x:c r="AC1771" s="10" t="n">
        <x:f>AB1771/'Assumptions'!$AM$129</x:f>
        <x:v>8215.403232059092</x:v>
      </x:c>
      <x:c r="AD1771" s="10" t="n">
        <x:f>IF(AB1771=0,0,T1771/AB1771)</x:f>
        <x:v>3.231105651062118</x:v>
      </x:c>
      <x:c r="AE1771" s="10" t="n">
        <x:f>AA1771*'Assumptions'!$D$21</x:f>
        <x:v>0</x:v>
      </x:c>
    </x:row>
    <x:row r="1772" ht="16" customHeight="1">
      <x:c r="A1772" s="1"/>
      <x:c r="B1772" s="1"/>
      <x:c r="C1772" s="1" t="str">
        <x:v>DOT-101</x:v>
      </x:c>
      <x:c r="D1772" s="10" t="str">
        <x:v>Sleepy Face</x:v>
      </x:c>
      <x:c r="E1772" s="10" t="n">
        <x:v>14</x:v>
      </x:c>
      <x:c r="F1772" s="21" t="n">
        <x:f>F1644*(1+'Assumptions'!$M$130)</x:f>
        <x:v>344.9184253475783</x:v>
      </x:c>
      <x:c r="G1772" s="21" t="n">
        <x:f>H1644*'Assumptions'!$K$130</x:f>
        <x:v>141.7470459432688</x:v>
      </x:c>
      <x:c r="H1772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1772+G1772,NA())</x:f>
        <x:v>486.6654712908471</x:v>
      </x:c>
      <x:c r="I1772" s="22" t="n">
        <x:f>'Assumptions'!$H$130*IF('Assumptions'!$O$130=1,1,'Assumptions'!$D$10)*(1+'Assumptions'!$N$130)^(14-1)</x:f>
        <x:v>122.89262989311067</x:v>
      </x:c>
      <x:c r="J1772" s="10" t="n">
        <x:f>H1772*I1772</x:f>
        <x:v>59807.599645102346</x:v>
      </x:c>
      <x:c r="K1772" s="10" t="n">
        <x:f>J1772*'Assumptions'!$T$130</x:f>
        <x:v>59807.599645102346</x:v>
      </x:c>
      <x:c r="L1772" s="10" t="n">
        <x:f>K1772*'Assumptions'!$U$130</x:f>
        <x:v>4784.607971608188</x:v>
      </x:c>
      <x:c r="M1772" s="10" t="n">
        <x:f>K1772*'Assumptions'!$V$130</x:f>
        <x:v>1196.151992902047</x:v>
      </x:c>
      <x:c r="N1772" s="10" t="n">
        <x:f>K1772-L1772-M1772</x:f>
        <x:v>53826.83968059211</x:v>
      </x:c>
      <x:c r="O1772" s="10" t="n">
        <x:f>H1772*'Assumptions'!$P$130*'Assumptions'!$Q$130*'Assumptions'!$D$11*(1+'Assumptions'!$D$13)^(14-1)</x:f>
        <x:v>3752.0944217578685</x:v>
      </x:c>
      <x:c r="P1772" s="10" t="n">
        <x:f>H1772*'Assumptions'!$R$130*'Assumptions'!$D$11*(1+'Assumptions'!$D$13)^(14-1)</x:f>
        <x:v>21440.539552902108</x:v>
      </x:c>
      <x:c r="Q1772" s="10" t="n">
        <x:f>J1772*'Assumptions'!$S$130</x:f>
        <x:v>0</x:v>
      </x:c>
      <x:c r="R1772" s="10" t="n">
        <x:f>H1772*'Assumptions'!$Y$130*'Assumptions'!$Z$130*'Assumptions'!$D$11*(1+'Assumptions'!$D$13)^(14-1)</x:f>
        <x:v>3216.080932935316</x:v>
      </x:c>
      <x:c r="S1772" s="10" t="n">
        <x:f>IF(I1772=0,0,J1772*'Assumptions'!$W$130+H1772*'Assumptions'!$X$130)</x:f>
        <x:v>1880.4200310952222</x:v>
      </x:c>
      <x:c r="T1772" s="10" t="n">
        <x:f>N1772*'Assumptions'!$AA$130</x:f>
        <x:v>4306.147174447368</x:v>
      </x:c>
      <x:c r="U1772" s="10" t="n">
        <x:f>'Assumptions'!$AE$130*'Assumptions'!$D$11*(1+'Assumptions'!$D$13)^(14-1)</x:f>
        <x:v>0</x:v>
      </x:c>
      <x:c r="V1772" s="10" t="n">
        <x:f>0</x:f>
        <x:v>0</x:v>
      </x:c>
      <x:c r="W1772" s="10" t="n">
        <x:f>H1772*('Assumptions'!$P$130+'Assumptions'!$Y$130)</x:f>
        <x:v>145.99964138725412</x:v>
      </x:c>
      <x:c r="X1772" s="10" t="n">
        <x:f>N1772/12*'Assumptions'!$AF$130</x:f>
        <x:v>0</x:v>
      </x:c>
      <x:c r="Y1772" s="10" t="n">
        <x:f>P1772/12</x:f>
        <x:v>1786.711629408509</x:v>
      </x:c>
      <x:c r="Z1772" s="10" t="n">
        <x:f>0</x:f>
        <x:v>0</x:v>
      </x:c>
      <x:c r="AA1772" s="10" t="n">
        <x:f>Z1772*'Assumptions'!$AC$130*'Assumptions'!$D$11*(1+'Assumptions'!$D$13)^(14-1)</x:f>
        <x:v>0</x:v>
      </x:c>
      <x:c r="AB1772" s="10" t="n">
        <x:f>F1772/1</x:f>
        <x:v>344.9184253475783</x:v>
      </x:c>
      <x:c r="AC1772" s="10" t="n">
        <x:f>AB1772/'Assumptions'!$AM$130</x:f>
        <x:v>11497.280844919278</x:v>
      </x:c>
      <x:c r="AD1772" s="10" t="n">
        <x:f>IF(AB1772=0,0,T1772/AB1772)</x:f>
        <x:v>12.484537960267023</x:v>
      </x:c>
      <x:c r="AE1772" s="10" t="n">
        <x:f>AA1772*'Assumptions'!$D$21</x:f>
        <x:v>0</x:v>
      </x:c>
    </x:row>
    <x:row r="1773" ht="16" customHeight="1">
      <x:c r="A1773" s="1"/>
      <x:c r="B1773" s="1"/>
      <x:c r="C1773" s="1" t="str">
        <x:v>DOT-102</x:v>
      </x:c>
      <x:c r="D1773" s="10" t="str">
        <x:v>Sleepy Face</x:v>
      </x:c>
      <x:c r="E1773" s="10" t="n">
        <x:v>14</x:v>
      </x:c>
      <x:c r="F1773" s="21" t="n">
        <x:f>F1645*(1+'Assumptions'!$M$131)</x:f>
        <x:v>517.3776380213673</x:v>
      </x:c>
      <x:c r="G1773" s="21" t="n">
        <x:f>H1645*'Assumptions'!$K$131</x:f>
        <x:v>212.62056891490317</x:v>
      </x:c>
      <x:c r="H1773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1773+G1773,NA())</x:f>
        <x:v>729.9982069362704</x:v>
      </x:c>
      <x:c r="I1773" s="22" t="n">
        <x:f>'Assumptions'!$H$131*IF('Assumptions'!$O$131=1,1,'Assumptions'!$D$10)*(1+'Assumptions'!$N$131)^(14-1)</x:f>
        <x:v>213.44509402487643</x:v>
      </x:c>
      <x:c r="J1773" s="10" t="n">
        <x:f>H1773*I1773</x:f>
        <x:v>155814.53591750344</x:v>
      </x:c>
      <x:c r="K1773" s="10" t="n">
        <x:f>J1773*'Assumptions'!$T$131</x:f>
        <x:v>155814.53591750344</x:v>
      </x:c>
      <x:c r="L1773" s="10" t="n">
        <x:f>K1773*'Assumptions'!$U$131</x:f>
        <x:v>12465.162873400275</x:v>
      </x:c>
      <x:c r="M1773" s="10" t="n">
        <x:f>K1773*'Assumptions'!$V$131</x:f>
        <x:v>3116.290718350069</x:v>
      </x:c>
      <x:c r="N1773" s="10" t="n">
        <x:f>K1773-L1773-M1773</x:f>
        <x:v>140233.0823257531</x:v>
      </x:c>
      <x:c r="O1773" s="10" t="n">
        <x:f>H1773*'Assumptions'!$P$131*'Assumptions'!$Q$131*'Assumptions'!$D$11*(1+'Assumptions'!$D$13)^(14-1)</x:f>
        <x:v>5628.141632636802</x:v>
      </x:c>
      <x:c r="P1773" s="10" t="n">
        <x:f>H1773*'Assumptions'!$R$131*'Assumptions'!$D$11*(1+'Assumptions'!$D$13)^(14-1)</x:f>
        <x:v>64321.618658706306</x:v>
      </x:c>
      <x:c r="Q1773" s="10" t="n">
        <x:f>J1773*'Assumptions'!$S$131</x:f>
        <x:v>0</x:v>
      </x:c>
      <x:c r="R1773" s="10" t="n">
        <x:f>H1773*'Assumptions'!$Y$131*'Assumptions'!$Z$131*'Assumptions'!$D$11*(1+'Assumptions'!$D$13)^(14-1)</x:f>
        <x:v>4824.121399402973</x:v>
      </x:c>
      <x:c r="S1773" s="10" t="n">
        <x:f>IF(I1773=0,0,J1773*'Assumptions'!$W$131+H1773*'Assumptions'!$X$131)</x:f>
        <x:v>4737.621003688481</x:v>
      </x:c>
      <x:c r="T1773" s="10" t="n">
        <x:f>N1773*'Assumptions'!$AA$131</x:f>
        <x:v>11218.646586060248</x:v>
      </x:c>
      <x:c r="U1773" s="10" t="n">
        <x:f>'Assumptions'!$AE$131*'Assumptions'!$D$11*(1+'Assumptions'!$D$13)^(14-1)</x:f>
        <x:v>0</x:v>
      </x:c>
      <x:c r="V1773" s="10" t="n">
        <x:f>0</x:f>
        <x:v>0</x:v>
      </x:c>
      <x:c r="W1773" s="10" t="n">
        <x:f>H1773*('Assumptions'!$P$131+'Assumptions'!$Y$131)</x:f>
        <x:v>218.99946208088113</x:v>
      </x:c>
      <x:c r="X1773" s="10" t="n">
        <x:f>N1773/12*'Assumptions'!$AF$131</x:f>
        <x:v>0</x:v>
      </x:c>
      <x:c r="Y1773" s="10" t="n">
        <x:f>P1773/12</x:f>
        <x:v>5360.134888225525</x:v>
      </x:c>
      <x:c r="Z1773" s="10" t="n">
        <x:f>0</x:f>
        <x:v>0</x:v>
      </x:c>
      <x:c r="AA1773" s="10" t="n">
        <x:f>Z1773*'Assumptions'!$AC$131*'Assumptions'!$D$11*(1+'Assumptions'!$D$13)^(14-1)</x:f>
        <x:v>0</x:v>
      </x:c>
      <x:c r="AB1773" s="10" t="n">
        <x:f>F1773/1</x:f>
        <x:v>517.3776380213673</x:v>
      </x:c>
      <x:c r="AC1773" s="10" t="n">
        <x:f>AB1773/'Assumptions'!$AM$131</x:f>
        <x:v>17245.921267378908</x:v>
      </x:c>
      <x:c r="AD1773" s="10" t="n">
        <x:f>IF(AB1773=0,0,T1773/AB1773)</x:f>
        <x:v>21.68367119414799</x:v>
      </x:c>
      <x:c r="AE1773" s="10" t="n">
        <x:f>AA1773*'Assumptions'!$D$21</x:f>
        <x:v>0</x:v>
      </x:c>
    </x:row>
    <x:row r="1774" ht="16" customHeight="1">
      <x:c r="A1774" s="1"/>
      <x:c r="B1774" s="1"/>
      <x:c r="C1774" s="1" t="str">
        <x:v>DOT-103</x:v>
      </x:c>
      <x:c r="D1774" s="10" t="str">
        <x:v>Sleepy Face</x:v>
      </x:c>
      <x:c r="E1774" s="10" t="n">
        <x:v>14</x:v>
      </x:c>
      <x:c r="F1774" s="21" t="n">
        <x:f>F1646*(1+'Assumptions'!$M$132)</x:f>
        <x:v>114.97280844919273</x:v>
      </x:c>
      <x:c r="G1774" s="21" t="n">
        <x:f>H1646*'Assumptions'!$K$132</x:f>
        <x:v>47.24901531442293</x:v>
      </x:c>
      <x:c r="H1774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1774+G1774,NA())</x:f>
        <x:v>162.22182376361565</x:v>
      </x:c>
      <x:c r="I1774" s="22" t="n">
        <x:f>'Assumptions'!$H$132*IF('Assumptions'!$O$132=1,1,'Assumptions'!$D$10)*(1+'Assumptions'!$N$132)^(14-1)</x:f>
        <x:v>291.0614918521042</x:v>
      </x:c>
      <x:c r="J1774" s="10" t="n">
        <x:f>H1774*I1774</x:f>
        <x:v>47216.5260356071</x:v>
      </x:c>
      <x:c r="K1774" s="10" t="n">
        <x:f>J1774*'Assumptions'!$T$132</x:f>
        <x:v>47216.5260356071</x:v>
      </x:c>
      <x:c r="L1774" s="10" t="n">
        <x:f>K1774*'Assumptions'!$U$132</x:f>
        <x:v>3777.3220828485682</x:v>
      </x:c>
      <x:c r="M1774" s="10" t="n">
        <x:f>K1774*'Assumptions'!$V$132</x:f>
        <x:v>944.3305207121421</x:v>
      </x:c>
      <x:c r="N1774" s="10" t="n">
        <x:f>K1774-L1774-M1774</x:f>
        <x:v>42494.873432046385</x:v>
      </x:c>
      <x:c r="O1774" s="10" t="n">
        <x:f>H1774*'Assumptions'!$P$132*'Assumptions'!$Q$132*'Assumptions'!$D$11*(1+'Assumptions'!$D$13)^(14-1)</x:f>
        <x:v>1250.6981405859558</x:v>
      </x:c>
      <x:c r="P1774" s="10" t="n">
        <x:f>H1774*'Assumptions'!$R$132*'Assumptions'!$D$11*(1+'Assumptions'!$D$13)^(14-1)</x:f>
        <x:v>21440.5395529021</x:v>
      </x:c>
      <x:c r="Q1774" s="10" t="n">
        <x:f>J1774*'Assumptions'!$S$132</x:f>
        <x:v>0</x:v>
      </x:c>
      <x:c r="R1774" s="10" t="n">
        <x:f>H1774*'Assumptions'!$Y$132*'Assumptions'!$Z$132*'Assumptions'!$D$11*(1+'Assumptions'!$D$13)^(14-1)</x:f>
        <x:v>1072.0269776451048</x:v>
      </x:c>
      <x:c r="S1774" s="10" t="n">
        <x:f>IF(I1774=0,0,J1774*'Assumptions'!$W$132+H1774*'Assumptions'!$X$132)</x:f>
        <x:v>1417.9458021616906</x:v>
      </x:c>
      <x:c r="T1774" s="10" t="n">
        <x:f>N1774*'Assumptions'!$AA$132</x:f>
        <x:v>3399.589874563711</x:v>
      </x:c>
      <x:c r="U1774" s="10" t="n">
        <x:f>'Assumptions'!$AE$132*'Assumptions'!$D$11*(1+'Assumptions'!$D$13)^(14-1)</x:f>
        <x:v>0</x:v>
      </x:c>
      <x:c r="V1774" s="10" t="n">
        <x:f>0</x:f>
        <x:v>0</x:v>
      </x:c>
      <x:c r="W1774" s="10" t="n">
        <x:f>H1774*('Assumptions'!$P$132+'Assumptions'!$Y$132)</x:f>
        <x:v>48.66654712908469</x:v>
      </x:c>
      <x:c r="X1774" s="10" t="n">
        <x:f>N1774/12*'Assumptions'!$AF$132</x:f>
        <x:v>0</x:v>
      </x:c>
      <x:c r="Y1774" s="10" t="n">
        <x:f>P1774/12</x:f>
        <x:v>1786.7116294085083</x:v>
      </x:c>
      <x:c r="Z1774" s="10" t="n">
        <x:f>0</x:f>
        <x:v>0</x:v>
      </x:c>
      <x:c r="AA1774" s="10" t="n">
        <x:f>Z1774*'Assumptions'!$AC$132*'Assumptions'!$D$11*(1+'Assumptions'!$D$13)^(14-1)</x:f>
        <x:v>0</x:v>
      </x:c>
      <x:c r="AB1774" s="10" t="n">
        <x:f>F1774/1</x:f>
        <x:v>114.97280844919273</x:v>
      </x:c>
      <x:c r="AC1774" s="10" t="n">
        <x:f>AB1774/'Assumptions'!$AM$132</x:f>
        <x:v>3832.4269483064245</x:v>
      </x:c>
      <x:c r="AD1774" s="10" t="n">
        <x:f>IF(AB1774=0,0,T1774/AB1774)</x:f>
        <x:v>29.568642537474528</x:v>
      </x:c>
      <x:c r="AE1774" s="10" t="n">
        <x:f>AA1774*'Assumptions'!$D$21</x:f>
        <x:v>0</x:v>
      </x:c>
    </x:row>
    <x:row r="1775" ht="16" customHeight="1">
      <x:c r="A1775" s="1"/>
      <x:c r="B1775" s="1"/>
      <x:c r="C1775" s="1" t="str">
        <x:v>DOT-104</x:v>
      </x:c>
      <x:c r="D1775" s="10" t="str">
        <x:v>Sleepy Face</x:v>
      </x:c>
      <x:c r="E1775" s="10" t="n">
        <x:v>14</x:v>
      </x:c>
      <x:c r="F1775" s="21" t="n">
        <x:f>F1647*(1+'Assumptions'!$M$133)</x:f>
        <x:v>344.9184253475783</x:v>
      </x:c>
      <x:c r="G1775" s="21" t="n">
        <x:f>H1647*'Assumptions'!$K$133</x:f>
        <x:v>141.7470459432688</x:v>
      </x:c>
      <x:c r="H1775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1775+G1775,NA())</x:f>
        <x:v>486.6654712908471</x:v>
      </x:c>
      <x:c r="I1775" s="22" t="n">
        <x:f>'Assumptions'!$H$133*IF('Assumptions'!$O$133=1,1,'Assumptions'!$D$10)*(1+'Assumptions'!$N$133)^(14-1)</x:f>
        <x:v>122.89262989311067</x:v>
      </x:c>
      <x:c r="J1775" s="10" t="n">
        <x:f>H1775*I1775</x:f>
        <x:v>59807.599645102346</x:v>
      </x:c>
      <x:c r="K1775" s="10" t="n">
        <x:f>J1775*'Assumptions'!$T$133</x:f>
        <x:v>59807.599645102346</x:v>
      </x:c>
      <x:c r="L1775" s="10" t="n">
        <x:f>K1775*'Assumptions'!$U$133</x:f>
        <x:v>4784.607971608188</x:v>
      </x:c>
      <x:c r="M1775" s="10" t="n">
        <x:f>K1775*'Assumptions'!$V$133</x:f>
        <x:v>1196.151992902047</x:v>
      </x:c>
      <x:c r="N1775" s="10" t="n">
        <x:f>K1775-L1775-M1775</x:f>
        <x:v>53826.83968059211</x:v>
      </x:c>
      <x:c r="O1775" s="10" t="n">
        <x:f>H1775*'Assumptions'!$P$133*'Assumptions'!$Q$133*'Assumptions'!$D$11*(1+'Assumptions'!$D$13)^(14-1)</x:f>
        <x:v>3752.0944217578685</x:v>
      </x:c>
      <x:c r="P1775" s="10" t="n">
        <x:f>H1775*'Assumptions'!$R$133*'Assumptions'!$D$11*(1+'Assumptions'!$D$13)^(14-1)</x:f>
        <x:v>25013.962811719124</x:v>
      </x:c>
      <x:c r="Q1775" s="10" t="n">
        <x:f>J1775*'Assumptions'!$S$133</x:f>
        <x:v>0</x:v>
      </x:c>
      <x:c r="R1775" s="10" t="n">
        <x:f>H1775*'Assumptions'!$Y$133*'Assumptions'!$Z$133*'Assumptions'!$D$11*(1+'Assumptions'!$D$13)^(14-1)</x:f>
        <x:v>3216.080932935316</x:v>
      </x:c>
      <x:c r="S1775" s="10" t="n">
        <x:f>IF(I1775=0,0,J1775*'Assumptions'!$W$133+H1775*'Assumptions'!$X$133)</x:f>
        <x:v>1880.4200310952222</x:v>
      </x:c>
      <x:c r="T1775" s="10" t="n">
        <x:f>N1775*'Assumptions'!$AA$133</x:f>
        <x:v>4306.147174447368</x:v>
      </x:c>
      <x:c r="U1775" s="10" t="n">
        <x:f>'Assumptions'!$AE$133*'Assumptions'!$D$11*(1+'Assumptions'!$D$13)^(14-1)</x:f>
        <x:v>0</x:v>
      </x:c>
      <x:c r="V1775" s="10" t="n">
        <x:f>0</x:f>
        <x:v>0</x:v>
      </x:c>
      <x:c r="W1775" s="10" t="n">
        <x:f>H1775*('Assumptions'!$P$133+'Assumptions'!$Y$133)</x:f>
        <x:v>145.99964138725412</x:v>
      </x:c>
      <x:c r="X1775" s="10" t="n">
        <x:f>N1775/12*'Assumptions'!$AF$133</x:f>
        <x:v>0</x:v>
      </x:c>
      <x:c r="Y1775" s="10" t="n">
        <x:f>P1775/12</x:f>
        <x:v>2084.4969009765937</x:v>
      </x:c>
      <x:c r="Z1775" s="10" t="n">
        <x:f>0</x:f>
        <x:v>0</x:v>
      </x:c>
      <x:c r="AA1775" s="10" t="n">
        <x:f>Z1775*'Assumptions'!$AC$133*'Assumptions'!$D$11*(1+'Assumptions'!$D$13)^(14-1)</x:f>
        <x:v>0</x:v>
      </x:c>
      <x:c r="AB1775" s="10" t="n">
        <x:f>F1775/1</x:f>
        <x:v>344.9184253475783</x:v>
      </x:c>
      <x:c r="AC1775" s="10" t="n">
        <x:f>AB1775/'Assumptions'!$AM$133</x:f>
        <x:v>11497.280844919278</x:v>
      </x:c>
      <x:c r="AD1775" s="10" t="n">
        <x:f>IF(AB1775=0,0,T1775/AB1775)</x:f>
        <x:v>12.484537960267023</x:v>
      </x:c>
      <x:c r="AE1775" s="10" t="n">
        <x:f>AA1775*'Assumptions'!$D$21</x:f>
        <x:v>0</x:v>
      </x:c>
    </x:row>
    <x:row r="1776" ht="16" customHeight="1">
      <x:c r="A1776" s="1"/>
      <x:c r="B1776" s="1"/>
      <x:c r="C1776" s="1" t="str">
        <x:v>DOT-105</x:v>
      </x:c>
      <x:c r="D1776" s="10" t="str">
        <x:v>Sleepy Face</x:v>
      </x:c>
      <x:c r="E1776" s="10" t="n">
        <x:v>14</x:v>
      </x:c>
      <x:c r="F1776" s="21" t="n">
        <x:f>F1648*(1+'Assumptions'!$M$134)</x:f>
        <x:v>172.45921267378915</x:v>
      </x:c>
      <x:c r="G1776" s="21" t="n">
        <x:f>H1648*'Assumptions'!$K$134</x:f>
        <x:v>70.8735229716344</x:v>
      </x:c>
      <x:c r="H1776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1776+G1776,NA())</x:f>
        <x:v>243.33273564542355</x:v>
      </x:c>
      <x:c r="I1776" s="22" t="n">
        <x:f>'Assumptions'!$H$134*IF('Assumptions'!$O$134=1,1,'Assumptions'!$D$10)*(1+'Assumptions'!$N$134)^(14-1)</x:f>
        <x:v>226.3811603294144</x:v>
      </x:c>
      <x:c r="J1776" s="10" t="n">
        <x:f>H1776*I1776</x:f>
        <x:v>55085.947041541636</x:v>
      </x:c>
      <x:c r="K1776" s="10" t="n">
        <x:f>J1776*'Assumptions'!$T$134</x:f>
        <x:v>55085.947041541636</x:v>
      </x:c>
      <x:c r="L1776" s="10" t="n">
        <x:f>K1776*'Assumptions'!$U$134</x:f>
        <x:v>4406.875763323331</x:v>
      </x:c>
      <x:c r="M1776" s="10" t="n">
        <x:f>K1776*'Assumptions'!$V$134</x:f>
        <x:v>1101.7189408308327</x:v>
      </x:c>
      <x:c r="N1776" s="10" t="n">
        <x:f>K1776-L1776-M1776</x:f>
        <x:v>49577.35233738747</x:v>
      </x:c>
      <x:c r="O1776" s="10" t="n">
        <x:f>H1776*'Assumptions'!$P$134*'Assumptions'!$Q$134*'Assumptions'!$D$11*(1+'Assumptions'!$D$13)^(14-1)</x:f>
        <x:v>1876.0472108789343</x:v>
      </x:c>
      <x:c r="P1776" s="10" t="n">
        <x:f>H1776*'Assumptions'!$R$134*'Assumptions'!$D$11*(1+'Assumptions'!$D$13)^(14-1)</x:f>
        <x:v>23227.251182310618</x:v>
      </x:c>
      <x:c r="Q1776" s="10" t="n">
        <x:f>J1776*'Assumptions'!$S$134</x:f>
        <x:v>0</x:v>
      </x:c>
      <x:c r="R1776" s="10" t="n">
        <x:f>H1776*'Assumptions'!$Y$134*'Assumptions'!$Z$134*'Assumptions'!$D$11*(1+'Assumptions'!$D$13)^(14-1)</x:f>
        <x:v>1608.040466467658</x:v>
      </x:c>
      <x:c r="S1776" s="10" t="n">
        <x:f>IF(I1776=0,0,J1776*'Assumptions'!$W$134+H1776*'Assumptions'!$X$134)</x:f>
        <x:v>1670.4922848983347</x:v>
      </x:c>
      <x:c r="T1776" s="10" t="n">
        <x:f>N1776*'Assumptions'!$AA$134</x:f>
        <x:v>3966.1881869909976</x:v>
      </x:c>
      <x:c r="U1776" s="10" t="n">
        <x:f>'Assumptions'!$AE$134*'Assumptions'!$D$11*(1+'Assumptions'!$D$13)^(14-1)</x:f>
        <x:v>0</x:v>
      </x:c>
      <x:c r="V1776" s="10" t="n">
        <x:f>0</x:f>
        <x:v>0</x:v>
      </x:c>
      <x:c r="W1776" s="10" t="n">
        <x:f>H1776*('Assumptions'!$P$134+'Assumptions'!$Y$134)</x:f>
        <x:v>72.99982069362706</x:v>
      </x:c>
      <x:c r="X1776" s="10" t="n">
        <x:f>N1776/12*'Assumptions'!$AF$134</x:f>
        <x:v>0</x:v>
      </x:c>
      <x:c r="Y1776" s="10" t="n">
        <x:f>P1776/12</x:f>
        <x:v>1935.6042651925516</x:v>
      </x:c>
      <x:c r="Z1776" s="10" t="n">
        <x:f>0</x:f>
        <x:v>0</x:v>
      </x:c>
      <x:c r="AA1776" s="10" t="n">
        <x:f>Z1776*'Assumptions'!$AC$134*'Assumptions'!$D$11*(1+'Assumptions'!$D$13)^(14-1)</x:f>
        <x:v>0</x:v>
      </x:c>
      <x:c r="AB1776" s="10" t="n">
        <x:f>F1776/1</x:f>
        <x:v>172.45921267378915</x:v>
      </x:c>
      <x:c r="AC1776" s="10" t="n">
        <x:f>AB1776/'Assumptions'!$AM$134</x:f>
        <x:v>5748.640422459639</x:v>
      </x:c>
      <x:c r="AD1776" s="10" t="n">
        <x:f>IF(AB1776=0,0,T1776/AB1776)</x:f>
        <x:v>22.99783308470241</x:v>
      </x:c>
      <x:c r="AE1776" s="10" t="n">
        <x:f>AA1776*'Assumptions'!$D$21</x:f>
        <x:v>0</x:v>
      </x:c>
    </x:row>
    <x:row r="1777" ht="16" customHeight="1">
      <x:c r="A1777" s="1"/>
      <x:c r="B1777" s="1"/>
      <x:c r="C1777" s="1" t="str">
        <x:v>DOT-106</x:v>
      </x:c>
      <x:c r="D1777" s="10" t="str">
        <x:v>QzoticMusic</x:v>
      </x:c>
      <x:c r="E1777" s="10" t="n">
        <x:v>14</x:v>
      </x:c>
      <x:c r="F1777" s="21" t="n">
        <x:f>F1649*(1+'Assumptions'!$M$135)</x:f>
        <x:v>1026.9254040073865</x:v>
      </x:c>
      <x:c r="G1777" s="21" t="n">
        <x:f>H1649*'Assumptions'!$K$135</x:f>
        <x:v>329.142625290522</x:v>
      </x:c>
      <x:c r="H1777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1777+G1777,NA())</x:f>
        <x:v>1356.0680292979087</x:v>
      </x:c>
      <x:c r="I1777" s="22" t="n">
        <x:f>'Assumptions'!$H$135*IF('Assumptions'!$O$135=1,1,'Assumptions'!$D$10)*(1+'Assumptions'!$N$135)^(14-1)</x:f>
        <x:v>6.4680331522689825</x:v>
      </x:c>
      <x:c r="J1777" s="10" t="n">
        <x:f>H1777*I1777</x:f>
        <x:v>8771.092970230939</x:v>
      </x:c>
      <x:c r="K1777" s="10" t="n">
        <x:f>J1777*'Assumptions'!$T$135</x:f>
        <x:v>8771.092970230939</x:v>
      </x:c>
      <x:c r="L1777" s="10" t="n">
        <x:f>K1777*'Assumptions'!$U$135</x:f>
        <x:v>263.13278910692816</x:v>
      </x:c>
      <x:c r="M1777" s="10" t="n">
        <x:f>K1777*'Assumptions'!$V$135</x:f>
        <x:v>0</x:v>
      </x:c>
      <x:c r="N1777" s="10" t="n">
        <x:f>K1777-L1777-M1777</x:f>
        <x:v>8507.96018112401</x:v>
      </x:c>
      <x:c r="O1777" s="10" t="n">
        <x:f>H1777*'Assumptions'!$P$135*'Assumptions'!$Q$135*'Assumptions'!$D$11*(1+'Assumptions'!$D$13)^(14-1)</x:f>
        <x:v>1394.0021331304622</x:v>
      </x:c>
      <x:c r="P1777" s="10" t="n">
        <x:f>H1777*'Assumptions'!$R$135*'Assumptions'!$D$11*(1+'Assumptions'!$D$13)^(14-1)</x:f>
        <x:v>0</x:v>
      </x:c>
      <x:c r="Q1777" s="10" t="n">
        <x:f>J1777*'Assumptions'!$S$135</x:f>
        <x:v>0</x:v>
      </x:c>
      <x:c r="R1777" s="10" t="n">
        <x:f>H1777*'Assumptions'!$Y$135*'Assumptions'!$Z$135*'Assumptions'!$D$11*(1+'Assumptions'!$D$13)^(14-1)</x:f>
        <x:v>5974.294856273409</x:v>
      </x:c>
      <x:c r="S1777" s="10" t="n">
        <x:f>IF(I1777=0,0,J1777*'Assumptions'!$W$135+H1777*'Assumptions'!$X$135)</x:f>
        <x:v>661.1821049260698</x:v>
      </x:c>
      <x:c r="T1777" s="10" t="n">
        <x:f>N1777*'Assumptions'!$AA$135</x:f>
        <x:v>425.3980090562005</x:v>
      </x:c>
      <x:c r="U1777" s="10" t="n">
        <x:f>'Assumptions'!$AE$135*'Assumptions'!$D$11*(1+'Assumptions'!$D$13)^(14-1)</x:f>
        <x:v>0</x:v>
      </x:c>
      <x:c r="V1777" s="10" t="n">
        <x:f>0</x:f>
        <x:v>0</x:v>
      </x:c>
      <x:c r="W1777" s="10" t="n">
        <x:f>H1777*('Assumptions'!$P$135+'Assumptions'!$Y$135)</x:f>
        <x:v>162.72816351574906</x:v>
      </x:c>
      <x:c r="X1777" s="10" t="n">
        <x:f>N1777/12*'Assumptions'!$AF$135</x:f>
        <x:v>0</x:v>
      </x:c>
      <x:c r="Y1777" s="10" t="n">
        <x:f>P1777/12</x:f>
        <x:v>0</x:v>
      </x:c>
      <x:c r="Z1777" s="10" t="n">
        <x:f>0</x:f>
        <x:v>0</x:v>
      </x:c>
      <x:c r="AA1777" s="10" t="n">
        <x:f>Z1777*'Assumptions'!$AC$135*'Assumptions'!$D$11*(1+'Assumptions'!$D$13)^(14-1)</x:f>
        <x:v>0</x:v>
      </x:c>
      <x:c r="AB1777" s="10" t="n">
        <x:f>F1777/12</x:f>
        <x:v>85.57711700061554</x:v>
      </x:c>
      <x:c r="AC1777" s="10" t="n">
        <x:f>AB1777/'Assumptions'!$AM$135</x:f>
        <x:v>1711.542340012311</x:v>
      </x:c>
      <x:c r="AD1777" s="10" t="n">
        <x:f>IF(AB1777=0,0,T1777/AB1777)</x:f>
        <x:v>4.970931762671331</x:v>
      </x:c>
      <x:c r="AE1777" s="10" t="n">
        <x:f>AA1777*'Assumptions'!$D$21</x:f>
        <x:v>0</x:v>
      </x:c>
    </x:row>
    <x:row r="1778" ht="16" customHeight="1">
      <x:c r="A1778" s="1"/>
      <x:c r="B1778" s="1"/>
      <x:c r="C1778" s="1" t="str">
        <x:v>DOT-107</x:v>
      </x:c>
      <x:c r="D1778" s="10" t="str">
        <x:v>QzoticMusic</x:v>
      </x:c>
      <x:c r="E1778" s="10" t="n">
        <x:v>14</x:v>
      </x:c>
      <x:c r="F1778" s="21" t="n">
        <x:f>F1650*(1+'Assumptions'!$M$136)</x:f>
        <x:v>298.00967327732604</x:v>
      </x:c>
      <x:c r="G1778" s="21" t="n">
        <x:f>H1650*'Assumptions'!$K$136</x:f>
        <x:v>153.3863383771646</x:v>
      </x:c>
      <x:c r="H1778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1778+G1778,NA())</x:f>
        <x:v>451.3960116544906</x:v>
      </x:c>
      <x:c r="I1778" s="22" t="n">
        <x:f>'Assumptions'!$H$136*IF('Assumptions'!$O$136=1,1,'Assumptions'!$D$10)*(1+'Assumptions'!$N$136)^(14-1)</x:f>
        <x:v>32.34016576134491</x:v>
      </x:c>
      <x:c r="J1778" s="10" t="n">
        <x:f>H1778*I1778</x:f>
        <x:v>14598.221840916207</x:v>
      </x:c>
      <x:c r="K1778" s="10" t="n">
        <x:f>J1778*'Assumptions'!$T$136</x:f>
        <x:v>14598.221840916207</x:v>
      </x:c>
      <x:c r="L1778" s="10" t="n">
        <x:f>K1778*'Assumptions'!$U$136</x:f>
        <x:v>437.9466552274862</x:v>
      </x:c>
      <x:c r="M1778" s="10" t="n">
        <x:f>K1778*'Assumptions'!$V$136</x:f>
        <x:v>0</x:v>
      </x:c>
      <x:c r="N1778" s="10" t="n">
        <x:f>K1778-L1778-M1778</x:f>
        <x:v>14160.27518568872</x:v>
      </x:c>
      <x:c r="O1778" s="10" t="n">
        <x:f>H1778*'Assumptions'!$P$136*'Assumptions'!$Q$136*'Assumptions'!$D$11*(1+'Assumptions'!$D$13)^(14-1)</x:f>
        <x:v>3480.173871469023</x:v>
      </x:c>
      <x:c r="P1778" s="10" t="n">
        <x:f>H1778*'Assumptions'!$R$136*'Assumptions'!$D$11*(1+'Assumptions'!$D$13)^(14-1)</x:f>
        <x:v>6628.902612321948</x:v>
      </x:c>
      <x:c r="Q1778" s="10" t="n">
        <x:f>J1778*'Assumptions'!$S$136</x:f>
        <x:v>0</x:v>
      </x:c>
      <x:c r="R1778" s="10" t="n">
        <x:f>H1778*'Assumptions'!$Y$136*'Assumptions'!$Z$136*'Assumptions'!$D$11*(1+'Assumptions'!$D$13)^(14-1)</x:f>
        <x:v>9943.353918482924</x:v>
      </x:c>
      <x:c r="S1778" s="10" t="n">
        <x:f>IF(I1778=0,0,J1778*'Assumptions'!$W$136+H1778*'Assumptions'!$X$136)</x:f>
        <x:v>558.7672368829172</x:v>
      </x:c>
      <x:c r="T1778" s="10" t="n">
        <x:f>N1778*'Assumptions'!$AA$136</x:f>
        <x:v>1132.8220148550977</x:v>
      </x:c>
      <x:c r="U1778" s="10" t="n">
        <x:f>'Assumptions'!$AE$136*'Assumptions'!$D$11*(1+'Assumptions'!$D$13)^(14-1)</x:f>
        <x:v>0</x:v>
      </x:c>
      <x:c r="V1778" s="10" t="n">
        <x:f>0</x:f>
        <x:v>0</x:v>
      </x:c>
      <x:c r="W1778" s="10" t="n">
        <x:f>H1778*('Assumptions'!$P$136+'Assumptions'!$Y$136)</x:f>
        <x:v>293.4074075754189</x:v>
      </x:c>
      <x:c r="X1778" s="10" t="n">
        <x:f>N1778/12*'Assumptions'!$AF$136</x:f>
        <x:v>1180.0229321407267</x:v>
      </x:c>
      <x:c r="Y1778" s="10" t="n">
        <x:f>P1778/12</x:f>
        <x:v>552.4085510268291</x:v>
      </x:c>
      <x:c r="Z1778" s="10" t="n">
        <x:f>0</x:f>
        <x:v>0</x:v>
      </x:c>
      <x:c r="AA1778" s="10" t="n">
        <x:f>Z1778*'Assumptions'!$AC$136*'Assumptions'!$D$11*(1+'Assumptions'!$D$13)^(14-1)</x:f>
        <x:v>0</x:v>
      </x:c>
      <x:c r="AB1778" s="10" t="n">
        <x:f>F1778/1</x:f>
        <x:v>298.00967327732604</x:v>
      </x:c>
      <x:c r="AC1778" s="10" t="n">
        <x:f>AB1778/'Assumptions'!$AM$136</x:f>
        <x:v>2980.09673277326</x:v>
      </x:c>
      <x:c r="AD1778" s="10" t="n">
        <x:f>IF(AB1778=0,0,T1778/AB1778)</x:f>
        <x:v>3.8012927647516332</x:v>
      </x:c>
      <x:c r="AE1778" s="10" t="n">
        <x:f>AA1778*'Assumptions'!$D$21</x:f>
        <x:v>0</x:v>
      </x:c>
    </x:row>
    <x:row r="1779" ht="16" customHeight="1">
      <x:c r="A1779" s="1"/>
      <x:c r="B1779" s="1"/>
      <x:c r="C1779" s="1" t="str">
        <x:v>DOT-108</x:v>
      </x:c>
      <x:c r="D1779" s="10" t="str">
        <x:v>QzoticMusic</x:v>
      </x:c>
      <x:c r="E1779" s="10" t="n">
        <x:v>14</x:v>
      </x:c>
      <x:c r="F1779" s="21" t="n">
        <x:f>F1651*(1+'Assumptions'!$M$137)</x:f>
        <x:v>14.900483663866307</x:v>
      </x:c>
      <x:c r="G1779" s="21" t="n">
        <x:f>H1651*'Assumptions'!$K$137</x:f>
        <x:v>7.669316918858232</x:v>
      </x:c>
      <x:c r="H1779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1779+G1779,NA())</x:f>
        <x:v>22.56980058272454</x:v>
      </x:c>
      <x:c r="I1779" s="22" t="n">
        <x:f>'Assumptions'!$H$137*IF('Assumptions'!$O$137=1,1,'Assumptions'!$D$10)*(1+'Assumptions'!$N$137)^(14-1)</x:f>
        <x:v>323.4016576134491</x:v>
      </x:c>
      <x:c r="J1779" s="10" t="n">
        <x:f>H1779*I1779</x:f>
        <x:v>7299.110920458106</x:v>
      </x:c>
      <x:c r="K1779" s="10" t="n">
        <x:f>J1779*'Assumptions'!$T$137</x:f>
        <x:v>7299.110920458106</x:v>
      </x:c>
      <x:c r="L1779" s="10" t="n">
        <x:f>K1779*'Assumptions'!$U$137</x:f>
        <x:v>218.97332761374318</x:v>
      </x:c>
      <x:c r="M1779" s="10" t="n">
        <x:f>K1779*'Assumptions'!$V$137</x:f>
        <x:v>0</x:v>
      </x:c>
      <x:c r="N1779" s="10" t="n">
        <x:f>K1779-L1779-M1779</x:f>
        <x:v>7080.137592844363</x:v>
      </x:c>
      <x:c r="O1779" s="10" t="n">
        <x:f>H1779*'Assumptions'!$P$137*'Assumptions'!$Q$137*'Assumptions'!$D$11*(1+'Assumptions'!$D$13)^(14-1)</x:f>
        <x:v>2651.5610449287806</x:v>
      </x:c>
      <x:c r="P1779" s="10" t="n">
        <x:f>H1779*'Assumptions'!$R$137*'Assumptions'!$D$11*(1+'Assumptions'!$D$13)^(14-1)</x:f>
        <x:v>0</x:v>
      </x:c>
      <x:c r="Q1779" s="10" t="n">
        <x:f>J1779*'Assumptions'!$S$137</x:f>
        <x:v>0</x:v>
      </x:c>
      <x:c r="R1779" s="10" t="n">
        <x:f>H1779*'Assumptions'!$Y$137*'Assumptions'!$Z$137*'Assumptions'!$D$11*(1+'Assumptions'!$D$13)^(14-1)</x:f>
        <x:v>497.16769592414636</x:v>
      </x:c>
      <x:c r="S1779" s="10" t="n">
        <x:f>IF(I1779=0,0,J1779*'Assumptions'!$W$137+H1779*'Assumptions'!$X$137)</x:f>
        <x:v>218.44515686810246</x:v>
      </x:c>
      <x:c r="T1779" s="10" t="n">
        <x:f>N1779*'Assumptions'!$AA$137</x:f>
        <x:v>566.4110074275491</x:v>
      </x:c>
      <x:c r="U1779" s="10" t="n">
        <x:f>'Assumptions'!$AE$137*'Assumptions'!$D$11*(1+'Assumptions'!$D$13)^(14-1)</x:f>
        <x:v>0</x:v>
      </x:c>
      <x:c r="V1779" s="10" t="n">
        <x:f>0</x:f>
        <x:v>0</x:v>
      </x:c>
      <x:c r="W1779" s="10" t="n">
        <x:f>H1779*('Assumptions'!$P$137+'Assumptions'!$Y$137)</x:f>
        <x:v>56.42450145681135</x:v>
      </x:c>
      <x:c r="X1779" s="10" t="n">
        <x:f>N1779/12*'Assumptions'!$AF$137</x:f>
        <x:v>590.0114660703636</x:v>
      </x:c>
      <x:c r="Y1779" s="10" t="n">
        <x:f>P1779/12</x:f>
        <x:v>0</x:v>
      </x:c>
      <x:c r="Z1779" s="10" t="n">
        <x:f>0</x:f>
        <x:v>0</x:v>
      </x:c>
      <x:c r="AA1779" s="10" t="n">
        <x:f>Z1779*'Assumptions'!$AC$137*'Assumptions'!$D$11*(1+'Assumptions'!$D$13)^(14-1)</x:f>
        <x:v>0</x:v>
      </x:c>
      <x:c r="AB1779" s="10" t="n">
        <x:f>F1779/1</x:f>
        <x:v>14.900483663866307</x:v>
      </x:c>
      <x:c r="AC1779" s="10" t="n">
        <x:f>AB1779/'Assumptions'!$AM$137</x:f>
        <x:v>149.00483663866305</x:v>
      </x:c>
      <x:c r="AD1779" s="10" t="n">
        <x:f>IF(AB1779=0,0,T1779/AB1779)</x:f>
        <x:v>38.012927647516335</x:v>
      </x:c>
      <x:c r="AE1779" s="10" t="n">
        <x:f>AA1779*'Assumptions'!$D$21</x:f>
        <x:v>0</x:v>
      </x:c>
    </x:row>
    <x:row r="1780" ht="16" customHeight="1">
      <x:c r="A1780" s="1"/>
      <x:c r="B1780" s="1"/>
      <x:c r="C1780" s="1" t="str">
        <x:v>DOT-109</x:v>
      </x:c>
      <x:c r="D1780" s="10" t="str">
        <x:v>LesPetitFilms</x:v>
      </x:c>
      <x:c r="E1780" s="10" t="n">
        <x:v>14</x:v>
      </x:c>
      <x:c r="F1780" s="21" t="n">
        <x:f>F1652*(1+'Assumptions'!$M$138)</x:f>
        <x:v>9.933655775910871</x:v>
      </x:c>
      <x:c r="G1780" s="21" t="n">
        <x:f>H1652*'Assumptions'!$K$138</x:f>
        <x:v>5.112877945905488</x:v>
      </x:c>
      <x:c r="H1780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1780+G1780,NA())</x:f>
        <x:v>15.04653372181636</x:v>
      </x:c>
      <x:c r="I1780" s="22" t="n">
        <x:f>'Assumptions'!$H$138*IF('Assumptions'!$O$138=1,1,'Assumptions'!$D$10)*(1+'Assumptions'!$N$138)^(14-1)</x:f>
        <x:v>4527.623206588288</x:v>
      </x:c>
      <x:c r="J1780" s="10" t="n">
        <x:f>H1780*I1780</x:f>
        <x:v>68125.035257609</x:v>
      </x:c>
      <x:c r="K1780" s="10" t="n">
        <x:f>J1780*'Assumptions'!$T$138</x:f>
        <x:v>68125.035257609</x:v>
      </x:c>
      <x:c r="L1780" s="10" t="n">
        <x:f>K1780*'Assumptions'!$U$138</x:f>
        <x:v>2043.7510577282696</x:v>
      </x:c>
      <x:c r="M1780" s="10" t="n">
        <x:f>K1780*'Assumptions'!$V$138</x:f>
        <x:v>0</x:v>
      </x:c>
      <x:c r="N1780" s="10" t="n">
        <x:f>K1780-L1780-M1780</x:f>
        <x:v>66081.28419988073</x:v>
      </x:c>
      <x:c r="O1780" s="10" t="n">
        <x:f>H1780*'Assumptions'!$P$138*'Assumptions'!$Q$138*'Assumptions'!$D$11*(1+'Assumptions'!$D$13)^(14-1)</x:f>
        <x:v>24858.384796207316</x:v>
      </x:c>
      <x:c r="P1780" s="10" t="n">
        <x:f>H1780*'Assumptions'!$R$138*'Assumptions'!$D$11*(1+'Assumptions'!$D$13)^(14-1)</x:f>
        <x:v>7733.71971437561</x:v>
      </x:c>
      <x:c r="Q1780" s="10" t="n">
        <x:f>J1780*'Assumptions'!$S$138</x:f>
        <x:v>0</x:v>
      </x:c>
      <x:c r="R1780" s="10" t="n">
        <x:f>H1780*'Assumptions'!$Y$138*'Assumptions'!$Z$138*'Assumptions'!$D$11*(1+'Assumptions'!$D$13)^(14-1)</x:f>
        <x:v>331.4451306160976</x:v>
      </x:c>
      <x:c r="S1780" s="10" t="n">
        <x:f>IF(I1780=0,0,J1780*'Assumptions'!$W$138+H1780*'Assumptions'!$X$138)</x:f>
        <x:v>1980.1399825872058</x:v>
      </x:c>
      <x:c r="T1780" s="10" t="n">
        <x:f>N1780*'Assumptions'!$AA$138</x:f>
        <x:v>5286.502735990458</x:v>
      </x:c>
      <x:c r="U1780" s="10" t="n">
        <x:f>'Assumptions'!$AE$138*'Assumptions'!$D$11*(1+'Assumptions'!$D$13)^(14-1)</x:f>
        <x:v>0</x:v>
      </x:c>
      <x:c r="V1780" s="10" t="n">
        <x:f>0</x:f>
        <x:v>0</x:v>
      </x:c>
      <x:c r="W1780" s="10" t="n">
        <x:f>H1780*('Assumptions'!$P$138+'Assumptions'!$Y$138)</x:f>
        <x:v>383.6866099063172</x:v>
      </x:c>
      <x:c r="X1780" s="10" t="n">
        <x:f>N1780/12*'Assumptions'!$AF$138</x:f>
        <x:v>5506.773683323394</x:v>
      </x:c>
      <x:c r="Y1780" s="10" t="n">
        <x:f>P1780/12</x:f>
        <x:v>644.4766428646342</x:v>
      </x:c>
      <x:c r="Z1780" s="10" t="n">
        <x:f>0</x:f>
        <x:v>0</x:v>
      </x:c>
      <x:c r="AA1780" s="10" t="n">
        <x:f>Z1780*'Assumptions'!$AC$138*'Assumptions'!$D$11*(1+'Assumptions'!$D$13)^(14-1)</x:f>
        <x:v>0</x:v>
      </x:c>
      <x:c r="AB1780" s="10" t="n">
        <x:f>F1780/1</x:f>
        <x:v>9.933655775910871</x:v>
      </x:c>
      <x:c r="AC1780" s="10" t="n">
        <x:f>AB1780/'Assumptions'!$AM$138</x:f>
        <x:v>99.33655775910871</x:v>
      </x:c>
      <x:c r="AD1780" s="10" t="n">
        <x:f>IF(AB1780=0,0,T1780/AB1780)</x:f>
        <x:v>532.1809870652287</x:v>
      </x:c>
      <x:c r="AE1780" s="10" t="n">
        <x:f>AA1780*'Assumptions'!$D$21</x:f>
        <x:v>0</x:v>
      </x:c>
    </x:row>
    <x:row r="1781" ht="16" customHeight="1">
      <x:c r="A1781" s="1"/>
      <x:c r="B1781" s="1"/>
      <x:c r="C1781" s="1" t="str">
        <x:v>DOT-110</x:v>
      </x:c>
      <x:c r="D1781" s="10" t="str">
        <x:v>LesPetitFilms</x:v>
      </x:c>
      <x:c r="E1781" s="10" t="n">
        <x:v>14</x:v>
      </x:c>
      <x:c r="F1781" s="21" t="n">
        <x:f>F1653*(1+'Assumptions'!$M$139)</x:f>
        <x:v>9.933655775910871</x:v>
      </x:c>
      <x:c r="G1781" s="21" t="n">
        <x:f>H1653*'Assumptions'!$K$139</x:f>
        <x:v>5.112877945905488</x:v>
      </x:c>
      <x:c r="H1781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1781+G1781,NA())</x:f>
        <x:v>15.04653372181636</x:v>
      </x:c>
      <x:c r="I1781" s="22" t="n">
        <x:f>'Assumptions'!$H$139*IF('Assumptions'!$O$139=1,1,'Assumptions'!$D$10)*(1+'Assumptions'!$N$139)^(14-1)</x:f>
        <x:v>1940.4099456806948</x:v>
      </x:c>
      <x:c r="J1781" s="10" t="n">
        <x:f>H1781*I1781</x:f>
        <x:v>29196.443681832425</x:v>
      </x:c>
      <x:c r="K1781" s="10" t="n">
        <x:f>J1781*'Assumptions'!$T$139</x:f>
        <x:v>29196.443681832425</x:v>
      </x:c>
      <x:c r="L1781" s="10" t="n">
        <x:f>K1781*'Assumptions'!$U$139</x:f>
        <x:v>875.8933104549727</x:v>
      </x:c>
      <x:c r="M1781" s="10" t="n">
        <x:f>K1781*'Assumptions'!$V$139</x:f>
        <x:v>0</x:v>
      </x:c>
      <x:c r="N1781" s="10" t="n">
        <x:f>K1781-L1781-M1781</x:f>
        <x:v>28320.550371377452</x:v>
      </x:c>
      <x:c r="O1781" s="10" t="n">
        <x:f>H1781*'Assumptions'!$P$139*'Assumptions'!$Q$139*'Assumptions'!$D$11*(1+'Assumptions'!$D$13)^(14-1)</x:f>
        <x:v>9943.353918482928</x:v>
      </x:c>
      <x:c r="P1781" s="10" t="n">
        <x:f>H1781*'Assumptions'!$R$139*'Assumptions'!$D$11*(1+'Assumptions'!$D$13)^(14-1)</x:f>
        <x:v>4419.268408214634</x:v>
      </x:c>
      <x:c r="Q1781" s="10" t="n">
        <x:f>J1781*'Assumptions'!$S$139</x:f>
        <x:v>0</x:v>
      </x:c>
      <x:c r="R1781" s="10" t="n">
        <x:f>H1781*'Assumptions'!$Y$139*'Assumptions'!$Z$139*'Assumptions'!$D$11*(1+'Assumptions'!$D$13)^(14-1)</x:f>
        <x:v>331.4451306160976</x:v>
      </x:c>
      <x:c r="S1781" s="10" t="n">
        <x:f>IF(I1781=0,0,J1781*'Assumptions'!$W$139+H1781*'Assumptions'!$X$139)</x:f>
        <x:v>851.2108268896853</x:v>
      </x:c>
      <x:c r="T1781" s="10" t="n">
        <x:f>N1781*'Assumptions'!$AA$139</x:f>
        <x:v>2265.6440297101963</x:v>
      </x:c>
      <x:c r="U1781" s="10" t="n">
        <x:f>'Assumptions'!$AE$139*'Assumptions'!$D$11*(1+'Assumptions'!$D$13)^(14-1)</x:f>
        <x:v>0</x:v>
      </x:c>
      <x:c r="V1781" s="10" t="n">
        <x:f>0</x:f>
        <x:v>0</x:v>
      </x:c>
      <x:c r="W1781" s="10" t="n">
        <x:f>H1781*('Assumptions'!$P$139+'Assumptions'!$Y$139)</x:f>
        <x:v>157.98860407907176</x:v>
      </x:c>
      <x:c r="X1781" s="10" t="n">
        <x:f>N1781/12*'Assumptions'!$AF$139</x:f>
        <x:v>2360.045864281454</x:v>
      </x:c>
      <x:c r="Y1781" s="10" t="n">
        <x:f>P1781/12</x:f>
        <x:v>368.27236735121954</x:v>
      </x:c>
      <x:c r="Z1781" s="10" t="n">
        <x:f>0</x:f>
        <x:v>0</x:v>
      </x:c>
      <x:c r="AA1781" s="10" t="n">
        <x:f>Z1781*'Assumptions'!$AC$139*'Assumptions'!$D$11*(1+'Assumptions'!$D$13)^(14-1)</x:f>
        <x:v>0</x:v>
      </x:c>
      <x:c r="AB1781" s="10" t="n">
        <x:f>F1781/1</x:f>
        <x:v>9.933655775910871</x:v>
      </x:c>
      <x:c r="AC1781" s="10" t="n">
        <x:f>AB1781/'Assumptions'!$AM$139</x:f>
        <x:v>99.33655775910871</x:v>
      </x:c>
      <x:c r="AD1781" s="10" t="n">
        <x:f>IF(AB1781=0,0,T1781/AB1781)</x:f>
        <x:v>228.077565885098</x:v>
      </x:c>
      <x:c r="AE1781" s="10" t="n">
        <x:f>AA1781*'Assumptions'!$D$21</x:f>
        <x:v>0</x:v>
      </x:c>
    </x:row>
    <x:row r="1782" ht="16" customHeight="1">
      <x:c r="A1782" s="1"/>
      <x:c r="B1782" s="1"/>
      <x:c r="C1782" s="1" t="str">
        <x:v>DOT-111</x:v>
      </x:c>
      <x:c r="D1782" s="10" t="str">
        <x:v>LesPetitFilms</x:v>
      </x:c>
      <x:c r="E1782" s="10" t="n">
        <x:v>14</x:v>
      </x:c>
      <x:c r="F1782" s="21" t="n">
        <x:f>F1654*(1+'Assumptions'!$M$140)</x:f>
        <x:v>14.900483663866307</x:v>
      </x:c>
      <x:c r="G1782" s="21" t="n">
        <x:f>H1654*'Assumptions'!$K$140</x:f>
        <x:v>7.669316918858232</x:v>
      </x:c>
      <x:c r="H1782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1782+G1782,NA())</x:f>
        <x:v>22.56980058272454</x:v>
      </x:c>
      <x:c r="I1782" s="22" t="n">
        <x:f>'Assumptions'!$H$140*IF('Assumptions'!$O$140=1,1,'Assumptions'!$D$10)*(1+'Assumptions'!$N$140)^(14-1)</x:f>
        <x:v>646.8033152268982</x:v>
      </x:c>
      <x:c r="J1782" s="10" t="n">
        <x:f>H1782*I1782</x:f>
        <x:v>14598.221840916212</x:v>
      </x:c>
      <x:c r="K1782" s="10" t="n">
        <x:f>J1782*'Assumptions'!$T$140</x:f>
        <x:v>14598.221840916212</x:v>
      </x:c>
      <x:c r="L1782" s="10" t="n">
        <x:f>K1782*'Assumptions'!$U$140</x:f>
        <x:v>437.94665522748636</x:v>
      </x:c>
      <x:c r="M1782" s="10" t="n">
        <x:f>K1782*'Assumptions'!$V$140</x:f>
        <x:v>0</x:v>
      </x:c>
      <x:c r="N1782" s="10" t="n">
        <x:f>K1782-L1782-M1782</x:f>
        <x:v>14160.275185688726</x:v>
      </x:c>
      <x:c r="O1782" s="10" t="n">
        <x:f>H1782*'Assumptions'!$P$140*'Assumptions'!$Q$140*'Assumptions'!$D$11*(1+'Assumptions'!$D$13)^(14-1)</x:f>
        <x:v>3977.341567393171</x:v>
      </x:c>
      <x:c r="P1782" s="10" t="n">
        <x:f>H1782*'Assumptions'!$R$140*'Assumptions'!$D$11*(1+'Assumptions'!$D$13)^(14-1)</x:f>
        <x:v>1657.2256530804877</x:v>
      </x:c>
      <x:c r="Q1782" s="10" t="n">
        <x:f>J1782*'Assumptions'!$S$140</x:f>
        <x:v>0</x:v>
      </x:c>
      <x:c r="R1782" s="10" t="n">
        <x:f>H1782*'Assumptions'!$Y$140*'Assumptions'!$Z$140*'Assumptions'!$D$11*(1+'Assumptions'!$D$13)^(14-1)</x:f>
        <x:v>497.16769592414636</x:v>
      </x:c>
      <x:c r="S1782" s="10" t="n">
        <x:f>IF(I1782=0,0,J1782*'Assumptions'!$W$140+H1782*'Assumptions'!$X$140)</x:f>
        <x:v>430.1193735613876</x:v>
      </x:c>
      <x:c r="T1782" s="10" t="n">
        <x:f>N1782*'Assumptions'!$AA$140</x:f>
        <x:v>1132.8220148550981</x:v>
      </x:c>
      <x:c r="U1782" s="10" t="n">
        <x:f>'Assumptions'!$AE$140*'Assumptions'!$D$11*(1+'Assumptions'!$D$13)^(14-1)</x:f>
        <x:v>0</x:v>
      </x:c>
      <x:c r="V1782" s="10" t="n">
        <x:f>0</x:f>
        <x:v>0</x:v>
      </x:c>
      <x:c r="W1782" s="10" t="n">
        <x:f>H1782*('Assumptions'!$P$140+'Assumptions'!$Y$140)</x:f>
        <x:v>78.99430203953588</x:v>
      </x:c>
      <x:c r="X1782" s="10" t="n">
        <x:f>N1782/12*'Assumptions'!$AF$140</x:f>
        <x:v>1180.022932140727</x:v>
      </x:c>
      <x:c r="Y1782" s="10" t="n">
        <x:f>P1782/12</x:f>
        <x:v>138.10213775670732</x:v>
      </x:c>
      <x:c r="Z1782" s="10" t="n">
        <x:f>0</x:f>
        <x:v>0</x:v>
      </x:c>
      <x:c r="AA1782" s="10" t="n">
        <x:f>Z1782*'Assumptions'!$AC$140*'Assumptions'!$D$11*(1+'Assumptions'!$D$13)^(14-1)</x:f>
        <x:v>0</x:v>
      </x:c>
      <x:c r="AB1782" s="10" t="n">
        <x:f>F1782/1</x:f>
        <x:v>14.900483663866307</x:v>
      </x:c>
      <x:c r="AC1782" s="10" t="n">
        <x:f>AB1782/'Assumptions'!$AM$140</x:f>
        <x:v>149.00483663866305</x:v>
      </x:c>
      <x:c r="AD1782" s="10" t="n">
        <x:f>IF(AB1782=0,0,T1782/AB1782)</x:f>
        <x:v>76.02585529503267</x:v>
      </x:c>
      <x:c r="AE1782" s="10" t="n">
        <x:f>AA1782*'Assumptions'!$D$21</x:f>
        <x:v>0</x:v>
      </x:c>
    </x:row>
    <x:row r="1783" ht="16" customHeight="1">
      <x:c r="A1783" s="1"/>
      <x:c r="B1783" s="1"/>
      <x:c r="C1783" s="1" t="str">
        <x:v>DOT-112</x:v>
      </x:c>
      <x:c r="D1783" s="10" t="str">
        <x:v>Learn Anglais</x:v>
      </x:c>
      <x:c r="E1783" s="10" t="n">
        <x:v>14</x:v>
      </x:c>
      <x:c r="F1783" s="21" t="n">
        <x:f>F1655*(1+'Assumptions'!$M$141)</x:f>
        <x:v>487.0039813178981</x:v>
      </x:c>
      <x:c r="G1783" s="21" t="n">
        <x:f>H1655*'Assumptions'!$K$141</x:f>
        <x:v>1022.350321380584</x:v>
      </x:c>
      <x:c r="H1783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1783+G1783,NA())</x:f>
        <x:v>1509.3543026984821</x:v>
      </x:c>
      <x:c r="I1783" s="22" t="n">
        <x:f>'Assumptions'!$H$141*IF('Assumptions'!$O$141=1,1,'Assumptions'!$D$10)*(1+'Assumptions'!$N$141)^(14-1)</x:f>
        <x:v>58.21229837042085</x:v>
      </x:c>
      <x:c r="J1783" s="10" t="n">
        <x:f>H1783*I1783</x:f>
        <x:v>87862.98301536254</x:v>
      </x:c>
      <x:c r="K1783" s="10" t="n">
        <x:f>J1783*'Assumptions'!$T$141</x:f>
        <x:v>29287.661005120844</x:v>
      </x:c>
      <x:c r="L1783" s="10" t="n">
        <x:f>K1783*'Assumptions'!$U$141</x:f>
        <x:v>878.6298301536253</x:v>
      </x:c>
      <x:c r="M1783" s="10" t="n">
        <x:f>K1783*'Assumptions'!$V$141</x:f>
        <x:v>0</x:v>
      </x:c>
      <x:c r="N1783" s="10" t="n">
        <x:f>K1783-L1783-M1783</x:f>
        <x:v>28409.03117496722</x:v>
      </x:c>
      <x:c r="O1783" s="10" t="n">
        <x:f>H1783*'Assumptions'!$P$141*'Assumptions'!$Q$141*'Assumptions'!$D$11*(1+'Assumptions'!$D$13)^(14-1)</x:f>
        <x:v>7757.8818766956465</x:v>
      </x:c>
      <x:c r="P1783" s="10" t="n">
        <x:f>H1783*'Assumptions'!$R$141*'Assumptions'!$D$11*(1+'Assumptions'!$D$13)^(14-1)</x:f>
        <x:v>0</x:v>
      </x:c>
      <x:c r="Q1783" s="10" t="n">
        <x:f>J1783*'Assumptions'!$S$141</x:f>
        <x:v>0</x:v>
      </x:c>
      <x:c r="R1783" s="10" t="n">
        <x:f>H1783*'Assumptions'!$Y$141*'Assumptions'!$Z$141*'Assumptions'!$D$11*(1+'Assumptions'!$D$13)^(14-1)</x:f>
        <x:v>9974.419555751547</x:v>
      </x:c>
      <x:c r="S1783" s="10" t="n">
        <x:f>IF(I1783=0,0,J1783*'Assumptions'!$W$141+H1783*'Assumptions'!$X$141)</x:f>
        <x:v>3000.832798255058</x:v>
      </x:c>
      <x:c r="T1783" s="10" t="n">
        <x:f>N1783*'Assumptions'!$AA$141</x:f>
        <x:v>1420.451558748361</x:v>
      </x:c>
      <x:c r="U1783" s="10" t="n">
        <x:f>'Assumptions'!$AE$141*'Assumptions'!$D$11*(1+'Assumptions'!$D$13)^(14-1)</x:f>
        <x:v>0</x:v>
      </x:c>
      <x:c r="V1783" s="10" t="n">
        <x:f>0</x:f>
        <x:v>0</x:v>
      </x:c>
      <x:c r="W1783" s="10" t="n">
        <x:f>H1783*('Assumptions'!$P$141+'Assumptions'!$Y$141)</x:f>
        <x:v>377.33857567462053</x:v>
      </x:c>
      <x:c r="X1783" s="10" t="n">
        <x:f>N1783/12*'Assumptions'!$AF$141</x:f>
        <x:v>0</x:v>
      </x:c>
      <x:c r="Y1783" s="10" t="n">
        <x:f>P1783/12</x:f>
        <x:v>0</x:v>
      </x:c>
      <x:c r="Z1783" s="10" t="n">
        <x:f>0</x:f>
        <x:v>0</x:v>
      </x:c>
      <x:c r="AA1783" s="10" t="n">
        <x:f>Z1783*'Assumptions'!$AC$141*'Assumptions'!$D$11*(1+'Assumptions'!$D$13)^(14-1)</x:f>
        <x:v>0</x:v>
      </x:c>
      <x:c r="AB1783" s="10" t="n">
        <x:f>F1783/1</x:f>
        <x:v>487.0039813178981</x:v>
      </x:c>
      <x:c r="AC1783" s="10" t="n">
        <x:f>AB1783/'Assumptions'!$AM$141</x:f>
        <x:v>9740.079626357961</x:v>
      </x:c>
      <x:c r="AD1783" s="10" t="n">
        <x:f>IF(AB1783=0,0,T1783/AB1783)</x:f>
        <x:v>2.9167144689545017</x:v>
      </x:c>
      <x:c r="AE1783" s="10" t="n">
        <x:f>AA1783*'Assumptions'!$D$21</x:f>
        <x:v>0</x:v>
      </x:c>
    </x:row>
    <x:row r="1784" ht="16" customHeight="1">
      <x:c r="A1784" s="1"/>
      <x:c r="B1784" s="1"/>
      <x:c r="C1784" s="1" t="str">
        <x:v>DOT-113</x:v>
      </x:c>
      <x:c r="D1784" s="10" t="str">
        <x:v>Learn Anglais</x:v>
      </x:c>
      <x:c r="E1784" s="10" t="n">
        <x:v>14</x:v>
      </x:c>
      <x:c r="F1784" s="21" t="n">
        <x:f>F1656*(1+'Assumptions'!$M$142)</x:f>
        <x:v>292.2023887907387</x:v>
      </x:c>
      <x:c r="G1784" s="21" t="n">
        <x:f>H1656*'Assumptions'!$K$142</x:f>
        <x:v>613.4101928283502</x:v>
      </x:c>
      <x:c r="H1784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1784+G1784,NA())</x:f>
        <x:v>905.6125816190889</x:v>
      </x:c>
      <x:c r="I1784" s="22" t="n">
        <x:f>'Assumptions'!$H$142*IF('Assumptions'!$O$142=1,1,'Assumptions'!$D$10)*(1+'Assumptions'!$N$142)^(14-1)</x:f>
        <x:v>109.9565635885727</x:v>
      </x:c>
      <x:c r="J1784" s="10" t="n">
        <x:f>H1784*I1784</x:f>
        <x:v>99578.04741741084</x:v>
      </x:c>
      <x:c r="K1784" s="10" t="n">
        <x:f>J1784*'Assumptions'!$T$142</x:f>
        <x:v>29873.41422522325</x:v>
      </x:c>
      <x:c r="L1784" s="10" t="n">
        <x:f>K1784*'Assumptions'!$U$142</x:f>
        <x:v>896.2024267566974</x:v>
      </x:c>
      <x:c r="M1784" s="10" t="n">
        <x:f>K1784*'Assumptions'!$V$142</x:f>
        <x:v>0</x:v>
      </x:c>
      <x:c r="N1784" s="10" t="n">
        <x:f>K1784-L1784-M1784</x:f>
        <x:v>28977.211798466553</x:v>
      </x:c>
      <x:c r="O1784" s="10" t="n">
        <x:f>H1784*'Assumptions'!$P$142*'Assumptions'!$Q$142*'Assumptions'!$D$11*(1+'Assumptions'!$D$13)^(14-1)</x:f>
        <x:v>4654.729126017386</x:v>
      </x:c>
      <x:c r="P1784" s="10" t="n">
        <x:f>H1784*'Assumptions'!$R$142*'Assumptions'!$D$11*(1+'Assumptions'!$D$13)^(14-1)</x:f>
        <x:v>0</x:v>
      </x:c>
      <x:c r="Q1784" s="10" t="n">
        <x:f>J1784*'Assumptions'!$S$142</x:f>
        <x:v>0</x:v>
      </x:c>
      <x:c r="R1784" s="10" t="n">
        <x:f>H1784*'Assumptions'!$Y$142*'Assumptions'!$Z$142*'Assumptions'!$D$11*(1+'Assumptions'!$D$13)^(14-1)</x:f>
        <x:v>5984.651733450924</x:v>
      </x:c>
      <x:c r="S1784" s="10" t="n">
        <x:f>IF(I1784=0,0,J1784*'Assumptions'!$W$142+H1784*'Assumptions'!$X$142)</x:f>
        <x:v>3159.447149590641</x:v>
      </x:c>
      <x:c r="T1784" s="10" t="n">
        <x:f>N1784*'Assumptions'!$AA$142</x:f>
        <x:v>1448.8605899233278</x:v>
      </x:c>
      <x:c r="U1784" s="10" t="n">
        <x:f>'Assumptions'!$AE$142*'Assumptions'!$D$11*(1+'Assumptions'!$D$13)^(14-1)</x:f>
        <x:v>0</x:v>
      </x:c>
      <x:c r="V1784" s="10" t="n">
        <x:f>0</x:f>
        <x:v>0</x:v>
      </x:c>
      <x:c r="W1784" s="10" t="n">
        <x:f>H1784*('Assumptions'!$P$142+'Assumptions'!$Y$142)</x:f>
        <x:v>226.40314540477223</x:v>
      </x:c>
      <x:c r="X1784" s="10" t="n">
        <x:f>N1784/12*'Assumptions'!$AF$142</x:f>
        <x:v>0</x:v>
      </x:c>
      <x:c r="Y1784" s="10" t="n">
        <x:f>P1784/12</x:f>
        <x:v>0</x:v>
      </x:c>
      <x:c r="Z1784" s="10" t="n">
        <x:f>0</x:f>
        <x:v>0</x:v>
      </x:c>
      <x:c r="AA1784" s="10" t="n">
        <x:f>Z1784*'Assumptions'!$AC$142*'Assumptions'!$D$11*(1+'Assumptions'!$D$13)^(14-1)</x:f>
        <x:v>0</x:v>
      </x:c>
      <x:c r="AB1784" s="10" t="n">
        <x:f>F1784/1</x:f>
        <x:v>292.2023887907387</x:v>
      </x:c>
      <x:c r="AC1784" s="10" t="n">
        <x:f>AB1784/'Assumptions'!$AM$142</x:f>
        <x:v>5844.0477758147745</x:v>
      </x:c>
      <x:c r="AD1784" s="10" t="n">
        <x:f>IF(AB1784=0,0,T1784/AB1784)</x:f>
        <x:v>4.958414597222653</x:v>
      </x:c>
      <x:c r="AE1784" s="10" t="n">
        <x:f>AA1784*'Assumptions'!$D$21</x:f>
        <x:v>0</x:v>
      </x:c>
    </x:row>
    <x:row r="1785" ht="16" customHeight="1">
      <x:c r="A1785" s="1"/>
      <x:c r="B1785" s="1"/>
      <x:c r="C1785" s="1" t="str">
        <x:v>DOT-114</x:v>
      </x:c>
      <x:c r="D1785" s="10" t="str">
        <x:v>Learn Anglais</x:v>
      </x:c>
      <x:c r="E1785" s="10" t="n">
        <x:v>14</x:v>
      </x:c>
      <x:c r="F1785" s="21" t="n">
        <x:f>F1657*(1+'Assumptions'!$M$143)</x:f>
        <x:v>410.7701616029546</x:v>
      </x:c>
      <x:c r="G1785" s="21" t="n">
        <x:f>H1657*'Assumptions'!$K$143</x:f>
        <x:v>131.65705101027845</x:v>
      </x:c>
      <x:c r="H1785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1785+G1785,NA())</x:f>
        <x:v>542.427212613233</x:v>
      </x:c>
      <x:c r="I1785" s="22" t="n">
        <x:f>'Assumptions'!$H$143*IF('Assumptions'!$O$143=1,1,'Assumptions'!$D$10)*(1+'Assumptions'!$N$143)^(14-1)</x:f>
        <x:v>37.5145922831601</x:v>
      </x:c>
      <x:c r="J1785" s="10" t="n">
        <x:f>H1785*I1785</x:f>
        <x:v>20348.935724476432</x:v>
      </x:c>
      <x:c r="K1785" s="10" t="n">
        <x:f>J1785*'Assumptions'!$T$143</x:f>
        <x:v>20348.935724476432</x:v>
      </x:c>
      <x:c r="L1785" s="10" t="n">
        <x:f>K1785*'Assumptions'!$U$143</x:f>
        <x:v>610.468071734293</x:v>
      </x:c>
      <x:c r="M1785" s="10" t="n">
        <x:f>K1785*'Assumptions'!$V$143</x:f>
        <x:v>0</x:v>
      </x:c>
      <x:c r="N1785" s="10" t="n">
        <x:f>K1785-L1785-M1785</x:f>
        <x:v>19738.46765274214</x:v>
      </x:c>
      <x:c r="O1785" s="10" t="n">
        <x:f>H1785*'Assumptions'!$P$143*'Assumptions'!$Q$143*'Assumptions'!$D$11*(1+'Assumptions'!$D$13)^(14-1)</x:f>
        <x:v>4182.006406284486</x:v>
      </x:c>
      <x:c r="P1785" s="10" t="n">
        <x:f>H1785*'Assumptions'!$R$143*'Assumptions'!$D$11*(1+'Assumptions'!$D$13)^(14-1)</x:f>
        <x:v>0</x:v>
      </x:c>
      <x:c r="Q1785" s="10" t="n">
        <x:f>J1785*'Assumptions'!$S$143</x:f>
        <x:v>0</x:v>
      </x:c>
      <x:c r="R1785" s="10" t="n">
        <x:f>H1785*'Assumptions'!$Y$143*'Assumptions'!$Z$143*'Assumptions'!$D$11*(1+'Assumptions'!$D$13)^(14-1)</x:f>
        <x:v>2389.717946448278</x:v>
      </x:c>
      <x:c r="S1785" s="10" t="n">
        <x:f>IF(I1785=0,0,J1785*'Assumptions'!$W$143+H1785*'Assumptions'!$X$143)</x:f>
        <x:v>752.8472997937864</x:v>
      </x:c>
      <x:c r="T1785" s="10" t="n">
        <x:f>N1785*'Assumptions'!$AA$143</x:f>
        <x:v>986.923382637107</x:v>
      </x:c>
      <x:c r="U1785" s="10" t="n">
        <x:f>'Assumptions'!$AE$143*'Assumptions'!$D$11*(1+'Assumptions'!$D$13)^(14-1)</x:f>
        <x:v>0</x:v>
      </x:c>
      <x:c r="V1785" s="10" t="n">
        <x:f>0</x:f>
        <x:v>0</x:v>
      </x:c>
      <x:c r="W1785" s="10" t="n">
        <x:f>H1785*('Assumptions'!$P$143+'Assumptions'!$Y$143)</x:f>
        <x:v>135.60680315330825</x:v>
      </x:c>
      <x:c r="X1785" s="10" t="n">
        <x:f>N1785/12*'Assumptions'!$AF$143</x:f>
        <x:v>0</x:v>
      </x:c>
      <x:c r="Y1785" s="10" t="n">
        <x:f>P1785/12</x:f>
        <x:v>0</x:v>
      </x:c>
      <x:c r="Z1785" s="10" t="n">
        <x:f>0</x:f>
        <x:v>0</x:v>
      </x:c>
      <x:c r="AA1785" s="10" t="n">
        <x:f>Z1785*'Assumptions'!$AC$143*'Assumptions'!$D$11*(1+'Assumptions'!$D$13)^(14-1)</x:f>
        <x:v>0</x:v>
      </x:c>
      <x:c r="AB1785" s="10" t="n">
        <x:f>F1785/1</x:f>
        <x:v>410.7701616029546</x:v>
      </x:c>
      <x:c r="AC1785" s="10" t="n">
        <x:f>AB1785/'Assumptions'!$AM$143</x:f>
        <x:v>8215.403232059092</x:v>
      </x:c>
      <x:c r="AD1785" s="10" t="n">
        <x:f>IF(AB1785=0,0,T1785/AB1785)</x:f>
        <x:v>2.4026170225846517</x:v>
      </x:c>
      <x:c r="AE1785" s="10" t="n">
        <x:f>AA1785*'Assumptions'!$D$21</x:f>
        <x:v>0</x:v>
      </x:c>
    </x:row>
    <x:row r="1786" ht="16" customHeight="1">
      <x:c r="A1786" s="1"/>
      <x:c r="B1786" s="1"/>
      <x:c r="C1786" s="1" t="str">
        <x:v>DOT-115</x:v>
      </x:c>
      <x:c r="D1786" s="10" t="str">
        <x:v>Learn Anglais</x:v>
      </x:c>
      <x:c r="E1786" s="10" t="n">
        <x:v>14</x:v>
      </x:c>
      <x:c r="F1786" s="21" t="n">
        <x:f>F1658*(1+'Assumptions'!$M$144)</x:f>
        <x:v>194.80159252715922</x:v>
      </x:c>
      <x:c r="G1786" s="21" t="n">
        <x:f>H1658*'Assumptions'!$K$144</x:f>
        <x:v>408.35879448979165</x:v>
      </x:c>
      <x:c r="H1786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1786+G1786,NA())</x:f>
        <x:v>603.1603870169508</x:v>
      </x:c>
      <x:c r="I1786" s="22" t="n">
        <x:f>'Assumptions'!$H$144*IF('Assumptions'!$O$144=1,1,'Assumptions'!$D$10)*(1+'Assumptions'!$N$144)^(14-1)</x:f>
        <x:v>58.21229837042085</x:v>
      </x:c>
      <x:c r="J1786" s="10" t="n">
        <x:f>H1786*I1786</x:f>
        <x:v>35111.35241424925</x:v>
      </x:c>
      <x:c r="K1786" s="10" t="n">
        <x:f>J1786*'Assumptions'!$T$144</x:f>
        <x:v>11703.784138083083</x:v>
      </x:c>
      <x:c r="L1786" s="10" t="n">
        <x:f>K1786*'Assumptions'!$U$144</x:f>
        <x:v>351.1135241424925</x:v>
      </x:c>
      <x:c r="M1786" s="10" t="n">
        <x:f>K1786*'Assumptions'!$V$144</x:f>
        <x:v>0</x:v>
      </x:c>
      <x:c r="N1786" s="10" t="n">
        <x:f>K1786-L1786-M1786</x:f>
        <x:v>11352.67061394059</x:v>
      </x:c>
      <x:c r="O1786" s="10" t="n">
        <x:f>H1786*'Assumptions'!$P$144*'Assumptions'!$Q$144*'Assumptions'!$D$11*(1+'Assumptions'!$D$13)^(14-1)</x:f>
        <x:v>4650.2471555026505</x:v>
      </x:c>
      <x:c r="P1786" s="10" t="n">
        <x:f>H1786*'Assumptions'!$R$144*'Assumptions'!$D$11*(1+'Assumptions'!$D$13)^(14-1)</x:f>
        <x:v>0</x:v>
      </x:c>
      <x:c r="Q1786" s="10" t="n">
        <x:f>J1786*'Assumptions'!$S$144</x:f>
        <x:v>0</x:v>
      </x:c>
      <x:c r="R1786" s="10" t="n">
        <x:f>H1786*'Assumptions'!$Y$144*'Assumptions'!$Z$144*'Assumptions'!$D$11*(1+'Assumptions'!$D$13)^(14-1)</x:f>
        <x:v>3985.9261332879855</x:v>
      </x:c>
      <x:c r="S1786" s="10" t="n">
        <x:f>IF(I1786=0,0,J1786*'Assumptions'!$W$144+H1786*'Assumptions'!$X$144)</x:f>
        <x:v>1199.1773361183136</x:v>
      </x:c>
      <x:c r="T1786" s="10" t="n">
        <x:f>N1786*'Assumptions'!$AA$144</x:f>
        <x:v>567.6335306970295</x:v>
      </x:c>
      <x:c r="U1786" s="10" t="n">
        <x:f>'Assumptions'!$AE$144*'Assumptions'!$D$11*(1+'Assumptions'!$D$13)^(14-1)</x:f>
        <x:v>0</x:v>
      </x:c>
      <x:c r="V1786" s="10" t="n">
        <x:f>0</x:f>
        <x:v>0</x:v>
      </x:c>
      <x:c r="W1786" s="10" t="n">
        <x:f>H1786*('Assumptions'!$P$144+'Assumptions'!$Y$144)</x:f>
        <x:v>180.94811610508523</x:v>
      </x:c>
      <x:c r="X1786" s="10" t="n">
        <x:f>N1786/12*'Assumptions'!$AF$144</x:f>
        <x:v>0</x:v>
      </x:c>
      <x:c r="Y1786" s="10" t="n">
        <x:f>P1786/12</x:f>
        <x:v>0</x:v>
      </x:c>
      <x:c r="Z1786" s="10" t="n">
        <x:f>0</x:f>
        <x:v>0</x:v>
      </x:c>
      <x:c r="AA1786" s="10" t="n">
        <x:f>Z1786*'Assumptions'!$AC$144*'Assumptions'!$D$11*(1+'Assumptions'!$D$13)^(14-1)</x:f>
        <x:v>0</x:v>
      </x:c>
      <x:c r="AB1786" s="10" t="n">
        <x:f>F1786/1</x:f>
        <x:v>194.80159252715922</x:v>
      </x:c>
      <x:c r="AC1786" s="10" t="n">
        <x:f>AB1786/'Assumptions'!$AM$144</x:f>
        <x:v>3896.031850543184</x:v>
      </x:c>
      <x:c r="AD1786" s="10" t="n">
        <x:f>IF(AB1786=0,0,T1786/AB1786)</x:f>
        <x:v>2.9139060073027387</x:v>
      </x:c>
      <x:c r="AE1786" s="10" t="n">
        <x:f>AA1786*'Assumptions'!$D$21</x:f>
        <x:v>0</x:v>
      </x:c>
    </x:row>
    <x:row r="1787" ht="16" customHeight="1">
      <x:c r="A1787" s="1"/>
      <x:c r="B1787" s="1"/>
      <x:c r="C1787" s="1" t="str">
        <x:v>DOT-116</x:v>
      </x:c>
      <x:c r="D1787" s="10" t="str">
        <x:v>Fiefé</x:v>
      </x:c>
      <x:c r="E1787" s="10" t="n">
        <x:v>14</x:v>
      </x:c>
      <x:c r="F1787" s="21" t="n">
        <x:f>F1659*(1+'Assumptions'!$M$145)</x:f>
        <x:v>68.98368506951564</x:v>
      </x:c>
      <x:c r="G1787" s="21" t="n">
        <x:f>H1659*'Assumptions'!$K$145</x:f>
        <x:v>28.349409188653755</x:v>
      </x:c>
      <x:c r="H1787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1787+G1787,NA())</x:f>
        <x:v>97.3330942581694</x:v>
      </x:c>
      <x:c r="I1787" s="22" t="n">
        <x:f>'Assumptions'!$H$145*IF('Assumptions'!$O$145=1,1,'Assumptions'!$D$10)*(1+'Assumptions'!$N$145)^(14-1)</x:f>
        <x:v>582.1229837042084</x:v>
      </x:c>
      <x:c r="J1787" s="10" t="n">
        <x:f>H1787*I1787</x:f>
        <x:v>56659.83124272853</x:v>
      </x:c>
      <x:c r="K1787" s="10" t="n">
        <x:f>J1787*'Assumptions'!$T$145</x:f>
        <x:v>56659.83124272853</x:v>
      </x:c>
      <x:c r="L1787" s="10" t="n">
        <x:f>K1787*'Assumptions'!$U$145</x:f>
        <x:v>1699.7949372818557</x:v>
      </x:c>
      <x:c r="M1787" s="10" t="n">
        <x:f>K1787*'Assumptions'!$V$145</x:f>
        <x:v>1133.1966248545705</x:v>
      </x:c>
      <x:c r="N1787" s="10" t="n">
        <x:f>K1787-L1787-M1787</x:f>
        <x:v>53826.8396805921</x:v>
      </x:c>
      <x:c r="O1787" s="10" t="n">
        <x:f>H1787*'Assumptions'!$P$145*'Assumptions'!$Q$145*'Assumptions'!$D$11*(1+'Assumptions'!$D$13)^(14-1)</x:f>
        <x:v>3573.4232588170175</x:v>
      </x:c>
      <x:c r="P1787" s="10" t="n">
        <x:f>H1787*'Assumptions'!$R$145*'Assumptions'!$D$11*(1+'Assumptions'!$D$13)^(14-1)</x:f>
        <x:v>35734.23258817017</x:v>
      </x:c>
      <x:c r="Q1787" s="10" t="n">
        <x:f>J1787*'Assumptions'!$S$145</x:f>
        <x:v>0</x:v>
      </x:c>
      <x:c r="R1787" s="10" t="n">
        <x:f>H1787*'Assumptions'!$Y$145*'Assumptions'!$Z$145*'Assumptions'!$D$11*(1+'Assumptions'!$D$13)^(14-1)</x:f>
        <x:v>643.216186587063</x:v>
      </x:c>
      <x:c r="S1787" s="10" t="n">
        <x:f>IF(I1787=0,0,J1787*'Assumptions'!$W$145+H1787*'Assumptions'!$X$145)</x:f>
        <x:v>1672.3350343165782</x:v>
      </x:c>
      <x:c r="T1787" s="10" t="n">
        <x:f>N1787*'Assumptions'!$AA$145</x:f>
        <x:v>4306.147174447368</x:v>
      </x:c>
      <x:c r="U1787" s="10" t="n">
        <x:f>'Assumptions'!$AE$145*'Assumptions'!$D$11*(1+'Assumptions'!$D$13)^(14-1)</x:f>
        <x:v>0</x:v>
      </x:c>
      <x:c r="V1787" s="10" t="n">
        <x:f>0</x:f>
        <x:v>0</x:v>
      </x:c>
      <x:c r="W1787" s="10" t="n">
        <x:f>H1787*('Assumptions'!$P$145+'Assumptions'!$Y$145)</x:f>
        <x:v>63.26651126781011</x:v>
      </x:c>
      <x:c r="X1787" s="10" t="n">
        <x:f>N1787/12*'Assumptions'!$AF$145</x:f>
        <x:v>0</x:v>
      </x:c>
      <x:c r="Y1787" s="10" t="n">
        <x:f>P1787/12</x:f>
        <x:v>2977.8527156808473</x:v>
      </x:c>
      <x:c r="Z1787" s="10" t="n">
        <x:f>0</x:f>
        <x:v>0</x:v>
      </x:c>
      <x:c r="AA1787" s="10" t="n">
        <x:f>Z1787*'Assumptions'!$AC$145*'Assumptions'!$D$11*(1+'Assumptions'!$D$13)^(14-1)</x:f>
        <x:v>0</x:v>
      </x:c>
      <x:c r="AB1787" s="10" t="n">
        <x:f>F1787/1</x:f>
        <x:v>68.98368506951564</x:v>
      </x:c>
      <x:c r="AC1787" s="10" t="n">
        <x:f>AB1787/'Assumptions'!$AM$145</x:f>
        <x:v>2299.4561689838547</x:v>
      </x:c>
      <x:c r="AD1787" s="10" t="n">
        <x:f>IF(AB1787=0,0,T1787/AB1787)</x:f>
        <x:v>62.422689801335125</x:v>
      </x:c>
      <x:c r="AE1787" s="10" t="n">
        <x:f>AA1787*'Assumptions'!$D$21</x:f>
        <x:v>0</x:v>
      </x:c>
    </x:row>
    <x:row r="1788" ht="16" customHeight="1">
      <x:c r="A1788" s="1"/>
      <x:c r="B1788" s="1"/>
      <x:c r="C1788" s="1" t="str">
        <x:v>DOT-117</x:v>
      </x:c>
      <x:c r="D1788" s="10" t="str">
        <x:v>Fiefé</x:v>
      </x:c>
      <x:c r="E1788" s="10" t="n">
        <x:v>14</x:v>
      </x:c>
      <x:c r="F1788" s="21" t="n">
        <x:f>F1660*(1+'Assumptions'!$M$146)</x:f>
        <x:v>86.22960633689458</x:v>
      </x:c>
      <x:c r="G1788" s="21" t="n">
        <x:f>H1660*'Assumptions'!$K$146</x:f>
        <x:v>35.4367614858172</x:v>
      </x:c>
      <x:c r="H1788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1788+G1788,NA())</x:f>
        <x:v>121.66636782271178</x:v>
      </x:c>
      <x:c r="I1788" s="22" t="n">
        <x:f>'Assumptions'!$H$146*IF('Assumptions'!$O$146=1,1,'Assumptions'!$D$10)*(1+'Assumptions'!$N$146)^(14-1)</x:f>
        <x:v>226.3811603294144</x:v>
      </x:c>
      <x:c r="J1788" s="10" t="n">
        <x:f>H1788*I1788</x:f>
        <x:v>27542.973520770818</x:v>
      </x:c>
      <x:c r="K1788" s="10" t="n">
        <x:f>J1788*'Assumptions'!$T$146</x:f>
        <x:v>27542.973520770818</x:v>
      </x:c>
      <x:c r="L1788" s="10" t="n">
        <x:f>K1788*'Assumptions'!$U$146</x:f>
        <x:v>826.2892056231245</x:v>
      </x:c>
      <x:c r="M1788" s="10" t="n">
        <x:f>K1788*'Assumptions'!$V$146</x:f>
        <x:v>550.8594704154164</x:v>
      </x:c>
      <x:c r="N1788" s="10" t="n">
        <x:f>K1788-L1788-M1788</x:f>
        <x:v>26165.824844732277</x:v>
      </x:c>
      <x:c r="O1788" s="10" t="n">
        <x:f>H1788*'Assumptions'!$P$146*'Assumptions'!$Q$146*'Assumptions'!$D$11*(1+'Assumptions'!$D$13)^(14-1)</x:f>
        <x:v>2010.0505830845727</x:v>
      </x:c>
      <x:c r="P1788" s="10" t="n">
        <x:f>H1788*'Assumptions'!$R$146*'Assumptions'!$D$11*(1+'Assumptions'!$D$13)^(14-1)</x:f>
        <x:v>14293.693035268072</x:v>
      </x:c>
      <x:c r="Q1788" s="10" t="n">
        <x:f>J1788*'Assumptions'!$S$146</x:f>
        <x:v>0</x:v>
      </x:c>
      <x:c r="R1788" s="10" t="n">
        <x:f>H1788*'Assumptions'!$Y$146*'Assumptions'!$Z$146*'Assumptions'!$D$11*(1+'Assumptions'!$D$13)^(14-1)</x:f>
        <x:v>804.020233233829</x:v>
      </x:c>
      <x:c r="S1788" s="10" t="n">
        <x:f>IF(I1788=0,0,J1788*'Assumptions'!$W$146+H1788*'Assumptions'!$X$146)</x:f>
        <x:v>835.2461424491673</x:v>
      </x:c>
      <x:c r="T1788" s="10" t="n">
        <x:f>N1788*'Assumptions'!$AA$146</x:f>
        <x:v>2093.265987578582</x:v>
      </x:c>
      <x:c r="U1788" s="10" t="n">
        <x:f>'Assumptions'!$AE$146*'Assumptions'!$D$11*(1+'Assumptions'!$D$13)^(14-1)</x:f>
        <x:v>0</x:v>
      </x:c>
      <x:c r="V1788" s="10" t="n">
        <x:f>0</x:f>
        <x:v>0</x:v>
      </x:c>
      <x:c r="W1788" s="10" t="n">
        <x:f>H1788*('Assumptions'!$P$146+'Assumptions'!$Y$146)</x:f>
        <x:v>48.66654712908471</x:v>
      </x:c>
      <x:c r="X1788" s="10" t="n">
        <x:f>N1788/12*'Assumptions'!$AF$146</x:f>
        <x:v>0</x:v>
      </x:c>
      <x:c r="Y1788" s="10" t="n">
        <x:f>P1788/12</x:f>
        <x:v>1191.1410862723394</x:v>
      </x:c>
      <x:c r="Z1788" s="10" t="n">
        <x:f>0</x:f>
        <x:v>0</x:v>
      </x:c>
      <x:c r="AA1788" s="10" t="n">
        <x:f>Z1788*'Assumptions'!$AC$146*'Assumptions'!$D$11*(1+'Assumptions'!$D$13)^(14-1)</x:f>
        <x:v>0</x:v>
      </x:c>
      <x:c r="AB1788" s="10" t="n">
        <x:f>F1788/1</x:f>
        <x:v>86.22960633689458</x:v>
      </x:c>
      <x:c r="AC1788" s="10" t="n">
        <x:f>AB1788/'Assumptions'!$AM$146</x:f>
        <x:v>2874.3202112298195</x:v>
      </x:c>
      <x:c r="AD1788" s="10" t="n">
        <x:f>IF(AB1788=0,0,T1788/AB1788)</x:f>
        <x:v>24.27549047829699</x:v>
      </x:c>
      <x:c r="AE1788" s="10" t="n">
        <x:f>AA1788*'Assumptions'!$D$21</x:f>
        <x:v>0</x:v>
      </x:c>
    </x:row>
    <x:row r="1789" ht="16" customHeight="1">
      <x:c r="A1789" s="1"/>
      <x:c r="B1789" s="1"/>
      <x:c r="C1789" s="1" t="str">
        <x:v>DOT-118</x:v>
      </x:c>
      <x:c r="D1789" s="10" t="str">
        <x:v>Fiefé Design</x:v>
      </x:c>
      <x:c r="E1789" s="10" t="n">
        <x:v>14</x:v>
      </x:c>
      <x:c r="F1789" s="21" t="n">
        <x:f>F1661*(1+'Assumptions'!$M$147)</x:f>
        <x:v>11.497280844919276</x:v>
      </x:c>
      <x:c r="G1789" s="21" t="n">
        <x:f>H1661*'Assumptions'!$K$147</x:f>
        <x:v>4.724901531442294</x:v>
      </x:c>
      <x:c r="H1789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1789+G1789,NA())</x:f>
        <x:v>16.22218237636157</x:v>
      </x:c>
      <x:c r="I1789" s="22" t="n">
        <x:f>'Assumptions'!$H$147*IF('Assumptions'!$O$147=1,1,'Assumptions'!$D$10)*(1+'Assumptions'!$N$147)^(14-1)</x:f>
        <x:v>3234.0165761344915</x:v>
      </x:c>
      <x:c r="J1789" s="10" t="n">
        <x:f>H1789*I1789</x:f>
        <x:v>52462.806706230134</x:v>
      </x:c>
      <x:c r="K1789" s="10" t="n">
        <x:f>J1789*'Assumptions'!$T$147</x:f>
        <x:v>52462.806706230134</x:v>
      </x:c>
      <x:c r="L1789" s="10" t="n">
        <x:f>K1789*'Assumptions'!$U$147</x:f>
        <x:v>1573.884201186904</x:v>
      </x:c>
      <x:c r="M1789" s="10" t="n">
        <x:f>K1789*'Assumptions'!$V$147</x:f>
        <x:v>1049.2561341246028</x:v>
      </x:c>
      <x:c r="N1789" s="10" t="n">
        <x:f>K1789-L1789-M1789</x:f>
        <x:v>49839.666370918625</x:v>
      </x:c>
      <x:c r="O1789" s="10" t="n">
        <x:f>H1789*'Assumptions'!$P$147*'Assumptions'!$Q$147*'Assumptions'!$D$11*(1+'Assumptions'!$D$13)^(14-1)</x:f>
        <x:v>11434.954428214458</x:v>
      </x:c>
      <x:c r="P1789" s="10" t="n">
        <x:f>H1789*'Assumptions'!$R$147*'Assumptions'!$D$11*(1+'Assumptions'!$D$13)^(14-1)</x:f>
        <x:v>21440.539552902108</x:v>
      </x:c>
      <x:c r="Q1789" s="10" t="n">
        <x:f>J1789*'Assumptions'!$S$147</x:f>
        <x:v>0</x:v>
      </x:c>
      <x:c r="R1789" s="10" t="n">
        <x:f>H1789*'Assumptions'!$Y$147*'Assumptions'!$Z$147*'Assumptions'!$D$11*(1+'Assumptions'!$D$13)^(14-1)</x:f>
        <x:v>107.20269776451053</x:v>
      </x:c>
      <x:c r="S1789" s="10" t="n">
        <x:f>IF(I1789=0,0,J1789*'Assumptions'!$W$147+H1789*'Assumptions'!$X$147)</x:f>
        <x:v>1526.2880491935825</x:v>
      </x:c>
      <x:c r="T1789" s="10" t="n">
        <x:f>N1789*'Assumptions'!$AA$147</x:f>
        <x:v>3987.17330967349</x:v>
      </x:c>
      <x:c r="U1789" s="10" t="n">
        <x:f>'Assumptions'!$AE$147*'Assumptions'!$D$11*(1+'Assumptions'!$D$13)^(14-1)</x:f>
        <x:v>0</x:v>
      </x:c>
      <x:c r="V1789" s="10" t="n">
        <x:f>0</x:f>
        <x:v>0</x:v>
      </x:c>
      <x:c r="W1789" s="10" t="n">
        <x:f>H1789*('Assumptions'!$P$147+'Assumptions'!$Y$147)</x:f>
        <x:v>132.2107863673468</x:v>
      </x:c>
      <x:c r="X1789" s="10" t="n">
        <x:f>N1789/12*'Assumptions'!$AF$147</x:f>
        <x:v>0</x:v>
      </x:c>
      <x:c r="Y1789" s="10" t="n">
        <x:f>P1789/12</x:f>
        <x:v>1786.711629408509</x:v>
      </x:c>
      <x:c r="Z1789" s="10" t="n">
        <x:f>0</x:f>
        <x:v>0</x:v>
      </x:c>
      <x:c r="AA1789" s="10" t="n">
        <x:f>Z1789*'Assumptions'!$AC$147*'Assumptions'!$D$11*(1+'Assumptions'!$D$13)^(14-1)</x:f>
        <x:v>0</x:v>
      </x:c>
      <x:c r="AB1789" s="10" t="n">
        <x:f>F1789/1</x:f>
        <x:v>11.497280844919276</x:v>
      </x:c>
      <x:c r="AC1789" s="10" t="n">
        <x:f>AB1789/'Assumptions'!$AM$147</x:f>
        <x:v>383.24269483064256</x:v>
      </x:c>
      <x:c r="AD1789" s="10" t="n">
        <x:f>IF(AB1789=0,0,T1789/AB1789)</x:f>
        <x:v>346.7927211185285</x:v>
      </x:c>
      <x:c r="AE1789" s="10" t="n">
        <x:f>AA1789*'Assumptions'!$D$21</x:f>
        <x:v>0</x:v>
      </x:c>
    </x:row>
    <x:row r="1790" ht="16" customHeight="1">
      <x:c r="A1790" s="1"/>
      <x:c r="B1790" s="1"/>
      <x:c r="C1790" s="1" t="str">
        <x:v>DOT-119</x:v>
      </x:c>
      <x:c r="D1790" s="10" t="str">
        <x:v>OsezArt</x:v>
      </x:c>
      <x:c r="E1790" s="10" t="n">
        <x:v>14</x:v>
      </x:c>
      <x:c r="F1790" s="21" t="n">
        <x:f>F1662*(1+'Assumptions'!$M$148)</x:f>
        <x:v>9.740079626357959</x:v>
      </x:c>
      <x:c r="G1790" s="21" t="n">
        <x:f>H1662*'Assumptions'!$K$148</x:f>
        <x:v>20.417939724489578</x:v>
      </x:c>
      <x:c r="H1790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1790+G1790,NA())</x:f>
        <x:v>30.15801935084754</x:v>
      </x:c>
      <x:c r="I1790" s="22" t="n">
        <x:f>'Assumptions'!$H$148*IF('Assumptions'!$O$148=1,1,'Assumptions'!$D$10)*(1+'Assumptions'!$N$148)^(14-1)</x:f>
        <x:v>6468.033152268983</x:v>
      </x:c>
      <x:c r="J1790" s="10" t="n">
        <x:f>H1790*I1790</x:f>
        <x:v>195063.0689680514</x:v>
      </x:c>
      <x:c r="K1790" s="10" t="n">
        <x:f>J1790*'Assumptions'!$T$148</x:f>
        <x:v>39012.61379361028</x:v>
      </x:c>
      <x:c r="L1790" s="10" t="n">
        <x:f>K1790*'Assumptions'!$U$148</x:f>
        <x:v>1170.3784138083083</x:v>
      </x:c>
      <x:c r="M1790" s="10" t="n">
        <x:f>K1790*'Assumptions'!$V$148</x:f>
        <x:v>0</x:v>
      </x:c>
      <x:c r="N1790" s="10" t="n">
        <x:f>K1790-L1790-M1790</x:f>
        <x:v>37842.235379801976</x:v>
      </x:c>
      <x:c r="O1790" s="10" t="n">
        <x:f>H1790*'Assumptions'!$P$148*'Assumptions'!$Q$148*'Assumptions'!$D$11*(1+'Assumptions'!$D$13)^(14-1)</x:f>
        <x:v>10629.136355434628</x:v>
      </x:c>
      <x:c r="P1790" s="10" t="n">
        <x:f>H1790*'Assumptions'!$R$148*'Assumptions'!$D$11*(1+'Assumptions'!$D$13)^(14-1)</x:f>
        <x:v>0</x:v>
      </x:c>
      <x:c r="Q1790" s="10" t="n">
        <x:f>J1790*'Assumptions'!$S$148</x:f>
        <x:v>0</x:v>
      </x:c>
      <x:c r="R1790" s="10" t="n">
        <x:f>H1790*'Assumptions'!$Y$148*'Assumptions'!$Z$148*'Assumptions'!$D$11*(1+'Assumptions'!$D$13)^(14-1)</x:f>
        <x:v>199.29630666439925</x:v>
      </x:c>
      <x:c r="S1790" s="10" t="n">
        <x:f>IF(I1790=0,0,J1790*'Assumptions'!$W$148+H1790*'Assumptions'!$X$148)</x:f>
        <x:v>5665.876405878746</x:v>
      </x:c>
      <x:c r="T1790" s="10" t="n">
        <x:f>N1790*'Assumptions'!$AA$148</x:f>
        <x:v>1892.1117689900989</x:v>
      </x:c>
      <x:c r="U1790" s="10" t="n">
        <x:f>'Assumptions'!$AE$148*'Assumptions'!$D$11*(1+'Assumptions'!$D$13)^(14-1)</x:f>
        <x:v>0</x:v>
      </x:c>
      <x:c r="V1790" s="10" t="n">
        <x:f>0</x:f>
        <x:v>0</x:v>
      </x:c>
      <x:c r="W1790" s="10" t="n">
        <x:f>H1790*('Assumptions'!$P$148+'Assumptions'!$Y$148)</x:f>
        <x:v>125.15578030601729</x:v>
      </x:c>
      <x:c r="X1790" s="10" t="n">
        <x:f>N1790/12*'Assumptions'!$AF$148</x:f>
        <x:v>0</x:v>
      </x:c>
      <x:c r="Y1790" s="10" t="n">
        <x:f>P1790/12</x:f>
        <x:v>0</x:v>
      </x:c>
      <x:c r="Z1790" s="10" t="n">
        <x:f>0</x:f>
        <x:v>0</x:v>
      </x:c>
      <x:c r="AA1790" s="10" t="n">
        <x:f>Z1790*'Assumptions'!$AC$148*'Assumptions'!$D$11*(1+'Assumptions'!$D$13)^(14-1)</x:f>
        <x:v>0</x:v>
      </x:c>
      <x:c r="AB1790" s="10" t="n">
        <x:f>F1790/1</x:f>
        <x:v>9.740079626357959</x:v>
      </x:c>
      <x:c r="AC1790" s="10" t="n">
        <x:f>AB1790/'Assumptions'!$AM$148</x:f>
        <x:v>194.80159252715916</x:v>
      </x:c>
      <x:c r="AD1790" s="10" t="n">
        <x:f>IF(AB1790=0,0,T1790/AB1790)</x:f>
        <x:v>194.26040048684933</x:v>
      </x:c>
      <x:c r="AE1790" s="10" t="n">
        <x:f>AA1790*'Assumptions'!$D$21</x:f>
        <x:v>0</x:v>
      </x:c>
    </x:row>
    <x:row r="1791" ht="16" customHeight="1">
      <x:c r="A1791" s="1"/>
      <x:c r="B1791" s="1"/>
      <x:c r="C1791" s="1" t="str">
        <x:v>DOT-120</x:v>
      </x:c>
      <x:c r="D1791" s="10" t="str">
        <x:v>OsezArt</x:v>
      </x:c>
      <x:c r="E1791" s="10" t="n">
        <x:v>14</x:v>
      </x:c>
      <x:c r="F1791" s="21" t="n">
        <x:f>F1663*(1+'Assumptions'!$M$149)</x:f>
        <x:v>5.730955255333194</x:v>
      </x:c>
      <x:c r="G1791" s="21" t="n">
        <x:f>H1663*'Assumptions'!$K$149</x:f>
        <x:v>5.405495293577895</x:v>
      </x:c>
      <x:c r="H1791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1791+G1791,NA())</x:f>
        <x:v>11.136450548911089</x:v>
      </x:c>
      <x:c r="I1791" s="22" t="n">
        <x:f>'Assumptions'!$H$149*IF('Assumptions'!$O$149=1,1,'Assumptions'!$D$10)*(1+'Assumptions'!$N$149)^(14-1)</x:f>
        <x:v>6468.033152268983</x:v>
      </x:c>
      <x:c r="J1791" s="10" t="n">
        <x:f>H1791*I1791</x:f>
        <x:v>72030.93134896104</x:v>
      </x:c>
      <x:c r="K1791" s="10" t="n">
        <x:f>J1791*'Assumptions'!$T$149</x:f>
        <x:v>72030.93134896104</x:v>
      </x:c>
      <x:c r="L1791" s="10" t="n">
        <x:f>K1791*'Assumptions'!$U$149</x:f>
        <x:v>2160.927940468831</x:v>
      </x:c>
      <x:c r="M1791" s="10" t="n">
        <x:f>K1791*'Assumptions'!$V$149</x:f>
        <x:v>0</x:v>
      </x:c>
      <x:c r="N1791" s="10" t="n">
        <x:f>K1791-L1791-M1791</x:f>
        <x:v>69870.00340849221</x:v>
      </x:c>
      <x:c r="O1791" s="10" t="n">
        <x:f>H1791*'Assumptions'!$P$149*'Assumptions'!$Q$149*'Assumptions'!$D$11*(1+'Assumptions'!$D$13)^(14-1)</x:f>
        <x:v>31890.79350456113</x:v>
      </x:c>
      <x:c r="P1791" s="10" t="n">
        <x:f>H1791*'Assumptions'!$R$149*'Assumptions'!$D$11*(1+'Assumptions'!$D$13)^(14-1)</x:f>
        <x:v>4088.5632698155296</x:v>
      </x:c>
      <x:c r="Q1791" s="10" t="n">
        <x:f>J1791*'Assumptions'!$S$149</x:f>
        <x:v>0</x:v>
      </x:c>
      <x:c r="R1791" s="10" t="n">
        <x:f>H1791*'Assumptions'!$Y$149*'Assumptions'!$Z$149*'Assumptions'!$D$11*(1+'Assumptions'!$D$13)^(14-1)</x:f>
        <x:v>122.65689809446589</x:v>
      </x:c>
      <x:c r="S1791" s="10" t="n">
        <x:f>IF(I1791=0,0,J1791*'Assumptions'!$W$149+H1791*'Assumptions'!$X$149)</x:f>
        <x:v>2092.2379442845436</x:v>
      </x:c>
      <x:c r="T1791" s="10" t="n">
        <x:f>N1791*'Assumptions'!$AA$149</x:f>
        <x:v>2794.8001363396884</x:v>
      </x:c>
      <x:c r="U1791" s="10" t="n">
        <x:f>'Assumptions'!$AE$149*'Assumptions'!$D$11*(1+'Assumptions'!$D$13)^(14-1)</x:f>
        <x:v>0</x:v>
      </x:c>
      <x:c r="V1791" s="10" t="n">
        <x:f>0</x:f>
        <x:v>0</x:v>
      </x:c>
      <x:c r="W1791" s="10" t="n">
        <x:f>H1791*('Assumptions'!$P$149+'Assumptions'!$Y$149)</x:f>
        <x:v>336.87762910456047</x:v>
      </x:c>
      <x:c r="X1791" s="10" t="n">
        <x:f>N1791/12*'Assumptions'!$AF$149</x:f>
        <x:v>5822.500284041017</x:v>
      </x:c>
      <x:c r="Y1791" s="10" t="n">
        <x:f>P1791/12</x:f>
        <x:v>340.7136058179608</x:v>
      </x:c>
      <x:c r="Z1791" s="10" t="n">
        <x:f>0</x:f>
        <x:v>0</x:v>
      </x:c>
      <x:c r="AA1791" s="10" t="n">
        <x:f>Z1791*'Assumptions'!$AC$149*'Assumptions'!$D$11*(1+'Assumptions'!$D$13)^(14-1)</x:f>
        <x:v>0</x:v>
      </x:c>
      <x:c r="AB1791" s="10" t="n">
        <x:f>F1791/1</x:f>
        <x:v>5.730955255333194</x:v>
      </x:c>
      <x:c r="AC1791" s="10" t="n">
        <x:f>AB1791/'Assumptions'!$AM$149</x:f>
        <x:v>28.65477627666597</x:v>
      </x:c>
      <x:c r="AD1791" s="10" t="n">
        <x:f>IF(AB1791=0,0,T1791/AB1791)</x:f>
        <x:v>487.667415260111</x:v>
      </x:c>
      <x:c r="AE1791" s="10" t="n">
        <x:f>AA1791*'Assumptions'!$D$21</x:f>
        <x:v>0</x:v>
      </x:c>
    </x:row>
    <x:row r="1792" ht="16" customHeight="1">
      <x:c r="A1792" s="1"/>
      <x:c r="B1792" s="1"/>
      <x:c r="C1792" s="1" t="str">
        <x:v>DOT-121</x:v>
      </x:c>
      <x:c r="D1792" s="10" t="str">
        <x:v>OsezArt</x:v>
      </x:c>
      <x:c r="E1792" s="10" t="n">
        <x:v>14</x:v>
      </x:c>
      <x:c r="F1792" s="21" t="n">
        <x:f>F1664*(1+'Assumptions'!$M$150)</x:f>
        <x:v>5.730955255333194</x:v>
      </x:c>
      <x:c r="G1792" s="21" t="n">
        <x:f>H1664*'Assumptions'!$K$150</x:f>
        <x:v>5.405312188109145</x:v>
      </x:c>
      <x:c r="H1792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1792+G1792,NA())</x:f>
        <x:v>11.136267443442339</x:v>
      </x:c>
      <x:c r="I1792" s="22" t="n">
        <x:f>'Assumptions'!$H$150*IF('Assumptions'!$O$150=1,1,'Assumptions'!$D$10)*(1+'Assumptions'!$N$150)^(14-1)</x:f>
        <x:v>3880.8198913613896</x:v>
      </x:c>
      <x:c r="J1792" s="10" t="n">
        <x:f>H1792*I1792</x:f>
        <x:v>43217.848210031276</x:v>
      </x:c>
      <x:c r="K1792" s="10" t="n">
        <x:f>J1792*'Assumptions'!$T$150</x:f>
        <x:v>43217.848210031276</x:v>
      </x:c>
      <x:c r="L1792" s="10" t="n">
        <x:f>K1792*'Assumptions'!$U$150</x:f>
        <x:v>1296.5354463009382</x:v>
      </x:c>
      <x:c r="M1792" s="10" t="n">
        <x:f>K1792*'Assumptions'!$V$150</x:f>
        <x:v>0</x:v>
      </x:c>
      <x:c r="N1792" s="10" t="n">
        <x:f>K1792-L1792-M1792</x:f>
        <x:v>41921.31276373034</x:v>
      </x:c>
      <x:c r="O1792" s="10" t="n">
        <x:f>H1792*'Assumptions'!$P$150*'Assumptions'!$Q$150*'Assumptions'!$D$11*(1+'Assumptions'!$D$13)^(14-1)</x:f>
        <x:v>19134.161493768523</x:v>
      </x:c>
      <x:c r="P1792" s="10" t="n">
        <x:f>H1792*'Assumptions'!$R$150*'Assumptions'!$D$11*(1+'Assumptions'!$D$13)^(14-1)</x:f>
        <x:v>3270.796836541628</x:v>
      </x:c>
      <x:c r="Q1792" s="10" t="n">
        <x:f>J1792*'Assumptions'!$S$150</x:f>
        <x:v>0</x:v>
      </x:c>
      <x:c r="R1792" s="10" t="n">
        <x:f>H1792*'Assumptions'!$Y$150*'Assumptions'!$Z$150*'Assumptions'!$D$11*(1+'Assumptions'!$D$13)^(14-1)</x:f>
        <x:v>122.65488137031107</x:v>
      </x:c>
      <x:c r="S1792" s="10" t="n">
        <x:f>IF(I1792=0,0,J1792*'Assumptions'!$W$150+H1792*'Assumptions'!$X$150)</x:f>
        <x:v>1256.6584783239398</x:v>
      </x:c>
      <x:c r="T1792" s="10" t="n">
        <x:f>N1792*'Assumptions'!$AA$150</x:f>
        <x:v>1676.8525105492135</x:v>
      </x:c>
      <x:c r="U1792" s="10" t="n">
        <x:f>'Assumptions'!$AE$150*'Assumptions'!$D$11*(1+'Assumptions'!$D$13)^(14-1)</x:f>
        <x:v>0</x:v>
      </x:c>
      <x:c r="V1792" s="10" t="n">
        <x:f>0</x:f>
        <x:v>0</x:v>
      </x:c>
      <x:c r="W1792" s="10" t="n">
        <x:f>H1792*('Assumptions'!$P$150+'Assumptions'!$Y$150)</x:f>
        <x:v>203.2368808428227</x:v>
      </x:c>
      <x:c r="X1792" s="10" t="n">
        <x:f>N1792/12*'Assumptions'!$AF$150</x:f>
        <x:v>3493.442730310862</x:v>
      </x:c>
      <x:c r="Y1792" s="10" t="n">
        <x:f>P1792/12</x:f>
        <x:v>272.5664030451357</x:v>
      </x:c>
      <x:c r="Z1792" s="10" t="n">
        <x:f>0</x:f>
        <x:v>0</x:v>
      </x:c>
      <x:c r="AA1792" s="10" t="n">
        <x:f>Z1792*'Assumptions'!$AC$150*'Assumptions'!$D$11*(1+'Assumptions'!$D$13)^(14-1)</x:f>
        <x:v>0</x:v>
      </x:c>
      <x:c r="AB1792" s="10" t="n">
        <x:f>F1792/1</x:f>
        <x:v>5.730955255333194</x:v>
      </x:c>
      <x:c r="AC1792" s="10" t="n">
        <x:f>AB1792/'Assumptions'!$AM$150</x:f>
        <x:v>28.65477627666597</x:v>
      </x:c>
      <x:c r="AD1792" s="10" t="n">
        <x:f>IF(AB1792=0,0,T1792/AB1792)</x:f>
        <x:v>292.5956382208261</x:v>
      </x:c>
      <x:c r="AE1792" s="10" t="n">
        <x:f>AA1792*'Assumptions'!$D$21</x:f>
        <x:v>0</x:v>
      </x:c>
    </x:row>
    <x:row r="1793" ht="16" customHeight="1">
      <x:c r="A1793" s="1"/>
      <x:c r="B1793" s="1"/>
      <x:c r="C1793" s="1" t="str">
        <x:v>DOT-122</x:v>
      </x:c>
      <x:c r="D1793" s="10" t="str">
        <x:v>OsezArt</x:v>
      </x:c>
      <x:c r="E1793" s="10" t="n">
        <x:v>14</x:v>
      </x:c>
      <x:c r="F1793" s="21" t="n">
        <x:f>F1665*(1+'Assumptions'!$M$151)</x:f>
        <x:v>1.9103184184443984</x:v>
      </x:c>
      <x:c r="G1793" s="21" t="n">
        <x:f>H1665*'Assumptions'!$K$151</x:f>
        <x:v>1.8017707293697154</x:v>
      </x:c>
      <x:c r="H1793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1793+G1793,NA())</x:f>
        <x:v>3.7120891478141136</x:v>
      </x:c>
      <x:c r="I1793" s="22" t="n">
        <x:f>'Assumptions'!$H$151*IF('Assumptions'!$O$151=1,1,'Assumptions'!$D$10)*(1+'Assumptions'!$N$151)^(14-1)</x:f>
        <x:v>12936.066304537966</x:v>
      </x:c>
      <x:c r="J1793" s="10" t="n">
        <x:f>H1793*I1793</x:f>
        <x:v>48019.83134447921</x:v>
      </x:c>
      <x:c r="K1793" s="10" t="n">
        <x:f>J1793*'Assumptions'!$T$151</x:f>
        <x:v>48019.83134447921</x:v>
      </x:c>
      <x:c r="L1793" s="10" t="n">
        <x:f>K1793*'Assumptions'!$U$151</x:f>
        <x:v>1440.5949403343761</x:v>
      </x:c>
      <x:c r="M1793" s="10" t="n">
        <x:f>K1793*'Assumptions'!$V$151</x:f>
        <x:v>0</x:v>
      </x:c>
      <x:c r="N1793" s="10" t="n">
        <x:f>K1793-L1793-M1793</x:f>
        <x:v>46579.23640414483</x:v>
      </x:c>
      <x:c r="O1793" s="10" t="n">
        <x:f>H1793*'Assumptions'!$P$151*'Assumptions'!$Q$151*'Assumptions'!$D$11*(1+'Assumptions'!$D$13)^(14-1)</x:f>
        <x:v>21260.17943752059</x:v>
      </x:c>
      <x:c r="P1793" s="10" t="n">
        <x:f>H1793*'Assumptions'!$R$151*'Assumptions'!$D$11*(1+'Assumptions'!$D$13)^(14-1)</x:f>
        <x:v>2725.664030451357</x:v>
      </x:c>
      <x:c r="Q1793" s="10" t="n">
        <x:f>J1793*'Assumptions'!$S$151</x:f>
        <x:v>0</x:v>
      </x:c>
      <x:c r="R1793" s="10" t="n">
        <x:f>H1793*'Assumptions'!$Y$151*'Assumptions'!$Z$151*'Assumptions'!$D$11*(1+'Assumptions'!$D$13)^(14-1)</x:f>
        <x:v>40.884960456770365</x:v>
      </x:c>
      <x:c r="S1793" s="10" t="n">
        <x:f>IF(I1793=0,0,J1793*'Assumptions'!$W$151+H1793*'Assumptions'!$X$151)</x:f>
        <x:v>1393.6887357342412</x:v>
      </x:c>
      <x:c r="T1793" s="10" t="n">
        <x:f>N1793*'Assumptions'!$AA$151</x:f>
        <x:v>1863.1694561657932</x:v>
      </x:c>
      <x:c r="U1793" s="10" t="n">
        <x:f>'Assumptions'!$AE$151*'Assumptions'!$D$11*(1+'Assumptions'!$D$13)^(14-1)</x:f>
        <x:v>0</x:v>
      </x:c>
      <x:c r="V1793" s="10" t="n">
        <x:f>0</x:f>
        <x:v>0</x:v>
      </x:c>
      <x:c r="W1793" s="10" t="n">
        <x:f>H1793*('Assumptions'!$P$151+'Assumptions'!$Y$151)</x:f>
        <x:v>223.65337115580036</x:v>
      </x:c>
      <x:c r="X1793" s="10" t="n">
        <x:f>N1793/12*'Assumptions'!$AF$151</x:f>
        <x:v>3881.6030336787358</x:v>
      </x:c>
      <x:c r="Y1793" s="10" t="n">
        <x:f>P1793/12</x:f>
        <x:v>227.13866920427975</x:v>
      </x:c>
      <x:c r="Z1793" s="10" t="n">
        <x:f>0</x:f>
        <x:v>0</x:v>
      </x:c>
      <x:c r="AA1793" s="10" t="n">
        <x:f>Z1793*'Assumptions'!$AC$151*'Assumptions'!$D$11*(1+'Assumptions'!$D$13)^(14-1)</x:f>
        <x:v>0</x:v>
      </x:c>
      <x:c r="AB1793" s="10" t="n">
        <x:f>F1793/1</x:f>
        <x:v>1.9103184184443984</x:v>
      </x:c>
      <x:c r="AC1793" s="10" t="n">
        <x:f>AB1793/'Assumptions'!$AM$151</x:f>
        <x:v>9.551592092221991</x:v>
      </x:c>
      <x:c r="AD1793" s="10" t="n">
        <x:f>IF(AB1793=0,0,T1793/AB1793)</x:f>
        <x:v>975.3187940694205</x:v>
      </x:c>
      <x:c r="AE1793" s="10" t="n">
        <x:f>AA1793*'Assumptions'!$D$21</x:f>
        <x:v>0</x:v>
      </x:c>
    </x:row>
    <x:row r="1794" ht="16" customHeight="1">
      <x:c r="A1794" s="1"/>
      <x:c r="B1794" s="1"/>
      <x:c r="C1794" s="1" t="str">
        <x:v>DOT-123</x:v>
      </x:c>
      <x:c r="D1794" s="10" t="str">
        <x:v>FinBot research</x:v>
      </x:c>
      <x:c r="E1794" s="10" t="n">
        <x:v>14</x:v>
      </x:c>
      <x:c r="F1794" s="21" t="n">
        <x:f>F1666*(1+'Assumptions'!$M$152)</x:f>
        <x:v>205.3850808014773</x:v>
      </x:c>
      <x:c r="G1794" s="21" t="n">
        <x:f>H1666*'Assumptions'!$K$152</x:f>
        <x:v>65.82852505810439</x:v>
      </x:c>
      <x:c r="H1794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1794+G1794,NA())</x:f>
        <x:v>271.21360585958166</x:v>
      </x:c>
      <x:c r="I1794" s="22" t="n">
        <x:f>'Assumptions'!$H$152*IF('Assumptions'!$O$152=1,1,'Assumptions'!$D$10)*(1+'Assumptions'!$N$152)^(14-1)</x:f>
        <x:v>37.5145922831601</x:v>
      </x:c>
      <x:c r="J1794" s="10" t="n">
        <x:f>H1794*I1794</x:f>
        <x:v>10174.467845467887</x:v>
      </x:c>
      <x:c r="K1794" s="10" t="n">
        <x:f>J1794*'Assumptions'!$T$152</x:f>
        <x:v>10174.467845467887</x:v>
      </x:c>
      <x:c r="L1794" s="10" t="n">
        <x:f>K1794*'Assumptions'!$U$152</x:f>
        <x:v>305.2340353640366</x:v>
      </x:c>
      <x:c r="M1794" s="10" t="n">
        <x:f>K1794*'Assumptions'!$V$152</x:f>
        <x:v>0</x:v>
      </x:c>
      <x:c r="N1794" s="10" t="n">
        <x:f>K1794-L1794-M1794</x:f>
        <x:v>9869.233810103851</x:v>
      </x:c>
      <x:c r="O1794" s="10" t="n">
        <x:f>H1794*'Assumptions'!$P$152*'Assumptions'!$Q$152*'Assumptions'!$D$11*(1+'Assumptions'!$D$13)^(14-1)</x:f>
        <x:v>3584.5769137640455</x:v>
      </x:c>
      <x:c r="P1794" s="10" t="n">
        <x:f>H1794*'Assumptions'!$R$152*'Assumptions'!$D$11*(1+'Assumptions'!$D$13)^(14-1)</x:f>
        <x:v>0</x:v>
      </x:c>
      <x:c r="Q1794" s="10" t="n">
        <x:f>J1794*'Assumptions'!$S$152</x:f>
        <x:v>0</x:v>
      </x:c>
      <x:c r="R1794" s="10" t="n">
        <x:f>H1794*'Assumptions'!$Y$152*'Assumptions'!$Z$152*'Assumptions'!$D$11*(1+'Assumptions'!$D$13)^(14-1)</x:f>
        <x:v>1194.8589712546818</x:v>
      </x:c>
      <x:c r="S1794" s="10" t="n">
        <x:f>IF(I1794=0,0,J1794*'Assumptions'!$W$152+H1794*'Assumptions'!$X$152)</x:f>
        <x:v>376.4236492764432</x:v>
      </x:c>
      <x:c r="T1794" s="10" t="n">
        <x:f>N1794*'Assumptions'!$AA$152</x:f>
        <x:v>493.46169050519256</x:v>
      </x:c>
      <x:c r="U1794" s="10" t="n">
        <x:f>'Assumptions'!$AE$152*'Assumptions'!$D$11*(1+'Assumptions'!$D$13)^(14-1)</x:f>
        <x:v>352.4480912283756</x:v>
      </x:c>
      <x:c r="V1794" s="10" t="n">
        <x:f>0</x:f>
        <x:v>0</x:v>
      </x:c>
      <x:c r="W1794" s="10" t="n">
        <x:f>H1794*('Assumptions'!$P$152+'Assumptions'!$Y$152)</x:f>
        <x:v>81.36408175787452</x:v>
      </x:c>
      <x:c r="X1794" s="10" t="n">
        <x:f>N1794/12*'Assumptions'!$AF$152</x:f>
        <x:v>0</x:v>
      </x:c>
      <x:c r="Y1794" s="10" t="n">
        <x:f>P1794/12</x:f>
        <x:v>0</x:v>
      </x:c>
      <x:c r="Z1794" s="10" t="n">
        <x:f>0</x:f>
        <x:v>0</x:v>
      </x:c>
      <x:c r="AA1794" s="10" t="n">
        <x:f>Z1794*'Assumptions'!$AC$152*'Assumptions'!$D$11*(1+'Assumptions'!$D$13)^(14-1)</x:f>
        <x:v>0</x:v>
      </x:c>
      <x:c r="AB1794" s="10" t="n">
        <x:f>F1794/12</x:f>
        <x:v>17.11542340012311</x:v>
      </x:c>
      <x:c r="AC1794" s="10" t="n">
        <x:f>AB1794/'Assumptions'!$AM$152</x:f>
        <x:v>342.3084680024622</x:v>
      </x:c>
      <x:c r="AD1794" s="10" t="n">
        <x:f>IF(AB1794=0,0,T1794/AB1794)</x:f>
        <x:v>28.831404223493713</x:v>
      </x:c>
      <x:c r="AE1794" s="10" t="n">
        <x:f>AA1794*'Assumptions'!$D$21</x:f>
        <x:v>0</x:v>
      </x:c>
    </x:row>
    <x:row r="1795" ht="16" customHeight="1">
      <x:c r="A1795" s="1"/>
      <x:c r="B1795" s="1"/>
      <x:c r="C1795" s="1" t="str">
        <x:v>DOT-124</x:v>
      </x:c>
      <x:c r="D1795" s="10" t="str">
        <x:v>Functional Analysis</x:v>
      </x:c>
      <x:c r="E1795" s="10" t="n">
        <x:v>14</x:v>
      </x:c>
      <x:c r="F1795" s="21" t="n">
        <x:f>F1667*(1+'Assumptions'!$M$153)</x:f>
        <x:v>410.7701616029546</x:v>
      </x:c>
      <x:c r="G1795" s="21" t="n">
        <x:f>H1667*'Assumptions'!$K$153</x:f>
        <x:v>131.65705011620878</x:v>
      </x:c>
      <x:c r="H1795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1795+G1795,NA())</x:f>
        <x:v>542.4272117191633</x:v>
      </x:c>
      <x:c r="I1795" s="22" t="n">
        <x:f>'Assumptions'!$H$153*IF('Assumptions'!$O$153=1,1,'Assumptions'!$D$10)*(1+'Assumptions'!$N$153)^(14-1)</x:f>
        <x:v>24.578525978622135</x:v>
      </x:c>
      <x:c r="J1795" s="10" t="n">
        <x:f>H1795*I1795</x:f>
        <x:v>13332.061314751025</x:v>
      </x:c>
      <x:c r="K1795" s="10" t="n">
        <x:f>J1795*'Assumptions'!$T$153</x:f>
        <x:v>13332.061314751025</x:v>
      </x:c>
      <x:c r="L1795" s="10" t="n">
        <x:f>K1795*'Assumptions'!$U$153</x:f>
        <x:v>399.96183944253073</x:v>
      </x:c>
      <x:c r="M1795" s="10" t="n">
        <x:f>K1795*'Assumptions'!$V$153</x:f>
        <x:v>0</x:v>
      </x:c>
      <x:c r="N1795" s="10" t="n">
        <x:f>K1795-L1795-M1795</x:f>
        <x:v>12932.099475308494</x:v>
      </x:c>
      <x:c r="O1795" s="10" t="n">
        <x:f>H1795*'Assumptions'!$P$153*'Assumptions'!$Q$153*'Assumptions'!$D$11*(1+'Assumptions'!$D$13)^(14-1)</x:f>
        <x:v>2788.004266260924</x:v>
      </x:c>
      <x:c r="P1795" s="10" t="n">
        <x:f>H1795*'Assumptions'!$R$153*'Assumptions'!$D$11*(1+'Assumptions'!$D$13)^(14-1)</x:f>
        <x:v>0</x:v>
      </x:c>
      <x:c r="Q1795" s="10" t="n">
        <x:f>J1795*'Assumptions'!$S$153</x:f>
        <x:v>0</x:v>
      </x:c>
      <x:c r="R1795" s="10" t="n">
        <x:f>H1795*'Assumptions'!$Y$153*'Assumptions'!$Z$153*'Assumptions'!$D$11*(1+'Assumptions'!$D$13)^(14-1)</x:f>
        <x:v>2389.7179425093636</x:v>
      </x:c>
      <x:c r="S1795" s="10" t="n">
        <x:f>IF(I1795=0,0,J1795*'Assumptions'!$W$153+H1795*'Assumptions'!$X$153)</x:f>
        <x:v>549.3579416435288</x:v>
      </x:c>
      <x:c r="T1795" s="10" t="n">
        <x:f>N1795*'Assumptions'!$AA$153</x:f>
        <x:v>646.6049737654248</x:v>
      </x:c>
      <x:c r="U1795" s="10" t="n">
        <x:f>'Assumptions'!$AE$153*'Assumptions'!$D$11*(1+'Assumptions'!$D$13)^(14-1)</x:f>
        <x:v>0</x:v>
      </x:c>
      <x:c r="V1795" s="10" t="n">
        <x:f>0</x:f>
        <x:v>0</x:v>
      </x:c>
      <x:c r="W1795" s="10" t="n">
        <x:f>H1795*('Assumptions'!$P$153+'Assumptions'!$Y$153)</x:f>
        <x:v>108.48544234383267</x:v>
      </x:c>
      <x:c r="X1795" s="10" t="n">
        <x:f>N1795/12*'Assumptions'!$AF$153</x:f>
        <x:v>0</x:v>
      </x:c>
      <x:c r="Y1795" s="10" t="n">
        <x:f>P1795/12</x:f>
        <x:v>0</x:v>
      </x:c>
      <x:c r="Z1795" s="10" t="n">
        <x:f>0</x:f>
        <x:v>0</x:v>
      </x:c>
      <x:c r="AA1795" s="10" t="n">
        <x:f>Z1795*'Assumptions'!$AC$153*'Assumptions'!$D$11*(1+'Assumptions'!$D$13)^(14-1)</x:f>
        <x:v>0</x:v>
      </x:c>
      <x:c r="AB1795" s="10" t="n">
        <x:f>F1795/1</x:f>
        <x:v>410.7701616029546</x:v>
      </x:c>
      <x:c r="AC1795" s="10" t="n">
        <x:f>AB1795/'Assumptions'!$AM$153</x:f>
        <x:v>8215.403232059092</x:v>
      </x:c>
      <x:c r="AD1795" s="10" t="n">
        <x:f>IF(AB1795=0,0,T1795/AB1795)</x:f>
        <x:v>1.574128391512588</x:v>
      </x:c>
      <x:c r="AE1795" s="10" t="n">
        <x:f>AA1795*'Assumptions'!$D$21</x:f>
        <x:v>0</x:v>
      </x:c>
    </x:row>
    <x:row r="1796" ht="16" customHeight="1">
      <x:c r="A1796" s="1"/>
      <x:c r="B1796" s="1"/>
      <x:c r="C1796" s="1" t="str">
        <x:v>DOT-125</x:v>
      </x:c>
      <x:c r="D1796" s="10" t="str">
        <x:v>Functional Analysis</x:v>
      </x:c>
      <x:c r="E1796" s="10" t="n">
        <x:v>14</x:v>
      </x:c>
      <x:c r="F1796" s="21" t="n">
        <x:f>F1668*(1+'Assumptions'!$M$154)</x:f>
        <x:v>34.38573153199915</x:v>
      </x:c>
      <x:c r="G1796" s="21" t="n">
        <x:f>H1668*'Assumptions'!$K$154</x:f>
        <x:v>32.43187312865486</x:v>
      </x:c>
      <x:c r="H1796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1796+G1796,NA())</x:f>
        <x:v>66.81760466065401</x:v>
      </x:c>
      <x:c r="I1796" s="22" t="n">
        <x:f>'Assumptions'!$H$154*IF('Assumptions'!$O$154=1,1,'Assumptions'!$D$10)*(1+'Assumptions'!$N$154)^(14-1)</x:f>
        <x:v>128.06705641492584</x:v>
      </x:c>
      <x:c r="J1796" s="10" t="n">
        <x:f>H1796*I1796</x:f>
        <x:v>8557.133945586189</x:v>
      </x:c>
      <x:c r="K1796" s="10" t="n">
        <x:f>J1796*'Assumptions'!$T$154</x:f>
        <x:v>8557.133945586189</x:v>
      </x:c>
      <x:c r="L1796" s="10" t="n">
        <x:f>K1796*'Assumptions'!$U$154</x:f>
        <x:v>256.71401836758565</x:v>
      </x:c>
      <x:c r="M1796" s="10" t="n">
        <x:f>K1796*'Assumptions'!$V$154</x:f>
        <x:v>0</x:v>
      </x:c>
      <x:c r="N1796" s="10" t="n">
        <x:f>K1796-L1796-M1796</x:f>
        <x:v>8300.419927218603</x:v>
      </x:c>
      <x:c r="O1796" s="10" t="n">
        <x:f>H1796*'Assumptions'!$P$154*'Assumptions'!$Q$154*'Assumptions'!$D$11*(1+'Assumptions'!$D$13)^(14-1)</x:f>
        <x:v>3924.956203849953</x:v>
      </x:c>
      <x:c r="P1796" s="10" t="n">
        <x:f>H1796*'Assumptions'!$R$154*'Assumptions'!$D$11*(1+'Assumptions'!$D$13)^(14-1)</x:f>
        <x:v>0</x:v>
      </x:c>
      <x:c r="Q1796" s="10" t="n">
        <x:f>J1796*'Assumptions'!$S$154</x:f>
        <x:v>0</x:v>
      </x:c>
      <x:c r="R1796" s="10" t="n">
        <x:f>H1796*'Assumptions'!$Y$154*'Assumptions'!$Z$154*'Assumptions'!$D$11*(1+'Assumptions'!$D$13)^(14-1)</x:f>
        <x:v>735.9292882218662</x:v>
      </x:c>
      <x:c r="S1796" s="10" t="n">
        <x:f>IF(I1796=0,0,J1796*'Assumptions'!$W$154+H1796*'Assumptions'!$X$154)</x:f>
        <x:v>268.20216582019566</x:v>
      </x:c>
      <x:c r="T1796" s="10" t="n">
        <x:f>N1796*'Assumptions'!$AA$154</x:f>
        <x:v>332.0167970887441</x:v>
      </x:c>
      <x:c r="U1796" s="10" t="n">
        <x:f>'Assumptions'!$AE$154*'Assumptions'!$D$11*(1+'Assumptions'!$D$13)^(14-1)</x:f>
        <x:v>0</x:v>
      </x:c>
      <x:c r="V1796" s="10" t="n">
        <x:f>0</x:f>
        <x:v>0</x:v>
      </x:c>
      <x:c r="W1796" s="10" t="n">
        <x:f>H1796*('Assumptions'!$P$154+'Assumptions'!$Y$154)</x:f>
        <x:v>83.52200582581752</x:v>
      </x:c>
      <x:c r="X1796" s="10" t="n">
        <x:f>N1796/12*'Assumptions'!$AF$154</x:f>
        <x:v>691.7016606015503</x:v>
      </x:c>
      <x:c r="Y1796" s="10" t="n">
        <x:f>P1796/12</x:f>
        <x:v>0</x:v>
      </x:c>
      <x:c r="Z1796" s="10" t="n">
        <x:f>0</x:f>
        <x:v>0</x:v>
      </x:c>
      <x:c r="AA1796" s="10" t="n">
        <x:f>Z1796*'Assumptions'!$AC$154*'Assumptions'!$D$11*(1+'Assumptions'!$D$13)^(14-1)</x:f>
        <x:v>0</x:v>
      </x:c>
      <x:c r="AB1796" s="10" t="n">
        <x:f>F1796/1</x:f>
        <x:v>34.38573153199915</x:v>
      </x:c>
      <x:c r="AC1796" s="10" t="n">
        <x:f>AB1796/'Assumptions'!$AM$154</x:f>
        <x:v>171.92865765999574</x:v>
      </x:c>
      <x:c r="AD1796" s="10" t="n">
        <x:f>IF(AB1796=0,0,T1796/AB1796)</x:f>
        <x:v>9.655656061287262</x:v>
      </x:c>
      <x:c r="AE1796" s="10" t="n">
        <x:f>AA1796*'Assumptions'!$D$21</x:f>
        <x:v>0</x:v>
      </x:c>
    </x:row>
    <x:row r="1797" ht="16" customHeight="1">
      <x:c r="A1797" s="1"/>
      <x:c r="B1797" s="1"/>
      <x:c r="C1797" s="1" t="str">
        <x:v>DOT-126</x:v>
      </x:c>
      <x:c r="D1797" s="10" t="str">
        <x:v>Independent candy game</x:v>
      </x:c>
      <x:c r="E1797" s="10" t="n">
        <x:v>14</x:v>
      </x:c>
      <x:c r="F1797" s="21" t="n">
        <x:f>F1669*(1+'Assumptions'!$M$155)</x:f>
        <x:v>1026.9254040073865</x:v>
      </x:c>
      <x:c r="G1797" s="21" t="n">
        <x:f>H1669*'Assumptions'!$K$155</x:f>
        <x:v>329.142625290522</x:v>
      </x:c>
      <x:c r="H1797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1797+G1797,NA())</x:f>
        <x:v>1356.0680292979087</x:v>
      </x:c>
      <x:c r="I1797" s="22" t="n">
        <x:f>'Assumptions'!$H$155*IF('Assumptions'!$O$155=1,1,'Assumptions'!$D$10)*(1+'Assumptions'!$N$155)^(14-1)</x:f>
        <x:v>6.455097085964445</x:v>
      </x:c>
      <x:c r="J1797" s="10" t="n">
        <x:f>H1797*I1797</x:f>
        <x:v>8753.550784290477</x:v>
      </x:c>
      <x:c r="K1797" s="10" t="n">
        <x:f>J1797*'Assumptions'!$T$155</x:f>
        <x:v>8753.550784290477</x:v>
      </x:c>
      <x:c r="L1797" s="10" t="n">
        <x:f>K1797*'Assumptions'!$U$155</x:f>
        <x:v>262.6065235287143</x:v>
      </x:c>
      <x:c r="M1797" s="10" t="n">
        <x:f>K1797*'Assumptions'!$V$155</x:f>
        <x:v>0</x:v>
      </x:c>
      <x:c r="N1797" s="10" t="n">
        <x:f>K1797-L1797-M1797</x:f>
        <x:v>8490.944260761762</x:v>
      </x:c>
      <x:c r="O1797" s="10" t="n">
        <x:f>H1797*'Assumptions'!$P$155*'Assumptions'!$Q$155*'Assumptions'!$D$11*(1+'Assumptions'!$D$13)^(14-1)</x:f>
        <x:v>1394.0021331304622</x:v>
      </x:c>
      <x:c r="P1797" s="10" t="n">
        <x:f>H1797*'Assumptions'!$R$155*'Assumptions'!$D$11*(1+'Assumptions'!$D$13)^(14-1)</x:f>
        <x:v>0</x:v>
      </x:c>
      <x:c r="Q1797" s="10" t="n">
        <x:f>J1797*'Assumptions'!$S$155</x:f>
        <x:v>0</x:v>
      </x:c>
      <x:c r="R1797" s="10" t="n">
        <x:f>H1797*'Assumptions'!$Y$155*'Assumptions'!$Z$155*'Assumptions'!$D$11*(1+'Assumptions'!$D$13)^(14-1)</x:f>
        <x:v>5974.294856273409</x:v>
      </x:c>
      <x:c r="S1797" s="10" t="n">
        <x:f>IF(I1797=0,0,J1797*'Assumptions'!$W$155+H1797*'Assumptions'!$X$155)</x:f>
        <x:v>660.6733815337965</x:v>
      </x:c>
      <x:c r="T1797" s="10" t="n">
        <x:f>N1797*'Assumptions'!$AA$155</x:f>
        <x:v>424.5472130380881</x:v>
      </x:c>
      <x:c r="U1797" s="10" t="n">
        <x:f>'Assumptions'!$AE$155*'Assumptions'!$D$11*(1+'Assumptions'!$D$13)^(14-1)</x:f>
        <x:v>0</x:v>
      </x:c>
      <x:c r="V1797" s="10" t="n">
        <x:f>0</x:f>
        <x:v>0</x:v>
      </x:c>
      <x:c r="W1797" s="10" t="n">
        <x:f>H1797*('Assumptions'!$P$155+'Assumptions'!$Y$155)</x:f>
        <x:v>162.72816351574906</x:v>
      </x:c>
      <x:c r="X1797" s="10" t="n">
        <x:f>N1797/12*'Assumptions'!$AF$155</x:f>
        <x:v>0</x:v>
      </x:c>
      <x:c r="Y1797" s="10" t="n">
        <x:f>P1797/12</x:f>
        <x:v>0</x:v>
      </x:c>
      <x:c r="Z1797" s="10" t="n">
        <x:f>0</x:f>
        <x:v>0</x:v>
      </x:c>
      <x:c r="AA1797" s="10" t="n">
        <x:f>Z1797*'Assumptions'!$AC$155*'Assumptions'!$D$11*(1+'Assumptions'!$D$13)^(14-1)</x:f>
        <x:v>0</x:v>
      </x:c>
      <x:c r="AB1797" s="10" t="n">
        <x:f>F1797/1</x:f>
        <x:v>1026.9254040073865</x:v>
      </x:c>
      <x:c r="AC1797" s="10" t="n">
        <x:f>AB1797/'Assumptions'!$AM$155</x:f>
        <x:v>20538.50808014773</x:v>
      </x:c>
      <x:c r="AD1797" s="10" t="n">
        <x:f>IF(AB1797=0,0,T1797/AB1797)</x:f>
        <x:v>0.41341582492883233</x:v>
      </x:c>
      <x:c r="AE1797" s="10" t="n">
        <x:f>AA1797*'Assumptions'!$D$21</x:f>
        <x:v>0</x:v>
      </x:c>
    </x:row>
    <x:row r="1798" ht="16" customHeight="1">
      <x:c r="A1798" s="1"/>
      <x:c r="B1798" s="1"/>
      <x:c r="C1798" s="1" t="str">
        <x:v>DOT-127</x:v>
      </x:c>
      <x:c r="D1798" s="10" t="str">
        <x:v>Learn Anglais</x:v>
      </x:c>
      <x:c r="E1798" s="10" t="n">
        <x:v>14</x:v>
      </x:c>
      <x:c r="F1798" s="21" t="n">
        <x:f>F1670*(1+'Assumptions'!$M$156)</x:f>
        <x:v>243.50199065894904</x:v>
      </x:c>
      <x:c r="G1798" s="21" t="n">
        <x:f>H1670*'Assumptions'!$K$156</x:f>
        <x:v>511.175160690292</x:v>
      </x:c>
      <x:c r="H1798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1798+G1798,NA())</x:f>
        <x:v>754.6771513492411</x:v>
      </x:c>
      <x:c r="I1798" s="22" t="n">
        <x:f>'Assumptions'!$H$156*IF('Assumptions'!$O$156=1,1,'Assumptions'!$D$10)*(1+'Assumptions'!$N$156)^(14-1)</x:f>
        <x:v>31.04655913089112</x:v>
      </x:c>
      <x:c r="J1798" s="10" t="n">
        <x:f>H1798*I1798</x:f>
        <x:v>23430.12880409668</x:v>
      </x:c>
      <x:c r="K1798" s="10" t="n">
        <x:f>J1798*'Assumptions'!$T$156</x:f>
        <x:v>7810.042934698893</x:v>
      </x:c>
      <x:c r="L1798" s="10" t="n">
        <x:f>K1798*'Assumptions'!$U$156</x:f>
        <x:v>234.3012880409668</x:v>
      </x:c>
      <x:c r="M1798" s="10" t="n">
        <x:f>K1798*'Assumptions'!$V$156</x:f>
        <x:v>0</x:v>
      </x:c>
      <x:c r="N1798" s="10" t="n">
        <x:f>K1798-L1798-M1798</x:f>
        <x:v>7575.741646657926</x:v>
      </x:c>
      <x:c r="O1798" s="10" t="n">
        <x:f>H1798*'Assumptions'!$P$156*'Assumptions'!$Q$156*'Assumptions'!$D$11*(1+'Assumptions'!$D$13)^(14-1)</x:f>
        <x:v>3878.9409383478232</x:v>
      </x:c>
      <x:c r="P1798" s="10" t="n">
        <x:f>H1798*'Assumptions'!$R$156*'Assumptions'!$D$11*(1+'Assumptions'!$D$13)^(14-1)</x:f>
        <x:v>0</x:v>
      </x:c>
      <x:c r="Q1798" s="10" t="n">
        <x:f>J1798*'Assumptions'!$S$156</x:f>
        <x:v>0</x:v>
      </x:c>
      <x:c r="R1798" s="10" t="n">
        <x:f>H1798*'Assumptions'!$Y$156*'Assumptions'!$Z$156*'Assumptions'!$D$11*(1+'Assumptions'!$D$13)^(14-1)</x:f>
        <x:v>4987.209777875773</x:v>
      </x:c>
      <x:c r="S1798" s="10" t="n">
        <x:f>IF(I1798=0,0,J1798*'Assumptions'!$W$156+H1798*'Assumptions'!$X$156)</x:f>
        <x:v>905.876880723576</x:v>
      </x:c>
      <x:c r="T1798" s="10" t="n">
        <x:f>N1798*'Assumptions'!$AA$156</x:f>
        <x:v>378.7870823328963</x:v>
      </x:c>
      <x:c r="U1798" s="10" t="n">
        <x:f>'Assumptions'!$AE$156*'Assumptions'!$D$11*(1+'Assumptions'!$D$13)^(14-1)</x:f>
        <x:v>0</x:v>
      </x:c>
      <x:c r="V1798" s="10" t="n">
        <x:f>0</x:f>
        <x:v>0</x:v>
      </x:c>
      <x:c r="W1798" s="10" t="n">
        <x:f>H1798*('Assumptions'!$P$156+'Assumptions'!$Y$156)</x:f>
        <x:v>188.66928783731026</x:v>
      </x:c>
      <x:c r="X1798" s="10" t="n">
        <x:f>N1798/12*'Assumptions'!$AF$156</x:f>
        <x:v>0</x:v>
      </x:c>
      <x:c r="Y1798" s="10" t="n">
        <x:f>P1798/12</x:f>
        <x:v>0</x:v>
      </x:c>
      <x:c r="Z1798" s="10" t="n">
        <x:f>0</x:f>
        <x:v>0</x:v>
      </x:c>
      <x:c r="AA1798" s="10" t="n">
        <x:f>Z1798*'Assumptions'!$AC$156*'Assumptions'!$D$11*(1+'Assumptions'!$D$13)^(14-1)</x:f>
        <x:v>0</x:v>
      </x:c>
      <x:c r="AB1798" s="10" t="n">
        <x:f>F1798/1</x:f>
        <x:v>243.50199065894904</x:v>
      </x:c>
      <x:c r="AC1798" s="10" t="n">
        <x:f>AB1798/'Assumptions'!$AM$156</x:f>
        <x:v>4870.039813178981</x:v>
      </x:c>
      <x:c r="AD1798" s="10" t="n">
        <x:f>IF(AB1798=0,0,T1798/AB1798)</x:f>
        <x:v>1.5555810501090677</x:v>
      </x:c>
      <x:c r="AE1798" s="10" t="n">
        <x:f>AA1798*'Assumptions'!$D$21</x:f>
        <x:v>0</x:v>
      </x:c>
    </x:row>
    <x:row r="1799" ht="16" customHeight="1">
      <x:c r="A1799" s="1"/>
      <x:c r="B1799" s="1"/>
      <x:c r="C1799" s="1" t="str">
        <x:v>DOT-128</x:v>
      </x:c>
      <x:c r="D1799" s="10" t="str">
        <x:v>Learn Anglais</x:v>
      </x:c>
      <x:c r="E1799" s="10" t="n">
        <x:v>14</x:v>
      </x:c>
      <x:c r="F1799" s="21" t="n">
        <x:f>F1671*(1+'Assumptions'!$M$157)</x:f>
        <x:v>97.40079626357961</x:v>
      </x:c>
      <x:c r="G1799" s="21" t="n">
        <x:f>H1671*'Assumptions'!$K$157</x:f>
        <x:v>204.4700642761168</x:v>
      </x:c>
      <x:c r="H1799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1799+G1799,NA())</x:f>
        <x:v>301.8708605396964</x:v>
      </x:c>
      <x:c r="I1799" s="22" t="n">
        <x:f>'Assumptions'!$H$157*IF('Assumptions'!$O$157=1,1,'Assumptions'!$D$10)*(1+'Assumptions'!$N$157)^(14-1)</x:f>
        <x:v>213.44509402487643</x:v>
      </x:c>
      <x:c r="J1799" s="10" t="n">
        <x:f>H1799*I1799</x:f>
        <x:v>64432.85421126586</x:v>
      </x:c>
      <x:c r="K1799" s="10" t="n">
        <x:f>J1799*'Assumptions'!$T$157</x:f>
        <x:v>19329.85626337976</x:v>
      </x:c>
      <x:c r="L1799" s="10" t="n">
        <x:f>K1799*'Assumptions'!$U$157</x:f>
        <x:v>579.8956879013928</x:v>
      </x:c>
      <x:c r="M1799" s="10" t="n">
        <x:f>K1799*'Assumptions'!$V$157</x:f>
        <x:v>0</x:v>
      </x:c>
      <x:c r="N1799" s="10" t="n">
        <x:f>K1799-L1799-M1799</x:f>
        <x:v>18749.960575478366</x:v>
      </x:c>
      <x:c r="O1799" s="10" t="n">
        <x:f>H1799*'Assumptions'!$P$157*'Assumptions'!$Q$157*'Assumptions'!$D$11*(1+'Assumptions'!$D$13)^(14-1)</x:f>
        <x:v>1551.5763753391293</x:v>
      </x:c>
      <x:c r="P1799" s="10" t="n">
        <x:f>H1799*'Assumptions'!$R$157*'Assumptions'!$D$11*(1+'Assumptions'!$D$13)^(14-1)</x:f>
        <x:v>0</x:v>
      </x:c>
      <x:c r="Q1799" s="10" t="n">
        <x:f>J1799*'Assumptions'!$S$157</x:f>
        <x:v>0</x:v>
      </x:c>
      <x:c r="R1799" s="10" t="n">
        <x:f>H1799*'Assumptions'!$Y$157*'Assumptions'!$Z$157*'Assumptions'!$D$11*(1+'Assumptions'!$D$13)^(14-1)</x:f>
        <x:v>1994.8839111503091</x:v>
      </x:c>
      <x:c r="S1799" s="10" t="n">
        <x:f>IF(I1799=0,0,J1799*'Assumptions'!$W$157+H1799*'Assumptions'!$X$157)</x:f>
        <x:v>1959.114030288619</x:v>
      </x:c>
      <x:c r="T1799" s="10" t="n">
        <x:f>N1799*'Assumptions'!$AA$157</x:f>
        <x:v>937.4980287739183</x:v>
      </x:c>
      <x:c r="U1799" s="10" t="n">
        <x:f>'Assumptions'!$AE$157*'Assumptions'!$D$11*(1+'Assumptions'!$D$13)^(14-1)</x:f>
        <x:v>0</x:v>
      </x:c>
      <x:c r="V1799" s="10" t="n">
        <x:f>0</x:f>
        <x:v>0</x:v>
      </x:c>
      <x:c r="W1799" s="10" t="n">
        <x:f>H1799*('Assumptions'!$P$157+'Assumptions'!$Y$157)</x:f>
        <x:v>75.4677151349241</x:v>
      </x:c>
      <x:c r="X1799" s="10" t="n">
        <x:f>N1799/12*'Assumptions'!$AF$157</x:f>
        <x:v>0</x:v>
      </x:c>
      <x:c r="Y1799" s="10" t="n">
        <x:f>P1799/12</x:f>
        <x:v>0</x:v>
      </x:c>
      <x:c r="Z1799" s="10" t="n">
        <x:f>0</x:f>
        <x:v>0</x:v>
      </x:c>
      <x:c r="AA1799" s="10" t="n">
        <x:f>Z1799*'Assumptions'!$AC$157*'Assumptions'!$D$11*(1+'Assumptions'!$D$13)^(14-1)</x:f>
        <x:v>0</x:v>
      </x:c>
      <x:c r="AB1799" s="10" t="n">
        <x:f>F1799/1</x:f>
        <x:v>97.40079626357961</x:v>
      </x:c>
      <x:c r="AC1799" s="10" t="n">
        <x:f>AB1799/'Assumptions'!$AM$157</x:f>
        <x:v>1948.015925271592</x:v>
      </x:c>
      <x:c r="AD1799" s="10" t="n">
        <x:f>IF(AB1799=0,0,T1799/AB1799)</x:f>
        <x:v>9.625157747549856</x:v>
      </x:c>
      <x:c r="AE1799" s="10" t="n">
        <x:f>AA1799*'Assumptions'!$D$21</x:f>
        <x:v>0</x:v>
      </x:c>
    </x:row>
    <x:row r="1800" ht="16" customHeight="1">
      <x:c r="A1800" s="1"/>
      <x:c r="B1800" s="1"/>
      <x:c r="C1800" s="1" t="str">
        <x:v>DOT-001</x:v>
      </x:c>
      <x:c r="D1800" s="10" t="str">
        <x:v>ETV courses</x:v>
      </x:c>
      <x:c r="E1800" s="10" t="n">
        <x:v>15</x:v>
      </x:c>
      <x:c r="F1800" s="21" t="n">
        <x:f>F1672*(1+'Assumptions'!$M$30)</x:f>
        <x:v>423.09326645104323</x:v>
      </x:c>
      <x:c r="G1800" s="21" t="n">
        <x:f>H1672*'Assumptions'!$K$30</x:f>
        <x:v>135.60680337682567</x:v>
      </x:c>
      <x:c r="H1800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1800+G1800,NA())</x:f>
        <x:v>558.7000698278689</x:v>
      </x:c>
      <x:c r="I1800" s="22" t="n">
        <x:f>'Assumptions'!$H$30*IF('Assumptions'!$O$30=1,1,'Assumptions'!$D$10)*(1+'Assumptions'!$N$30)^(15-1)</x:f>
        <x:v>29</x:v>
      </x:c>
      <x:c r="J1800" s="10" t="n">
        <x:f>H1800*I1800</x:f>
        <x:v>16202.302025008197</x:v>
      </x:c>
      <x:c r="K1800" s="10" t="n">
        <x:f>J1800*'Assumptions'!$T$30</x:f>
        <x:v>16202.302025008197</x:v>
      </x:c>
      <x:c r="L1800" s="10" t="n">
        <x:f>K1800*'Assumptions'!$U$30</x:f>
        <x:v>486.0690607502459</x:v>
      </x:c>
      <x:c r="M1800" s="10" t="n">
        <x:f>K1800*'Assumptions'!$V$30</x:f>
        <x:v>0</x:v>
      </x:c>
      <x:c r="N1800" s="10" t="n">
        <x:f>K1800-L1800-M1800</x:f>
        <x:v>15716.232964257952</x:v>
      </x:c>
      <x:c r="O1800" s="10" t="n">
        <x:f>H1800*'Assumptions'!$P$30*'Assumptions'!$Q$30*'Assumptions'!$D$11*(1+'Assumptions'!$D$13)^(15-1)</x:f>
        <x:v>4436.690920711707</x:v>
      </x:c>
      <x:c r="P1800" s="10" t="n">
        <x:f>H1800*'Assumptions'!$R$30*'Assumptions'!$D$11*(1+'Assumptions'!$D$13)^(15-1)</x:f>
        <x:v>0</x:v>
      </x:c>
      <x:c r="Q1800" s="10" t="n">
        <x:f>J1800*'Assumptions'!$S$30</x:f>
        <x:v>0</x:v>
      </x:c>
      <x:c r="R1800" s="10" t="n">
        <x:f>H1800*'Assumptions'!$Y$30*'Assumptions'!$Z$30*'Assumptions'!$D$11*(1+'Assumptions'!$D$13)^(15-1)</x:f>
        <x:v>2535.251954692404</x:v>
      </x:c>
      <x:c r="S1800" s="10" t="n">
        <x:f>IF(I1800=0,0,J1800*'Assumptions'!$W$30+H1800*'Assumptions'!$X$30)</x:f>
        <x:v>637.4767796735985</x:v>
      </x:c>
      <x:c r="T1800" s="10" t="n">
        <x:f>N1800*'Assumptions'!$AA$30</x:f>
        <x:v>785.8116482128976</x:v>
      </x:c>
      <x:c r="U1800" s="10" t="n">
        <x:f>'Assumptions'!$AE$30*'Assumptions'!$D$11*(1+'Assumptions'!$D$13)^(15-1)</x:f>
        <x:v>0</x:v>
      </x:c>
      <x:c r="V1800" s="10" t="n">
        <x:f>0</x:f>
        <x:v>0</x:v>
      </x:c>
      <x:c r="W1800" s="10" t="n">
        <x:f>H1800*('Assumptions'!$P$30+'Assumptions'!$Y$30)</x:f>
        <x:v>139.67501745696723</x:v>
      </x:c>
      <x:c r="X1800" s="10" t="n">
        <x:f>N1800/12*'Assumptions'!$AF$30</x:f>
        <x:v>0</x:v>
      </x:c>
      <x:c r="Y1800" s="10" t="n">
        <x:f>P1800/12</x:f>
        <x:v>0</x:v>
      </x:c>
      <x:c r="Z1800" s="10" t="n">
        <x:f>0</x:f>
        <x:v>0</x:v>
      </x:c>
      <x:c r="AA1800" s="10" t="n">
        <x:f>Z1800*'Assumptions'!$AC$30*'Assumptions'!$D$11*(1+'Assumptions'!$D$13)^(15-1)</x:f>
        <x:v>0</x:v>
      </x:c>
      <x:c r="AB1800" s="10" t="n">
        <x:f>F1800/1</x:f>
        <x:v>423.09326645104323</x:v>
      </x:c>
      <x:c r="AC1800" s="10" t="n">
        <x:f>AB1800/'Assumptions'!$AM$30</x:f>
        <x:v>8461.865329020864</x:v>
      </x:c>
      <x:c r="AD1800" s="10" t="n">
        <x:f>IF(AB1800=0,0,T1800/AB1800)</x:f>
        <x:v>1.8573012395219128</x:v>
      </x:c>
      <x:c r="AE1800" s="10" t="n">
        <x:f>AA1800*'Assumptions'!$D$21</x:f>
        <x:v>0</x:v>
      </x:c>
    </x:row>
    <x:row r="1801" ht="16" customHeight="1">
      <x:c r="A1801" s="1"/>
      <x:c r="B1801" s="1"/>
      <x:c r="C1801" s="1" t="str">
        <x:v>DOT-002</x:v>
      </x:c>
      <x:c r="D1801" s="10" t="str">
        <x:v>ETV courses</x:v>
      </x:c>
      <x:c r="E1801" s="10" t="n">
        <x:v>15</x:v>
      </x:c>
      <x:c r="F1801" s="21" t="n">
        <x:f>F1673*(1+'Assumptions'!$M$31)</x:f>
        <x:v>669.8976718808185</x:v>
      </x:c>
      <x:c r="G1801" s="21" t="n">
        <x:f>H1673*'Assumptions'!$K$31</x:f>
        <x:v>214.71077201330735</x:v>
      </x:c>
      <x:c r="H1801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1801+G1801,NA())</x:f>
        <x:v>884.6084438941259</x:v>
      </x:c>
      <x:c r="I1801" s="22" t="n">
        <x:f>'Assumptions'!$H$31*IF('Assumptions'!$O$31=1,1,'Assumptions'!$D$10)*(1+'Assumptions'!$N$31)^(15-1)</x:f>
        <x:v>51.45967175945202</x:v>
      </x:c>
      <x:c r="J1801" s="10" t="n">
        <x:f>H1801*I1801</x:f>
        <x:v>45521.66015843135</x:v>
      </x:c>
      <x:c r="K1801" s="10" t="n">
        <x:f>J1801*'Assumptions'!$T$31</x:f>
        <x:v>45521.66015843135</x:v>
      </x:c>
      <x:c r="L1801" s="10" t="n">
        <x:f>K1801*'Assumptions'!$U$31</x:f>
        <x:v>1365.6498047529403</x:v>
      </x:c>
      <x:c r="M1801" s="10" t="n">
        <x:f>K1801*'Assumptions'!$V$31</x:f>
        <x:v>0</x:v>
      </x:c>
      <x:c r="N1801" s="10" t="n">
        <x:f>K1801-L1801-M1801</x:f>
        <x:v>44156.01035367841</x:v>
      </x:c>
      <x:c r="O1801" s="10" t="n">
        <x:f>H1801*'Assumptions'!$P$31*'Assumptions'!$Q$31*'Assumptions'!$D$11*(1+'Assumptions'!$D$13)^(15-1)</x:f>
        <x:v>7024.760624460204</x:v>
      </x:c>
      <x:c r="P1801" s="10" t="n">
        <x:f>H1801*'Assumptions'!$R$31*'Assumptions'!$D$11*(1+'Assumptions'!$D$13)^(15-1)</x:f>
        <x:v>0</x:v>
      </x:c>
      <x:c r="Q1801" s="10" t="n">
        <x:f>J1801*'Assumptions'!$S$31</x:f>
        <x:v>0</x:v>
      </x:c>
      <x:c r="R1801" s="10" t="n">
        <x:f>H1801*'Assumptions'!$Y$31*'Assumptions'!$Z$31*'Assumptions'!$D$11*(1+'Assumptions'!$D$13)^(15-1)</x:f>
        <x:v>4014.148928262974</x:v>
      </x:c>
      <x:c r="S1801" s="10" t="n">
        <x:f>IF(I1801=0,0,J1801*'Assumptions'!$W$31+H1801*'Assumptions'!$X$31)</x:f>
        <x:v>1585.510677762747</x:v>
      </x:c>
      <x:c r="T1801" s="10" t="n">
        <x:f>N1801*'Assumptions'!$AA$31</x:f>
        <x:v>2207.8005176839206</x:v>
      </x:c>
      <x:c r="U1801" s="10" t="n">
        <x:f>'Assumptions'!$AE$31*'Assumptions'!$D$11*(1+'Assumptions'!$D$13)^(15-1)</x:f>
        <x:v>0</x:v>
      </x:c>
      <x:c r="V1801" s="10" t="n">
        <x:f>0</x:f>
        <x:v>0</x:v>
      </x:c>
      <x:c r="W1801" s="10" t="n">
        <x:f>H1801*('Assumptions'!$P$31+'Assumptions'!$Y$31)</x:f>
        <x:v>221.15211097353148</x:v>
      </x:c>
      <x:c r="X1801" s="10" t="n">
        <x:f>N1801/12*'Assumptions'!$AF$31</x:f>
        <x:v>0</x:v>
      </x:c>
      <x:c r="Y1801" s="10" t="n">
        <x:f>P1801/12</x:f>
        <x:v>0</x:v>
      </x:c>
      <x:c r="Z1801" s="10" t="n">
        <x:f>0</x:f>
        <x:v>0</x:v>
      </x:c>
      <x:c r="AA1801" s="10" t="n">
        <x:f>Z1801*'Assumptions'!$AC$31*'Assumptions'!$D$11*(1+'Assumptions'!$D$13)^(15-1)</x:f>
        <x:v>0</x:v>
      </x:c>
      <x:c r="AB1801" s="10" t="n">
        <x:f>F1801/1</x:f>
        <x:v>669.8976718808185</x:v>
      </x:c>
      <x:c r="AC1801" s="10" t="n">
        <x:f>AB1801/'Assumptions'!$AM$31</x:f>
        <x:v>13397.95343761637</x:v>
      </x:c>
      <x:c r="AD1801" s="10" t="n">
        <x:f>IF(AB1801=0,0,T1801/AB1801)</x:f>
        <x:v>3.2957280049731392</x:v>
      </x:c>
      <x:c r="AE1801" s="10" t="n">
        <x:f>AA1801*'Assumptions'!$D$21</x:f>
        <x:v>0</x:v>
      </x:c>
    </x:row>
    <x:row r="1802" ht="16" customHeight="1">
      <x:c r="A1802" s="1"/>
      <x:c r="B1802" s="1"/>
      <x:c r="C1802" s="1" t="str">
        <x:v>DOT-003</x:v>
      </x:c>
      <x:c r="D1802" s="10" t="str">
        <x:v>ETV services</x:v>
      </x:c>
      <x:c r="E1802" s="10" t="n">
        <x:v>15</x:v>
      </x:c>
      <x:c r="F1802" s="21" t="n">
        <x:f>F1674*(1+'Assumptions'!$M$32)</x:f>
        <x:v>11.805767825986381</x:v>
      </x:c>
      <x:c r="G1802" s="21" t="n">
        <x:f>H1674*'Assumptions'!$K$32</x:f>
        <x:v>11.136633654379839</x:v>
      </x:c>
      <x:c r="H1802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1802+G1802,NA())</x:f>
        <x:v>22.94240148036622</x:v>
      </x:c>
      <x:c r="I1802" s="22" t="n">
        <x:f>'Assumptions'!$H$32*IF('Assumptions'!$O$32=1,1,'Assumptions'!$D$10)*(1+'Assumptions'!$N$32)^(15-1)</x:f>
        <x:v>2309.0878353600265</x:v>
      </x:c>
      <x:c r="J1802" s="10" t="n">
        <x:f>H1802*I1802</x:f>
        <x:v>52976.02017225951</x:v>
      </x:c>
      <x:c r="K1802" s="10" t="n">
        <x:f>J1802*'Assumptions'!$T$32</x:f>
        <x:v>52976.02017225951</x:v>
      </x:c>
      <x:c r="L1802" s="10" t="n">
        <x:f>K1802*'Assumptions'!$U$32</x:f>
        <x:v>1589.280605167785</x:v>
      </x:c>
      <x:c r="M1802" s="10" t="n">
        <x:f>K1802*'Assumptions'!$V$32</x:f>
        <x:v>0</x:v>
      </x:c>
      <x:c r="N1802" s="10" t="n">
        <x:f>K1802-L1802-M1802</x:f>
        <x:v>51386.739567091725</x:v>
      </x:c>
      <x:c r="O1802" s="10" t="n">
        <x:f>H1802*'Assumptions'!$P$32*'Assumptions'!$Q$32*'Assumptions'!$D$11*(1+'Assumptions'!$D$13)^(15-1)</x:f>
        <x:v>31232.196668432385</x:v>
      </x:c>
      <x:c r="P1802" s="10" t="n">
        <x:f>H1802*'Assumptions'!$R$32*'Assumptions'!$D$11*(1+'Assumptions'!$D$13)^(15-1)</x:f>
        <x:v>867.5610185675663</x:v>
      </x:c>
      <x:c r="Q1802" s="10" t="n">
        <x:f>J1802*'Assumptions'!$S$32</x:f>
        <x:v>0</x:v>
      </x:c>
      <x:c r="R1802" s="10" t="n">
        <x:f>H1802*'Assumptions'!$Y$32*'Assumptions'!$Z$32*'Assumptions'!$D$11*(1+'Assumptions'!$D$13)^(15-1)</x:f>
        <x:v>260.2683055702699</x:v>
      </x:c>
      <x:c r="S1802" s="10" t="n">
        <x:f>IF(I1802=0,0,J1802*'Assumptions'!$W$32+H1802*'Assumptions'!$X$32)</x:f>
        <x:v>1543.1873054396358</x:v>
      </x:c>
      <x:c r="T1802" s="10" t="n">
        <x:f>N1802*'Assumptions'!$AA$32</x:f>
        <x:v>2055.469582683669</x:v>
      </x:c>
      <x:c r="U1802" s="10" t="n">
        <x:f>'Assumptions'!$AE$32*'Assumptions'!$D$11*(1+'Assumptions'!$D$13)^(15-1)</x:f>
        <x:v>0</x:v>
      </x:c>
      <x:c r="V1802" s="10" t="n">
        <x:f>0</x:f>
        <x:v>0</x:v>
      </x:c>
      <x:c r="W1802" s="10" t="n">
        <x:f>H1802*('Assumptions'!$P$32+'Assumptions'!$Y$32)</x:f>
        <x:v>464.58362997741597</x:v>
      </x:c>
      <x:c r="X1802" s="10" t="n">
        <x:f>N1802/12*'Assumptions'!$AF$32</x:f>
        <x:v>4282.228297257644</x:v>
      </x:c>
      <x:c r="Y1802" s="10" t="n">
        <x:f>P1802/12</x:f>
        <x:v>72.29675154729719</x:v>
      </x:c>
      <x:c r="Z1802" s="10" t="n">
        <x:f>0</x:f>
        <x:v>0</x:v>
      </x:c>
      <x:c r="AA1802" s="10" t="n">
        <x:f>Z1802*'Assumptions'!$AC$32*'Assumptions'!$D$11*(1+'Assumptions'!$D$13)^(15-1)</x:f>
        <x:v>0</x:v>
      </x:c>
      <x:c r="AB1802" s="10" t="n">
        <x:f>F1802/1</x:f>
        <x:v>11.805767825986381</x:v>
      </x:c>
      <x:c r="AC1802" s="10" t="n">
        <x:f>AB1802/'Assumptions'!$AM$32</x:f>
        <x:v>59.0288391299319</x:v>
      </x:c>
      <x:c r="AD1802" s="10" t="n">
        <x:f>IF(AB1802=0,0,T1802/AB1802)</x:f>
        <x:v>174.10723410630288</x:v>
      </x:c>
      <x:c r="AE1802" s="10" t="n">
        <x:f>AA1802*'Assumptions'!$D$21</x:f>
        <x:v>0</x:v>
      </x:c>
    </x:row>
    <x:row r="1803" ht="16" customHeight="1">
      <x:c r="A1803" s="1"/>
      <x:c r="B1803" s="1"/>
      <x:c r="C1803" s="1" t="str">
        <x:v>DOT-004</x:v>
      </x:c>
      <x:c r="D1803" s="10" t="str">
        <x:v>ETV services</x:v>
      </x:c>
      <x:c r="E1803" s="10" t="n">
        <x:v>15</x:v>
      </x:c>
      <x:c r="F1803" s="21" t="n">
        <x:f>F1675*(1+'Assumptions'!$M$33)</x:f>
        <x:v>7.870511883990922</x:v>
      </x:c>
      <x:c r="G1803" s="21" t="n">
        <x:f>H1675*'Assumptions'!$K$33</x:f>
        <x:v>7.424422436253227</x:v>
      </x:c>
      <x:c r="H1803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1803+G1803,NA())</x:f>
        <x:v>15.294934320244149</x:v>
      </x:c>
      <x:c r="I1803" s="22" t="n">
        <x:f>'Assumptions'!$H$33*IF('Assumptions'!$O$33=1,1,'Assumptions'!$D$10)*(1+'Assumptions'!$N$33)^(15-1)</x:f>
        <x:v>3298.696907657181</x:v>
      </x:c>
      <x:c r="J1803" s="10" t="n">
        <x:f>H1803*I1803</x:f>
        <x:v>50453.35254500906</x:v>
      </x:c>
      <x:c r="K1803" s="10" t="n">
        <x:f>J1803*'Assumptions'!$T$33</x:f>
        <x:v>50453.35254500906</x:v>
      </x:c>
      <x:c r="L1803" s="10" t="n">
        <x:f>K1803*'Assumptions'!$U$33</x:f>
        <x:v>1513.6005763502717</x:v>
      </x:c>
      <x:c r="M1803" s="10" t="n">
        <x:f>K1803*'Assumptions'!$V$33</x:f>
        <x:v>0</x:v>
      </x:c>
      <x:c r="N1803" s="10" t="n">
        <x:f>K1803-L1803-M1803</x:f>
        <x:v>48939.75196865879</x:v>
      </x:c>
      <x:c r="O1803" s="10" t="n">
        <x:f>H1803*'Assumptions'!$P$33*'Assumptions'!$Q$33*'Assumptions'!$D$11*(1+'Assumptions'!$D$13)^(15-1)</x:f>
        <x:v>31232.196668432392</x:v>
      </x:c>
      <x:c r="P1803" s="10" t="n">
        <x:f>H1803*'Assumptions'!$R$33*'Assumptions'!$D$11*(1+'Assumptions'!$D$13)^(15-1)</x:f>
        <x:v>578.3740123783776</x:v>
      </x:c>
      <x:c r="Q1803" s="10" t="n">
        <x:f>J1803*'Assumptions'!$S$33</x:f>
        <x:v>0</x:v>
      </x:c>
      <x:c r="R1803" s="10" t="n">
        <x:f>H1803*'Assumptions'!$Y$33*'Assumptions'!$Z$33*'Assumptions'!$D$11*(1+'Assumptions'!$D$13)^(15-1)</x:f>
        <x:v>173.5122037135133</x:v>
      </x:c>
      <x:c r="S1803" s="10" t="n">
        <x:f>IF(I1803=0,0,J1803*'Assumptions'!$W$33+H1803*'Assumptions'!$X$33)</x:f>
        <x:v>1467.735704101336</x:v>
      </x:c>
      <x:c r="T1803" s="10" t="n">
        <x:f>N1803*'Assumptions'!$AA$33</x:f>
        <x:v>1957.5900787463518</x:v>
      </x:c>
      <x:c r="U1803" s="10" t="n">
        <x:f>'Assumptions'!$AE$33*'Assumptions'!$D$11*(1+'Assumptions'!$D$13)^(15-1)</x:f>
        <x:v>0</x:v>
      </x:c>
      <x:c r="V1803" s="10" t="n">
        <x:f>0</x:f>
        <x:v>0</x:v>
      </x:c>
      <x:c r="W1803" s="10" t="n">
        <x:f>H1803*('Assumptions'!$P$33+'Assumptions'!$Y$33)</x:f>
        <x:v>462.6717631873855</x:v>
      </x:c>
      <x:c r="X1803" s="10" t="n">
        <x:f>N1803/12*'Assumptions'!$AF$33</x:f>
        <x:v>4078.3126640548994</x:v>
      </x:c>
      <x:c r="Y1803" s="10" t="n">
        <x:f>P1803/12</x:f>
        <x:v>48.1978343648648</x:v>
      </x:c>
      <x:c r="Z1803" s="10" t="n">
        <x:f>0</x:f>
        <x:v>0</x:v>
      </x:c>
      <x:c r="AA1803" s="10" t="n">
        <x:f>Z1803*'Assumptions'!$AC$33*'Assumptions'!$D$11*(1+'Assumptions'!$D$13)^(15-1)</x:f>
        <x:v>0</x:v>
      </x:c>
      <x:c r="AB1803" s="10" t="n">
        <x:f>F1803/1</x:f>
        <x:v>7.870511883990922</x:v>
      </x:c>
      <x:c r="AC1803" s="10" t="n">
        <x:f>AB1803/'Assumptions'!$AM$33</x:f>
        <x:v>39.35255941995461</x:v>
      </x:c>
      <x:c r="AD1803" s="10" t="n">
        <x:f>IF(AB1803=0,0,T1803/AB1803)</x:f>
        <x:v>248.72462015186125</x:v>
      </x:c>
      <x:c r="AE1803" s="10" t="n">
        <x:f>AA1803*'Assumptions'!$D$21</x:f>
        <x:v>0</x:v>
      </x:c>
    </x:row>
    <x:row r="1804" ht="16" customHeight="1">
      <x:c r="A1804" s="1"/>
      <x:c r="B1804" s="1"/>
      <x:c r="C1804" s="1" t="str">
        <x:v>DOT-005</x:v>
      </x:c>
      <x:c r="D1804" s="10" t="str">
        <x:v>ETV services</x:v>
      </x:c>
      <x:c r="E1804" s="10" t="n">
        <x:v>15</x:v>
      </x:c>
      <x:c r="F1804" s="21" t="n">
        <x:f>F1676*(1+'Assumptions'!$M$34)</x:f>
        <x:v>7.870511883990922</x:v>
      </x:c>
      <x:c r="G1804" s="21" t="n">
        <x:f>H1676*'Assumptions'!$K$34</x:f>
        <x:v>7.424422436253227</x:v>
      </x:c>
      <x:c r="H1804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1804+G1804,NA())</x:f>
        <x:v>15.294934320244149</x:v>
      </x:c>
      <x:c r="I1804" s="22" t="n">
        <x:f>'Assumptions'!$H$34*IF('Assumptions'!$O$34=1,1,'Assumptions'!$D$10)*(1+'Assumptions'!$N$34)^(15-1)</x:f>
        <x:v>1979.2181445943086</x:v>
      </x:c>
      <x:c r="J1804" s="10" t="n">
        <x:f>H1804*I1804</x:f>
        <x:v>30272.011527005438</x:v>
      </x:c>
      <x:c r="K1804" s="10" t="n">
        <x:f>J1804*'Assumptions'!$T$34</x:f>
        <x:v>30272.011527005438</x:v>
      </x:c>
      <x:c r="L1804" s="10" t="n">
        <x:f>K1804*'Assumptions'!$U$34</x:f>
        <x:v>908.1603458101631</x:v>
      </x:c>
      <x:c r="M1804" s="10" t="n">
        <x:f>K1804*'Assumptions'!$V$34</x:f>
        <x:v>0</x:v>
      </x:c>
      <x:c r="N1804" s="10" t="n">
        <x:f>K1804-L1804-M1804</x:f>
        <x:v>29363.851181195274</x:v>
      </x:c>
      <x:c r="O1804" s="10" t="n">
        <x:f>H1804*'Assumptions'!$P$34*'Assumptions'!$Q$34*'Assumptions'!$D$11*(1+'Assumptions'!$D$13)^(15-1)</x:f>
        <x:v>18739.318001059433</x:v>
      </x:c>
      <x:c r="P1804" s="10" t="n">
        <x:f>H1804*'Assumptions'!$R$34*'Assumptions'!$D$11*(1+'Assumptions'!$D$13)^(15-1)</x:f>
        <x:v>578.3740123783776</x:v>
      </x:c>
      <x:c r="Q1804" s="10" t="n">
        <x:f>J1804*'Assumptions'!$S$34</x:f>
        <x:v>0</x:v>
      </x:c>
      <x:c r="R1804" s="10" t="n">
        <x:f>H1804*'Assumptions'!$Y$34*'Assumptions'!$Z$34*'Assumptions'!$D$11*(1+'Assumptions'!$D$13)^(15-1)</x:f>
        <x:v>173.5122037135133</x:v>
      </x:c>
      <x:c r="S1804" s="10" t="n">
        <x:f>IF(I1804=0,0,J1804*'Assumptions'!$W$34+H1804*'Assumptions'!$X$34)</x:f>
        <x:v>882.476814579231</x:v>
      </x:c>
      <x:c r="T1804" s="10" t="n">
        <x:f>N1804*'Assumptions'!$AA$34</x:f>
        <x:v>1174.554047247811</x:v>
      </x:c>
      <x:c r="U1804" s="10" t="n">
        <x:f>'Assumptions'!$AE$34*'Assumptions'!$D$11*(1+'Assumptions'!$D$13)^(15-1)</x:f>
        <x:v>0</x:v>
      </x:c>
      <x:c r="V1804" s="10" t="n">
        <x:f>0</x:f>
        <x:v>0</x:v>
      </x:c>
      <x:c r="W1804" s="10" t="n">
        <x:f>H1804*('Assumptions'!$P$34+'Assumptions'!$Y$34)</x:f>
        <x:v>279.1325513444557</x:v>
      </x:c>
      <x:c r="X1804" s="10" t="n">
        <x:f>N1804/12*'Assumptions'!$AF$34</x:f>
        <x:v>2446.9875984329396</x:v>
      </x:c>
      <x:c r="Y1804" s="10" t="n">
        <x:f>P1804/12</x:f>
        <x:v>48.1978343648648</x:v>
      </x:c>
      <x:c r="Z1804" s="10" t="n">
        <x:f>0</x:f>
        <x:v>0</x:v>
      </x:c>
      <x:c r="AA1804" s="10" t="n">
        <x:f>Z1804*'Assumptions'!$AC$34*'Assumptions'!$D$11*(1+'Assumptions'!$D$13)^(15-1)</x:f>
        <x:v>0</x:v>
      </x:c>
      <x:c r="AB1804" s="10" t="n">
        <x:f>F1804/1</x:f>
        <x:v>7.870511883990922</x:v>
      </x:c>
      <x:c r="AC1804" s="10" t="n">
        <x:f>AB1804/'Assumptions'!$AM$34</x:f>
        <x:v>39.35255941995461</x:v>
      </x:c>
      <x:c r="AD1804" s="10" t="n">
        <x:f>IF(AB1804=0,0,T1804/AB1804)</x:f>
        <x:v>149.23477209111672</x:v>
      </x:c>
      <x:c r="AE1804" s="10" t="n">
        <x:f>AA1804*'Assumptions'!$D$21</x:f>
        <x:v>0</x:v>
      </x:c>
    </x:row>
    <x:row r="1805" ht="16" customHeight="1">
      <x:c r="A1805" s="1"/>
      <x:c r="B1805" s="1"/>
      <x:c r="C1805" s="1" t="str">
        <x:v>DOT-006</x:v>
      </x:c>
      <x:c r="D1805" s="10" t="str">
        <x:v>ETV services</x:v>
      </x:c>
      <x:c r="E1805" s="10" t="n">
        <x:v>15</x:v>
      </x:c>
      <x:c r="F1805" s="21" t="n">
        <x:f>F1677*(1+'Assumptions'!$M$35)</x:f>
        <x:v>11.805767825986381</x:v>
      </x:c>
      <x:c r="G1805" s="21" t="n">
        <x:f>H1677*'Assumptions'!$K$35</x:f>
        <x:v>11.136633654379839</x:v>
      </x:c>
      <x:c r="H1805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1805+G1805,NA())</x:f>
        <x:v>22.94240148036622</x:v>
      </x:c>
      <x:c r="I1805" s="22" t="n">
        <x:f>'Assumptions'!$H$35*IF('Assumptions'!$O$35=1,1,'Assumptions'!$D$10)*(1+'Assumptions'!$N$35)^(15-1)</x:f>
        <x:v>989.6090722971543</x:v>
      </x:c>
      <x:c r="J1805" s="10" t="n">
        <x:f>H1805*I1805</x:f>
        <x:v>22704.008645254075</x:v>
      </x:c>
      <x:c r="K1805" s="10" t="n">
        <x:f>J1805*'Assumptions'!$T$35</x:f>
        <x:v>22704.008645254075</x:v>
      </x:c>
      <x:c r="L1805" s="10" t="n">
        <x:f>K1805*'Assumptions'!$U$35</x:f>
        <x:v>681.1202593576222</x:v>
      </x:c>
      <x:c r="M1805" s="10" t="n">
        <x:f>K1805*'Assumptions'!$V$35</x:f>
        <x:v>0</x:v>
      </x:c>
      <x:c r="N1805" s="10" t="n">
        <x:f>K1805-L1805-M1805</x:f>
        <x:v>22022.88838589645</x:v>
      </x:c>
      <x:c r="O1805" s="10" t="n">
        <x:f>H1805*'Assumptions'!$P$35*'Assumptions'!$Q$35*'Assumptions'!$D$11*(1+'Assumptions'!$D$13)^(15-1)</x:f>
        <x:v>12492.878667372957</x:v>
      </x:c>
      <x:c r="P1805" s="10" t="n">
        <x:f>H1805*'Assumptions'!$R$35*'Assumptions'!$D$11*(1+'Assumptions'!$D$13)^(15-1)</x:f>
        <x:v>867.5610185675663</x:v>
      </x:c>
      <x:c r="Q1805" s="10" t="n">
        <x:f>J1805*'Assumptions'!$S$35</x:f>
        <x:v>0</x:v>
      </x:c>
      <x:c r="R1805" s="10" t="n">
        <x:f>H1805*'Assumptions'!$Y$35*'Assumptions'!$Z$35*'Assumptions'!$D$11*(1+'Assumptions'!$D$13)^(15-1)</x:f>
        <x:v>260.2683055702699</x:v>
      </x:c>
      <x:c r="S1805" s="10" t="n">
        <x:f>IF(I1805=0,0,J1805*'Assumptions'!$W$35+H1805*'Assumptions'!$X$35)</x:f>
        <x:v>665.298971156478</x:v>
      </x:c>
      <x:c r="T1805" s="10" t="n">
        <x:f>N1805*'Assumptions'!$AA$35</x:f>
        <x:v>880.915535435858</x:v>
      </x:c>
      <x:c r="U1805" s="10" t="n">
        <x:f>'Assumptions'!$AE$35*'Assumptions'!$D$11*(1+'Assumptions'!$D$13)^(15-1)</x:f>
        <x:v>0</x:v>
      </x:c>
      <x:c r="V1805" s="10" t="n">
        <x:f>0</x:f>
        <x:v>0</x:v>
      </x:c>
      <x:c r="W1805" s="10" t="n">
        <x:f>H1805*('Assumptions'!$P$35+'Assumptions'!$Y$35)</x:f>
        <x:v>189.27481221302133</x:v>
      </x:c>
      <x:c r="X1805" s="10" t="n">
        <x:f>N1805/12*'Assumptions'!$AF$35</x:f>
        <x:v>1835.2406988247042</x:v>
      </x:c>
      <x:c r="Y1805" s="10" t="n">
        <x:f>P1805/12</x:f>
        <x:v>72.29675154729719</x:v>
      </x:c>
      <x:c r="Z1805" s="10" t="n">
        <x:f>0</x:f>
        <x:v>0</x:v>
      </x:c>
      <x:c r="AA1805" s="10" t="n">
        <x:f>Z1805*'Assumptions'!$AC$35*'Assumptions'!$D$11*(1+'Assumptions'!$D$13)^(15-1)</x:f>
        <x:v>0</x:v>
      </x:c>
      <x:c r="AB1805" s="10" t="n">
        <x:f>F1805/1</x:f>
        <x:v>11.805767825986381</x:v>
      </x:c>
      <x:c r="AC1805" s="10" t="n">
        <x:f>AB1805/'Assumptions'!$AM$35</x:f>
        <x:v>59.0288391299319</x:v>
      </x:c>
      <x:c r="AD1805" s="10" t="n">
        <x:f>IF(AB1805=0,0,T1805/AB1805)</x:f>
        <x:v>74.61738604555836</x:v>
      </x:c>
      <x:c r="AE1805" s="10" t="n">
        <x:f>AA1805*'Assumptions'!$D$21</x:f>
        <x:v>0</x:v>
      </x:c>
    </x:row>
    <x:row r="1806" ht="16" customHeight="1">
      <x:c r="A1806" s="1"/>
      <x:c r="B1806" s="1"/>
      <x:c r="C1806" s="1" t="str">
        <x:v>DOT-007</x:v>
      </x:c>
      <x:c r="D1806" s="10" t="str">
        <x:v>BPA professional services</x:v>
      </x:c>
      <x:c r="E1806" s="10" t="n">
        <x:v>15</x:v>
      </x:c>
      <x:c r="F1806" s="21" t="n">
        <x:f>F1678*(1+'Assumptions'!$M$36)</x:f>
        <x:v>47.223071303945524</x:v>
      </x:c>
      <x:c r="G1806" s="21" t="n">
        <x:f>H1678*'Assumptions'!$K$36</x:f>
        <x:v>44.545802195644356</x:v>
      </x:c>
      <x:c r="H1806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1806+G1806,NA())</x:f>
        <x:v>91.76887349958989</x:v>
      </x:c>
      <x:c r="I1806" s="22" t="n">
        <x:f>'Assumptions'!$H$36*IF('Assumptions'!$O$36=1,1,'Assumptions'!$D$10)*(1+'Assumptions'!$N$36)^(15-1)</x:f>
        <x:v>250</x:v>
      </x:c>
      <x:c r="J1806" s="10" t="n">
        <x:f>H1806*I1806</x:f>
        <x:v>22942.21837489747</x:v>
      </x:c>
      <x:c r="K1806" s="10" t="n">
        <x:f>J1806*'Assumptions'!$T$36</x:f>
        <x:v>22942.21837489747</x:v>
      </x:c>
      <x:c r="L1806" s="10" t="n">
        <x:f>K1806*'Assumptions'!$U$36</x:f>
        <x:v>688.2665512469241</x:v>
      </x:c>
      <x:c r="M1806" s="10" t="n">
        <x:f>K1806*'Assumptions'!$V$36</x:f>
        <x:v>0</x:v>
      </x:c>
      <x:c r="N1806" s="10" t="n">
        <x:f>K1806-L1806-M1806</x:f>
        <x:v>22253.951823650546</x:v>
      </x:c>
      <x:c r="O1806" s="10" t="n">
        <x:f>H1806*'Assumptions'!$P$36*'Assumptions'!$Q$36*'Assumptions'!$D$11*(1+'Assumptions'!$D$13)^(15-1)</x:f>
        <x:v>6937.656582748072</x:v>
      </x:c>
      <x:c r="P1806" s="10" t="n">
        <x:f>H1806*'Assumptions'!$R$36*'Assumptions'!$D$11*(1+'Assumptions'!$D$13)^(15-1)</x:f>
        <x:v>1388.0865511700822</x:v>
      </x:c>
      <x:c r="Q1806" s="10" t="n">
        <x:f>J1806*'Assumptions'!$S$36</x:f>
        <x:v>0</x:v>
      </x:c>
      <x:c r="R1806" s="10" t="n">
        <x:f>H1806*'Assumptions'!$Y$36*'Assumptions'!$Z$36*'Assumptions'!$D$11*(1+'Assumptions'!$D$13)^(15-1)</x:f>
        <x:v>1041.0649133775617</x:v>
      </x:c>
      <x:c r="S1806" s="10" t="n">
        <x:f>IF(I1806=0,0,J1806*'Assumptions'!$W$36+H1806*'Assumptions'!$X$36)</x:f>
        <x:v>692.8549949219037</x:v>
      </x:c>
      <x:c r="T1806" s="10" t="n">
        <x:f>N1806*'Assumptions'!$AA$36</x:f>
        <x:v>890.1580729460219</x:v>
      </x:c>
      <x:c r="U1806" s="10" t="n">
        <x:f>'Assumptions'!$AE$36*'Assumptions'!$D$11*(1+'Assumptions'!$D$13)^(15-1)</x:f>
        <x:v>0</x:v>
      </x:c>
      <x:c r="V1806" s="10" t="n">
        <x:f>0</x:f>
        <x:v>0</x:v>
      </x:c>
      <x:c r="W1806" s="10" t="n">
        <x:f>H1806*('Assumptions'!$P$36+'Assumptions'!$Y$36)</x:f>
        <x:v>99.38569000005585</x:v>
      </x:c>
      <x:c r="X1806" s="10" t="n">
        <x:f>N1806/12*'Assumptions'!$AF$36</x:f>
        <x:v>1854.4959853042121</x:v>
      </x:c>
      <x:c r="Y1806" s="10" t="n">
        <x:f>P1806/12</x:f>
        <x:v>115.67387926417352</x:v>
      </x:c>
      <x:c r="Z1806" s="10" t="n">
        <x:f>0</x:f>
        <x:v>0</x:v>
      </x:c>
      <x:c r="AA1806" s="10" t="n">
        <x:f>Z1806*'Assumptions'!$AC$36*'Assumptions'!$D$11*(1+'Assumptions'!$D$13)^(15-1)</x:f>
        <x:v>0</x:v>
      </x:c>
      <x:c r="AB1806" s="10" t="n">
        <x:f>F1806/1</x:f>
        <x:v>47.223071303945524</x:v>
      </x:c>
      <x:c r="AC1806" s="10" t="n">
        <x:f>AB1806/'Assumptions'!$AM$36</x:f>
        <x:v>236.1153565197276</x:v>
      </x:c>
      <x:c r="AD1806" s="10" t="n">
        <x:f>IF(AB1806=0,0,T1806/AB1806)</x:f>
        <x:v>18.850067315965713</x:v>
      </x:c>
      <x:c r="AE1806" s="10" t="n">
        <x:f>AA1806*'Assumptions'!$D$21</x:f>
        <x:v>0</x:v>
      </x:c>
    </x:row>
    <x:row r="1807" ht="16" customHeight="1">
      <x:c r="A1807" s="1"/>
      <x:c r="B1807" s="1"/>
      <x:c r="C1807" s="1" t="str">
        <x:v>DOT-008</x:v>
      </x:c>
      <x:c r="D1807" s="10" t="str">
        <x:v>BPA professional services</x:v>
      </x:c>
      <x:c r="E1807" s="10" t="n">
        <x:v>15</x:v>
      </x:c>
      <x:c r="F1807" s="21" t="n">
        <x:f>F1679*(1+'Assumptions'!$M$37)</x:f>
        <x:v>17.70865173897956</x:v>
      </x:c>
      <x:c r="G1807" s="21" t="n">
        <x:f>H1679*'Assumptions'!$K$37</x:f>
        <x:v>16.704675823366628</x:v>
      </x:c>
      <x:c r="H1807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1807+G1807,NA())</x:f>
        <x:v>34.41332756234619</x:v>
      </x:c>
      <x:c r="I1807" s="22" t="n">
        <x:f>'Assumptions'!$H$37*IF('Assumptions'!$O$37=1,1,'Assumptions'!$D$10)*(1+'Assumptions'!$N$37)^(15-1)</x:f>
        <x:v>600</x:v>
      </x:c>
      <x:c r="J1807" s="10" t="n">
        <x:f>H1807*I1807</x:f>
        <x:v>20647.996537407715</x:v>
      </x:c>
      <x:c r="K1807" s="10" t="n">
        <x:f>J1807*'Assumptions'!$T$37</x:f>
        <x:v>20647.996537407715</x:v>
      </x:c>
      <x:c r="L1807" s="10" t="n">
        <x:f>K1807*'Assumptions'!$U$37</x:f>
        <x:v>619.4398961222314</x:v>
      </x:c>
      <x:c r="M1807" s="10" t="n">
        <x:f>K1807*'Assumptions'!$V$37</x:f>
        <x:v>0</x:v>
      </x:c>
      <x:c r="N1807" s="10" t="n">
        <x:f>K1807-L1807-M1807</x:f>
        <x:v>20028.556641285482</x:v>
      </x:c>
      <x:c r="O1807" s="10" t="n">
        <x:f>H1807*'Assumptions'!$P$37*'Assumptions'!$Q$37*'Assumptions'!$D$11*(1+'Assumptions'!$D$13)^(15-1)</x:f>
        <x:v>12492.778960530733</x:v>
      </x:c>
      <x:c r="P1807" s="10" t="n">
        <x:f>H1807*'Assumptions'!$R$37*'Assumptions'!$D$11*(1+'Assumptions'!$D$13)^(15-1)</x:f>
        <x:v>520.5324566887806</x:v>
      </x:c>
      <x:c r="Q1807" s="10" t="n">
        <x:f>J1807*'Assumptions'!$S$37</x:f>
        <x:v>0</x:v>
      </x:c>
      <x:c r="R1807" s="10" t="n">
        <x:f>H1807*'Assumptions'!$Y$37*'Assumptions'!$Z$37*'Assumptions'!$D$11*(1+'Assumptions'!$D$13)^(15-1)</x:f>
        <x:v>390.3993425165854</x:v>
      </x:c>
      <x:c r="S1807" s="10" t="n">
        <x:f>IF(I1807=0,0,J1807*'Assumptions'!$W$37+H1807*'Assumptions'!$X$37)</x:f>
        <x:v>609.1158978535276</x:v>
      </x:c>
      <x:c r="T1807" s="10" t="n">
        <x:f>N1807*'Assumptions'!$AA$37</x:f>
        <x:v>801.1422656514193</x:v>
      </x:c>
      <x:c r="U1807" s="10" t="n">
        <x:f>'Assumptions'!$AE$37*'Assumptions'!$D$11*(1+'Assumptions'!$D$13)^(15-1)</x:f>
        <x:v>0</x:v>
      </x:c>
      <x:c r="V1807" s="10" t="n">
        <x:f>0</x:f>
        <x:v>0</x:v>
      </x:c>
      <x:c r="W1807" s="10" t="n">
        <x:f>H1807*('Assumptions'!$P$37+'Assumptions'!$Y$37)</x:f>
        <x:v>146.25664213997132</x:v>
      </x:c>
      <x:c r="X1807" s="10" t="n">
        <x:f>N1807/12*'Assumptions'!$AF$37</x:f>
        <x:v>1669.0463867737901</x:v>
      </x:c>
      <x:c r="Y1807" s="10" t="n">
        <x:f>P1807/12</x:f>
        <x:v>43.37770472406505</x:v>
      </x:c>
      <x:c r="Z1807" s="10" t="n">
        <x:f>0</x:f>
        <x:v>0</x:v>
      </x:c>
      <x:c r="AA1807" s="10" t="n">
        <x:f>Z1807*'Assumptions'!$AC$37*'Assumptions'!$D$11*(1+'Assumptions'!$D$13)^(15-1)</x:f>
        <x:v>0</x:v>
      </x:c>
      <x:c r="AB1807" s="10" t="n">
        <x:f>F1807/1</x:f>
        <x:v>17.70865173897956</x:v>
      </x:c>
      <x:c r="AC1807" s="10" t="n">
        <x:f>AB1807/'Assumptions'!$AM$37</x:f>
        <x:v>88.5432586948978</x:v>
      </x:c>
      <x:c r="AD1807" s="10" t="n">
        <x:f>IF(AB1807=0,0,T1807/AB1807)</x:f>
        <x:v>45.240161558317716</x:v>
      </x:c>
      <x:c r="AE1807" s="10" t="n">
        <x:f>AA1807*'Assumptions'!$D$21</x:f>
        <x:v>0</x:v>
      </x:c>
    </x:row>
    <x:row r="1808" ht="16" customHeight="1">
      <x:c r="A1808" s="1"/>
      <x:c r="B1808" s="1"/>
      <x:c r="C1808" s="1" t="str">
        <x:v>DOT-009</x:v>
      </x:c>
      <x:c r="D1808" s="10" t="str">
        <x:v>BPA professional services</x:v>
      </x:c>
      <x:c r="E1808" s="10" t="n">
        <x:v>15</x:v>
      </x:c>
      <x:c r="F1808" s="21" t="n">
        <x:f>F1680*(1+'Assumptions'!$M$38)</x:f>
        <x:v>11.805767825986381</x:v>
      </x:c>
      <x:c r="G1808" s="21" t="n">
        <x:f>H1680*'Assumptions'!$K$38</x:f>
        <x:v>11.136450548911089</x:v>
      </x:c>
      <x:c r="H1808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1808+G1808,NA())</x:f>
        <x:v>22.94221837489747</x:v>
      </x:c>
      <x:c r="I1808" s="22" t="n">
        <x:f>'Assumptions'!$H$38*IF('Assumptions'!$O$38=1,1,'Assumptions'!$D$10)*(1+'Assumptions'!$N$38)^(15-1)</x:f>
        <x:v>900</x:v>
      </x:c>
      <x:c r="J1808" s="10" t="n">
        <x:f>H1808*I1808</x:f>
        <x:v>20647.996537407726</x:v>
      </x:c>
      <x:c r="K1808" s="10" t="n">
        <x:f>J1808*'Assumptions'!$T$38</x:f>
        <x:v>20647.996537407726</x:v>
      </x:c>
      <x:c r="L1808" s="10" t="n">
        <x:f>K1808*'Assumptions'!$U$38</x:f>
        <x:v>619.4398961222317</x:v>
      </x:c>
      <x:c r="M1808" s="10" t="n">
        <x:f>K1808*'Assumptions'!$V$38</x:f>
        <x:v>0</x:v>
      </x:c>
      <x:c r="N1808" s="10" t="n">
        <x:f>K1808-L1808-M1808</x:f>
        <x:v>20028.556641285493</x:v>
      </x:c>
      <x:c r="O1808" s="10" t="n">
        <x:f>H1808*'Assumptions'!$P$38*'Assumptions'!$Q$38*'Assumptions'!$D$11*(1+'Assumptions'!$D$13)^(15-1)</x:f>
        <x:v>12492.778960530743</x:v>
      </x:c>
      <x:c r="P1808" s="10" t="n">
        <x:f>H1808*'Assumptions'!$R$38*'Assumptions'!$D$11*(1+'Assumptions'!$D$13)^(15-1)</x:f>
        <x:v>347.02163779252055</x:v>
      </x:c>
      <x:c r="Q1808" s="10" t="n">
        <x:f>J1808*'Assumptions'!$S$38</x:f>
        <x:v>0</x:v>
      </x:c>
      <x:c r="R1808" s="10" t="n">
        <x:f>H1808*'Assumptions'!$Y$38*'Assumptions'!$Z$38*'Assumptions'!$D$11*(1+'Assumptions'!$D$13)^(15-1)</x:f>
        <x:v>260.2662283443904</x:v>
      </x:c>
      <x:c r="S1808" s="10" t="n">
        <x:f>IF(I1808=0,0,J1808*'Assumptions'!$W$38+H1808*'Assumptions'!$X$38)</x:f>
        <x:v>605.6745650972932</x:v>
      </x:c>
      <x:c r="T1808" s="10" t="n">
        <x:f>N1808*'Assumptions'!$AA$38</x:f>
        <x:v>801.1422656514197</x:v>
      </x:c>
      <x:c r="U1808" s="10" t="n">
        <x:f>'Assumptions'!$AE$38*'Assumptions'!$D$11*(1+'Assumptions'!$D$13)^(15-1)</x:f>
        <x:v>0</x:v>
      </x:c>
      <x:c r="V1808" s="10" t="n">
        <x:f>0</x:f>
        <x:v>0</x:v>
      </x:c>
      <x:c r="W1808" s="10" t="n">
        <x:f>H1808*('Assumptions'!$P$38+'Assumptions'!$Y$38)</x:f>
        <x:v>143.3888648431092</x:v>
      </x:c>
      <x:c r="X1808" s="10" t="n">
        <x:f>N1808/12*'Assumptions'!$AF$38</x:f>
        <x:v>1669.046386773791</x:v>
      </x:c>
      <x:c r="Y1808" s="10" t="n">
        <x:f>P1808/12</x:f>
        <x:v>28.91846981604338</x:v>
      </x:c>
      <x:c r="Z1808" s="10" t="n">
        <x:f>0</x:f>
        <x:v>0</x:v>
      </x:c>
      <x:c r="AA1808" s="10" t="n">
        <x:f>Z1808*'Assumptions'!$AC$38*'Assumptions'!$D$11*(1+'Assumptions'!$D$13)^(15-1)</x:f>
        <x:v>0</x:v>
      </x:c>
      <x:c r="AB1808" s="10" t="n">
        <x:f>F1808/1</x:f>
        <x:v>11.805767825986381</x:v>
      </x:c>
      <x:c r="AC1808" s="10" t="n">
        <x:f>AB1808/'Assumptions'!$AM$38</x:f>
        <x:v>59.0288391299319</x:v>
      </x:c>
      <x:c r="AD1808" s="10" t="n">
        <x:f>IF(AB1808=0,0,T1808/AB1808)</x:f>
        <x:v>67.86024233747656</x:v>
      </x:c>
      <x:c r="AE1808" s="10" t="n">
        <x:f>AA1808*'Assumptions'!$D$21</x:f>
        <x:v>0</x:v>
      </x:c>
    </x:row>
    <x:row r="1809" ht="16" customHeight="1">
      <x:c r="A1809" s="1"/>
      <x:c r="B1809" s="1"/>
      <x:c r="C1809" s="1" t="str">
        <x:v>DOT-010</x:v>
      </x:c>
      <x:c r="D1809" s="10" t="str">
        <x:v>BPA professional services</x:v>
      </x:c>
      <x:c r="E1809" s="10" t="n">
        <x:v>15</x:v>
      </x:c>
      <x:c r="F1809" s="21" t="n">
        <x:f>F1681*(1+'Assumptions'!$M$39)</x:f>
        <x:v>11.805767825986381</x:v>
      </x:c>
      <x:c r="G1809" s="21" t="n">
        <x:f>H1681*'Assumptions'!$K$39</x:f>
        <x:v>11.136450548911089</x:v>
      </x:c>
      <x:c r="H1809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1809+G1809,NA())</x:f>
        <x:v>22.94221837489747</x:v>
      </x:c>
      <x:c r="I1809" s="22" t="n">
        <x:f>'Assumptions'!$H$39*IF('Assumptions'!$O$39=1,1,'Assumptions'!$D$10)*(1+'Assumptions'!$N$39)^(15-1)</x:f>
        <x:v>1800</x:v>
      </x:c>
      <x:c r="J1809" s="10" t="n">
        <x:f>H1809*I1809</x:f>
        <x:v>41295.99307481545</x:v>
      </x:c>
      <x:c r="K1809" s="10" t="n">
        <x:f>J1809*'Assumptions'!$T$39</x:f>
        <x:v>41295.99307481545</x:v>
      </x:c>
      <x:c r="L1809" s="10" t="n">
        <x:f>K1809*'Assumptions'!$U$39</x:f>
        <x:v>1238.8797922444635</x:v>
      </x:c>
      <x:c r="M1809" s="10" t="n">
        <x:f>K1809*'Assumptions'!$V$39</x:f>
        <x:v>0</x:v>
      </x:c>
      <x:c r="N1809" s="10" t="n">
        <x:f>K1809-L1809-M1809</x:f>
        <x:v>40057.11328257099</x:v>
      </x:c>
      <x:c r="O1809" s="10" t="n">
        <x:f>H1809*'Assumptions'!$P$39*'Assumptions'!$Q$39*'Assumptions'!$D$11*(1+'Assumptions'!$D$13)^(15-1)</x:f>
        <x:v>24985.557921061485</x:v>
      </x:c>
      <x:c r="P1809" s="10" t="n">
        <x:f>H1809*'Assumptions'!$R$39*'Assumptions'!$D$11*(1+'Assumptions'!$D$13)^(15-1)</x:f>
        <x:v>347.02163779252055</x:v>
      </x:c>
      <x:c r="Q1809" s="10" t="n">
        <x:f>J1809*'Assumptions'!$S$39</x:f>
        <x:v>0</x:v>
      </x:c>
      <x:c r="R1809" s="10" t="n">
        <x:f>H1809*'Assumptions'!$Y$39*'Assumptions'!$Z$39*'Assumptions'!$D$11*(1+'Assumptions'!$D$13)^(15-1)</x:f>
        <x:v>260.2662283443904</x:v>
      </x:c>
      <x:c r="S1809" s="10" t="n">
        <x:f>IF(I1809=0,0,J1809*'Assumptions'!$W$39+H1809*'Assumptions'!$X$39)</x:f>
        <x:v>1204.4664646821172</x:v>
      </x:c>
      <x:c r="T1809" s="10" t="n">
        <x:f>N1809*'Assumptions'!$AA$39</x:f>
        <x:v>1602.2845313028395</x:v>
      </x:c>
      <x:c r="U1809" s="10" t="n">
        <x:f>'Assumptions'!$AE$39*'Assumptions'!$D$11*(1+'Assumptions'!$D$13)^(15-1)</x:f>
        <x:v>0</x:v>
      </x:c>
      <x:c r="V1809" s="10" t="n">
        <x:f>0</x:f>
        <x:v>0</x:v>
      </x:c>
      <x:c r="W1809" s="10" t="n">
        <x:f>H1809*('Assumptions'!$P$39+'Assumptions'!$Y$39)</x:f>
        <x:v>281.042175092494</x:v>
      </x:c>
      <x:c r="X1809" s="10" t="n">
        <x:f>N1809/12*'Assumptions'!$AF$39</x:f>
        <x:v>3338.092773547582</x:v>
      </x:c>
      <x:c r="Y1809" s="10" t="n">
        <x:f>P1809/12</x:f>
        <x:v>28.91846981604338</x:v>
      </x:c>
      <x:c r="Z1809" s="10" t="n">
        <x:f>0</x:f>
        <x:v>0</x:v>
      </x:c>
      <x:c r="AA1809" s="10" t="n">
        <x:f>Z1809*'Assumptions'!$AC$39*'Assumptions'!$D$11*(1+'Assumptions'!$D$13)^(15-1)</x:f>
        <x:v>0</x:v>
      </x:c>
      <x:c r="AB1809" s="10" t="n">
        <x:f>F1809/1</x:f>
        <x:v>11.805767825986381</x:v>
      </x:c>
      <x:c r="AC1809" s="10" t="n">
        <x:f>AB1809/'Assumptions'!$AM$39</x:f>
        <x:v>59.0288391299319</x:v>
      </x:c>
      <x:c r="AD1809" s="10" t="n">
        <x:f>IF(AB1809=0,0,T1809/AB1809)</x:f>
        <x:v>135.72048467495313</x:v>
      </x:c>
      <x:c r="AE1809" s="10" t="n">
        <x:f>AA1809*'Assumptions'!$D$21</x:f>
        <x:v>0</x:v>
      </x:c>
    </x:row>
    <x:row r="1810" ht="16" customHeight="1">
      <x:c r="A1810" s="1"/>
      <x:c r="B1810" s="1"/>
      <x:c r="C1810" s="1" t="str">
        <x:v>DOT-011</x:v>
      </x:c>
      <x:c r="D1810" s="10" t="str">
        <x:v>BPA professional services</x:v>
      </x:c>
      <x:c r="E1810" s="10" t="n">
        <x:v>15</x:v>
      </x:c>
      <x:c r="F1810" s="21" t="n">
        <x:f>F1682*(1+'Assumptions'!$M$40)</x:f>
        <x:v>35.41730347795912</x:v>
      </x:c>
      <x:c r="G1810" s="21" t="n">
        <x:f>H1682*'Assumptions'!$K$40</x:f>
        <x:v>33.409351646733256</x:v>
      </x:c>
      <x:c r="H1810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1810+G1810,NA())</x:f>
        <x:v>68.82665512469238</x:v>
      </x:c>
      <x:c r="I1810" s="22" t="n">
        <x:f>'Assumptions'!$H$40*IF('Assumptions'!$O$40=1,1,'Assumptions'!$D$10)*(1+'Assumptions'!$N$40)^(15-1)</x:f>
        <x:v>600</x:v>
      </x:c>
      <x:c r="J1810" s="10" t="n">
        <x:f>H1810*I1810</x:f>
        <x:v>41295.99307481543</x:v>
      </x:c>
      <x:c r="K1810" s="10" t="n">
        <x:f>J1810*'Assumptions'!$T$40</x:f>
        <x:v>41295.99307481543</x:v>
      </x:c>
      <x:c r="L1810" s="10" t="n">
        <x:f>K1810*'Assumptions'!$U$40</x:f>
        <x:v>1238.8797922444628</x:v>
      </x:c>
      <x:c r="M1810" s="10" t="n">
        <x:f>K1810*'Assumptions'!$V$40</x:f>
        <x:v>0</x:v>
      </x:c>
      <x:c r="N1810" s="10" t="n">
        <x:f>K1810-L1810-M1810</x:f>
        <x:v>40057.113282570965</x:v>
      </x:c>
      <x:c r="O1810" s="10" t="n">
        <x:f>H1810*'Assumptions'!$P$40*'Assumptions'!$Q$40*'Assumptions'!$D$11*(1+'Assumptions'!$D$13)^(15-1)</x:f>
        <x:v>24985.557921061467</x:v>
      </x:c>
      <x:c r="P1810" s="10" t="n">
        <x:f>H1810*'Assumptions'!$R$40*'Assumptions'!$D$11*(1+'Assumptions'!$D$13)^(15-1)</x:f>
        <x:v>1041.0649133775612</x:v>
      </x:c>
      <x:c r="Q1810" s="10" t="n">
        <x:f>J1810*'Assumptions'!$S$40</x:f>
        <x:v>0</x:v>
      </x:c>
      <x:c r="R1810" s="10" t="n">
        <x:f>H1810*'Assumptions'!$Y$40*'Assumptions'!$Z$40*'Assumptions'!$D$11*(1+'Assumptions'!$D$13)^(15-1)</x:f>
        <x:v>780.7986850331708</x:v>
      </x:c>
      <x:c r="S1810" s="10" t="n">
        <x:f>IF(I1810=0,0,J1810*'Assumptions'!$W$40+H1810*'Assumptions'!$X$40)</x:f>
        <x:v>1218.2317957070552</x:v>
      </x:c>
      <x:c r="T1810" s="10" t="n">
        <x:f>N1810*'Assumptions'!$AA$40</x:f>
        <x:v>1602.2845313028386</x:v>
      </x:c>
      <x:c r="U1810" s="10" t="n">
        <x:f>'Assumptions'!$AE$40*'Assumptions'!$D$11*(1+'Assumptions'!$D$13)^(15-1)</x:f>
        <x:v>0</x:v>
      </x:c>
      <x:c r="V1810" s="10" t="n">
        <x:f>0</x:f>
        <x:v>0</x:v>
      </x:c>
      <x:c r="W1810" s="10" t="n">
        <x:f>H1810*('Assumptions'!$P$40+'Assumptions'!$Y$40)</x:f>
        <x:v>292.51328427994264</x:v>
      </x:c>
      <x:c r="X1810" s="10" t="n">
        <x:f>N1810/12*'Assumptions'!$AF$40</x:f>
        <x:v>3338.0927735475802</x:v>
      </x:c>
      <x:c r="Y1810" s="10" t="n">
        <x:f>P1810/12</x:f>
        <x:v>86.7554094481301</x:v>
      </x:c>
      <x:c r="Z1810" s="10" t="n">
        <x:f>0</x:f>
        <x:v>0</x:v>
      </x:c>
      <x:c r="AA1810" s="10" t="n">
        <x:f>Z1810*'Assumptions'!$AC$40*'Assumptions'!$D$11*(1+'Assumptions'!$D$13)^(15-1)</x:f>
        <x:v>0</x:v>
      </x:c>
      <x:c r="AB1810" s="10" t="n">
        <x:f>F1810/12</x:f>
        <x:v>2.9514419564965935</x:v>
      </x:c>
      <x:c r="AC1810" s="10" t="n">
        <x:f>AB1810/'Assumptions'!$AM$40</x:f>
        <x:v>14.757209782482967</x:v>
      </x:c>
      <x:c r="AD1810" s="10" t="n">
        <x:f>IF(AB1810=0,0,T1810/AB1810)</x:f>
        <x:v>542.8819386998126</x:v>
      </x:c>
      <x:c r="AE1810" s="10" t="n">
        <x:f>AA1810*'Assumptions'!$D$21</x:f>
        <x:v>0</x:v>
      </x:c>
    </x:row>
    <x:row r="1811" ht="16" customHeight="1">
      <x:c r="A1811" s="1"/>
      <x:c r="B1811" s="1"/>
      <x:c r="C1811" s="1" t="str">
        <x:v>DOT-012</x:v>
      </x:c>
      <x:c r="D1811" s="10" t="str">
        <x:v>BPA professional services</x:v>
      </x:c>
      <x:c r="E1811" s="10" t="n">
        <x:v>15</x:v>
      </x:c>
      <x:c r="F1811" s="21" t="n">
        <x:f>F1683*(1+'Assumptions'!$M$41)</x:f>
        <x:v>23.611535651972762</x:v>
      </x:c>
      <x:c r="G1811" s="21" t="n">
        <x:f>H1683*'Assumptions'!$K$41</x:f>
        <x:v>22.272901097822178</x:v>
      </x:c>
      <x:c r="H1811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1811+G1811,NA())</x:f>
        <x:v>45.88443674979494</x:v>
      </x:c>
      <x:c r="I1811" s="22" t="n">
        <x:f>'Assumptions'!$H$41*IF('Assumptions'!$O$41=1,1,'Assumptions'!$D$10)*(1+'Assumptions'!$N$41)^(15-1)</x:f>
        <x:v>1080</x:v>
      </x:c>
      <x:c r="J1811" s="10" t="n">
        <x:f>H1811*I1811</x:f>
        <x:v>49555.19168977854</x:v>
      </x:c>
      <x:c r="K1811" s="10" t="n">
        <x:f>J1811*'Assumptions'!$T$41</x:f>
        <x:v>49555.19168977854</x:v>
      </x:c>
      <x:c r="L1811" s="10" t="n">
        <x:f>K1811*'Assumptions'!$U$41</x:f>
        <x:v>1486.6557506933561</x:v>
      </x:c>
      <x:c r="M1811" s="10" t="n">
        <x:f>K1811*'Assumptions'!$V$41</x:f>
        <x:v>0</x:v>
      </x:c>
      <x:c r="N1811" s="10" t="n">
        <x:f>K1811-L1811-M1811</x:f>
        <x:v>48068.53593908519</x:v>
      </x:c>
      <x:c r="O1811" s="10" t="n">
        <x:f>H1811*'Assumptions'!$P$41*'Assumptions'!$Q$41*'Assumptions'!$D$11*(1+'Assumptions'!$D$13)^(15-1)</x:f>
        <x:v>33314.07722808197</x:v>
      </x:c>
      <x:c r="P1811" s="10" t="n">
        <x:f>H1811*'Assumptions'!$R$41*'Assumptions'!$D$11*(1+'Assumptions'!$D$13)^(15-1)</x:f>
        <x:v>694.0432755850411</x:v>
      </x:c>
      <x:c r="Q1811" s="10" t="n">
        <x:f>J1811*'Assumptions'!$S$41</x:f>
        <x:v>0</x:v>
      </x:c>
      <x:c r="R1811" s="10" t="n">
        <x:f>H1811*'Assumptions'!$Y$41*'Assumptions'!$Z$41*'Assumptions'!$D$11*(1+'Assumptions'!$D$13)^(15-1)</x:f>
        <x:v>520.5324566887808</x:v>
      </x:c>
      <x:c r="S1811" s="10" t="n">
        <x:f>IF(I1811=0,0,J1811*'Assumptions'!$W$41+H1811*'Assumptions'!$X$41)</x:f>
        <x:v>1450.865890028516</x:v>
      </x:c>
      <x:c r="T1811" s="10" t="n">
        <x:f>N1811*'Assumptions'!$AA$41</x:f>
        <x:v>1922.7414375634075</x:v>
      </x:c>
      <x:c r="U1811" s="10" t="n">
        <x:f>'Assumptions'!$AE$41*'Assumptions'!$D$11*(1+'Assumptions'!$D$13)^(15-1)</x:f>
        <x:v>0</x:v>
      </x:c>
      <x:c r="V1811" s="10" t="n">
        <x:f>0</x:f>
        <x:v>0</x:v>
      </x:c>
      <x:c r="W1811" s="10" t="n">
        <x:f>H1811*('Assumptions'!$P$41+'Assumptions'!$Y$41)</x:f>
        <x:v>378.5466031858083</x:v>
      </x:c>
      <x:c r="X1811" s="10" t="n">
        <x:f>N1811/12*'Assumptions'!$AF$41</x:f>
        <x:v>4005.711328257099</x:v>
      </x:c>
      <x:c r="Y1811" s="10" t="n">
        <x:f>P1811/12</x:f>
        <x:v>57.83693963208676</x:v>
      </x:c>
      <x:c r="Z1811" s="10" t="n">
        <x:f>0</x:f>
        <x:v>0</x:v>
      </x:c>
      <x:c r="AA1811" s="10" t="n">
        <x:f>Z1811*'Assumptions'!$AC$41*'Assumptions'!$D$11*(1+'Assumptions'!$D$13)^(15-1)</x:f>
        <x:v>0</x:v>
      </x:c>
      <x:c r="AB1811" s="10" t="n">
        <x:f>F1811/12</x:f>
        <x:v>1.9676279709977302</x:v>
      </x:c>
      <x:c r="AC1811" s="10" t="n">
        <x:f>AB1811/'Assumptions'!$AM$41</x:f>
        <x:v>9.83813985498865</x:v>
      </x:c>
      <x:c r="AD1811" s="10" t="n">
        <x:f>IF(AB1811=0,0,T1811/AB1811)</x:f>
        <x:v>977.1874896596627</x:v>
      </x:c>
      <x:c r="AE1811" s="10" t="n">
        <x:f>AA1811*'Assumptions'!$D$21</x:f>
        <x:v>0</x:v>
      </x:c>
    </x:row>
    <x:row r="1812" ht="16" customHeight="1">
      <x:c r="A1812" s="1"/>
      <x:c r="B1812" s="1"/>
      <x:c r="C1812" s="1" t="str">
        <x:v>DOT-013</x:v>
      </x:c>
      <x:c r="D1812" s="10" t="str">
        <x:v>BPA professional services</x:v>
      </x:c>
      <x:c r="E1812" s="10" t="n">
        <x:v>15</x:v>
      </x:c>
      <x:c r="F1812" s="21" t="n">
        <x:f>F1684*(1+'Assumptions'!$M$42)</x:f>
        <x:v>17.70865173897956</x:v>
      </x:c>
      <x:c r="G1812" s="21" t="n">
        <x:f>H1684*'Assumptions'!$K$42</x:f>
        <x:v>16.704675823366628</x:v>
      </x:c>
      <x:c r="H1812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1812+G1812,NA())</x:f>
        <x:v>34.41332756234619</x:v>
      </x:c>
      <x:c r="I1812" s="22" t="n">
        <x:f>'Assumptions'!$H$42*IF('Assumptions'!$O$42=1,1,'Assumptions'!$D$10)*(1+'Assumptions'!$N$42)^(15-1)</x:f>
        <x:v>2160</x:v>
      </x:c>
      <x:c r="J1812" s="10" t="n">
        <x:f>H1812*I1812</x:f>
        <x:v>74332.78753466778</x:v>
      </x:c>
      <x:c r="K1812" s="10" t="n">
        <x:f>J1812*'Assumptions'!$T$42</x:f>
        <x:v>74332.78753466778</x:v>
      </x:c>
      <x:c r="L1812" s="10" t="n">
        <x:f>K1812*'Assumptions'!$U$42</x:f>
        <x:v>2229.983626040033</x:v>
      </x:c>
      <x:c r="M1812" s="10" t="n">
        <x:f>K1812*'Assumptions'!$V$42</x:f>
        <x:v>0</x:v>
      </x:c>
      <x:c r="N1812" s="10" t="n">
        <x:f>K1812-L1812-M1812</x:f>
        <x:v>72102.80390862774</x:v>
      </x:c>
      <x:c r="O1812" s="10" t="n">
        <x:f>H1812*'Assumptions'!$P$42*'Assumptions'!$Q$42*'Assumptions'!$D$11*(1+'Assumptions'!$D$13)^(15-1)</x:f>
        <x:v>49971.115842122934</x:v>
      </x:c>
      <x:c r="P1812" s="10" t="n">
        <x:f>H1812*'Assumptions'!$R$42*'Assumptions'!$D$11*(1+'Assumptions'!$D$13)^(15-1)</x:f>
        <x:v>520.5324566887806</x:v>
      </x:c>
      <x:c r="Q1812" s="10" t="n">
        <x:f>J1812*'Assumptions'!$S$42</x:f>
        <x:v>0</x:v>
      </x:c>
      <x:c r="R1812" s="10" t="n">
        <x:f>H1812*'Assumptions'!$Y$42*'Assumptions'!$Z$42*'Assumptions'!$D$11*(1+'Assumptions'!$D$13)^(15-1)</x:f>
        <x:v>390.3993425165854</x:v>
      </x:c>
      <x:c r="S1812" s="10" t="n">
        <x:f>IF(I1812=0,0,J1812*'Assumptions'!$W$42+H1812*'Assumptions'!$X$42)</x:f>
        <x:v>2165.9748367740694</x:v>
      </x:c>
      <x:c r="T1812" s="10" t="n">
        <x:f>N1812*'Assumptions'!$AA$42</x:f>
        <x:v>2884.1121563451097</x:v>
      </x:c>
      <x:c r="U1812" s="10" t="n">
        <x:f>'Assumptions'!$AE$42*'Assumptions'!$D$11*(1+'Assumptions'!$D$13)^(15-1)</x:f>
        <x:v>0</x:v>
      </x:c>
      <x:c r="V1812" s="10" t="n">
        <x:f>0</x:f>
        <x:v>0</x:v>
      </x:c>
      <x:c r="W1812" s="10" t="n">
        <x:f>H1812*('Assumptions'!$P$42+'Assumptions'!$Y$42)</x:f>
        <x:v>559.2165728881256</x:v>
      </x:c>
      <x:c r="X1812" s="10" t="n">
        <x:f>N1812/12*'Assumptions'!$AF$42</x:f>
        <x:v>6008.566992385645</x:v>
      </x:c>
      <x:c r="Y1812" s="10" t="n">
        <x:f>P1812/12</x:f>
        <x:v>43.37770472406505</x:v>
      </x:c>
      <x:c r="Z1812" s="10" t="n">
        <x:f>0</x:f>
        <x:v>0</x:v>
      </x:c>
      <x:c r="AA1812" s="10" t="n">
        <x:f>Z1812*'Assumptions'!$AC$42*'Assumptions'!$D$11*(1+'Assumptions'!$D$13)^(15-1)</x:f>
        <x:v>0</x:v>
      </x:c>
      <x:c r="AB1812" s="10" t="n">
        <x:f>F1812/12</x:f>
        <x:v>1.4757209782482967</x:v>
      </x:c>
      <x:c r="AC1812" s="10" t="n">
        <x:f>AB1812/'Assumptions'!$AM$42</x:f>
        <x:v>7.378604891241483</x:v>
      </x:c>
      <x:c r="AD1812" s="10" t="n">
        <x:f>IF(AB1812=0,0,T1812/AB1812)</x:f>
        <x:v>1954.3749793193256</x:v>
      </x:c>
      <x:c r="AE1812" s="10" t="n">
        <x:f>AA1812*'Assumptions'!$D$21</x:f>
        <x:v>0</x:v>
      </x:c>
    </x:row>
    <x:row r="1813" ht="16" customHeight="1">
      <x:c r="A1813" s="1"/>
      <x:c r="B1813" s="1"/>
      <x:c r="C1813" s="1" t="str">
        <x:v>DOT-014</x:v>
      </x:c>
      <x:c r="D1813" s="10" t="str">
        <x:v>BPA professional services</x:v>
      </x:c>
      <x:c r="E1813" s="10" t="n">
        <x:v>15</x:v>
      </x:c>
      <x:c r="F1813" s="21" t="n">
        <x:f>F1685*(1+'Assumptions'!$M$43)</x:f>
        <x:v>11.805767825986381</x:v>
      </x:c>
      <x:c r="G1813" s="21" t="n">
        <x:f>H1685*'Assumptions'!$K$43</x:f>
        <x:v>11.136450548911089</x:v>
      </x:c>
      <x:c r="H1813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1813+G1813,NA())</x:f>
        <x:v>22.94221837489747</x:v>
      </x:c>
      <x:c r="I1813" s="22" t="n">
        <x:f>'Assumptions'!$H$43*IF('Assumptions'!$O$43=1,1,'Assumptions'!$D$10)*(1+'Assumptions'!$N$43)^(15-1)</x:f>
        <x:v>3000</x:v>
      </x:c>
      <x:c r="J1813" s="10" t="n">
        <x:f>H1813*I1813</x:f>
        <x:v>68826.65512469242</x:v>
      </x:c>
      <x:c r="K1813" s="10" t="n">
        <x:f>J1813*'Assumptions'!$T$43</x:f>
        <x:v>68826.65512469242</x:v>
      </x:c>
      <x:c r="L1813" s="10" t="n">
        <x:f>K1813*'Assumptions'!$U$43</x:f>
        <x:v>2064.7996537407726</x:v>
      </x:c>
      <x:c r="M1813" s="10" t="n">
        <x:f>K1813*'Assumptions'!$V$43</x:f>
        <x:v>0</x:v>
      </x:c>
      <x:c r="N1813" s="10" t="n">
        <x:f>K1813-L1813-M1813</x:f>
        <x:v>66761.85547095165</x:v>
      </x:c>
      <x:c r="O1813" s="10" t="n">
        <x:f>H1813*'Assumptions'!$P$43*'Assumptions'!$Q$43*'Assumptions'!$D$11*(1+'Assumptions'!$D$13)^(15-1)</x:f>
        <x:v>41642.596535102464</x:v>
      </x:c>
      <x:c r="P1813" s="10" t="n">
        <x:f>H1813*'Assumptions'!$R$43*'Assumptions'!$D$11*(1+'Assumptions'!$D$13)^(15-1)</x:f>
        <x:v>347.02163779252055</x:v>
      </x:c>
      <x:c r="Q1813" s="10" t="n">
        <x:f>J1813*'Assumptions'!$S$43</x:f>
        <x:v>0</x:v>
      </x:c>
      <x:c r="R1813" s="10" t="n">
        <x:f>H1813*'Assumptions'!$Y$43*'Assumptions'!$Z$43*'Assumptions'!$D$11*(1+'Assumptions'!$D$13)^(15-1)</x:f>
        <x:v>260.2662283443904</x:v>
      </x:c>
      <x:c r="S1813" s="10" t="n">
        <x:f>IF(I1813=0,0,J1813*'Assumptions'!$W$43+H1813*'Assumptions'!$X$43)</x:f>
        <x:v>2002.8556641285495</x:v>
      </x:c>
      <x:c r="T1813" s="10" t="n">
        <x:f>N1813*'Assumptions'!$AA$43</x:f>
        <x:v>2670.474218838066</x:v>
      </x:c>
      <x:c r="U1813" s="10" t="n">
        <x:f>'Assumptions'!$AE$43*'Assumptions'!$D$11*(1+'Assumptions'!$D$13)^(15-1)</x:f>
        <x:v>0</x:v>
      </x:c>
      <x:c r="V1813" s="10" t="n">
        <x:f>0</x:f>
        <x:v>0</x:v>
      </x:c>
      <x:c r="W1813" s="10" t="n">
        <x:f>H1813*('Assumptions'!$P$43+'Assumptions'!$Y$43)</x:f>
        <x:v>464.5799220916738</x:v>
      </x:c>
      <x:c r="X1813" s="10" t="n">
        <x:f>N1813/12*'Assumptions'!$AF$43</x:f>
        <x:v>5563.4879559126375</x:v>
      </x:c>
      <x:c r="Y1813" s="10" t="n">
        <x:f>P1813/12</x:f>
        <x:v>28.91846981604338</x:v>
      </x:c>
      <x:c r="Z1813" s="10" t="n">
        <x:f>0</x:f>
        <x:v>0</x:v>
      </x:c>
      <x:c r="AA1813" s="10" t="n">
        <x:f>Z1813*'Assumptions'!$AC$43*'Assumptions'!$D$11*(1+'Assumptions'!$D$13)^(15-1)</x:f>
        <x:v>0</x:v>
      </x:c>
      <x:c r="AB1813" s="10" t="n">
        <x:f>F1813/12</x:f>
        <x:v>0.9838139854988651</x:v>
      </x:c>
      <x:c r="AC1813" s="10" t="n">
        <x:f>AB1813/'Assumptions'!$AM$43</x:f>
        <x:v>4.919069927494325</x:v>
      </x:c>
      <x:c r="AD1813" s="10" t="n">
        <x:f>IF(AB1813=0,0,T1813/AB1813)</x:f>
        <x:v>2714.409693499063</x:v>
      </x:c>
      <x:c r="AE1813" s="10" t="n">
        <x:f>AA1813*'Assumptions'!$D$21</x:f>
        <x:v>0</x:v>
      </x:c>
    </x:row>
    <x:row r="1814" ht="16" customHeight="1">
      <x:c r="A1814" s="1"/>
      <x:c r="B1814" s="1"/>
      <x:c r="C1814" s="1" t="str">
        <x:v>DOT-015</x:v>
      </x:c>
      <x:c r="D1814" s="10" t="str">
        <x:v>BPA professional services</x:v>
      </x:c>
      <x:c r="E1814" s="10" t="n">
        <x:v>15</x:v>
      </x:c>
      <x:c r="F1814" s="21" t="n">
        <x:f>F1686*(1+'Assumptions'!$M$44)</x:f>
        <x:v>9.838139854988649</x:v>
      </x:c>
      <x:c r="G1814" s="21" t="n">
        <x:f>H1686*'Assumptions'!$K$44</x:f>
        <x:v>9.280375457425908</x:v>
      </x:c>
      <x:c r="H1814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1814+G1814,NA())</x:f>
        <x:v>19.11851531241456</x:v>
      </x:c>
      <x:c r="I1814" s="22" t="n">
        <x:f>'Assumptions'!$H$44*IF('Assumptions'!$O$44=1,1,'Assumptions'!$D$10)*(1+'Assumptions'!$N$44)^(15-1)</x:f>
        <x:v>1200</x:v>
      </x:c>
      <x:c r="J1814" s="10" t="n">
        <x:f>H1814*I1814</x:f>
        <x:v>22942.21837489747</x:v>
      </x:c>
      <x:c r="K1814" s="10" t="n">
        <x:f>J1814*'Assumptions'!$T$44</x:f>
        <x:v>22942.21837489747</x:v>
      </x:c>
      <x:c r="L1814" s="10" t="n">
        <x:f>K1814*'Assumptions'!$U$44</x:f>
        <x:v>688.2665512469241</x:v>
      </x:c>
      <x:c r="M1814" s="10" t="n">
        <x:f>K1814*'Assumptions'!$V$44</x:f>
        <x:v>0</x:v>
      </x:c>
      <x:c r="N1814" s="10" t="n">
        <x:f>K1814-L1814-M1814</x:f>
        <x:v>22253.951823650546</x:v>
      </x:c>
      <x:c r="O1814" s="10" t="n">
        <x:f>H1814*'Assumptions'!$P$44*'Assumptions'!$Q$44*'Assumptions'!$D$11*(1+'Assumptions'!$D$13)^(15-1)</x:f>
        <x:v>17351.081889626028</x:v>
      </x:c>
      <x:c r="P1814" s="10" t="n">
        <x:f>H1814*'Assumptions'!$R$44*'Assumptions'!$D$11*(1+'Assumptions'!$D$13)^(15-1)</x:f>
        <x:v>289.1846981604338</x:v>
      </x:c>
      <x:c r="Q1814" s="10" t="n">
        <x:f>J1814*'Assumptions'!$S$44</x:f>
        <x:v>0</x:v>
      </x:c>
      <x:c r="R1814" s="10" t="n">
        <x:f>H1814*'Assumptions'!$Y$44*'Assumptions'!$Z$44*'Assumptions'!$D$11*(1+'Assumptions'!$D$13)^(15-1)</x:f>
        <x:v>216.88852362032534</x:v>
      </x:c>
      <x:c r="S1814" s="10" t="n">
        <x:f>IF(I1814=0,0,J1814*'Assumptions'!$W$44+H1814*'Assumptions'!$X$44)</x:f>
        <x:v>671.0598874657511</x:v>
      </x:c>
      <x:c r="T1814" s="10" t="n">
        <x:f>N1814*'Assumptions'!$AA$44</x:f>
        <x:v>890.1580729460219</x:v>
      </x:c>
      <x:c r="U1814" s="10" t="n">
        <x:f>'Assumptions'!$AE$44*'Assumptions'!$D$11*(1+'Assumptions'!$D$13)^(15-1)</x:f>
        <x:v>0</x:v>
      </x:c>
      <x:c r="V1814" s="10" t="n">
        <x:f>0</x:f>
        <x:v>0</x:v>
      </x:c>
      <x:c r="W1814" s="10" t="n">
        <x:f>H1814*('Assumptions'!$P$44+'Assumptions'!$Y$44)</x:f>
        <x:v>195.9647819522492</x:v>
      </x:c>
      <x:c r="X1814" s="10" t="n">
        <x:f>N1814/12*'Assumptions'!$AF$44</x:f>
        <x:v>1854.4959853042121</x:v>
      </x:c>
      <x:c r="Y1814" s="10" t="n">
        <x:f>P1814/12</x:f>
        <x:v>24.09872484670282</x:v>
      </x:c>
      <x:c r="Z1814" s="10" t="n">
        <x:f>0</x:f>
        <x:v>0</x:v>
      </x:c>
      <x:c r="AA1814" s="10" t="n">
        <x:f>Z1814*'Assumptions'!$AC$44*'Assumptions'!$D$11*(1+'Assumptions'!$D$13)^(15-1)</x:f>
        <x:v>0</x:v>
      </x:c>
      <x:c r="AB1814" s="10" t="n">
        <x:f>F1814/1</x:f>
        <x:v>9.838139854988649</x:v>
      </x:c>
      <x:c r="AC1814" s="10" t="n">
        <x:f>AB1814/'Assumptions'!$AM$44</x:f>
        <x:v>49.19069927494324</x:v>
      </x:c>
      <x:c r="AD1814" s="10" t="n">
        <x:f>IF(AB1814=0,0,T1814/AB1814)</x:f>
        <x:v>90.48032311663545</x:v>
      </x:c>
      <x:c r="AE1814" s="10" t="n">
        <x:f>AA1814*'Assumptions'!$D$21</x:f>
        <x:v>0</x:v>
      </x:c>
    </x:row>
    <x:row r="1815" ht="16" customHeight="1">
      <x:c r="A1815" s="1"/>
      <x:c r="B1815" s="1"/>
      <x:c r="C1815" s="1" t="str">
        <x:v>DOT-016</x:v>
      </x:c>
      <x:c r="D1815" s="10" t="str">
        <x:v>BPA professional services</x:v>
      </x:c>
      <x:c r="E1815" s="10" t="n">
        <x:v>15</x:v>
      </x:c>
      <x:c r="F1815" s="21" t="n">
        <x:f>F1687*(1+'Assumptions'!$M$45)</x:f>
        <x:v>5.9028839129931905</x:v>
      </x:c>
      <x:c r="G1815" s="21" t="n">
        <x:f>H1687*'Assumptions'!$K$45</x:f>
        <x:v>5.5682252744555445</x:v>
      </x:c>
      <x:c r="H1815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1815+G1815,NA())</x:f>
        <x:v>11.471109187448736</x:v>
      </x:c>
      <x:c r="I1815" s="22" t="n">
        <x:f>'Assumptions'!$H$45*IF('Assumptions'!$O$45=1,1,'Assumptions'!$D$10)*(1+'Assumptions'!$N$45)^(15-1)</x:f>
        <x:v>1800</x:v>
      </x:c>
      <x:c r="J1815" s="10" t="n">
        <x:f>H1815*I1815</x:f>
        <x:v>20647.996537407726</x:v>
      </x:c>
      <x:c r="K1815" s="10" t="n">
        <x:f>J1815*'Assumptions'!$T$45</x:f>
        <x:v>20647.996537407726</x:v>
      </x:c>
      <x:c r="L1815" s="10" t="n">
        <x:f>K1815*'Assumptions'!$U$45</x:f>
        <x:v>619.4398961222317</x:v>
      </x:c>
      <x:c r="M1815" s="10" t="n">
        <x:f>K1815*'Assumptions'!$V$45</x:f>
        <x:v>0</x:v>
      </x:c>
      <x:c r="N1815" s="10" t="n">
        <x:f>K1815-L1815-M1815</x:f>
        <x:v>20028.556641285493</x:v>
      </x:c>
      <x:c r="O1815" s="10" t="n">
        <x:f>H1815*'Assumptions'!$P$45*'Assumptions'!$Q$45*'Assumptions'!$D$11*(1+'Assumptions'!$D$13)^(15-1)</x:f>
        <x:v>5205.324566887808</x:v>
      </x:c>
      <x:c r="P1815" s="10" t="n">
        <x:f>H1815*'Assumptions'!$R$45*'Assumptions'!$D$11*(1+'Assumptions'!$D$13)^(15-1)</x:f>
        <x:v>173.51081889626028</x:v>
      </x:c>
      <x:c r="Q1815" s="10" t="n">
        <x:f>J1815*'Assumptions'!$S$45</x:f>
        <x:v>0</x:v>
      </x:c>
      <x:c r="R1815" s="10" t="n">
        <x:f>H1815*'Assumptions'!$Y$45*'Assumptions'!$Z$45*'Assumptions'!$D$11*(1+'Assumptions'!$D$13)^(15-1)</x:f>
        <x:v>130.1331141721952</x:v>
      </x:c>
      <x:c r="S1815" s="10" t="n">
        <x:f>IF(I1815=0,0,J1815*'Assumptions'!$W$45+H1815*'Assumptions'!$X$45)</x:f>
        <x:v>602.2332323410586</x:v>
      </x:c>
      <x:c r="T1815" s="10" t="n">
        <x:f>N1815*'Assumptions'!$AA$45</x:f>
        <x:v>801.1422656514197</x:v>
      </x:c>
      <x:c r="U1815" s="10" t="n">
        <x:f>'Assumptions'!$AE$45*'Assumptions'!$D$11*(1+'Assumptions'!$D$13)^(15-1)</x:f>
        <x:v>0</x:v>
      </x:c>
      <x:c r="V1815" s="10" t="n">
        <x:f>0</x:f>
        <x:v>0</x:v>
      </x:c>
      <x:c r="W1815" s="10" t="n">
        <x:f>H1815*('Assumptions'!$P$45+'Assumptions'!$Y$45)</x:f>
        <x:v>60.22332323410586</x:v>
      </x:c>
      <x:c r="X1815" s="10" t="n">
        <x:f>N1815/12*'Assumptions'!$AF$45</x:f>
        <x:v>1669.046386773791</x:v>
      </x:c>
      <x:c r="Y1815" s="10" t="n">
        <x:f>P1815/12</x:f>
        <x:v>14.45923490802169</x:v>
      </x:c>
      <x:c r="Z1815" s="10" t="n">
        <x:f>0</x:f>
        <x:v>0</x:v>
      </x:c>
      <x:c r="AA1815" s="10" t="n">
        <x:f>Z1815*'Assumptions'!$AC$45*'Assumptions'!$D$11*(1+'Assumptions'!$D$13)^(15-1)</x:f>
        <x:v>0</x:v>
      </x:c>
      <x:c r="AB1815" s="10" t="n">
        <x:f>F1815/1</x:f>
        <x:v>5.9028839129931905</x:v>
      </x:c>
      <x:c r="AC1815" s="10" t="n">
        <x:f>AB1815/'Assumptions'!$AM$45</x:f>
        <x:v>29.51441956496595</x:v>
      </x:c>
      <x:c r="AD1815" s="10" t="n">
        <x:f>IF(AB1815=0,0,T1815/AB1815)</x:f>
        <x:v>135.72048467495313</x:v>
      </x:c>
      <x:c r="AE1815" s="10" t="n">
        <x:f>AA1815*'Assumptions'!$D$21</x:f>
        <x:v>0</x:v>
      </x:c>
    </x:row>
    <x:row r="1816" ht="16" customHeight="1">
      <x:c r="A1816" s="1"/>
      <x:c r="B1816" s="1"/>
      <x:c r="C1816" s="1" t="str">
        <x:v>DOT-017</x:v>
      </x:c>
      <x:c r="D1816" s="10" t="str">
        <x:v>BPA professional services</x:v>
      </x:c>
      <x:c r="E1816" s="10" t="n">
        <x:v>15</x:v>
      </x:c>
      <x:c r="F1816" s="21" t="n">
        <x:f>F1688*(1+'Assumptions'!$M$46)</x:f>
        <x:v>5.9028839129931905</x:v>
      </x:c>
      <x:c r="G1816" s="21" t="n">
        <x:f>H1688*'Assumptions'!$K$46</x:f>
        <x:v>5.5682252744555445</x:v>
      </x:c>
      <x:c r="H1816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1816+G1816,NA())</x:f>
        <x:v>11.471109187448736</x:v>
      </x:c>
      <x:c r="I1816" s="22" t="n">
        <x:f>'Assumptions'!$H$46*IF('Assumptions'!$O$46=1,1,'Assumptions'!$D$10)*(1+'Assumptions'!$N$46)^(15-1)</x:f>
        <x:v>1500</x:v>
      </x:c>
      <x:c r="J1816" s="10" t="n">
        <x:f>H1816*I1816</x:f>
        <x:v>17206.663781173105</x:v>
      </x:c>
      <x:c r="K1816" s="10" t="n">
        <x:f>J1816*'Assumptions'!$T$46</x:f>
        <x:v>17206.663781173105</x:v>
      </x:c>
      <x:c r="L1816" s="10" t="n">
        <x:f>K1816*'Assumptions'!$U$46</x:f>
        <x:v>516.1999134351931</x:v>
      </x:c>
      <x:c r="M1816" s="10" t="n">
        <x:f>K1816*'Assumptions'!$V$46</x:f>
        <x:v>0</x:v>
      </x:c>
      <x:c r="N1816" s="10" t="n">
        <x:f>K1816-L1816-M1816</x:f>
        <x:v>16690.46386773791</x:v>
      </x:c>
      <x:c r="O1816" s="10" t="n">
        <x:f>H1816*'Assumptions'!$P$46*'Assumptions'!$Q$46*'Assumptions'!$D$11*(1+'Assumptions'!$D$13)^(15-1)</x:f>
        <x:v>6246.389480265371</x:v>
      </x:c>
      <x:c r="P1816" s="10" t="n">
        <x:f>H1816*'Assumptions'!$R$46*'Assumptions'!$D$11*(1+'Assumptions'!$D$13)^(15-1)</x:f>
        <x:v>173.51081889626028</x:v>
      </x:c>
      <x:c r="Q1816" s="10" t="n">
        <x:f>J1816*'Assumptions'!$S$46</x:f>
        <x:v>0</x:v>
      </x:c>
      <x:c r="R1816" s="10" t="n">
        <x:f>H1816*'Assumptions'!$Y$46*'Assumptions'!$Z$46*'Assumptions'!$D$11*(1+'Assumptions'!$D$13)^(15-1)</x:f>
        <x:v>130.1331141721952</x:v>
      </x:c>
      <x:c r="S1816" s="10" t="n">
        <x:f>IF(I1816=0,0,J1816*'Assumptions'!$W$46+H1816*'Assumptions'!$X$46)</x:f>
        <x:v>502.4345824102547</x:v>
      </x:c>
      <x:c r="T1816" s="10" t="n">
        <x:f>N1816*'Assumptions'!$AA$46</x:f>
        <x:v>667.6185547095165</x:v>
      </x:c>
      <x:c r="U1816" s="10" t="n">
        <x:f>'Assumptions'!$AE$46*'Assumptions'!$D$11*(1+'Assumptions'!$D$13)^(15-1)</x:f>
        <x:v>0</x:v>
      </x:c>
      <x:c r="V1816" s="10" t="n">
        <x:f>0</x:f>
        <x:v>0</x:v>
      </x:c>
      <x:c r="W1816" s="10" t="n">
        <x:f>H1816*('Assumptions'!$P$46+'Assumptions'!$Y$46)</x:f>
        <x:v>71.6944324215546</x:v>
      </x:c>
      <x:c r="X1816" s="10" t="n">
        <x:f>N1816/12*'Assumptions'!$AF$46</x:f>
        <x:v>1390.8719889781594</x:v>
      </x:c>
      <x:c r="Y1816" s="10" t="n">
        <x:f>P1816/12</x:f>
        <x:v>14.45923490802169</x:v>
      </x:c>
      <x:c r="Z1816" s="10" t="n">
        <x:f>0</x:f>
        <x:v>0</x:v>
      </x:c>
      <x:c r="AA1816" s="10" t="n">
        <x:f>Z1816*'Assumptions'!$AC$46*'Assumptions'!$D$11*(1+'Assumptions'!$D$13)^(15-1)</x:f>
        <x:v>0</x:v>
      </x:c>
      <x:c r="AB1816" s="10" t="n">
        <x:f>F1816/1</x:f>
        <x:v>5.9028839129931905</x:v>
      </x:c>
      <x:c r="AC1816" s="10" t="n">
        <x:f>AB1816/'Assumptions'!$AM$46</x:f>
        <x:v>29.51441956496595</x:v>
      </x:c>
      <x:c r="AD1816" s="10" t="n">
        <x:f>IF(AB1816=0,0,T1816/AB1816)</x:f>
        <x:v>113.10040389579429</x:v>
      </x:c>
      <x:c r="AE1816" s="10" t="n">
        <x:f>AA1816*'Assumptions'!$D$21</x:f>
        <x:v>0</x:v>
      </x:c>
    </x:row>
    <x:row r="1817" ht="16" customHeight="1">
      <x:c r="A1817" s="1"/>
      <x:c r="B1817" s="1"/>
      <x:c r="C1817" s="1" t="str">
        <x:v>DOT-018</x:v>
      </x:c>
      <x:c r="D1817" s="10" t="str">
        <x:v>BPA professional services</x:v>
      </x:c>
      <x:c r="E1817" s="10" t="n">
        <x:v>15</x:v>
      </x:c>
      <x:c r="F1817" s="21" t="n">
        <x:f>F1689*(1+'Assumptions'!$M$47)</x:f>
        <x:v>7.870511883990922</x:v>
      </x:c>
      <x:c r="G1817" s="21" t="n">
        <x:f>H1689*'Assumptions'!$K$47</x:f>
        <x:v>7.424300365940727</x:v>
      </x:c>
      <x:c r="H1817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1817+G1817,NA())</x:f>
        <x:v>15.294812249931649</x:v>
      </x:c>
      <x:c r="I1817" s="22" t="n">
        <x:f>'Assumptions'!$H$47*IF('Assumptions'!$O$47=1,1,'Assumptions'!$D$10)*(1+'Assumptions'!$N$47)^(15-1)</x:f>
        <x:v>1200</x:v>
      </x:c>
      <x:c r="J1817" s="10" t="n">
        <x:f>H1817*I1817</x:f>
        <x:v>18353.77469991798</x:v>
      </x:c>
      <x:c r="K1817" s="10" t="n">
        <x:f>J1817*'Assumptions'!$T$47</x:f>
        <x:v>18353.77469991798</x:v>
      </x:c>
      <x:c r="L1817" s="10" t="n">
        <x:f>K1817*'Assumptions'!$U$47</x:f>
        <x:v>550.6132409975394</x:v>
      </x:c>
      <x:c r="M1817" s="10" t="n">
        <x:f>K1817*'Assumptions'!$V$47</x:f>
        <x:v>0</x:v>
      </x:c>
      <x:c r="N1817" s="10" t="n">
        <x:f>K1817-L1817-M1817</x:f>
        <x:v>17803.16145892044</x:v>
      </x:c>
      <x:c r="O1817" s="10" t="n">
        <x:f>H1817*'Assumptions'!$P$47*'Assumptions'!$Q$47*'Assumptions'!$D$11*(1+'Assumptions'!$D$13)^(15-1)</x:f>
        <x:v>5552.34620468033</x:v>
      </x:c>
      <x:c r="P1817" s="10" t="n">
        <x:f>H1817*'Assumptions'!$R$47*'Assumptions'!$D$11*(1+'Assumptions'!$D$13)^(15-1)</x:f>
        <x:v>231.3477585283471</x:v>
      </x:c>
      <x:c r="Q1817" s="10" t="n">
        <x:f>J1817*'Assumptions'!$S$47</x:f>
        <x:v>0</x:v>
      </x:c>
      <x:c r="R1817" s="10" t="n">
        <x:f>H1817*'Assumptions'!$Y$47*'Assumptions'!$Z$47*'Assumptions'!$D$11*(1+'Assumptions'!$D$13)^(15-1)</x:f>
        <x:v>173.5108188962603</x:v>
      </x:c>
      <x:c r="S1817" s="10" t="n">
        <x:f>IF(I1817=0,0,J1817*'Assumptions'!$W$47+H1817*'Assumptions'!$X$47)</x:f>
        <x:v>536.847909972601</x:v>
      </x:c>
      <x:c r="T1817" s="10" t="n">
        <x:f>N1817*'Assumptions'!$AA$47</x:f>
        <x:v>712.1264583568176</x:v>
      </x:c>
      <x:c r="U1817" s="10" t="n">
        <x:f>'Assumptions'!$AE$47*'Assumptions'!$D$11*(1+'Assumptions'!$D$13)^(15-1)</x:f>
        <x:v>0</x:v>
      </x:c>
      <x:c r="V1817" s="10" t="n">
        <x:f>0</x:f>
        <x:v>0</x:v>
      </x:c>
      <x:c r="W1817" s="10" t="n">
        <x:f>H1817*('Assumptions'!$P$47+'Assumptions'!$Y$47)</x:f>
        <x:v>65.0029520622095</x:v>
      </x:c>
      <x:c r="X1817" s="10" t="n">
        <x:f>N1817/12*'Assumptions'!$AF$47</x:f>
        <x:v>1483.59678824337</x:v>
      </x:c>
      <x:c r="Y1817" s="10" t="n">
        <x:f>P1817/12</x:f>
        <x:v>19.278979877362257</x:v>
      </x:c>
      <x:c r="Z1817" s="10" t="n">
        <x:f>0</x:f>
        <x:v>0</x:v>
      </x:c>
      <x:c r="AA1817" s="10" t="n">
        <x:f>Z1817*'Assumptions'!$AC$47*'Assumptions'!$D$11*(1+'Assumptions'!$D$13)^(15-1)</x:f>
        <x:v>0</x:v>
      </x:c>
      <x:c r="AB1817" s="10" t="n">
        <x:f>F1817/1</x:f>
        <x:v>7.870511883990922</x:v>
      </x:c>
      <x:c r="AC1817" s="10" t="n">
        <x:f>AB1817/'Assumptions'!$AM$47</x:f>
        <x:v>39.35255941995461</x:v>
      </x:c>
      <x:c r="AD1817" s="10" t="n">
        <x:f>IF(AB1817=0,0,T1817/AB1817)</x:f>
        <x:v>90.48032311663542</x:v>
      </x:c>
      <x:c r="AE1817" s="10" t="n">
        <x:f>AA1817*'Assumptions'!$D$21</x:f>
        <x:v>0</x:v>
      </x:c>
    </x:row>
    <x:row r="1818" ht="16" customHeight="1">
      <x:c r="A1818" s="1"/>
      <x:c r="B1818" s="1"/>
      <x:c r="C1818" s="1" t="str">
        <x:v>DOT-019</x:v>
      </x:c>
      <x:c r="D1818" s="10" t="str">
        <x:v>BPA professional services</x:v>
      </x:c>
      <x:c r="E1818" s="10" t="n">
        <x:v>15</x:v>
      </x:c>
      <x:c r="F1818" s="21" t="n">
        <x:f>F1690*(1+'Assumptions'!$M$48)</x:f>
        <x:v>3.935255941995461</x:v>
      </x:c>
      <x:c r="G1818" s="21" t="n">
        <x:f>H1690*'Assumptions'!$K$48</x:f>
        <x:v>3.7121501829703636</x:v>
      </x:c>
      <x:c r="H1818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1818+G1818,NA())</x:f>
        <x:v>7.6474061249658245</x:v>
      </x:c>
      <x:c r="I1818" s="22" t="n">
        <x:f>'Assumptions'!$H$48*IF('Assumptions'!$O$48=1,1,'Assumptions'!$D$10)*(1+'Assumptions'!$N$48)^(15-1)</x:f>
        <x:v>3000</x:v>
      </x:c>
      <x:c r="J1818" s="10" t="n">
        <x:f>H1818*I1818</x:f>
        <x:v>22942.218374897475</x:v>
      </x:c>
      <x:c r="K1818" s="10" t="n">
        <x:f>J1818*'Assumptions'!$T$48</x:f>
        <x:v>22942.218374897475</x:v>
      </x:c>
      <x:c r="L1818" s="10" t="n">
        <x:f>K1818*'Assumptions'!$U$48</x:f>
        <x:v>688.2665512469242</x:v>
      </x:c>
      <x:c r="M1818" s="10" t="n">
        <x:f>K1818*'Assumptions'!$V$48</x:f>
        <x:v>0</x:v>
      </x:c>
      <x:c r="N1818" s="10" t="n">
        <x:f>K1818-L1818-M1818</x:f>
        <x:v>22253.95182365055</x:v>
      </x:c>
      <x:c r="O1818" s="10" t="n">
        <x:f>H1818*'Assumptions'!$P$48*'Assumptions'!$Q$48*'Assumptions'!$D$11*(1+'Assumptions'!$D$13)^(15-1)</x:f>
        <x:v>8328.519307020493</x:v>
      </x:c>
      <x:c r="P1818" s="10" t="n">
        <x:f>H1818*'Assumptions'!$R$48*'Assumptions'!$D$11*(1+'Assumptions'!$D$13)^(15-1)</x:f>
        <x:v>115.67387926417355</x:v>
      </x:c>
      <x:c r="Q1818" s="10" t="n">
        <x:f>J1818*'Assumptions'!$S$48</x:f>
        <x:v>0</x:v>
      </x:c>
      <x:c r="R1818" s="10" t="n">
        <x:f>H1818*'Assumptions'!$Y$48*'Assumptions'!$Z$48*'Assumptions'!$D$11*(1+'Assumptions'!$D$13)^(15-1)</x:f>
        <x:v>86.75540944813015</x:v>
      </x:c>
      <x:c r="S1818" s="10" t="n">
        <x:f>IF(I1818=0,0,J1818*'Assumptions'!$W$48+H1818*'Assumptions'!$X$48)</x:f>
        <x:v>667.6185547095166</x:v>
      </x:c>
      <x:c r="T1818" s="10" t="n">
        <x:f>N1818*'Assumptions'!$AA$48</x:f>
        <x:v>890.158072946022</x:v>
      </x:c>
      <x:c r="U1818" s="10" t="n">
        <x:f>'Assumptions'!$AE$48*'Assumptions'!$D$11*(1+'Assumptions'!$D$13)^(15-1)</x:f>
        <x:v>0</x:v>
      </x:c>
      <x:c r="V1818" s="10" t="n">
        <x:f>0</x:f>
        <x:v>0</x:v>
      </x:c>
      <x:c r="W1818" s="10" t="n">
        <x:f>H1818*('Assumptions'!$P$48+'Assumptions'!$Y$48)</x:f>
        <x:v>93.68072503083135</x:v>
      </x:c>
      <x:c r="X1818" s="10" t="n">
        <x:f>N1818/12*'Assumptions'!$AF$48</x:f>
        <x:v>1854.4959853042126</x:v>
      </x:c>
      <x:c r="Y1818" s="10" t="n">
        <x:f>P1818/12</x:f>
        <x:v>9.639489938681129</x:v>
      </x:c>
      <x:c r="Z1818" s="10" t="n">
        <x:f>0</x:f>
        <x:v>0</x:v>
      </x:c>
      <x:c r="AA1818" s="10" t="n">
        <x:f>Z1818*'Assumptions'!$AC$48*'Assumptions'!$D$11*(1+'Assumptions'!$D$13)^(15-1)</x:f>
        <x:v>0</x:v>
      </x:c>
      <x:c r="AB1818" s="10" t="n">
        <x:f>F1818/1</x:f>
        <x:v>3.935255941995461</x:v>
      </x:c>
      <x:c r="AC1818" s="10" t="n">
        <x:f>AB1818/'Assumptions'!$AM$48</x:f>
        <x:v>19.676279709977305</x:v>
      </x:c>
      <x:c r="AD1818" s="10" t="n">
        <x:f>IF(AB1818=0,0,T1818/AB1818)</x:f>
        <x:v>226.20080779158855</x:v>
      </x:c>
      <x:c r="AE1818" s="10" t="n">
        <x:f>AA1818*'Assumptions'!$D$21</x:f>
        <x:v>0</x:v>
      </x:c>
    </x:row>
    <x:row r="1819" ht="16" customHeight="1">
      <x:c r="A1819" s="1"/>
      <x:c r="B1819" s="1"/>
      <x:c r="C1819" s="1" t="str">
        <x:v>DOT-020</x:v>
      </x:c>
      <x:c r="D1819" s="10" t="str">
        <x:v>BPA professional services</x:v>
      </x:c>
      <x:c r="E1819" s="10" t="n">
        <x:v>15</x:v>
      </x:c>
      <x:c r="F1819" s="21" t="n">
        <x:f>F1691*(1+'Assumptions'!$M$49)</x:f>
        <x:v>5.9028839129931905</x:v>
      </x:c>
      <x:c r="G1819" s="21" t="n">
        <x:f>H1691*'Assumptions'!$K$49</x:f>
        <x:v>5.5682252744555445</x:v>
      </x:c>
      <x:c r="H1819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1819+G1819,NA())</x:f>
        <x:v>11.471109187448736</x:v>
      </x:c>
      <x:c r="I1819" s="22" t="n">
        <x:f>'Assumptions'!$H$49*IF('Assumptions'!$O$49=1,1,'Assumptions'!$D$10)*(1+'Assumptions'!$N$49)^(15-1)</x:f>
        <x:v>1800</x:v>
      </x:c>
      <x:c r="J1819" s="10" t="n">
        <x:f>H1819*I1819</x:f>
        <x:v>20647.996537407726</x:v>
      </x:c>
      <x:c r="K1819" s="10" t="n">
        <x:f>J1819*'Assumptions'!$T$49</x:f>
        <x:v>20647.996537407726</x:v>
      </x:c>
      <x:c r="L1819" s="10" t="n">
        <x:f>K1819*'Assumptions'!$U$49</x:f>
        <x:v>619.4398961222317</x:v>
      </x:c>
      <x:c r="M1819" s="10" t="n">
        <x:f>K1819*'Assumptions'!$V$49</x:f>
        <x:v>0</x:v>
      </x:c>
      <x:c r="N1819" s="10" t="n">
        <x:f>K1819-L1819-M1819</x:f>
        <x:v>20028.556641285493</x:v>
      </x:c>
      <x:c r="O1819" s="10" t="n">
        <x:f>H1819*'Assumptions'!$P$49*'Assumptions'!$Q$49*'Assumptions'!$D$11*(1+'Assumptions'!$D$13)^(15-1)</x:f>
        <x:v>6246.389480265371</x:v>
      </x:c>
      <x:c r="P1819" s="10" t="n">
        <x:f>H1819*'Assumptions'!$R$49*'Assumptions'!$D$11*(1+'Assumptions'!$D$13)^(15-1)</x:f>
        <x:v>173.51081889626028</x:v>
      </x:c>
      <x:c r="Q1819" s="10" t="n">
        <x:f>J1819*'Assumptions'!$S$49</x:f>
        <x:v>0</x:v>
      </x:c>
      <x:c r="R1819" s="10" t="n">
        <x:f>H1819*'Assumptions'!$Y$49*'Assumptions'!$Z$49*'Assumptions'!$D$11*(1+'Assumptions'!$D$13)^(15-1)</x:f>
        <x:v>130.1331141721952</x:v>
      </x:c>
      <x:c r="S1819" s="10" t="n">
        <x:f>IF(I1819=0,0,J1819*'Assumptions'!$W$49+H1819*'Assumptions'!$X$49)</x:f>
        <x:v>602.2332323410586</x:v>
      </x:c>
      <x:c r="T1819" s="10" t="n">
        <x:f>N1819*'Assumptions'!$AA$49</x:f>
        <x:v>801.1422656514197</x:v>
      </x:c>
      <x:c r="U1819" s="10" t="n">
        <x:f>'Assumptions'!$AE$49*'Assumptions'!$D$11*(1+'Assumptions'!$D$13)^(15-1)</x:f>
        <x:v>0</x:v>
      </x:c>
      <x:c r="V1819" s="10" t="n">
        <x:f>0</x:f>
        <x:v>0</x:v>
      </x:c>
      <x:c r="W1819" s="10" t="n">
        <x:f>H1819*('Assumptions'!$P$49+'Assumptions'!$Y$49)</x:f>
        <x:v>71.6944324215546</x:v>
      </x:c>
      <x:c r="X1819" s="10" t="n">
        <x:f>N1819/12*'Assumptions'!$AF$49</x:f>
        <x:v>1669.046386773791</x:v>
      </x:c>
      <x:c r="Y1819" s="10" t="n">
        <x:f>P1819/12</x:f>
        <x:v>14.45923490802169</x:v>
      </x:c>
      <x:c r="Z1819" s="10" t="n">
        <x:f>0</x:f>
        <x:v>0</x:v>
      </x:c>
      <x:c r="AA1819" s="10" t="n">
        <x:f>Z1819*'Assumptions'!$AC$49*'Assumptions'!$D$11*(1+'Assumptions'!$D$13)^(15-1)</x:f>
        <x:v>0</x:v>
      </x:c>
      <x:c r="AB1819" s="10" t="n">
        <x:f>F1819/1</x:f>
        <x:v>5.9028839129931905</x:v>
      </x:c>
      <x:c r="AC1819" s="10" t="n">
        <x:f>AB1819/'Assumptions'!$AM$49</x:f>
        <x:v>29.51441956496595</x:v>
      </x:c>
      <x:c r="AD1819" s="10" t="n">
        <x:f>IF(AB1819=0,0,T1819/AB1819)</x:f>
        <x:v>135.72048467495313</x:v>
      </x:c>
      <x:c r="AE1819" s="10" t="n">
        <x:f>AA1819*'Assumptions'!$D$21</x:f>
        <x:v>0</x:v>
      </x:c>
    </x:row>
    <x:row r="1820" ht="16" customHeight="1">
      <x:c r="A1820" s="1"/>
      <x:c r="B1820" s="1"/>
      <x:c r="C1820" s="1" t="str">
        <x:v>DOT-021</x:v>
      </x:c>
      <x:c r="D1820" s="10" t="str">
        <x:v>BPA professional services</x:v>
      </x:c>
      <x:c r="E1820" s="10" t="n">
        <x:v>15</x:v>
      </x:c>
      <x:c r="F1820" s="21" t="n">
        <x:f>F1692*(1+'Assumptions'!$M$50)</x:f>
        <x:v>3.935255941995461</x:v>
      </x:c>
      <x:c r="G1820" s="21" t="n">
        <x:f>H1692*'Assumptions'!$K$50</x:f>
        <x:v>3.7121501829703636</x:v>
      </x:c>
      <x:c r="H1820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1820+G1820,NA())</x:f>
        <x:v>7.6474061249658245</x:v>
      </x:c>
      <x:c r="I1820" s="22" t="n">
        <x:f>'Assumptions'!$H$50*IF('Assumptions'!$O$50=1,1,'Assumptions'!$D$10)*(1+'Assumptions'!$N$50)^(15-1)</x:f>
        <x:v>4200</x:v>
      </x:c>
      <x:c r="J1820" s="10" t="n">
        <x:f>H1820*I1820</x:f>
        <x:v>32119.10572485646</x:v>
      </x:c>
      <x:c r="K1820" s="10" t="n">
        <x:f>J1820*'Assumptions'!$T$50</x:f>
        <x:v>32119.10572485646</x:v>
      </x:c>
      <x:c r="L1820" s="10" t="n">
        <x:f>K1820*'Assumptions'!$U$50</x:f>
        <x:v>963.5731717456938</x:v>
      </x:c>
      <x:c r="M1820" s="10" t="n">
        <x:f>K1820*'Assumptions'!$V$50</x:f>
        <x:v>0</x:v>
      </x:c>
      <x:c r="N1820" s="10" t="n">
        <x:f>K1820-L1820-M1820</x:f>
        <x:v>31155.532553110766</x:v>
      </x:c>
      <x:c r="O1820" s="10" t="n">
        <x:f>H1820*'Assumptions'!$P$50*'Assumptions'!$Q$50*'Assumptions'!$D$11*(1+'Assumptions'!$D$13)^(15-1)</x:f>
        <x:v>8328.519307020493</x:v>
      </x:c>
      <x:c r="P1820" s="10" t="n">
        <x:f>H1820*'Assumptions'!$R$50*'Assumptions'!$D$11*(1+'Assumptions'!$D$13)^(15-1)</x:f>
        <x:v>115.67387926417355</x:v>
      </x:c>
      <x:c r="Q1820" s="10" t="n">
        <x:f>J1820*'Assumptions'!$S$50</x:f>
        <x:v>0</x:v>
      </x:c>
      <x:c r="R1820" s="10" t="n">
        <x:f>H1820*'Assumptions'!$Y$50*'Assumptions'!$Z$50*'Assumptions'!$D$11*(1+'Assumptions'!$D$13)^(15-1)</x:f>
        <x:v>86.75540944813015</x:v>
      </x:c>
      <x:c r="S1820" s="10" t="n">
        <x:f>IF(I1820=0,0,J1820*'Assumptions'!$W$50+H1820*'Assumptions'!$X$50)</x:f>
        <x:v>933.7482878583272</x:v>
      </x:c>
      <x:c r="T1820" s="10" t="n">
        <x:f>N1820*'Assumptions'!$AA$50</x:f>
        <x:v>1246.2213021244306</x:v>
      </x:c>
      <x:c r="U1820" s="10" t="n">
        <x:f>'Assumptions'!$AE$50*'Assumptions'!$D$11*(1+'Assumptions'!$D$13)^(15-1)</x:f>
        <x:v>0</x:v>
      </x:c>
      <x:c r="V1820" s="10" t="n">
        <x:f>0</x:f>
        <x:v>0</x:v>
      </x:c>
      <x:c r="W1820" s="10" t="n">
        <x:f>H1820*('Assumptions'!$P$50+'Assumptions'!$Y$50)</x:f>
        <x:v>93.68072503083135</x:v>
      </x:c>
      <x:c r="X1820" s="10" t="n">
        <x:f>N1820/12*'Assumptions'!$AF$50</x:f>
        <x:v>2596.294379425897</x:v>
      </x:c>
      <x:c r="Y1820" s="10" t="n">
        <x:f>P1820/12</x:f>
        <x:v>9.639489938681129</x:v>
      </x:c>
      <x:c r="Z1820" s="10" t="n">
        <x:f>0</x:f>
        <x:v>0</x:v>
      </x:c>
      <x:c r="AA1820" s="10" t="n">
        <x:f>Z1820*'Assumptions'!$AC$50*'Assumptions'!$D$11*(1+'Assumptions'!$D$13)^(15-1)</x:f>
        <x:v>0</x:v>
      </x:c>
      <x:c r="AB1820" s="10" t="n">
        <x:f>F1820/1</x:f>
        <x:v>3.935255941995461</x:v>
      </x:c>
      <x:c r="AC1820" s="10" t="n">
        <x:f>AB1820/'Assumptions'!$AM$50</x:f>
        <x:v>19.676279709977305</x:v>
      </x:c>
      <x:c r="AD1820" s="10" t="n">
        <x:f>IF(AB1820=0,0,T1820/AB1820)</x:f>
        <x:v>316.6811309082239</x:v>
      </x:c>
      <x:c r="AE1820" s="10" t="n">
        <x:f>AA1820*'Assumptions'!$D$21</x:f>
        <x:v>0</x:v>
      </x:c>
    </x:row>
    <x:row r="1821" ht="16" customHeight="1">
      <x:c r="A1821" s="1"/>
      <x:c r="B1821" s="1"/>
      <x:c r="C1821" s="1" t="str">
        <x:v>DOT-022</x:v>
      </x:c>
      <x:c r="D1821" s="10" t="str">
        <x:v>BPA professional services</x:v>
      </x:c>
      <x:c r="E1821" s="10" t="n">
        <x:v>15</x:v>
      </x:c>
      <x:c r="F1821" s="21" t="n">
        <x:f>F1693*(1+'Assumptions'!$M$51)</x:f>
        <x:v>15.741023767981844</x:v>
      </x:c>
      <x:c r="G1821" s="21" t="n">
        <x:f>H1693*'Assumptions'!$K$51</x:f>
        <x:v>14.848600731881454</x:v>
      </x:c>
      <x:c r="H1821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1821+G1821,NA())</x:f>
        <x:v>30.589624499863298</x:v>
      </x:c>
      <x:c r="I1821" s="22" t="n">
        <x:f>'Assumptions'!$H$51*IF('Assumptions'!$O$51=1,1,'Assumptions'!$D$10)*(1+'Assumptions'!$N$51)^(15-1)</x:f>
        <x:v>900</x:v>
      </x:c>
      <x:c r="J1821" s="10" t="n">
        <x:f>H1821*I1821</x:f>
        <x:v>27530.66204987697</x:v>
      </x:c>
      <x:c r="K1821" s="10" t="n">
        <x:f>J1821*'Assumptions'!$T$51</x:f>
        <x:v>27530.66204987697</x:v>
      </x:c>
      <x:c r="L1821" s="10" t="n">
        <x:f>K1821*'Assumptions'!$U$51</x:f>
        <x:v>825.9198614963091</x:v>
      </x:c>
      <x:c r="M1821" s="10" t="n">
        <x:f>K1821*'Assumptions'!$V$51</x:f>
        <x:v>0</x:v>
      </x:c>
      <x:c r="N1821" s="10" t="n">
        <x:f>K1821-L1821-M1821</x:f>
        <x:v>26704.74218838066</x:v>
      </x:c>
      <x:c r="O1821" s="10" t="n">
        <x:f>H1821*'Assumptions'!$P$51*'Assumptions'!$Q$51*'Assumptions'!$D$11*(1+'Assumptions'!$D$13)^(15-1)</x:f>
        <x:v>8328.519307020493</x:v>
      </x:c>
      <x:c r="P1821" s="10" t="n">
        <x:f>H1821*'Assumptions'!$R$51*'Assumptions'!$D$11*(1+'Assumptions'!$D$13)^(15-1)</x:f>
        <x:v>462.6955170566942</x:v>
      </x:c>
      <x:c r="Q1821" s="10" t="n">
        <x:f>J1821*'Assumptions'!$S$51</x:f>
        <x:v>0</x:v>
      </x:c>
      <x:c r="R1821" s="10" t="n">
        <x:f>H1821*'Assumptions'!$Y$51*'Assumptions'!$Z$51*'Assumptions'!$D$11*(1+'Assumptions'!$D$13)^(15-1)</x:f>
        <x:v>347.0216377925206</x:v>
      </x:c>
      <x:c r="S1821" s="10" t="n">
        <x:f>IF(I1821=0,0,J1821*'Assumptions'!$W$51+H1821*'Assumptions'!$X$51)</x:f>
        <x:v>807.5660867963911</x:v>
      </x:c>
      <x:c r="T1821" s="10" t="n">
        <x:f>N1821*'Assumptions'!$AA$51</x:f>
        <x:v>1068.1896875352263</x:v>
      </x:c>
      <x:c r="U1821" s="10" t="n">
        <x:f>'Assumptions'!$AE$51*'Assumptions'!$D$11*(1+'Assumptions'!$D$13)^(15-1)</x:f>
        <x:v>0</x:v>
      </x:c>
      <x:c r="V1821" s="10" t="n">
        <x:f>0</x:f>
        <x:v>0</x:v>
      </x:c>
      <x:c r="W1821" s="10" t="n">
        <x:f>H1821*('Assumptions'!$P$51+'Assumptions'!$Y$51)</x:f>
        <x:v>99.41627962455571</x:v>
      </x:c>
      <x:c r="X1821" s="10" t="n">
        <x:f>N1821/12*'Assumptions'!$AF$51</x:f>
        <x:v>2225.395182365055</x:v>
      </x:c>
      <x:c r="Y1821" s="10" t="n">
        <x:f>P1821/12</x:f>
        <x:v>38.557959754724514</x:v>
      </x:c>
      <x:c r="Z1821" s="10" t="n">
        <x:f>0</x:f>
        <x:v>0</x:v>
      </x:c>
      <x:c r="AA1821" s="10" t="n">
        <x:f>Z1821*'Assumptions'!$AC$51*'Assumptions'!$D$11*(1+'Assumptions'!$D$13)^(15-1)</x:f>
        <x:v>0</x:v>
      </x:c>
      <x:c r="AB1821" s="10" t="n">
        <x:f>F1821/1</x:f>
        <x:v>15.741023767981844</x:v>
      </x:c>
      <x:c r="AC1821" s="10" t="n">
        <x:f>AB1821/'Assumptions'!$AM$51</x:f>
        <x:v>78.70511883990922</x:v>
      </x:c>
      <x:c r="AD1821" s="10" t="n">
        <x:f>IF(AB1821=0,0,T1821/AB1821)</x:f>
        <x:v>67.86024233747656</x:v>
      </x:c>
      <x:c r="AE1821" s="10" t="n">
        <x:f>AA1821*'Assumptions'!$D$21</x:f>
        <x:v>0</x:v>
      </x:c>
    </x:row>
    <x:row r="1822" ht="16" customHeight="1">
      <x:c r="A1822" s="1"/>
      <x:c r="B1822" s="1"/>
      <x:c r="C1822" s="1" t="str">
        <x:v>DOT-023</x:v>
      </x:c>
      <x:c r="D1822" s="10" t="str">
        <x:v>BPA professional services</x:v>
      </x:c>
      <x:c r="E1822" s="10" t="n">
        <x:v>15</x:v>
      </x:c>
      <x:c r="F1822" s="21" t="n">
        <x:f>F1694*(1+'Assumptions'!$M$52)</x:f>
        <x:v>9.838139854988649</x:v>
      </x:c>
      <x:c r="G1822" s="21" t="n">
        <x:f>H1694*'Assumptions'!$K$52</x:f>
        <x:v>9.280375457425908</x:v>
      </x:c>
      <x:c r="H1822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1822+G1822,NA())</x:f>
        <x:v>19.11851531241456</x:v>
      </x:c>
      <x:c r="I1822" s="22" t="n">
        <x:f>'Assumptions'!$H$52*IF('Assumptions'!$O$52=1,1,'Assumptions'!$D$10)*(1+'Assumptions'!$N$52)^(15-1)</x:f>
        <x:v>1800</x:v>
      </x:c>
      <x:c r="J1822" s="10" t="n">
        <x:f>H1822*I1822</x:f>
        <x:v>34413.3275623462</x:v>
      </x:c>
      <x:c r="K1822" s="10" t="n">
        <x:f>J1822*'Assumptions'!$T$52</x:f>
        <x:v>34413.3275623462</x:v>
      </x:c>
      <x:c r="L1822" s="10" t="n">
        <x:f>K1822*'Assumptions'!$U$52</x:f>
        <x:v>1032.399826870386</x:v>
      </x:c>
      <x:c r="M1822" s="10" t="n">
        <x:f>K1822*'Assumptions'!$V$52</x:f>
        <x:v>0</x:v>
      </x:c>
      <x:c r="N1822" s="10" t="n">
        <x:f>K1822-L1822-M1822</x:f>
        <x:v>33380.927735475816</x:v>
      </x:c>
      <x:c r="O1822" s="10" t="n">
        <x:f>H1822*'Assumptions'!$P$52*'Assumptions'!$Q$52*'Assumptions'!$D$11*(1+'Assumptions'!$D$13)^(15-1)</x:f>
        <x:v>10410.649133775616</x:v>
      </x:c>
      <x:c r="P1822" s="10" t="n">
        <x:f>H1822*'Assumptions'!$R$52*'Assumptions'!$D$11*(1+'Assumptions'!$D$13)^(15-1)</x:f>
        <x:v>289.1846981604338</x:v>
      </x:c>
      <x:c r="Q1822" s="10" t="n">
        <x:f>J1822*'Assumptions'!$S$52</x:f>
        <x:v>0</x:v>
      </x:c>
      <x:c r="R1822" s="10" t="n">
        <x:f>H1822*'Assumptions'!$Y$52*'Assumptions'!$Z$52*'Assumptions'!$D$11*(1+'Assumptions'!$D$13)^(15-1)</x:f>
        <x:v>216.88852362032534</x:v>
      </x:c>
      <x:c r="S1822" s="10" t="n">
        <x:f>IF(I1822=0,0,J1822*'Assumptions'!$W$52+H1822*'Assumptions'!$X$52)</x:f>
        <x:v>1003.7220539017643</x:v>
      </x:c>
      <x:c r="T1822" s="10" t="n">
        <x:f>N1822*'Assumptions'!$AA$52</x:f>
        <x:v>1335.2371094190328</x:v>
      </x:c>
      <x:c r="U1822" s="10" t="n">
        <x:f>'Assumptions'!$AE$52*'Assumptions'!$D$11*(1+'Assumptions'!$D$13)^(15-1)</x:f>
        <x:v>0</x:v>
      </x:c>
      <x:c r="V1822" s="10" t="n">
        <x:f>0</x:f>
        <x:v>0</x:v>
      </x:c>
      <x:c r="W1822" s="10" t="n">
        <x:f>H1822*('Assumptions'!$P$52+'Assumptions'!$Y$52)</x:f>
        <x:v>119.49072070259099</x:v>
      </x:c>
      <x:c r="X1822" s="10" t="n">
        <x:f>N1822/12*'Assumptions'!$AF$52</x:f>
        <x:v>2781.743977956318</x:v>
      </x:c>
      <x:c r="Y1822" s="10" t="n">
        <x:f>P1822/12</x:f>
        <x:v>24.09872484670282</x:v>
      </x:c>
      <x:c r="Z1822" s="10" t="n">
        <x:f>0</x:f>
        <x:v>0</x:v>
      </x:c>
      <x:c r="AA1822" s="10" t="n">
        <x:f>Z1822*'Assumptions'!$AC$52*'Assumptions'!$D$11*(1+'Assumptions'!$D$13)^(15-1)</x:f>
        <x:v>0</x:v>
      </x:c>
      <x:c r="AB1822" s="10" t="n">
        <x:f>F1822/1</x:f>
        <x:v>9.838139854988649</x:v>
      </x:c>
      <x:c r="AC1822" s="10" t="n">
        <x:f>AB1822/'Assumptions'!$AM$52</x:f>
        <x:v>49.19069927494324</x:v>
      </x:c>
      <x:c r="AD1822" s="10" t="n">
        <x:f>IF(AB1822=0,0,T1822/AB1822)</x:f>
        <x:v>135.72048467495316</x:v>
      </x:c>
      <x:c r="AE1822" s="10" t="n">
        <x:f>AA1822*'Assumptions'!$D$21</x:f>
        <x:v>0</x:v>
      </x:c>
    </x:row>
    <x:row r="1823" ht="16" customHeight="1">
      <x:c r="A1823" s="1"/>
      <x:c r="B1823" s="1"/>
      <x:c r="C1823" s="1" t="str">
        <x:v>DOT-024</x:v>
      </x:c>
      <x:c r="D1823" s="10" t="str">
        <x:v>BPA professional services</x:v>
      </x:c>
      <x:c r="E1823" s="10" t="n">
        <x:v>15</x:v>
      </x:c>
      <x:c r="F1823" s="21" t="n">
        <x:f>F1695*(1+'Assumptions'!$M$53)</x:f>
        <x:v>49.19069927494326</x:v>
      </x:c>
      <x:c r="G1823" s="21" t="n">
        <x:f>H1695*'Assumptions'!$K$53</x:f>
        <x:v>46.40111434767642</x:v>
      </x:c>
      <x:c r="H1823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1823+G1823,NA())</x:f>
        <x:v>95.59181362261968</x:v>
      </x:c>
      <x:c r="I1823" s="22" t="n">
        <x:f>'Assumptions'!$H$53*IF('Assumptions'!$O$53=1,1,'Assumptions'!$D$10)*(1+'Assumptions'!$N$53)^(15-1)</x:f>
        <x:v>540</x:v>
      </x:c>
      <x:c r="J1823" s="10" t="n">
        <x:f>H1823*I1823</x:f>
        <x:v>51619.57935621463</x:v>
      </x:c>
      <x:c r="K1823" s="10" t="n">
        <x:f>J1823*'Assumptions'!$T$53</x:f>
        <x:v>51619.57935621463</x:v>
      </x:c>
      <x:c r="L1823" s="10" t="n">
        <x:f>K1823*'Assumptions'!$U$53</x:f>
        <x:v>1548.5873806864388</x:v>
      </x:c>
      <x:c r="M1823" s="10" t="n">
        <x:f>K1823*'Assumptions'!$V$53</x:f>
        <x:v>0</x:v>
      </x:c>
      <x:c r="N1823" s="10" t="n">
        <x:f>K1823-L1823-M1823</x:f>
        <x:v>50070.99197552819</x:v>
      </x:c>
      <x:c r="O1823" s="10" t="n">
        <x:f>H1823*'Assumptions'!$P$53*'Assumptions'!$Q$53*'Assumptions'!$D$11*(1+'Assumptions'!$D$13)^(15-1)</x:f>
        <x:v>17350.943407900733</x:v>
      </x:c>
      <x:c r="P1823" s="10" t="n">
        <x:f>H1823*'Assumptions'!$R$53*'Assumptions'!$D$11*(1+'Assumptions'!$D$13)^(15-1)</x:f>
        <x:v>1445.9119506583943</x:v>
      </x:c>
      <x:c r="Q1823" s="10" t="n">
        <x:f>J1823*'Assumptions'!$S$53</x:f>
        <x:v>0</x:v>
      </x:c>
      <x:c r="R1823" s="10" t="n">
        <x:f>H1823*'Assumptions'!$Y$53*'Assumptions'!$Z$53*'Assumptions'!$D$11*(1+'Assumptions'!$D$13)^(15-1)</x:f>
        <x:v>1084.4339629937958</x:v>
      </x:c>
      <x:c r="S1823" s="10" t="n">
        <x:f>IF(I1823=0,0,J1823*'Assumptions'!$W$53+H1823*'Assumptions'!$X$53)</x:f>
        <x:v>1525.6453454170103</x:v>
      </x:c>
      <x:c r="T1823" s="10" t="n">
        <x:f>N1823*'Assumptions'!$AA$53</x:f>
        <x:v>2002.8396790211275</x:v>
      </x:c>
      <x:c r="U1823" s="10" t="n">
        <x:f>'Assumptions'!$AE$53*'Assumptions'!$D$11*(1+'Assumptions'!$D$13)^(15-1)</x:f>
        <x:v>0</x:v>
      </x:c>
      <x:c r="V1823" s="10" t="n">
        <x:f>0</x:f>
        <x:v>0</x:v>
      </x:c>
      <x:c r="W1823" s="10" t="n">
        <x:f>H1823*('Assumptions'!$P$53+'Assumptions'!$Y$53)</x:f>
        <x:v>215.0815806508943</x:v>
      </x:c>
      <x:c r="X1823" s="10" t="n">
        <x:f>N1823/12*'Assumptions'!$AF$53</x:f>
        <x:v>4172.582664627349</x:v>
      </x:c>
      <x:c r="Y1823" s="10" t="n">
        <x:f>P1823/12</x:f>
        <x:v>120.49266255486619</x:v>
      </x:c>
      <x:c r="Z1823" s="10" t="n">
        <x:f>0</x:f>
        <x:v>0</x:v>
      </x:c>
      <x:c r="AA1823" s="10" t="n">
        <x:f>Z1823*'Assumptions'!$AC$53*'Assumptions'!$D$11*(1+'Assumptions'!$D$13)^(15-1)</x:f>
        <x:v>0</x:v>
      </x:c>
      <x:c r="AB1823" s="10" t="n">
        <x:f>F1823/1</x:f>
        <x:v>49.19069927494326</x:v>
      </x:c>
      <x:c r="AC1823" s="10" t="n">
        <x:f>AB1823/'Assumptions'!$AM$53</x:f>
        <x:v>245.9534963747163</x:v>
      </x:c>
      <x:c r="AD1823" s="10" t="n">
        <x:f>IF(AB1823=0,0,T1823/AB1823)</x:f>
        <x:v>40.71582044049805</x:v>
      </x:c>
      <x:c r="AE1823" s="10" t="n">
        <x:f>AA1823*'Assumptions'!$D$21</x:f>
        <x:v>0</x:v>
      </x:c>
    </x:row>
    <x:row r="1824" ht="16" customHeight="1">
      <x:c r="A1824" s="1"/>
      <x:c r="B1824" s="1"/>
      <x:c r="C1824" s="1" t="str">
        <x:v>DOT-025</x:v>
      </x:c>
      <x:c r="D1824" s="10" t="str">
        <x:v>BPA professional services</x:v>
      </x:c>
      <x:c r="E1824" s="10" t="n">
        <x:v>15</x:v>
      </x:c>
      <x:c r="F1824" s="21" t="n">
        <x:f>F1696*(1+'Assumptions'!$M$54)</x:f>
        <x:v>19.676279709977297</x:v>
      </x:c>
      <x:c r="G1824" s="21" t="n">
        <x:f>H1696*'Assumptions'!$K$54</x:f>
        <x:v>18.560445739070566</x:v>
      </x:c>
      <x:c r="H1824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1824+G1824,NA())</x:f>
        <x:v>38.23672544904787</x:v>
      </x:c>
      <x:c r="I1824" s="22" t="n">
        <x:f>'Assumptions'!$H$54*IF('Assumptions'!$O$54=1,1,'Assumptions'!$D$10)*(1+'Assumptions'!$N$54)^(15-1)</x:f>
        <x:v>1020</x:v>
      </x:c>
      <x:c r="J1824" s="10" t="n">
        <x:f>H1824*I1824</x:f>
        <x:v>39001.45995802883</x:v>
      </x:c>
      <x:c r="K1824" s="10" t="n">
        <x:f>J1824*'Assumptions'!$T$54</x:f>
        <x:v>39001.45995802883</x:v>
      </x:c>
      <x:c r="L1824" s="10" t="n">
        <x:f>K1824*'Assumptions'!$U$54</x:f>
        <x:v>1170.0437987408648</x:v>
      </x:c>
      <x:c r="M1824" s="10" t="n">
        <x:f>K1824*'Assumptions'!$V$54</x:f>
        <x:v>0</x:v>
      </x:c>
      <x:c r="N1824" s="10" t="n">
        <x:f>K1824-L1824-M1824</x:f>
        <x:v>37831.41615928796</x:v>
      </x:c>
      <x:c r="O1824" s="10" t="n">
        <x:f>H1824*'Assumptions'!$P$54*'Assumptions'!$Q$54*'Assumptions'!$D$11*(1+'Assumptions'!$D$13)^(15-1)</x:f>
        <x:v>17350.94340790073</x:v>
      </x:c>
      <x:c r="P1824" s="10" t="n">
        <x:f>H1824*'Assumptions'!$R$54*'Assumptions'!$D$11*(1+'Assumptions'!$D$13)^(15-1)</x:f>
        <x:v>578.3647802633577</x:v>
      </x:c>
      <x:c r="Q1824" s="10" t="n">
        <x:f>J1824*'Assumptions'!$S$54</x:f>
        <x:v>0</x:v>
      </x:c>
      <x:c r="R1824" s="10" t="n">
        <x:f>H1824*'Assumptions'!$Y$54*'Assumptions'!$Z$54*'Assumptions'!$D$11*(1+'Assumptions'!$D$13)^(15-1)</x:f>
        <x:v>433.7735851975183</x:v>
      </x:c>
      <x:c r="S1824" s="10" t="n">
        <x:f>IF(I1824=0,0,J1824*'Assumptions'!$W$54+H1824*'Assumptions'!$X$54)</x:f>
        <x:v>1142.5133564175503</x:v>
      </x:c>
      <x:c r="T1824" s="10" t="n">
        <x:f>N1824*'Assumptions'!$AA$54</x:f>
        <x:v>1513.2566463715184</x:v>
      </x:c>
      <x:c r="U1824" s="10" t="n">
        <x:f>'Assumptions'!$AE$54*'Assumptions'!$D$11*(1+'Assumptions'!$D$13)^(15-1)</x:f>
        <x:v>0</x:v>
      </x:c>
      <x:c r="V1824" s="10" t="n">
        <x:f>0</x:f>
        <x:v>0</x:v>
      </x:c>
      <x:c r="W1824" s="10" t="n">
        <x:f>H1824*('Assumptions'!$P$54+'Assumptions'!$Y$54)</x:f>
        <x:v>200.7428086075013</x:v>
      </x:c>
      <x:c r="X1824" s="10" t="n">
        <x:f>N1824/12*'Assumptions'!$AF$54</x:f>
        <x:v>3152.618013273997</x:v>
      </x:c>
      <x:c r="Y1824" s="10" t="n">
        <x:f>P1824/12</x:f>
        <x:v>48.19706502194648</x:v>
      </x:c>
      <x:c r="Z1824" s="10" t="n">
        <x:f>0</x:f>
        <x:v>0</x:v>
      </x:c>
      <x:c r="AA1824" s="10" t="n">
        <x:f>Z1824*'Assumptions'!$AC$54*'Assumptions'!$D$11*(1+'Assumptions'!$D$13)^(15-1)</x:f>
        <x:v>0</x:v>
      </x:c>
      <x:c r="AB1824" s="10" t="n">
        <x:f>F1824/1</x:f>
        <x:v>19.676279709977297</x:v>
      </x:c>
      <x:c r="AC1824" s="10" t="n">
        <x:f>AB1824/'Assumptions'!$AM$54</x:f>
        <x:v>98.38139854988648</x:v>
      </x:c>
      <x:c r="AD1824" s="10" t="n">
        <x:f>IF(AB1824=0,0,T1824/AB1824)</x:f>
        <x:v>76.90766083205189</x:v>
      </x:c>
      <x:c r="AE1824" s="10" t="n">
        <x:f>AA1824*'Assumptions'!$D$21</x:f>
        <x:v>0</x:v>
      </x:c>
    </x:row>
    <x:row r="1825" ht="16" customHeight="1">
      <x:c r="A1825" s="1"/>
      <x:c r="B1825" s="1"/>
      <x:c r="C1825" s="1" t="str">
        <x:v>DOT-026</x:v>
      </x:c>
      <x:c r="D1825" s="10" t="str">
        <x:v>BPA professional services</x:v>
      </x:c>
      <x:c r="E1825" s="10" t="n">
        <x:v>15</x:v>
      </x:c>
      <x:c r="F1825" s="21" t="n">
        <x:f>F1697*(1+'Assumptions'!$M$55)</x:f>
        <x:v>7.870511883990922</x:v>
      </x:c>
      <x:c r="G1825" s="21" t="n">
        <x:f>H1697*'Assumptions'!$K$55</x:f>
        <x:v>7.424178295628227</x:v>
      </x:c>
      <x:c r="H1825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1825+G1825,NA())</x:f>
        <x:v>15.294690179619149</x:v>
      </x:c>
      <x:c r="I1825" s="22" t="n">
        <x:f>'Assumptions'!$H$55*IF('Assumptions'!$O$55=1,1,'Assumptions'!$D$10)*(1+'Assumptions'!$N$55)^(15-1)</x:f>
        <x:v>1800</x:v>
      </x:c>
      <x:c r="J1825" s="10" t="n">
        <x:f>H1825*I1825</x:f>
        <x:v>27530.44232331447</x:v>
      </x:c>
      <x:c r="K1825" s="10" t="n">
        <x:f>J1825*'Assumptions'!$T$55</x:f>
        <x:v>27530.44232331447</x:v>
      </x:c>
      <x:c r="L1825" s="10" t="n">
        <x:f>K1825*'Assumptions'!$U$55</x:f>
        <x:v>825.9132696994341</x:v>
      </x:c>
      <x:c r="M1825" s="10" t="n">
        <x:f>K1825*'Assumptions'!$V$55</x:f>
        <x:v>0</x:v>
      </x:c>
      <x:c r="N1825" s="10" t="n">
        <x:f>K1825-L1825-M1825</x:f>
        <x:v>26704.529053615035</x:v>
      </x:c>
      <x:c r="O1825" s="10" t="n">
        <x:f>H1825*'Assumptions'!$P$55*'Assumptions'!$Q$55*'Assumptions'!$D$11*(1+'Assumptions'!$D$13)^(15-1)</x:f>
        <x:v>13880.754726320587</x:v>
      </x:c>
      <x:c r="P1825" s="10" t="n">
        <x:f>H1825*'Assumptions'!$R$55*'Assumptions'!$D$11*(1+'Assumptions'!$D$13)^(15-1)</x:f>
        <x:v>231.3459121053431</x:v>
      </x:c>
      <x:c r="Q1825" s="10" t="n">
        <x:f>J1825*'Assumptions'!$S$55</x:f>
        <x:v>0</x:v>
      </x:c>
      <x:c r="R1825" s="10" t="n">
        <x:f>H1825*'Assumptions'!$Y$55*'Assumptions'!$Z$55*'Assumptions'!$D$11*(1+'Assumptions'!$D$13)^(15-1)</x:f>
        <x:v>173.50943407900732</x:v>
      </x:c>
      <x:c r="S1825" s="10" t="n">
        <x:f>IF(I1825=0,0,J1825*'Assumptions'!$W$55+H1825*'Assumptions'!$X$55)</x:f>
        <x:v>802.9712344300053</x:v>
      </x:c>
      <x:c r="T1825" s="10" t="n">
        <x:f>N1825*'Assumptions'!$AA$55</x:f>
        <x:v>1068.1811621446013</x:v>
      </x:c>
      <x:c r="U1825" s="10" t="n">
        <x:f>'Assumptions'!$AE$55*'Assumptions'!$D$11*(1+'Assumptions'!$D$13)^(15-1)</x:f>
        <x:v>0</x:v>
      </x:c>
      <x:c r="V1825" s="10" t="n">
        <x:f>0</x:f>
        <x:v>0</x:v>
      </x:c>
      <x:c r="W1825" s="10" t="n">
        <x:f>H1825*('Assumptions'!$P$55+'Assumptions'!$Y$55)</x:f>
        <x:v>156.77057434109628</x:v>
      </x:c>
      <x:c r="X1825" s="10" t="n">
        <x:f>N1825/12*'Assumptions'!$AF$55</x:f>
        <x:v>2225.3774211345863</x:v>
      </x:c>
      <x:c r="Y1825" s="10" t="n">
        <x:f>P1825/12</x:f>
        <x:v>19.27882600877859</x:v>
      </x:c>
      <x:c r="Z1825" s="10" t="n">
        <x:f>0</x:f>
        <x:v>0</x:v>
      </x:c>
      <x:c r="AA1825" s="10" t="n">
        <x:f>Z1825*'Assumptions'!$AC$55*'Assumptions'!$D$11*(1+'Assumptions'!$D$13)^(15-1)</x:f>
        <x:v>0</x:v>
      </x:c>
      <x:c r="AB1825" s="10" t="n">
        <x:f>F1825/1</x:f>
        <x:v>7.870511883990922</x:v>
      </x:c>
      <x:c r="AC1825" s="10" t="n">
        <x:f>AB1825/'Assumptions'!$AM$55</x:f>
        <x:v>39.35255941995461</x:v>
      </x:c>
      <x:c r="AD1825" s="10" t="n">
        <x:f>IF(AB1825=0,0,T1825/AB1825)</x:f>
        <x:v>135.71940146832682</x:v>
      </x:c>
      <x:c r="AE1825" s="10" t="n">
        <x:f>AA1825*'Assumptions'!$D$21</x:f>
        <x:v>0</x:v>
      </x:c>
    </x:row>
    <x:row r="1826" ht="16" customHeight="1">
      <x:c r="A1826" s="1"/>
      <x:c r="B1826" s="1"/>
      <x:c r="C1826" s="1" t="str">
        <x:v>DOT-027</x:v>
      </x:c>
      <x:c r="D1826" s="10" t="str">
        <x:v>BPA professional services</x:v>
      </x:c>
      <x:c r="E1826" s="10" t="n">
        <x:v>15</x:v>
      </x:c>
      <x:c r="F1826" s="21" t="n">
        <x:f>F1698*(1+'Assumptions'!$M$56)</x:f>
        <x:v>7.870511883990922</x:v>
      </x:c>
      <x:c r="G1826" s="21" t="n">
        <x:f>H1698*'Assumptions'!$K$56</x:f>
        <x:v>7.424178295628227</x:v>
      </x:c>
      <x:c r="H1826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1826+G1826,NA())</x:f>
        <x:v>15.294690179619149</x:v>
      </x:c>
      <x:c r="I1826" s="22" t="n">
        <x:f>'Assumptions'!$H$56*IF('Assumptions'!$O$56=1,1,'Assumptions'!$D$10)*(1+'Assumptions'!$N$56)^(15-1)</x:f>
        <x:v>1800</x:v>
      </x:c>
      <x:c r="J1826" s="10" t="n">
        <x:f>H1826*I1826</x:f>
        <x:v>27530.44232331447</x:v>
      </x:c>
      <x:c r="K1826" s="10" t="n">
        <x:f>J1826*'Assumptions'!$T$56</x:f>
        <x:v>27530.44232331447</x:v>
      </x:c>
      <x:c r="L1826" s="10" t="n">
        <x:f>K1826*'Assumptions'!$U$56</x:f>
        <x:v>825.9132696994341</x:v>
      </x:c>
      <x:c r="M1826" s="10" t="n">
        <x:f>K1826*'Assumptions'!$V$56</x:f>
        <x:v>0</x:v>
      </x:c>
      <x:c r="N1826" s="10" t="n">
        <x:f>K1826-L1826-M1826</x:f>
        <x:v>26704.529053615035</x:v>
      </x:c>
      <x:c r="O1826" s="10" t="n">
        <x:f>H1826*'Assumptions'!$P$56*'Assumptions'!$Q$56*'Assumptions'!$D$11*(1+'Assumptions'!$D$13)^(15-1)</x:f>
        <x:v>13880.754726320587</x:v>
      </x:c>
      <x:c r="P1826" s="10" t="n">
        <x:f>H1826*'Assumptions'!$R$56*'Assumptions'!$D$11*(1+'Assumptions'!$D$13)^(15-1)</x:f>
        <x:v>231.3459121053431</x:v>
      </x:c>
      <x:c r="Q1826" s="10" t="n">
        <x:f>J1826*'Assumptions'!$S$56</x:f>
        <x:v>0</x:v>
      </x:c>
      <x:c r="R1826" s="10" t="n">
        <x:f>H1826*'Assumptions'!$Y$56*'Assumptions'!$Z$56*'Assumptions'!$D$11*(1+'Assumptions'!$D$13)^(15-1)</x:f>
        <x:v>173.50943407900732</x:v>
      </x:c>
      <x:c r="S1826" s="10" t="n">
        <x:f>IF(I1826=0,0,J1826*'Assumptions'!$W$56+H1826*'Assumptions'!$X$56)</x:f>
        <x:v>802.9712344300053</x:v>
      </x:c>
      <x:c r="T1826" s="10" t="n">
        <x:f>N1826*'Assumptions'!$AA$56</x:f>
        <x:v>1068.1811621446013</x:v>
      </x:c>
      <x:c r="U1826" s="10" t="n">
        <x:f>'Assumptions'!$AE$56*'Assumptions'!$D$11*(1+'Assumptions'!$D$13)^(15-1)</x:f>
        <x:v>0</x:v>
      </x:c>
      <x:c r="V1826" s="10" t="n">
        <x:f>0</x:f>
        <x:v>0</x:v>
      </x:c>
      <x:c r="W1826" s="10" t="n">
        <x:f>H1826*('Assumptions'!$P$56+'Assumptions'!$Y$56)</x:f>
        <x:v>156.77057434109628</x:v>
      </x:c>
      <x:c r="X1826" s="10" t="n">
        <x:f>N1826/12*'Assumptions'!$AF$56</x:f>
        <x:v>2225.3774211345863</x:v>
      </x:c>
      <x:c r="Y1826" s="10" t="n">
        <x:f>P1826/12</x:f>
        <x:v>19.27882600877859</x:v>
      </x:c>
      <x:c r="Z1826" s="10" t="n">
        <x:f>0</x:f>
        <x:v>0</x:v>
      </x:c>
      <x:c r="AA1826" s="10" t="n">
        <x:f>Z1826*'Assumptions'!$AC$56*'Assumptions'!$D$11*(1+'Assumptions'!$D$13)^(15-1)</x:f>
        <x:v>0</x:v>
      </x:c>
      <x:c r="AB1826" s="10" t="n">
        <x:f>F1826/1</x:f>
        <x:v>7.870511883990922</x:v>
      </x:c>
      <x:c r="AC1826" s="10" t="n">
        <x:f>AB1826/'Assumptions'!$AM$56</x:f>
        <x:v>39.35255941995461</x:v>
      </x:c>
      <x:c r="AD1826" s="10" t="n">
        <x:f>IF(AB1826=0,0,T1826/AB1826)</x:f>
        <x:v>135.71940146832682</x:v>
      </x:c>
      <x:c r="AE1826" s="10" t="n">
        <x:f>AA1826*'Assumptions'!$D$21</x:f>
        <x:v>0</x:v>
      </x:c>
    </x:row>
    <x:row r="1827" ht="16" customHeight="1">
      <x:c r="A1827" s="1"/>
      <x:c r="B1827" s="1"/>
      <x:c r="C1827" s="1" t="str">
        <x:v>DOT-028</x:v>
      </x:c>
      <x:c r="D1827" s="10" t="str">
        <x:v>BPA professional services</x:v>
      </x:c>
      <x:c r="E1827" s="10" t="n">
        <x:v>15</x:v>
      </x:c>
      <x:c r="F1827" s="21" t="n">
        <x:f>F1699*(1+'Assumptions'!$M$57)</x:f>
        <x:v>3.935255941995461</x:v>
      </x:c>
      <x:c r="G1827" s="21" t="n">
        <x:f>H1699*'Assumptions'!$K$57</x:f>
        <x:v>3.7120891478141136</x:v>
      </x:c>
      <x:c r="H1827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1827+G1827,NA())</x:f>
        <x:v>7.6473450898095745</x:v>
      </x:c>
      <x:c r="I1827" s="22" t="n">
        <x:f>'Assumptions'!$H$57*IF('Assumptions'!$O$57=1,1,'Assumptions'!$D$10)*(1+'Assumptions'!$N$57)^(15-1)</x:f>
        <x:v>1800</x:v>
      </x:c>
      <x:c r="J1827" s="10" t="n">
        <x:f>H1827*I1827</x:f>
        <x:v>13765.221161657235</x:v>
      </x:c>
      <x:c r="K1827" s="10" t="n">
        <x:f>J1827*'Assumptions'!$T$57</x:f>
        <x:v>13765.221161657235</x:v>
      </x:c>
      <x:c r="L1827" s="10" t="n">
        <x:f>K1827*'Assumptions'!$U$57</x:f>
        <x:v>412.95663484971703</x:v>
      </x:c>
      <x:c r="M1827" s="10" t="n">
        <x:f>K1827*'Assumptions'!$V$57</x:f>
        <x:v>0</x:v>
      </x:c>
      <x:c r="N1827" s="10" t="n">
        <x:f>K1827-L1827-M1827</x:f>
        <x:v>13352.264526807518</x:v>
      </x:c>
      <x:c r="O1827" s="10" t="n">
        <x:f>H1827*'Assumptions'!$P$57*'Assumptions'!$Q$57*'Assumptions'!$D$11*(1+'Assumptions'!$D$13)^(15-1)</x:f>
        <x:v>8328.45283579235</x:v>
      </x:c>
      <x:c r="P1827" s="10" t="n">
        <x:f>H1827*'Assumptions'!$R$57*'Assumptions'!$D$11*(1+'Assumptions'!$D$13)^(15-1)</x:f>
        <x:v>115.67295605267155</x:v>
      </x:c>
      <x:c r="Q1827" s="10" t="n">
        <x:f>J1827*'Assumptions'!$S$57</x:f>
        <x:v>0</x:v>
      </x:c>
      <x:c r="R1827" s="10" t="n">
        <x:f>H1827*'Assumptions'!$Y$57*'Assumptions'!$Z$57*'Assumptions'!$D$11*(1+'Assumptions'!$D$13)^(15-1)</x:f>
        <x:v>86.75471703950366</x:v>
      </x:c>
      <x:c r="S1827" s="10" t="n">
        <x:f>IF(I1827=0,0,J1827*'Assumptions'!$W$57+H1827*'Assumptions'!$X$57)</x:f>
        <x:v>401.48561721500266</x:v>
      </x:c>
      <x:c r="T1827" s="10" t="n">
        <x:f>N1827*'Assumptions'!$AA$57</x:f>
        <x:v>534.0905810723007</x:v>
      </x:c>
      <x:c r="U1827" s="10" t="n">
        <x:f>'Assumptions'!$AE$57*'Assumptions'!$D$11*(1+'Assumptions'!$D$13)^(15-1)</x:f>
        <x:v>0</x:v>
      </x:c>
      <x:c r="V1827" s="10" t="n">
        <x:f>0</x:f>
        <x:v>0</x:v>
      </x:c>
      <x:c r="W1827" s="10" t="n">
        <x:f>H1827*('Assumptions'!$P$57+'Assumptions'!$Y$57)</x:f>
        <x:v>93.67997735016729</x:v>
      </x:c>
      <x:c r="X1827" s="10" t="n">
        <x:f>N1827/12*'Assumptions'!$AF$57</x:f>
        <x:v>1112.6887105672931</x:v>
      </x:c>
      <x:c r="Y1827" s="10" t="n">
        <x:f>P1827/12</x:f>
        <x:v>9.639413004389295</x:v>
      </x:c>
      <x:c r="Z1827" s="10" t="n">
        <x:f>0</x:f>
        <x:v>0</x:v>
      </x:c>
      <x:c r="AA1827" s="10" t="n">
        <x:f>Z1827*'Assumptions'!$AC$57*'Assumptions'!$D$11*(1+'Assumptions'!$D$13)^(15-1)</x:f>
        <x:v>0</x:v>
      </x:c>
      <x:c r="AB1827" s="10" t="n">
        <x:f>F1827/1</x:f>
        <x:v>3.935255941995461</x:v>
      </x:c>
      <x:c r="AC1827" s="10" t="n">
        <x:f>AB1827/'Assumptions'!$AM$57</x:f>
        <x:v>19.676279709977305</x:v>
      </x:c>
      <x:c r="AD1827" s="10" t="n">
        <x:f>IF(AB1827=0,0,T1827/AB1827)</x:f>
        <x:v>135.71940146832682</x:v>
      </x:c>
      <x:c r="AE1827" s="10" t="n">
        <x:f>AA1827*'Assumptions'!$D$21</x:f>
        <x:v>0</x:v>
      </x:c>
    </x:row>
    <x:row r="1828" ht="16" customHeight="1">
      <x:c r="A1828" s="1"/>
      <x:c r="B1828" s="1"/>
      <x:c r="C1828" s="1" t="str">
        <x:v>DOT-029</x:v>
      </x:c>
      <x:c r="D1828" s="10" t="str">
        <x:v>BPA professional services</x:v>
      </x:c>
      <x:c r="E1828" s="10" t="n">
        <x:v>15</x:v>
      </x:c>
      <x:c r="F1828" s="21" t="n">
        <x:f>F1700*(1+'Assumptions'!$M$58)</x:f>
        <x:v>39.352559419954595</x:v>
      </x:c>
      <x:c r="G1828" s="21" t="n">
        <x:f>H1700*'Assumptions'!$K$58</x:f>
        <x:v>37.12089147814113</x:v>
      </x:c>
      <x:c r="H1828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1828+G1828,NA())</x:f>
        <x:v>76.47345089809573</x:v>
      </x:c>
      <x:c r="I1828" s="22" t="n">
        <x:f>'Assumptions'!$H$58*IF('Assumptions'!$O$58=1,1,'Assumptions'!$D$10)*(1+'Assumptions'!$N$58)^(15-1)</x:f>
        <x:v>180</x:v>
      </x:c>
      <x:c r="J1828" s="10" t="n">
        <x:f>H1828*I1828</x:f>
        <x:v>13765.221161657231</x:v>
      </x:c>
      <x:c r="K1828" s="10" t="n">
        <x:f>J1828*'Assumptions'!$T$58</x:f>
        <x:v>13765.221161657231</x:v>
      </x:c>
      <x:c r="L1828" s="10" t="n">
        <x:f>K1828*'Assumptions'!$U$58</x:f>
        <x:v>412.9566348497169</x:v>
      </x:c>
      <x:c r="M1828" s="10" t="n">
        <x:f>K1828*'Assumptions'!$V$58</x:f>
        <x:v>0</x:v>
      </x:c>
      <x:c r="N1828" s="10" t="n">
        <x:f>K1828-L1828-M1828</x:f>
        <x:v>13352.264526807514</x:v>
      </x:c>
      <x:c r="O1828" s="10" t="n">
        <x:f>H1828*'Assumptions'!$P$58*'Assumptions'!$Q$58*'Assumptions'!$D$11*(1+'Assumptions'!$D$13)^(15-1)</x:f>
        <x:v>6940.377363160293</x:v>
      </x:c>
      <x:c r="P1828" s="10" t="n">
        <x:f>H1828*'Assumptions'!$R$58*'Assumptions'!$D$11*(1+'Assumptions'!$D$13)^(15-1)</x:f>
        <x:v>1156.7295605267154</x:v>
      </x:c>
      <x:c r="Q1828" s="10" t="n">
        <x:f>J1828*'Assumptions'!$S$58</x:f>
        <x:v>0</x:v>
      </x:c>
      <x:c r="R1828" s="10" t="n">
        <x:f>H1828*'Assumptions'!$Y$58*'Assumptions'!$Z$58*'Assumptions'!$D$11*(1+'Assumptions'!$D$13)^(15-1)</x:f>
        <x:v>867.5471703950366</x:v>
      </x:c>
      <x:c r="S1828" s="10" t="n">
        <x:f>IF(I1828=0,0,J1828*'Assumptions'!$W$58+H1828*'Assumptions'!$X$58)</x:f>
        <x:v>422.1334489574885</x:v>
      </x:c>
      <x:c r="T1828" s="10" t="n">
        <x:f>N1828*'Assumptions'!$AA$58</x:f>
        <x:v>534.0905810723006</x:v>
      </x:c>
      <x:c r="U1828" s="10" t="n">
        <x:f>'Assumptions'!$AE$58*'Assumptions'!$D$11*(1+'Assumptions'!$D$13)^(15-1)</x:f>
        <x:v>0</x:v>
      </x:c>
      <x:c r="V1828" s="10" t="n">
        <x:f>0</x:f>
        <x:v>0</x:v>
      </x:c>
      <x:c r="W1828" s="10" t="n">
        <x:f>H1828*('Assumptions'!$P$58+'Assumptions'!$Y$58)</x:f>
        <x:v>95.59181362261967</x:v>
      </x:c>
      <x:c r="X1828" s="10" t="n">
        <x:f>N1828/12*'Assumptions'!$AF$58</x:f>
        <x:v>1112.688710567293</x:v>
      </x:c>
      <x:c r="Y1828" s="10" t="n">
        <x:f>P1828/12</x:f>
        <x:v>96.39413004389296</x:v>
      </x:c>
      <x:c r="Z1828" s="10" t="n">
        <x:f>0</x:f>
        <x:v>0</x:v>
      </x:c>
      <x:c r="AA1828" s="10" t="n">
        <x:f>Z1828*'Assumptions'!$AC$58*'Assumptions'!$D$11*(1+'Assumptions'!$D$13)^(15-1)</x:f>
        <x:v>0</x:v>
      </x:c>
      <x:c r="AB1828" s="10" t="n">
        <x:f>F1828/1</x:f>
        <x:v>39.352559419954595</x:v>
      </x:c>
      <x:c r="AC1828" s="10" t="n">
        <x:f>AB1828/'Assumptions'!$AM$58</x:f>
        <x:v>196.76279709977297</x:v>
      </x:c>
      <x:c r="AD1828" s="10" t="n">
        <x:f>IF(AB1828=0,0,T1828/AB1828)</x:f>
        <x:v>13.571940146832686</x:v>
      </x:c>
      <x:c r="AE1828" s="10" t="n">
        <x:f>AA1828*'Assumptions'!$D$21</x:f>
        <x:v>0</x:v>
      </x:c>
    </x:row>
    <x:row r="1829" ht="16" customHeight="1">
      <x:c r="A1829" s="1"/>
      <x:c r="B1829" s="1"/>
      <x:c r="C1829" s="1" t="str">
        <x:v>DOT-030</x:v>
      </x:c>
      <x:c r="D1829" s="10" t="str">
        <x:v>BPA professional services</x:v>
      </x:c>
      <x:c r="E1829" s="10" t="n">
        <x:v>15</x:v>
      </x:c>
      <x:c r="F1829" s="21" t="n">
        <x:f>F1701*(1+'Assumptions'!$M$59)</x:f>
        <x:v>7.870511883990922</x:v>
      </x:c>
      <x:c r="G1829" s="21" t="n">
        <x:f>H1701*'Assumptions'!$K$59</x:f>
        <x:v>7.424178295628227</x:v>
      </x:c>
      <x:c r="H1829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1829+G1829,NA())</x:f>
        <x:v>15.294690179619149</x:v>
      </x:c>
      <x:c r="I1829" s="22" t="n">
        <x:f>'Assumptions'!$H$59*IF('Assumptions'!$O$59=1,1,'Assumptions'!$D$10)*(1+'Assumptions'!$N$59)^(15-1)</x:f>
        <x:v>659.7393815314362</x:v>
      </x:c>
      <x:c r="J1829" s="10" t="n">
        <x:f>H1829*I1829</x:f>
        <x:v>10090.509439816868</x:v>
      </x:c>
      <x:c r="K1829" s="10" t="n">
        <x:f>J1829*'Assumptions'!$T$59</x:f>
        <x:v>10090.509439816868</x:v>
      </x:c>
      <x:c r="L1829" s="10" t="n">
        <x:f>K1829*'Assumptions'!$U$59</x:f>
        <x:v>302.715283194506</x:v>
      </x:c>
      <x:c r="M1829" s="10" t="n">
        <x:f>K1829*'Assumptions'!$V$59</x:f>
        <x:v>0</x:v>
      </x:c>
      <x:c r="N1829" s="10" t="n">
        <x:f>K1829-L1829-M1829</x:f>
        <x:v>9787.794156622362</x:v>
      </x:c>
      <x:c r="O1829" s="10" t="n">
        <x:f>H1829*'Assumptions'!$P$59*'Assumptions'!$Q$59*'Assumptions'!$D$11*(1+'Assumptions'!$D$13)^(15-1)</x:f>
        <x:v>4164.226417896175</x:v>
      </x:c>
      <x:c r="P1829" s="10" t="n">
        <x:f>H1829*'Assumptions'!$R$59*'Assumptions'!$D$11*(1+'Assumptions'!$D$13)^(15-1)</x:f>
        <x:v>231.3459121053431</x:v>
      </x:c>
      <x:c r="Q1829" s="10" t="n">
        <x:f>J1829*'Assumptions'!$S$59</x:f>
        <x:v>0</x:v>
      </x:c>
      <x:c r="R1829" s="10" t="n">
        <x:f>H1829*'Assumptions'!$Y$59*'Assumptions'!$Z$59*'Assumptions'!$D$11*(1+'Assumptions'!$D$13)^(15-1)</x:f>
        <x:v>173.50943407900732</x:v>
      </x:c>
      <x:c r="S1829" s="10" t="n">
        <x:f>IF(I1829=0,0,J1829*'Assumptions'!$W$59+H1829*'Assumptions'!$X$59)</x:f>
        <x:v>297.2131808085749</x:v>
      </x:c>
      <x:c r="T1829" s="10" t="n">
        <x:f>N1829*'Assumptions'!$AA$59</x:f>
        <x:v>391.5117662648945</x:v>
      </x:c>
      <x:c r="U1829" s="10" t="n">
        <x:f>'Assumptions'!$AE$59*'Assumptions'!$D$11*(1+'Assumptions'!$D$13)^(15-1)</x:f>
        <x:v>0</x:v>
      </x:c>
      <x:c r="V1829" s="10" t="n">
        <x:f>0</x:f>
        <x:v>0</x:v>
      </x:c>
      <x:c r="W1829" s="10" t="n">
        <x:f>H1829*('Assumptions'!$P$59+'Assumptions'!$Y$59)</x:f>
        <x:v>49.70774308376223</x:v>
      </x:c>
      <x:c r="X1829" s="10" t="n">
        <x:f>N1829/12*'Assumptions'!$AF$59</x:f>
        <x:v>815.6495130518634</x:v>
      </x:c>
      <x:c r="Y1829" s="10" t="n">
        <x:f>P1829/12</x:f>
        <x:v>19.27882600877859</x:v>
      </x:c>
      <x:c r="Z1829" s="10" t="n">
        <x:f>0</x:f>
        <x:v>0</x:v>
      </x:c>
      <x:c r="AA1829" s="10" t="n">
        <x:f>Z1829*'Assumptions'!$AC$59*'Assumptions'!$D$11*(1+'Assumptions'!$D$13)^(15-1)</x:f>
        <x:v>0</x:v>
      </x:c>
      <x:c r="AB1829" s="10" t="n">
        <x:f>F1829/1</x:f>
        <x:v>7.870511883990922</x:v>
      </x:c>
      <x:c r="AC1829" s="10" t="n">
        <x:f>AB1829/'Assumptions'!$AM$59</x:f>
        <x:v>39.35255941995461</x:v>
      </x:c>
      <x:c r="AD1829" s="10" t="n">
        <x:f>IF(AB1829=0,0,T1829/AB1829)</x:f>
        <x:v>49.744129992517024</x:v>
      </x:c>
      <x:c r="AE1829" s="10" t="n">
        <x:f>AA1829*'Assumptions'!$D$21</x:f>
        <x:v>0</x:v>
      </x:c>
    </x:row>
    <x:row r="1830" ht="16" customHeight="1">
      <x:c r="A1830" s="1"/>
      <x:c r="B1830" s="1"/>
      <x:c r="C1830" s="1" t="str">
        <x:v>DOT-031</x:v>
      </x:c>
      <x:c r="D1830" s="10" t="str">
        <x:v>BPA professional services</x:v>
      </x:c>
      <x:c r="E1830" s="10" t="n">
        <x:v>15</x:v>
      </x:c>
      <x:c r="F1830" s="21" t="n">
        <x:f>F1702*(1+'Assumptions'!$M$60)</x:f>
        <x:v>3.935255941995461</x:v>
      </x:c>
      <x:c r="G1830" s="21" t="n">
        <x:f>H1702*'Assumptions'!$K$60</x:f>
        <x:v>3.7121501829703636</x:v>
      </x:c>
      <x:c r="H1830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1830+G1830,NA())</x:f>
        <x:v>7.6474061249658245</x:v>
      </x:c>
      <x:c r="I1830" s="22" t="n">
        <x:f>'Assumptions'!$H$60*IF('Assumptions'!$O$60=1,1,'Assumptions'!$D$10)*(1+'Assumptions'!$N$60)^(15-1)</x:f>
        <x:v>6597.393815314362</x:v>
      </x:c>
      <x:c r="J1830" s="10" t="n">
        <x:f>H1830*I1830</x:f>
        <x:v>50452.9498720467</x:v>
      </x:c>
      <x:c r="K1830" s="10" t="n">
        <x:f>J1830*'Assumptions'!$T$60</x:f>
        <x:v>50452.9498720467</x:v>
      </x:c>
      <x:c r="L1830" s="10" t="n">
        <x:f>K1830*'Assumptions'!$U$60</x:f>
        <x:v>1513.588496161401</x:v>
      </x:c>
      <x:c r="M1830" s="10" t="n">
        <x:f>K1830*'Assumptions'!$V$60</x:f>
        <x:v>0</x:v>
      </x:c>
      <x:c r="N1830" s="10" t="n">
        <x:f>K1830-L1830-M1830</x:f>
        <x:v>48939.3613758853</x:v>
      </x:c>
      <x:c r="O1830" s="10" t="n">
        <x:f>H1830*'Assumptions'!$P$60*'Assumptions'!$Q$60*'Assumptions'!$D$11*(1+'Assumptions'!$D$13)^(15-1)</x:f>
        <x:v>27761.73102340165</x:v>
      </x:c>
      <x:c r="P1830" s="10" t="n">
        <x:f>H1830*'Assumptions'!$R$60*'Assumptions'!$D$11*(1+'Assumptions'!$D$13)^(15-1)</x:f>
        <x:v>115.67387926417355</x:v>
      </x:c>
      <x:c r="Q1830" s="10" t="n">
        <x:f>J1830*'Assumptions'!$S$60</x:f>
        <x:v>0</x:v>
      </x:c>
      <x:c r="R1830" s="10" t="n">
        <x:f>H1830*'Assumptions'!$Y$60*'Assumptions'!$Z$60*'Assumptions'!$D$11*(1+'Assumptions'!$D$13)^(15-1)</x:f>
        <x:v>86.75540944813015</x:v>
      </x:c>
      <x:c r="S1830" s="10" t="n">
        <x:f>IF(I1830=0,0,J1830*'Assumptions'!$W$60+H1830*'Assumptions'!$X$60)</x:f>
        <x:v>1465.429768126844</x:v>
      </x:c>
      <x:c r="T1830" s="10" t="n">
        <x:f>N1830*'Assumptions'!$AA$60</x:f>
        <x:v>1957.574455035412</x:v>
      </x:c>
      <x:c r="U1830" s="10" t="n">
        <x:f>'Assumptions'!$AE$60*'Assumptions'!$D$11*(1+'Assumptions'!$D$13)^(15-1)</x:f>
        <x:v>0</x:v>
      </x:c>
      <x:c r="V1830" s="10" t="n">
        <x:f>0</x:f>
        <x:v>0</x:v>
      </x:c>
      <x:c r="W1830" s="10" t="n">
        <x:f>H1830*('Assumptions'!$P$60+'Assumptions'!$Y$60)</x:f>
        <x:v>307.80809652987443</x:v>
      </x:c>
      <x:c r="X1830" s="10" t="n">
        <x:f>N1830/12*'Assumptions'!$AF$60</x:f>
        <x:v>4078.2801146571087</x:v>
      </x:c>
      <x:c r="Y1830" s="10" t="n">
        <x:f>P1830/12</x:f>
        <x:v>9.639489938681129</x:v>
      </x:c>
      <x:c r="Z1830" s="10" t="n">
        <x:f>0</x:f>
        <x:v>0</x:v>
      </x:c>
      <x:c r="AA1830" s="10" t="n">
        <x:f>Z1830*'Assumptions'!$AC$60*'Assumptions'!$D$11*(1+'Assumptions'!$D$13)^(15-1)</x:f>
        <x:v>0</x:v>
      </x:c>
      <x:c r="AB1830" s="10" t="n">
        <x:f>F1830/1</x:f>
        <x:v>3.935255941995461</x:v>
      </x:c>
      <x:c r="AC1830" s="10" t="n">
        <x:f>AB1830/'Assumptions'!$AM$60</x:f>
        <x:v>19.676279709977305</x:v>
      </x:c>
      <x:c r="AD1830" s="10" t="n">
        <x:f>IF(AB1830=0,0,T1830/AB1830)</x:f>
        <x:v>497.4452701144463</x:v>
      </x:c>
      <x:c r="AE1830" s="10" t="n">
        <x:f>AA1830*'Assumptions'!$D$21</x:f>
        <x:v>0</x:v>
      </x:c>
    </x:row>
    <x:row r="1831" ht="16" customHeight="1">
      <x:c r="A1831" s="1"/>
      <x:c r="B1831" s="1"/>
      <x:c r="C1831" s="1" t="str">
        <x:v>DOT-032</x:v>
      </x:c>
      <x:c r="D1831" s="10" t="str">
        <x:v>BPA professional services</x:v>
      </x:c>
      <x:c r="E1831" s="10" t="n">
        <x:v>15</x:v>
      </x:c>
      <x:c r="F1831" s="21" t="n">
        <x:f>F1703*(1+'Assumptions'!$M$61)</x:f>
        <x:v>1.9676279709977305</x:v>
      </x:c>
      <x:c r="G1831" s="21" t="n">
        <x:f>H1703*'Assumptions'!$K$61</x:f>
        <x:v>1.8560750914851818</x:v>
      </x:c>
      <x:c r="H1831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1831+G1831,NA())</x:f>
        <x:v>3.8237030624829123</x:v>
      </x:c>
      <x:c r="I1831" s="22" t="n">
        <x:f>'Assumptions'!$H$61*IF('Assumptions'!$O$61=1,1,'Assumptions'!$D$10)*(1+'Assumptions'!$N$61)^(15-1)</x:f>
        <x:v>9896.090722971543</x:v>
      </x:c>
      <x:c r="J1831" s="10" t="n">
        <x:f>H1831*I1831</x:f>
        <x:v>37839.712404035025</x:v>
      </x:c>
      <x:c r="K1831" s="10" t="n">
        <x:f>J1831*'Assumptions'!$T$61</x:f>
        <x:v>37839.712404035025</x:v>
      </x:c>
      <x:c r="L1831" s="10" t="n">
        <x:f>K1831*'Assumptions'!$U$61</x:f>
        <x:v>1135.1913721210508</x:v>
      </x:c>
      <x:c r="M1831" s="10" t="n">
        <x:f>K1831*'Assumptions'!$V$61</x:f>
        <x:v>0</x:v>
      </x:c>
      <x:c r="N1831" s="10" t="n">
        <x:f>K1831-L1831-M1831</x:f>
        <x:v>36704.52103191397</x:v>
      </x:c>
      <x:c r="O1831" s="10" t="n">
        <x:f>H1831*'Assumptions'!$P$61*'Assumptions'!$Q$61*'Assumptions'!$D$11*(1+'Assumptions'!$D$13)^(15-1)</x:f>
        <x:v>20821.298267551236</x:v>
      </x:c>
      <x:c r="P1831" s="10" t="n">
        <x:f>H1831*'Assumptions'!$R$61*'Assumptions'!$D$11*(1+'Assumptions'!$D$13)^(15-1)</x:f>
        <x:v>57.836939632086775</x:v>
      </x:c>
      <x:c r="Q1831" s="10" t="n">
        <x:f>J1831*'Assumptions'!$S$61</x:f>
        <x:v>0</x:v>
      </x:c>
      <x:c r="R1831" s="10" t="n">
        <x:f>H1831*'Assumptions'!$Y$61*'Assumptions'!$Z$61*'Assumptions'!$D$11*(1+'Assumptions'!$D$13)^(15-1)</x:f>
        <x:v>43.377704724065076</x:v>
      </x:c>
      <x:c r="S1831" s="10" t="n">
        <x:f>IF(I1831=0,0,J1831*'Assumptions'!$W$61+H1831*'Assumptions'!$X$61)</x:f>
        <x:v>1098.4987706357606</x:v>
      </x:c>
      <x:c r="T1831" s="10" t="n">
        <x:f>N1831*'Assumptions'!$AA$61</x:f>
        <x:v>1468.180841276559</x:v>
      </x:c>
      <x:c r="U1831" s="10" t="n">
        <x:f>'Assumptions'!$AE$61*'Assumptions'!$D$11*(1+'Assumptions'!$D$13)^(15-1)</x:f>
        <x:v>0</x:v>
      </x:c>
      <x:c r="V1831" s="10" t="n">
        <x:f>0</x:f>
        <x:v>0</x:v>
      </x:c>
      <x:c r="W1831" s="10" t="n">
        <x:f>H1831*('Assumptions'!$P$61+'Assumptions'!$Y$61)</x:f>
        <x:v>230.37810951459545</x:v>
      </x:c>
      <x:c r="X1831" s="10" t="n">
        <x:f>N1831/12*'Assumptions'!$AF$61</x:f>
        <x:v>3058.710085992831</x:v>
      </x:c>
      <x:c r="Y1831" s="10" t="n">
        <x:f>P1831/12</x:f>
        <x:v>4.819744969340564</x:v>
      </x:c>
      <x:c r="Z1831" s="10" t="n">
        <x:f>0</x:f>
        <x:v>0</x:v>
      </x:c>
      <x:c r="AA1831" s="10" t="n">
        <x:f>Z1831*'Assumptions'!$AC$61*'Assumptions'!$D$11*(1+'Assumptions'!$D$13)^(15-1)</x:f>
        <x:v>0</x:v>
      </x:c>
      <x:c r="AB1831" s="10" t="n">
        <x:f>F1831/1</x:f>
        <x:v>1.9676279709977305</x:v>
      </x:c>
      <x:c r="AC1831" s="10" t="n">
        <x:f>AB1831/'Assumptions'!$AM$61</x:f>
        <x:v>9.838139854988652</x:v>
      </x:c>
      <x:c r="AD1831" s="10" t="n">
        <x:f>IF(AB1831=0,0,T1831/AB1831)</x:f>
        <x:v>746.1679051716695</x:v>
      </x:c>
      <x:c r="AE1831" s="10" t="n">
        <x:f>AA1831*'Assumptions'!$D$21</x:f>
        <x:v>0</x:v>
      </x:c>
    </x:row>
    <x:row r="1832" ht="16" customHeight="1">
      <x:c r="A1832" s="1"/>
      <x:c r="B1832" s="1"/>
      <x:c r="C1832" s="1" t="str">
        <x:v>DOT-033</x:v>
      </x:c>
      <x:c r="D1832" s="10" t="str">
        <x:v>CornerFlow</x:v>
      </x:c>
      <x:c r="E1832" s="10" t="n">
        <x:v>15</x:v>
      </x:c>
      <x:c r="F1832" s="21" t="n">
        <x:f>F1704*(1+'Assumptions'!$M$62)</x:f>
        <x:v>100.322820151487</x:v>
      </x:c>
      <x:c r="G1832" s="21" t="n">
        <x:f>H1704*'Assumptions'!$K$62</x:f>
        <x:v>211.1061354559328</x:v>
      </x:c>
      <x:c r="H1832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1832+G1832,NA())</x:f>
        <x:v>311.42895560741977</x:v>
      </x:c>
      <x:c r="I1832" s="22" t="n">
        <x:f>'Assumptions'!$H$62*IF('Assumptions'!$O$62=1,1,'Assumptions'!$D$10)*(1+'Assumptions'!$N$62)^(15-1)</x:f>
        <x:v>64.65445939008075</x:v>
      </x:c>
      <x:c r="J1832" s="10" t="n">
        <x:f>H1832*I1832</x:f>
        <x:v>20135.27076321518</x:v>
      </x:c>
      <x:c r="K1832" s="10" t="n">
        <x:f>J1832*'Assumptions'!$T$62</x:f>
        <x:v>20135.27076321518</x:v>
      </x:c>
      <x:c r="L1832" s="10" t="n">
        <x:f>K1832*'Assumptions'!$U$62</x:f>
        <x:v>604.0581228964554</x:v>
      </x:c>
      <x:c r="M1832" s="10" t="n">
        <x:f>K1832*'Assumptions'!$V$62</x:f>
        <x:v>0</x:v>
      </x:c>
      <x:c r="N1832" s="10" t="n">
        <x:f>K1832-L1832-M1832</x:f>
        <x:v>19531.212640318725</x:v>
      </x:c>
      <x:c r="O1832" s="10" t="n">
        <x:f>H1832*'Assumptions'!$P$62*'Assumptions'!$Q$62*'Assumptions'!$D$11*(1+'Assumptions'!$D$13)^(15-1)</x:f>
        <x:v>2473.087250939245</x:v>
      </x:c>
      <x:c r="P1832" s="10" t="n">
        <x:f>H1832*'Assumptions'!$R$62*'Assumptions'!$D$11*(1+'Assumptions'!$D$13)^(15-1)</x:f>
        <x:v>0</x:v>
      </x:c>
      <x:c r="Q1832" s="10" t="n">
        <x:f>J1832*'Assumptions'!$S$62</x:f>
        <x:v>0</x:v>
      </x:c>
      <x:c r="R1832" s="10" t="n">
        <x:f>H1832*'Assumptions'!$Y$62*'Assumptions'!$Z$62*'Assumptions'!$D$11*(1+'Assumptions'!$D$13)^(15-1)</x:f>
        <x:v>2119.7890722336388</x:v>
      </x:c>
      <x:c r="S1832" s="10" t="n">
        <x:f>IF(I1832=0,0,J1832*'Assumptions'!$W$62+H1832*'Assumptions'!$X$62)</x:f>
        <x:v>677.3515388154661</x:v>
      </x:c>
      <x:c r="T1832" s="10" t="n">
        <x:f>N1832*'Assumptions'!$AA$62</x:f>
        <x:v>976.5606320159363</x:v>
      </x:c>
      <x:c r="U1832" s="10" t="n">
        <x:f>'Assumptions'!$AE$62*'Assumptions'!$D$11*(1+'Assumptions'!$D$13)^(15-1)</x:f>
        <x:v>181.51076698261343</x:v>
      </x:c>
      <x:c r="V1832" s="10" t="n">
        <x:f>0</x:f>
        <x:v>0</x:v>
      </x:c>
      <x:c r="W1832" s="10" t="n">
        <x:f>H1832*('Assumptions'!$P$62+'Assumptions'!$Y$62)</x:f>
        <x:v>93.42868668222593</x:v>
      </x:c>
      <x:c r="X1832" s="10" t="n">
        <x:f>N1832/12*'Assumptions'!$AF$62</x:f>
        <x:v>0</x:v>
      </x:c>
      <x:c r="Y1832" s="10" t="n">
        <x:f>P1832/12</x:f>
        <x:v>0</x:v>
      </x:c>
      <x:c r="Z1832" s="10" t="n">
        <x:f>0</x:f>
        <x:v>0</x:v>
      </x:c>
      <x:c r="AA1832" s="10" t="n">
        <x:f>Z1832*'Assumptions'!$AC$62*'Assumptions'!$D$11*(1+'Assumptions'!$D$13)^(15-1)</x:f>
        <x:v>0</x:v>
      </x:c>
      <x:c r="AB1832" s="10" t="n">
        <x:f>F1832/12</x:f>
        <x:v>8.360235012623916</x:v>
      </x:c>
      <x:c r="AC1832" s="10" t="n">
        <x:f>AB1832/'Assumptions'!$AM$62</x:f>
        <x:v>167.2047002524783</x:v>
      </x:c>
      <x:c r="AD1832" s="10" t="n">
        <x:f>IF(AB1832=0,0,T1832/AB1832)</x:f>
        <x:v>116.81018901278904</x:v>
      </x:c>
      <x:c r="AE1832" s="10" t="n">
        <x:f>AA1832*'Assumptions'!$D$21</x:f>
        <x:v>0</x:v>
      </x:c>
    </x:row>
    <x:row r="1833" ht="16" customHeight="1">
      <x:c r="A1833" s="1"/>
      <x:c r="B1833" s="1"/>
      <x:c r="C1833" s="1" t="str">
        <x:v>DOT-034</x:v>
      </x:c>
      <x:c r="D1833" s="10" t="str">
        <x:v>CornerFlow</x:v>
      </x:c>
      <x:c r="E1833" s="10" t="n">
        <x:v>15</x:v>
      </x:c>
      <x:c r="F1833" s="21" t="n">
        <x:f>F1705*(1+'Assumptions'!$M$63)</x:f>
        <x:v>19.676279709977297</x:v>
      </x:c>
      <x:c r="G1833" s="21" t="n">
        <x:f>H1705*'Assumptions'!$K$63</x:f>
        <x:v>18.560445739070566</x:v>
      </x:c>
      <x:c r="H1833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1833+G1833,NA())</x:f>
        <x:v>38.23672544904787</x:v>
      </x:c>
      <x:c r="I1833" s="22" t="n">
        <x:f>'Assumptions'!$H$63*IF('Assumptions'!$O$63=1,1,'Assumptions'!$D$10)*(1+'Assumptions'!$N$63)^(15-1)</x:f>
        <x:v>262.5762738495116</x:v>
      </x:c>
      <x:c r="J1833" s="10" t="n">
        <x:f>H1833*I1833</x:f>
        <x:v>10040.056892617782</x:v>
      </x:c>
      <x:c r="K1833" s="10" t="n">
        <x:f>J1833*'Assumptions'!$T$63</x:f>
        <x:v>10040.056892617782</x:v>
      </x:c>
      <x:c r="L1833" s="10" t="n">
        <x:f>K1833*'Assumptions'!$U$63</x:f>
        <x:v>301.20170677853343</x:v>
      </x:c>
      <x:c r="M1833" s="10" t="n">
        <x:f>K1833*'Assumptions'!$V$63</x:f>
        <x:v>0</x:v>
      </x:c>
      <x:c r="N1833" s="10" t="n">
        <x:f>K1833-L1833-M1833</x:f>
        <x:v>9738.85518583925</x:v>
      </x:c>
      <x:c r="O1833" s="10" t="n">
        <x:f>H1833*'Assumptions'!$P$63*'Assumptions'!$Q$63*'Assumptions'!$D$11*(1+'Assumptions'!$D$13)^(15-1)</x:f>
        <x:v>4626.918242106862</x:v>
      </x:c>
      <x:c r="P1833" s="10" t="n">
        <x:f>H1833*'Assumptions'!$R$63*'Assumptions'!$D$11*(1+'Assumptions'!$D$13)^(15-1)</x:f>
        <x:v>0</x:v>
      </x:c>
      <x:c r="Q1833" s="10" t="n">
        <x:f>J1833*'Assumptions'!$S$63</x:f>
        <x:v>0</x:v>
      </x:c>
      <x:c r="R1833" s="10" t="n">
        <x:f>H1833*'Assumptions'!$Y$63*'Assumptions'!$Z$63*'Assumptions'!$D$11*(1+'Assumptions'!$D$13)^(15-1)</x:f>
        <x:v>433.7735851975183</x:v>
      </x:c>
      <x:c r="S1833" s="10" t="n">
        <x:f>IF(I1833=0,0,J1833*'Assumptions'!$W$63+H1833*'Assumptions'!$X$63)</x:f>
        <x:v>302.6326675206301</x:v>
      </x:c>
      <x:c r="T1833" s="10" t="n">
        <x:f>N1833*'Assumptions'!$AA$63</x:f>
        <x:v>389.55420743356996</x:v>
      </x:c>
      <x:c r="U1833" s="10" t="n">
        <x:f>'Assumptions'!$AE$63*'Assumptions'!$D$11*(1+'Assumptions'!$D$13)^(15-1)</x:f>
        <x:v>0</x:v>
      </x:c>
      <x:c r="V1833" s="10" t="n">
        <x:f>0</x:f>
        <x:v>0</x:v>
      </x:c>
      <x:c r="W1833" s="10" t="n">
        <x:f>H1833*('Assumptions'!$P$63+'Assumptions'!$Y$63)</x:f>
        <x:v>86.0326322603577</x:v>
      </x:c>
      <x:c r="X1833" s="10" t="n">
        <x:f>N1833/12*'Assumptions'!$AF$63</x:f>
        <x:v>811.5712654866041</x:v>
      </x:c>
      <x:c r="Y1833" s="10" t="n">
        <x:f>P1833/12</x:f>
        <x:v>0</x:v>
      </x:c>
      <x:c r="Z1833" s="10" t="n">
        <x:f>0</x:f>
        <x:v>0</x:v>
      </x:c>
      <x:c r="AA1833" s="10" t="n">
        <x:f>Z1833*'Assumptions'!$AC$63*'Assumptions'!$D$11*(1+'Assumptions'!$D$13)^(15-1)</x:f>
        <x:v>0</x:v>
      </x:c>
      <x:c r="AB1833" s="10" t="n">
        <x:f>F1833/1</x:f>
        <x:v>19.676279709977297</x:v>
      </x:c>
      <x:c r="AC1833" s="10" t="n">
        <x:f>AB1833/'Assumptions'!$AM$63</x:f>
        <x:v>98.38139854988648</x:v>
      </x:c>
      <x:c r="AD1833" s="10" t="n">
        <x:f>IF(AB1833=0,0,T1833/AB1833)</x:f>
        <x:v>19.79816373702178</x:v>
      </x:c>
      <x:c r="AE1833" s="10" t="n">
        <x:f>AA1833*'Assumptions'!$D$21</x:f>
        <x:v>0</x:v>
      </x:c>
    </x:row>
    <x:row r="1834" ht="16" customHeight="1">
      <x:c r="A1834" s="1"/>
      <x:c r="B1834" s="1"/>
      <x:c r="C1834" s="1" t="str">
        <x:v>DOT-035</x:v>
      </x:c>
      <x:c r="D1834" s="10" t="str">
        <x:v>Spindle</x:v>
      </x:c>
      <x:c r="E1834" s="10" t="n">
        <x:v>15</x:v>
      </x:c>
      <x:c r="F1834" s="21" t="n">
        <x:f>F1706*(1+'Assumptions'!$M$64)</x:f>
        <x:v>100.322820151487</x:v>
      </x:c>
      <x:c r="G1834" s="21" t="n">
        <x:f>H1706*'Assumptions'!$K$64</x:f>
        <x:v>211.1061354559328</x:v>
      </x:c>
      <x:c r="H1834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1834+G1834,NA())</x:f>
        <x:v>311.42895560741977</x:v>
      </x:c>
      <x:c r="I1834" s="22" t="n">
        <x:f>'Assumptions'!$H$64*IF('Assumptions'!$O$64=1,1,'Assumptions'!$D$10)*(1+'Assumptions'!$N$64)^(15-1)</x:f>
        <x:v>64.65445939008075</x:v>
      </x:c>
      <x:c r="J1834" s="10" t="n">
        <x:f>H1834*I1834</x:f>
        <x:v>20135.27076321518</x:v>
      </x:c>
      <x:c r="K1834" s="10" t="n">
        <x:f>J1834*'Assumptions'!$T$64</x:f>
        <x:v>20135.27076321518</x:v>
      </x:c>
      <x:c r="L1834" s="10" t="n">
        <x:f>K1834*'Assumptions'!$U$64</x:f>
        <x:v>604.0581228964554</x:v>
      </x:c>
      <x:c r="M1834" s="10" t="n">
        <x:f>K1834*'Assumptions'!$V$64</x:f>
        <x:v>0</x:v>
      </x:c>
      <x:c r="N1834" s="10" t="n">
        <x:f>K1834-L1834-M1834</x:f>
        <x:v>19531.212640318725</x:v>
      </x:c>
      <x:c r="O1834" s="10" t="n">
        <x:f>H1834*'Assumptions'!$P$64*'Assumptions'!$Q$64*'Assumptions'!$D$11*(1+'Assumptions'!$D$13)^(15-1)</x:f>
        <x:v>2473.087250939245</x:v>
      </x:c>
      <x:c r="P1834" s="10" t="n">
        <x:f>H1834*'Assumptions'!$R$64*'Assumptions'!$D$11*(1+'Assumptions'!$D$13)^(15-1)</x:f>
        <x:v>0</x:v>
      </x:c>
      <x:c r="Q1834" s="10" t="n">
        <x:f>J1834*'Assumptions'!$S$64</x:f>
        <x:v>0</x:v>
      </x:c>
      <x:c r="R1834" s="10" t="n">
        <x:f>H1834*'Assumptions'!$Y$64*'Assumptions'!$Z$64*'Assumptions'!$D$11*(1+'Assumptions'!$D$13)^(15-1)</x:f>
        <x:v>2119.7890722336388</x:v>
      </x:c>
      <x:c r="S1834" s="10" t="n">
        <x:f>IF(I1834=0,0,J1834*'Assumptions'!$W$64+H1834*'Assumptions'!$X$64)</x:f>
        <x:v>677.3515388154661</x:v>
      </x:c>
      <x:c r="T1834" s="10" t="n">
        <x:f>N1834*'Assumptions'!$AA$64</x:f>
        <x:v>976.5606320159363</x:v>
      </x:c>
      <x:c r="U1834" s="10" t="n">
        <x:f>'Assumptions'!$AE$64*'Assumptions'!$D$11*(1+'Assumptions'!$D$13)^(15-1)</x:f>
        <x:v>181.51076698261343</x:v>
      </x:c>
      <x:c r="V1834" s="10" t="n">
        <x:f>0</x:f>
        <x:v>0</x:v>
      </x:c>
      <x:c r="W1834" s="10" t="n">
        <x:f>H1834*('Assumptions'!$P$64+'Assumptions'!$Y$64)</x:f>
        <x:v>93.42868668222593</x:v>
      </x:c>
      <x:c r="X1834" s="10" t="n">
        <x:f>N1834/12*'Assumptions'!$AF$64</x:f>
        <x:v>0</x:v>
      </x:c>
      <x:c r="Y1834" s="10" t="n">
        <x:f>P1834/12</x:f>
        <x:v>0</x:v>
      </x:c>
      <x:c r="Z1834" s="10" t="n">
        <x:f>0</x:f>
        <x:v>0</x:v>
      </x:c>
      <x:c r="AA1834" s="10" t="n">
        <x:f>Z1834*'Assumptions'!$AC$64*'Assumptions'!$D$11*(1+'Assumptions'!$D$13)^(15-1)</x:f>
        <x:v>0</x:v>
      </x:c>
      <x:c r="AB1834" s="10" t="n">
        <x:f>F1834/12</x:f>
        <x:v>8.360235012623916</x:v>
      </x:c>
      <x:c r="AC1834" s="10" t="n">
        <x:f>AB1834/'Assumptions'!$AM$64</x:f>
        <x:v>167.2047002524783</x:v>
      </x:c>
      <x:c r="AD1834" s="10" t="n">
        <x:f>IF(AB1834=0,0,T1834/AB1834)</x:f>
        <x:v>116.81018901278904</x:v>
      </x:c>
      <x:c r="AE1834" s="10" t="n">
        <x:f>AA1834*'Assumptions'!$D$21</x:f>
        <x:v>0</x:v>
      </x:c>
    </x:row>
    <x:row r="1835" ht="16" customHeight="1">
      <x:c r="A1835" s="1"/>
      <x:c r="B1835" s="1"/>
      <x:c r="C1835" s="1" t="str">
        <x:v>DOT-036</x:v>
      </x:c>
      <x:c r="D1835" s="10" t="str">
        <x:v>Spindle</x:v>
      </x:c>
      <x:c r="E1835" s="10" t="n">
        <x:v>15</x:v>
      </x:c>
      <x:c r="F1835" s="21" t="n">
        <x:f>F1707*(1+'Assumptions'!$M$65)</x:f>
        <x:v>19.676279709977297</x:v>
      </x:c>
      <x:c r="G1835" s="21" t="n">
        <x:f>H1707*'Assumptions'!$K$65</x:f>
        <x:v>18.560445739070566</x:v>
      </x:c>
      <x:c r="H1835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1835+G1835,NA())</x:f>
        <x:v>38.23672544904787</x:v>
      </x:c>
      <x:c r="I1835" s="22" t="n">
        <x:f>'Assumptions'!$H$65*IF('Assumptions'!$O$65=1,1,'Assumptions'!$D$10)*(1+'Assumptions'!$N$65)^(15-1)</x:f>
        <x:v>262.5762738495116</x:v>
      </x:c>
      <x:c r="J1835" s="10" t="n">
        <x:f>H1835*I1835</x:f>
        <x:v>10040.056892617782</x:v>
      </x:c>
      <x:c r="K1835" s="10" t="n">
        <x:f>J1835*'Assumptions'!$T$65</x:f>
        <x:v>10040.056892617782</x:v>
      </x:c>
      <x:c r="L1835" s="10" t="n">
        <x:f>K1835*'Assumptions'!$U$65</x:f>
        <x:v>301.20170677853343</x:v>
      </x:c>
      <x:c r="M1835" s="10" t="n">
        <x:f>K1835*'Assumptions'!$V$65</x:f>
        <x:v>0</x:v>
      </x:c>
      <x:c r="N1835" s="10" t="n">
        <x:f>K1835-L1835-M1835</x:f>
        <x:v>9738.85518583925</x:v>
      </x:c>
      <x:c r="O1835" s="10" t="n">
        <x:f>H1835*'Assumptions'!$P$65*'Assumptions'!$Q$65*'Assumptions'!$D$11*(1+'Assumptions'!$D$13)^(15-1)</x:f>
        <x:v>4626.918242106862</x:v>
      </x:c>
      <x:c r="P1835" s="10" t="n">
        <x:f>H1835*'Assumptions'!$R$65*'Assumptions'!$D$11*(1+'Assumptions'!$D$13)^(15-1)</x:f>
        <x:v>0</x:v>
      </x:c>
      <x:c r="Q1835" s="10" t="n">
        <x:f>J1835*'Assumptions'!$S$65</x:f>
        <x:v>0</x:v>
      </x:c>
      <x:c r="R1835" s="10" t="n">
        <x:f>H1835*'Assumptions'!$Y$65*'Assumptions'!$Z$65*'Assumptions'!$D$11*(1+'Assumptions'!$D$13)^(15-1)</x:f>
        <x:v>433.7735851975183</x:v>
      </x:c>
      <x:c r="S1835" s="10" t="n">
        <x:f>IF(I1835=0,0,J1835*'Assumptions'!$W$65+H1835*'Assumptions'!$X$65)</x:f>
        <x:v>302.6326675206301</x:v>
      </x:c>
      <x:c r="T1835" s="10" t="n">
        <x:f>N1835*'Assumptions'!$AA$65</x:f>
        <x:v>389.55420743356996</x:v>
      </x:c>
      <x:c r="U1835" s="10" t="n">
        <x:f>'Assumptions'!$AE$65*'Assumptions'!$D$11*(1+'Assumptions'!$D$13)^(15-1)</x:f>
        <x:v>0</x:v>
      </x:c>
      <x:c r="V1835" s="10" t="n">
        <x:f>0</x:f>
        <x:v>0</x:v>
      </x:c>
      <x:c r="W1835" s="10" t="n">
        <x:f>H1835*('Assumptions'!$P$65+'Assumptions'!$Y$65)</x:f>
        <x:v>86.0326322603577</x:v>
      </x:c>
      <x:c r="X1835" s="10" t="n">
        <x:f>N1835/12*'Assumptions'!$AF$65</x:f>
        <x:v>811.5712654866041</x:v>
      </x:c>
      <x:c r="Y1835" s="10" t="n">
        <x:f>P1835/12</x:f>
        <x:v>0</x:v>
      </x:c>
      <x:c r="Z1835" s="10" t="n">
        <x:f>0</x:f>
        <x:v>0</x:v>
      </x:c>
      <x:c r="AA1835" s="10" t="n">
        <x:f>Z1835*'Assumptions'!$AC$65*'Assumptions'!$D$11*(1+'Assumptions'!$D$13)^(15-1)</x:f>
        <x:v>0</x:v>
      </x:c>
      <x:c r="AB1835" s="10" t="n">
        <x:f>F1835/1</x:f>
        <x:v>19.676279709977297</x:v>
      </x:c>
      <x:c r="AC1835" s="10" t="n">
        <x:f>AB1835/'Assumptions'!$AM$65</x:f>
        <x:v>98.38139854988648</x:v>
      </x:c>
      <x:c r="AD1835" s="10" t="n">
        <x:f>IF(AB1835=0,0,T1835/AB1835)</x:f>
        <x:v>19.79816373702178</x:v>
      </x:c>
      <x:c r="AE1835" s="10" t="n">
        <x:f>AA1835*'Assumptions'!$D$21</x:f>
        <x:v>0</x:v>
      </x:c>
    </x:row>
    <x:row r="1836" ht="16" customHeight="1">
      <x:c r="A1836" s="1"/>
      <x:c r="B1836" s="1"/>
      <x:c r="C1836" s="1" t="str">
        <x:v>DOT-037</x:v>
      </x:c>
      <x:c r="D1836" s="10" t="str">
        <x:v>Maison Contour</x:v>
      </x:c>
      <x:c r="E1836" s="10" t="n">
        <x:v>15</x:v>
      </x:c>
      <x:c r="F1836" s="21" t="n">
        <x:f>F1708*(1+'Assumptions'!$M$66)</x:f>
        <x:v>100.322820151487</x:v>
      </x:c>
      <x:c r="G1836" s="21" t="n">
        <x:f>H1708*'Assumptions'!$K$66</x:f>
        <x:v>211.1061354559328</x:v>
      </x:c>
      <x:c r="H1836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1836+G1836,NA())</x:f>
        <x:v>311.42895560741977</x:v>
      </x:c>
      <x:c r="I1836" s="22" t="n">
        <x:f>'Assumptions'!$H$66*IF('Assumptions'!$O$66=1,1,'Assumptions'!$D$10)*(1+'Assumptions'!$N$66)^(15-1)</x:f>
        <x:v>104.23882228196692</x:v>
      </x:c>
      <x:c r="J1836" s="10" t="n">
        <x:f>H1836*I1836</x:f>
        <x:v>32462.987557020395</x:v>
      </x:c>
      <x:c r="K1836" s="10" t="n">
        <x:f>J1836*'Assumptions'!$T$66</x:f>
        <x:v>32462.987557020395</x:v>
      </x:c>
      <x:c r="L1836" s="10" t="n">
        <x:f>K1836*'Assumptions'!$U$66</x:f>
        <x:v>973.8896267106118</x:v>
      </x:c>
      <x:c r="M1836" s="10" t="n">
        <x:f>K1836*'Assumptions'!$V$66</x:f>
        <x:v>0</x:v>
      </x:c>
      <x:c r="N1836" s="10" t="n">
        <x:f>K1836-L1836-M1836</x:f>
        <x:v>31489.097930309785</x:v>
      </x:c>
      <x:c r="O1836" s="10" t="n">
        <x:f>H1836*'Assumptions'!$P$66*'Assumptions'!$Q$66*'Assumptions'!$D$11*(1+'Assumptions'!$D$13)^(15-1)</x:f>
        <x:v>2473.087250939245</x:v>
      </x:c>
      <x:c r="P1836" s="10" t="n">
        <x:f>H1836*'Assumptions'!$R$66*'Assumptions'!$D$11*(1+'Assumptions'!$D$13)^(15-1)</x:f>
        <x:v>0</x:v>
      </x:c>
      <x:c r="Q1836" s="10" t="n">
        <x:f>J1836*'Assumptions'!$S$66</x:f>
        <x:v>0</x:v>
      </x:c>
      <x:c r="R1836" s="10" t="n">
        <x:f>H1836*'Assumptions'!$Y$66*'Assumptions'!$Z$66*'Assumptions'!$D$11*(1+'Assumptions'!$D$13)^(15-1)</x:f>
        <x:v>2119.7890722336388</x:v>
      </x:c>
      <x:c r="S1836" s="10" t="n">
        <x:f>IF(I1836=0,0,J1836*'Assumptions'!$W$66+H1836*'Assumptions'!$X$66)</x:f>
        <x:v>1034.8553258358174</x:v>
      </x:c>
      <x:c r="T1836" s="10" t="n">
        <x:f>N1836*'Assumptions'!$AA$66</x:f>
        <x:v>1574.4548965154893</x:v>
      </x:c>
      <x:c r="U1836" s="10" t="n">
        <x:f>'Assumptions'!$AE$66*'Assumptions'!$D$11*(1+'Assumptions'!$D$13)^(15-1)</x:f>
        <x:v>181.51076698261343</x:v>
      </x:c>
      <x:c r="V1836" s="10" t="n">
        <x:f>0</x:f>
        <x:v>0</x:v>
      </x:c>
      <x:c r="W1836" s="10" t="n">
        <x:f>H1836*('Assumptions'!$P$66+'Assumptions'!$Y$66)</x:f>
        <x:v>93.42868668222593</x:v>
      </x:c>
      <x:c r="X1836" s="10" t="n">
        <x:f>N1836/12*'Assumptions'!$AF$66</x:f>
        <x:v>0</x:v>
      </x:c>
      <x:c r="Y1836" s="10" t="n">
        <x:f>P1836/12</x:f>
        <x:v>0</x:v>
      </x:c>
      <x:c r="Z1836" s="10" t="n">
        <x:f>0</x:f>
        <x:v>0</x:v>
      </x:c>
      <x:c r="AA1836" s="10" t="n">
        <x:f>Z1836*'Assumptions'!$AC$66*'Assumptions'!$D$11*(1+'Assumptions'!$D$13)^(15-1)</x:f>
        <x:v>0</x:v>
      </x:c>
      <x:c r="AB1836" s="10" t="n">
        <x:f>F1836/12</x:f>
        <x:v>8.360235012623916</x:v>
      </x:c>
      <x:c r="AC1836" s="10" t="n">
        <x:f>AB1836/'Assumptions'!$AM$66</x:f>
        <x:v>167.2047002524783</x:v>
      </x:c>
      <x:c r="AD1836" s="10" t="n">
        <x:f>IF(AB1836=0,0,T1836/AB1836)</x:f>
        <x:v>188.32663126551702</x:v>
      </x:c>
      <x:c r="AE1836" s="10" t="n">
        <x:f>AA1836*'Assumptions'!$D$21</x:f>
        <x:v>0</x:v>
      </x:c>
    </x:row>
    <x:row r="1837" ht="16" customHeight="1">
      <x:c r="A1837" s="1"/>
      <x:c r="B1837" s="1"/>
      <x:c r="C1837" s="1" t="str">
        <x:v>DOT-038</x:v>
      </x:c>
      <x:c r="D1837" s="10" t="str">
        <x:v>Maison Contour</x:v>
      </x:c>
      <x:c r="E1837" s="10" t="n">
        <x:v>15</x:v>
      </x:c>
      <x:c r="F1837" s="21" t="n">
        <x:f>F1709*(1+'Assumptions'!$M$67)</x:f>
        <x:v>19.676279709977297</x:v>
      </x:c>
      <x:c r="G1837" s="21" t="n">
        <x:f>H1709*'Assumptions'!$K$67</x:f>
        <x:v>18.560445739070566</x:v>
      </x:c>
      <x:c r="H1837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1837+G1837,NA())</x:f>
        <x:v>38.23672544904787</x:v>
      </x:c>
      <x:c r="I1837" s="22" t="n">
        <x:f>'Assumptions'!$H$67*IF('Assumptions'!$O$67=1,1,'Assumptions'!$D$10)*(1+'Assumptions'!$N$67)^(15-1)</x:f>
        <x:v>262.5762738495116</x:v>
      </x:c>
      <x:c r="J1837" s="10" t="n">
        <x:f>H1837*I1837</x:f>
        <x:v>10040.056892617782</x:v>
      </x:c>
      <x:c r="K1837" s="10" t="n">
        <x:f>J1837*'Assumptions'!$T$67</x:f>
        <x:v>10040.056892617782</x:v>
      </x:c>
      <x:c r="L1837" s="10" t="n">
        <x:f>K1837*'Assumptions'!$U$67</x:f>
        <x:v>301.20170677853343</x:v>
      </x:c>
      <x:c r="M1837" s="10" t="n">
        <x:f>K1837*'Assumptions'!$V$67</x:f>
        <x:v>0</x:v>
      </x:c>
      <x:c r="N1837" s="10" t="n">
        <x:f>K1837-L1837-M1837</x:f>
        <x:v>9738.85518583925</x:v>
      </x:c>
      <x:c r="O1837" s="10" t="n">
        <x:f>H1837*'Assumptions'!$P$67*'Assumptions'!$Q$67*'Assumptions'!$D$11*(1+'Assumptions'!$D$13)^(15-1)</x:f>
        <x:v>4626.918242106862</x:v>
      </x:c>
      <x:c r="P1837" s="10" t="n">
        <x:f>H1837*'Assumptions'!$R$67*'Assumptions'!$D$11*(1+'Assumptions'!$D$13)^(15-1)</x:f>
        <x:v>0</x:v>
      </x:c>
      <x:c r="Q1837" s="10" t="n">
        <x:f>J1837*'Assumptions'!$S$67</x:f>
        <x:v>0</x:v>
      </x:c>
      <x:c r="R1837" s="10" t="n">
        <x:f>H1837*'Assumptions'!$Y$67*'Assumptions'!$Z$67*'Assumptions'!$D$11*(1+'Assumptions'!$D$13)^(15-1)</x:f>
        <x:v>433.7735851975183</x:v>
      </x:c>
      <x:c r="S1837" s="10" t="n">
        <x:f>IF(I1837=0,0,J1837*'Assumptions'!$W$67+H1837*'Assumptions'!$X$67)</x:f>
        <x:v>302.6326675206301</x:v>
      </x:c>
      <x:c r="T1837" s="10" t="n">
        <x:f>N1837*'Assumptions'!$AA$67</x:f>
        <x:v>389.55420743356996</x:v>
      </x:c>
      <x:c r="U1837" s="10" t="n">
        <x:f>'Assumptions'!$AE$67*'Assumptions'!$D$11*(1+'Assumptions'!$D$13)^(15-1)</x:f>
        <x:v>0</x:v>
      </x:c>
      <x:c r="V1837" s="10" t="n">
        <x:f>0</x:f>
        <x:v>0</x:v>
      </x:c>
      <x:c r="W1837" s="10" t="n">
        <x:f>H1837*('Assumptions'!$P$67+'Assumptions'!$Y$67)</x:f>
        <x:v>86.0326322603577</x:v>
      </x:c>
      <x:c r="X1837" s="10" t="n">
        <x:f>N1837/12*'Assumptions'!$AF$67</x:f>
        <x:v>811.5712654866041</x:v>
      </x:c>
      <x:c r="Y1837" s="10" t="n">
        <x:f>P1837/12</x:f>
        <x:v>0</x:v>
      </x:c>
      <x:c r="Z1837" s="10" t="n">
        <x:f>0</x:f>
        <x:v>0</x:v>
      </x:c>
      <x:c r="AA1837" s="10" t="n">
        <x:f>Z1837*'Assumptions'!$AC$67*'Assumptions'!$D$11*(1+'Assumptions'!$D$13)^(15-1)</x:f>
        <x:v>0</x:v>
      </x:c>
      <x:c r="AB1837" s="10" t="n">
        <x:f>F1837/1</x:f>
        <x:v>19.676279709977297</x:v>
      </x:c>
      <x:c r="AC1837" s="10" t="n">
        <x:f>AB1837/'Assumptions'!$AM$67</x:f>
        <x:v>98.38139854988648</x:v>
      </x:c>
      <x:c r="AD1837" s="10" t="n">
        <x:f>IF(AB1837=0,0,T1837/AB1837)</x:f>
        <x:v>19.79816373702178</x:v>
      </x:c>
      <x:c r="AE1837" s="10" t="n">
        <x:f>AA1837*'Assumptions'!$D$21</x:f>
        <x:v>0</x:v>
      </x:c>
    </x:row>
    <x:row r="1838" ht="16" customHeight="1">
      <x:c r="A1838" s="1"/>
      <x:c r="B1838" s="1"/>
      <x:c r="C1838" s="1" t="str">
        <x:v>DOT-039</x:v>
      </x:c>
      <x:c r="D1838" s="10" t="str">
        <x:v>DishLoom US</x:v>
      </x:c>
      <x:c r="E1838" s="10" t="n">
        <x:v>15</x:v>
      </x:c>
      <x:c r="F1838" s="21" t="n">
        <x:f>F1710*(1+'Assumptions'!$M$68)</x:f>
        <x:v>100.322820151487</x:v>
      </x:c>
      <x:c r="G1838" s="21" t="n">
        <x:f>H1710*'Assumptions'!$K$68</x:f>
        <x:v>211.1061354559328</x:v>
      </x:c>
      <x:c r="H1838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1838+G1838,NA())</x:f>
        <x:v>311.42895560741977</x:v>
      </x:c>
      <x:c r="I1838" s="22" t="n">
        <x:f>'Assumptions'!$H$68*IF('Assumptions'!$O$68=1,1,'Assumptions'!$D$10)*(1+'Assumptions'!$N$68)^(15-1)</x:f>
        <x:v>51.45967175945202</x:v>
      </x:c>
      <x:c r="J1838" s="10" t="n">
        <x:f>H1838*I1838</x:f>
        <x:v>16026.031831946777</x:v>
      </x:c>
      <x:c r="K1838" s="10" t="n">
        <x:f>J1838*'Assumptions'!$T$68</x:f>
        <x:v>16026.031831946777</x:v>
      </x:c>
      <x:c r="L1838" s="10" t="n">
        <x:f>K1838*'Assumptions'!$U$68</x:f>
        <x:v>480.7809549584033</x:v>
      </x:c>
      <x:c r="M1838" s="10" t="n">
        <x:f>K1838*'Assumptions'!$V$68</x:f>
        <x:v>0</x:v>
      </x:c>
      <x:c r="N1838" s="10" t="n">
        <x:f>K1838-L1838-M1838</x:f>
        <x:v>15545.250876988373</x:v>
      </x:c>
      <x:c r="O1838" s="10" t="n">
        <x:f>H1838*'Assumptions'!$P$68*'Assumptions'!$Q$68*'Assumptions'!$D$11*(1+'Assumptions'!$D$13)^(15-1)</x:f>
        <x:v>2473.087250939245</x:v>
      </x:c>
      <x:c r="P1838" s="10" t="n">
        <x:f>H1838*'Assumptions'!$R$68*'Assumptions'!$D$11*(1+'Assumptions'!$D$13)^(15-1)</x:f>
        <x:v>0</x:v>
      </x:c>
      <x:c r="Q1838" s="10" t="n">
        <x:f>J1838*'Assumptions'!$S$68</x:f>
        <x:v>0</x:v>
      </x:c>
      <x:c r="R1838" s="10" t="n">
        <x:f>H1838*'Assumptions'!$Y$68*'Assumptions'!$Z$68*'Assumptions'!$D$11*(1+'Assumptions'!$D$13)^(15-1)</x:f>
        <x:v>2119.7890722336388</x:v>
      </x:c>
      <x:c r="S1838" s="10" t="n">
        <x:f>IF(I1838=0,0,J1838*'Assumptions'!$W$68+H1838*'Assumptions'!$X$68)</x:f>
        <x:v>558.1836098086825</x:v>
      </x:c>
      <x:c r="T1838" s="10" t="n">
        <x:f>N1838*'Assumptions'!$AA$68</x:f>
        <x:v>777.2625438494188</x:v>
      </x:c>
      <x:c r="U1838" s="10" t="n">
        <x:f>'Assumptions'!$AE$68*'Assumptions'!$D$11*(1+'Assumptions'!$D$13)^(15-1)</x:f>
        <x:v>181.51076698261343</x:v>
      </x:c>
      <x:c r="V1838" s="10" t="n">
        <x:f>0</x:f>
        <x:v>0</x:v>
      </x:c>
      <x:c r="W1838" s="10" t="n">
        <x:f>H1838*('Assumptions'!$P$68+'Assumptions'!$Y$68)</x:f>
        <x:v>93.42868668222593</x:v>
      </x:c>
      <x:c r="X1838" s="10" t="n">
        <x:f>N1838/12*'Assumptions'!$AF$68</x:f>
        <x:v>0</x:v>
      </x:c>
      <x:c r="Y1838" s="10" t="n">
        <x:f>P1838/12</x:f>
        <x:v>0</x:v>
      </x:c>
      <x:c r="Z1838" s="10" t="n">
        <x:f>0</x:f>
        <x:v>0</x:v>
      </x:c>
      <x:c r="AA1838" s="10" t="n">
        <x:f>Z1838*'Assumptions'!$AC$68*'Assumptions'!$D$11*(1+'Assumptions'!$D$13)^(15-1)</x:f>
        <x:v>0</x:v>
      </x:c>
      <x:c r="AB1838" s="10" t="n">
        <x:f>F1838/12</x:f>
        <x:v>8.360235012623916</x:v>
      </x:c>
      <x:c r="AC1838" s="10" t="n">
        <x:f>AB1838/'Assumptions'!$AM$68</x:f>
        <x:v>167.2047002524783</x:v>
      </x:c>
      <x:c r="AD1838" s="10" t="n">
        <x:f>IF(AB1838=0,0,T1838/AB1838)</x:f>
        <x:v>92.97137492854638</x:v>
      </x:c>
      <x:c r="AE1838" s="10" t="n">
        <x:f>AA1838*'Assumptions'!$D$21</x:f>
        <x:v>0</x:v>
      </x:c>
    </x:row>
    <x:row r="1839" ht="16" customHeight="1">
      <x:c r="A1839" s="1"/>
      <x:c r="B1839" s="1"/>
      <x:c r="C1839" s="1" t="str">
        <x:v>DOT-040</x:v>
      </x:c>
      <x:c r="D1839" s="10" t="str">
        <x:v>DishLoom US</x:v>
      </x:c>
      <x:c r="E1839" s="10" t="n">
        <x:v>15</x:v>
      </x:c>
      <x:c r="F1839" s="21" t="n">
        <x:f>F1711*(1+'Assumptions'!$M$69)</x:f>
        <x:v>200.645640302974</x:v>
      </x:c>
      <x:c r="G1839" s="21" t="n">
        <x:f>H1711*'Assumptions'!$K$69</x:f>
        <x:v>422.2122709118656</x:v>
      </x:c>
      <x:c r="H1839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1839+G1839,NA())</x:f>
        <x:v>622.8579112148395</x:v>
      </x:c>
      <x:c r="I1839" s="22" t="n">
        <x:f>'Assumptions'!$H$69*IF('Assumptions'!$O$69=1,1,'Assumptions'!$D$10)*(1+'Assumptions'!$N$69)^(15-1)</x:f>
        <x:v>11.87530886756585</x:v>
      </x:c>
      <x:c r="J1839" s="10" t="n">
        <x:f>H1839*I1839</x:f>
        <x:v>7396.630076283127</x:v>
      </x:c>
      <x:c r="K1839" s="10" t="n">
        <x:f>J1839*'Assumptions'!$T$69</x:f>
        <x:v>7396.630076283127</x:v>
      </x:c>
      <x:c r="L1839" s="10" t="n">
        <x:f>K1839*'Assumptions'!$U$69</x:f>
        <x:v>221.89890228849382</x:v>
      </x:c>
      <x:c r="M1839" s="10" t="n">
        <x:f>K1839*'Assumptions'!$V$69</x:f>
        <x:v>0</x:v>
      </x:c>
      <x:c r="N1839" s="10" t="n">
        <x:f>K1839-L1839-M1839</x:f>
        <x:v>7174.7311739946335</x:v>
      </x:c>
      <x:c r="O1839" s="10" t="n">
        <x:f>H1839*'Assumptions'!$P$69*'Assumptions'!$Q$69*'Assumptions'!$D$11*(1+'Assumptions'!$D$13)^(15-1)</x:f>
        <x:v>1648.7248339594967</x:v>
      </x:c>
      <x:c r="P1839" s="10" t="n">
        <x:f>H1839*'Assumptions'!$R$69*'Assumptions'!$D$11*(1+'Assumptions'!$D$13)^(15-1)</x:f>
        <x:v>0</x:v>
      </x:c>
      <x:c r="Q1839" s="10" t="n">
        <x:f>J1839*'Assumptions'!$S$69</x:f>
        <x:v>0</x:v>
      </x:c>
      <x:c r="R1839" s="10" t="n">
        <x:f>H1839*'Assumptions'!$Y$69*'Assumptions'!$Z$69*'Assumptions'!$D$11*(1+'Assumptions'!$D$13)^(15-1)</x:f>
        <x:v>4239.5781444672775</x:v>
      </x:c>
      <x:c r="S1839" s="10" t="n">
        <x:f>IF(I1839=0,0,J1839*'Assumptions'!$W$69+H1839*'Assumptions'!$X$69)</x:f>
        <x:v>401.35964557666256</x:v>
      </x:c>
      <x:c r="T1839" s="10" t="n">
        <x:f>N1839*'Assumptions'!$AA$69</x:f>
        <x:v>358.7365586997317</x:v>
      </x:c>
      <x:c r="U1839" s="10" t="n">
        <x:f>'Assumptions'!$AE$69*'Assumptions'!$D$11*(1+'Assumptions'!$D$13)^(15-1)</x:f>
        <x:v>0</x:v>
      </x:c>
      <x:c r="V1839" s="10" t="n">
        <x:f>0</x:f>
        <x:v>0</x:v>
      </x:c>
      <x:c r="W1839" s="10" t="n">
        <x:f>H1839*('Assumptions'!$P$69+'Assumptions'!$Y$69)</x:f>
        <x:v>124.5715822429679</x:v>
      </x:c>
      <x:c r="X1839" s="10" t="n">
        <x:f>N1839/12*'Assumptions'!$AF$69</x:f>
        <x:v>0</x:v>
      </x:c>
      <x:c r="Y1839" s="10" t="n">
        <x:f>P1839/12</x:f>
        <x:v>0</x:v>
      </x:c>
      <x:c r="Z1839" s="10" t="n">
        <x:f>0</x:f>
        <x:v>0</x:v>
      </x:c>
      <x:c r="AA1839" s="10" t="n">
        <x:f>Z1839*'Assumptions'!$AC$69*'Assumptions'!$D$11*(1+'Assumptions'!$D$13)^(15-1)</x:f>
        <x:v>0</x:v>
      </x:c>
      <x:c r="AB1839" s="10" t="n">
        <x:f>F1839/1</x:f>
        <x:v>200.645640302974</x:v>
      </x:c>
      <x:c r="AC1839" s="10" t="n">
        <x:f>AB1839/'Assumptions'!$AM$69</x:f>
        <x:v>4012.9128060594794</x:v>
      </x:c>
      <x:c r="AD1839" s="10" t="n">
        <x:f>IF(AB1839=0,0,T1839/AB1839)</x:f>
        <x:v>1.7879110563181992</x:v>
      </x:c>
      <x:c r="AE1839" s="10" t="n">
        <x:f>AA1839*'Assumptions'!$D$21</x:f>
        <x:v>0</x:v>
      </x:c>
    </x:row>
    <x:row r="1840" ht="16" customHeight="1">
      <x:c r="A1840" s="1"/>
      <x:c r="B1840" s="1"/>
      <x:c r="C1840" s="1" t="str">
        <x:v>DOT-041</x:v>
      </x:c>
      <x:c r="D1840" s="10" t="str">
        <x:v>DishLoom US</x:v>
      </x:c>
      <x:c r="E1840" s="10" t="n">
        <x:v>15</x:v>
      </x:c>
      <x:c r="F1840" s="21" t="n">
        <x:f>F1712*(1+'Assumptions'!$M$70)</x:f>
        <x:v>250.80705037871752</x:v>
      </x:c>
      <x:c r="G1840" s="21" t="n">
        <x:f>H1712*'Assumptions'!$K$70</x:f>
        <x:v>527.765338639832</x:v>
      </x:c>
      <x:c r="H1840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1840+G1840,NA())</x:f>
        <x:v>778.5723890185495</x:v>
      </x:c>
      <x:c r="I1840" s="22" t="n">
        <x:f>'Assumptions'!$H$70*IF('Assumptions'!$O$70=1,1,'Assumptions'!$D$10)*(1+'Assumptions'!$N$70)^(15-1)</x:f>
        <x:v>131.94787630628724</x:v>
      </x:c>
      <x:c r="J1840" s="10" t="n">
        <x:f>H1840*I1840</x:f>
        <x:v>102730.97328171012</x:v>
      </x:c>
      <x:c r="K1840" s="10" t="n">
        <x:f>J1840*'Assumptions'!$T$70</x:f>
        <x:v>15409.645992256517</x:v>
      </x:c>
      <x:c r="L1840" s="10" t="n">
        <x:f>K1840*'Assumptions'!$U$70</x:f>
        <x:v>462.2893797676955</x:v>
      </x:c>
      <x:c r="M1840" s="10" t="n">
        <x:f>K1840*'Assumptions'!$V$70</x:f>
        <x:v>0</x:v>
      </x:c>
      <x:c r="N1840" s="10" t="n">
        <x:f>K1840-L1840-M1840</x:f>
        <x:v>14947.356612488822</x:v>
      </x:c>
      <x:c r="O1840" s="10" t="n">
        <x:f>H1840*'Assumptions'!$P$70*'Assumptions'!$Q$70*'Assumptions'!$D$11*(1+'Assumptions'!$D$13)^(15-1)</x:f>
        <x:v>4121.812084898743</x:v>
      </x:c>
      <x:c r="P1840" s="10" t="n">
        <x:f>H1840*'Assumptions'!$R$70*'Assumptions'!$D$11*(1+'Assumptions'!$D$13)^(15-1)</x:f>
        <x:v>0</x:v>
      </x:c>
      <x:c r="Q1840" s="10" t="n">
        <x:f>J1840*'Assumptions'!$S$70</x:f>
        <x:v>0</x:v>
      </x:c>
      <x:c r="R1840" s="10" t="n">
        <x:f>H1840*'Assumptions'!$Y$70*'Assumptions'!$Z$70*'Assumptions'!$D$11*(1+'Assumptions'!$D$13)^(15-1)</x:f>
        <x:v>5299.472680584097</x:v>
      </x:c>
      <x:c r="S1840" s="10" t="n">
        <x:f>IF(I1840=0,0,J1840*'Assumptions'!$W$70+H1840*'Assumptions'!$X$70)</x:f>
        <x:v>3212.7699418751586</x:v>
      </x:c>
      <x:c r="T1840" s="10" t="n">
        <x:f>N1840*'Assumptions'!$AA$70</x:f>
        <x:v>747.3678306244411</x:v>
      </x:c>
      <x:c r="U1840" s="10" t="n">
        <x:f>'Assumptions'!$AE$70*'Assumptions'!$D$11*(1+'Assumptions'!$D$13)^(15-1)</x:f>
        <x:v>0</x:v>
      </x:c>
      <x:c r="V1840" s="10" t="n">
        <x:f>0</x:f>
        <x:v>0</x:v>
      </x:c>
      <x:c r="W1840" s="10" t="n">
        <x:f>H1840*('Assumptions'!$P$70+'Assumptions'!$Y$70)</x:f>
        <x:v>194.64309725463738</x:v>
      </x:c>
      <x:c r="X1840" s="10" t="n">
        <x:f>N1840/12*'Assumptions'!$AF$70</x:f>
        <x:v>0</x:v>
      </x:c>
      <x:c r="Y1840" s="10" t="n">
        <x:f>P1840/12</x:f>
        <x:v>0</x:v>
      </x:c>
      <x:c r="Z1840" s="10" t="n">
        <x:f>0</x:f>
        <x:v>0</x:v>
      </x:c>
      <x:c r="AA1840" s="10" t="n">
        <x:f>Z1840*'Assumptions'!$AC$70*'Assumptions'!$D$11*(1+'Assumptions'!$D$13)^(15-1)</x:f>
        <x:v>0</x:v>
      </x:c>
      <x:c r="AB1840" s="10" t="n">
        <x:f>F1840/1</x:f>
        <x:v>250.80705037871752</x:v>
      </x:c>
      <x:c r="AC1840" s="10" t="n">
        <x:f>AB1840/'Assumptions'!$AM$70</x:f>
        <x:v>5016.14100757435</x:v>
      </x:c>
      <x:c r="AD1840" s="10" t="n">
        <x:f>IF(AB1840=0,0,T1840/AB1840)</x:f>
        <x:v>2.979851760530332</x:v>
      </x:c>
      <x:c r="AE1840" s="10" t="n">
        <x:f>AA1840*'Assumptions'!$D$21</x:f>
        <x:v>0</x:v>
      </x:c>
    </x:row>
    <x:row r="1841" ht="16" customHeight="1">
      <x:c r="A1841" s="1"/>
      <x:c r="B1841" s="1"/>
      <x:c r="C1841" s="1" t="str">
        <x:v>DOT-042</x:v>
      </x:c>
      <x:c r="D1841" s="10" t="str">
        <x:v>Is Makes Travel Easy</x:v>
      </x:c>
      <x:c r="E1841" s="10" t="n">
        <x:v>15</x:v>
      </x:c>
      <x:c r="F1841" s="21" t="n">
        <x:f>F1713*(1+'Assumptions'!$M$71)</x:f>
        <x:v>300.9684604544609</x:v>
      </x:c>
      <x:c r="G1841" s="21" t="n">
        <x:f>H1713*'Assumptions'!$K$71</x:f>
        <x:v>633.9288071333622</x:v>
      </x:c>
      <x:c r="H1841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1841+G1841,NA())</x:f>
        <x:v>934.8972675878231</x:v>
      </x:c>
      <x:c r="I1841" s="22" t="n">
        <x:f>'Assumptions'!$H$71*IF('Assumptions'!$O$71=1,1,'Assumptions'!$D$10)*(1+'Assumptions'!$N$71)^(15-1)</x:f>
        <x:v>38.2648841288233</x:v>
      </x:c>
      <x:c r="J1841" s="10" t="n">
        <x:f>H1841*I1841</x:f>
        <x:v>35773.73561660156</x:v>
      </x:c>
      <x:c r="K1841" s="10" t="n">
        <x:f>J1841*'Assumptions'!$T$71</x:f>
        <x:v>35773.73561660156</x:v>
      </x:c>
      <x:c r="L1841" s="10" t="n">
        <x:f>K1841*'Assumptions'!$U$71</x:f>
        <x:v>1073.2120684980468</x:v>
      </x:c>
      <x:c r="M1841" s="10" t="n">
        <x:f>K1841*'Assumptions'!$V$71</x:f>
        <x:v>0</x:v>
      </x:c>
      <x:c r="N1841" s="10" t="n">
        <x:f>K1841-L1841-M1841</x:f>
        <x:v>34700.52354810351</x:v>
      </x:c>
      <x:c r="O1841" s="10" t="n">
        <x:f>H1841*'Assumptions'!$P$71*'Assumptions'!$Q$71*'Assumptions'!$D$11*(1+'Assumptions'!$D$13)^(15-1)</x:f>
        <x:v>4949.406002619614</x:v>
      </x:c>
      <x:c r="P1841" s="10" t="n">
        <x:f>H1841*'Assumptions'!$R$71*'Assumptions'!$D$11*(1+'Assumptions'!$D$13)^(15-1)</x:f>
        <x:v>0</x:v>
      </x:c>
      <x:c r="Q1841" s="10" t="n">
        <x:f>J1841*'Assumptions'!$S$71</x:f>
        <x:v>0</x:v>
      </x:c>
      <x:c r="R1841" s="10" t="n">
        <x:f>H1841*'Assumptions'!$Y$71*'Assumptions'!$Z$71*'Assumptions'!$D$11*(1+'Assumptions'!$D$13)^(15-1)</x:f>
        <x:v>6363.522003368074</x:v>
      </x:c>
      <x:c r="S1841" s="10" t="n">
        <x:f>IF(I1841=0,0,J1841*'Assumptions'!$W$71+H1841*'Assumptions'!$X$71)</x:f>
        <x:v>1317.9075131577922</x:v>
      </x:c>
      <x:c r="T1841" s="10" t="n">
        <x:f>N1841*'Assumptions'!$AA$71</x:f>
        <x:v>1735.0261774051758</x:v>
      </x:c>
      <x:c r="U1841" s="10" t="n">
        <x:f>'Assumptions'!$AE$71*'Assumptions'!$D$11*(1+'Assumptions'!$D$13)^(15-1)</x:f>
        <x:v>363.02153396522687</x:v>
      </x:c>
      <x:c r="V1841" s="10" t="n">
        <x:f>0</x:f>
        <x:v>0</x:v>
      </x:c>
      <x:c r="W1841" s="10" t="n">
        <x:f>H1841*('Assumptions'!$P$71+'Assumptions'!$Y$71)</x:f>
        <x:v>233.72431689695577</x:v>
      </x:c>
      <x:c r="X1841" s="10" t="n">
        <x:f>N1841/12*'Assumptions'!$AF$71</x:f>
        <x:v>0</x:v>
      </x:c>
      <x:c r="Y1841" s="10" t="n">
        <x:f>P1841/12</x:f>
        <x:v>0</x:v>
      </x:c>
      <x:c r="Z1841" s="10" t="n">
        <x:f>0</x:f>
        <x:v>0</x:v>
      </x:c>
      <x:c r="AA1841" s="10" t="n">
        <x:f>Z1841*'Assumptions'!$AC$71*'Assumptions'!$D$11*(1+'Assumptions'!$D$13)^(15-1)</x:f>
        <x:v>0</x:v>
      </x:c>
      <x:c r="AB1841" s="10" t="n">
        <x:f>F1841/1</x:f>
        <x:v>300.9684604544609</x:v>
      </x:c>
      <x:c r="AC1841" s="10" t="n">
        <x:f>AB1841/'Assumptions'!$AM$71</x:f>
        <x:v>6019.369209089218</x:v>
      </x:c>
      <x:c r="AD1841" s="10" t="n">
        <x:f>IF(AB1841=0,0,T1841/AB1841)</x:f>
        <x:v>5.76481062097103</x:v>
      </x:c>
      <x:c r="AE1841" s="10" t="n">
        <x:f>AA1841*'Assumptions'!$D$21</x:f>
        <x:v>0</x:v>
      </x:c>
    </x:row>
    <x:row r="1842" ht="16" customHeight="1">
      <x:c r="A1842" s="1"/>
      <x:c r="B1842" s="1"/>
      <x:c r="C1842" s="1" t="str">
        <x:v>DOT-043</x:v>
      </x:c>
      <x:c r="D1842" s="10" t="str">
        <x:v>Is Makes Travel Easy</x:v>
      </x:c>
      <x:c r="E1842" s="10" t="n">
        <x:v>15</x:v>
      </x:c>
      <x:c r="F1842" s="21" t="n">
        <x:f>F1714*(1+'Assumptions'!$M$72)</x:f>
        <x:v>150.48423022723046</x:v>
      </x:c>
      <x:c r="G1842" s="21" t="n">
        <x:f>H1714*'Assumptions'!$K$72</x:f>
        <x:v>316.9644035666811</x:v>
      </x:c>
      <x:c r="H1842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1842+G1842,NA())</x:f>
        <x:v>467.44863379391154</x:v>
      </x:c>
      <x:c r="I1842" s="22" t="n">
        <x:f>'Assumptions'!$H$72*IF('Assumptions'!$O$72=1,1,'Assumptions'!$D$10)*(1+'Assumptions'!$N$72)^(15-1)</x:f>
        <x:v>25.070096498194577</x:v>
      </x:c>
      <x:c r="J1842" s="10" t="n">
        <x:f>H1842*I1842</x:f>
        <x:v>11718.98235716258</x:v>
      </x:c>
      <x:c r="K1842" s="10" t="n">
        <x:f>J1842*'Assumptions'!$T$72</x:f>
        <x:v>11718.98235716258</x:v>
      </x:c>
      <x:c r="L1842" s="10" t="n">
        <x:f>K1842*'Assumptions'!$U$72</x:f>
        <x:v>351.5694707148774</x:v>
      </x:c>
      <x:c r="M1842" s="10" t="n">
        <x:f>K1842*'Assumptions'!$V$72</x:f>
        <x:v>0</x:v>
      </x:c>
      <x:c r="N1842" s="10" t="n">
        <x:f>K1842-L1842-M1842</x:f>
        <x:v>11367.412886447702</x:v>
      </x:c>
      <x:c r="O1842" s="10" t="n">
        <x:f>H1842*'Assumptions'!$P$72*'Assumptions'!$Q$72*'Assumptions'!$D$11*(1+'Assumptions'!$D$13)^(15-1)</x:f>
        <x:v>2474.703001309807</x:v>
      </x:c>
      <x:c r="P1842" s="10" t="n">
        <x:f>H1842*'Assumptions'!$R$72*'Assumptions'!$D$11*(1+'Assumptions'!$D$13)^(15-1)</x:f>
        <x:v>0</x:v>
      </x:c>
      <x:c r="Q1842" s="10" t="n">
        <x:f>J1842*'Assumptions'!$S$72</x:f>
        <x:v>0</x:v>
      </x:c>
      <x:c r="R1842" s="10" t="n">
        <x:f>H1842*'Assumptions'!$Y$72*'Assumptions'!$Z$72*'Assumptions'!$D$11*(1+'Assumptions'!$D$13)^(15-1)</x:f>
        <x:v>3181.761001684037</x:v>
      </x:c>
      <x:c r="S1842" s="10" t="n">
        <x:f>IF(I1842=0,0,J1842*'Assumptions'!$W$72+H1842*'Assumptions'!$X$72)</x:f>
        <x:v>480.0850784958883</x:v>
      </x:c>
      <x:c r="T1842" s="10" t="n">
        <x:f>N1842*'Assumptions'!$AA$72</x:f>
        <x:v>568.3706443223851</x:v>
      </x:c>
      <x:c r="U1842" s="10" t="n">
        <x:f>'Assumptions'!$AE$72*'Assumptions'!$D$11*(1+'Assumptions'!$D$13)^(15-1)</x:f>
        <x:v>0</x:v>
      </x:c>
      <x:c r="V1842" s="10" t="n">
        <x:f>0</x:f>
        <x:v>0</x:v>
      </x:c>
      <x:c r="W1842" s="10" t="n">
        <x:f>H1842*('Assumptions'!$P$72+'Assumptions'!$Y$72)</x:f>
        <x:v>116.86215844847789</x:v>
      </x:c>
      <x:c r="X1842" s="10" t="n">
        <x:f>N1842/12*'Assumptions'!$AF$72</x:f>
        <x:v>0</x:v>
      </x:c>
      <x:c r="Y1842" s="10" t="n">
        <x:f>P1842/12</x:f>
        <x:v>0</x:v>
      </x:c>
      <x:c r="Z1842" s="10" t="n">
        <x:f>0</x:f>
        <x:v>0</x:v>
      </x:c>
      <x:c r="AA1842" s="10" t="n">
        <x:f>Z1842*'Assumptions'!$AC$72*'Assumptions'!$D$11*(1+'Assumptions'!$D$13)^(15-1)</x:f>
        <x:v>0</x:v>
      </x:c>
      <x:c r="AB1842" s="10" t="n">
        <x:f>F1842/12</x:f>
        <x:v>12.54035251893587</x:v>
      </x:c>
      <x:c r="AC1842" s="10" t="n">
        <x:f>AB1842/'Assumptions'!$AM$72</x:f>
        <x:v>250.8070503787174</x:v>
      </x:c>
      <x:c r="AD1842" s="10" t="n">
        <x:f>IF(AB1842=0,0,T1842/AB1842)</x:f>
        <x:v>45.32333867522051</x:v>
      </x:c>
      <x:c r="AE1842" s="10" t="n">
        <x:f>AA1842*'Assumptions'!$D$21</x:f>
        <x:v>0</x:v>
      </x:c>
    </x:row>
    <x:row r="1843" ht="16" customHeight="1">
      <x:c r="A1843" s="1"/>
      <x:c r="B1843" s="1"/>
      <x:c r="C1843" s="1" t="str">
        <x:v>DOT-044</x:v>
      </x:c>
      <x:c r="D1843" s="10" t="str">
        <x:v>Is Makes Travel Easy</x:v>
      </x:c>
      <x:c r="E1843" s="10" t="n">
        <x:v>15</x:v>
      </x:c>
      <x:c r="F1843" s="21" t="n">
        <x:f>F1715*(1+'Assumptions'!$M$73)</x:f>
        <x:v>61.38999269512919</x:v>
      </x:c>
      <x:c r="G1843" s="21" t="n">
        <x:f>H1715*'Assumptions'!$K$73</x:f>
        <x:v>31.597725783268498</x:v>
      </x:c>
      <x:c r="H1843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1843+G1843,NA())</x:f>
        <x:v>92.98771847839768</x:v>
      </x:c>
      <x:c r="I1843" s="22" t="n">
        <x:f>'Assumptions'!$H$73*IF('Assumptions'!$O$73=1,1,'Assumptions'!$D$10)*(1+'Assumptions'!$N$73)^(15-1)</x:f>
        <x:v>64.65445939008075</x:v>
      </x:c>
      <x:c r="J1843" s="10" t="n">
        <x:f>H1843*I1843</x:f>
        <x:v>6012.070668137824</x:v>
      </x:c>
      <x:c r="K1843" s="10" t="n">
        <x:f>J1843*'Assumptions'!$T$73</x:f>
        <x:v>6012.070668137824</x:v>
      </x:c>
      <x:c r="L1843" s="10" t="n">
        <x:f>K1843*'Assumptions'!$U$73</x:f>
        <x:v>180.3621200441347</x:v>
      </x:c>
      <x:c r="M1843" s="10" t="n">
        <x:f>K1843*'Assumptions'!$V$73</x:f>
        <x:v>0</x:v>
      </x:c>
      <x:c r="N1843" s="10" t="n">
        <x:f>K1843-L1843-M1843</x:f>
        <x:v>5831.708548093689</x:v>
      </x:c>
      <x:c r="O1843" s="10" t="n">
        <x:f>H1843*'Assumptions'!$P$73*'Assumptions'!$Q$73*'Assumptions'!$D$11*(1+'Assumptions'!$D$13)^(15-1)</x:f>
        <x:v>1230.7073406962613</x:v>
      </x:c>
      <x:c r="P1843" s="10" t="n">
        <x:f>H1843*'Assumptions'!$R$73*'Assumptions'!$D$11*(1+'Assumptions'!$D$13)^(15-1)</x:f>
        <x:v>0</x:v>
      </x:c>
      <x:c r="Q1843" s="10" t="n">
        <x:f>J1843*'Assumptions'!$S$73</x:f>
        <x:v>0</x:v>
      </x:c>
      <x:c r="R1843" s="10" t="n">
        <x:f>H1843*'Assumptions'!$Y$73*'Assumptions'!$Z$73*'Assumptions'!$D$11*(1+'Assumptions'!$D$13)^(15-1)</x:f>
        <x:v>2109.784012622162</x:v>
      </x:c>
      <x:c r="S1843" s="10" t="n">
        <x:f>IF(I1843=0,0,J1843*'Assumptions'!$W$73+H1843*'Assumptions'!$X$73)</x:f>
        <x:v>202.24636491951622</x:v>
      </x:c>
      <x:c r="T1843" s="10" t="n">
        <x:f>N1843*'Assumptions'!$AA$73</x:f>
        <x:v>466.53668384749517</x:v>
      </x:c>
      <x:c r="U1843" s="10" t="n">
        <x:f>'Assumptions'!$AE$73*'Assumptions'!$D$11*(1+'Assumptions'!$D$13)^(15-1)</x:f>
        <x:v>0</x:v>
      </x:c>
      <x:c r="V1843" s="10" t="n">
        <x:f>0</x:f>
        <x:v>0</x:v>
      </x:c>
      <x:c r="W1843" s="10" t="n">
        <x:f>H1843*('Assumptions'!$P$73+'Assumptions'!$Y$73)</x:f>
        <x:v>69.74078885879825</x:v>
      </x:c>
      <x:c r="X1843" s="10" t="n">
        <x:f>N1843/12*'Assumptions'!$AF$73</x:f>
        <x:v>485.97571234114076</x:v>
      </x:c>
      <x:c r="Y1843" s="10" t="n">
        <x:f>P1843/12</x:f>
        <x:v>0</x:v>
      </x:c>
      <x:c r="Z1843" s="10" t="n">
        <x:f>0</x:f>
        <x:v>0</x:v>
      </x:c>
      <x:c r="AA1843" s="10" t="n">
        <x:f>Z1843*'Assumptions'!$AC$73*'Assumptions'!$D$11*(1+'Assumptions'!$D$13)^(15-1)</x:f>
        <x:v>0</x:v>
      </x:c>
      <x:c r="AB1843" s="10" t="n">
        <x:f>F1843/1</x:f>
        <x:v>61.38999269512919</x:v>
      </x:c>
      <x:c r="AC1843" s="10" t="n">
        <x:f>AB1843/'Assumptions'!$AM$73</x:f>
        <x:v>613.8999269512918</x:v>
      </x:c>
      <x:c r="AD1843" s="10" t="n">
        <x:f>IF(AB1843=0,0,T1843/AB1843)</x:f>
        <x:v>7.5995559433339235</x:v>
      </x:c>
      <x:c r="AE1843" s="10" t="n">
        <x:f>AA1843*'Assumptions'!$D$21</x:f>
        <x:v>0</x:v>
      </x:c>
    </x:row>
    <x:row r="1844" ht="16" customHeight="1">
      <x:c r="A1844" s="1"/>
      <x:c r="B1844" s="1"/>
      <x:c r="C1844" s="1" t="str">
        <x:v>DOT-045</x:v>
      </x:c>
      <x:c r="D1844" s="10" t="str">
        <x:v>Is Makes Travel Easy</x:v>
      </x:c>
      <x:c r="E1844" s="10" t="n">
        <x:v>15</x:v>
      </x:c>
      <x:c r="F1844" s="21" t="n">
        <x:f>F1716*(1+'Assumptions'!$M$74)</x:f>
        <x:v>200.645640302974</x:v>
      </x:c>
      <x:c r="G1844" s="21" t="n">
        <x:f>H1716*'Assumptions'!$K$74</x:f>
        <x:v>422.61920475557497</x:v>
      </x:c>
      <x:c r="H1844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1844+G1844,NA())</x:f>
        <x:v>623.264845058549</x:v>
      </x:c>
      <x:c r="I1844" s="22" t="n">
        <x:f>'Assumptions'!$H$74*IF('Assumptions'!$O$74=1,1,'Assumptions'!$D$10)*(1+'Assumptions'!$N$74)^(15-1)</x:f>
        <x:v>197.92181445943086</x:v>
      </x:c>
      <x:c r="J1844" s="10" t="n">
        <x:f>H1844*I1844</x:f>
        <x:v>123357.70902276406</x:v>
      </x:c>
      <x:c r="K1844" s="10" t="n">
        <x:f>J1844*'Assumptions'!$T$74</x:f>
        <x:v>12335.770902276407</x:v>
      </x:c>
      <x:c r="L1844" s="10" t="n">
        <x:f>K1844*'Assumptions'!$U$74</x:f>
        <x:v>370.0731270682922</x:v>
      </x:c>
      <x:c r="M1844" s="10" t="n">
        <x:f>K1844*'Assumptions'!$V$74</x:f>
        <x:v>0</x:v>
      </x:c>
      <x:c r="N1844" s="10" t="n">
        <x:f>K1844-L1844-M1844</x:f>
        <x:v>11965.697775208115</x:v>
      </x:c>
      <x:c r="O1844" s="10" t="n">
        <x:f>H1844*'Assumptions'!$P$74*'Assumptions'!$Q$74*'Assumptions'!$D$11*(1+'Assumptions'!$D$13)^(15-1)</x:f>
        <x:v>3299.6040017464106</x:v>
      </x:c>
      <x:c r="P1844" s="10" t="n">
        <x:f>H1844*'Assumptions'!$R$74*'Assumptions'!$D$11*(1+'Assumptions'!$D$13)^(15-1)</x:f>
        <x:v>0</x:v>
      </x:c>
      <x:c r="Q1844" s="10" t="n">
        <x:f>J1844*'Assumptions'!$S$74</x:f>
        <x:v>0</x:v>
      </x:c>
      <x:c r="R1844" s="10" t="n">
        <x:f>H1844*'Assumptions'!$Y$74*'Assumptions'!$Z$74*'Assumptions'!$D$11*(1+'Assumptions'!$D$13)^(15-1)</x:f>
        <x:v>4242.348002245385</x:v>
      </x:c>
      <x:c r="S1844" s="10" t="n">
        <x:f>IF(I1844=0,0,J1844*'Assumptions'!$W$74+H1844*'Assumptions'!$X$74)</x:f>
        <x:v>3764.3530151777227</x:v>
      </x:c>
      <x:c r="T1844" s="10" t="n">
        <x:f>N1844*'Assumptions'!$AA$74</x:f>
        <x:v>598.2848887604058</x:v>
      </x:c>
      <x:c r="U1844" s="10" t="n">
        <x:f>'Assumptions'!$AE$74*'Assumptions'!$D$11*(1+'Assumptions'!$D$13)^(15-1)</x:f>
        <x:v>0</x:v>
      </x:c>
      <x:c r="V1844" s="10" t="n">
        <x:f>0</x:f>
        <x:v>0</x:v>
      </x:c>
      <x:c r="W1844" s="10" t="n">
        <x:f>H1844*('Assumptions'!$P$74+'Assumptions'!$Y$74)</x:f>
        <x:v>155.81621126463725</x:v>
      </x:c>
      <x:c r="X1844" s="10" t="n">
        <x:f>N1844/12*'Assumptions'!$AF$74</x:f>
        <x:v>0</x:v>
      </x:c>
      <x:c r="Y1844" s="10" t="n">
        <x:f>P1844/12</x:f>
        <x:v>0</x:v>
      </x:c>
      <x:c r="Z1844" s="10" t="n">
        <x:f>0</x:f>
        <x:v>0</x:v>
      </x:c>
      <x:c r="AA1844" s="10" t="n">
        <x:f>Z1844*'Assumptions'!$AC$74*'Assumptions'!$D$11*(1+'Assumptions'!$D$13)^(15-1)</x:f>
        <x:v>0</x:v>
      </x:c>
      <x:c r="AB1844" s="10" t="n">
        <x:f>F1844/1</x:f>
        <x:v>200.645640302974</x:v>
      </x:c>
      <x:c r="AC1844" s="10" t="n">
        <x:f>AB1844/'Assumptions'!$AM$74</x:f>
        <x:v>4012.9128060594794</x:v>
      </x:c>
      <x:c r="AD1844" s="10" t="n">
        <x:f>IF(AB1844=0,0,T1844/AB1844)</x:f>
        <x:v>2.981798597053982</x:v>
      </x:c>
      <x:c r="AE1844" s="10" t="n">
        <x:f>AA1844*'Assumptions'!$D$21</x:f>
        <x:v>0</x:v>
      </x:c>
    </x:row>
    <x:row r="1845" ht="16" customHeight="1">
      <x:c r="A1845" s="1"/>
      <x:c r="B1845" s="1"/>
      <x:c r="C1845" s="1" t="str">
        <x:v>DOT-046</x:v>
      </x:c>
      <x:c r="D1845" s="10" t="str">
        <x:v>Turbo Tax - Made Easy!</x:v>
      </x:c>
      <x:c r="E1845" s="10" t="n">
        <x:v>15</x:v>
      </x:c>
      <x:c r="F1845" s="21" t="n">
        <x:f>F1717*(1+'Assumptions'!$M$75)</x:f>
        <x:v>528.8665830638041</x:v>
      </x:c>
      <x:c r="G1845" s="21" t="n">
        <x:f>H1717*'Assumptions'!$K$75</x:f>
        <x:v>169.5085040347676</x:v>
      </x:c>
      <x:c r="H1845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1845+G1845,NA())</x:f>
        <x:v>698.3750870985717</x:v>
      </x:c>
      <x:c r="I1845" s="22" t="n">
        <x:f>'Assumptions'!$H$75*IF('Assumptions'!$O$75=1,1,'Assumptions'!$D$10)*(1+'Assumptions'!$N$75)^(15-1)</x:f>
        <x:v>149</x:v>
      </x:c>
      <x:c r="J1845" s="10" t="n">
        <x:f>H1845*I1845</x:f>
        <x:v>104057.88797768719</x:v>
      </x:c>
      <x:c r="K1845" s="10" t="n">
        <x:f>J1845*'Assumptions'!$T$75</x:f>
        <x:v>104057.88797768719</x:v>
      </x:c>
      <x:c r="L1845" s="10" t="n">
        <x:f>K1845*'Assumptions'!$U$75</x:f>
        <x:v>3121.7366393306156</x:v>
      </x:c>
      <x:c r="M1845" s="10" t="n">
        <x:f>K1845*'Assumptions'!$V$75</x:f>
        <x:v>0</x:v>
      </x:c>
      <x:c r="N1845" s="10" t="n">
        <x:f>K1845-L1845-M1845</x:f>
        <x:v>100936.15133835658</x:v>
      </x:c>
      <x:c r="O1845" s="10" t="n">
        <x:f>H1845*'Assumptions'!$P$75*'Assumptions'!$Q$75*'Assumptions'!$D$11*(1+'Assumptions'!$D$13)^(15-1)</x:f>
        <x:v>5545.86364941049</x:v>
      </x:c>
      <x:c r="P1845" s="10" t="n">
        <x:f>H1845*'Assumptions'!$R$75*'Assumptions'!$D$11*(1+'Assumptions'!$D$13)^(15-1)</x:f>
        <x:v>0</x:v>
      </x:c>
      <x:c r="Q1845" s="10" t="n">
        <x:f>J1845*'Assumptions'!$S$75</x:f>
        <x:v>0</x:v>
      </x:c>
      <x:c r="R1845" s="10" t="n">
        <x:f>H1845*'Assumptions'!$Y$75*'Assumptions'!$Z$75*'Assumptions'!$D$11*(1+'Assumptions'!$D$13)^(15-1)</x:f>
        <x:v>3169.06494252028</x:v>
      </x:c>
      <x:c r="S1845" s="10" t="n">
        <x:f>IF(I1845=0,0,J1845*'Assumptions'!$W$75+H1845*'Assumptions'!$X$75)</x:f>
        <x:v>3227.1912774825005</x:v>
      </x:c>
      <x:c r="T1845" s="10" t="n">
        <x:f>N1845*'Assumptions'!$AA$75</x:f>
        <x:v>5046.807566917829</x:v>
      </x:c>
      <x:c r="U1845" s="10" t="n">
        <x:f>'Assumptions'!$AE$75*'Assumptions'!$D$11*(1+'Assumptions'!$D$13)^(15-1)</x:f>
        <x:v>0</x:v>
      </x:c>
      <x:c r="V1845" s="10" t="n">
        <x:f>0</x:f>
        <x:v>0</x:v>
      </x:c>
      <x:c r="W1845" s="10" t="n">
        <x:f>H1845*('Assumptions'!$P$75+'Assumptions'!$Y$75)</x:f>
        <x:v>174.59377177464293</x:v>
      </x:c>
      <x:c r="X1845" s="10" t="n">
        <x:f>N1845/12*'Assumptions'!$AF$75</x:f>
        <x:v>0</x:v>
      </x:c>
      <x:c r="Y1845" s="10" t="n">
        <x:f>P1845/12</x:f>
        <x:v>0</x:v>
      </x:c>
      <x:c r="Z1845" s="10" t="n">
        <x:f>0</x:f>
        <x:v>0</x:v>
      </x:c>
      <x:c r="AA1845" s="10" t="n">
        <x:f>Z1845*'Assumptions'!$AC$75*'Assumptions'!$D$11*(1+'Assumptions'!$D$13)^(15-1)</x:f>
        <x:v>0</x:v>
      </x:c>
      <x:c r="AB1845" s="10" t="n">
        <x:f>F1845/1</x:f>
        <x:v>528.8665830638041</x:v>
      </x:c>
      <x:c r="AC1845" s="10" t="n">
        <x:f>AB1845/'Assumptions'!$AM$75</x:f>
        <x:v>10577.331661276081</x:v>
      </x:c>
      <x:c r="AD1845" s="10" t="n">
        <x:f>IF(AB1845=0,0,T1845/AB1845)</x:f>
        <x:v>9.542685676377792</x:v>
      </x:c>
      <x:c r="AE1845" s="10" t="n">
        <x:f>AA1845*'Assumptions'!$D$21</x:f>
        <x:v>0</x:v>
      </x:c>
    </x:row>
    <x:row r="1846" ht="16" customHeight="1">
      <x:c r="A1846" s="1"/>
      <x:c r="B1846" s="1"/>
      <x:c r="C1846" s="1" t="str">
        <x:v>DOT-047</x:v>
      </x:c>
      <x:c r="D1846" s="10" t="str">
        <x:v>LavaLearning adult</x:v>
      </x:c>
      <x:c r="E1846" s="10" t="n">
        <x:v>15</x:v>
      </x:c>
      <x:c r="F1846" s="21" t="n">
        <x:f>F1718*(1+'Assumptions'!$M$76)</x:f>
        <x:v>352.577722042536</x:v>
      </x:c>
      <x:c r="G1846" s="21" t="n">
        <x:f>H1718*'Assumptions'!$K$76</x:f>
        <x:v>113.00566929442354</x:v>
      </x:c>
      <x:c r="H1846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1846+G1846,NA())</x:f>
        <x:v>465.5833913369595</x:v>
      </x:c>
      <x:c r="I1846" s="22" t="n">
        <x:f>'Assumptions'!$H$76*IF('Assumptions'!$O$76=1,1,'Assumptions'!$D$10)*(1+'Assumptions'!$N$76)^(15-1)</x:f>
        <x:v>79</x:v>
      </x:c>
      <x:c r="J1846" s="10" t="n">
        <x:f>H1846*I1846</x:f>
        <x:v>36781.0879156198</x:v>
      </x:c>
      <x:c r="K1846" s="10" t="n">
        <x:f>J1846*'Assumptions'!$T$76</x:f>
        <x:v>36781.0879156198</x:v>
      </x:c>
      <x:c r="L1846" s="10" t="n">
        <x:f>K1846*'Assumptions'!$U$76</x:f>
        <x:v>1103.4326374685938</x:v>
      </x:c>
      <x:c r="M1846" s="10" t="n">
        <x:f>K1846*'Assumptions'!$V$76</x:f>
        <x:v>0</x:v>
      </x:c>
      <x:c r="N1846" s="10" t="n">
        <x:f>K1846-L1846-M1846</x:f>
        <x:v>35677.65527815121</x:v>
      </x:c>
      <x:c r="O1846" s="10" t="n">
        <x:f>H1846*'Assumptions'!$P$76*'Assumptions'!$Q$76*'Assumptions'!$D$11*(1+'Assumptions'!$D$13)^(15-1)</x:f>
        <x:v>3697.2424324472777</x:v>
      </x:c>
      <x:c r="P1846" s="10" t="n">
        <x:f>H1846*'Assumptions'!$R$76*'Assumptions'!$D$11*(1+'Assumptions'!$D$13)^(15-1)</x:f>
        <x:v>0</x:v>
      </x:c>
      <x:c r="Q1846" s="10" t="n">
        <x:f>J1846*'Assumptions'!$S$76</x:f>
        <x:v>0</x:v>
      </x:c>
      <x:c r="R1846" s="10" t="n">
        <x:f>H1846*'Assumptions'!$Y$76*'Assumptions'!$Z$76*'Assumptions'!$D$11*(1+'Assumptions'!$D$13)^(15-1)</x:f>
        <x:v>2112.709961398444</x:v>
      </x:c>
      <x:c r="S1846" s="10" t="n">
        <x:f>IF(I1846=0,0,J1846*'Assumptions'!$W$76+H1846*'Assumptions'!$X$76)</x:f>
        <x:v>1206.3265669540622</x:v>
      </x:c>
      <x:c r="T1846" s="10" t="n">
        <x:f>N1846*'Assumptions'!$AA$76</x:f>
        <x:v>1783.8827639075605</x:v>
      </x:c>
      <x:c r="U1846" s="10" t="n">
        <x:f>'Assumptions'!$AE$76*'Assumptions'!$D$11*(1+'Assumptions'!$D$13)^(15-1)</x:f>
        <x:v>0</x:v>
      </x:c>
      <x:c r="V1846" s="10" t="n">
        <x:f>0</x:f>
        <x:v>0</x:v>
      </x:c>
      <x:c r="W1846" s="10" t="n">
        <x:f>H1846*('Assumptions'!$P$76+'Assumptions'!$Y$76)</x:f>
        <x:v>116.39584783423987</x:v>
      </x:c>
      <x:c r="X1846" s="10" t="n">
        <x:f>N1846/12*'Assumptions'!$AF$76</x:f>
        <x:v>0</x:v>
      </x:c>
      <x:c r="Y1846" s="10" t="n">
        <x:f>P1846/12</x:f>
        <x:v>0</x:v>
      </x:c>
      <x:c r="Z1846" s="10" t="n">
        <x:f>0</x:f>
        <x:v>0</x:v>
      </x:c>
      <x:c r="AA1846" s="10" t="n">
        <x:f>Z1846*'Assumptions'!$AC$76*'Assumptions'!$D$11*(1+'Assumptions'!$D$13)^(15-1)</x:f>
        <x:v>0</x:v>
      </x:c>
      <x:c r="AB1846" s="10" t="n">
        <x:f>F1846/1</x:f>
        <x:v>352.577722042536</x:v>
      </x:c>
      <x:c r="AC1846" s="10" t="n">
        <x:f>AB1846/'Assumptions'!$AM$76</x:f>
        <x:v>7051.554440850719</x:v>
      </x:c>
      <x:c r="AD1846" s="10" t="n">
        <x:f>IF(AB1846=0,0,T1846/AB1846)</x:f>
        <x:v>5.059544753914849</x:v>
      </x:c>
      <x:c r="AE1846" s="10" t="n">
        <x:f>AA1846*'Assumptions'!$D$21</x:f>
        <x:v>0</x:v>
      </x:c>
    </x:row>
    <x:row r="1847" ht="16" customHeight="1">
      <x:c r="A1847" s="1"/>
      <x:c r="B1847" s="1"/>
      <x:c r="C1847" s="1" t="str">
        <x:v>DOT-048</x:v>
      </x:c>
      <x:c r="D1847" s="10" t="str">
        <x:v>Turbo Tax - Made Easy!</x:v>
      </x:c>
      <x:c r="E1847" s="10" t="n">
        <x:v>15</x:v>
      </x:c>
      <x:c r="F1847" s="21" t="n">
        <x:f>F1719*(1+'Assumptions'!$M$77)</x:f>
        <x:v>1057.7331661276082</x:v>
      </x:c>
      <x:c r="G1847" s="21" t="n">
        <x:f>H1719*'Assumptions'!$K$77</x:f>
        <x:v>339.0170080695352</x:v>
      </x:c>
      <x:c r="H1847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1847+G1847,NA())</x:f>
        <x:v>1396.7501741971435</x:v>
      </x:c>
      <x:c r="I1847" s="22" t="n">
        <x:f>'Assumptions'!$H$77*IF('Assumptions'!$O$77=1,1,'Assumptions'!$D$10)*(1+'Assumptions'!$N$77)^(15-1)</x:f>
        <x:v>25.070096498194577</x:v>
      </x:c>
      <x:c r="J1847" s="10" t="n">
        <x:f>H1847*I1847</x:f>
        <x:v>35016.66165099247</x:v>
      </x:c>
      <x:c r="K1847" s="10" t="n">
        <x:f>J1847*'Assumptions'!$T$77</x:f>
        <x:v>35016.66165099247</x:v>
      </x:c>
      <x:c r="L1847" s="10" t="n">
        <x:f>K1847*'Assumptions'!$U$77</x:f>
        <x:v>1050.499849529774</x:v>
      </x:c>
      <x:c r="M1847" s="10" t="n">
        <x:f>K1847*'Assumptions'!$V$77</x:f>
        <x:v>0</x:v>
      </x:c>
      <x:c r="N1847" s="10" t="n">
        <x:f>K1847-L1847-M1847</x:f>
        <x:v>33966.161801462695</x:v>
      </x:c>
      <x:c r="O1847" s="10" t="n">
        <x:f>H1847*'Assumptions'!$P$77*'Assumptions'!$Q$77*'Assumptions'!$D$11*(1+'Assumptions'!$D$13)^(15-1)</x:f>
        <x:v>11091.72729882098</x:v>
      </x:c>
      <x:c r="P1847" s="10" t="n">
        <x:f>H1847*'Assumptions'!$R$77*'Assumptions'!$D$11*(1+'Assumptions'!$D$13)^(15-1)</x:f>
        <x:v>0</x:v>
      </x:c>
      <x:c r="Q1847" s="10" t="n">
        <x:f>J1847*'Assumptions'!$S$77</x:f>
        <x:v>0</x:v>
      </x:c>
      <x:c r="R1847" s="10" t="n">
        <x:f>H1847*'Assumptions'!$Y$77*'Assumptions'!$Z$77*'Assumptions'!$D$11*(1+'Assumptions'!$D$13)^(15-1)</x:f>
        <x:v>6338.12988504056</x:v>
      </x:c>
      <x:c r="S1847" s="10" t="n">
        <x:f>IF(I1847=0,0,J1847*'Assumptions'!$W$77+H1847*'Assumptions'!$X$77)</x:f>
        <x:v>1434.5082401379248</x:v>
      </x:c>
      <x:c r="T1847" s="10" t="n">
        <x:f>N1847*'Assumptions'!$AA$77</x:f>
        <x:v>1698.3080900731347</x:v>
      </x:c>
      <x:c r="U1847" s="10" t="n">
        <x:f>'Assumptions'!$AE$77*'Assumptions'!$D$11*(1+'Assumptions'!$D$13)^(15-1)</x:f>
        <x:v>0</x:v>
      </x:c>
      <x:c r="V1847" s="10" t="n">
        <x:f>0</x:f>
        <x:v>0</x:v>
      </x:c>
      <x:c r="W1847" s="10" t="n">
        <x:f>H1847*('Assumptions'!$P$77+'Assumptions'!$Y$77)</x:f>
        <x:v>349.18754354928586</x:v>
      </x:c>
      <x:c r="X1847" s="10" t="n">
        <x:f>N1847/12*'Assumptions'!$AF$77</x:f>
        <x:v>0</x:v>
      </x:c>
      <x:c r="Y1847" s="10" t="n">
        <x:f>P1847/12</x:f>
        <x:v>0</x:v>
      </x:c>
      <x:c r="Z1847" s="10" t="n">
        <x:f>0</x:f>
        <x:v>0</x:v>
      </x:c>
      <x:c r="AA1847" s="10" t="n">
        <x:f>Z1847*'Assumptions'!$AC$77*'Assumptions'!$D$11*(1+'Assumptions'!$D$13)^(15-1)</x:f>
        <x:v>0</x:v>
      </x:c>
      <x:c r="AB1847" s="10" t="n">
        <x:f>F1847/1</x:f>
        <x:v>1057.7331661276082</x:v>
      </x:c>
      <x:c r="AC1847" s="10" t="n">
        <x:f>AB1847/'Assumptions'!$AM$77</x:f>
        <x:v>21154.663322552162</x:v>
      </x:c>
      <x:c r="AD1847" s="10" t="n">
        <x:f>IF(AB1847=0,0,T1847/AB1847)</x:f>
        <x:v>1.6056110789176536</x:v>
      </x:c>
      <x:c r="AE1847" s="10" t="n">
        <x:f>AA1847*'Assumptions'!$D$21</x:f>
        <x:v>0</x:v>
      </x:c>
    </x:row>
    <x:row r="1848" ht="16" customHeight="1">
      <x:c r="A1848" s="1"/>
      <x:c r="B1848" s="1"/>
      <x:c r="C1848" s="1" t="str">
        <x:v>DOT-049</x:v>
      </x:c>
      <x:c r="D1848" s="10" t="str">
        <x:v>Turbo Tax - Made Easy!</x:v>
      </x:c>
      <x:c r="E1848" s="10" t="n">
        <x:v>15</x:v>
      </x:c>
      <x:c r="F1848" s="21" t="n">
        <x:f>F1720*(1+'Assumptions'!$M$78)</x:f>
        <x:v>352.577722042536</x:v>
      </x:c>
      <x:c r="G1848" s="21" t="n">
        <x:f>H1720*'Assumptions'!$K$78</x:f>
        <x:v>113.00566910815903</x:v>
      </x:c>
      <x:c r="H1848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1848+G1848,NA())</x:f>
        <x:v>465.583391150695</x:v>
      </x:c>
      <x:c r="I1848" s="22" t="n">
        <x:f>'Assumptions'!$H$78*IF('Assumptions'!$O$78=1,1,'Assumptions'!$D$10)*(1+'Assumptions'!$N$78)^(15-1)</x:f>
        <x:v>25.070096498194577</x:v>
      </x:c>
      <x:c r="J1848" s="10" t="n">
        <x:f>H1848*I1848</x:f>
        <x:v>11672.220544104594</x:v>
      </x:c>
      <x:c r="K1848" s="10" t="n">
        <x:f>J1848*'Assumptions'!$T$78</x:f>
        <x:v>11672.220544104594</x:v>
      </x:c>
      <x:c r="L1848" s="10" t="n">
        <x:f>K1848*'Assumptions'!$U$78</x:f>
        <x:v>350.1666163231378</x:v>
      </x:c>
      <x:c r="M1848" s="10" t="n">
        <x:f>K1848*'Assumptions'!$V$78</x:f>
        <x:v>0</x:v>
      </x:c>
      <x:c r="N1848" s="10" t="n">
        <x:f>K1848-L1848-M1848</x:f>
        <x:v>11322.053927781455</x:v>
      </x:c>
      <x:c r="O1848" s="10" t="n">
        <x:f>H1848*'Assumptions'!$P$78*'Assumptions'!$Q$78*'Assumptions'!$D$11*(1+'Assumptions'!$D$13)^(15-1)</x:f>
        <x:v>3697.2424309681332</x:v>
      </x:c>
      <x:c r="P1848" s="10" t="n">
        <x:f>H1848*'Assumptions'!$R$78*'Assumptions'!$D$11*(1+'Assumptions'!$D$13)^(15-1)</x:f>
        <x:v>0</x:v>
      </x:c>
      <x:c r="Q1848" s="10" t="n">
        <x:f>J1848*'Assumptions'!$S$78</x:f>
        <x:v>0</x:v>
      </x:c>
      <x:c r="R1848" s="10" t="n">
        <x:f>H1848*'Assumptions'!$Y$78*'Assumptions'!$Z$78*'Assumptions'!$D$11*(1+'Assumptions'!$D$13)^(15-1)</x:f>
        <x:v>2112.709960553219</x:v>
      </x:c>
      <x:c r="S1848" s="10" t="n">
        <x:f>IF(I1848=0,0,J1848*'Assumptions'!$W$78+H1848*'Assumptions'!$X$78)</x:f>
        <x:v>478.1694131242417</x:v>
      </x:c>
      <x:c r="T1848" s="10" t="n">
        <x:f>N1848*'Assumptions'!$AA$78</x:f>
        <x:v>566.1026963890728</x:v>
      </x:c>
      <x:c r="U1848" s="10" t="n">
        <x:f>'Assumptions'!$AE$78*'Assumptions'!$D$11*(1+'Assumptions'!$D$13)^(15-1)</x:f>
        <x:v>0</x:v>
      </x:c>
      <x:c r="V1848" s="10" t="n">
        <x:f>0</x:f>
        <x:v>0</x:v>
      </x:c>
      <x:c r="W1848" s="10" t="n">
        <x:f>H1848*('Assumptions'!$P$78+'Assumptions'!$Y$78)</x:f>
        <x:v>116.39584778767374</x:v>
      </x:c>
      <x:c r="X1848" s="10" t="n">
        <x:f>N1848/12*'Assumptions'!$AF$78</x:f>
        <x:v>0</x:v>
      </x:c>
      <x:c r="Y1848" s="10" t="n">
        <x:f>P1848/12</x:f>
        <x:v>0</x:v>
      </x:c>
      <x:c r="Z1848" s="10" t="n">
        <x:f>0</x:f>
        <x:v>0</x:v>
      </x:c>
      <x:c r="AA1848" s="10" t="n">
        <x:f>Z1848*'Assumptions'!$AC$78*'Assumptions'!$D$11*(1+'Assumptions'!$D$13)^(15-1)</x:f>
        <x:v>0</x:v>
      </x:c>
      <x:c r="AB1848" s="10" t="n">
        <x:f>F1848/1</x:f>
        <x:v>352.577722042536</x:v>
      </x:c>
      <x:c r="AC1848" s="10" t="n">
        <x:f>AB1848/'Assumptions'!$AM$78</x:f>
        <x:v>7051.554440850719</x:v>
      </x:c>
      <x:c r="AD1848" s="10" t="n">
        <x:f>IF(AB1848=0,0,T1848/AB1848)</x:f>
        <x:v>1.6056110780611843</x:v>
      </x:c>
      <x:c r="AE1848" s="10" t="n">
        <x:f>AA1848*'Assumptions'!$D$21</x:f>
        <x:v>0</x:v>
      </x:c>
    </x:row>
    <x:row r="1849" ht="16" customHeight="1">
      <x:c r="A1849" s="1"/>
      <x:c r="B1849" s="1"/>
      <x:c r="C1849" s="1" t="str">
        <x:v>DOT-050</x:v>
      </x:c>
      <x:c r="D1849" s="10" t="str">
        <x:v>LavaLearning adult</x:v>
      </x:c>
      <x:c r="E1849" s="10" t="n">
        <x:v>15</x:v>
      </x:c>
      <x:c r="F1849" s="21" t="n">
        <x:f>F1721*(1+'Assumptions'!$M$79)</x:f>
        <x:v>1057.7331661276082</x:v>
      </x:c>
      <x:c r="G1849" s="21" t="n">
        <x:f>H1721*'Assumptions'!$K$79</x:f>
        <x:v>339.0170078832707</x:v>
      </x:c>
      <x:c r="H1849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1849+G1849,NA())</x:f>
        <x:v>1396.750174010879</x:v>
      </x:c>
      <x:c r="I1849" s="22" t="n">
        <x:f>'Assumptions'!$H$79*IF('Assumptions'!$O$79=1,1,'Assumptions'!$D$10)*(1+'Assumptions'!$N$79)^(15-1)</x:f>
        <x:v>25.070096498194577</x:v>
      </x:c>
      <x:c r="J1849" s="10" t="n">
        <x:f>H1849*I1849</x:f>
        <x:v>35016.6616463228</x:v>
      </x:c>
      <x:c r="K1849" s="10" t="n">
        <x:f>J1849*'Assumptions'!$T$79</x:f>
        <x:v>35016.6616463228</x:v>
      </x:c>
      <x:c r="L1849" s="10" t="n">
        <x:f>K1849*'Assumptions'!$U$79</x:f>
        <x:v>1050.499849389684</x:v>
      </x:c>
      <x:c r="M1849" s="10" t="n">
        <x:f>K1849*'Assumptions'!$V$79</x:f>
        <x:v>0</x:v>
      </x:c>
      <x:c r="N1849" s="10" t="n">
        <x:f>K1849-L1849-M1849</x:f>
        <x:v>33966.16179693311</x:v>
      </x:c>
      <x:c r="O1849" s="10" t="n">
        <x:f>H1849*'Assumptions'!$P$79*'Assumptions'!$Q$79*'Assumptions'!$D$11*(1+'Assumptions'!$D$13)^(15-1)</x:f>
        <x:v>11091.727297341837</x:v>
      </x:c>
      <x:c r="P1849" s="10" t="n">
        <x:f>H1849*'Assumptions'!$R$79*'Assumptions'!$D$11*(1+'Assumptions'!$D$13)^(15-1)</x:f>
        <x:v>0</x:v>
      </x:c>
      <x:c r="Q1849" s="10" t="n">
        <x:f>J1849*'Assumptions'!$S$79</x:f>
        <x:v>0</x:v>
      </x:c>
      <x:c r="R1849" s="10" t="n">
        <x:f>H1849*'Assumptions'!$Y$79*'Assumptions'!$Z$79*'Assumptions'!$D$11*(1+'Assumptions'!$D$13)^(15-1)</x:f>
        <x:v>6338.129884195335</x:v>
      </x:c>
      <x:c r="S1849" s="10" t="n">
        <x:f>IF(I1849=0,0,J1849*'Assumptions'!$W$79+H1849*'Assumptions'!$X$79)</x:f>
        <x:v>1434.5082399466248</x:v>
      </x:c>
      <x:c r="T1849" s="10" t="n">
        <x:f>N1849*'Assumptions'!$AA$79</x:f>
        <x:v>1698.3080898466558</x:v>
      </x:c>
      <x:c r="U1849" s="10" t="n">
        <x:f>'Assumptions'!$AE$79*'Assumptions'!$D$11*(1+'Assumptions'!$D$13)^(15-1)</x:f>
        <x:v>0</x:v>
      </x:c>
      <x:c r="V1849" s="10" t="n">
        <x:f>0</x:f>
        <x:v>0</x:v>
      </x:c>
      <x:c r="W1849" s="10" t="n">
        <x:f>H1849*('Assumptions'!$P$79+'Assumptions'!$Y$79)</x:f>
        <x:v>349.18754350271973</x:v>
      </x:c>
      <x:c r="X1849" s="10" t="n">
        <x:f>N1849/12*'Assumptions'!$AF$79</x:f>
        <x:v>0</x:v>
      </x:c>
      <x:c r="Y1849" s="10" t="n">
        <x:f>P1849/12</x:f>
        <x:v>0</x:v>
      </x:c>
      <x:c r="Z1849" s="10" t="n">
        <x:f>0</x:f>
        <x:v>0</x:v>
      </x:c>
      <x:c r="AA1849" s="10" t="n">
        <x:f>Z1849*'Assumptions'!$AC$79*'Assumptions'!$D$11*(1+'Assumptions'!$D$13)^(15-1)</x:f>
        <x:v>0</x:v>
      </x:c>
      <x:c r="AB1849" s="10" t="n">
        <x:f>F1849/1</x:f>
        <x:v>1057.7331661276082</x:v>
      </x:c>
      <x:c r="AC1849" s="10" t="n">
        <x:f>AB1849/'Assumptions'!$AM$79</x:f>
        <x:v>21154.663322552162</x:v>
      </x:c>
      <x:c r="AD1849" s="10" t="n">
        <x:f>IF(AB1849=0,0,T1849/AB1849)</x:f>
        <x:v>1.6056110787035363</x:v>
      </x:c>
      <x:c r="AE1849" s="10" t="n">
        <x:f>AA1849*'Assumptions'!$D$21</x:f>
        <x:v>0</x:v>
      </x:c>
    </x:row>
    <x:row r="1850" ht="16" customHeight="1">
      <x:c r="A1850" s="1"/>
      <x:c r="B1850" s="1"/>
      <x:c r="C1850" s="1" t="str">
        <x:v>DOT-051</x:v>
      </x:c>
      <x:c r="D1850" s="10" t="str">
        <x:v>LavaLearning adult</x:v>
      </x:c>
      <x:c r="E1850" s="10" t="n">
        <x:v>15</x:v>
      </x:c>
      <x:c r="F1850" s="21" t="n">
        <x:f>F1722*(1+'Assumptions'!$M$80)</x:f>
        <x:v>211.54663322552162</x:v>
      </x:c>
      <x:c r="G1850" s="21" t="n">
        <x:f>H1722*'Assumptions'!$K$80</x:f>
        <x:v>67.80340146489542</x:v>
      </x:c>
      <x:c r="H1850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1850+G1850,NA())</x:f>
        <x:v>279.35003469041703</x:v>
      </x:c>
      <x:c r="I1850" s="22" t="n">
        <x:f>'Assumptions'!$H$80*IF('Assumptions'!$O$80=1,1,'Assumptions'!$D$10)*(1+'Assumptions'!$N$80)^(15-1)</x:f>
        <x:v>38.2648841288233</x:v>
      </x:c>
      <x:c r="J1850" s="10" t="n">
        <x:f>H1850*I1850</x:f>
        <x:v>10689.296708811577</x:v>
      </x:c>
      <x:c r="K1850" s="10" t="n">
        <x:f>J1850*'Assumptions'!$T$80</x:f>
        <x:v>10689.296708811577</x:v>
      </x:c>
      <x:c r="L1850" s="10" t="n">
        <x:f>K1850*'Assumptions'!$U$80</x:f>
        <x:v>320.6789012643473</x:v>
      </x:c>
      <x:c r="M1850" s="10" t="n">
        <x:f>K1850*'Assumptions'!$V$80</x:f>
        <x:v>0</x:v>
      </x:c>
      <x:c r="N1850" s="10" t="n">
        <x:f>K1850-L1850-M1850</x:f>
        <x:v>10368.617807547229</x:v>
      </x:c>
      <x:c r="O1850" s="10" t="n">
        <x:f>H1850*'Assumptions'!$P$80*'Assumptions'!$Q$80*'Assumptions'!$D$11*(1+'Assumptions'!$D$13)^(15-1)</x:f>
        <x:v>2218.34545858088</x:v>
      </x:c>
      <x:c r="P1850" s="10" t="n">
        <x:f>H1850*'Assumptions'!$R$80*'Assumptions'!$D$11*(1+'Assumptions'!$D$13)^(15-1)</x:f>
        <x:v>0</x:v>
      </x:c>
      <x:c r="Q1850" s="10" t="n">
        <x:f>J1850*'Assumptions'!$S$80</x:f>
        <x:v>0</x:v>
      </x:c>
      <x:c r="R1850" s="10" t="n">
        <x:f>H1850*'Assumptions'!$Y$80*'Assumptions'!$Z$80*'Assumptions'!$D$11*(1+'Assumptions'!$D$13)^(15-1)</x:f>
        <x:v>1267.6259763319315</x:v>
      </x:c>
      <x:c r="S1850" s="10" t="n">
        <x:f>IF(I1850=0,0,J1850*'Assumptions'!$W$80+H1850*'Assumptions'!$X$80)</x:f>
        <x:v>393.79461496266083</x:v>
      </x:c>
      <x:c r="T1850" s="10" t="n">
        <x:f>N1850*'Assumptions'!$AA$80</x:f>
        <x:v>518.4308903773615</x:v>
      </x:c>
      <x:c r="U1850" s="10" t="n">
        <x:f>'Assumptions'!$AE$80*'Assumptions'!$D$11*(1+'Assumptions'!$D$13)^(15-1)</x:f>
        <x:v>0</x:v>
      </x:c>
      <x:c r="V1850" s="10" t="n">
        <x:f>0</x:f>
        <x:v>0</x:v>
      </x:c>
      <x:c r="W1850" s="10" t="n">
        <x:f>H1850*('Assumptions'!$P$80+'Assumptions'!$Y$80)</x:f>
        <x:v>69.83750867260426</x:v>
      </x:c>
      <x:c r="X1850" s="10" t="n">
        <x:f>N1850/12*'Assumptions'!$AF$80</x:f>
        <x:v>0</x:v>
      </x:c>
      <x:c r="Y1850" s="10" t="n">
        <x:f>P1850/12</x:f>
        <x:v>0</x:v>
      </x:c>
      <x:c r="Z1850" s="10" t="n">
        <x:f>0</x:f>
        <x:v>0</x:v>
      </x:c>
      <x:c r="AA1850" s="10" t="n">
        <x:f>Z1850*'Assumptions'!$AC$80*'Assumptions'!$D$11*(1+'Assumptions'!$D$13)^(15-1)</x:f>
        <x:v>0</x:v>
      </x:c>
      <x:c r="AB1850" s="10" t="n">
        <x:f>F1850/1</x:f>
        <x:v>211.54663322552162</x:v>
      </x:c>
      <x:c r="AC1850" s="10" t="n">
        <x:f>AB1850/'Assumptions'!$AM$80</x:f>
        <x:v>4230.932664510432</x:v>
      </x:c>
      <x:c r="AD1850" s="10" t="n">
        <x:f>IF(AB1850=0,0,T1850/AB1850)</x:f>
        <x:v>2.45066954019865</x:v>
      </x:c>
      <x:c r="AE1850" s="10" t="n">
        <x:f>AA1850*'Assumptions'!$D$21</x:f>
        <x:v>0</x:v>
      </x:c>
    </x:row>
    <x:row r="1851" ht="16" customHeight="1">
      <x:c r="A1851" s="1"/>
      <x:c r="B1851" s="1"/>
      <x:c r="C1851" s="1" t="str">
        <x:v>DOT-052</x:v>
      </x:c>
      <x:c r="D1851" s="10" t="str">
        <x:v>LavaLearning Model Life</x:v>
      </x:c>
      <x:c r="E1851" s="10" t="n">
        <x:v>15</x:v>
      </x:c>
      <x:c r="F1851" s="21" t="n">
        <x:f>F1723*(1+'Assumptions'!$M$81)</x:f>
        <x:v>0</x:v>
      </x:c>
      <x:c r="G1851" s="21" t="n">
        <x:f>H1723*'Assumptions'!$K$81</x:f>
        <x:v>0</x:v>
      </x:c>
      <x:c r="H1851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1851+G1851,NA())</x:f>
        <x:v>0</x:v>
      </x:c>
      <x:c r="I1851" s="22" t="n">
        <x:f>'Assumptions'!$H$81*IF('Assumptions'!$O$81=1,1,'Assumptions'!$D$10)*(1+'Assumptions'!$N$81)^(15-1)</x:f>
        <x:v>0</x:v>
      </x:c>
      <x:c r="J1851" s="10" t="n">
        <x:f>H1851*I1851</x:f>
        <x:v>0</x:v>
      </x:c>
      <x:c r="K1851" s="10" t="n">
        <x:f>J1851*'Assumptions'!$T$81</x:f>
        <x:v>0</x:v>
      </x:c>
      <x:c r="L1851" s="10" t="n">
        <x:f>K1851*'Assumptions'!$U$81</x:f>
        <x:v>0</x:v>
      </x:c>
      <x:c r="M1851" s="10" t="n">
        <x:f>K1851*'Assumptions'!$V$81</x:f>
        <x:v>0</x:v>
      </x:c>
      <x:c r="N1851" s="10" t="n">
        <x:f>K1851-L1851-M1851</x:f>
        <x:v>0</x:v>
      </x:c>
      <x:c r="O1851" s="10" t="n">
        <x:f>H1851*'Assumptions'!$P$81*'Assumptions'!$Q$81*'Assumptions'!$D$11*(1+'Assumptions'!$D$13)^(15-1)</x:f>
        <x:v>0</x:v>
      </x:c>
      <x:c r="P1851" s="10" t="n">
        <x:f>H1851*'Assumptions'!$R$81*'Assumptions'!$D$11*(1+'Assumptions'!$D$13)^(15-1)</x:f>
        <x:v>0</x:v>
      </x:c>
      <x:c r="Q1851" s="10" t="n">
        <x:f>J1851*'Assumptions'!$S$81</x:f>
        <x:v>0</x:v>
      </x:c>
      <x:c r="R1851" s="10" t="n">
        <x:f>H1851*'Assumptions'!$Y$81*'Assumptions'!$Z$81*'Assumptions'!$D$11*(1+'Assumptions'!$D$13)^(15-1)</x:f>
        <x:v>0</x:v>
      </x:c>
      <x:c r="S1851" s="10" t="n">
        <x:f>IF(I1851=0,0,J1851*'Assumptions'!$W$81+H1851*'Assumptions'!$X$81)</x:f>
        <x:v>0</x:v>
      </x:c>
      <x:c r="T1851" s="10" t="n">
        <x:f>N1851*'Assumptions'!$AA$81</x:f>
        <x:v>0</x:v>
      </x:c>
      <x:c r="U1851" s="10" t="n">
        <x:f>'Assumptions'!$AE$81*'Assumptions'!$D$11*(1+'Assumptions'!$D$13)^(15-1)</x:f>
        <x:v>0</x:v>
      </x:c>
      <x:c r="V1851" s="10" t="n">
        <x:f>0</x:f>
        <x:v>0</x:v>
      </x:c>
      <x:c r="W1851" s="10" t="n">
        <x:f>H1851*('Assumptions'!$P$81+'Assumptions'!$Y$81)</x:f>
        <x:v>0</x:v>
      </x:c>
      <x:c r="X1851" s="10" t="n">
        <x:f>N1851/12*'Assumptions'!$AF$81</x:f>
        <x:v>0</x:v>
      </x:c>
      <x:c r="Y1851" s="10" t="n">
        <x:f>P1851/12</x:f>
        <x:v>0</x:v>
      </x:c>
      <x:c r="Z1851" s="10" t="n">
        <x:f>0</x:f>
        <x:v>0</x:v>
      </x:c>
      <x:c r="AA1851" s="10" t="n">
        <x:f>Z1851*'Assumptions'!$AC$81*'Assumptions'!$D$11*(1+'Assumptions'!$D$13)^(15-1)</x:f>
        <x:v>0</x:v>
      </x:c>
      <x:c r="AB1851" s="10" t="n">
        <x:f>F1851/1</x:f>
        <x:v>0</x:v>
      </x:c>
      <x:c r="AC1851" s="10" t="n">
        <x:f>AB1851/'Assumptions'!$AM$81</x:f>
        <x:v>0</x:v>
      </x:c>
      <x:c r="AD1851" s="10" t="n">
        <x:f>IF(AB1851=0,0,T1851/AB1851)</x:f>
        <x:v>0</x:v>
      </x:c>
      <x:c r="AE1851" s="10" t="n">
        <x:f>AA1851*'Assumptions'!$D$21</x:f>
        <x:v>0</x:v>
      </x:c>
    </x:row>
    <x:row r="1852" ht="16" customHeight="1">
      <x:c r="A1852" s="1"/>
      <x:c r="B1852" s="1"/>
      <x:c r="C1852" s="1" t="str">
        <x:v>DOT-053</x:v>
      </x:c>
      <x:c r="D1852" s="10" t="str">
        <x:v>LavaLearning Kids</x:v>
      </x:c>
      <x:c r="E1852" s="10" t="n">
        <x:v>15</x:v>
      </x:c>
      <x:c r="F1852" s="21" t="n">
        <x:f>F1724*(1+'Assumptions'!$M$82)</x:f>
        <x:v>1057.7331661276082</x:v>
      </x:c>
      <x:c r="G1852" s="21" t="n">
        <x:f>H1724*'Assumptions'!$K$82</x:f>
        <x:v>339.01700732447716</x:v>
      </x:c>
      <x:c r="H1852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1852+G1852,NA())</x:f>
        <x:v>1396.7501734520854</x:v>
      </x:c>
      <x:c r="I1852" s="22" t="n">
        <x:f>'Assumptions'!$H$82*IF('Assumptions'!$O$82=1,1,'Assumptions'!$D$10)*(1+'Assumptions'!$N$82)^(15-1)</x:f>
        <x:v>25.070096498194577</x:v>
      </x:c>
      <x:c r="J1852" s="10" t="n">
        <x:f>H1852*I1852</x:f>
        <x:v>35016.66163231379</x:v>
      </x:c>
      <x:c r="K1852" s="10" t="n">
        <x:f>J1852*'Assumptions'!$T$82</x:f>
        <x:v>35016.66163231379</x:v>
      </x:c>
      <x:c r="L1852" s="10" t="n">
        <x:f>K1852*'Assumptions'!$U$82</x:f>
        <x:v>1050.4998489694137</x:v>
      </x:c>
      <x:c r="M1852" s="10" t="n">
        <x:f>K1852*'Assumptions'!$V$82</x:f>
        <x:v>0</x:v>
      </x:c>
      <x:c r="N1852" s="10" t="n">
        <x:f>K1852-L1852-M1852</x:f>
        <x:v>33966.16178334438</x:v>
      </x:c>
      <x:c r="O1852" s="10" t="n">
        <x:f>H1852*'Assumptions'!$P$82*'Assumptions'!$Q$82*'Assumptions'!$D$11*(1+'Assumptions'!$D$13)^(15-1)</x:f>
        <x:v>11091.727292904403</x:v>
      </x:c>
      <x:c r="P1852" s="10" t="n">
        <x:f>H1852*'Assumptions'!$R$82*'Assumptions'!$D$11*(1+'Assumptions'!$D$13)^(15-1)</x:f>
        <x:v>0</x:v>
      </x:c>
      <x:c r="Q1852" s="10" t="n">
        <x:f>J1852*'Assumptions'!$S$82</x:f>
        <x:v>0</x:v>
      </x:c>
      <x:c r="R1852" s="10" t="n">
        <x:f>H1852*'Assumptions'!$Y$82*'Assumptions'!$Z$82*'Assumptions'!$D$11*(1+'Assumptions'!$D$13)^(15-1)</x:f>
        <x:v>6338.129881659659</x:v>
      </x:c>
      <x:c r="S1852" s="10" t="n">
        <x:f>IF(I1852=0,0,J1852*'Assumptions'!$W$82+H1852*'Assumptions'!$X$82)</x:f>
        <x:v>1434.5082393727257</x:v>
      </x:c>
      <x:c r="T1852" s="10" t="n">
        <x:f>N1852*'Assumptions'!$AA$82</x:f>
        <x:v>1698.3080891672191</x:v>
      </x:c>
      <x:c r="U1852" s="10" t="n">
        <x:f>'Assumptions'!$AE$82*'Assumptions'!$D$11*(1+'Assumptions'!$D$13)^(15-1)</x:f>
        <x:v>363.02153396522687</x:v>
      </x:c>
      <x:c r="V1852" s="10" t="n">
        <x:f>0</x:f>
        <x:v>0</x:v>
      </x:c>
      <x:c r="W1852" s="10" t="n">
        <x:f>H1852*('Assumptions'!$P$82+'Assumptions'!$Y$82)</x:f>
        <x:v>349.18754336302135</x:v>
      </x:c>
      <x:c r="X1852" s="10" t="n">
        <x:f>N1852/12*'Assumptions'!$AF$82</x:f>
        <x:v>0</x:v>
      </x:c>
      <x:c r="Y1852" s="10" t="n">
        <x:f>P1852/12</x:f>
        <x:v>0</x:v>
      </x:c>
      <x:c r="Z1852" s="10" t="n">
        <x:f>0</x:f>
        <x:v>0</x:v>
      </x:c>
      <x:c r="AA1852" s="10" t="n">
        <x:f>Z1852*'Assumptions'!$AC$82*'Assumptions'!$D$11*(1+'Assumptions'!$D$13)^(15-1)</x:f>
        <x:v>0</x:v>
      </x:c>
      <x:c r="AB1852" s="10" t="n">
        <x:f>F1852/1</x:f>
        <x:v>1057.7331661276082</x:v>
      </x:c>
      <x:c r="AC1852" s="10" t="n">
        <x:f>AB1852/'Assumptions'!$AM$82</x:f>
        <x:v>21154.663322552162</x:v>
      </x:c>
      <x:c r="AD1852" s="10" t="n">
        <x:f>IF(AB1852=0,0,T1852/AB1852)</x:f>
        <x:v>1.6056110780611845</x:v>
      </x:c>
      <x:c r="AE1852" s="10" t="n">
        <x:f>AA1852*'Assumptions'!$D$21</x:f>
        <x:v>0</x:v>
      </x:c>
    </x:row>
    <x:row r="1853" ht="16" customHeight="1">
      <x:c r="A1853" s="1"/>
      <x:c r="B1853" s="1"/>
      <x:c r="C1853" s="1" t="str">
        <x:v>DOT-054</x:v>
      </x:c>
      <x:c r="D1853" s="10" t="str">
        <x:v>VraiSkill adult</x:v>
      </x:c>
      <x:c r="E1853" s="10" t="n">
        <x:v>15</x:v>
      </x:c>
      <x:c r="F1853" s="21" t="n">
        <x:f>F1725*(1+'Assumptions'!$M$83)</x:f>
        <x:v>2115.4663322552165</x:v>
      </x:c>
      <x:c r="G1853" s="21" t="n">
        <x:f>H1725*'Assumptions'!$K$83</x:f>
        <x:v>678.0340157665414</x:v>
      </x:c>
      <x:c r="H1853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1853+G1853,NA())</x:f>
        <x:v>2793.500348021758</x:v>
      </x:c>
      <x:c r="I1853" s="22" t="n">
        <x:f>'Assumptions'!$H$83*IF('Assumptions'!$O$83=1,1,'Assumptions'!$D$10)*(1+'Assumptions'!$N$83)^(15-1)</x:f>
        <x:v>13.181592842998095</x:v>
      </x:c>
      <x:c r="J1853" s="10" t="n">
        <x:f>H1853*I1853</x:f>
        <x:v>36822.78419439629</x:v>
      </x:c>
      <x:c r="K1853" s="10" t="n">
        <x:f>J1853*'Assumptions'!$T$83</x:f>
        <x:v>36822.78419439629</x:v>
      </x:c>
      <x:c r="L1853" s="10" t="n">
        <x:f>K1853*'Assumptions'!$U$83</x:f>
        <x:v>1104.6835258318888</x:v>
      </x:c>
      <x:c r="M1853" s="10" t="n">
        <x:f>K1853*'Assumptions'!$V$83</x:f>
        <x:v>0</x:v>
      </x:c>
      <x:c r="N1853" s="10" t="n">
        <x:f>K1853-L1853-M1853</x:f>
        <x:v>35718.1006685644</x:v>
      </x:c>
      <x:c r="O1853" s="10" t="n">
        <x:f>H1853*'Assumptions'!$P$83*'Assumptions'!$Q$83*'Assumptions'!$D$11*(1+'Assumptions'!$D$13)^(15-1)</x:f>
        <x:v>22183.454594683673</x:v>
      </x:c>
      <x:c r="P1853" s="10" t="n">
        <x:f>H1853*'Assumptions'!$R$83*'Assumptions'!$D$11*(1+'Assumptions'!$D$13)^(15-1)</x:f>
        <x:v>0</x:v>
      </x:c>
      <x:c r="Q1853" s="10" t="n">
        <x:f>J1853*'Assumptions'!$S$83</x:f>
        <x:v>0</x:v>
      </x:c>
      <x:c r="R1853" s="10" t="n">
        <x:f>H1853*'Assumptions'!$Y$83*'Assumptions'!$Z$83*'Assumptions'!$D$11*(1+'Assumptions'!$D$13)^(15-1)</x:f>
        <x:v>12676.25976839067</x:v>
      </x:c>
      <x:c r="S1853" s="10" t="n">
        <x:f>IF(I1853=0,0,J1853*'Assumptions'!$W$83+H1853*'Assumptions'!$X$83)</x:f>
        <x:v>1905.9108460440198</x:v>
      </x:c>
      <x:c r="T1853" s="10" t="n">
        <x:f>N1853*'Assumptions'!$AA$83</x:f>
        <x:v>1785.9050334282201</x:v>
      </x:c>
      <x:c r="U1853" s="10" t="n">
        <x:f>'Assumptions'!$AE$83*'Assumptions'!$D$11*(1+'Assumptions'!$D$13)^(15-1)</x:f>
        <x:v>363.02153396522687</x:v>
      </x:c>
      <x:c r="V1853" s="10" t="n">
        <x:f>0</x:f>
        <x:v>0</x:v>
      </x:c>
      <x:c r="W1853" s="10" t="n">
        <x:f>H1853*('Assumptions'!$P$83+'Assumptions'!$Y$83)</x:f>
        <x:v>698.3750870054395</x:v>
      </x:c>
      <x:c r="X1853" s="10" t="n">
        <x:f>N1853/12*'Assumptions'!$AF$83</x:f>
        <x:v>0</x:v>
      </x:c>
      <x:c r="Y1853" s="10" t="n">
        <x:f>P1853/12</x:f>
        <x:v>0</x:v>
      </x:c>
      <x:c r="Z1853" s="10" t="n">
        <x:f>0</x:f>
        <x:v>0</x:v>
      </x:c>
      <x:c r="AA1853" s="10" t="n">
        <x:f>Z1853*'Assumptions'!$AC$83*'Assumptions'!$D$11*(1+'Assumptions'!$D$13)^(15-1)</x:f>
        <x:v>0</x:v>
      </x:c>
      <x:c r="AB1853" s="10" t="n">
        <x:f>F1853/1</x:f>
        <x:v>2115.4663322552165</x:v>
      </x:c>
      <x:c r="AC1853" s="10" t="n">
        <x:f>AB1853/'Assumptions'!$AM$83</x:f>
        <x:v>42309.326645104324</x:v>
      </x:c>
      <x:c r="AD1853" s="10" t="n">
        <x:f>IF(AB1853=0,0,T1853/AB1853)</x:f>
        <x:v>0.8442134040130699</x:v>
      </x:c>
      <x:c r="AE1853" s="10" t="n">
        <x:f>AA1853*'Assumptions'!$D$21</x:f>
        <x:v>0</x:v>
      </x:c>
    </x:row>
    <x:row r="1854" ht="16" customHeight="1">
      <x:c r="A1854" s="1"/>
      <x:c r="B1854" s="1"/>
      <x:c r="C1854" s="1" t="str">
        <x:v>DOT-055</x:v>
      </x:c>
      <x:c r="D1854" s="10" t="str">
        <x:v>VraiSkill adult</x:v>
      </x:c>
      <x:c r="E1854" s="10" t="n">
        <x:v>15</x:v>
      </x:c>
      <x:c r="F1854" s="21" t="n">
        <x:f>F1726*(1+'Assumptions'!$M$84)</x:f>
        <x:v>705.155444085072</x:v>
      </x:c>
      <x:c r="G1854" s="21" t="n">
        <x:f>H1726*'Assumptions'!$K$84</x:f>
        <x:v>226.01133858884708</x:v>
      </x:c>
      <x:c r="H1854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1854+G1854,NA())</x:f>
        <x:v>931.166782673919</x:v>
      </x:c>
      <x:c r="I1854" s="22" t="n">
        <x:f>'Assumptions'!$H$84*IF('Assumptions'!$O$84=1,1,'Assumptions'!$D$10)*(1+'Assumptions'!$N$84)^(15-1)</x:f>
        <x:v>31.667490313508935</x:v>
      </x:c>
      <x:c r="J1854" s="10" t="n">
        <x:f>H1854*I1854</x:f>
        <x:v>29487.71507058761</x:v>
      </x:c>
      <x:c r="K1854" s="10" t="n">
        <x:f>J1854*'Assumptions'!$T$84</x:f>
        <x:v>29487.71507058761</x:v>
      </x:c>
      <x:c r="L1854" s="10" t="n">
        <x:f>K1854*'Assumptions'!$U$84</x:f>
        <x:v>884.6314521176282</x:v>
      </x:c>
      <x:c r="M1854" s="10" t="n">
        <x:f>K1854*'Assumptions'!$V$84</x:f>
        <x:v>0</x:v>
      </x:c>
      <x:c r="N1854" s="10" t="n">
        <x:f>K1854-L1854-M1854</x:f>
        <x:v>28603.08361846998</x:v>
      </x:c>
      <x:c r="O1854" s="10" t="n">
        <x:f>H1854*'Assumptions'!$P$84*'Assumptions'!$Q$84*'Assumptions'!$D$11*(1+'Assumptions'!$D$13)^(15-1)</x:f>
        <x:v>7394.484864894555</x:v>
      </x:c>
      <x:c r="P1854" s="10" t="n">
        <x:f>H1854*'Assumptions'!$R$84*'Assumptions'!$D$11*(1+'Assumptions'!$D$13)^(15-1)</x:f>
        <x:v>0</x:v>
      </x:c>
      <x:c r="Q1854" s="10" t="n">
        <x:f>J1854*'Assumptions'!$S$84</x:f>
        <x:v>0</x:v>
      </x:c>
      <x:c r="R1854" s="10" t="n">
        <x:f>H1854*'Assumptions'!$Y$84*'Assumptions'!$Z$84*'Assumptions'!$D$11*(1+'Assumptions'!$D$13)^(15-1)</x:f>
        <x:v>4225.419922796888</x:v>
      </x:c>
      <x:c r="S1854" s="10" t="n">
        <x:f>IF(I1854=0,0,J1854*'Assumptions'!$W$84+H1854*'Assumptions'!$X$84)</x:f>
        <x:v>1134.4937718492163</x:v>
      </x:c>
      <x:c r="T1854" s="10" t="n">
        <x:f>N1854*'Assumptions'!$AA$84</x:f>
        <x:v>1430.154180923499</x:v>
      </x:c>
      <x:c r="U1854" s="10" t="n">
        <x:f>'Assumptions'!$AE$84*'Assumptions'!$D$11*(1+'Assumptions'!$D$13)^(15-1)</x:f>
        <x:v>0</x:v>
      </x:c>
      <x:c r="V1854" s="10" t="n">
        <x:f>0</x:f>
        <x:v>0</x:v>
      </x:c>
      <x:c r="W1854" s="10" t="n">
        <x:f>H1854*('Assumptions'!$P$84+'Assumptions'!$Y$84)</x:f>
        <x:v>232.79169566847975</x:v>
      </x:c>
      <x:c r="X1854" s="10" t="n">
        <x:f>N1854/12*'Assumptions'!$AF$84</x:f>
        <x:v>0</x:v>
      </x:c>
      <x:c r="Y1854" s="10" t="n">
        <x:f>P1854/12</x:f>
        <x:v>0</x:v>
      </x:c>
      <x:c r="Z1854" s="10" t="n">
        <x:f>0</x:f>
        <x:v>0</x:v>
      </x:c>
      <x:c r="AA1854" s="10" t="n">
        <x:f>Z1854*'Assumptions'!$AC$84*'Assumptions'!$D$11*(1+'Assumptions'!$D$13)^(15-1)</x:f>
        <x:v>0</x:v>
      </x:c>
      <x:c r="AB1854" s="10" t="n">
        <x:f>F1854/1</x:f>
        <x:v>705.155444085072</x:v>
      </x:c>
      <x:c r="AC1854" s="10" t="n">
        <x:f>AB1854/'Assumptions'!$AM$84</x:f>
        <x:v>14103.108881701439</x:v>
      </x:c>
      <x:c r="AD1854" s="10" t="n">
        <x:f>IF(AB1854=0,0,T1854/AB1854)</x:f>
        <x:v>2.0281403099413087</x:v>
      </x:c>
      <x:c r="AE1854" s="10" t="n">
        <x:f>AA1854*'Assumptions'!$D$21</x:f>
        <x:v>0</x:v>
      </x:c>
    </x:row>
    <x:row r="1855" ht="16" customHeight="1">
      <x:c r="A1855" s="1"/>
      <x:c r="B1855" s="1"/>
      <x:c r="C1855" s="1" t="str">
        <x:v>DOT-056</x:v>
      </x:c>
      <x:c r="D1855" s="10" t="str">
        <x:v>VraiSkill teen</x:v>
      </x:c>
      <x:c r="E1855" s="10" t="n">
        <x:v>15</x:v>
      </x:c>
      <x:c r="F1855" s="21" t="n">
        <x:f>F1727*(1+'Assumptions'!$M$85)</x:f>
        <x:v>705.155444085072</x:v>
      </x:c>
      <x:c r="G1855" s="21" t="n">
        <x:f>H1727*'Assumptions'!$K$85</x:f>
        <x:v>226.01133821631805</x:v>
      </x:c>
      <x:c r="H1855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1855+G1855,NA())</x:f>
        <x:v>931.16678230139</x:v>
      </x:c>
      <x:c r="I1855" s="22" t="n">
        <x:f>'Assumptions'!$H$85*IF('Assumptions'!$O$85=1,1,'Assumptions'!$D$10)*(1+'Assumptions'!$N$85)^(15-1)</x:f>
        <x:v>31.667490313508935</x:v>
      </x:c>
      <x:c r="J1855" s="10" t="n">
        <x:f>H1855*I1855</x:f>
        <x:v>29487.71505879055</x:v>
      </x:c>
      <x:c r="K1855" s="10" t="n">
        <x:f>J1855*'Assumptions'!$T$85</x:f>
        <x:v>29487.71505879055</x:v>
      </x:c>
      <x:c r="L1855" s="10" t="n">
        <x:f>K1855*'Assumptions'!$U$85</x:f>
        <x:v>884.6314517637164</x:v>
      </x:c>
      <x:c r="M1855" s="10" t="n">
        <x:f>K1855*'Assumptions'!$V$85</x:f>
        <x:v>0</x:v>
      </x:c>
      <x:c r="N1855" s="10" t="n">
        <x:f>K1855-L1855-M1855</x:f>
        <x:v>28603.083607026834</x:v>
      </x:c>
      <x:c r="O1855" s="10" t="n">
        <x:f>H1855*'Assumptions'!$P$85*'Assumptions'!$Q$85*'Assumptions'!$D$11*(1+'Assumptions'!$D$13)^(15-1)</x:f>
        <x:v>7394.4848619362665</x:v>
      </x:c>
      <x:c r="P1855" s="10" t="n">
        <x:f>H1855*'Assumptions'!$R$85*'Assumptions'!$D$11*(1+'Assumptions'!$D$13)^(15-1)</x:f>
        <x:v>0</x:v>
      </x:c>
      <x:c r="Q1855" s="10" t="n">
        <x:f>J1855*'Assumptions'!$S$85</x:f>
        <x:v>0</x:v>
      </x:c>
      <x:c r="R1855" s="10" t="n">
        <x:f>H1855*'Assumptions'!$Y$85*'Assumptions'!$Z$85*'Assumptions'!$D$11*(1+'Assumptions'!$D$13)^(15-1)</x:f>
        <x:v>4225.419921106438</x:v>
      </x:c>
      <x:c r="S1855" s="10" t="n">
        <x:f>IF(I1855=0,0,J1855*'Assumptions'!$W$85+H1855*'Assumptions'!$X$85)</x:f>
        <x:v>1134.493771395343</x:v>
      </x:c>
      <x:c r="T1855" s="10" t="n">
        <x:f>N1855*'Assumptions'!$AA$85</x:f>
        <x:v>1430.154180351342</x:v>
      </x:c>
      <x:c r="U1855" s="10" t="n">
        <x:f>'Assumptions'!$AE$85*'Assumptions'!$D$11*(1+'Assumptions'!$D$13)^(15-1)</x:f>
        <x:v>363.02153396522687</x:v>
      </x:c>
      <x:c r="V1855" s="10" t="n">
        <x:f>0</x:f>
        <x:v>0</x:v>
      </x:c>
      <x:c r="W1855" s="10" t="n">
        <x:f>H1855*('Assumptions'!$P$85+'Assumptions'!$Y$85)</x:f>
        <x:v>232.7916955753475</x:v>
      </x:c>
      <x:c r="X1855" s="10" t="n">
        <x:f>N1855/12*'Assumptions'!$AF$85</x:f>
        <x:v>0</x:v>
      </x:c>
      <x:c r="Y1855" s="10" t="n">
        <x:f>P1855/12</x:f>
        <x:v>0</x:v>
      </x:c>
      <x:c r="Z1855" s="10" t="n">
        <x:f>0</x:f>
        <x:v>0</x:v>
      </x:c>
      <x:c r="AA1855" s="10" t="n">
        <x:f>Z1855*'Assumptions'!$AC$85*'Assumptions'!$D$11*(1+'Assumptions'!$D$13)^(15-1)</x:f>
        <x:v>0</x:v>
      </x:c>
      <x:c r="AB1855" s="10" t="n">
        <x:f>F1855/1</x:f>
        <x:v>705.155444085072</x:v>
      </x:c>
      <x:c r="AC1855" s="10" t="n">
        <x:f>AB1855/'Assumptions'!$AM$85</x:f>
        <x:v>14103.108881701439</x:v>
      </x:c>
      <x:c r="AD1855" s="10" t="n">
        <x:f>IF(AB1855=0,0,T1855/AB1855)</x:f>
        <x:v>2.0281403091299173</x:v>
      </x:c>
      <x:c r="AE1855" s="10" t="n">
        <x:f>AA1855*'Assumptions'!$D$21</x:f>
        <x:v>0</x:v>
      </x:c>
    </x:row>
    <x:row r="1856" ht="16" customHeight="1">
      <x:c r="A1856" s="1"/>
      <x:c r="B1856" s="1"/>
      <x:c r="C1856" s="1" t="str">
        <x:v>DOT-057</x:v>
      </x:c>
      <x:c r="D1856" s="10" t="str">
        <x:v>VraiSkill Model Life</x:v>
      </x:c>
      <x:c r="E1856" s="10" t="n">
        <x:v>15</x:v>
      </x:c>
      <x:c r="F1856" s="21" t="n">
        <x:f>F1728*(1+'Assumptions'!$M$86)</x:f>
        <x:v>0</x:v>
      </x:c>
      <x:c r="G1856" s="21" t="n">
        <x:f>H1728*'Assumptions'!$K$86</x:f>
        <x:v>0</x:v>
      </x:c>
      <x:c r="H1856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1856+G1856,NA())</x:f>
        <x:v>0</x:v>
      </x:c>
      <x:c r="I1856" s="22" t="n">
        <x:f>'Assumptions'!$H$86*IF('Assumptions'!$O$86=1,1,'Assumptions'!$D$10)*(1+'Assumptions'!$N$86)^(15-1)</x:f>
        <x:v>0</x:v>
      </x:c>
      <x:c r="J1856" s="10" t="n">
        <x:f>H1856*I1856</x:f>
        <x:v>0</x:v>
      </x:c>
      <x:c r="K1856" s="10" t="n">
        <x:f>J1856*'Assumptions'!$T$86</x:f>
        <x:v>0</x:v>
      </x:c>
      <x:c r="L1856" s="10" t="n">
        <x:f>K1856*'Assumptions'!$U$86</x:f>
        <x:v>0</x:v>
      </x:c>
      <x:c r="M1856" s="10" t="n">
        <x:f>K1856*'Assumptions'!$V$86</x:f>
        <x:v>0</x:v>
      </x:c>
      <x:c r="N1856" s="10" t="n">
        <x:f>K1856-L1856-M1856</x:f>
        <x:v>0</x:v>
      </x:c>
      <x:c r="O1856" s="10" t="n">
        <x:f>H1856*'Assumptions'!$P$86*'Assumptions'!$Q$86*'Assumptions'!$D$11*(1+'Assumptions'!$D$13)^(15-1)</x:f>
        <x:v>0</x:v>
      </x:c>
      <x:c r="P1856" s="10" t="n">
        <x:f>H1856*'Assumptions'!$R$86*'Assumptions'!$D$11*(1+'Assumptions'!$D$13)^(15-1)</x:f>
        <x:v>0</x:v>
      </x:c>
      <x:c r="Q1856" s="10" t="n">
        <x:f>J1856*'Assumptions'!$S$86</x:f>
        <x:v>0</x:v>
      </x:c>
      <x:c r="R1856" s="10" t="n">
        <x:f>H1856*'Assumptions'!$Y$86*'Assumptions'!$Z$86*'Assumptions'!$D$11*(1+'Assumptions'!$D$13)^(15-1)</x:f>
        <x:v>0</x:v>
      </x:c>
      <x:c r="S1856" s="10" t="n">
        <x:f>IF(I1856=0,0,J1856*'Assumptions'!$W$86+H1856*'Assumptions'!$X$86)</x:f>
        <x:v>0</x:v>
      </x:c>
      <x:c r="T1856" s="10" t="n">
        <x:f>N1856*'Assumptions'!$AA$86</x:f>
        <x:v>0</x:v>
      </x:c>
      <x:c r="U1856" s="10" t="n">
        <x:f>'Assumptions'!$AE$86*'Assumptions'!$D$11*(1+'Assumptions'!$D$13)^(15-1)</x:f>
        <x:v>0</x:v>
      </x:c>
      <x:c r="V1856" s="10" t="n">
        <x:f>0</x:f>
        <x:v>0</x:v>
      </x:c>
      <x:c r="W1856" s="10" t="n">
        <x:f>H1856*('Assumptions'!$P$86+'Assumptions'!$Y$86)</x:f>
        <x:v>0</x:v>
      </x:c>
      <x:c r="X1856" s="10" t="n">
        <x:f>N1856/12*'Assumptions'!$AF$86</x:f>
        <x:v>0</x:v>
      </x:c>
      <x:c r="Y1856" s="10" t="n">
        <x:f>P1856/12</x:f>
        <x:v>0</x:v>
      </x:c>
      <x:c r="Z1856" s="10" t="n">
        <x:f>0</x:f>
        <x:v>0</x:v>
      </x:c>
      <x:c r="AA1856" s="10" t="n">
        <x:f>Z1856*'Assumptions'!$AC$86*'Assumptions'!$D$11*(1+'Assumptions'!$D$13)^(15-1)</x:f>
        <x:v>0</x:v>
      </x:c>
      <x:c r="AB1856" s="10" t="n">
        <x:f>F1856/1</x:f>
        <x:v>0</x:v>
      </x:c>
      <x:c r="AC1856" s="10" t="n">
        <x:f>AB1856/'Assumptions'!$AM$86</x:f>
        <x:v>0</x:v>
      </x:c>
      <x:c r="AD1856" s="10" t="n">
        <x:f>IF(AB1856=0,0,T1856/AB1856)</x:f>
        <x:v>0</x:v>
      </x:c>
      <x:c r="AE1856" s="10" t="n">
        <x:f>AA1856*'Assumptions'!$D$21</x:f>
        <x:v>0</x:v>
      </x:c>
    </x:row>
    <x:row r="1857" ht="16" customHeight="1">
      <x:c r="A1857" s="1"/>
      <x:c r="B1857" s="1"/>
      <x:c r="C1857" s="1" t="str">
        <x:v>DOT-058</x:v>
      </x:c>
      <x:c r="D1857" s="10" t="str">
        <x:v>Model Life</x:v>
      </x:c>
      <x:c r="E1857" s="10" t="n">
        <x:v>15</x:v>
      </x:c>
      <x:c r="F1857" s="21" t="n">
        <x:f>F1729*(1+'Assumptions'!$M$87)</x:f>
        <x:v>401.291280605948</x:v>
      </x:c>
      <x:c r="G1857" s="21" t="n">
        <x:f>H1729*'Assumptions'!$K$87</x:f>
        <x:v>844.4245418237311</x:v>
      </x:c>
      <x:c r="H1857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1857+G1857,NA())</x:f>
        <x:v>1245.715822429679</x:v>
      </x:c>
      <x:c r="I1857" s="22" t="n">
        <x:f>'Assumptions'!$H$87*IF('Assumptions'!$O$87=1,1,'Assumptions'!$D$10)*(1+'Assumptions'!$N$87)^(15-1)</x:f>
        <x:v>19.792181445943086</x:v>
      </x:c>
      <x:c r="J1857" s="10" t="n">
        <x:f>H1857*I1857</x:f>
        <x:v>24655.433587610427</x:v>
      </x:c>
      <x:c r="K1857" s="10" t="n">
        <x:f>J1857*'Assumptions'!$T$87</x:f>
        <x:v>24655.433587610427</x:v>
      </x:c>
      <x:c r="L1857" s="10" t="n">
        <x:f>K1857*'Assumptions'!$U$87</x:f>
        <x:v>739.6630076283128</x:v>
      </x:c>
      <x:c r="M1857" s="10" t="n">
        <x:f>K1857*'Assumptions'!$V$87</x:f>
        <x:v>0</x:v>
      </x:c>
      <x:c r="N1857" s="10" t="n">
        <x:f>K1857-L1857-M1857</x:f>
        <x:v>23915.770579982112</x:v>
      </x:c>
      <x:c r="O1857" s="10" t="n">
        <x:f>H1857*'Assumptions'!$P$87*'Assumptions'!$Q$87*'Assumptions'!$D$11*(1+'Assumptions'!$D$13)^(15-1)</x:f>
        <x:v>6594.899335837987</x:v>
      </x:c>
      <x:c r="P1857" s="10" t="n">
        <x:f>H1857*'Assumptions'!$R$87*'Assumptions'!$D$11*(1+'Assumptions'!$D$13)^(15-1)</x:f>
        <x:v>0</x:v>
      </x:c>
      <x:c r="Q1857" s="10" t="n">
        <x:f>J1857*'Assumptions'!$S$87</x:f>
        <x:v>0</x:v>
      </x:c>
      <x:c r="R1857" s="10" t="n">
        <x:f>H1857*'Assumptions'!$Y$87*'Assumptions'!$Z$87*'Assumptions'!$D$11*(1+'Assumptions'!$D$13)^(15-1)</x:f>
        <x:v>8479.156288934555</x:v>
      </x:c>
      <x:c r="S1857" s="10" t="n">
        <x:f>IF(I1857=0,0,J1857*'Assumptions'!$W$87+H1857*'Assumptions'!$X$87)</x:f>
        <x:v>1088.722320769606</x:v>
      </x:c>
      <x:c r="T1857" s="10" t="n">
        <x:f>N1857*'Assumptions'!$AA$87</x:f>
        <x:v>1195.7885289991057</x:v>
      </x:c>
      <x:c r="U1857" s="10" t="n">
        <x:f>'Assumptions'!$AE$87*'Assumptions'!$D$11*(1+'Assumptions'!$D$13)^(15-1)</x:f>
        <x:v>90.75538349130672</x:v>
      </x:c>
      <x:c r="V1857" s="10" t="n">
        <x:f>0</x:f>
        <x:v>0</x:v>
      </x:c>
      <x:c r="W1857" s="10" t="n">
        <x:f>H1857*('Assumptions'!$P$87+'Assumptions'!$Y$87)</x:f>
        <x:v>311.42895560741977</x:v>
      </x:c>
      <x:c r="X1857" s="10" t="n">
        <x:f>N1857/12*'Assumptions'!$AF$87</x:f>
        <x:v>0</x:v>
      </x:c>
      <x:c r="Y1857" s="10" t="n">
        <x:f>P1857/12</x:f>
        <x:v>0</x:v>
      </x:c>
      <x:c r="Z1857" s="10" t="n">
        <x:f>0</x:f>
        <x:v>0</x:v>
      </x:c>
      <x:c r="AA1857" s="10" t="n">
        <x:f>Z1857*'Assumptions'!$AC$87*'Assumptions'!$D$11*(1+'Assumptions'!$D$13)^(15-1)</x:f>
        <x:v>0</x:v>
      </x:c>
      <x:c r="AB1857" s="10" t="n">
        <x:f>F1857/12</x:f>
        <x:v>33.44094005049566</x:v>
      </x:c>
      <x:c r="AC1857" s="10" t="n">
        <x:f>AB1857/'Assumptions'!$AM$87</x:f>
        <x:v>668.8188010099132</x:v>
      </x:c>
      <x:c r="AD1857" s="10" t="n">
        <x:f>IF(AB1857=0,0,T1857/AB1857)</x:f>
        <x:v>35.75822112636399</x:v>
      </x:c>
      <x:c r="AE1857" s="10" t="n">
        <x:f>AA1857*'Assumptions'!$D$21</x:f>
        <x:v>0</x:v>
      </x:c>
    </x:row>
    <x:row r="1858" ht="16" customHeight="1">
      <x:c r="A1858" s="1"/>
      <x:c r="B1858" s="1"/>
      <x:c r="C1858" s="1" t="str">
        <x:v>DOT-059</x:v>
      </x:c>
      <x:c r="D1858" s="10" t="str">
        <x:v>Model Life</x:v>
      </x:c>
      <x:c r="E1858" s="10" t="n">
        <x:v>15</x:v>
      </x:c>
      <x:c r="F1858" s="21" t="n">
        <x:f>F1730*(1+'Assumptions'!$M$88)</x:f>
        <x:v>100.322820151487</x:v>
      </x:c>
      <x:c r="G1858" s="21" t="n">
        <x:f>H1730*'Assumptions'!$K$88</x:f>
        <x:v>211.1061354559328</x:v>
      </x:c>
      <x:c r="H1858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1858+G1858,NA())</x:f>
        <x:v>311.42895560741977</x:v>
      </x:c>
      <x:c r="I1858" s="22" t="n">
        <x:f>'Assumptions'!$H$88*IF('Assumptions'!$O$88=1,1,'Assumptions'!$D$10)*(1+'Assumptions'!$N$88)^(15-1)</x:f>
        <x:v>104.23882228196692</x:v>
      </x:c>
      <x:c r="J1858" s="10" t="n">
        <x:f>H1858*I1858</x:f>
        <x:v>32462.987557020395</x:v>
      </x:c>
      <x:c r="K1858" s="10" t="n">
        <x:f>J1858*'Assumptions'!$T$88</x:f>
        <x:v>32462.987557020395</x:v>
      </x:c>
      <x:c r="L1858" s="10" t="n">
        <x:f>K1858*'Assumptions'!$U$88</x:f>
        <x:v>973.8896267106118</x:v>
      </x:c>
      <x:c r="M1858" s="10" t="n">
        <x:f>K1858*'Assumptions'!$V$88</x:f>
        <x:v>0</x:v>
      </x:c>
      <x:c r="N1858" s="10" t="n">
        <x:f>K1858-L1858-M1858</x:f>
        <x:v>31489.097930309785</x:v>
      </x:c>
      <x:c r="O1858" s="10" t="n">
        <x:f>H1858*'Assumptions'!$P$88*'Assumptions'!$Q$88*'Assumptions'!$D$11*(1+'Assumptions'!$D$13)^(15-1)</x:f>
        <x:v>1648.7248339594967</x:v>
      </x:c>
      <x:c r="P1858" s="10" t="n">
        <x:f>H1858*'Assumptions'!$R$88*'Assumptions'!$D$11*(1+'Assumptions'!$D$13)^(15-1)</x:f>
        <x:v>0</x:v>
      </x:c>
      <x:c r="Q1858" s="10" t="n">
        <x:f>J1858*'Assumptions'!$S$88</x:f>
        <x:v>0</x:v>
      </x:c>
      <x:c r="R1858" s="10" t="n">
        <x:f>H1858*'Assumptions'!$Y$88*'Assumptions'!$Z$88*'Assumptions'!$D$11*(1+'Assumptions'!$D$13)^(15-1)</x:f>
        <x:v>2119.7890722336388</x:v>
      </x:c>
      <x:c r="S1858" s="10" t="n">
        <x:f>IF(I1858=0,0,J1858*'Assumptions'!$W$88+H1858*'Assumptions'!$X$88)</x:f>
        <x:v>1034.8553258358174</x:v>
      </x:c>
      <x:c r="T1858" s="10" t="n">
        <x:f>N1858*'Assumptions'!$AA$88</x:f>
        <x:v>1574.4548965154893</x:v>
      </x:c>
      <x:c r="U1858" s="10" t="n">
        <x:f>'Assumptions'!$AE$88*'Assumptions'!$D$11*(1+'Assumptions'!$D$13)^(15-1)</x:f>
        <x:v>90.75538349130672</x:v>
      </x:c>
      <x:c r="V1858" s="10" t="n">
        <x:f>0</x:f>
        <x:v>0</x:v>
      </x:c>
      <x:c r="W1858" s="10" t="n">
        <x:f>H1858*('Assumptions'!$P$88+'Assumptions'!$Y$88)</x:f>
        <x:v>77.85723890185494</x:v>
      </x:c>
      <x:c r="X1858" s="10" t="n">
        <x:f>N1858/12*'Assumptions'!$AF$88</x:f>
        <x:v>0</x:v>
      </x:c>
      <x:c r="Y1858" s="10" t="n">
        <x:f>P1858/12</x:f>
        <x:v>0</x:v>
      </x:c>
      <x:c r="Z1858" s="10" t="n">
        <x:f>0</x:f>
        <x:v>0</x:v>
      </x:c>
      <x:c r="AA1858" s="10" t="n">
        <x:f>Z1858*'Assumptions'!$AC$88*'Assumptions'!$D$11*(1+'Assumptions'!$D$13)^(15-1)</x:f>
        <x:v>0</x:v>
      </x:c>
      <x:c r="AB1858" s="10" t="n">
        <x:f>F1858/12</x:f>
        <x:v>8.360235012623916</x:v>
      </x:c>
      <x:c r="AC1858" s="10" t="n">
        <x:f>AB1858/'Assumptions'!$AM$88</x:f>
        <x:v>167.2047002524783</x:v>
      </x:c>
      <x:c r="AD1858" s="10" t="n">
        <x:f>IF(AB1858=0,0,T1858/AB1858)</x:f>
        <x:v>188.32663126551702</x:v>
      </x:c>
      <x:c r="AE1858" s="10" t="n">
        <x:f>AA1858*'Assumptions'!$D$21</x:f>
        <x:v>0</x:v>
      </x:c>
    </x:row>
    <x:row r="1859" ht="16" customHeight="1">
      <x:c r="A1859" s="1"/>
      <x:c r="B1859" s="1"/>
      <x:c r="C1859" s="1" t="str">
        <x:v>DOT-060</x:v>
      </x:c>
      <x:c r="D1859" s="10" t="str">
        <x:v>Model Life</x:v>
      </x:c>
      <x:c r="E1859" s="10" t="n">
        <x:v>15</x:v>
      </x:c>
      <x:c r="F1859" s="21" t="n">
        <x:f>F1731*(1+'Assumptions'!$M$89)</x:f>
        <x:v>100.322820151487</x:v>
      </x:c>
      <x:c r="G1859" s="21" t="n">
        <x:f>H1731*'Assumptions'!$K$89</x:f>
        <x:v>211.1061354559328</x:v>
      </x:c>
      <x:c r="H1859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1859+G1859,NA())</x:f>
        <x:v>311.42895560741977</x:v>
      </x:c>
      <x:c r="I1859" s="22" t="n">
        <x:f>'Assumptions'!$H$89*IF('Assumptions'!$O$89=1,1,'Assumptions'!$D$10)*(1+'Assumptions'!$N$89)^(15-1)</x:f>
        <x:v>77.84924702070947</x:v>
      </x:c>
      <x:c r="J1859" s="10" t="n">
        <x:f>H1859*I1859</x:f>
        <x:v>24244.509694483586</x:v>
      </x:c>
      <x:c r="K1859" s="10" t="n">
        <x:f>J1859*'Assumptions'!$T$89</x:f>
        <x:v>24244.509694483586</x:v>
      </x:c>
      <x:c r="L1859" s="10" t="n">
        <x:f>K1859*'Assumptions'!$U$89</x:f>
        <x:v>727.3352908345075</x:v>
      </x:c>
      <x:c r="M1859" s="10" t="n">
        <x:f>K1859*'Assumptions'!$V$89</x:f>
        <x:v>0</x:v>
      </x:c>
      <x:c r="N1859" s="10" t="n">
        <x:f>K1859-L1859-M1859</x:f>
        <x:v>23517.174403649078</x:v>
      </x:c>
      <x:c r="O1859" s="10" t="n">
        <x:f>H1859*'Assumptions'!$P$89*'Assumptions'!$Q$89*'Assumptions'!$D$11*(1+'Assumptions'!$D$13)^(15-1)</x:f>
        <x:v>1648.7248339594967</x:v>
      </x:c>
      <x:c r="P1859" s="10" t="n">
        <x:f>H1859*'Assumptions'!$R$89*'Assumptions'!$D$11*(1+'Assumptions'!$D$13)^(15-1)</x:f>
        <x:v>0</x:v>
      </x:c>
      <x:c r="Q1859" s="10" t="n">
        <x:f>J1859*'Assumptions'!$S$89</x:f>
        <x:v>0</x:v>
      </x:c>
      <x:c r="R1859" s="10" t="n">
        <x:f>H1859*'Assumptions'!$Y$89*'Assumptions'!$Z$89*'Assumptions'!$D$11*(1+'Assumptions'!$D$13)^(15-1)</x:f>
        <x:v>2119.7890722336388</x:v>
      </x:c>
      <x:c r="S1859" s="10" t="n">
        <x:f>IF(I1859=0,0,J1859*'Assumptions'!$W$89+H1859*'Assumptions'!$X$89)</x:f>
        <x:v>796.5194678222499</x:v>
      </x:c>
      <x:c r="T1859" s="10" t="n">
        <x:f>N1859*'Assumptions'!$AA$89</x:f>
        <x:v>1175.858720182454</x:v>
      </x:c>
      <x:c r="U1859" s="10" t="n">
        <x:f>'Assumptions'!$AE$89*'Assumptions'!$D$11*(1+'Assumptions'!$D$13)^(15-1)</x:f>
        <x:v>90.75538349130672</x:v>
      </x:c>
      <x:c r="V1859" s="10" t="n">
        <x:f>0</x:f>
        <x:v>0</x:v>
      </x:c>
      <x:c r="W1859" s="10" t="n">
        <x:f>H1859*('Assumptions'!$P$89+'Assumptions'!$Y$89)</x:f>
        <x:v>77.85723890185494</x:v>
      </x:c>
      <x:c r="X1859" s="10" t="n">
        <x:f>N1859/12*'Assumptions'!$AF$89</x:f>
        <x:v>0</x:v>
      </x:c>
      <x:c r="Y1859" s="10" t="n">
        <x:f>P1859/12</x:f>
        <x:v>0</x:v>
      </x:c>
      <x:c r="Z1859" s="10" t="n">
        <x:f>0</x:f>
        <x:v>0</x:v>
      </x:c>
      <x:c r="AA1859" s="10" t="n">
        <x:f>Z1859*'Assumptions'!$AC$89*'Assumptions'!$D$11*(1+'Assumptions'!$D$13)^(15-1)</x:f>
        <x:v>0</x:v>
      </x:c>
      <x:c r="AB1859" s="10" t="n">
        <x:f>F1859/12</x:f>
        <x:v>8.360235012623916</x:v>
      </x:c>
      <x:c r="AC1859" s="10" t="n">
        <x:f>AB1859/'Assumptions'!$AM$89</x:f>
        <x:v>167.2047002524783</x:v>
      </x:c>
      <x:c r="AD1859" s="10" t="n">
        <x:f>IF(AB1859=0,0,T1859/AB1859)</x:f>
        <x:v>140.64900309703168</x:v>
      </x:c>
      <x:c r="AE1859" s="10" t="n">
        <x:f>AA1859*'Assumptions'!$D$21</x:f>
        <x:v>0</x:v>
      </x:c>
    </x:row>
    <x:row r="1860" ht="16" customHeight="1">
      <x:c r="A1860" s="1"/>
      <x:c r="B1860" s="1"/>
      <x:c r="C1860" s="1" t="str">
        <x:v>DOT-061</x:v>
      </x:c>
      <x:c r="D1860" s="10" t="str">
        <x:v>Model Life</x:v>
      </x:c>
      <x:c r="E1860" s="10" t="n">
        <x:v>15</x:v>
      </x:c>
      <x:c r="F1860" s="21" t="n">
        <x:f>F1732*(1+'Assumptions'!$M$90)</x:f>
        <x:v>50.1614100757435</x:v>
      </x:c>
      <x:c r="G1860" s="21" t="n">
        <x:f>H1732*'Assumptions'!$K$90</x:f>
        <x:v>105.5530677279664</x:v>
      </x:c>
      <x:c r="H1860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1860+G1860,NA())</x:f>
        <x:v>155.71447780370988</x:v>
      </x:c>
      <x:c r="I1860" s="22" t="n">
        <x:f>'Assumptions'!$H$90*IF('Assumptions'!$O$90=1,1,'Assumptions'!$D$10)*(1+'Assumptions'!$N$90)^(15-1)</x:f>
        <x:v>130.62839754322437</x:v>
      </x:c>
      <x:c r="J1860" s="10" t="n">
        <x:f>H1860*I1860</x:f>
        <x:v>20340.7327097786</x:v>
      </x:c>
      <x:c r="K1860" s="10" t="n">
        <x:f>J1860*'Assumptions'!$T$90</x:f>
        <x:v>20340.7327097786</x:v>
      </x:c>
      <x:c r="L1860" s="10" t="n">
        <x:f>K1860*'Assumptions'!$U$90</x:f>
        <x:v>610.221981293358</x:v>
      </x:c>
      <x:c r="M1860" s="10" t="n">
        <x:f>K1860*'Assumptions'!$V$90</x:f>
        <x:v>0</x:v>
      </x:c>
      <x:c r="N1860" s="10" t="n">
        <x:f>K1860-L1860-M1860</x:f>
        <x:v>19730.510728485242</x:v>
      </x:c>
      <x:c r="O1860" s="10" t="n">
        <x:f>H1860*'Assumptions'!$P$90*'Assumptions'!$Q$90*'Assumptions'!$D$11*(1+'Assumptions'!$D$13)^(15-1)</x:f>
        <x:v>824.3624169797483</x:v>
      </x:c>
      <x:c r="P1860" s="10" t="n">
        <x:f>H1860*'Assumptions'!$R$90*'Assumptions'!$D$11*(1+'Assumptions'!$D$13)^(15-1)</x:f>
        <x:v>0</x:v>
      </x:c>
      <x:c r="Q1860" s="10" t="n">
        <x:f>J1860*'Assumptions'!$S$90</x:f>
        <x:v>0</x:v>
      </x:c>
      <x:c r="R1860" s="10" t="n">
        <x:f>H1860*'Assumptions'!$Y$90*'Assumptions'!$Z$90*'Assumptions'!$D$11*(1+'Assumptions'!$D$13)^(15-1)</x:f>
        <x:v>1059.8945361168194</x:v>
      </x:c>
      <x:c r="S1860" s="10" t="n">
        <x:f>IF(I1860=0,0,J1860*'Assumptions'!$W$90+H1860*'Assumptions'!$X$90)</x:f>
        <x:v>636.5955919246924</x:v>
      </x:c>
      <x:c r="T1860" s="10" t="n">
        <x:f>N1860*'Assumptions'!$AA$90</x:f>
        <x:v>986.5255364242621</x:v>
      </x:c>
      <x:c r="U1860" s="10" t="n">
        <x:f>'Assumptions'!$AE$90*'Assumptions'!$D$11*(1+'Assumptions'!$D$13)^(15-1)</x:f>
        <x:v>90.75538349130672</x:v>
      </x:c>
      <x:c r="V1860" s="10" t="n">
        <x:f>0</x:f>
        <x:v>0</x:v>
      </x:c>
      <x:c r="W1860" s="10" t="n">
        <x:f>H1860*('Assumptions'!$P$90+'Assumptions'!$Y$90)</x:f>
        <x:v>38.92861945092747</x:v>
      </x:c>
      <x:c r="X1860" s="10" t="n">
        <x:f>N1860/12*'Assumptions'!$AF$90</x:f>
        <x:v>0</x:v>
      </x:c>
      <x:c r="Y1860" s="10" t="n">
        <x:f>P1860/12</x:f>
        <x:v>0</x:v>
      </x:c>
      <x:c r="Z1860" s="10" t="n">
        <x:f>0</x:f>
        <x:v>0</x:v>
      </x:c>
      <x:c r="AA1860" s="10" t="n">
        <x:f>Z1860*'Assumptions'!$AC$90*'Assumptions'!$D$11*(1+'Assumptions'!$D$13)^(15-1)</x:f>
        <x:v>0</x:v>
      </x:c>
      <x:c r="AB1860" s="10" t="n">
        <x:f>F1860/12</x:f>
        <x:v>4.180117506311958</x:v>
      </x:c>
      <x:c r="AC1860" s="10" t="n">
        <x:f>AB1860/'Assumptions'!$AM$90</x:f>
        <x:v>83.60235012623914</x:v>
      </x:c>
      <x:c r="AD1860" s="10" t="n">
        <x:f>IF(AB1860=0,0,T1860/AB1860)</x:f>
        <x:v>236.0042594340023</x:v>
      </x:c>
      <x:c r="AE1860" s="10" t="n">
        <x:f>AA1860*'Assumptions'!$D$21</x:f>
        <x:v>0</x:v>
      </x:c>
    </x:row>
    <x:row r="1861" ht="16" customHeight="1">
      <x:c r="A1861" s="1"/>
      <x:c r="B1861" s="1"/>
      <x:c r="C1861" s="1" t="str">
        <x:v>DOT-062</x:v>
      </x:c>
      <x:c r="D1861" s="10" t="str">
        <x:v>Model Life</x:v>
      </x:c>
      <x:c r="E1861" s="10" t="n">
        <x:v>15</x:v>
      </x:c>
      <x:c r="F1861" s="21" t="n">
        <x:f>F1733*(1+'Assumptions'!$M$91)</x:f>
        <x:v>50.1614100757435</x:v>
      </x:c>
      <x:c r="G1861" s="21" t="n">
        <x:f>H1733*'Assumptions'!$K$91</x:f>
        <x:v>105.5530677279664</x:v>
      </x:c>
      <x:c r="H1861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1861+G1861,NA())</x:f>
        <x:v>155.71447780370988</x:v>
      </x:c>
      <x:c r="I1861" s="22" t="n">
        <x:f>'Assumptions'!$H$91*IF('Assumptions'!$O$91=1,1,'Assumptions'!$D$10)*(1+'Assumptions'!$N$91)^(15-1)</x:f>
        <x:v>64.65445939008075</x:v>
      </x:c>
      <x:c r="J1861" s="10" t="n">
        <x:f>H1861*I1861</x:f>
        <x:v>10067.63538160759</x:v>
      </x:c>
      <x:c r="K1861" s="10" t="n">
        <x:f>J1861*'Assumptions'!$T$91</x:f>
        <x:v>10067.63538160759</x:v>
      </x:c>
      <x:c r="L1861" s="10" t="n">
        <x:f>K1861*'Assumptions'!$U$91</x:f>
        <x:v>302.0290614482277</x:v>
      </x:c>
      <x:c r="M1861" s="10" t="n">
        <x:f>K1861*'Assumptions'!$V$91</x:f>
        <x:v>0</x:v>
      </x:c>
      <x:c r="N1861" s="10" t="n">
        <x:f>K1861-L1861-M1861</x:f>
        <x:v>9765.606320159362</x:v>
      </x:c>
      <x:c r="O1861" s="10" t="n">
        <x:f>H1861*'Assumptions'!$P$91*'Assumptions'!$Q$91*'Assumptions'!$D$11*(1+'Assumptions'!$D$13)^(15-1)</x:f>
        <x:v>824.3624169797483</x:v>
      </x:c>
      <x:c r="P1861" s="10" t="n">
        <x:f>H1861*'Assumptions'!$R$91*'Assumptions'!$D$11*(1+'Assumptions'!$D$13)^(15-1)</x:f>
        <x:v>0</x:v>
      </x:c>
      <x:c r="Q1861" s="10" t="n">
        <x:f>J1861*'Assumptions'!$S$91</x:f>
        <x:v>0</x:v>
      </x:c>
      <x:c r="R1861" s="10" t="n">
        <x:f>H1861*'Assumptions'!$Y$91*'Assumptions'!$Z$91*'Assumptions'!$D$11*(1+'Assumptions'!$D$13)^(15-1)</x:f>
        <x:v>1059.8945361168194</x:v>
      </x:c>
      <x:c r="S1861" s="10" t="n">
        <x:f>IF(I1861=0,0,J1861*'Assumptions'!$W$91+H1861*'Assumptions'!$X$91)</x:f>
        <x:v>338.67576940773307</x:v>
      </x:c>
      <x:c r="T1861" s="10" t="n">
        <x:f>N1861*'Assumptions'!$AA$91</x:f>
        <x:v>488.28031600796817</x:v>
      </x:c>
      <x:c r="U1861" s="10" t="n">
        <x:f>'Assumptions'!$AE$91*'Assumptions'!$D$11*(1+'Assumptions'!$D$13)^(15-1)</x:f>
        <x:v>90.75538349130672</x:v>
      </x:c>
      <x:c r="V1861" s="10" t="n">
        <x:f>0</x:f>
        <x:v>0</x:v>
      </x:c>
      <x:c r="W1861" s="10" t="n">
        <x:f>H1861*('Assumptions'!$P$91+'Assumptions'!$Y$91)</x:f>
        <x:v>38.92861945092747</x:v>
      </x:c>
      <x:c r="X1861" s="10" t="n">
        <x:f>N1861/12*'Assumptions'!$AF$91</x:f>
        <x:v>0</x:v>
      </x:c>
      <x:c r="Y1861" s="10" t="n">
        <x:f>P1861/12</x:f>
        <x:v>0</x:v>
      </x:c>
      <x:c r="Z1861" s="10" t="n">
        <x:f>0</x:f>
        <x:v>0</x:v>
      </x:c>
      <x:c r="AA1861" s="10" t="n">
        <x:f>Z1861*'Assumptions'!$AC$91*'Assumptions'!$D$11*(1+'Assumptions'!$D$13)^(15-1)</x:f>
        <x:v>0</x:v>
      </x:c>
      <x:c r="AB1861" s="10" t="n">
        <x:f>F1861/12</x:f>
        <x:v>4.180117506311958</x:v>
      </x:c>
      <x:c r="AC1861" s="10" t="n">
        <x:f>AB1861/'Assumptions'!$AM$91</x:f>
        <x:v>83.60235012623914</x:v>
      </x:c>
      <x:c r="AD1861" s="10" t="n">
        <x:f>IF(AB1861=0,0,T1861/AB1861)</x:f>
        <x:v>116.81018901278904</x:v>
      </x:c>
      <x:c r="AE1861" s="10" t="n">
        <x:f>AA1861*'Assumptions'!$D$21</x:f>
        <x:v>0</x:v>
      </x:c>
    </x:row>
    <x:row r="1862" ht="16" customHeight="1">
      <x:c r="A1862" s="1"/>
      <x:c r="B1862" s="1"/>
      <x:c r="C1862" s="1" t="str">
        <x:v>DOT-063</x:v>
      </x:c>
      <x:c r="D1862" s="10" t="str">
        <x:v>S’otality cleaning</x:v>
      </x:c>
      <x:c r="E1862" s="10" t="n">
        <x:v>15</x:v>
      </x:c>
      <x:c r="F1862" s="21" t="n">
        <x:f>F1734*(1+'Assumptions'!$M$92)</x:f>
        <x:v>94.44614260789105</x:v>
      </x:c>
      <x:c r="G1862" s="21" t="n">
        <x:f>H1734*'Assumptions'!$K$92</x:f>
        <x:v>131.69007952093932</x:v>
      </x:c>
      <x:c r="H1862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1862+G1862,NA())</x:f>
        <x:v>226.13622212883035</x:v>
      </x:c>
      <x:c r="I1862" s="22" t="n">
        <x:f>'Assumptions'!$H$92*IF('Assumptions'!$O$92=1,1,'Assumptions'!$D$10)*(1+'Assumptions'!$N$92)^(15-1)</x:f>
        <x:v>196.602335696368</x:v>
      </x:c>
      <x:c r="J1862" s="10" t="n">
        <x:f>H1862*I1862</x:f>
        <x:v>44458.90945608074</x:v>
      </x:c>
      <x:c r="K1862" s="10" t="n">
        <x:f>J1862*'Assumptions'!$T$92</x:f>
        <x:v>44458.90945608074</x:v>
      </x:c>
      <x:c r="L1862" s="10" t="n">
        <x:f>K1862*'Assumptions'!$U$92</x:f>
        <x:v>1333.7672836824222</x:v>
      </x:c>
      <x:c r="M1862" s="10" t="n">
        <x:f>K1862*'Assumptions'!$V$92</x:f>
        <x:v>0</x:v>
      </x:c>
      <x:c r="N1862" s="10" t="n">
        <x:f>K1862-L1862-M1862</x:f>
        <x:v>43125.14217239832</x:v>
      </x:c>
      <x:c r="O1862" s="10" t="n">
        <x:f>H1862*'Assumptions'!$P$92*'Assumptions'!$Q$92*'Assumptions'!$D$11*(1+'Assumptions'!$D$13)^(15-1)</x:f>
        <x:v>1197.179641033677</x:v>
      </x:c>
      <x:c r="P1862" s="10" t="n">
        <x:f>H1862*'Assumptions'!$R$92*'Assumptions'!$D$11*(1+'Assumptions'!$D$13)^(15-1)</x:f>
        <x:v>2736.4106080769757</x:v>
      </x:c>
      <x:c r="Q1862" s="10" t="n">
        <x:f>J1862*'Assumptions'!$S$92</x:f>
        <x:v>28898.291146452484</x:v>
      </x:c>
      <x:c r="R1862" s="10" t="n">
        <x:f>H1862*'Assumptions'!$Y$92*'Assumptions'!$Z$92*'Assumptions'!$D$11*(1+'Assumptions'!$D$13)^(15-1)</x:f>
        <x:v>2052.3079560577316</x:v>
      </x:c>
      <x:c r="S1862" s="10" t="n">
        <x:f>IF(I1862=0,0,J1862*'Assumptions'!$W$92+H1862*'Assumptions'!$X$92)</x:f>
        <x:v>1357.1492408649906</x:v>
      </x:c>
      <x:c r="T1862" s="10" t="n">
        <x:f>N1862*'Assumptions'!$AA$92</x:f>
        <x:v>1725.005686895933</x:v>
      </x:c>
      <x:c r="U1862" s="10" t="n">
        <x:f>'Assumptions'!$AE$92*'Assumptions'!$D$11*(1+'Assumptions'!$D$13)^(15-1)</x:f>
        <x:v>0</x:v>
      </x:c>
      <x:c r="V1862" s="10" t="n">
        <x:f>0</x:f>
        <x:v>0</x:v>
      </x:c>
      <x:c r="W1862" s="10" t="n">
        <x:f>H1862*('Assumptions'!$P$92+'Assumptions'!$Y$92)</x:f>
        <x:v>67.84086663864912</x:v>
      </x:c>
      <x:c r="X1862" s="10" t="n">
        <x:f>N1862/12*'Assumptions'!$AF$92</x:f>
        <x:v>0</x:v>
      </x:c>
      <x:c r="Y1862" s="10" t="n">
        <x:f>P1862/12</x:f>
        <x:v>228.03421733974798</x:v>
      </x:c>
      <x:c r="Z1862" s="10" t="n">
        <x:f>0</x:f>
        <x:v>0</x:v>
      </x:c>
      <x:c r="AA1862" s="10" t="n">
        <x:f>Z1862*'Assumptions'!$AC$92*'Assumptions'!$D$11*(1+'Assumptions'!$D$13)^(15-1)</x:f>
        <x:v>0</x:v>
      </x:c>
      <x:c r="AB1862" s="10" t="n">
        <x:f>F1862/1</x:f>
        <x:v>94.44614260789105</x:v>
      </x:c>
      <x:c r="AC1862" s="10" t="n">
        <x:f>AB1862/'Assumptions'!$AM$92</x:f>
        <x:v>629.6409507192736</x:v>
      </x:c>
      <x:c r="AD1862" s="10" t="n">
        <x:f>IF(AB1862=0,0,T1862/AB1862)</x:f>
        <x:v>18.26443769183441</x:v>
      </x:c>
      <x:c r="AE1862" s="10" t="n">
        <x:f>AA1862*'Assumptions'!$D$21</x:f>
        <x:v>0</x:v>
      </x:c>
    </x:row>
    <x:row r="1863" ht="16" customHeight="1">
      <x:c r="A1863" s="1"/>
      <x:c r="B1863" s="1"/>
      <x:c r="C1863" s="1" t="str">
        <x:v>DOT-064</x:v>
      </x:c>
      <x:c r="D1863" s="10" t="str">
        <x:v>S’otality cleaning</x:v>
      </x:c>
      <x:c r="E1863" s="10" t="n">
        <x:v>15</x:v>
      </x:c>
      <x:c r="F1863" s="21" t="n">
        <x:f>F1735*(1+'Assumptions'!$M$93)</x:f>
        <x:v>141.6692139118365</x:v>
      </x:c>
      <x:c r="G1863" s="21" t="n">
        <x:f>H1735*'Assumptions'!$K$93</x:f>
        <x:v>197.5351192814089</x:v>
      </x:c>
      <x:c r="H1863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1863+G1863,NA())</x:f>
        <x:v>339.20433319324536</x:v>
      </x:c>
      <x:c r="I1863" s="22" t="n">
        <x:f>'Assumptions'!$H$93*IF('Assumptions'!$O$93=1,1,'Assumptions'!$D$10)*(1+'Assumptions'!$N$93)^(15-1)</x:f>
        <x:v>183.40754806573926</x:v>
      </x:c>
      <x:c r="J1863" s="10" t="n">
        <x:f>H1863*I1863</x:f>
        <x:v>62212.63504424718</x:v>
      </x:c>
      <x:c r="K1863" s="10" t="n">
        <x:f>J1863*'Assumptions'!$T$93</x:f>
        <x:v>62212.63504424718</x:v>
      </x:c>
      <x:c r="L1863" s="10" t="n">
        <x:f>K1863*'Assumptions'!$U$93</x:f>
        <x:v>1866.3790513274153</x:v>
      </x:c>
      <x:c r="M1863" s="10" t="n">
        <x:f>K1863*'Assumptions'!$V$93</x:f>
        <x:v>0</x:v>
      </x:c>
      <x:c r="N1863" s="10" t="n">
        <x:f>K1863-L1863-M1863</x:f>
        <x:v>60346.25599291977</x:v>
      </x:c>
      <x:c r="O1863" s="10" t="n">
        <x:f>H1863*'Assumptions'!$P$93*'Assumptions'!$Q$93*'Assumptions'!$D$11*(1+'Assumptions'!$D$13)^(15-1)</x:f>
        <x:v>1795.7694615505143</x:v>
      </x:c>
      <x:c r="P1863" s="10" t="n">
        <x:f>H1863*'Assumptions'!$R$93*'Assumptions'!$D$11*(1+'Assumptions'!$D$13)^(15-1)</x:f>
        <x:v>4104.6159121154615</x:v>
      </x:c>
      <x:c r="Q1863" s="10" t="n">
        <x:f>J1863*'Assumptions'!$S$93</x:f>
        <x:v>40438.212778760666</x:v>
      </x:c>
      <x:c r="R1863" s="10" t="n">
        <x:f>H1863*'Assumptions'!$Y$93*'Assumptions'!$Z$93*'Assumptions'!$D$11*(1+'Assumptions'!$D$13)^(15-1)</x:f>
        <x:v>3078.461934086596</x:v>
      </x:c>
      <x:c r="S1863" s="10" t="n">
        <x:f>IF(I1863=0,0,J1863*'Assumptions'!$W$93+H1863*'Assumptions'!$X$93)</x:f>
        <x:v>1905.9277162411418</x:v>
      </x:c>
      <x:c r="T1863" s="10" t="n">
        <x:f>N1863*'Assumptions'!$AA$93</x:f>
        <x:v>2413.850239716791</x:v>
      </x:c>
      <x:c r="U1863" s="10" t="n">
        <x:f>'Assumptions'!$AE$93*'Assumptions'!$D$11*(1+'Assumptions'!$D$13)^(15-1)</x:f>
        <x:v>0</x:v>
      </x:c>
      <x:c r="V1863" s="10" t="n">
        <x:f>0</x:f>
        <x:v>0</x:v>
      </x:c>
      <x:c r="W1863" s="10" t="n">
        <x:f>H1863*('Assumptions'!$P$93+'Assumptions'!$Y$93)</x:f>
        <x:v>101.76129995797362</x:v>
      </x:c>
      <x:c r="X1863" s="10" t="n">
        <x:f>N1863/12*'Assumptions'!$AF$93</x:f>
        <x:v>0</x:v>
      </x:c>
      <x:c r="Y1863" s="10" t="n">
        <x:f>P1863/12</x:f>
        <x:v>342.0513260096218</x:v>
      </x:c>
      <x:c r="Z1863" s="10" t="n">
        <x:f>0</x:f>
        <x:v>0</x:v>
      </x:c>
      <x:c r="AA1863" s="10" t="n">
        <x:f>Z1863*'Assumptions'!$AC$93*'Assumptions'!$D$11*(1+'Assumptions'!$D$13)^(15-1)</x:f>
        <x:v>0</x:v>
      </x:c>
      <x:c r="AB1863" s="10" t="n">
        <x:f>F1863/1</x:f>
        <x:v>141.6692139118365</x:v>
      </x:c>
      <x:c r="AC1863" s="10" t="n">
        <x:f>AB1863/'Assumptions'!$AM$93</x:f>
        <x:v>944.46142607891</x:v>
      </x:c>
      <x:c r="AD1863" s="10" t="n">
        <x:f>IF(AB1863=0,0,T1863/AB1863)</x:f>
        <x:v>17.03863650446297</x:v>
      </x:c>
      <x:c r="AE1863" s="10" t="n">
        <x:f>AA1863*'Assumptions'!$D$21</x:f>
        <x:v>0</x:v>
      </x:c>
    </x:row>
    <x:row r="1864" ht="16" customHeight="1">
      <x:c r="A1864" s="1"/>
      <x:c r="B1864" s="1"/>
      <x:c r="C1864" s="1" t="str">
        <x:v>DOT-065</x:v>
      </x:c>
      <x:c r="D1864" s="10" t="str">
        <x:v>S’otality cleaning</x:v>
      </x:c>
      <x:c r="E1864" s="10" t="n">
        <x:v>15</x:v>
      </x:c>
      <x:c r="F1864" s="21" t="n">
        <x:f>F1736*(1+'Assumptions'!$M$94)</x:f>
        <x:v>94.44614260789105</x:v>
      </x:c>
      <x:c r="G1864" s="21" t="n">
        <x:f>H1736*'Assumptions'!$K$94</x:f>
        <x:v>131.69007952093932</x:v>
      </x:c>
      <x:c r="H1864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1864+G1864,NA())</x:f>
        <x:v>226.13622212883035</x:v>
      </x:c>
      <x:c r="I1864" s="22" t="n">
        <x:f>'Assumptions'!$H$94*IF('Assumptions'!$O$94=1,1,'Assumptions'!$D$10)*(1+'Assumptions'!$N$94)^(15-1)</x:f>
        <x:v>209.7971233269967</x:v>
      </x:c>
      <x:c r="J1864" s="10" t="n">
        <x:f>H1864*I1864</x:f>
        <x:v>47442.728882663345</x:v>
      </x:c>
      <x:c r="K1864" s="10" t="n">
        <x:f>J1864*'Assumptions'!$T$94</x:f>
        <x:v>47442.728882663345</x:v>
      </x:c>
      <x:c r="L1864" s="10" t="n">
        <x:f>K1864*'Assumptions'!$U$94</x:f>
        <x:v>1423.2818664799004</x:v>
      </x:c>
      <x:c r="M1864" s="10" t="n">
        <x:f>K1864*'Assumptions'!$V$94</x:f>
        <x:v>0</x:v>
      </x:c>
      <x:c r="N1864" s="10" t="n">
        <x:f>K1864-L1864-M1864</x:f>
        <x:v>46019.44701618345</x:v>
      </x:c>
      <x:c r="O1864" s="10" t="n">
        <x:f>H1864*'Assumptions'!$P$94*'Assumptions'!$Q$94*'Assumptions'!$D$11*(1+'Assumptions'!$D$13)^(15-1)</x:f>
        <x:v>1197.179641033677</x:v>
      </x:c>
      <x:c r="P1864" s="10" t="n">
        <x:f>H1864*'Assumptions'!$R$94*'Assumptions'!$D$11*(1+'Assumptions'!$D$13)^(15-1)</x:f>
        <x:v>2736.4106080769757</x:v>
      </x:c>
      <x:c r="Q1864" s="10" t="n">
        <x:f>J1864*'Assumptions'!$S$94</x:f>
        <x:v>30837.773773731176</x:v>
      </x:c>
      <x:c r="R1864" s="10" t="n">
        <x:f>H1864*'Assumptions'!$Y$94*'Assumptions'!$Z$94*'Assumptions'!$D$11*(1+'Assumptions'!$D$13)^(15-1)</x:f>
        <x:v>2052.3079560577316</x:v>
      </x:c>
      <x:c r="S1864" s="10" t="n">
        <x:f>IF(I1864=0,0,J1864*'Assumptions'!$W$94+H1864*'Assumptions'!$X$94)</x:f>
        <x:v>1443.6800042358861</x:v>
      </x:c>
      <x:c r="T1864" s="10" t="n">
        <x:f>N1864*'Assumptions'!$AA$94</x:f>
        <x:v>1840.777880647338</x:v>
      </x:c>
      <x:c r="U1864" s="10" t="n">
        <x:f>'Assumptions'!$AE$94*'Assumptions'!$D$11*(1+'Assumptions'!$D$13)^(15-1)</x:f>
        <x:v>0</x:v>
      </x:c>
      <x:c r="V1864" s="10" t="n">
        <x:f>0</x:f>
        <x:v>0</x:v>
      </x:c>
      <x:c r="W1864" s="10" t="n">
        <x:f>H1864*('Assumptions'!$P$94+'Assumptions'!$Y$94)</x:f>
        <x:v>67.84086663864912</x:v>
      </x:c>
      <x:c r="X1864" s="10" t="n">
        <x:f>N1864/12*'Assumptions'!$AF$94</x:f>
        <x:v>0</x:v>
      </x:c>
      <x:c r="Y1864" s="10" t="n">
        <x:f>P1864/12</x:f>
        <x:v>228.03421733974798</x:v>
      </x:c>
      <x:c r="Z1864" s="10" t="n">
        <x:f>0</x:f>
        <x:v>0</x:v>
      </x:c>
      <x:c r="AA1864" s="10" t="n">
        <x:f>Z1864*'Assumptions'!$AC$94*'Assumptions'!$D$11*(1+'Assumptions'!$D$13)^(15-1)</x:f>
        <x:v>0</x:v>
      </x:c>
      <x:c r="AB1864" s="10" t="n">
        <x:f>F1864/1</x:f>
        <x:v>94.44614260789105</x:v>
      </x:c>
      <x:c r="AC1864" s="10" t="n">
        <x:f>AB1864/'Assumptions'!$AM$94</x:f>
        <x:v>629.6409507192736</x:v>
      </x:c>
      <x:c r="AD1864" s="10" t="n">
        <x:f>IF(AB1864=0,0,T1864/AB1864)</x:f>
        <x:v>19.490238879205847</x:v>
      </x:c>
      <x:c r="AE1864" s="10" t="n">
        <x:f>AA1864*'Assumptions'!$D$21</x:f>
        <x:v>0</x:v>
      </x:c>
    </x:row>
    <x:row r="1865" ht="16" customHeight="1">
      <x:c r="A1865" s="1"/>
      <x:c r="B1865" s="1"/>
      <x:c r="C1865" s="1" t="str">
        <x:v>DOT-066</x:v>
      </x:c>
      <x:c r="D1865" s="10" t="str">
        <x:v>S’otality cleaning</x:v>
      </x:c>
      <x:c r="E1865" s="10" t="n">
        <x:v>15</x:v>
      </x:c>
      <x:c r="F1865" s="21" t="n">
        <x:f>F1737*(1+'Assumptions'!$M$95)</x:f>
        <x:v>141.6692139118365</x:v>
      </x:c>
      <x:c r="G1865" s="21" t="n">
        <x:f>H1737*'Assumptions'!$K$95</x:f>
        <x:v>197.5351192814089</x:v>
      </x:c>
      <x:c r="H1865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1865+G1865,NA())</x:f>
        <x:v>339.20433319324536</x:v>
      </x:c>
      <x:c r="I1865" s="22" t="n">
        <x:f>'Assumptions'!$H$95*IF('Assumptions'!$O$95=1,1,'Assumptions'!$D$10)*(1+'Assumptions'!$N$95)^(15-1)</x:f>
        <x:v>196.602335696368</x:v>
      </x:c>
      <x:c r="J1865" s="10" t="n">
        <x:f>H1865*I1865</x:f>
        <x:v>66688.36418412108</x:v>
      </x:c>
      <x:c r="K1865" s="10" t="n">
        <x:f>J1865*'Assumptions'!$T$95</x:f>
        <x:v>66688.36418412108</x:v>
      </x:c>
      <x:c r="L1865" s="10" t="n">
        <x:f>K1865*'Assumptions'!$U$95</x:f>
        <x:v>2000.6509255236322</x:v>
      </x:c>
      <x:c r="M1865" s="10" t="n">
        <x:f>K1865*'Assumptions'!$V$95</x:f>
        <x:v>0</x:v>
      </x:c>
      <x:c r="N1865" s="10" t="n">
        <x:f>K1865-L1865-M1865</x:f>
        <x:v>64687.71325859745</x:v>
      </x:c>
      <x:c r="O1865" s="10" t="n">
        <x:f>H1865*'Assumptions'!$P$95*'Assumptions'!$Q$95*'Assumptions'!$D$11*(1+'Assumptions'!$D$13)^(15-1)</x:f>
        <x:v>1795.7694615505143</x:v>
      </x:c>
      <x:c r="P1865" s="10" t="n">
        <x:f>H1865*'Assumptions'!$R$95*'Assumptions'!$D$11*(1+'Assumptions'!$D$13)^(15-1)</x:f>
        <x:v>4104.6159121154615</x:v>
      </x:c>
      <x:c r="Q1865" s="10" t="n">
        <x:f>J1865*'Assumptions'!$S$95</x:f>
        <x:v>43347.4367196787</x:v>
      </x:c>
      <x:c r="R1865" s="10" t="n">
        <x:f>H1865*'Assumptions'!$Y$95*'Assumptions'!$Z$95*'Assumptions'!$D$11*(1+'Assumptions'!$D$13)^(15-1)</x:f>
        <x:v>3078.461934086596</x:v>
      </x:c>
      <x:c r="S1865" s="10" t="n">
        <x:f>IF(I1865=0,0,J1865*'Assumptions'!$W$95+H1865*'Assumptions'!$X$95)</x:f>
        <x:v>2035.7238612974847</x:v>
      </x:c>
      <x:c r="T1865" s="10" t="n">
        <x:f>N1865*'Assumptions'!$AA$95</x:f>
        <x:v>2587.5085303438977</x:v>
      </x:c>
      <x:c r="U1865" s="10" t="n">
        <x:f>'Assumptions'!$AE$95*'Assumptions'!$D$11*(1+'Assumptions'!$D$13)^(15-1)</x:f>
        <x:v>0</x:v>
      </x:c>
      <x:c r="V1865" s="10" t="n">
        <x:f>0</x:f>
        <x:v>0</x:v>
      </x:c>
      <x:c r="W1865" s="10" t="n">
        <x:f>H1865*('Assumptions'!$P$95+'Assumptions'!$Y$95)</x:f>
        <x:v>101.76129995797362</x:v>
      </x:c>
      <x:c r="X1865" s="10" t="n">
        <x:f>N1865/12*'Assumptions'!$AF$95</x:f>
        <x:v>0</x:v>
      </x:c>
      <x:c r="Y1865" s="10" t="n">
        <x:f>P1865/12</x:f>
        <x:v>342.0513260096218</x:v>
      </x:c>
      <x:c r="Z1865" s="10" t="n">
        <x:f>0</x:f>
        <x:v>0</x:v>
      </x:c>
      <x:c r="AA1865" s="10" t="n">
        <x:f>Z1865*'Assumptions'!$AC$95*'Assumptions'!$D$11*(1+'Assumptions'!$D$13)^(15-1)</x:f>
        <x:v>0</x:v>
      </x:c>
      <x:c r="AB1865" s="10" t="n">
        <x:f>F1865/1</x:f>
        <x:v>141.6692139118365</x:v>
      </x:c>
      <x:c r="AC1865" s="10" t="n">
        <x:f>AB1865/'Assumptions'!$AM$95</x:f>
        <x:v>944.46142607891</x:v>
      </x:c>
      <x:c r="AD1865" s="10" t="n">
        <x:f>IF(AB1865=0,0,T1865/AB1865)</x:f>
        <x:v>18.264437691834406</x:v>
      </x:c>
      <x:c r="AE1865" s="10" t="n">
        <x:f>AA1865*'Assumptions'!$D$21</x:f>
        <x:v>0</x:v>
      </x:c>
    </x:row>
    <x:row r="1866" ht="16" customHeight="1">
      <x:c r="A1866" s="1"/>
      <x:c r="B1866" s="1"/>
      <x:c r="C1866" s="1" t="str">
        <x:v>DOT-067</x:v>
      </x:c>
      <x:c r="D1866" s="10" t="str">
        <x:v>S’otality cleaning</x:v>
      </x:c>
      <x:c r="E1866" s="10" t="n">
        <x:v>15</x:v>
      </x:c>
      <x:c r="F1866" s="21" t="n">
        <x:f>F1738*(1+'Assumptions'!$M$96)</x:f>
        <x:v>62.964095071927375</x:v>
      </x:c>
      <x:c r="G1866" s="21" t="n">
        <x:f>H1738*'Assumptions'!$K$96</x:f>
        <x:v>87.79338634729292</x:v>
      </x:c>
      <x:c r="H1866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1866+G1866,NA())</x:f>
        <x:v>150.7574814192203</x:v>
      </x:c>
      <x:c r="I1866" s="22" t="n">
        <x:f>'Assumptions'!$H$96*IF('Assumptions'!$O$96=1,1,'Assumptions'!$D$10)*(1+'Assumptions'!$N$96)^(15-1)</x:f>
        <x:v>262.5762738495116</x:v>
      </x:c>
      <x:c r="J1866" s="10" t="n">
        <x:f>H1866*I1866</x:f>
        <x:v>39585.33772599585</x:v>
      </x:c>
      <x:c r="K1866" s="10" t="n">
        <x:f>J1866*'Assumptions'!$T$96</x:f>
        <x:v>39585.33772599585</x:v>
      </x:c>
      <x:c r="L1866" s="10" t="n">
        <x:f>K1866*'Assumptions'!$U$96</x:f>
        <x:v>1187.5601317798755</x:v>
      </x:c>
      <x:c r="M1866" s="10" t="n">
        <x:f>K1866*'Assumptions'!$V$96</x:f>
        <x:v>0</x:v>
      </x:c>
      <x:c r="N1866" s="10" t="n">
        <x:f>K1866-L1866-M1866</x:f>
        <x:v>38397.77759421598</x:v>
      </x:c>
      <x:c r="O1866" s="10" t="n">
        <x:f>H1866*'Assumptions'!$P$96*'Assumptions'!$Q$96*'Assumptions'!$D$11*(1+'Assumptions'!$D$13)^(15-1)</x:f>
        <x:v>798.1197606891184</x:v>
      </x:c>
      <x:c r="P1866" s="10" t="n">
        <x:f>H1866*'Assumptions'!$R$96*'Assumptions'!$D$11*(1+'Assumptions'!$D$13)^(15-1)</x:f>
        <x:v>1824.2737387179848</x:v>
      </x:c>
      <x:c r="Q1866" s="10" t="n">
        <x:f>J1866*'Assumptions'!$S$96</x:f>
        <x:v>25730.469521897303</x:v>
      </x:c>
      <x:c r="R1866" s="10" t="n">
        <x:f>H1866*'Assumptions'!$Y$96*'Assumptions'!$Z$96*'Assumptions'!$D$11*(1+'Assumptions'!$D$13)^(15-1)</x:f>
        <x:v>1368.2053040384887</x:v>
      </x:c>
      <x:c r="S1866" s="10" t="n">
        <x:f>IF(I1866=0,0,J1866*'Assumptions'!$W$96+H1866*'Assumptions'!$X$96)</x:f>
        <x:v>1193.2020384796458</x:v>
      </x:c>
      <x:c r="T1866" s="10" t="n">
        <x:f>N1866*'Assumptions'!$AA$96</x:f>
        <x:v>1535.9111037686391</x:v>
      </x:c>
      <x:c r="U1866" s="10" t="n">
        <x:f>'Assumptions'!$AE$96*'Assumptions'!$D$11*(1+'Assumptions'!$D$13)^(15-1)</x:f>
        <x:v>0</x:v>
      </x:c>
      <x:c r="V1866" s="10" t="n">
        <x:f>0</x:f>
        <x:v>0</x:v>
      </x:c>
      <x:c r="W1866" s="10" t="n">
        <x:f>H1866*('Assumptions'!$P$96+'Assumptions'!$Y$96)</x:f>
        <x:v>45.2272444257661</x:v>
      </x:c>
      <x:c r="X1866" s="10" t="n">
        <x:f>N1866/12*'Assumptions'!$AF$96</x:f>
        <x:v>0</x:v>
      </x:c>
      <x:c r="Y1866" s="10" t="n">
        <x:f>P1866/12</x:f>
        <x:v>152.02281155983206</x:v>
      </x:c>
      <x:c r="Z1866" s="10" t="n">
        <x:f>0</x:f>
        <x:v>0</x:v>
      </x:c>
      <x:c r="AA1866" s="10" t="n">
        <x:f>Z1866*'Assumptions'!$AC$96*'Assumptions'!$D$11*(1+'Assumptions'!$D$13)^(15-1)</x:f>
        <x:v>0</x:v>
      </x:c>
      <x:c r="AB1866" s="10" t="n">
        <x:f>F1866/1</x:f>
        <x:v>62.964095071927375</x:v>
      </x:c>
      <x:c r="AC1866" s="10" t="n">
        <x:f>AB1866/'Assumptions'!$AM$96</x:f>
        <x:v>419.76063381284916</x:v>
      </x:c>
      <x:c r="AD1866" s="10" t="n">
        <x:f>IF(AB1866=0,0,T1866/AB1866)</x:f>
        <x:v>24.393443628691603</x:v>
      </x:c>
      <x:c r="AE1866" s="10" t="n">
        <x:f>AA1866*'Assumptions'!$D$21</x:f>
        <x:v>0</x:v>
      </x:c>
    </x:row>
    <x:row r="1867" ht="16" customHeight="1">
      <x:c r="A1867" s="1"/>
      <x:c r="B1867" s="1"/>
      <x:c r="C1867" s="1" t="str">
        <x:v>DOT-068</x:v>
      </x:c>
      <x:c r="D1867" s="10" t="str">
        <x:v>S’otality cleaning</x:v>
      </x:c>
      <x:c r="E1867" s="10" t="n">
        <x:v>15</x:v>
      </x:c>
      <x:c r="F1867" s="21" t="n">
        <x:f>F1739*(1+'Assumptions'!$M$97)</x:f>
        <x:v>94.44614260789105</x:v>
      </x:c>
      <x:c r="G1867" s="21" t="n">
        <x:f>H1739*'Assumptions'!$K$97</x:f>
        <x:v>131.69007952093932</x:v>
      </x:c>
      <x:c r="H1867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1867+G1867,NA())</x:f>
        <x:v>226.13622212883035</x:v>
      </x:c>
      <x:c r="I1867" s="22" t="n">
        <x:f>'Assumptions'!$H$97*IF('Assumptions'!$O$97=1,1,'Assumptions'!$D$10)*(1+'Assumptions'!$N$97)^(15-1)</x:f>
        <x:v>249.38148621888288</x:v>
      </x:c>
      <x:c r="J1867" s="10" t="n">
        <x:f>H1867*I1867</x:f>
        <x:v>56394.187162411145</x:v>
      </x:c>
      <x:c r="K1867" s="10" t="n">
        <x:f>J1867*'Assumptions'!$T$97</x:f>
        <x:v>56394.187162411145</x:v>
      </x:c>
      <x:c r="L1867" s="10" t="n">
        <x:f>K1867*'Assumptions'!$U$97</x:f>
        <x:v>1691.8256148723342</x:v>
      </x:c>
      <x:c r="M1867" s="10" t="n">
        <x:f>K1867*'Assumptions'!$V$97</x:f>
        <x:v>0</x:v>
      </x:c>
      <x:c r="N1867" s="10" t="n">
        <x:f>K1867-L1867-M1867</x:f>
        <x:v>54702.36154753881</x:v>
      </x:c>
      <x:c r="O1867" s="10" t="n">
        <x:f>H1867*'Assumptions'!$P$97*'Assumptions'!$Q$97*'Assumptions'!$D$11*(1+'Assumptions'!$D$13)^(15-1)</x:f>
        <x:v>1197.179641033677</x:v>
      </x:c>
      <x:c r="P1867" s="10" t="n">
        <x:f>H1867*'Assumptions'!$R$97*'Assumptions'!$D$11*(1+'Assumptions'!$D$13)^(15-1)</x:f>
        <x:v>2736.4106080769757</x:v>
      </x:c>
      <x:c r="Q1867" s="10" t="n">
        <x:f>J1867*'Assumptions'!$S$97</x:f>
        <x:v>36656.22165556724</x:v>
      </x:c>
      <x:c r="R1867" s="10" t="n">
        <x:f>H1867*'Assumptions'!$Y$97*'Assumptions'!$Z$97*'Assumptions'!$D$11*(1+'Assumptions'!$D$13)^(15-1)</x:f>
        <x:v>2052.3079560577316</x:v>
      </x:c>
      <x:c r="S1867" s="10" t="n">
        <x:f>IF(I1867=0,0,J1867*'Assumptions'!$W$97+H1867*'Assumptions'!$X$97)</x:f>
        <x:v>1703.2722943485724</x:v>
      </x:c>
      <x:c r="T1867" s="10" t="n">
        <x:f>N1867*'Assumptions'!$AA$97</x:f>
        <x:v>2188.094461901552</x:v>
      </x:c>
      <x:c r="U1867" s="10" t="n">
        <x:f>'Assumptions'!$AE$97*'Assumptions'!$D$11*(1+'Assumptions'!$D$13)^(15-1)</x:f>
        <x:v>0</x:v>
      </x:c>
      <x:c r="V1867" s="10" t="n">
        <x:f>0</x:f>
        <x:v>0</x:v>
      </x:c>
      <x:c r="W1867" s="10" t="n">
        <x:f>H1867*('Assumptions'!$P$97+'Assumptions'!$Y$97)</x:f>
        <x:v>67.84086663864912</x:v>
      </x:c>
      <x:c r="X1867" s="10" t="n">
        <x:f>N1867/12*'Assumptions'!$AF$97</x:f>
        <x:v>0</x:v>
      </x:c>
      <x:c r="Y1867" s="10" t="n">
        <x:f>P1867/12</x:f>
        <x:v>228.03421733974798</x:v>
      </x:c>
      <x:c r="Z1867" s="10" t="n">
        <x:f>0</x:f>
        <x:v>0</x:v>
      </x:c>
      <x:c r="AA1867" s="10" t="n">
        <x:f>Z1867*'Assumptions'!$AC$97*'Assumptions'!$D$11*(1+'Assumptions'!$D$13)^(15-1)</x:f>
        <x:v>0</x:v>
      </x:c>
      <x:c r="AB1867" s="10" t="n">
        <x:f>F1867/1</x:f>
        <x:v>94.44614260789105</x:v>
      </x:c>
      <x:c r="AC1867" s="10" t="n">
        <x:f>AB1867/'Assumptions'!$AM$97</x:f>
        <x:v>629.6409507192736</x:v>
      </x:c>
      <x:c r="AD1867" s="10" t="n">
        <x:f>IF(AB1867=0,0,T1867/AB1867)</x:f>
        <x:v>23.16764244132015</x:v>
      </x:c>
      <x:c r="AE1867" s="10" t="n">
        <x:f>AA1867*'Assumptions'!$D$21</x:f>
        <x:v>0</x:v>
      </x:c>
    </x:row>
    <x:row r="1868" ht="16" customHeight="1">
      <x:c r="A1868" s="1"/>
      <x:c r="B1868" s="1"/>
      <x:c r="C1868" s="1" t="str">
        <x:v>DOT-069</x:v>
      </x:c>
      <x:c r="D1868" s="10" t="str">
        <x:v>S’otality cleaning</x:v>
      </x:c>
      <x:c r="E1868" s="10" t="n">
        <x:v>15</x:v>
      </x:c>
      <x:c r="F1868" s="21" t="n">
        <x:f>F1740*(1+'Assumptions'!$M$98)</x:f>
        <x:v>31.482047535963687</x:v>
      </x:c>
      <x:c r="G1868" s="21" t="n">
        <x:f>H1740*'Assumptions'!$K$98</x:f>
        <x:v>43.89669317364646</x:v>
      </x:c>
      <x:c r="H1868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1868+G1868,NA())</x:f>
        <x:v>75.37874070961016</x:v>
      </x:c>
      <x:c r="I1868" s="22" t="n">
        <x:f>'Assumptions'!$H$98*IF('Assumptions'!$O$98=1,1,'Assumptions'!$D$10)*(1+'Assumptions'!$N$98)^(15-1)</x:f>
        <x:v>394.52415015579885</x:v>
      </x:c>
      <x:c r="J1868" s="10" t="n">
        <x:f>H1868*I1868</x:f>
        <x:v>29738.733618273265</x:v>
      </x:c>
      <x:c r="K1868" s="10" t="n">
        <x:f>J1868*'Assumptions'!$T$98</x:f>
        <x:v>29738.733618273265</x:v>
      </x:c>
      <x:c r="L1868" s="10" t="n">
        <x:f>K1868*'Assumptions'!$U$98</x:f>
        <x:v>892.162008548198</x:v>
      </x:c>
      <x:c r="M1868" s="10" t="n">
        <x:f>K1868*'Assumptions'!$V$98</x:f>
        <x:v>0</x:v>
      </x:c>
      <x:c r="N1868" s="10" t="n">
        <x:f>K1868-L1868-M1868</x:f>
        <x:v>28846.571609725066</x:v>
      </x:c>
      <x:c r="O1868" s="10" t="n">
        <x:f>H1868*'Assumptions'!$P$98*'Assumptions'!$Q$98*'Assumptions'!$D$11*(1+'Assumptions'!$D$13)^(15-1)</x:f>
        <x:v>399.0598803445592</x:v>
      </x:c>
      <x:c r="P1868" s="10" t="n">
        <x:f>H1868*'Assumptions'!$R$98*'Assumptions'!$D$11*(1+'Assumptions'!$D$13)^(15-1)</x:f>
        <x:v>912.1368693589924</x:v>
      </x:c>
      <x:c r="Q1868" s="10" t="n">
        <x:f>J1868*'Assumptions'!$S$98</x:f>
        <x:v>19330.176851877623</x:v>
      </x:c>
      <x:c r="R1868" s="10" t="n">
        <x:f>H1868*'Assumptions'!$Y$98*'Assumptions'!$Z$98*'Assumptions'!$D$11*(1+'Assumptions'!$D$13)^(15-1)</x:f>
        <x:v>684.1026520192444</x:v>
      </x:c>
      <x:c r="S1868" s="10" t="n">
        <x:f>IF(I1868=0,0,J1868*'Assumptions'!$W$98+H1868*'Assumptions'!$X$98)</x:f>
        <x:v>885.0368971428078</x:v>
      </x:c>
      <x:c r="T1868" s="10" t="n">
        <x:f>N1868*'Assumptions'!$AA$98</x:f>
        <x:v>1153.8628643890027</x:v>
      </x:c>
      <x:c r="U1868" s="10" t="n">
        <x:f>'Assumptions'!$AE$98*'Assumptions'!$D$11*(1+'Assumptions'!$D$13)^(15-1)</x:f>
        <x:v>0</x:v>
      </x:c>
      <x:c r="V1868" s="10" t="n">
        <x:f>0</x:f>
        <x:v>0</x:v>
      </x:c>
      <x:c r="W1868" s="10" t="n">
        <x:f>H1868*('Assumptions'!$P$98+'Assumptions'!$Y$98)</x:f>
        <x:v>22.61362221288305</x:v>
      </x:c>
      <x:c r="X1868" s="10" t="n">
        <x:f>N1868/12*'Assumptions'!$AF$98</x:f>
        <x:v>0</x:v>
      </x:c>
      <x:c r="Y1868" s="10" t="n">
        <x:f>P1868/12</x:f>
        <x:v>76.01140577991603</x:v>
      </x:c>
      <x:c r="Z1868" s="10" t="n">
        <x:f>0</x:f>
        <x:v>0</x:v>
      </x:c>
      <x:c r="AA1868" s="10" t="n">
        <x:f>Z1868*'Assumptions'!$AC$98*'Assumptions'!$D$11*(1+'Assumptions'!$D$13)^(15-1)</x:f>
        <x:v>0</x:v>
      </x:c>
      <x:c r="AB1868" s="10" t="n">
        <x:f>F1868/1</x:f>
        <x:v>31.482047535963687</x:v>
      </x:c>
      <x:c r="AC1868" s="10" t="n">
        <x:f>AB1868/'Assumptions'!$AM$98</x:f>
        <x:v>209.88031690642458</x:v>
      </x:c>
      <x:c r="AD1868" s="10" t="n">
        <x:f>IF(AB1868=0,0,T1868/AB1868)</x:f>
        <x:v>36.65145550240597</x:v>
      </x:c>
      <x:c r="AE1868" s="10" t="n">
        <x:f>AA1868*'Assumptions'!$D$21</x:f>
        <x:v>0</x:v>
      </x:c>
    </x:row>
    <x:row r="1869" ht="16" customHeight="1">
      <x:c r="A1869" s="1"/>
      <x:c r="B1869" s="1"/>
      <x:c r="C1869" s="1" t="str">
        <x:v>DOT-070</x:v>
      </x:c>
      <x:c r="D1869" s="10" t="str">
        <x:v>S’otality laundry</x:v>
      </x:c>
      <x:c r="E1869" s="10" t="n">
        <x:v>15</x:v>
      </x:c>
      <x:c r="F1869" s="21" t="n">
        <x:f>F1741*(1+'Assumptions'!$M$99)</x:f>
        <x:v>283.338427823673</x:v>
      </x:c>
      <x:c r="G1869" s="21" t="n">
        <x:f>H1741*'Assumptions'!$K$99</x:f>
        <x:v>395.0702385628178</x:v>
      </x:c>
      <x:c r="H1869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1869+G1869,NA())</x:f>
        <x:v>678.4086663864907</x:v>
      </x:c>
      <x:c r="I1869" s="22" t="n">
        <x:f>'Assumptions'!$H$99*IF('Assumptions'!$O$99=1,1,'Assumptions'!$D$10)*(1+'Assumptions'!$N$99)^(15-1)</x:f>
        <x:v>79.16872578377235</x:v>
      </x:c>
      <x:c r="J1869" s="10" t="n">
        <x:f>H1869*I1869</x:f>
        <x:v>53708.749678486776</x:v>
      </x:c>
      <x:c r="K1869" s="10" t="n">
        <x:f>J1869*'Assumptions'!$T$99</x:f>
        <x:v>53708.749678486776</x:v>
      </x:c>
      <x:c r="L1869" s="10" t="n">
        <x:f>K1869*'Assumptions'!$U$99</x:f>
        <x:v>1611.2624903546032</x:v>
      </x:c>
      <x:c r="M1869" s="10" t="n">
        <x:f>K1869*'Assumptions'!$V$99</x:f>
        <x:v>0</x:v>
      </x:c>
      <x:c r="N1869" s="10" t="n">
        <x:f>K1869-L1869-M1869</x:f>
        <x:v>52097.487188132174</x:v>
      </x:c>
      <x:c r="O1869" s="10" t="n">
        <x:f>H1869*'Assumptions'!$P$99*'Assumptions'!$Q$99*'Assumptions'!$D$11*(1+'Assumptions'!$D$13)^(15-1)</x:f>
        <x:v>3591.5389231010286</x:v>
      </x:c>
      <x:c r="P1869" s="10" t="n">
        <x:f>H1869*'Assumptions'!$R$99*'Assumptions'!$D$11*(1+'Assumptions'!$D$13)^(15-1)</x:f>
        <x:v>0</x:v>
      </x:c>
      <x:c r="Q1869" s="10" t="n">
        <x:f>J1869*'Assumptions'!$S$99</x:f>
        <x:v>34910.68729101641</x:v>
      </x:c>
      <x:c r="R1869" s="10" t="n">
        <x:f>H1869*'Assumptions'!$Y$99*'Assumptions'!$Z$99*'Assumptions'!$D$11*(1+'Assumptions'!$D$13)^(15-1)</x:f>
        <x:v>6156.923868173192</x:v>
      </x:c>
      <x:c r="S1869" s="10" t="n">
        <x:f>IF(I1869=0,0,J1869*'Assumptions'!$W$99+H1869*'Assumptions'!$X$99)</x:f>
        <x:v>1761.0763405920638</x:v>
      </x:c>
      <x:c r="T1869" s="10" t="n">
        <x:f>N1869*'Assumptions'!$AA$99</x:f>
        <x:v>2083.899487525287</x:v>
      </x:c>
      <x:c r="U1869" s="10" t="n">
        <x:f>'Assumptions'!$AE$99*'Assumptions'!$D$11*(1+'Assumptions'!$D$13)^(15-1)</x:f>
        <x:v>0</x:v>
      </x:c>
      <x:c r="V1869" s="10" t="n">
        <x:f>0</x:f>
        <x:v>0</x:v>
      </x:c>
      <x:c r="W1869" s="10" t="n">
        <x:f>H1869*('Assumptions'!$P$99+'Assumptions'!$Y$99)</x:f>
        <x:v>203.52259991594724</x:v>
      </x:c>
      <x:c r="X1869" s="10" t="n">
        <x:f>N1869/12*'Assumptions'!$AF$99</x:f>
        <x:v>0</x:v>
      </x:c>
      <x:c r="Y1869" s="10" t="n">
        <x:f>P1869/12</x:f>
        <x:v>0</x:v>
      </x:c>
      <x:c r="Z1869" s="10" t="n">
        <x:f>0</x:f>
        <x:v>0</x:v>
      </x:c>
      <x:c r="AA1869" s="10" t="n">
        <x:f>Z1869*'Assumptions'!$AC$99*'Assumptions'!$D$11*(1+'Assumptions'!$D$13)^(15-1)</x:f>
        <x:v>0</x:v>
      </x:c>
      <x:c r="AB1869" s="10" t="n">
        <x:f>F1869/1</x:f>
        <x:v>283.338427823673</x:v>
      </x:c>
      <x:c r="AC1869" s="10" t="n">
        <x:f>AB1869/'Assumptions'!$AM$99</x:f>
        <x:v>1888.92285215782</x:v>
      </x:c>
      <x:c r="AD1869" s="10" t="n">
        <x:f>IF(AB1869=0,0,T1869/AB1869)</x:f>
        <x:v>7.354807124228621</x:v>
      </x:c>
      <x:c r="AE1869" s="10" t="n">
        <x:f>AA1869*'Assumptions'!$D$21</x:f>
        <x:v>0</x:v>
      </x:c>
    </x:row>
    <x:row r="1870" ht="16" customHeight="1">
      <x:c r="A1870" s="1"/>
      <x:c r="B1870" s="1"/>
      <x:c r="C1870" s="1" t="str">
        <x:v>DOT-071</x:v>
      </x:c>
      <x:c r="D1870" s="10" t="str">
        <x:v>S’otality Personal Chef</x:v>
      </x:c>
      <x:c r="E1870" s="10" t="n">
        <x:v>15</x:v>
      </x:c>
      <x:c r="F1870" s="21" t="n">
        <x:f>F1742*(1+'Assumptions'!$M$100)</x:f>
        <x:v>47.223071303945524</x:v>
      </x:c>
      <x:c r="G1870" s="21" t="n">
        <x:f>H1742*'Assumptions'!$K$100</x:f>
        <x:v>65.83328513585528</x:v>
      </x:c>
      <x:c r="H1870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1870+G1870,NA())</x:f>
        <x:v>113.0563564398008</x:v>
      </x:c>
      <x:c r="I1870" s="22" t="n">
        <x:f>'Assumptions'!$H$100*IF('Assumptions'!$O$100=1,1,'Assumptions'!$D$10)*(1+'Assumptions'!$N$100)^(15-1)</x:f>
        <x:v>857.661195990867</x:v>
      </x:c>
      <x:c r="J1870" s="10" t="n">
        <x:f>H1870*I1870</x:f>
        <x:v>96964.0498785293</x:v>
      </x:c>
      <x:c r="K1870" s="10" t="n">
        <x:f>J1870*'Assumptions'!$T$100</x:f>
        <x:v>96964.0498785293</x:v>
      </x:c>
      <x:c r="L1870" s="10" t="n">
        <x:f>K1870*'Assumptions'!$U$100</x:f>
        <x:v>2908.921496355879</x:v>
      </x:c>
      <x:c r="M1870" s="10" t="n">
        <x:f>K1870*'Assumptions'!$V$100</x:f>
        <x:v>0</x:v>
      </x:c>
      <x:c r="N1870" s="10" t="n">
        <x:f>K1870-L1870-M1870</x:f>
        <x:v>94055.12838217343</x:v>
      </x:c>
      <x:c r="O1870" s="10" t="n">
        <x:f>H1870*'Assumptions'!$P$100*'Assumptions'!$Q$100*'Assumptions'!$D$11*(1+'Assumptions'!$D$13)^(15-1)</x:f>
        <x:v>3420.1576616079947</x:v>
      </x:c>
      <x:c r="P1870" s="10" t="n">
        <x:f>H1870*'Assumptions'!$R$100*'Assumptions'!$D$11*(1+'Assumptions'!$D$13)^(15-1)</x:f>
        <x:v>17100.788308039977</x:v>
      </x:c>
      <x:c r="Q1870" s="10" t="n">
        <x:f>J1870*'Assumptions'!$S$100</x:f>
        <x:v>48482.02493926465</x:v>
      </x:c>
      <x:c r="R1870" s="10" t="n">
        <x:f>H1870*'Assumptions'!$Y$100*'Assumptions'!$Z$100*'Assumptions'!$D$11*(1+'Assumptions'!$D$13)^(15-1)</x:f>
        <x:v>1026.0472984823984</x:v>
      </x:c>
      <x:c r="S1870" s="10" t="n">
        <x:f>IF(I1870=0,0,J1870*'Assumptions'!$W$100+H1870*'Assumptions'!$X$100)</x:f>
        <x:v>2845.87435340929</x:v>
      </x:c>
      <x:c r="T1870" s="10" t="n">
        <x:f>N1870*'Assumptions'!$AA$100</x:f>
        <x:v>3762.205135286937</x:v>
      </x:c>
      <x:c r="U1870" s="10" t="n">
        <x:f>'Assumptions'!$AE$100*'Assumptions'!$D$11*(1+'Assumptions'!$D$13)^(15-1)</x:f>
        <x:v>0</x:v>
      </x:c>
      <x:c r="V1870" s="10" t="n">
        <x:f>0</x:f>
        <x:v>0</x:v>
      </x:c>
      <x:c r="W1870" s="10" t="n">
        <x:f>H1870*('Assumptions'!$P$100+'Assumptions'!$Y$100)</x:f>
        <x:v>79.13944950786055</x:v>
      </x:c>
      <x:c r="X1870" s="10" t="n">
        <x:f>N1870/12*'Assumptions'!$AF$100</x:f>
        <x:v>0</x:v>
      </x:c>
      <x:c r="Y1870" s="10" t="n">
        <x:f>P1870/12</x:f>
        <x:v>1425.0656923366648</x:v>
      </x:c>
      <x:c r="Z1870" s="10" t="n">
        <x:f>0</x:f>
        <x:v>0</x:v>
      </x:c>
      <x:c r="AA1870" s="10" t="n">
        <x:f>Z1870*'Assumptions'!$AC$100*'Assumptions'!$D$11*(1+'Assumptions'!$D$13)^(15-1)</x:f>
        <x:v>0</x:v>
      </x:c>
      <x:c r="AB1870" s="10" t="n">
        <x:f>F1870/1</x:f>
        <x:v>47.223071303945524</x:v>
      </x:c>
      <x:c r="AC1870" s="10" t="n">
        <x:f>AB1870/'Assumptions'!$AM$100</x:f>
        <x:v>314.8204753596368</x:v>
      </x:c>
      <x:c r="AD1870" s="10" t="n">
        <x:f>IF(AB1870=0,0,T1870/AB1870)</x:f>
        <x:v>79.66879390524949</x:v>
      </x:c>
      <x:c r="AE1870" s="10" t="n">
        <x:f>AA1870*'Assumptions'!$D$21</x:f>
        <x:v>0</x:v>
      </x:c>
    </x:row>
    <x:row r="1871" ht="16" customHeight="1">
      <x:c r="A1871" s="1"/>
      <x:c r="B1871" s="1"/>
      <x:c r="C1871" s="1" t="str">
        <x:v>DOT-072</x:v>
      </x:c>
      <x:c r="D1871" s="10" t="str">
        <x:v>S’otality interiors</x:v>
      </x:c>
      <x:c r="E1871" s="10" t="n">
        <x:v>15</x:v>
      </x:c>
      <x:c r="F1871" s="21" t="n">
        <x:f>F1743*(1+'Assumptions'!$M$101)</x:f>
        <x:v>17.70865173897956</x:v>
      </x:c>
      <x:c r="G1871" s="21" t="n">
        <x:f>H1743*'Assumptions'!$K$101</x:f>
        <x:v>16.704675823366628</x:v>
      </x:c>
      <x:c r="H1871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1871+G1871,NA())</x:f>
        <x:v>34.41332756234619</x:v>
      </x:c>
      <x:c r="I1871" s="22" t="n">
        <x:f>'Assumptions'!$H$101*IF('Assumptions'!$O$101=1,1,'Assumptions'!$D$10)*(1+'Assumptions'!$N$101)^(15-1)</x:f>
        <x:v>1979.2181445943086</x:v>
      </x:c>
      <x:c r="J1871" s="10" t="n">
        <x:f>H1871*I1871</x:f>
        <x:v>68111.482327263</x:v>
      </x:c>
      <x:c r="K1871" s="10" t="n">
        <x:f>J1871*'Assumptions'!$T$101</x:f>
        <x:v>68111.482327263</x:v>
      </x:c>
      <x:c r="L1871" s="10" t="n">
        <x:f>K1871*'Assumptions'!$U$101</x:f>
        <x:v>2043.34446981789</x:v>
      </x:c>
      <x:c r="M1871" s="10" t="n">
        <x:f>K1871*'Assumptions'!$V$101</x:f>
        <x:v>0</x:v>
      </x:c>
      <x:c r="N1871" s="10" t="n">
        <x:f>K1871-L1871-M1871</x:f>
        <x:v>66068.13785744511</x:v>
      </x:c>
      <x:c r="O1871" s="10" t="n">
        <x:f>H1871*'Assumptions'!$P$101*'Assumptions'!$Q$101*'Assumptions'!$D$11*(1+'Assumptions'!$D$13)^(15-1)</x:f>
        <x:v>28629.28511788293</x:v>
      </x:c>
      <x:c r="P1871" s="10" t="n">
        <x:f>H1871*'Assumptions'!$R$101*'Assumptions'!$D$11*(1+'Assumptions'!$D$13)^(15-1)</x:f>
        <x:v>2602.662283443903</x:v>
      </x:c>
      <x:c r="Q1871" s="10" t="n">
        <x:f>J1871*'Assumptions'!$S$101</x:f>
        <x:v>0</x:v>
      </x:c>
      <x:c r="R1871" s="10" t="n">
        <x:f>H1871*'Assumptions'!$Y$101*'Assumptions'!$Z$101*'Assumptions'!$D$11*(1+'Assumptions'!$D$13)^(15-1)</x:f>
        <x:v>390.3993425165854</x:v>
      </x:c>
      <x:c r="S1871" s="10" t="n">
        <x:f>IF(I1871=0,0,J1871*'Assumptions'!$W$101+H1871*'Assumptions'!$X$101)</x:f>
        <x:v>1985.5569857593312</x:v>
      </x:c>
      <x:c r="T1871" s="10" t="n">
        <x:f>N1871*'Assumptions'!$AA$101</x:f>
        <x:v>2642.7255142978042</x:v>
      </x:c>
      <x:c r="U1871" s="10" t="n">
        <x:f>'Assumptions'!$AE$101*'Assumptions'!$D$11*(1+'Assumptions'!$D$13)^(15-1)</x:f>
        <x:v>0</x:v>
      </x:c>
      <x:c r="V1871" s="10" t="n">
        <x:f>0</x:f>
        <x:v>0</x:v>
      </x:c>
      <x:c r="W1871" s="10" t="n">
        <x:f>H1871*('Assumptions'!$P$101+'Assumptions'!$Y$101)</x:f>
        <x:v>352.73660751404844</x:v>
      </x:c>
      <x:c r="X1871" s="10" t="n">
        <x:f>N1871/12*'Assumptions'!$AF$101</x:f>
        <x:v>5505.678154787092</x:v>
      </x:c>
      <x:c r="Y1871" s="10" t="n">
        <x:f>P1871/12</x:f>
        <x:v>216.88852362032526</x:v>
      </x:c>
      <x:c r="Z1871" s="10" t="n">
        <x:f>0</x:f>
        <x:v>0</x:v>
      </x:c>
      <x:c r="AA1871" s="10" t="n">
        <x:f>Z1871*'Assumptions'!$AC$101*'Assumptions'!$D$11*(1+'Assumptions'!$D$13)^(15-1)</x:f>
        <x:v>0</x:v>
      </x:c>
      <x:c r="AB1871" s="10" t="n">
        <x:f>F1871/1</x:f>
        <x:v>17.70865173897956</x:v>
      </x:c>
      <x:c r="AC1871" s="10" t="n">
        <x:f>AB1871/'Assumptions'!$AM$101</x:f>
        <x:v>88.5432586948978</x:v>
      </x:c>
      <x:c r="AD1871" s="10" t="n">
        <x:f>IF(AB1871=0,0,T1871/AB1871)</x:f>
        <x:v>149.2335810343339</x:v>
      </x:c>
      <x:c r="AE1871" s="10" t="n">
        <x:f>AA1871*'Assumptions'!$D$21</x:f>
        <x:v>0</x:v>
      </x:c>
    </x:row>
    <x:row r="1872" ht="16" customHeight="1">
      <x:c r="A1872" s="1"/>
      <x:c r="B1872" s="1"/>
      <x:c r="C1872" s="1" t="str">
        <x:v>DOT-073</x:v>
      </x:c>
      <x:c r="D1872" s="10" t="str">
        <x:v>S’otality interiors</x:v>
      </x:c>
      <x:c r="E1872" s="10" t="n">
        <x:v>15</x:v>
      </x:c>
      <x:c r="F1872" s="21" t="n">
        <x:f>F1744*(1+'Assumptions'!$M$102)</x:f>
        <x:v>47.223071303945524</x:v>
      </x:c>
      <x:c r="G1872" s="21" t="n">
        <x:f>H1744*'Assumptions'!$K$102</x:f>
        <x:v>65.84503976046966</x:v>
      </x:c>
      <x:c r="H1872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1872+G1872,NA())</x:f>
        <x:v>113.06811106441518</x:v>
      </x:c>
      <x:c r="I1872" s="22" t="n">
        <x:f>'Assumptions'!$H$102*IF('Assumptions'!$O$102=1,1,'Assumptions'!$D$10)*(1+'Assumptions'!$N$102)^(15-1)</x:f>
        <x:v>395.8436289188617</x:v>
      </x:c>
      <x:c r="J1872" s="10" t="n">
        <x:f>H1872*I1872</x:f>
        <x:v>44757.291398739006</x:v>
      </x:c>
      <x:c r="K1872" s="10" t="n">
        <x:f>J1872*'Assumptions'!$T$102</x:f>
        <x:v>44757.291398739006</x:v>
      </x:c>
      <x:c r="L1872" s="10" t="n">
        <x:f>K1872*'Assumptions'!$U$102</x:f>
        <x:v>1342.71874196217</x:v>
      </x:c>
      <x:c r="M1872" s="10" t="n">
        <x:f>K1872*'Assumptions'!$V$102</x:f>
        <x:v>0</x:v>
      </x:c>
      <x:c r="N1872" s="10" t="n">
        <x:f>K1872-L1872-M1872</x:f>
        <x:v>43414.572656776836</x:v>
      </x:c>
      <x:c r="O1872" s="10" t="n">
        <x:f>H1872*'Assumptions'!$P$102*'Assumptions'!$Q$102*'Assumptions'!$D$11*(1+'Assumptions'!$D$13)^(15-1)</x:f>
        <x:v>1496.474551292096</x:v>
      </x:c>
      <x:c r="P1872" s="10" t="n">
        <x:f>H1872*'Assumptions'!$R$102*'Assumptions'!$D$11*(1+'Assumptions'!$D$13)^(15-1)</x:f>
        <x:v>0</x:v>
      </x:c>
      <x:c r="Q1872" s="10" t="n">
        <x:f>J1872*'Assumptions'!$S$102</x:f>
        <x:v>26854.374839243403</x:v>
      </x:c>
      <x:c r="R1872" s="10" t="n">
        <x:f>H1872*'Assumptions'!$Y$102*'Assumptions'!$Z$102*'Assumptions'!$D$11*(1+'Assumptions'!$D$13)^(15-1)</x:f>
        <x:v>1026.1539780288658</x:v>
      </x:c>
      <x:c r="S1872" s="10" t="n">
        <x:f>IF(I1872=0,0,J1872*'Assumptions'!$W$102+H1872*'Assumptions'!$X$102)</x:f>
        <x:v>1331.8818838827558</x:v>
      </x:c>
      <x:c r="T1872" s="10" t="n">
        <x:f>N1872*'Assumptions'!$AA$102</x:f>
        <x:v>1736.5829062710734</x:v>
      </x:c>
      <x:c r="U1872" s="10" t="n">
        <x:f>'Assumptions'!$AE$102*'Assumptions'!$D$11*(1+'Assumptions'!$D$13)^(15-1)</x:f>
        <x:v>0</x:v>
      </x:c>
      <x:c r="V1872" s="10" t="n">
        <x:f>0</x:f>
        <x:v>0</x:v>
      </x:c>
      <x:c r="W1872" s="10" t="n">
        <x:f>H1872*('Assumptions'!$P$102+'Assumptions'!$Y$102)</x:f>
        <x:v>50.88064997898683</x:v>
      </x:c>
      <x:c r="X1872" s="10" t="n">
        <x:f>N1872/12*'Assumptions'!$AF$102</x:f>
        <x:v>0</x:v>
      </x:c>
      <x:c r="Y1872" s="10" t="n">
        <x:f>P1872/12</x:f>
        <x:v>0</x:v>
      </x:c>
      <x:c r="Z1872" s="10" t="n">
        <x:f>0</x:f>
        <x:v>0</x:v>
      </x:c>
      <x:c r="AA1872" s="10" t="n">
        <x:f>Z1872*'Assumptions'!$AC$102*'Assumptions'!$D$11*(1+'Assumptions'!$D$13)^(15-1)</x:f>
        <x:v>0</x:v>
      </x:c>
      <x:c r="AB1872" s="10" t="n">
        <x:f>F1872/1</x:f>
        <x:v>47.223071303945524</x:v>
      </x:c>
      <x:c r="AC1872" s="10" t="n">
        <x:f>AB1872/'Assumptions'!$AM$102</x:f>
        <x:v>314.8204753596368</x:v>
      </x:c>
      <x:c r="AD1872" s="10" t="n">
        <x:f>IF(AB1872=0,0,T1872/AB1872)</x:f>
        <x:v>36.774035621143106</x:v>
      </x:c>
      <x:c r="AE1872" s="10" t="n">
        <x:f>AA1872*'Assumptions'!$D$21</x:f>
        <x:v>0</x:v>
      </x:c>
    </x:row>
    <x:row r="1873" ht="16" customHeight="1">
      <x:c r="A1873" s="1"/>
      <x:c r="B1873" s="1"/>
      <x:c r="C1873" s="1" t="str">
        <x:v>DOT-074</x:v>
      </x:c>
      <x:c r="D1873" s="10" t="str">
        <x:v>S’otality interiors</x:v>
      </x:c>
      <x:c r="E1873" s="10" t="n">
        <x:v>15</x:v>
      </x:c>
      <x:c r="F1873" s="21" t="n">
        <x:f>F1745*(1+'Assumptions'!$M$103)</x:f>
        <x:v>20.064564030297397</x:v>
      </x:c>
      <x:c r="G1873" s="21" t="n">
        <x:f>H1745*'Assumptions'!$K$103</x:f>
        <x:v>42.26192047555749</x:v>
      </x:c>
      <x:c r="H1873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1873+G1873,NA())</x:f>
        <x:v>62.326484505854886</x:v>
      </x:c>
      <x:c r="I1873" s="22" t="n">
        <x:f>'Assumptions'!$H$103*IF('Assumptions'!$O$103=1,1,'Assumptions'!$D$10)*(1+'Assumptions'!$N$103)^(15-1)</x:f>
        <x:v>1979.2181445943086</x:v>
      </x:c>
      <x:c r="J1873" s="10" t="n">
        <x:f>H1873*I1873</x:f>
        <x:v>123357.70902276403</x:v>
      </x:c>
      <x:c r="K1873" s="10" t="n">
        <x:f>J1873*'Assumptions'!$T$103</x:f>
        <x:v>12335.770902276403</x:v>
      </x:c>
      <x:c r="L1873" s="10" t="n">
        <x:f>K1873*'Assumptions'!$U$103</x:f>
        <x:v>370.0731270682921</x:v>
      </x:c>
      <x:c r="M1873" s="10" t="n">
        <x:f>K1873*'Assumptions'!$V$103</x:f>
        <x:v>0</x:v>
      </x:c>
      <x:c r="N1873" s="10" t="n">
        <x:f>K1873-L1873-M1873</x:f>
        <x:v>11965.697775208111</x:v>
      </x:c>
      <x:c r="O1873" s="10" t="n">
        <x:f>H1873*'Assumptions'!$P$103*'Assumptions'!$Q$103*'Assumptions'!$D$11*(1+'Assumptions'!$D$13)^(15-1)</x:f>
        <x:v>3770.9760019958976</x:v>
      </x:c>
      <x:c r="P1873" s="10" t="n">
        <x:f>H1873*'Assumptions'!$R$103*'Assumptions'!$D$11*(1+'Assumptions'!$D$13)^(15-1)</x:f>
        <x:v>0</x:v>
      </x:c>
      <x:c r="Q1873" s="10" t="n">
        <x:f>J1873*'Assumptions'!$S$103</x:f>
        <x:v>0</x:v>
      </x:c>
      <x:c r="R1873" s="10" t="n">
        <x:f>H1873*'Assumptions'!$Y$103*'Assumptions'!$Z$103*'Assumptions'!$D$11*(1+'Assumptions'!$D$13)^(15-1)</x:f>
        <x:v>424.2348002245385</x:v>
      </x:c>
      <x:c r="S1873" s="10" t="n">
        <x:f>IF(I1873=0,0,J1873*'Assumptions'!$W$103+H1873*'Assumptions'!$X$103)</x:f>
        <x:v>3596.0715070119136</x:v>
      </x:c>
      <x:c r="T1873" s="10" t="n">
        <x:f>N1873*'Assumptions'!$AA$103</x:f>
        <x:v>598.2848887604056</x:v>
      </x:c>
      <x:c r="U1873" s="10" t="n">
        <x:f>'Assumptions'!$AE$103*'Assumptions'!$D$11*(1+'Assumptions'!$D$13)^(15-1)</x:f>
        <x:v>0</x:v>
      </x:c>
      <x:c r="V1873" s="10" t="n">
        <x:f>0</x:f>
        <x:v>0</x:v>
      </x:c>
      <x:c r="W1873" s="10" t="n">
        <x:f>H1873*('Assumptions'!$P$103+'Assumptions'!$Y$103)</x:f>
        <x:v>71.67545718173311</x:v>
      </x:c>
      <x:c r="X1873" s="10" t="n">
        <x:f>N1873/12*'Assumptions'!$AF$103</x:f>
        <x:v>0</x:v>
      </x:c>
      <x:c r="Y1873" s="10" t="n">
        <x:f>P1873/12</x:f>
        <x:v>0</x:v>
      </x:c>
      <x:c r="Z1873" s="10" t="n">
        <x:f>0</x:f>
        <x:v>0</x:v>
      </x:c>
      <x:c r="AA1873" s="10" t="n">
        <x:f>Z1873*'Assumptions'!$AC$103*'Assumptions'!$D$11*(1+'Assumptions'!$D$13)^(15-1)</x:f>
        <x:v>0</x:v>
      </x:c>
      <x:c r="AB1873" s="10" t="n">
        <x:f>F1873/1</x:f>
        <x:v>20.064564030297397</x:v>
      </x:c>
      <x:c r="AC1873" s="10" t="n">
        <x:f>AB1873/'Assumptions'!$AM$103</x:f>
        <x:v>401.2912806059479</x:v>
      </x:c>
      <x:c r="AD1873" s="10" t="n">
        <x:f>IF(AB1873=0,0,T1873/AB1873)</x:f>
        <x:v>29.817985970539812</x:v>
      </x:c>
      <x:c r="AE1873" s="10" t="n">
        <x:f>AA1873*'Assumptions'!$D$21</x:f>
        <x:v>0</x:v>
      </x:c>
    </x:row>
    <x:row r="1874" ht="16" customHeight="1">
      <x:c r="A1874" s="1"/>
      <x:c r="B1874" s="1"/>
      <x:c r="C1874" s="1" t="str">
        <x:v>DOT-075</x:v>
      </x:c>
      <x:c r="D1874" s="10" t="str">
        <x:v>S’otality concierge</x:v>
      </x:c>
      <x:c r="E1874" s="10" t="n">
        <x:v>15</x:v>
      </x:c>
      <x:c r="F1874" s="21" t="n">
        <x:f>F1746*(1+'Assumptions'!$M$104)</x:f>
        <x:v>236.11535651972758</x:v>
      </x:c>
      <x:c r="G1874" s="21" t="n">
        <x:f>H1746*'Assumptions'!$K$104</x:f>
        <x:v>222.72901097822177</x:v>
      </x:c>
      <x:c r="H1874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1874+G1874,NA())</x:f>
        <x:v>458.84436749794935</x:v>
      </x:c>
      <x:c r="I1874" s="22" t="n">
        <x:f>'Assumptions'!$H$104*IF('Assumptions'!$O$104=1,1,'Assumptions'!$D$10)*(1+'Assumptions'!$N$104)^(15-1)</x:f>
        <x:v>98.96090722971543</x:v>
      </x:c>
      <x:c r="J1874" s="10" t="n">
        <x:f>H1874*I1874</x:f>
        <x:v>45407.65488484202</x:v>
      </x:c>
      <x:c r="K1874" s="10" t="n">
        <x:f>J1874*'Assumptions'!$T$104</x:f>
        <x:v>45407.65488484202</x:v>
      </x:c>
      <x:c r="L1874" s="10" t="n">
        <x:f>K1874*'Assumptions'!$U$104</x:f>
        <x:v>1362.2296465452605</x:v>
      </x:c>
      <x:c r="M1874" s="10" t="n">
        <x:f>K1874*'Assumptions'!$V$104</x:f>
        <x:v>0</x:v>
      </x:c>
      <x:c r="N1874" s="10" t="n">
        <x:f>K1874-L1874-M1874</x:f>
        <x:v>44045.42523829676</x:v>
      </x:c>
      <x:c r="O1874" s="10" t="n">
        <x:f>H1874*'Assumptions'!$P$104*'Assumptions'!$Q$104*'Assumptions'!$D$11*(1+'Assumptions'!$D$13)^(15-1)</x:f>
        <x:v>18218.635984107324</x:v>
      </x:c>
      <x:c r="P1874" s="10" t="n">
        <x:f>H1874*'Assumptions'!$R$104*'Assumptions'!$D$11*(1+'Assumptions'!$D$13)^(15-1)</x:f>
        <x:v>0</x:v>
      </x:c>
      <x:c r="Q1874" s="10" t="n">
        <x:f>J1874*'Assumptions'!$S$104</x:f>
        <x:v>0</x:v>
      </x:c>
      <x:c r="R1874" s="10" t="n">
        <x:f>H1874*'Assumptions'!$Y$104*'Assumptions'!$Z$104*'Assumptions'!$D$11*(1+'Assumptions'!$D$13)^(15-1)</x:f>
        <x:v>5205.324566887808</x:v>
      </x:c>
      <x:c r="S1874" s="10" t="n">
        <x:f>IF(I1874=0,0,J1874*'Assumptions'!$W$104+H1874*'Assumptions'!$X$104)</x:f>
        <x:v>1454.4753019098034</x:v>
      </x:c>
      <x:c r="T1874" s="10" t="n">
        <x:f>N1874*'Assumptions'!$AA$104</x:f>
        <x:v>1761.8170095318706</x:v>
      </x:c>
      <x:c r="U1874" s="10" t="n">
        <x:f>'Assumptions'!$AE$104*'Assumptions'!$D$11*(1+'Assumptions'!$D$13)^(15-1)</x:f>
        <x:v>0</x:v>
      </x:c>
      <x:c r="V1874" s="10" t="n">
        <x:f>0</x:f>
        <x:v>0</x:v>
      </x:c>
      <x:c r="W1874" s="10" t="n">
        <x:f>H1874*('Assumptions'!$P$104+'Assumptions'!$Y$104)</x:f>
        <x:v>458.84436749794935</x:v>
      </x:c>
      <x:c r="X1874" s="10" t="n">
        <x:f>N1874/12*'Assumptions'!$AF$104</x:f>
        <x:v>3670.452103191397</x:v>
      </x:c>
      <x:c r="Y1874" s="10" t="n">
        <x:f>P1874/12</x:f>
        <x:v>0</x:v>
      </x:c>
      <x:c r="Z1874" s="10" t="n">
        <x:f>0</x:f>
        <x:v>0</x:v>
      </x:c>
      <x:c r="AA1874" s="10" t="n">
        <x:f>Z1874*'Assumptions'!$AC$104*'Assumptions'!$D$11*(1+'Assumptions'!$D$13)^(15-1)</x:f>
        <x:v>0</x:v>
      </x:c>
      <x:c r="AB1874" s="10" t="n">
        <x:f>F1874/1</x:f>
        <x:v>236.11535651972758</x:v>
      </x:c>
      <x:c r="AC1874" s="10" t="n">
        <x:f>AB1874/'Assumptions'!$AM$104</x:f>
        <x:v>1180.576782598638</x:v>
      </x:c>
      <x:c r="AD1874" s="10" t="n">
        <x:f>IF(AB1874=0,0,T1874/AB1874)</x:f>
        <x:v>7.461679051716696</x:v>
      </x:c>
      <x:c r="AE1874" s="10" t="n">
        <x:f>AA1874*'Assumptions'!$D$21</x:f>
        <x:v>0</x:v>
      </x:c>
    </x:row>
    <x:row r="1875" ht="16" customHeight="1">
      <x:c r="A1875" s="1"/>
      <x:c r="B1875" s="1"/>
      <x:c r="C1875" s="1" t="str">
        <x:v>DOT-076</x:v>
      </x:c>
      <x:c r="D1875" s="10" t="str">
        <x:v>S’otality administration</x:v>
      </x:c>
      <x:c r="E1875" s="10" t="n">
        <x:v>15</x:v>
      </x:c>
      <x:c r="F1875" s="21" t="n">
        <x:f>F1747*(1+'Assumptions'!$M$105)</x:f>
        <x:v>472.23071303945517</x:v>
      </x:c>
      <x:c r="G1875" s="21" t="n">
        <x:f>H1747*'Assumptions'!$K$105</x:f>
        <x:v>445.45802195644353</x:v>
      </x:c>
      <x:c r="H1875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1875+G1875,NA())</x:f>
        <x:v>917.6887349958987</x:v>
      </x:c>
      <x:c r="I1875" s="22" t="n">
        <x:f>'Assumptions'!$H$105*IF('Assumptions'!$O$105=1,1,'Assumptions'!$D$10)*(1+'Assumptions'!$N$105)^(15-1)</x:f>
        <x:v>79.16872578377235</x:v>
      </x:c>
      <x:c r="J1875" s="10" t="n">
        <x:f>H1875*I1875</x:f>
        <x:v>72652.24781574724</x:v>
      </x:c>
      <x:c r="K1875" s="10" t="n">
        <x:f>J1875*'Assumptions'!$T$105</x:f>
        <x:v>72652.24781574724</x:v>
      </x:c>
      <x:c r="L1875" s="10" t="n">
        <x:f>K1875*'Assumptions'!$U$105</x:f>
        <x:v>2179.567434472417</x:v>
      </x:c>
      <x:c r="M1875" s="10" t="n">
        <x:f>K1875*'Assumptions'!$V$105</x:f>
        <x:v>0</x:v>
      </x:c>
      <x:c r="N1875" s="10" t="n">
        <x:f>K1875-L1875-M1875</x:f>
        <x:v>70472.68038127483</x:v>
      </x:c>
      <x:c r="O1875" s="10" t="n">
        <x:f>H1875*'Assumptions'!$P$105*'Assumptions'!$Q$105*'Assumptions'!$D$11*(1+'Assumptions'!$D$13)^(15-1)</x:f>
        <x:v>41642.596535102464</x:v>
      </x:c>
      <x:c r="P1875" s="10" t="n">
        <x:f>H1875*'Assumptions'!$R$105*'Assumptions'!$D$11*(1+'Assumptions'!$D$13)^(15-1)</x:f>
        <x:v>0</x:v>
      </x:c>
      <x:c r="Q1875" s="10" t="n">
        <x:f>J1875*'Assumptions'!$S$105</x:f>
        <x:v>0</x:v>
      </x:c>
      <x:c r="R1875" s="10" t="n">
        <x:f>H1875*'Assumptions'!$Y$105*'Assumptions'!$Z$105*'Assumptions'!$D$11*(1+'Assumptions'!$D$13)^(15-1)</x:f>
        <x:v>10410.649133775616</x:v>
      </x:c>
      <x:c r="S1875" s="10" t="n">
        <x:f>IF(I1875=0,0,J1875*'Assumptions'!$W$105+H1875*'Assumptions'!$X$105)</x:f>
        <x:v>2382.2218071554394</x:v>
      </x:c>
      <x:c r="T1875" s="10" t="n">
        <x:f>N1875*'Assumptions'!$AA$105</x:f>
        <x:v>2818.907215250993</x:v>
      </x:c>
      <x:c r="U1875" s="10" t="n">
        <x:f>'Assumptions'!$AE$105*'Assumptions'!$D$11*(1+'Assumptions'!$D$13)^(15-1)</x:f>
        <x:v>0</x:v>
      </x:c>
      <x:c r="V1875" s="10" t="n">
        <x:f>0</x:f>
        <x:v>0</x:v>
      </x:c>
      <x:c r="W1875" s="10" t="n">
        <x:f>H1875*('Assumptions'!$P$105+'Assumptions'!$Y$105)</x:f>
        <x:v>1147.1109187448733</x:v>
      </x:c>
      <x:c r="X1875" s="10" t="n">
        <x:f>N1875/12*'Assumptions'!$AF$105</x:f>
        <x:v>5872.723365106235</x:v>
      </x:c>
      <x:c r="Y1875" s="10" t="n">
        <x:f>P1875/12</x:f>
        <x:v>0</x:v>
      </x:c>
      <x:c r="Z1875" s="10" t="n">
        <x:f>0</x:f>
        <x:v>0</x:v>
      </x:c>
      <x:c r="AA1875" s="10" t="n">
        <x:f>Z1875*'Assumptions'!$AC$105*'Assumptions'!$D$11*(1+'Assumptions'!$D$13)^(15-1)</x:f>
        <x:v>0</x:v>
      </x:c>
      <x:c r="AB1875" s="10" t="n">
        <x:f>F1875/1</x:f>
        <x:v>472.23071303945517</x:v>
      </x:c>
      <x:c r="AC1875" s="10" t="n">
        <x:f>AB1875/'Assumptions'!$AM$105</x:f>
        <x:v>2361.153565197276</x:v>
      </x:c>
      <x:c r="AD1875" s="10" t="n">
        <x:f>IF(AB1875=0,0,T1875/AB1875)</x:f>
        <x:v>5.969343241373357</x:v>
      </x:c>
      <x:c r="AE1875" s="10" t="n">
        <x:f>AA1875*'Assumptions'!$D$21</x:f>
        <x:v>0</x:v>
      </x:c>
    </x:row>
    <x:row r="1876" ht="16" customHeight="1">
      <x:c r="A1876" s="1"/>
      <x:c r="B1876" s="1"/>
      <x:c r="C1876" s="1" t="str">
        <x:v>DOT-077</x:v>
      </x:c>
      <x:c r="D1876" s="10" t="str">
        <x:v>S’otality bike tours</x:v>
      </x:c>
      <x:c r="E1876" s="10" t="n">
        <x:v>15</x:v>
      </x:c>
      <x:c r="F1876" s="21" t="n">
        <x:f>F1748*(1+'Assumptions'!$M$106)</x:f>
        <x:v>188.8922852157821</x:v>
      </x:c>
      <x:c r="G1876" s="21" t="n">
        <x:f>H1748*'Assumptions'!$K$106</x:f>
        <x:v>263.3331405434211</x:v>
      </x:c>
      <x:c r="H1876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1876+G1876,NA())</x:f>
        <x:v>452.2254257592032</x:v>
      </x:c>
      <x:c r="I1876" s="22" t="n">
        <x:f>'Assumptions'!$H$106*IF('Assumptions'!$O$106=1,1,'Assumptions'!$D$10)*(1+'Assumptions'!$N$106)^(15-1)</x:f>
        <x:v>85.76611959908671</x:v>
      </x:c>
      <x:c r="J1876" s="10" t="n">
        <x:f>H1876*I1876</x:f>
        <x:v>38785.619951411725</x:v>
      </x:c>
      <x:c r="K1876" s="10" t="n">
        <x:f>J1876*'Assumptions'!$T$106</x:f>
        <x:v>38785.619951411725</x:v>
      </x:c>
      <x:c r="L1876" s="10" t="n">
        <x:f>K1876*'Assumptions'!$U$106</x:f>
        <x:v>1163.5685985423518</x:v>
      </x:c>
      <x:c r="M1876" s="10" t="n">
        <x:f>K1876*'Assumptions'!$V$106</x:f>
        <x:v>0</x:v>
      </x:c>
      <x:c r="N1876" s="10" t="n">
        <x:f>K1876-L1876-M1876</x:f>
        <x:v>37622.05135286937</x:v>
      </x:c>
      <x:c r="O1876" s="10" t="n">
        <x:f>H1876*'Assumptions'!$P$106*'Assumptions'!$Q$106*'Assumptions'!$D$11*(1+'Assumptions'!$D$13)^(15-1)</x:f>
        <x:v>3591.165544688395</x:v>
      </x:c>
      <x:c r="P1876" s="10" t="n">
        <x:f>H1876*'Assumptions'!$R$106*'Assumptions'!$D$11*(1+'Assumptions'!$D$13)^(15-1)</x:f>
        <x:v>3420.1576616079947</x:v>
      </x:c>
      <x:c r="Q1876" s="10" t="n">
        <x:f>J1876*'Assumptions'!$S$106</x:f>
        <x:v>17453.528978135277</x:v>
      </x:c>
      <x:c r="R1876" s="10" t="n">
        <x:f>H1876*'Assumptions'!$Y$106*'Assumptions'!$Z$106*'Assumptions'!$D$11*(1+'Assumptions'!$D$13)^(15-1)</x:f>
        <x:v>4104.189193929594</x:v>
      </x:c>
      <x:c r="S1876" s="10" t="n">
        <x:f>IF(I1876=0,0,J1876*'Assumptions'!$W$106+H1876*'Assumptions'!$X$106)</x:f>
        <x:v>1260.450606318701</x:v>
      </x:c>
      <x:c r="T1876" s="10" t="n">
        <x:f>N1876*'Assumptions'!$AA$106</x:f>
        <x:v>1504.8820541147747</x:v>
      </x:c>
      <x:c r="U1876" s="10" t="n">
        <x:f>'Assumptions'!$AE$106*'Assumptions'!$D$11*(1+'Assumptions'!$D$13)^(15-1)</x:f>
        <x:v>0</x:v>
      </x:c>
      <x:c r="V1876" s="10" t="n">
        <x:f>0</x:f>
        <x:v>0</x:v>
      </x:c>
      <x:c r="W1876" s="10" t="n">
        <x:f>H1876*('Assumptions'!$P$106+'Assumptions'!$Y$106)</x:f>
        <x:v>158.2788990157211</x:v>
      </x:c>
      <x:c r="X1876" s="10" t="n">
        <x:f>N1876/12*'Assumptions'!$AF$106</x:f>
        <x:v>0</x:v>
      </x:c>
      <x:c r="Y1876" s="10" t="n">
        <x:f>P1876/12</x:f>
        <x:v>285.0131384673329</x:v>
      </x:c>
      <x:c r="Z1876" s="10" t="n">
        <x:f>0</x:f>
        <x:v>0</x:v>
      </x:c>
      <x:c r="AA1876" s="10" t="n">
        <x:f>Z1876*'Assumptions'!$AC$106*'Assumptions'!$D$11*(1+'Assumptions'!$D$13)^(15-1)</x:f>
        <x:v>0</x:v>
      </x:c>
      <x:c r="AB1876" s="10" t="n">
        <x:f>F1876/1</x:f>
        <x:v>188.8922852157821</x:v>
      </x:c>
      <x:c r="AC1876" s="10" t="n">
        <x:f>AB1876/'Assumptions'!$AM$106</x:f>
        <x:v>1259.2819014385473</x:v>
      </x:c>
      <x:c r="AD1876" s="10" t="n">
        <x:f>IF(AB1876=0,0,T1876/AB1876)</x:f>
        <x:v>7.966879390524948</x:v>
      </x:c>
      <x:c r="AE1876" s="10" t="n">
        <x:f>AA1876*'Assumptions'!$D$21</x:f>
        <x:v>0</x:v>
      </x:c>
    </x:row>
    <x:row r="1877" ht="16" customHeight="1">
      <x:c r="A1877" s="1"/>
      <x:c r="B1877" s="1"/>
      <x:c r="C1877" s="1" t="str">
        <x:v>DOT-078</x:v>
      </x:c>
      <x:c r="D1877" s="10" t="str">
        <x:v>S’otality editorial</x:v>
      </x:c>
      <x:c r="E1877" s="10" t="n">
        <x:v>15</x:v>
      </x:c>
      <x:c r="F1877" s="21" t="n">
        <x:f>F1749*(1+'Assumptions'!$M$107)</x:f>
        <x:v>15.347498173782297</x:v>
      </x:c>
      <x:c r="G1877" s="21" t="n">
        <x:f>H1749*'Assumptions'!$K$107</x:f>
        <x:v>7.899430203953588</x:v>
      </x:c>
      <x:c r="H1877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1877+G1877,NA())</x:f>
        <x:v>23.246928377735884</x:v>
      </x:c>
      <x:c r="I1877" s="22" t="n">
        <x:f>'Assumptions'!$H$107*IF('Assumptions'!$O$107=1,1,'Assumptions'!$D$10)*(1+'Assumptions'!$N$107)^(15-1)</x:f>
        <x:v>329.8696907657181</x:v>
      </x:c>
      <x:c r="J1877" s="10" t="n">
        <x:f>H1877*I1877</x:f>
        <x:v>7668.457075216532</x:v>
      </x:c>
      <x:c r="K1877" s="10" t="n">
        <x:f>J1877*'Assumptions'!$T$107</x:f>
        <x:v>7668.457075216532</x:v>
      </x:c>
      <x:c r="L1877" s="10" t="n">
        <x:f>K1877*'Assumptions'!$U$107</x:f>
        <x:v>230.05371225649594</x:v>
      </x:c>
      <x:c r="M1877" s="10" t="n">
        <x:f>K1877*'Assumptions'!$V$107</x:f>
        <x:v>0</x:v>
      </x:c>
      <x:c r="N1877" s="10" t="n">
        <x:f>K1877-L1877-M1877</x:f>
        <x:v>7438.403362960036</x:v>
      </x:c>
      <x:c r="O1877" s="10" t="n">
        <x:f>H1877*'Assumptions'!$P$107*'Assumptions'!$Q$107*'Assumptions'!$D$11*(1+'Assumptions'!$D$13)^(15-1)</x:f>
        <x:v>2813.045199888481</x:v>
      </x:c>
      <x:c r="P1877" s="10" t="n">
        <x:f>H1877*'Assumptions'!$R$107*'Assumptions'!$D$11*(1+'Assumptions'!$D$13)^(15-1)</x:f>
        <x:v>0</x:v>
      </x:c>
      <x:c r="Q1877" s="10" t="n">
        <x:f>J1877*'Assumptions'!$S$107</x:f>
        <x:v>0</x:v>
      </x:c>
      <x:c r="R1877" s="10" t="n">
        <x:f>H1877*'Assumptions'!$Y$107*'Assumptions'!$Z$107*'Assumptions'!$D$11*(1+'Assumptions'!$D$13)^(15-1)</x:f>
        <x:v>527.4459749790901</x:v>
      </x:c>
      <x:c r="S1877" s="10" t="n">
        <x:f>IF(I1877=0,0,J1877*'Assumptions'!$W$107+H1877*'Assumptions'!$X$107)</x:f>
        <x:v>229.3593336946002</x:v>
      </x:c>
      <x:c r="T1877" s="10" t="n">
        <x:f>N1877*'Assumptions'!$AA$107</x:f>
        <x:v>595.0722690368029</x:v>
      </x:c>
      <x:c r="U1877" s="10" t="n">
        <x:f>'Assumptions'!$AE$107*'Assumptions'!$D$11*(1+'Assumptions'!$D$13)^(15-1)</x:f>
        <x:v>0</x:v>
      </x:c>
      <x:c r="V1877" s="10" t="n">
        <x:f>0</x:f>
        <x:v>0</x:v>
      </x:c>
      <x:c r="W1877" s="10" t="n">
        <x:f>H1877*('Assumptions'!$P$107+'Assumptions'!$Y$107)</x:f>
        <x:v>58.11732094433971</x:v>
      </x:c>
      <x:c r="X1877" s="10" t="n">
        <x:f>N1877/12*'Assumptions'!$AF$107</x:f>
        <x:v>619.8669469133364</x:v>
      </x:c>
      <x:c r="Y1877" s="10" t="n">
        <x:f>P1877/12</x:f>
        <x:v>0</x:v>
      </x:c>
      <x:c r="Z1877" s="10" t="n">
        <x:f>0</x:f>
        <x:v>0</x:v>
      </x:c>
      <x:c r="AA1877" s="10" t="n">
        <x:f>Z1877*'Assumptions'!$AC$107*'Assumptions'!$D$11*(1+'Assumptions'!$D$13)^(15-1)</x:f>
        <x:v>0</x:v>
      </x:c>
      <x:c r="AB1877" s="10" t="n">
        <x:f>F1877/1</x:f>
        <x:v>15.347498173782297</x:v>
      </x:c>
      <x:c r="AC1877" s="10" t="n">
        <x:f>AB1877/'Assumptions'!$AM$107</x:f>
        <x:v>153.47498173782296</x:v>
      </x:c>
      <x:c r="AD1877" s="10" t="n">
        <x:f>IF(AB1877=0,0,T1877/AB1877)</x:f>
        <x:v>38.77324253755888</x:v>
      </x:c>
      <x:c r="AE1877" s="10" t="n">
        <x:f>AA1877*'Assumptions'!$D$21</x:f>
        <x:v>0</x:v>
      </x:c>
    </x:row>
    <x:row r="1878" ht="16" customHeight="1">
      <x:c r="A1878" s="1"/>
      <x:c r="B1878" s="1"/>
      <x:c r="C1878" s="1" t="str">
        <x:v>DOT-079</x:v>
      </x:c>
      <x:c r="D1878" s="10" t="str">
        <x:v>S’otality editorial</x:v>
      </x:c>
      <x:c r="E1878" s="10" t="n">
        <x:v>15</x:v>
      </x:c>
      <x:c r="F1878" s="21" t="n">
        <x:f>F1750*(1+'Assumptions'!$M$108)</x:f>
        <x:v>5.115832724594099</x:v>
      </x:c>
      <x:c r="G1878" s="21" t="n">
        <x:f>H1750*'Assumptions'!$K$108</x:f>
        <x:v>2.633143401317863</x:v>
      </x:c>
      <x:c r="H1878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1878+G1878,NA())</x:f>
        <x:v>7.748976125911962</x:v>
      </x:c>
      <x:c r="I1878" s="22" t="n">
        <x:f>'Assumptions'!$H$108*IF('Assumptions'!$O$108=1,1,'Assumptions'!$D$10)*(1+'Assumptions'!$N$108)^(15-1)</x:f>
        <x:v>1319.4787630628723</x:v>
      </x:c>
      <x:c r="J1878" s="10" t="n">
        <x:f>H1878*I1878</x:f>
        <x:v>10224.609433622043</x:v>
      </x:c>
      <x:c r="K1878" s="10" t="n">
        <x:f>J1878*'Assumptions'!$T$108</x:f>
        <x:v>10224.609433622043</x:v>
      </x:c>
      <x:c r="L1878" s="10" t="n">
        <x:f>K1878*'Assumptions'!$U$108</x:f>
        <x:v>306.73828300866126</x:v>
      </x:c>
      <x:c r="M1878" s="10" t="n">
        <x:f>K1878*'Assumptions'!$V$108</x:f>
        <x:v>0</x:v>
      </x:c>
      <x:c r="N1878" s="10" t="n">
        <x:f>K1878-L1878-M1878</x:f>
        <x:v>9917.871150613382</x:v>
      </x:c>
      <x:c r="O1878" s="10" t="n">
        <x:f>H1878*'Assumptions'!$P$108*'Assumptions'!$Q$108*'Assumptions'!$D$11*(1+'Assumptions'!$D$13)^(15-1)</x:f>
        <x:v>3750.7269331846414</x:v>
      </x:c>
      <x:c r="P1878" s="10" t="n">
        <x:f>H1878*'Assumptions'!$R$108*'Assumptions'!$D$11*(1+'Assumptions'!$D$13)^(15-1)</x:f>
        <x:v>1172.1021666202005</x:v>
      </x:c>
      <x:c r="Q1878" s="10" t="n">
        <x:f>J1878*'Assumptions'!$S$108</x:f>
        <x:v>0</x:v>
      </x:c>
      <x:c r="R1878" s="10" t="n">
        <x:f>H1878*'Assumptions'!$Y$108*'Assumptions'!$Z$108*'Assumptions'!$D$11*(1+'Assumptions'!$D$13)^(15-1)</x:f>
        <x:v>175.81532499303006</x:v>
      </x:c>
      <x:c r="S1878" s="10" t="n">
        <x:f>IF(I1878=0,0,J1878*'Assumptions'!$W$108+H1878*'Assumptions'!$X$108)</x:f>
        <x:v>298.83836641281283</x:v>
      </x:c>
      <x:c r="T1878" s="10" t="n">
        <x:f>N1878*'Assumptions'!$AA$108</x:f>
        <x:v>793.4296920490706</x:v>
      </x:c>
      <x:c r="U1878" s="10" t="n">
        <x:f>'Assumptions'!$AE$108*'Assumptions'!$D$11*(1+'Assumptions'!$D$13)^(15-1)</x:f>
        <x:v>0</x:v>
      </x:c>
      <x:c r="V1878" s="10" t="n">
        <x:f>0</x:f>
        <x:v>0</x:v>
      </x:c>
      <x:c r="W1878" s="10" t="n">
        <x:f>H1878*('Assumptions'!$P$108+'Assumptions'!$Y$108)</x:f>
        <x:v>65.86629707025168</x:v>
      </x:c>
      <x:c r="X1878" s="10" t="n">
        <x:f>N1878/12*'Assumptions'!$AF$108</x:f>
        <x:v>826.4892625511152</x:v>
      </x:c>
      <x:c r="Y1878" s="10" t="n">
        <x:f>P1878/12</x:f>
        <x:v>97.67518055168337</x:v>
      </x:c>
      <x:c r="Z1878" s="10" t="n">
        <x:f>0</x:f>
        <x:v>0</x:v>
      </x:c>
      <x:c r="AA1878" s="10" t="n">
        <x:f>Z1878*'Assumptions'!$AC$108*'Assumptions'!$D$11*(1+'Assumptions'!$D$13)^(15-1)</x:f>
        <x:v>0</x:v>
      </x:c>
      <x:c r="AB1878" s="10" t="n">
        <x:f>F1878/1</x:f>
        <x:v>5.115832724594099</x:v>
      </x:c>
      <x:c r="AC1878" s="10" t="n">
        <x:f>AB1878/'Assumptions'!$AM$108</x:f>
        <x:v>51.15832724594098</x:v>
      </x:c>
      <x:c r="AD1878" s="10" t="n">
        <x:f>IF(AB1878=0,0,T1878/AB1878)</x:f>
        <x:v>155.09297015023552</x:v>
      </x:c>
      <x:c r="AE1878" s="10" t="n">
        <x:f>AA1878*'Assumptions'!$D$21</x:f>
        <x:v>0</x:v>
      </x:c>
    </x:row>
    <x:row r="1879" ht="16" customHeight="1">
      <x:c r="A1879" s="1"/>
      <x:c r="B1879" s="1"/>
      <x:c r="C1879" s="1" t="str">
        <x:v>DOT-080</x:v>
      </x:c>
      <x:c r="D1879" s="10" t="str">
        <x:v>Tomato Odyssey</x:v>
      </x:c>
      <x:c r="E1879" s="10" t="n">
        <x:v>15</x:v>
      </x:c>
      <x:c r="F1879" s="21" t="n">
        <x:f>F1751*(1+'Assumptions'!$M$109)</x:f>
        <x:v>15.347498173782297</x:v>
      </x:c>
      <x:c r="G1879" s="21" t="n">
        <x:f>H1751*'Assumptions'!$K$109</x:f>
        <x:v>7.899430203953588</x:v>
      </x:c>
      <x:c r="H1879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1879+G1879,NA())</x:f>
        <x:v>23.246928377735884</x:v>
      </x:c>
      <x:c r="I1879" s="22" t="n">
        <x:f>'Assumptions'!$H$109*IF('Assumptions'!$O$109=1,1,'Assumptions'!$D$10)*(1+'Assumptions'!$N$109)^(15-1)</x:f>
        <x:v>329.8696907657181</x:v>
      </x:c>
      <x:c r="J1879" s="10" t="n">
        <x:f>H1879*I1879</x:f>
        <x:v>7668.457075216532</x:v>
      </x:c>
      <x:c r="K1879" s="10" t="n">
        <x:f>J1879*'Assumptions'!$T$109</x:f>
        <x:v>7668.457075216532</x:v>
      </x:c>
      <x:c r="L1879" s="10" t="n">
        <x:f>K1879*'Assumptions'!$U$109</x:f>
        <x:v>230.05371225649594</x:v>
      </x:c>
      <x:c r="M1879" s="10" t="n">
        <x:f>K1879*'Assumptions'!$V$109</x:f>
        <x:v>0</x:v>
      </x:c>
      <x:c r="N1879" s="10" t="n">
        <x:f>K1879-L1879-M1879</x:f>
        <x:v>7438.403362960036</x:v>
      </x:c>
      <x:c r="O1879" s="10" t="n">
        <x:f>H1879*'Assumptions'!$P$109*'Assumptions'!$Q$109*'Assumptions'!$D$11*(1+'Assumptions'!$D$13)^(15-1)</x:f>
        <x:v>2813.045199888481</x:v>
      </x:c>
      <x:c r="P1879" s="10" t="n">
        <x:f>H1879*'Assumptions'!$R$109*'Assumptions'!$D$11*(1+'Assumptions'!$D$13)^(15-1)</x:f>
        <x:v>0</x:v>
      </x:c>
      <x:c r="Q1879" s="10" t="n">
        <x:f>J1879*'Assumptions'!$S$109</x:f>
        <x:v>0</x:v>
      </x:c>
      <x:c r="R1879" s="10" t="n">
        <x:f>H1879*'Assumptions'!$Y$109*'Assumptions'!$Z$109*'Assumptions'!$D$11*(1+'Assumptions'!$D$13)^(15-1)</x:f>
        <x:v>527.4459749790901</x:v>
      </x:c>
      <x:c r="S1879" s="10" t="n">
        <x:f>IF(I1879=0,0,J1879*'Assumptions'!$W$109+H1879*'Assumptions'!$X$109)</x:f>
        <x:v>229.3593336946002</x:v>
      </x:c>
      <x:c r="T1879" s="10" t="n">
        <x:f>N1879*'Assumptions'!$AA$109</x:f>
        <x:v>595.0722690368029</x:v>
      </x:c>
      <x:c r="U1879" s="10" t="n">
        <x:f>'Assumptions'!$AE$109*'Assumptions'!$D$11*(1+'Assumptions'!$D$13)^(15-1)</x:f>
        <x:v>0</x:v>
      </x:c>
      <x:c r="V1879" s="10" t="n">
        <x:f>0</x:f>
        <x:v>0</x:v>
      </x:c>
      <x:c r="W1879" s="10" t="n">
        <x:f>H1879*('Assumptions'!$P$109+'Assumptions'!$Y$109)</x:f>
        <x:v>58.11732094433971</x:v>
      </x:c>
      <x:c r="X1879" s="10" t="n">
        <x:f>N1879/12*'Assumptions'!$AF$109</x:f>
        <x:v>619.8669469133364</x:v>
      </x:c>
      <x:c r="Y1879" s="10" t="n">
        <x:f>P1879/12</x:f>
        <x:v>0</x:v>
      </x:c>
      <x:c r="Z1879" s="10" t="n">
        <x:f>0</x:f>
        <x:v>0</x:v>
      </x:c>
      <x:c r="AA1879" s="10" t="n">
        <x:f>Z1879*'Assumptions'!$AC$109*'Assumptions'!$D$11*(1+'Assumptions'!$D$13)^(15-1)</x:f>
        <x:v>0</x:v>
      </x:c>
      <x:c r="AB1879" s="10" t="n">
        <x:f>F1879/1</x:f>
        <x:v>15.347498173782297</x:v>
      </x:c>
      <x:c r="AC1879" s="10" t="n">
        <x:f>AB1879/'Assumptions'!$AM$109</x:f>
        <x:v>153.47498173782296</x:v>
      </x:c>
      <x:c r="AD1879" s="10" t="n">
        <x:f>IF(AB1879=0,0,T1879/AB1879)</x:f>
        <x:v>38.77324253755888</x:v>
      </x:c>
      <x:c r="AE1879" s="10" t="n">
        <x:f>AA1879*'Assumptions'!$D$21</x:f>
        <x:v>0</x:v>
      </x:c>
    </x:row>
    <x:row r="1880" ht="16" customHeight="1">
      <x:c r="A1880" s="1"/>
      <x:c r="B1880" s="1"/>
      <x:c r="C1880" s="1" t="str">
        <x:v>DOT-081</x:v>
      </x:c>
      <x:c r="D1880" s="10" t="str">
        <x:v>Tomato Odyssey</x:v>
      </x:c>
      <x:c r="E1880" s="10" t="n">
        <x:v>15</x:v>
      </x:c>
      <x:c r="F1880" s="21" t="n">
        <x:f>F1752*(1+'Assumptions'!$M$110)</x:f>
        <x:v>5.115832724594099</x:v>
      </x:c>
      <x:c r="G1880" s="21" t="n">
        <x:f>H1752*'Assumptions'!$K$110</x:f>
        <x:v>2.633143401317863</x:v>
      </x:c>
      <x:c r="H1880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1880+G1880,NA())</x:f>
        <x:v>7.748976125911962</x:v>
      </x:c>
      <x:c r="I1880" s="22" t="n">
        <x:f>'Assumptions'!$H$110*IF('Assumptions'!$O$110=1,1,'Assumptions'!$D$10)*(1+'Assumptions'!$N$110)^(15-1)</x:f>
        <x:v>1319.4787630628723</x:v>
      </x:c>
      <x:c r="J1880" s="10" t="n">
        <x:f>H1880*I1880</x:f>
        <x:v>10224.609433622043</x:v>
      </x:c>
      <x:c r="K1880" s="10" t="n">
        <x:f>J1880*'Assumptions'!$T$110</x:f>
        <x:v>10224.609433622043</x:v>
      </x:c>
      <x:c r="L1880" s="10" t="n">
        <x:f>K1880*'Assumptions'!$U$110</x:f>
        <x:v>306.73828300866126</x:v>
      </x:c>
      <x:c r="M1880" s="10" t="n">
        <x:f>K1880*'Assumptions'!$V$110</x:f>
        <x:v>0</x:v>
      </x:c>
      <x:c r="N1880" s="10" t="n">
        <x:f>K1880-L1880-M1880</x:f>
        <x:v>9917.871150613382</x:v>
      </x:c>
      <x:c r="O1880" s="10" t="n">
        <x:f>H1880*'Assumptions'!$P$110*'Assumptions'!$Q$110*'Assumptions'!$D$11*(1+'Assumptions'!$D$13)^(15-1)</x:f>
        <x:v>3750.7269331846414</x:v>
      </x:c>
      <x:c r="P1880" s="10" t="n">
        <x:f>H1880*'Assumptions'!$R$110*'Assumptions'!$D$11*(1+'Assumptions'!$D$13)^(15-1)</x:f>
        <x:v>1172.1021666202005</x:v>
      </x:c>
      <x:c r="Q1880" s="10" t="n">
        <x:f>J1880*'Assumptions'!$S$110</x:f>
        <x:v>0</x:v>
      </x:c>
      <x:c r="R1880" s="10" t="n">
        <x:f>H1880*'Assumptions'!$Y$110*'Assumptions'!$Z$110*'Assumptions'!$D$11*(1+'Assumptions'!$D$13)^(15-1)</x:f>
        <x:v>175.81532499303006</x:v>
      </x:c>
      <x:c r="S1880" s="10" t="n">
        <x:f>IF(I1880=0,0,J1880*'Assumptions'!$W$110+H1880*'Assumptions'!$X$110)</x:f>
        <x:v>298.83836641281283</x:v>
      </x:c>
      <x:c r="T1880" s="10" t="n">
        <x:f>N1880*'Assumptions'!$AA$110</x:f>
        <x:v>793.4296920490706</x:v>
      </x:c>
      <x:c r="U1880" s="10" t="n">
        <x:f>'Assumptions'!$AE$110*'Assumptions'!$D$11*(1+'Assumptions'!$D$13)^(15-1)</x:f>
        <x:v>0</x:v>
      </x:c>
      <x:c r="V1880" s="10" t="n">
        <x:f>0</x:f>
        <x:v>0</x:v>
      </x:c>
      <x:c r="W1880" s="10" t="n">
        <x:f>H1880*('Assumptions'!$P$110+'Assumptions'!$Y$110)</x:f>
        <x:v>65.86629707025168</x:v>
      </x:c>
      <x:c r="X1880" s="10" t="n">
        <x:f>N1880/12*'Assumptions'!$AF$110</x:f>
        <x:v>826.4892625511152</x:v>
      </x:c>
      <x:c r="Y1880" s="10" t="n">
        <x:f>P1880/12</x:f>
        <x:v>97.67518055168337</x:v>
      </x:c>
      <x:c r="Z1880" s="10" t="n">
        <x:f>0</x:f>
        <x:v>0</x:v>
      </x:c>
      <x:c r="AA1880" s="10" t="n">
        <x:f>Z1880*'Assumptions'!$AC$110*'Assumptions'!$D$11*(1+'Assumptions'!$D$13)^(15-1)</x:f>
        <x:v>0</x:v>
      </x:c>
      <x:c r="AB1880" s="10" t="n">
        <x:f>F1880/1</x:f>
        <x:v>5.115832724594099</x:v>
      </x:c>
      <x:c r="AC1880" s="10" t="n">
        <x:f>AB1880/'Assumptions'!$AM$110</x:f>
        <x:v>51.15832724594098</x:v>
      </x:c>
      <x:c r="AD1880" s="10" t="n">
        <x:f>IF(AB1880=0,0,T1880/AB1880)</x:f>
        <x:v>155.09297015023552</x:v>
      </x:c>
      <x:c r="AE1880" s="10" t="n">
        <x:f>AA1880*'Assumptions'!$D$21</x:f>
        <x:v>0</x:v>
      </x:c>
    </x:row>
    <x:row r="1881" ht="16" customHeight="1">
      <x:c r="A1881" s="1"/>
      <x:c r="B1881" s="1"/>
      <x:c r="C1881" s="1" t="str">
        <x:v>DOT-082</x:v>
      </x:c>
      <x:c r="D1881" s="10" t="str">
        <x:v>Semajes Studio</x:v>
      </x:c>
      <x:c r="E1881" s="10" t="n">
        <x:v>15</x:v>
      </x:c>
      <x:c r="F1881" s="21" t="n">
        <x:f>F1753*(1+'Assumptions'!$M$111)</x:f>
        <x:v>35.41730347795912</x:v>
      </x:c>
      <x:c r="G1881" s="21" t="n">
        <x:f>H1753*'Assumptions'!$K$111</x:f>
        <x:v>33.409351646733256</x:v>
      </x:c>
      <x:c r="H1881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1881+G1881,NA())</x:f>
        <x:v>68.82665512469238</x:v>
      </x:c>
      <x:c r="I1881" s="22" t="n">
        <x:f>'Assumptions'!$H$111*IF('Assumptions'!$O$111=1,1,'Assumptions'!$D$10)*(1+'Assumptions'!$N$111)^(15-1)</x:f>
        <x:v>725.7133196845798</x:v>
      </x:c>
      <x:c r="J1881" s="10" t="n">
        <x:f>H1881*I1881</x:f>
        <x:v>49948.420373326204</x:v>
      </x:c>
      <x:c r="K1881" s="10" t="n">
        <x:f>J1881*'Assumptions'!$T$111</x:f>
        <x:v>49948.420373326204</x:v>
      </x:c>
      <x:c r="L1881" s="10" t="n">
        <x:f>K1881*'Assumptions'!$U$111</x:f>
        <x:v>1498.4526111997861</x:v>
      </x:c>
      <x:c r="M1881" s="10" t="n">
        <x:f>K1881*'Assumptions'!$V$111</x:f>
        <x:v>0</x:v>
      </x:c>
      <x:c r="N1881" s="10" t="n">
        <x:f>K1881-L1881-M1881</x:f>
        <x:v>48449.96776212642</x:v>
      </x:c>
      <x:c r="O1881" s="10" t="n">
        <x:f>H1881*'Assumptions'!$P$111*'Assumptions'!$Q$111*'Assumptions'!$D$11*(1+'Assumptions'!$D$13)^(15-1)</x:f>
        <x:v>31231.947401326837</x:v>
      </x:c>
      <x:c r="P1881" s="10" t="n">
        <x:f>H1881*'Assumptions'!$R$111*'Assumptions'!$D$11*(1+'Assumptions'!$D$13)^(15-1)</x:f>
        <x:v>8328.51930702049</x:v>
      </x:c>
      <x:c r="Q1881" s="10" t="n">
        <x:f>J1881*'Assumptions'!$S$111</x:f>
        <x:v>0</x:v>
      </x:c>
      <x:c r="R1881" s="10" t="n">
        <x:f>H1881*'Assumptions'!$Y$111*'Assumptions'!$Z$111*'Assumptions'!$D$11*(1+'Assumptions'!$D$13)^(15-1)</x:f>
        <x:v>780.7986850331708</x:v>
      </x:c>
      <x:c r="S1881" s="10" t="n">
        <x:f>IF(I1881=0,0,J1881*'Assumptions'!$W$111+H1881*'Assumptions'!$X$111)</x:f>
        <x:v>1469.1521873638676</x:v>
      </x:c>
      <x:c r="T1881" s="10" t="n">
        <x:f>N1881*'Assumptions'!$AA$111</x:f>
        <x:v>1937.9987104850568</x:v>
      </x:c>
      <x:c r="U1881" s="10" t="n">
        <x:f>'Assumptions'!$AE$111*'Assumptions'!$D$11*(1+'Assumptions'!$D$13)^(15-1)</x:f>
        <x:v>0</x:v>
      </x:c>
      <x:c r="V1881" s="10" t="n">
        <x:f>0</x:f>
        <x:v>0</x:v>
      </x:c>
      <x:c r="W1881" s="10" t="n">
        <x:f>H1881*('Assumptions'!$P$111+'Assumptions'!$Y$111)</x:f>
        <x:v>430.16659452932737</x:v>
      </x:c>
      <x:c r="X1881" s="10" t="n">
        <x:f>N1881/12*'Assumptions'!$AF$111</x:f>
        <x:v>4037.497313510535</x:v>
      </x:c>
      <x:c r="Y1881" s="10" t="n">
        <x:f>P1881/12</x:f>
        <x:v>694.0432755850408</x:v>
      </x:c>
      <x:c r="Z1881" s="10" t="n">
        <x:f>0</x:f>
        <x:v>0</x:v>
      </x:c>
      <x:c r="AA1881" s="10" t="n">
        <x:f>Z1881*'Assumptions'!$AC$111*'Assumptions'!$D$11*(1+'Assumptions'!$D$13)^(15-1)</x:f>
        <x:v>0</x:v>
      </x:c>
      <x:c r="AB1881" s="10" t="n">
        <x:f>F1881/1</x:f>
        <x:v>35.41730347795912</x:v>
      </x:c>
      <x:c r="AC1881" s="10" t="n">
        <x:f>AB1881/'Assumptions'!$AM$111</x:f>
        <x:v>177.0865173897956</x:v>
      </x:c>
      <x:c r="AD1881" s="10" t="n">
        <x:f>IF(AB1881=0,0,T1881/AB1881)</x:f>
        <x:v>54.7189797125891</x:v>
      </x:c>
      <x:c r="AE1881" s="10" t="n">
        <x:f>AA1881*'Assumptions'!$D$21</x:f>
        <x:v>0</x:v>
      </x:c>
    </x:row>
    <x:row r="1882" ht="16" customHeight="1">
      <x:c r="A1882" s="1"/>
      <x:c r="B1882" s="1"/>
      <x:c r="C1882" s="1" t="str">
        <x:v>DOT-083</x:v>
      </x:c>
      <x:c r="D1882" s="10" t="str">
        <x:v>Semajes Studio</x:v>
      </x:c>
      <x:c r="E1882" s="10" t="n">
        <x:v>15</x:v>
      </x:c>
      <x:c r="F1882" s="21" t="n">
        <x:f>F1754*(1+'Assumptions'!$M$112)</x:f>
        <x:v>17.70865173897956</x:v>
      </x:c>
      <x:c r="G1882" s="21" t="n">
        <x:f>H1754*'Assumptions'!$K$112</x:f>
        <x:v>16.704675823366628</x:v>
      </x:c>
      <x:c r="H1882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1882+G1882,NA())</x:f>
        <x:v>34.41332756234619</x:v>
      </x:c>
      <x:c r="I1882" s="22" t="n">
        <x:f>'Assumptions'!$H$112*IF('Assumptions'!$O$112=1,1,'Assumptions'!$D$10)*(1+'Assumptions'!$N$112)^(15-1)</x:f>
        <x:v>1583.374515675447</x:v>
      </x:c>
      <x:c r="J1882" s="10" t="n">
        <x:f>H1882*I1882</x:f>
        <x:v>54489.18586181041</x:v>
      </x:c>
      <x:c r="K1882" s="10" t="n">
        <x:f>J1882*'Assumptions'!$T$112</x:f>
        <x:v>54489.18586181041</x:v>
      </x:c>
      <x:c r="L1882" s="10" t="n">
        <x:f>K1882*'Assumptions'!$U$112</x:f>
        <x:v>1634.6755758543122</x:v>
      </x:c>
      <x:c r="M1882" s="10" t="n">
        <x:f>K1882*'Assumptions'!$V$112</x:f>
        <x:v>0</x:v>
      </x:c>
      <x:c r="N1882" s="10" t="n">
        <x:f>K1882-L1882-M1882</x:f>
        <x:v>52854.510285956094</x:v>
      </x:c>
      <x:c r="O1882" s="10" t="n">
        <x:f>H1882*'Assumptions'!$P$112*'Assumptions'!$Q$112*'Assumptions'!$D$11*(1+'Assumptions'!$D$13)^(15-1)</x:f>
        <x:v>26026.62283443903</x:v>
      </x:c>
      <x:c r="P1882" s="10" t="n">
        <x:f>H1882*'Assumptions'!$R$112*'Assumptions'!$D$11*(1+'Assumptions'!$D$13)^(15-1)</x:f>
        <x:v>7807.986850331709</x:v>
      </x:c>
      <x:c r="Q1882" s="10" t="n">
        <x:f>J1882*'Assumptions'!$S$112</x:f>
        <x:v>0</x:v>
      </x:c>
      <x:c r="R1882" s="10" t="n">
        <x:f>H1882*'Assumptions'!$Y$112*'Assumptions'!$Z$112*'Assumptions'!$D$11*(1+'Assumptions'!$D$13)^(15-1)</x:f>
        <x:v>390.3993425165854</x:v>
      </x:c>
      <x:c r="S1882" s="10" t="n">
        <x:f>IF(I1882=0,0,J1882*'Assumptions'!$W$112+H1882*'Assumptions'!$X$112)</x:f>
        <x:v>1590.510388261206</x:v>
      </x:c>
      <x:c r="T1882" s="10" t="n">
        <x:f>N1882*'Assumptions'!$AA$112</x:f>
        <x:v>2114.180411438244</x:v>
      </x:c>
      <x:c r="U1882" s="10" t="n">
        <x:f>'Assumptions'!$AE$112*'Assumptions'!$D$11*(1+'Assumptions'!$D$13)^(15-1)</x:f>
        <x:v>0</x:v>
      </x:c>
      <x:c r="V1882" s="10" t="n">
        <x:f>0</x:f>
        <x:v>0</x:v>
      </x:c>
      <x:c r="W1882" s="10" t="n">
        <x:f>H1882*('Assumptions'!$P$112+'Assumptions'!$Y$112)</x:f>
        <x:v>352.73660751404844</x:v>
      </x:c>
      <x:c r="X1882" s="10" t="n">
        <x:f>N1882/12*'Assumptions'!$AF$112</x:f>
        <x:v>4404.542523829675</x:v>
      </x:c>
      <x:c r="Y1882" s="10" t="n">
        <x:f>P1882/12</x:f>
        <x:v>650.6655708609758</x:v>
      </x:c>
      <x:c r="Z1882" s="10" t="n">
        <x:f>0</x:f>
        <x:v>0</x:v>
      </x:c>
      <x:c r="AA1882" s="10" t="n">
        <x:f>Z1882*'Assumptions'!$AC$112*'Assumptions'!$D$11*(1+'Assumptions'!$D$13)^(15-1)</x:f>
        <x:v>0</x:v>
      </x:c>
      <x:c r="AB1882" s="10" t="n">
        <x:f>F1882/1</x:f>
        <x:v>17.70865173897956</x:v>
      </x:c>
      <x:c r="AC1882" s="10" t="n">
        <x:f>AB1882/'Assumptions'!$AM$112</x:f>
        <x:v>88.5432586948978</x:v>
      </x:c>
      <x:c r="AD1882" s="10" t="n">
        <x:f>IF(AB1882=0,0,T1882/AB1882)</x:f>
        <x:v>119.38686482746715</x:v>
      </x:c>
      <x:c r="AE1882" s="10" t="n">
        <x:f>AA1882*'Assumptions'!$D$21</x:f>
        <x:v>0</x:v>
      </x:c>
    </x:row>
    <x:row r="1883" ht="16" customHeight="1">
      <x:c r="A1883" s="1"/>
      <x:c r="B1883" s="1"/>
      <x:c r="C1883" s="1" t="str">
        <x:v>DOT-084</x:v>
      </x:c>
      <x:c r="D1883" s="10" t="str">
        <x:v>Semajes Studio</x:v>
      </x:c>
      <x:c r="E1883" s="10" t="n">
        <x:v>15</x:v>
      </x:c>
      <x:c r="F1883" s="21" t="n">
        <x:f>F1755*(1+'Assumptions'!$M$113)</x:f>
        <x:v>118.05767825986379</x:v>
      </x:c>
      <x:c r="G1883" s="21" t="n">
        <x:f>H1755*'Assumptions'!$K$113</x:f>
        <x:v>111.36450548911088</x:v>
      </x:c>
      <x:c r="H1883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1883+G1883,NA())</x:f>
        <x:v>229.42218374897467</x:v>
      </x:c>
      <x:c r="I1883" s="22" t="n">
        <x:f>'Assumptions'!$H$113*IF('Assumptions'!$O$113=1,1,'Assumptions'!$D$10)*(1+'Assumptions'!$N$113)^(15-1)</x:f>
        <x:v>46.181756707200535</x:v>
      </x:c>
      <x:c r="J1883" s="10" t="n">
        <x:f>H1883*I1883</x:f>
        <x:v>10595.119473129806</x:v>
      </x:c>
      <x:c r="K1883" s="10" t="n">
        <x:f>J1883*'Assumptions'!$T$113</x:f>
        <x:v>10595.119473129806</x:v>
      </x:c>
      <x:c r="L1883" s="10" t="n">
        <x:f>K1883*'Assumptions'!$U$113</x:f>
        <x:v>317.85358419389416</x:v>
      </x:c>
      <x:c r="M1883" s="10" t="n">
        <x:f>K1883*'Assumptions'!$V$113</x:f>
        <x:v>0</x:v>
      </x:c>
      <x:c r="N1883" s="10" t="n">
        <x:f>K1883-L1883-M1883</x:f>
        <x:v>10277.265888935912</x:v>
      </x:c>
      <x:c r="O1883" s="10" t="n">
        <x:f>H1883*'Assumptions'!$P$113*'Assumptions'!$Q$113*'Assumptions'!$D$11*(1+'Assumptions'!$D$13)^(15-1)</x:f>
        <x:v>1735.1081889626028</x:v>
      </x:c>
      <x:c r="P1883" s="10" t="n">
        <x:f>H1883*'Assumptions'!$R$113*'Assumptions'!$D$11*(1+'Assumptions'!$D$13)^(15-1)</x:f>
        <x:v>0</x:v>
      </x:c>
      <x:c r="Q1883" s="10" t="n">
        <x:f>J1883*'Assumptions'!$S$113</x:f>
        <x:v>0</x:v>
      </x:c>
      <x:c r="R1883" s="10" t="n">
        <x:f>H1883*'Assumptions'!$Y$113*'Assumptions'!$Z$113*'Assumptions'!$D$11*(1+'Assumptions'!$D$13)^(15-1)</x:f>
        <x:v>2602.662283443904</x:v>
      </x:c>
      <x:c r="S1883" s="10" t="n">
        <x:f>IF(I1883=0,0,J1883*'Assumptions'!$W$113+H1883*'Assumptions'!$X$113)</x:f>
        <x:v>376.0851198454568</x:v>
      </x:c>
      <x:c r="T1883" s="10" t="n">
        <x:f>N1883*'Assumptions'!$AA$113</x:f>
        <x:v>411.0906355574365</x:v>
      </x:c>
      <x:c r="U1883" s="10" t="n">
        <x:f>'Assumptions'!$AE$113*'Assumptions'!$D$11*(1+'Assumptions'!$D$13)^(15-1)</x:f>
        <x:v>0</x:v>
      </x:c>
      <x:c r="V1883" s="10" t="n">
        <x:f>0</x:f>
        <x:v>0</x:v>
      </x:c>
      <x:c r="W1883" s="10" t="n">
        <x:f>H1883*('Assumptions'!$P$113+'Assumptions'!$Y$113)</x:f>
        <x:v>80.29776431214113</x:v>
      </x:c>
      <x:c r="X1883" s="10" t="n">
        <x:f>N1883/12*'Assumptions'!$AF$113</x:f>
        <x:v>856.4388240779926</x:v>
      </x:c>
      <x:c r="Y1883" s="10" t="n">
        <x:f>P1883/12</x:f>
        <x:v>0</x:v>
      </x:c>
      <x:c r="Z1883" s="10" t="n">
        <x:f>0</x:f>
        <x:v>0</x:v>
      </x:c>
      <x:c r="AA1883" s="10" t="n">
        <x:f>Z1883*'Assumptions'!$AC$113*'Assumptions'!$D$11*(1+'Assumptions'!$D$13)^(15-1)</x:f>
        <x:v>0</x:v>
      </x:c>
      <x:c r="AB1883" s="10" t="n">
        <x:f>F1883/1</x:f>
        <x:v>118.05767825986379</x:v>
      </x:c>
      <x:c r="AC1883" s="10" t="n">
        <x:f>AB1883/'Assumptions'!$AM$113</x:f>
        <x:v>590.288391299319</x:v>
      </x:c>
      <x:c r="AD1883" s="10" t="n">
        <x:f>IF(AB1883=0,0,T1883/AB1883)</x:f>
        <x:v>3.482116890801125</x:v>
      </x:c>
      <x:c r="AE1883" s="10" t="n">
        <x:f>AA1883*'Assumptions'!$D$21</x:f>
        <x:v>0</x:v>
      </x:c>
    </x:row>
    <x:row r="1884" ht="16" customHeight="1">
      <x:c r="A1884" s="1"/>
      <x:c r="B1884" s="1"/>
      <x:c r="C1884" s="1" t="str">
        <x:v>DOT-085</x:v>
      </x:c>
      <x:c r="D1884" s="10" t="str">
        <x:v>Semajes Studio</x:v>
      </x:c>
      <x:c r="E1884" s="10" t="n">
        <x:v>15</x:v>
      </x:c>
      <x:c r="F1884" s="21" t="n">
        <x:f>F1756*(1+'Assumptions'!$M$114)</x:f>
        <x:v>35.41730347795912</x:v>
      </x:c>
      <x:c r="G1884" s="21" t="n">
        <x:f>H1756*'Assumptions'!$K$114</x:f>
        <x:v>33.409351646733256</x:v>
      </x:c>
      <x:c r="H1884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1884+G1884,NA())</x:f>
        <x:v>68.82665512469238</x:v>
      </x:c>
      <x:c r="I1884" s="22" t="n">
        <x:f>'Assumptions'!$H$114*IF('Assumptions'!$O$114=1,1,'Assumptions'!$D$10)*(1+'Assumptions'!$N$114)^(15-1)</x:f>
        <x:v>197.92181445943086</x:v>
      </x:c>
      <x:c r="J1884" s="10" t="n">
        <x:f>H1884*I1884</x:f>
        <x:v>13622.296465452602</x:v>
      </x:c>
      <x:c r="K1884" s="10" t="n">
        <x:f>J1884*'Assumptions'!$T$114</x:f>
        <x:v>13622.296465452602</x:v>
      </x:c>
      <x:c r="L1884" s="10" t="n">
        <x:f>K1884*'Assumptions'!$U$114</x:f>
        <x:v>408.66889396357806</x:v>
      </x:c>
      <x:c r="M1884" s="10" t="n">
        <x:f>K1884*'Assumptions'!$V$114</x:f>
        <x:v>0</x:v>
      </x:c>
      <x:c r="N1884" s="10" t="n">
        <x:f>K1884-L1884-M1884</x:f>
        <x:v>13213.627571489023</x:v>
      </x:c>
      <x:c r="O1884" s="10" t="n">
        <x:f>H1884*'Assumptions'!$P$114*'Assumptions'!$Q$114*'Assumptions'!$D$11*(1+'Assumptions'!$D$13)^(15-1)</x:f>
        <x:v>1301.3311417219516</x:v>
      </x:c>
      <x:c r="P1884" s="10" t="n">
        <x:f>H1884*'Assumptions'!$R$114*'Assumptions'!$D$11*(1+'Assumptions'!$D$13)^(15-1)</x:f>
        <x:v>0</x:v>
      </x:c>
      <x:c r="Q1884" s="10" t="n">
        <x:f>J1884*'Assumptions'!$S$114</x:f>
        <x:v>0</x:v>
      </x:c>
      <x:c r="R1884" s="10" t="n">
        <x:f>H1884*'Assumptions'!$Y$114*'Assumptions'!$Z$114*'Assumptions'!$D$11*(1+'Assumptions'!$D$13)^(15-1)</x:f>
        <x:v>780.7986850331708</x:v>
      </x:c>
      <x:c r="S1884" s="10" t="n">
        <x:f>IF(I1884=0,0,J1884*'Assumptions'!$W$114+H1884*'Assumptions'!$X$114)</x:f>
        <x:v>415.6945940355332</x:v>
      </x:c>
      <x:c r="T1884" s="10" t="n">
        <x:f>N1884*'Assumptions'!$AA$114</x:f>
        <x:v>528.545102859561</x:v>
      </x:c>
      <x:c r="U1884" s="10" t="n">
        <x:f>'Assumptions'!$AE$114*'Assumptions'!$D$11*(1+'Assumptions'!$D$13)^(15-1)</x:f>
        <x:v>0</x:v>
      </x:c>
      <x:c r="V1884" s="10" t="n">
        <x:f>0</x:f>
        <x:v>0</x:v>
      </x:c>
      <x:c r="W1884" s="10" t="n">
        <x:f>H1884*('Assumptions'!$P$114+'Assumptions'!$Y$114)</x:f>
        <x:v>34.41332756234619</x:v>
      </x:c>
      <x:c r="X1884" s="10" t="n">
        <x:f>N1884/12*'Assumptions'!$AF$114</x:f>
        <x:v>1101.1356309574187</x:v>
      </x:c>
      <x:c r="Y1884" s="10" t="n">
        <x:f>P1884/12</x:f>
        <x:v>0</x:v>
      </x:c>
      <x:c r="Z1884" s="10" t="n">
        <x:f>0</x:f>
        <x:v>0</x:v>
      </x:c>
      <x:c r="AA1884" s="10" t="n">
        <x:f>Z1884*'Assumptions'!$AC$114*'Assumptions'!$D$11*(1+'Assumptions'!$D$13)^(15-1)</x:f>
        <x:v>0</x:v>
      </x:c>
      <x:c r="AB1884" s="10" t="n">
        <x:f>F1884/1</x:f>
        <x:v>35.41730347795912</x:v>
      </x:c>
      <x:c r="AC1884" s="10" t="n">
        <x:f>AB1884/'Assumptions'!$AM$114</x:f>
        <x:v>177.0865173897956</x:v>
      </x:c>
      <x:c r="AD1884" s="10" t="n">
        <x:f>IF(AB1884=0,0,T1884/AB1884)</x:f>
        <x:v>14.923358103433394</x:v>
      </x:c>
      <x:c r="AE1884" s="10" t="n">
        <x:f>AA1884*'Assumptions'!$D$21</x:f>
        <x:v>0</x:v>
      </x:c>
    </x:row>
    <x:row r="1885" ht="16" customHeight="1">
      <x:c r="A1885" s="1"/>
      <x:c r="B1885" s="1"/>
      <x:c r="C1885" s="1" t="str">
        <x:v>DOT-086</x:v>
      </x:c>
      <x:c r="D1885" s="10" t="str">
        <x:v>Semajes Studio</x:v>
      </x:c>
      <x:c r="E1885" s="10" t="n">
        <x:v>15</x:v>
      </x:c>
      <x:c r="F1885" s="21" t="n">
        <x:f>F1757*(1+'Assumptions'!$M$115)</x:f>
        <x:v>17.70865173897956</x:v>
      </x:c>
      <x:c r="G1885" s="21" t="n">
        <x:f>H1757*'Assumptions'!$K$115</x:f>
        <x:v>16.704675823366628</x:v>
      </x:c>
      <x:c r="H1885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1885+G1885,NA())</x:f>
        <x:v>34.41332756234619</x:v>
      </x:c>
      <x:c r="I1885" s="22" t="n">
        <x:f>'Assumptions'!$H$115*IF('Assumptions'!$O$115=1,1,'Assumptions'!$D$10)*(1+'Assumptions'!$N$115)^(15-1)</x:f>
        <x:v>659.7393815314362</x:v>
      </x:c>
      <x:c r="J1885" s="10" t="n">
        <x:f>H1885*I1885</x:f>
        <x:v>22703.827442421</x:v>
      </x:c>
      <x:c r="K1885" s="10" t="n">
        <x:f>J1885*'Assumptions'!$T$115</x:f>
        <x:v>22703.827442421</x:v>
      </x:c>
      <x:c r="L1885" s="10" t="n">
        <x:f>K1885*'Assumptions'!$U$115</x:f>
        <x:v>681.1148232726299</x:v>
      </x:c>
      <x:c r="M1885" s="10" t="n">
        <x:f>K1885*'Assumptions'!$V$115</x:f>
        <x:v>0</x:v>
      </x:c>
      <x:c r="N1885" s="10" t="n">
        <x:f>K1885-L1885-M1885</x:f>
        <x:v>22022.71261914837</x:v>
      </x:c>
      <x:c r="O1885" s="10" t="n">
        <x:f>H1885*'Assumptions'!$P$115*'Assumptions'!$Q$115*'Assumptions'!$D$11*(1+'Assumptions'!$D$13)^(15-1)</x:f>
        <x:v>2602.662283443903</x:v>
      </x:c>
      <x:c r="P1885" s="10" t="n">
        <x:f>H1885*'Assumptions'!$R$115*'Assumptions'!$D$11*(1+'Assumptions'!$D$13)^(15-1)</x:f>
        <x:v>0</x:v>
      </x:c>
      <x:c r="Q1885" s="10" t="n">
        <x:f>J1885*'Assumptions'!$S$115</x:f>
        <x:v>0</x:v>
      </x:c>
      <x:c r="R1885" s="10" t="n">
        <x:f>H1885*'Assumptions'!$Y$115*'Assumptions'!$Z$115*'Assumptions'!$D$11*(1+'Assumptions'!$D$13)^(15-1)</x:f>
        <x:v>390.3993425165854</x:v>
      </x:c>
      <x:c r="S1885" s="10" t="n">
        <x:f>IF(I1885=0,0,J1885*'Assumptions'!$W$115+H1885*'Assumptions'!$X$115)</x:f>
        <x:v>668.7349940989128</x:v>
      </x:c>
      <x:c r="T1885" s="10" t="n">
        <x:f>N1885*'Assumptions'!$AA$115</x:f>
        <x:v>880.9085047659348</x:v>
      </x:c>
      <x:c r="U1885" s="10" t="n">
        <x:f>'Assumptions'!$AE$115*'Assumptions'!$D$11*(1+'Assumptions'!$D$13)^(15-1)</x:f>
        <x:v>0</x:v>
      </x:c>
      <x:c r="V1885" s="10" t="n">
        <x:f>0</x:f>
        <x:v>0</x:v>
      </x:c>
      <x:c r="W1885" s="10" t="n">
        <x:f>H1885*('Assumptions'!$P$115+'Assumptions'!$Y$115)</x:f>
        <x:v>43.016659452932736</x:v>
      </x:c>
      <x:c r="X1885" s="10" t="n">
        <x:f>N1885/12*'Assumptions'!$AF$115</x:f>
        <x:v>1835.2260515956975</x:v>
      </x:c>
      <x:c r="Y1885" s="10" t="n">
        <x:f>P1885/12</x:f>
        <x:v>0</x:v>
      </x:c>
      <x:c r="Z1885" s="10" t="n">
        <x:f>0</x:f>
        <x:v>0</x:v>
      </x:c>
      <x:c r="AA1885" s="10" t="n">
        <x:f>Z1885*'Assumptions'!$AC$115*'Assumptions'!$D$11*(1+'Assumptions'!$D$13)^(15-1)</x:f>
        <x:v>0</x:v>
      </x:c>
      <x:c r="AB1885" s="10" t="n">
        <x:f>F1885/1</x:f>
        <x:v>17.70865173897956</x:v>
      </x:c>
      <x:c r="AC1885" s="10" t="n">
        <x:f>AB1885/'Assumptions'!$AM$115</x:f>
        <x:v>88.5432586948978</x:v>
      </x:c>
      <x:c r="AD1885" s="10" t="n">
        <x:f>IF(AB1885=0,0,T1885/AB1885)</x:f>
        <x:v>49.74452701144464</x:v>
      </x:c>
      <x:c r="AE1885" s="10" t="n">
        <x:f>AA1885*'Assumptions'!$D$21</x:f>
        <x:v>0</x:v>
      </x:c>
    </x:row>
    <x:row r="1886" ht="16" customHeight="1">
      <x:c r="A1886" s="1"/>
      <x:c r="B1886" s="1"/>
      <x:c r="C1886" s="1" t="str">
        <x:v>DOT-087</x:v>
      </x:c>
      <x:c r="D1886" s="10" t="str">
        <x:v>Semajes Studio</x:v>
      </x:c>
      <x:c r="E1886" s="10" t="n">
        <x:v>15</x:v>
      </x:c>
      <x:c r="F1886" s="21" t="n">
        <x:f>F1758*(1+'Assumptions'!$M$116)</x:f>
        <x:v>177.63298905400282</x:v>
      </x:c>
      <x:c r="G1886" s="21" t="n">
        <x:f>H1758*'Assumptions'!$K$116</x:f>
        <x:v>72.99982212851778</x:v>
      </x:c>
      <x:c r="H1886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1886+G1886,NA())</x:f>
        <x:v>250.63281118252058</x:v>
      </x:c>
      <x:c r="I1886" s="22" t="n">
        <x:f>'Assumptions'!$H$116*IF('Assumptions'!$O$116=1,1,'Assumptions'!$D$10)*(1+'Assumptions'!$N$116)^(15-1)</x:f>
        <x:v>125.35048249097288</x:v>
      </x:c>
      <x:c r="J1886" s="10" t="n">
        <x:f>H1886*I1886</x:f>
        <x:v>31416.943809797856</x:v>
      </x:c>
      <x:c r="K1886" s="10" t="n">
        <x:f>J1886*'Assumptions'!$T$116</x:f>
        <x:v>31416.943809797856</x:v>
      </x:c>
      <x:c r="L1886" s="10" t="n">
        <x:f>K1886*'Assumptions'!$U$116</x:f>
        <x:v>942.5083142939357</x:v>
      </x:c>
      <x:c r="M1886" s="10" t="n">
        <x:f>K1886*'Assumptions'!$V$116</x:f>
        <x:v>628.3388761959571</x:v>
      </x:c>
      <x:c r="N1886" s="10" t="n">
        <x:f>K1886-L1886-M1886</x:f>
        <x:v>29846.096619307962</x:v>
      </x:c>
      <x:c r="O1886" s="10" t="n">
        <x:f>H1886*'Assumptions'!$P$116*'Assumptions'!$Q$116*'Assumptions'!$D$11*(1+'Assumptions'!$D$13)^(15-1)</x:f>
        <x:v>2843.28461179674</x:v>
      </x:c>
      <x:c r="P1886" s="10" t="n">
        <x:f>H1886*'Assumptions'!$R$116*'Assumptions'!$D$11*(1+'Assumptions'!$D$13)^(15-1)</x:f>
        <x:v>13268.66152171812</x:v>
      </x:c>
      <x:c r="Q1886" s="10" t="n">
        <x:f>J1886*'Assumptions'!$S$116</x:f>
        <x:v>0</x:v>
      </x:c>
      <x:c r="R1886" s="10" t="n">
        <x:f>H1886*'Assumptions'!$Y$116*'Assumptions'!$Z$116*'Assumptions'!$D$11*(1+'Assumptions'!$D$13)^(15-1)</x:f>
        <x:v>1705.970767078044</x:v>
      </x:c>
      <x:c r="S1886" s="10" t="n">
        <x:f>IF(I1886=0,0,J1886*'Assumptions'!$W$116+H1886*'Assumptions'!$X$116)</x:f>
        <x:v>986.281213838894</x:v>
      </x:c>
      <x:c r="T1886" s="10" t="n">
        <x:f>N1886*'Assumptions'!$AA$116</x:f>
        <x:v>2387.687729544637</x:v>
      </x:c>
      <x:c r="U1886" s="10" t="n">
        <x:f>'Assumptions'!$AE$116*'Assumptions'!$D$11*(1+'Assumptions'!$D$13)^(15-1)</x:f>
        <x:v>0</x:v>
      </x:c>
      <x:c r="V1886" s="10" t="n">
        <x:f>0</x:f>
        <x:v>0</x:v>
      </x:c>
      <x:c r="W1886" s="10" t="n">
        <x:f>H1886*('Assumptions'!$P$116+'Assumptions'!$Y$116)</x:f>
        <x:v>75.18984335475618</x:v>
      </x:c>
      <x:c r="X1886" s="10" t="n">
        <x:f>N1886/12*'Assumptions'!$AF$116</x:f>
        <x:v>0</x:v>
      </x:c>
      <x:c r="Y1886" s="10" t="n">
        <x:f>P1886/12</x:f>
        <x:v>1105.7217934765101</x:v>
      </x:c>
      <x:c r="Z1886" s="10" t="n">
        <x:f>0</x:f>
        <x:v>0</x:v>
      </x:c>
      <x:c r="AA1886" s="10" t="n">
        <x:f>Z1886*'Assumptions'!$AC$116*'Assumptions'!$D$11*(1+'Assumptions'!$D$13)^(15-1)</x:f>
        <x:v>0</x:v>
      </x:c>
      <x:c r="AB1886" s="10" t="n">
        <x:f>F1886/1</x:f>
        <x:v>177.63298905400282</x:v>
      </x:c>
      <x:c r="AC1886" s="10" t="n">
        <x:f>AB1886/'Assumptions'!$AM$116</x:f>
        <x:v>5921.099635133428</x:v>
      </x:c>
      <x:c r="AD1886" s="10" t="n">
        <x:f>IF(AB1886=0,0,T1886/AB1886)</x:f>
        <x:v>13.441690883323187</x:v>
      </x:c>
      <x:c r="AE1886" s="10" t="n">
        <x:f>AA1886*'Assumptions'!$D$21</x:f>
        <x:v>0</x:v>
      </x:c>
    </x:row>
    <x:row r="1887" ht="16" customHeight="1">
      <x:c r="A1887" s="1"/>
      <x:c r="B1887" s="1"/>
      <x:c r="C1887" s="1" t="str">
        <x:v>DOT-088</x:v>
      </x:c>
      <x:c r="D1887" s="10" t="str">
        <x:v>Semajes Studio</x:v>
      </x:c>
      <x:c r="E1887" s="10" t="n">
        <x:v>15</x:v>
      </x:c>
      <x:c r="F1887" s="21" t="n">
        <x:f>F1759*(1+'Assumptions'!$M$117)</x:f>
        <x:v>88.81649452700141</x:v>
      </x:c>
      <x:c r="G1887" s="21" t="n">
        <x:f>H1759*'Assumptions'!$K$117</x:f>
        <x:v>36.49991106425889</x:v>
      </x:c>
      <x:c r="H1887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1887+G1887,NA())</x:f>
        <x:v>125.31640559126029</x:v>
      </x:c>
      <x:c r="I1887" s="22" t="n">
        <x:f>'Assumptions'!$H$117*IF('Assumptions'!$O$117=1,1,'Assumptions'!$D$10)*(1+'Assumptions'!$N$117)^(15-1)</x:f>
        <x:v>329.8696907657181</x:v>
      </x:c>
      <x:c r="J1887" s="10" t="n">
        <x:f>H1887*I1887</x:f>
        <x:v>41338.08396026034</x:v>
      </x:c>
      <x:c r="K1887" s="10" t="n">
        <x:f>J1887*'Assumptions'!$T$117</x:f>
        <x:v>41338.08396026034</x:v>
      </x:c>
      <x:c r="L1887" s="10" t="n">
        <x:f>K1887*'Assumptions'!$U$117</x:f>
        <x:v>1240.1425188078101</x:v>
      </x:c>
      <x:c r="M1887" s="10" t="n">
        <x:f>K1887*'Assumptions'!$V$117</x:f>
        <x:v>826.7616792052067</x:v>
      </x:c>
      <x:c r="N1887" s="10" t="n">
        <x:f>K1887-L1887-M1887</x:f>
        <x:v>39271.17976224732</x:v>
      </x:c>
      <x:c r="O1887" s="10" t="n">
        <x:f>H1887*'Assumptions'!$P$117*'Assumptions'!$Q$117*'Assumptions'!$D$11*(1+'Assumptions'!$D$13)^(15-1)</x:f>
        <x:v>2369.40384316395</x:v>
      </x:c>
      <x:c r="P1887" s="10" t="n">
        <x:f>H1887*'Assumptions'!$R$117*'Assumptions'!$D$11*(1+'Assumptions'!$D$13)^(15-1)</x:f>
        <x:v>20850.75381984276</x:v>
      </x:c>
      <x:c r="Q1887" s="10" t="n">
        <x:f>J1887*'Assumptions'!$S$117</x:f>
        <x:v>0</x:v>
      </x:c>
      <x:c r="R1887" s="10" t="n">
        <x:f>H1887*'Assumptions'!$Y$117*'Assumptions'!$Z$117*'Assumptions'!$D$11*(1+'Assumptions'!$D$13)^(15-1)</x:f>
        <x:v>852.985383539022</x:v>
      </x:c>
      <x:c r="S1887" s="10" t="n">
        <x:f>IF(I1887=0,0,J1887*'Assumptions'!$W$117+H1887*'Assumptions'!$X$117)</x:f>
        <x:v>1236.399356524928</x:v>
      </x:c>
      <x:c r="T1887" s="10" t="n">
        <x:f>N1887*'Assumptions'!$AA$117</x:f>
        <x:v>3141.6943809797854</x:v>
      </x:c>
      <x:c r="U1887" s="10" t="n">
        <x:f>'Assumptions'!$AE$117*'Assumptions'!$D$11*(1+'Assumptions'!$D$13)^(15-1)</x:f>
        <x:v>0</x:v>
      </x:c>
      <x:c r="V1887" s="10" t="n">
        <x:f>0</x:f>
        <x:v>0</x:v>
      </x:c>
      <x:c r="W1887" s="10" t="n">
        <x:f>H1887*('Assumptions'!$P$117+'Assumptions'!$Y$117)</x:f>
        <x:v>50.12656223650412</x:v>
      </x:c>
      <x:c r="X1887" s="10" t="n">
        <x:f>N1887/12*'Assumptions'!$AF$117</x:f>
        <x:v>0</x:v>
      </x:c>
      <x:c r="Y1887" s="10" t="n">
        <x:f>P1887/12</x:f>
        <x:v>1737.56281832023</x:v>
      </x:c>
      <x:c r="Z1887" s="10" t="n">
        <x:f>0</x:f>
        <x:v>0</x:v>
      </x:c>
      <x:c r="AA1887" s="10" t="n">
        <x:f>Z1887*'Assumptions'!$AC$117*'Assumptions'!$D$11*(1+'Assumptions'!$D$13)^(15-1)</x:f>
        <x:v>0</x:v>
      </x:c>
      <x:c r="AB1887" s="10" t="n">
        <x:f>F1887/1</x:f>
        <x:v>88.81649452700141</x:v>
      </x:c>
      <x:c r="AC1887" s="10" t="n">
        <x:f>AB1887/'Assumptions'!$AM$117</x:f>
        <x:v>2960.549817566714</x:v>
      </x:c>
      <x:c r="AD1887" s="10" t="n">
        <x:f>IF(AB1887=0,0,T1887/AB1887)</x:f>
        <x:v>35.37287074558733</x:v>
      </x:c>
      <x:c r="AE1887" s="10" t="n">
        <x:f>AA1887*'Assumptions'!$D$21</x:f>
        <x:v>0</x:v>
      </x:c>
    </x:row>
    <x:row r="1888" ht="16" customHeight="1">
      <x:c r="A1888" s="1"/>
      <x:c r="B1888" s="1"/>
      <x:c r="C1888" s="1" t="str">
        <x:v>DOT-089</x:v>
      </x:c>
      <x:c r="D1888" s="10" t="str">
        <x:v>Semajes Studio</x:v>
      </x:c>
      <x:c r="E1888" s="10" t="n">
        <x:v>15</x:v>
      </x:c>
      <x:c r="F1888" s="21" t="n">
        <x:f>F1760*(1+'Assumptions'!$M$118)</x:f>
        <x:v>35.52659781080056</x:v>
      </x:c>
      <x:c r="G1888" s="21" t="n">
        <x:f>H1760*'Assumptions'!$K$118</x:f>
        <x:v>14.599964425703549</x:v>
      </x:c>
      <x:c r="H1888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1888+G1888,NA())</x:f>
        <x:v>50.12656223650411</x:v>
      </x:c>
      <x:c r="I1888" s="22" t="n">
        <x:f>'Assumptions'!$H$118*IF('Assumptions'!$O$118=1,1,'Assumptions'!$D$10)*(1+'Assumptions'!$N$118)^(15-1)</x:f>
        <x:v>230.90878353600266</x:v>
      </x:c>
      <x:c r="J1888" s="10" t="n">
        <x:f>H1888*I1888</x:f>
        <x:v>11574.663508872893</x:v>
      </x:c>
      <x:c r="K1888" s="10" t="n">
        <x:f>J1888*'Assumptions'!$T$118</x:f>
        <x:v>11574.663508872893</x:v>
      </x:c>
      <x:c r="L1888" s="10" t="n">
        <x:f>K1888*'Assumptions'!$U$118</x:f>
        <x:v>347.2399052661868</x:v>
      </x:c>
      <x:c r="M1888" s="10" t="n">
        <x:f>K1888*'Assumptions'!$V$118</x:f>
        <x:v>231.49327017745784</x:v>
      </x:c>
      <x:c r="N1888" s="10" t="n">
        <x:f>K1888-L1888-M1888</x:f>
        <x:v>10995.930333429247</x:v>
      </x:c>
      <x:c r="O1888" s="10" t="n">
        <x:f>H1888*'Assumptions'!$P$118*'Assumptions'!$Q$118*'Assumptions'!$D$11*(1+'Assumptions'!$D$13)^(15-1)</x:f>
        <x:v>1895.5230745311596</x:v>
      </x:c>
      <x:c r="P1888" s="10" t="n">
        <x:f>H1888*'Assumptions'!$R$118*'Assumptions'!$D$11*(1+'Assumptions'!$D$13)^(15-1)</x:f>
        <x:v>6823.883068312175</x:v>
      </x:c>
      <x:c r="Q1888" s="10" t="n">
        <x:f>J1888*'Assumptions'!$S$118</x:f>
        <x:v>0</x:v>
      </x:c>
      <x:c r="R1888" s="10" t="n">
        <x:f>H1888*'Assumptions'!$Y$118*'Assumptions'!$Z$118*'Assumptions'!$D$11*(1+'Assumptions'!$D$13)^(15-1)</x:f>
        <x:v>341.19415341560875</x:v>
      </x:c>
      <x:c r="S1888" s="10" t="n">
        <x:f>IF(I1888=0,0,J1888*'Assumptions'!$W$118+H1888*'Assumptions'!$X$118)</x:f>
        <x:v>350.7032104282651</x:v>
      </x:c>
      <x:c r="T1888" s="10" t="n">
        <x:f>N1888*'Assumptions'!$AA$118</x:f>
        <x:v>879.6744266743398</x:v>
      </x:c>
      <x:c r="U1888" s="10" t="n">
        <x:f>'Assumptions'!$AE$118*'Assumptions'!$D$11*(1+'Assumptions'!$D$13)^(15-1)</x:f>
        <x:v>0</x:v>
      </x:c>
      <x:c r="V1888" s="10" t="n">
        <x:f>0</x:f>
        <x:v>0</x:v>
      </x:c>
      <x:c r="W1888" s="10" t="n">
        <x:f>H1888*('Assumptions'!$P$118+'Assumptions'!$Y$118)</x:f>
        <x:v>32.58226545372767</x:v>
      </x:c>
      <x:c r="X1888" s="10" t="n">
        <x:f>N1888/12*'Assumptions'!$AF$118</x:f>
        <x:v>0</x:v>
      </x:c>
      <x:c r="Y1888" s="10" t="n">
        <x:f>P1888/12</x:f>
        <x:v>568.656922359348</x:v>
      </x:c>
      <x:c r="Z1888" s="10" t="n">
        <x:f>0</x:f>
        <x:v>0</x:v>
      </x:c>
      <x:c r="AA1888" s="10" t="n">
        <x:f>Z1888*'Assumptions'!$AC$118*'Assumptions'!$D$11*(1+'Assumptions'!$D$13)^(15-1)</x:f>
        <x:v>0</x:v>
      </x:c>
      <x:c r="AB1888" s="10" t="n">
        <x:f>F1888/1</x:f>
        <x:v>35.52659781080056</x:v>
      </x:c>
      <x:c r="AC1888" s="10" t="n">
        <x:f>AB1888/'Assumptions'!$AM$118</x:f>
        <x:v>1184.2199270266854</x:v>
      </x:c>
      <x:c r="AD1888" s="10" t="n">
        <x:f>IF(AB1888=0,0,T1888/AB1888)</x:f>
        <x:v>24.76100952191113</x:v>
      </x:c>
      <x:c r="AE1888" s="10" t="n">
        <x:f>AA1888*'Assumptions'!$D$21</x:f>
        <x:v>0</x:v>
      </x:c>
    </x:row>
    <x:row r="1889" ht="16" customHeight="1">
      <x:c r="A1889" s="1"/>
      <x:c r="B1889" s="1"/>
      <x:c r="C1889" s="1" t="str">
        <x:v>DOT-090</x:v>
      </x:c>
      <x:c r="D1889" s="10" t="str">
        <x:v>Semajes Marketplace</x:v>
      </x:c>
      <x:c r="E1889" s="10" t="n">
        <x:v>15</x:v>
      </x:c>
      <x:c r="F1889" s="21" t="n">
        <x:f>F1761*(1+'Assumptions'!$M$119)</x:f>
        <x:v>100.322820151487</x:v>
      </x:c>
      <x:c r="G1889" s="21" t="n">
        <x:f>H1761*'Assumptions'!$K$119</x:f>
        <x:v>211.1061354559328</x:v>
      </x:c>
      <x:c r="H1889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1889+G1889,NA())</x:f>
        <x:v>311.42895560741977</x:v>
      </x:c>
      <x:c r="I1889" s="22" t="n">
        <x:f>'Assumptions'!$H$119*IF('Assumptions'!$O$119=1,1,'Assumptions'!$D$10)*(1+'Assumptions'!$N$119)^(15-1)</x:f>
        <x:v>791.6872578377235</x:v>
      </x:c>
      <x:c r="J1889" s="10" t="n">
        <x:f>H1889*I1889</x:f>
        <x:v>246554.33587610428</x:v>
      </x:c>
      <x:c r="K1889" s="10" t="n">
        <x:f>J1889*'Assumptions'!$T$119</x:f>
        <x:v>36983.15038141564</x:v>
      </x:c>
      <x:c r="L1889" s="10" t="n">
        <x:f>K1889*'Assumptions'!$U$119</x:f>
        <x:v>1109.494511442469</x:v>
      </x:c>
      <x:c r="M1889" s="10" t="n">
        <x:f>K1889*'Assumptions'!$V$119</x:f>
        <x:v>0</x:v>
      </x:c>
      <x:c r="N1889" s="10" t="n">
        <x:f>K1889-L1889-M1889</x:f>
        <x:v>35873.65586997317</x:v>
      </x:c>
      <x:c r="O1889" s="10" t="n">
        <x:f>H1889*'Assumptions'!$P$119*'Assumptions'!$Q$119*'Assumptions'!$D$11*(1+'Assumptions'!$D$13)^(15-1)</x:f>
        <x:v>4121.812084898742</x:v>
      </x:c>
      <x:c r="P1889" s="10" t="n">
        <x:f>H1889*'Assumptions'!$R$119*'Assumptions'!$D$11*(1+'Assumptions'!$D$13)^(15-1)</x:f>
        <x:v>0</x:v>
      </x:c>
      <x:c r="Q1889" s="10" t="n">
        <x:f>J1889*'Assumptions'!$S$119</x:f>
        <x:v>0</x:v>
      </x:c>
      <x:c r="R1889" s="10" t="n">
        <x:f>H1889*'Assumptions'!$Y$119*'Assumptions'!$Z$119*'Assumptions'!$D$11*(1+'Assumptions'!$D$13)^(15-1)</x:f>
        <x:v>2119.7890722336388</x:v>
      </x:c>
      <x:c r="S1889" s="10" t="n">
        <x:f>IF(I1889=0,0,J1889*'Assumptions'!$W$119+H1889*'Assumptions'!$X$119)</x:f>
        <x:v>7243.50442708925</x:v>
      </x:c>
      <x:c r="T1889" s="10" t="n">
        <x:f>N1889*'Assumptions'!$AA$119</x:f>
        <x:v>1793.6827934986586</x:v>
      </x:c>
      <x:c r="U1889" s="10" t="n">
        <x:f>'Assumptions'!$AE$119*'Assumptions'!$D$11*(1+'Assumptions'!$D$13)^(15-1)</x:f>
        <x:v>363.02153396522687</x:v>
      </x:c>
      <x:c r="V1889" s="10" t="n">
        <x:f>0</x:f>
        <x:v>0</x:v>
      </x:c>
      <x:c r="W1889" s="10" t="n">
        <x:f>H1889*('Assumptions'!$P$119+'Assumptions'!$Y$119)</x:f>
        <x:v>124.5715822429679</x:v>
      </x:c>
      <x:c r="X1889" s="10" t="n">
        <x:f>N1889/12*'Assumptions'!$AF$119</x:f>
        <x:v>0</x:v>
      </x:c>
      <x:c r="Y1889" s="10" t="n">
        <x:f>P1889/12</x:f>
        <x:v>0</x:v>
      </x:c>
      <x:c r="Z1889" s="10" t="n">
        <x:f>0</x:f>
        <x:v>0</x:v>
      </x:c>
      <x:c r="AA1889" s="10" t="n">
        <x:f>Z1889*'Assumptions'!$AC$119*'Assumptions'!$D$11*(1+'Assumptions'!$D$13)^(15-1)</x:f>
        <x:v>0</x:v>
      </x:c>
      <x:c r="AB1889" s="10" t="n">
        <x:f>F1889/1</x:f>
        <x:v>100.322820151487</x:v>
      </x:c>
      <x:c r="AC1889" s="10" t="n">
        <x:f>AB1889/'Assumptions'!$AM$119</x:f>
        <x:v>2006.4564030297397</x:v>
      </x:c>
      <x:c r="AD1889" s="10" t="n">
        <x:f>IF(AB1889=0,0,T1889/AB1889)</x:f>
        <x:v>17.879110563181996</x:v>
      </x:c>
      <x:c r="AE1889" s="10" t="n">
        <x:f>AA1889*'Assumptions'!$D$21</x:f>
        <x:v>0</x:v>
      </x:c>
    </x:row>
    <x:row r="1890" ht="16" customHeight="1">
      <x:c r="A1890" s="1"/>
      <x:c r="B1890" s="1"/>
      <x:c r="C1890" s="1" t="str">
        <x:v>DOT-091</x:v>
      </x:c>
      <x:c r="D1890" s="10" t="str">
        <x:v>Semajes Marketplace</x:v>
      </x:c>
      <x:c r="E1890" s="10" t="n">
        <x:v>15</x:v>
      </x:c>
      <x:c r="F1890" s="21" t="n">
        <x:f>F1762*(1+'Assumptions'!$M$120)</x:f>
        <x:v>200.645640302974</x:v>
      </x:c>
      <x:c r="G1890" s="21" t="n">
        <x:f>H1762*'Assumptions'!$K$120</x:f>
        <x:v>422.2122709118656</x:v>
      </x:c>
      <x:c r="H1890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1890+G1890,NA())</x:f>
        <x:v>622.8579112148395</x:v>
      </x:c>
      <x:c r="I1890" s="22" t="n">
        <x:f>'Assumptions'!$H$120*IF('Assumptions'!$O$120=1,1,'Assumptions'!$D$10)*(1+'Assumptions'!$N$120)^(15-1)</x:f>
        <x:v>98.96090722971543</x:v>
      </x:c>
      <x:c r="J1890" s="10" t="n">
        <x:f>H1890*I1890</x:f>
        <x:v>61638.58396902607</x:v>
      </x:c>
      <x:c r="K1890" s="10" t="n">
        <x:f>J1890*'Assumptions'!$T$120</x:f>
        <x:v>12327.716793805215</x:v>
      </x:c>
      <x:c r="L1890" s="10" t="n">
        <x:f>K1890*'Assumptions'!$U$120</x:f>
        <x:v>369.83150381415646</x:v>
      </x:c>
      <x:c r="M1890" s="10" t="n">
        <x:f>K1890*'Assumptions'!$V$120</x:f>
        <x:v>0</x:v>
      </x:c>
      <x:c r="N1890" s="10" t="n">
        <x:f>K1890-L1890-M1890</x:f>
        <x:v>11957.885289991058</x:v>
      </x:c>
      <x:c r="O1890" s="10" t="n">
        <x:f>H1890*'Assumptions'!$P$120*'Assumptions'!$Q$120*'Assumptions'!$D$11*(1+'Assumptions'!$D$13)^(15-1)</x:f>
        <x:v>3297.4496679189933</x:v>
      </x:c>
      <x:c r="P1890" s="10" t="n">
        <x:f>H1890*'Assumptions'!$R$120*'Assumptions'!$D$11*(1+'Assumptions'!$D$13)^(15-1)</x:f>
        <x:v>0</x:v>
      </x:c>
      <x:c r="Q1890" s="10" t="n">
        <x:f>J1890*'Assumptions'!$S$120</x:f>
        <x:v>0</x:v>
      </x:c>
      <x:c r="R1890" s="10" t="n">
        <x:f>H1890*'Assumptions'!$Y$120*'Assumptions'!$Z$120*'Assumptions'!$D$11*(1+'Assumptions'!$D$13)^(15-1)</x:f>
        <x:v>4239.5781444672775</x:v>
      </x:c>
      <x:c r="S1890" s="10" t="n">
        <x:f>IF(I1890=0,0,J1890*'Assumptions'!$W$120+H1890*'Assumptions'!$X$120)</x:f>
        <x:v>1974.376308466208</x:v>
      </x:c>
      <x:c r="T1890" s="10" t="n">
        <x:f>N1890*'Assumptions'!$AA$120</x:f>
        <x:v>597.894264499553</x:v>
      </x:c>
      <x:c r="U1890" s="10" t="n">
        <x:f>'Assumptions'!$AE$120*'Assumptions'!$D$11*(1+'Assumptions'!$D$13)^(15-1)</x:f>
        <x:v>0</x:v>
      </x:c>
      <x:c r="V1890" s="10" t="n">
        <x:f>0</x:f>
        <x:v>0</x:v>
      </x:c>
      <x:c r="W1890" s="10" t="n">
        <x:f>H1890*('Assumptions'!$P$120+'Assumptions'!$Y$120)</x:f>
        <x:v>155.71447780370988</x:v>
      </x:c>
      <x:c r="X1890" s="10" t="n">
        <x:f>N1890/12*'Assumptions'!$AF$120</x:f>
        <x:v>0</x:v>
      </x:c>
      <x:c r="Y1890" s="10" t="n">
        <x:f>P1890/12</x:f>
        <x:v>0</x:v>
      </x:c>
      <x:c r="Z1890" s="10" t="n">
        <x:f>0</x:f>
        <x:v>0</x:v>
      </x:c>
      <x:c r="AA1890" s="10" t="n">
        <x:f>Z1890*'Assumptions'!$AC$120*'Assumptions'!$D$11*(1+'Assumptions'!$D$13)^(15-1)</x:f>
        <x:v>0</x:v>
      </x:c>
      <x:c r="AB1890" s="10" t="n">
        <x:f>F1890/1</x:f>
        <x:v>200.645640302974</x:v>
      </x:c>
      <x:c r="AC1890" s="10" t="n">
        <x:f>AB1890/'Assumptions'!$AM$120</x:f>
        <x:v>4012.9128060594794</x:v>
      </x:c>
      <x:c r="AD1890" s="10" t="n">
        <x:f>IF(AB1890=0,0,T1890/AB1890)</x:f>
        <x:v>2.979851760530333</x:v>
      </x:c>
      <x:c r="AE1890" s="10" t="n">
        <x:f>AA1890*'Assumptions'!$D$21</x:f>
        <x:v>0</x:v>
      </x:c>
    </x:row>
    <x:row r="1891" ht="16" customHeight="1">
      <x:c r="A1891" s="1"/>
      <x:c r="B1891" s="1"/>
      <x:c r="C1891" s="1" t="str">
        <x:v>DOT-092</x:v>
      </x:c>
      <x:c r="D1891" s="10" t="str">
        <x:v>Semajes Marketplace</x:v>
      </x:c>
      <x:c r="E1891" s="10" t="n">
        <x:v>15</x:v>
      </x:c>
      <x:c r="F1891" s="21" t="n">
        <x:f>F1763*(1+'Assumptions'!$M$121)</x:f>
        <x:v>100.322820151487</x:v>
      </x:c>
      <x:c r="G1891" s="21" t="n">
        <x:f>H1763*'Assumptions'!$K$121</x:f>
        <x:v>211.1061354559328</x:v>
      </x:c>
      <x:c r="H1891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1891+G1891,NA())</x:f>
        <x:v>311.42895560741977</x:v>
      </x:c>
      <x:c r="I1891" s="22" t="n">
        <x:f>'Assumptions'!$H$121*IF('Assumptions'!$O$121=1,1,'Assumptions'!$D$10)*(1+'Assumptions'!$N$121)^(15-1)</x:f>
        <x:v>329.8696907657181</x:v>
      </x:c>
      <x:c r="J1891" s="10" t="n">
        <x:f>H1891*I1891</x:f>
        <x:v>102730.9732817101</x:v>
      </x:c>
      <x:c r="K1891" s="10" t="n">
        <x:f>J1891*'Assumptions'!$T$121</x:f>
        <x:v>20546.19465634202</x:v>
      </x:c>
      <x:c r="L1891" s="10" t="n">
        <x:f>K1891*'Assumptions'!$U$121</x:f>
        <x:v>616.3858396902606</x:v>
      </x:c>
      <x:c r="M1891" s="10" t="n">
        <x:f>K1891*'Assumptions'!$V$121</x:f>
        <x:v>0</x:v>
      </x:c>
      <x:c r="N1891" s="10" t="n">
        <x:f>K1891-L1891-M1891</x:f>
        <x:v>19929.80881665176</x:v>
      </x:c>
      <x:c r="O1891" s="10" t="n">
        <x:f>H1891*'Assumptions'!$P$121*'Assumptions'!$Q$121*'Assumptions'!$D$11*(1+'Assumptions'!$D$13)^(15-1)</x:f>
        <x:v>2473.087250939245</x:v>
      </x:c>
      <x:c r="P1891" s="10" t="n">
        <x:f>H1891*'Assumptions'!$R$121*'Assumptions'!$D$11*(1+'Assumptions'!$D$13)^(15-1)</x:f>
        <x:v>0</x:v>
      </x:c>
      <x:c r="Q1891" s="10" t="n">
        <x:f>J1891*'Assumptions'!$S$121</x:f>
        <x:v>0</x:v>
      </x:c>
      <x:c r="R1891" s="10" t="n">
        <x:f>H1891*'Assumptions'!$Y$121*'Assumptions'!$Z$121*'Assumptions'!$D$11*(1+'Assumptions'!$D$13)^(15-1)</x:f>
        <x:v>2119.7890722336388</x:v>
      </x:c>
      <x:c r="S1891" s="10" t="n">
        <x:f>IF(I1891=0,0,J1891*'Assumptions'!$W$121+H1891*'Assumptions'!$X$121)</x:f>
        <x:v>3072.626911851819</x:v>
      </x:c>
      <x:c r="T1891" s="10" t="n">
        <x:f>N1891*'Assumptions'!$AA$121</x:f>
        <x:v>996.490440832588</x:v>
      </x:c>
      <x:c r="U1891" s="10" t="n">
        <x:f>'Assumptions'!$AE$121*'Assumptions'!$D$11*(1+'Assumptions'!$D$13)^(15-1)</x:f>
        <x:v>0</x:v>
      </x:c>
      <x:c r="V1891" s="10" t="n">
        <x:f>0</x:f>
        <x:v>0</x:v>
      </x:c>
      <x:c r="W1891" s="10" t="n">
        <x:f>H1891*('Assumptions'!$P$121+'Assumptions'!$Y$121)</x:f>
        <x:v>93.42868668222593</x:v>
      </x:c>
      <x:c r="X1891" s="10" t="n">
        <x:f>N1891/12*'Assumptions'!$AF$121</x:f>
        <x:v>0</x:v>
      </x:c>
      <x:c r="Y1891" s="10" t="n">
        <x:f>P1891/12</x:f>
        <x:v>0</x:v>
      </x:c>
      <x:c r="Z1891" s="10" t="n">
        <x:f>0</x:f>
        <x:v>0</x:v>
      </x:c>
      <x:c r="AA1891" s="10" t="n">
        <x:f>Z1891*'Assumptions'!$AC$121*'Assumptions'!$D$11*(1+'Assumptions'!$D$13)^(15-1)</x:f>
        <x:v>0</x:v>
      </x:c>
      <x:c r="AB1891" s="10" t="n">
        <x:f>F1891/1</x:f>
        <x:v>100.322820151487</x:v>
      </x:c>
      <x:c r="AC1891" s="10" t="n">
        <x:f>AB1891/'Assumptions'!$AM$121</x:f>
        <x:v>2006.4564030297397</x:v>
      </x:c>
      <x:c r="AD1891" s="10" t="n">
        <x:f>IF(AB1891=0,0,T1891/AB1891)</x:f>
        <x:v>9.932839201767774</x:v>
      </x:c>
      <x:c r="AE1891" s="10" t="n">
        <x:f>AA1891*'Assumptions'!$D$21</x:f>
        <x:v>0</x:v>
      </x:c>
    </x:row>
    <x:row r="1892" ht="16" customHeight="1">
      <x:c r="A1892" s="1"/>
      <x:c r="B1892" s="1"/>
      <x:c r="C1892" s="1" t="str">
        <x:v>DOT-093</x:v>
      </x:c>
      <x:c r="D1892" s="10" t="str">
        <x:v>Semajes Marketplace</x:v>
      </x:c>
      <x:c r="E1892" s="10" t="n">
        <x:v>15</x:v>
      </x:c>
      <x:c r="F1892" s="21" t="n">
        <x:f>F1764*(1+'Assumptions'!$M$122)</x:f>
        <x:v>20.064564030297397</x:v>
      </x:c>
      <x:c r="G1892" s="21" t="n">
        <x:f>H1764*'Assumptions'!$K$122</x:f>
        <x:v>42.22122709118655</x:v>
      </x:c>
      <x:c r="H1892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1892+G1892,NA())</x:f>
        <x:v>62.285791121483946</x:v>
      </x:c>
      <x:c r="I1892" s="22" t="n">
        <x:f>'Assumptions'!$H$122*IF('Assumptions'!$O$122=1,1,'Assumptions'!$D$10)*(1+'Assumptions'!$N$122)^(15-1)</x:f>
        <x:v>659.7393815314362</x:v>
      </x:c>
      <x:c r="J1892" s="10" t="n">
        <x:f>H1892*I1892</x:f>
        <x:v>41092.389312684034</x:v>
      </x:c>
      <x:c r="K1892" s="10" t="n">
        <x:f>J1892*'Assumptions'!$T$122</x:f>
        <x:v>6163.858396902605</x:v>
      </x:c>
      <x:c r="L1892" s="10" t="n">
        <x:f>K1892*'Assumptions'!$U$122</x:f>
        <x:v>184.91575190707815</x:v>
      </x:c>
      <x:c r="M1892" s="10" t="n">
        <x:f>K1892*'Assumptions'!$V$122</x:f>
        <x:v>0</x:v>
      </x:c>
      <x:c r="N1892" s="10" t="n">
        <x:f>K1892-L1892-M1892</x:f>
        <x:v>5978.942644995527</x:v>
      </x:c>
      <x:c r="O1892" s="10" t="n">
        <x:f>H1892*'Assumptions'!$P$122*'Assumptions'!$Q$122*'Assumptions'!$D$11*(1+'Assumptions'!$D$13)^(15-1)</x:f>
        <x:v>824.3624169797483</x:v>
      </x:c>
      <x:c r="P1892" s="10" t="n">
        <x:f>H1892*'Assumptions'!$R$122*'Assumptions'!$D$11*(1+'Assumptions'!$D$13)^(15-1)</x:f>
        <x:v>0</x:v>
      </x:c>
      <x:c r="Q1892" s="10" t="n">
        <x:f>J1892*'Assumptions'!$S$122</x:f>
        <x:v>0</x:v>
      </x:c>
      <x:c r="R1892" s="10" t="n">
        <x:f>H1892*'Assumptions'!$Y$122*'Assumptions'!$Z$122*'Assumptions'!$D$11*(1+'Assumptions'!$D$13)^(15-1)</x:f>
        <x:v>423.95781444672764</x:v>
      </x:c>
      <x:c r="S1892" s="10" t="n">
        <x:f>IF(I1892=0,0,J1892*'Assumptions'!$W$122+H1892*'Assumptions'!$X$122)</x:f>
        <x:v>1210.365027404282</x:v>
      </x:c>
      <x:c r="T1892" s="10" t="n">
        <x:f>N1892*'Assumptions'!$AA$122</x:f>
        <x:v>298.94713224977636</x:v>
      </x:c>
      <x:c r="U1892" s="10" t="n">
        <x:f>'Assumptions'!$AE$122*'Assumptions'!$D$11*(1+'Assumptions'!$D$13)^(15-1)</x:f>
        <x:v>0</x:v>
      </x:c>
      <x:c r="V1892" s="10" t="n">
        <x:f>0</x:f>
        <x:v>0</x:v>
      </x:c>
      <x:c r="W1892" s="10" t="n">
        <x:f>H1892*('Assumptions'!$P$122+'Assumptions'!$Y$122)</x:f>
        <x:v>24.91431644859358</x:v>
      </x:c>
      <x:c r="X1892" s="10" t="n">
        <x:f>N1892/12*'Assumptions'!$AF$122</x:f>
        <x:v>0</x:v>
      </x:c>
      <x:c r="Y1892" s="10" t="n">
        <x:f>P1892/12</x:f>
        <x:v>0</x:v>
      </x:c>
      <x:c r="Z1892" s="10" t="n">
        <x:f>0</x:f>
        <x:v>0</x:v>
      </x:c>
      <x:c r="AA1892" s="10" t="n">
        <x:f>Z1892*'Assumptions'!$AC$122*'Assumptions'!$D$11*(1+'Assumptions'!$D$13)^(15-1)</x:f>
        <x:v>0</x:v>
      </x:c>
      <x:c r="AB1892" s="10" t="n">
        <x:f>F1892/1</x:f>
        <x:v>20.064564030297397</x:v>
      </x:c>
      <x:c r="AC1892" s="10" t="n">
        <x:f>AB1892/'Assumptions'!$AM$122</x:f>
        <x:v>401.2912806059479</x:v>
      </x:c>
      <x:c r="AD1892" s="10" t="n">
        <x:f>IF(AB1892=0,0,T1892/AB1892)</x:f>
        <x:v>14.89925880265166</x:v>
      </x:c>
      <x:c r="AE1892" s="10" t="n">
        <x:f>AA1892*'Assumptions'!$D$21</x:f>
        <x:v>0</x:v>
      </x:c>
    </x:row>
    <x:row r="1893" ht="16" customHeight="1">
      <x:c r="A1893" s="1"/>
      <x:c r="B1893" s="1"/>
      <x:c r="C1893" s="1" t="str">
        <x:v>DOT-094</x:v>
      </x:c>
      <x:c r="D1893" s="10" t="str">
        <x:v>Semajes premium and media</x:v>
      </x:c>
      <x:c r="E1893" s="10" t="n">
        <x:v>15</x:v>
      </x:c>
      <x:c r="F1893" s="21" t="n">
        <x:f>F1765*(1+'Assumptions'!$M$123)</x:f>
        <x:v>100.322820151487</x:v>
      </x:c>
      <x:c r="G1893" s="21" t="n">
        <x:f>H1765*'Assumptions'!$K$123</x:f>
        <x:v>211.1061354559328</x:v>
      </x:c>
      <x:c r="H1893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1893+G1893,NA())</x:f>
        <x:v>311.42895560741977</x:v>
      </x:c>
      <x:c r="I1893" s="22" t="n">
        <x:f>'Assumptions'!$H$123*IF('Assumptions'!$O$123=1,1,'Assumptions'!$D$10)*(1+'Assumptions'!$N$123)^(15-1)</x:f>
        <x:v>11.87530886756585</x:v>
      </x:c>
      <x:c r="J1893" s="10" t="n">
        <x:f>H1893*I1893</x:f>
        <x:v>3698.3150381415635</x:v>
      </x:c>
      <x:c r="K1893" s="10" t="n">
        <x:f>J1893*'Assumptions'!$T$123</x:f>
        <x:v>3698.3150381415635</x:v>
      </x:c>
      <x:c r="L1893" s="10" t="n">
        <x:f>K1893*'Assumptions'!$U$123</x:f>
        <x:v>110.94945114424691</x:v>
      </x:c>
      <x:c r="M1893" s="10" t="n">
        <x:f>K1893*'Assumptions'!$V$123</x:f>
        <x:v>0</x:v>
      </x:c>
      <x:c r="N1893" s="10" t="n">
        <x:f>K1893-L1893-M1893</x:f>
        <x:v>3587.3655869973168</x:v>
      </x:c>
      <x:c r="O1893" s="10" t="n">
        <x:f>H1893*'Assumptions'!$P$123*'Assumptions'!$Q$123*'Assumptions'!$D$11*(1+'Assumptions'!$D$13)^(15-1)</x:f>
        <x:v>824.3624169797483</x:v>
      </x:c>
      <x:c r="P1893" s="10" t="n">
        <x:f>H1893*'Assumptions'!$R$123*'Assumptions'!$D$11*(1+'Assumptions'!$D$13)^(15-1)</x:f>
        <x:v>0</x:v>
      </x:c>
      <x:c r="Q1893" s="10" t="n">
        <x:f>J1893*'Assumptions'!$S$123</x:f>
        <x:v>0</x:v>
      </x:c>
      <x:c r="R1893" s="10" t="n">
        <x:f>H1893*'Assumptions'!$Y$123*'Assumptions'!$Z$123*'Assumptions'!$D$11*(1+'Assumptions'!$D$13)^(15-1)</x:f>
        <x:v>2119.7890722336388</x:v>
      </x:c>
      <x:c r="S1893" s="10" t="n">
        <x:f>IF(I1893=0,0,J1893*'Assumptions'!$W$123+H1893*'Assumptions'!$X$123)</x:f>
        <x:v>200.67982278833128</x:v>
      </x:c>
      <x:c r="T1893" s="10" t="n">
        <x:f>N1893*'Assumptions'!$AA$123</x:f>
        <x:v>179.36827934986584</x:v>
      </x:c>
      <x:c r="U1893" s="10" t="n">
        <x:f>'Assumptions'!$AE$123*'Assumptions'!$D$11*(1+'Assumptions'!$D$13)^(15-1)</x:f>
        <x:v>0</x:v>
      </x:c>
      <x:c r="V1893" s="10" t="n">
        <x:f>0</x:f>
        <x:v>0</x:v>
      </x:c>
      <x:c r="W1893" s="10" t="n">
        <x:f>H1893*('Assumptions'!$P$123+'Assumptions'!$Y$123)</x:f>
        <x:v>62.28579112148395</x:v>
      </x:c>
      <x:c r="X1893" s="10" t="n">
        <x:f>N1893/12*'Assumptions'!$AF$123</x:f>
        <x:v>0</x:v>
      </x:c>
      <x:c r="Y1893" s="10" t="n">
        <x:f>P1893/12</x:f>
        <x:v>0</x:v>
      </x:c>
      <x:c r="Z1893" s="10" t="n">
        <x:f>0</x:f>
        <x:v>0</x:v>
      </x:c>
      <x:c r="AA1893" s="10" t="n">
        <x:f>Z1893*'Assumptions'!$AC$123*'Assumptions'!$D$11*(1+'Assumptions'!$D$13)^(15-1)</x:f>
        <x:v>0</x:v>
      </x:c>
      <x:c r="AB1893" s="10" t="n">
        <x:f>F1893/12</x:f>
        <x:v>8.360235012623916</x:v>
      </x:c>
      <x:c r="AC1893" s="10" t="n">
        <x:f>AB1893/'Assumptions'!$AM$123</x:f>
        <x:v>167.2047002524783</x:v>
      </x:c>
      <x:c r="AD1893" s="10" t="n">
        <x:f>IF(AB1893=0,0,T1893/AB1893)</x:f>
        <x:v>21.454932675818394</x:v>
      </x:c>
      <x:c r="AE1893" s="10" t="n">
        <x:f>AA1893*'Assumptions'!$D$21</x:f>
        <x:v>0</x:v>
      </x:c>
    </x:row>
    <x:row r="1894" ht="16" customHeight="1">
      <x:c r="A1894" s="1"/>
      <x:c r="B1894" s="1"/>
      <x:c r="C1894" s="1" t="str">
        <x:v>DOT-095</x:v>
      </x:c>
      <x:c r="D1894" s="10" t="str">
        <x:v>Semajes premium and media</x:v>
      </x:c>
      <x:c r="E1894" s="10" t="n">
        <x:v>15</x:v>
      </x:c>
      <x:c r="F1894" s="21" t="n">
        <x:f>F1766*(1+'Assumptions'!$M$124)</x:f>
        <x:v>100.322820151487</x:v>
      </x:c>
      <x:c r="G1894" s="21" t="n">
        <x:f>H1766*'Assumptions'!$K$124</x:f>
        <x:v>211.1061354559328</x:v>
      </x:c>
      <x:c r="H1894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1894+G1894,NA())</x:f>
        <x:v>311.42895560741977</x:v>
      </x:c>
      <x:c r="I1894" s="22" t="n">
        <x:f>'Assumptions'!$H$124*IF('Assumptions'!$O$124=1,1,'Assumptions'!$D$10)*(1+'Assumptions'!$N$124)^(15-1)</x:f>
        <x:v>25.070096498194577</x:v>
      </x:c>
      <x:c r="J1894" s="10" t="n">
        <x:f>H1894*I1894</x:f>
        <x:v>7807.553969409969</x:v>
      </x:c>
      <x:c r="K1894" s="10" t="n">
        <x:f>J1894*'Assumptions'!$T$124</x:f>
        <x:v>7807.553969409969</x:v>
      </x:c>
      <x:c r="L1894" s="10" t="n">
        <x:f>K1894*'Assumptions'!$U$124</x:f>
        <x:v>234.22661908229907</x:v>
      </x:c>
      <x:c r="M1894" s="10" t="n">
        <x:f>K1894*'Assumptions'!$V$124</x:f>
        <x:v>0</x:v>
      </x:c>
      <x:c r="N1894" s="10" t="n">
        <x:f>K1894-L1894-M1894</x:f>
        <x:v>7573.32735032767</x:v>
      </x:c>
      <x:c r="O1894" s="10" t="n">
        <x:f>H1894*'Assumptions'!$P$124*'Assumptions'!$Q$124*'Assumptions'!$D$11*(1+'Assumptions'!$D$13)^(15-1)</x:f>
        <x:v>1648.7248339594967</x:v>
      </x:c>
      <x:c r="P1894" s="10" t="n">
        <x:f>H1894*'Assumptions'!$R$124*'Assumptions'!$D$11*(1+'Assumptions'!$D$13)^(15-1)</x:f>
        <x:v>0</x:v>
      </x:c>
      <x:c r="Q1894" s="10" t="n">
        <x:f>J1894*'Assumptions'!$S$124</x:f>
        <x:v>0</x:v>
      </x:c>
      <x:c r="R1894" s="10" t="n">
        <x:f>H1894*'Assumptions'!$Y$124*'Assumptions'!$Z$124*'Assumptions'!$D$11*(1+'Assumptions'!$D$13)^(15-1)</x:f>
        <x:v>2119.7890722336388</x:v>
      </x:c>
      <x:c r="S1894" s="10" t="n">
        <x:f>IF(I1894=0,0,J1894*'Assumptions'!$W$124+H1894*'Assumptions'!$X$124)</x:f>
        <x:v>319.8477517951151</x:v>
      </x:c>
      <x:c r="T1894" s="10" t="n">
        <x:f>N1894*'Assumptions'!$AA$124</x:f>
        <x:v>378.6663675163835</x:v>
      </x:c>
      <x:c r="U1894" s="10" t="n">
        <x:f>'Assumptions'!$AE$124*'Assumptions'!$D$11*(1+'Assumptions'!$D$13)^(15-1)</x:f>
        <x:v>0</x:v>
      </x:c>
      <x:c r="V1894" s="10" t="n">
        <x:f>0</x:f>
        <x:v>0</x:v>
      </x:c>
      <x:c r="W1894" s="10" t="n">
        <x:f>H1894*('Assumptions'!$P$124+'Assumptions'!$Y$124)</x:f>
        <x:v>77.85723890185494</x:v>
      </x:c>
      <x:c r="X1894" s="10" t="n">
        <x:f>N1894/12*'Assumptions'!$AF$124</x:f>
        <x:v>0</x:v>
      </x:c>
      <x:c r="Y1894" s="10" t="n">
        <x:f>P1894/12</x:f>
        <x:v>0</x:v>
      </x:c>
      <x:c r="Z1894" s="10" t="n">
        <x:f>0</x:f>
        <x:v>0</x:v>
      </x:c>
      <x:c r="AA1894" s="10" t="n">
        <x:f>Z1894*'Assumptions'!$AC$124*'Assumptions'!$D$11*(1+'Assumptions'!$D$13)^(15-1)</x:f>
        <x:v>0</x:v>
      </x:c>
      <x:c r="AB1894" s="10" t="n">
        <x:f>F1894/12</x:f>
        <x:v>8.360235012623916</x:v>
      </x:c>
      <x:c r="AC1894" s="10" t="n">
        <x:f>AB1894/'Assumptions'!$AM$124</x:f>
        <x:v>167.2047002524783</x:v>
      </x:c>
      <x:c r="AD1894" s="10" t="n">
        <x:f>IF(AB1894=0,0,T1894/AB1894)</x:f>
        <x:v>45.29374676006106</x:v>
      </x:c>
      <x:c r="AE1894" s="10" t="n">
        <x:f>AA1894*'Assumptions'!$D$21</x:f>
        <x:v>0</x:v>
      </x:c>
    </x:row>
    <x:row r="1895" ht="16" customHeight="1">
      <x:c r="A1895" s="1"/>
      <x:c r="B1895" s="1"/>
      <x:c r="C1895" s="1" t="str">
        <x:v>DOT-096</x:v>
      </x:c>
      <x:c r="D1895" s="10" t="str">
        <x:v>Semajes premium and media</x:v>
      </x:c>
      <x:c r="E1895" s="10" t="n">
        <x:v>15</x:v>
      </x:c>
      <x:c r="F1895" s="21" t="n">
        <x:f>F1767*(1+'Assumptions'!$M$125)</x:f>
        <x:v>50.1614100757435</x:v>
      </x:c>
      <x:c r="G1895" s="21" t="n">
        <x:f>H1767*'Assumptions'!$K$125</x:f>
        <x:v>105.5530677279664</x:v>
      </x:c>
      <x:c r="H1895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1895+G1895,NA())</x:f>
        <x:v>155.71447780370988</x:v>
      </x:c>
      <x:c r="I1895" s="22" t="n">
        <x:f>'Assumptions'!$H$125*IF('Assumptions'!$O$125=1,1,'Assumptions'!$D$10)*(1+'Assumptions'!$N$125)^(15-1)</x:f>
        <x:v>51.45967175945202</x:v>
      </x:c>
      <x:c r="J1895" s="10" t="n">
        <x:f>H1895*I1895</x:f>
        <x:v>8013.0159159733885</x:v>
      </x:c>
      <x:c r="K1895" s="10" t="n">
        <x:f>J1895*'Assumptions'!$T$125</x:f>
        <x:v>8013.0159159733885</x:v>
      </x:c>
      <x:c r="L1895" s="10" t="n">
        <x:f>K1895*'Assumptions'!$U$125</x:f>
        <x:v>240.39047747920165</x:v>
      </x:c>
      <x:c r="M1895" s="10" t="n">
        <x:f>K1895*'Assumptions'!$V$125</x:f>
        <x:v>0</x:v>
      </x:c>
      <x:c r="N1895" s="10" t="n">
        <x:f>K1895-L1895-M1895</x:f>
        <x:v>7772.625438494187</x:v>
      </x:c>
      <x:c r="O1895" s="10" t="n">
        <x:f>H1895*'Assumptions'!$P$125*'Assumptions'!$Q$125*'Assumptions'!$D$11*(1+'Assumptions'!$D$13)^(15-1)</x:f>
        <x:v>1648.7248339594967</x:v>
      </x:c>
      <x:c r="P1895" s="10" t="n">
        <x:f>H1895*'Assumptions'!$R$125*'Assumptions'!$D$11*(1+'Assumptions'!$D$13)^(15-1)</x:f>
        <x:v>0</x:v>
      </x:c>
      <x:c r="Q1895" s="10" t="n">
        <x:f>J1895*'Assumptions'!$S$125</x:f>
        <x:v>0</x:v>
      </x:c>
      <x:c r="R1895" s="10" t="n">
        <x:f>H1895*'Assumptions'!$Y$125*'Assumptions'!$Z$125*'Assumptions'!$D$11*(1+'Assumptions'!$D$13)^(15-1)</x:f>
        <x:v>1059.8945361168194</x:v>
      </x:c>
      <x:c r="S1895" s="10" t="n">
        <x:f>IF(I1895=0,0,J1895*'Assumptions'!$W$125+H1895*'Assumptions'!$X$125)</x:f>
        <x:v>279.09180490434125</x:v>
      </x:c>
      <x:c r="T1895" s="10" t="n">
        <x:f>N1895*'Assumptions'!$AA$125</x:f>
        <x:v>388.6312719247094</x:v>
      </x:c>
      <x:c r="U1895" s="10" t="n">
        <x:f>'Assumptions'!$AE$125*'Assumptions'!$D$11*(1+'Assumptions'!$D$13)^(15-1)</x:f>
        <x:v>0</x:v>
      </x:c>
      <x:c r="V1895" s="10" t="n">
        <x:f>0</x:f>
        <x:v>0</x:v>
      </x:c>
      <x:c r="W1895" s="10" t="n">
        <x:f>H1895*('Assumptions'!$P$125+'Assumptions'!$Y$125)</x:f>
        <x:v>54.50006723129846</x:v>
      </x:c>
      <x:c r="X1895" s="10" t="n">
        <x:f>N1895/12*'Assumptions'!$AF$125</x:f>
        <x:v>0</x:v>
      </x:c>
      <x:c r="Y1895" s="10" t="n">
        <x:f>P1895/12</x:f>
        <x:v>0</x:v>
      </x:c>
      <x:c r="Z1895" s="10" t="n">
        <x:f>0</x:f>
        <x:v>0</x:v>
      </x:c>
      <x:c r="AA1895" s="10" t="n">
        <x:f>Z1895*'Assumptions'!$AC$125*'Assumptions'!$D$11*(1+'Assumptions'!$D$13)^(15-1)</x:f>
        <x:v>0</x:v>
      </x:c>
      <x:c r="AB1895" s="10" t="n">
        <x:f>F1895/12</x:f>
        <x:v>4.180117506311958</x:v>
      </x:c>
      <x:c r="AC1895" s="10" t="n">
        <x:f>AB1895/'Assumptions'!$AM$125</x:f>
        <x:v>83.60235012623914</x:v>
      </x:c>
      <x:c r="AD1895" s="10" t="n">
        <x:f>IF(AB1895=0,0,T1895/AB1895)</x:f>
        <x:v>92.97137492854638</x:v>
      </x:c>
      <x:c r="AE1895" s="10" t="n">
        <x:f>AA1895*'Assumptions'!$D$21</x:f>
        <x:v>0</x:v>
      </x:c>
    </x:row>
    <x:row r="1896" ht="16" customHeight="1">
      <x:c r="A1896" s="1"/>
      <x:c r="B1896" s="1"/>
      <x:c r="C1896" s="1" t="str">
        <x:v>DOT-097</x:v>
      </x:c>
      <x:c r="D1896" s="10" t="str">
        <x:v>Semajes premium and media</x:v>
      </x:c>
      <x:c r="E1896" s="10" t="n">
        <x:v>15</x:v>
      </x:c>
      <x:c r="F1896" s="21" t="n">
        <x:f>F1768*(1+'Assumptions'!$M$126)</x:f>
        <x:v>30.096846045446092</x:v>
      </x:c>
      <x:c r="G1896" s="21" t="n">
        <x:f>H1768*'Assumptions'!$K$126</x:f>
        <x:v>63.331840636779816</x:v>
      </x:c>
      <x:c r="H1896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1896+G1896,NA())</x:f>
        <x:v>93.4286866822259</x:v>
      </x:c>
      <x:c r="I1896" s="22" t="n">
        <x:f>'Assumptions'!$H$126*IF('Assumptions'!$O$126=1,1,'Assumptions'!$D$10)*(1+'Assumptions'!$N$126)^(15-1)</x:f>
        <x:v>130.62839754322437</x:v>
      </x:c>
      <x:c r="J1896" s="10" t="n">
        <x:f>H1896*I1896</x:f>
        <x:v>12204.439625867157</x:v>
      </x:c>
      <x:c r="K1896" s="10" t="n">
        <x:f>J1896*'Assumptions'!$T$126</x:f>
        <x:v>12204.439625867157</x:v>
      </x:c>
      <x:c r="L1896" s="10" t="n">
        <x:f>K1896*'Assumptions'!$U$126</x:f>
        <x:v>366.13318877601466</x:v>
      </x:c>
      <x:c r="M1896" s="10" t="n">
        <x:f>K1896*'Assumptions'!$V$126</x:f>
        <x:v>0</x:v>
      </x:c>
      <x:c r="N1896" s="10" t="n">
        <x:f>K1896-L1896-M1896</x:f>
        <x:v>11838.306437091142</x:v>
      </x:c>
      <x:c r="O1896" s="10" t="n">
        <x:f>H1896*'Assumptions'!$P$126*'Assumptions'!$Q$126*'Assumptions'!$D$11*(1+'Assumptions'!$D$13)^(15-1)</x:f>
        <x:v>4946.174501878489</x:v>
      </x:c>
      <x:c r="P1896" s="10" t="n">
        <x:f>H1896*'Assumptions'!$R$126*'Assumptions'!$D$11*(1+'Assumptions'!$D$13)^(15-1)</x:f>
        <x:v>0</x:v>
      </x:c>
      <x:c r="Q1896" s="10" t="n">
        <x:f>J1896*'Assumptions'!$S$126</x:f>
        <x:v>0</x:v>
      </x:c>
      <x:c r="R1896" s="10" t="n">
        <x:f>H1896*'Assumptions'!$Y$126*'Assumptions'!$Z$126*'Assumptions'!$D$11*(1+'Assumptions'!$D$13)^(15-1)</x:f>
        <x:v>635.9367216700913</x:v>
      </x:c>
      <x:c r="S1896" s="10" t="n">
        <x:f>IF(I1896=0,0,J1896*'Assumptions'!$W$126+H1896*'Assumptions'!$X$126)</x:f>
        <x:v>381.95735515481533</x:v>
      </x:c>
      <x:c r="T1896" s="10" t="n">
        <x:f>N1896*'Assumptions'!$AA$126</x:f>
        <x:v>591.9153218545571</x:v>
      </x:c>
      <x:c r="U1896" s="10" t="n">
        <x:f>'Assumptions'!$AE$126*'Assumptions'!$D$11*(1+'Assumptions'!$D$13)^(15-1)</x:f>
        <x:v>0</x:v>
      </x:c>
      <x:c r="V1896" s="10" t="n">
        <x:f>0</x:f>
        <x:v>0</x:v>
      </x:c>
      <x:c r="W1896" s="10" t="n">
        <x:f>H1896*('Assumptions'!$P$126+'Assumptions'!$Y$126)</x:f>
        <x:v>107.44298968455978</x:v>
      </x:c>
      <x:c r="X1896" s="10" t="n">
        <x:f>N1896/12*'Assumptions'!$AF$126</x:f>
        <x:v>0</x:v>
      </x:c>
      <x:c r="Y1896" s="10" t="n">
        <x:f>P1896/12</x:f>
        <x:v>0</x:v>
      </x:c>
      <x:c r="Z1896" s="10" t="n">
        <x:f>0</x:f>
        <x:v>0</x:v>
      </x:c>
      <x:c r="AA1896" s="10" t="n">
        <x:f>Z1896*'Assumptions'!$AC$126*'Assumptions'!$D$11*(1+'Assumptions'!$D$13)^(15-1)</x:f>
        <x:v>0</x:v>
      </x:c>
      <x:c r="AB1896" s="10" t="n">
        <x:f>F1896/1</x:f>
        <x:v>30.096846045446092</x:v>
      </x:c>
      <x:c r="AC1896" s="10" t="n">
        <x:f>AB1896/'Assumptions'!$AM$126</x:f>
        <x:v>601.9369209089218</x:v>
      </x:c>
      <x:c r="AD1896" s="10" t="n">
        <x:f>IF(AB1896=0,0,T1896/AB1896)</x:f>
        <x:v>19.66702161950019</x:v>
      </x:c>
      <x:c r="AE1896" s="10" t="n">
        <x:f>AA1896*'Assumptions'!$D$21</x:f>
        <x:v>0</x:v>
      </x:c>
    </x:row>
    <x:row r="1897" ht="16" customHeight="1">
      <x:c r="A1897" s="1"/>
      <x:c r="B1897" s="1"/>
      <x:c r="C1897" s="1" t="str">
        <x:v>DOT-098</x:v>
      </x:c>
      <x:c r="D1897" s="10" t="str">
        <x:v>Semajes premium and media</x:v>
      </x:c>
      <x:c r="E1897" s="10" t="n">
        <x:v>15</x:v>
      </x:c>
      <x:c r="F1897" s="21" t="n">
        <x:f>F1769*(1+'Assumptions'!$M$127)</x:f>
        <x:v>15.048423022723046</x:v>
      </x:c>
      <x:c r="G1897" s="21" t="n">
        <x:f>H1769*'Assumptions'!$K$127</x:f>
        <x:v>31.665920318389908</x:v>
      </x:c>
      <x:c r="H1897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1897+G1897,NA())</x:f>
        <x:v>46.71434334111295</x:v>
      </x:c>
      <x:c r="I1897" s="22" t="n">
        <x:f>'Assumptions'!$H$127*IF('Assumptions'!$O$127=1,1,'Assumptions'!$D$10)*(1+'Assumptions'!$N$127)^(15-1)</x:f>
        <x:v>328.5502120026552</x:v>
      </x:c>
      <x:c r="J1897" s="10" t="n">
        <x:f>H1897*I1897</x:f>
        <x:v>15348.007408287483</x:v>
      </x:c>
      <x:c r="K1897" s="10" t="n">
        <x:f>J1897*'Assumptions'!$T$127</x:f>
        <x:v>15348.007408287483</x:v>
      </x:c>
      <x:c r="L1897" s="10" t="n">
        <x:f>K1897*'Assumptions'!$U$127</x:f>
        <x:v>460.4402222486245</x:v>
      </x:c>
      <x:c r="M1897" s="10" t="n">
        <x:f>K1897*'Assumptions'!$V$127</x:f>
        <x:v>0</x:v>
      </x:c>
      <x:c r="N1897" s="10" t="n">
        <x:f>K1897-L1897-M1897</x:f>
        <x:v>14887.56718603886</x:v>
      </x:c>
      <x:c r="O1897" s="10" t="n">
        <x:f>H1897*'Assumptions'!$P$127*'Assumptions'!$Q$127*'Assumptions'!$D$11*(1+'Assumptions'!$D$13)^(15-1)</x:f>
        <x:v>7419.261752817732</x:v>
      </x:c>
      <x:c r="P1897" s="10" t="n">
        <x:f>H1897*'Assumptions'!$R$127*'Assumptions'!$D$11*(1+'Assumptions'!$D$13)^(15-1)</x:f>
        <x:v>0</x:v>
      </x:c>
      <x:c r="Q1897" s="10" t="n">
        <x:f>J1897*'Assumptions'!$S$127</x:f>
        <x:v>0</x:v>
      </x:c>
      <x:c r="R1897" s="10" t="n">
        <x:f>H1897*'Assumptions'!$Y$127*'Assumptions'!$Z$127*'Assumptions'!$D$11*(1+'Assumptions'!$D$13)^(15-1)</x:f>
        <x:v>317.96836083504564</x:v>
      </x:c>
      <x:c r="S1897" s="10" t="n">
        <x:f>IF(I1897=0,0,J1897*'Assumptions'!$W$127+H1897*'Assumptions'!$X$127)</x:f>
        <x:v>459.1065178426709</x:v>
      </x:c>
      <x:c r="T1897" s="10" t="n">
        <x:f>N1897*'Assumptions'!$AA$127</x:f>
        <x:v>744.378359301943</x:v>
      </x:c>
      <x:c r="U1897" s="10" t="n">
        <x:f>'Assumptions'!$AE$127*'Assumptions'!$D$11*(1+'Assumptions'!$D$13)^(15-1)</x:f>
        <x:v>0</x:v>
      </x:c>
      <x:c r="V1897" s="10" t="n">
        <x:f>0</x:f>
        <x:v>0</x:v>
      </x:c>
      <x:c r="W1897" s="10" t="n">
        <x:f>H1897*('Assumptions'!$P$127+'Assumptions'!$Y$127)</x:f>
        <x:v>147.1501815245058</x:v>
      </x:c>
      <x:c r="X1897" s="10" t="n">
        <x:f>N1897/12*'Assumptions'!$AF$127</x:f>
        <x:v>0</x:v>
      </x:c>
      <x:c r="Y1897" s="10" t="n">
        <x:f>P1897/12</x:f>
        <x:v>0</x:v>
      </x:c>
      <x:c r="Z1897" s="10" t="n">
        <x:f>0</x:f>
        <x:v>0</x:v>
      </x:c>
      <x:c r="AA1897" s="10" t="n">
        <x:f>Z1897*'Assumptions'!$AC$127*'Assumptions'!$D$11*(1+'Assumptions'!$D$13)^(15-1)</x:f>
        <x:v>0</x:v>
      </x:c>
      <x:c r="AB1897" s="10" t="n">
        <x:f>F1897/1</x:f>
        <x:v>15.048423022723046</x:v>
      </x:c>
      <x:c r="AC1897" s="10" t="n">
        <x:f>AB1897/'Assumptions'!$AM$127</x:f>
        <x:v>300.9684604544609</x:v>
      </x:c>
      <x:c r="AD1897" s="10" t="n">
        <x:f>IF(AB1897=0,0,T1897/AB1897)</x:f>
        <x:v>49.46553922480351</x:v>
      </x:c>
      <x:c r="AE1897" s="10" t="n">
        <x:f>AA1897*'Assumptions'!$D$21</x:f>
        <x:v>0</x:v>
      </x:c>
    </x:row>
    <x:row r="1898" ht="16" customHeight="1">
      <x:c r="A1898" s="1"/>
      <x:c r="B1898" s="1"/>
      <x:c r="C1898" s="1" t="str">
        <x:v>DOT-099</x:v>
      </x:c>
      <x:c r="D1898" s="10" t="str">
        <x:v>Semajes premium and media</x:v>
      </x:c>
      <x:c r="E1898" s="10" t="n">
        <x:v>15</x:v>
      </x:c>
      <x:c r="F1898" s="21" t="n">
        <x:f>F1770*(1+'Assumptions'!$M$128)</x:f>
        <x:v>50.1614100757435</x:v>
      </x:c>
      <x:c r="G1898" s="21" t="n">
        <x:f>H1770*'Assumptions'!$K$128</x:f>
        <x:v>105.5530677279664</x:v>
      </x:c>
      <x:c r="H1898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1898+G1898,NA())</x:f>
        <x:v>155.71447780370988</x:v>
      </x:c>
      <x:c r="I1898" s="22" t="n">
        <x:f>'Assumptions'!$H$128*IF('Assumptions'!$O$128=1,1,'Assumptions'!$D$10)*(1+'Assumptions'!$N$128)^(15-1)</x:f>
        <x:v>38.2648841288233</x:v>
      </x:c>
      <x:c r="J1898" s="10" t="n">
        <x:f>H1898*I1898</x:f>
        <x:v>5958.396450339186</x:v>
      </x:c>
      <x:c r="K1898" s="10" t="n">
        <x:f>J1898*'Assumptions'!$T$128</x:f>
        <x:v>5958.396450339186</x:v>
      </x:c>
      <x:c r="L1898" s="10" t="n">
        <x:f>K1898*'Assumptions'!$U$128</x:f>
        <x:v>178.7518935101756</x:v>
      </x:c>
      <x:c r="M1898" s="10" t="n">
        <x:f>K1898*'Assumptions'!$V$128</x:f>
        <x:v>0</x:v>
      </x:c>
      <x:c r="N1898" s="10" t="n">
        <x:f>K1898-L1898-M1898</x:f>
        <x:v>5779.644556829011</x:v>
      </x:c>
      <x:c r="O1898" s="10" t="n">
        <x:f>H1898*'Assumptions'!$P$128*'Assumptions'!$Q$128*'Assumptions'!$D$11*(1+'Assumptions'!$D$13)^(15-1)</x:f>
        <x:v>1236.5436254696226</x:v>
      </x:c>
      <x:c r="P1898" s="10" t="n">
        <x:f>H1898*'Assumptions'!$R$128*'Assumptions'!$D$11*(1+'Assumptions'!$D$13)^(15-1)</x:f>
        <x:v>0</x:v>
      </x:c>
      <x:c r="Q1898" s="10" t="n">
        <x:f>J1898*'Assumptions'!$S$128</x:f>
        <x:v>0</x:v>
      </x:c>
      <x:c r="R1898" s="10" t="n">
        <x:f>H1898*'Assumptions'!$Y$128*'Assumptions'!$Z$128*'Assumptions'!$D$11*(1+'Assumptions'!$D$13)^(15-1)</x:f>
        <x:v>1059.8945361168194</x:v>
      </x:c>
      <x:c r="S1898" s="10" t="n">
        <x:f>IF(I1898=0,0,J1898*'Assumptions'!$W$128+H1898*'Assumptions'!$X$128)</x:f>
        <x:v>219.50784040094936</x:v>
      </x:c>
      <x:c r="T1898" s="10" t="n">
        <x:f>N1898*'Assumptions'!$AA$128</x:f>
        <x:v>288.98222784145054</x:v>
      </x:c>
      <x:c r="U1898" s="10" t="n">
        <x:f>'Assumptions'!$AE$128*'Assumptions'!$D$11*(1+'Assumptions'!$D$13)^(15-1)</x:f>
        <x:v>0</x:v>
      </x:c>
      <x:c r="V1898" s="10" t="n">
        <x:f>0</x:f>
        <x:v>0</x:v>
      </x:c>
      <x:c r="W1898" s="10" t="n">
        <x:f>H1898*('Assumptions'!$P$128+'Assumptions'!$Y$128)</x:f>
        <x:v>46.714343341112965</x:v>
      </x:c>
      <x:c r="X1898" s="10" t="n">
        <x:f>N1898/12*'Assumptions'!$AF$128</x:f>
        <x:v>0</x:v>
      </x:c>
      <x:c r="Y1898" s="10" t="n">
        <x:f>P1898/12</x:f>
        <x:v>0</x:v>
      </x:c>
      <x:c r="Z1898" s="10" t="n">
        <x:f>0</x:f>
        <x:v>0</x:v>
      </x:c>
      <x:c r="AA1898" s="10" t="n">
        <x:f>Z1898*'Assumptions'!$AC$128*'Assumptions'!$D$11*(1+'Assumptions'!$D$13)^(15-1)</x:f>
        <x:v>0</x:v>
      </x:c>
      <x:c r="AB1898" s="10" t="n">
        <x:f>F1898/1</x:f>
        <x:v>50.1614100757435</x:v>
      </x:c>
      <x:c r="AC1898" s="10" t="n">
        <x:f>AB1898/'Assumptions'!$AM$128</x:f>
        <x:v>1003.2282015148699</x:v>
      </x:c>
      <x:c r="AD1898" s="10" t="n">
        <x:f>IF(AB1898=0,0,T1898/AB1898)</x:f>
        <x:v>5.76104673702531</x:v>
      </x:c>
      <x:c r="AE1898" s="10" t="n">
        <x:f>AA1898*'Assumptions'!$D$21</x:f>
        <x:v>0</x:v>
      </x:c>
    </x:row>
    <x:row r="1899" ht="16" customHeight="1">
      <x:c r="A1899" s="1"/>
      <x:c r="B1899" s="1"/>
      <x:c r="C1899" s="1" t="str">
        <x:v>DOT-100</x:v>
      </x:c>
      <x:c r="D1899" s="10" t="str">
        <x:v>Semajes courses</x:v>
      </x:c>
      <x:c r="E1899" s="10" t="n">
        <x:v>15</x:v>
      </x:c>
      <x:c r="F1899" s="21" t="n">
        <x:f>F1771*(1+'Assumptions'!$M$129)</x:f>
        <x:v>423.09326645104323</x:v>
      </x:c>
      <x:c r="G1899" s="21" t="n">
        <x:f>H1771*'Assumptions'!$K$129</x:f>
        <x:v>135.60680315330825</x:v>
      </x:c>
      <x:c r="H1899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1899+G1899,NA())</x:f>
        <x:v>558.7000696043515</x:v>
      </x:c>
      <x:c r="I1899" s="22" t="n">
        <x:f>'Assumptions'!$H$129*IF('Assumptions'!$O$129=1,1,'Assumptions'!$D$10)*(1+'Assumptions'!$N$129)^(15-1)</x:f>
        <x:v>51.45967175945202</x:v>
      </x:c>
      <x:c r="J1899" s="10" t="n">
        <x:f>H1899*I1899</x:f>
        <x:v>28750.522193822926</x:v>
      </x:c>
      <x:c r="K1899" s="10" t="n">
        <x:f>J1899*'Assumptions'!$T$129</x:f>
        <x:v>28750.522193822926</x:v>
      </x:c>
      <x:c r="L1899" s="10" t="n">
        <x:f>K1899*'Assumptions'!$U$129</x:f>
        <x:v>862.5156658146877</x:v>
      </x:c>
      <x:c r="M1899" s="10" t="n">
        <x:f>K1899*'Assumptions'!$V$129</x:f>
        <x:v>0</x:v>
      </x:c>
      <x:c r="N1899" s="10" t="n">
        <x:f>K1899-L1899-M1899</x:f>
        <x:v>27888.006528008238</x:v>
      </x:c>
      <x:c r="O1899" s="10" t="n">
        <x:f>H1899*'Assumptions'!$P$129*'Assumptions'!$Q$129*'Assumptions'!$D$11*(1+'Assumptions'!$D$13)^(15-1)</x:f>
        <x:v>4436.690918936733</x:v>
      </x:c>
      <x:c r="P1899" s="10" t="n">
        <x:f>H1899*'Assumptions'!$R$129*'Assumptions'!$D$11*(1+'Assumptions'!$D$13)^(15-1)</x:f>
        <x:v>0</x:v>
      </x:c>
      <x:c r="Q1899" s="10" t="n">
        <x:f>J1899*'Assumptions'!$S$129</x:f>
        <x:v>0</x:v>
      </x:c>
      <x:c r="R1899" s="10" t="n">
        <x:f>H1899*'Assumptions'!$Y$129*'Assumptions'!$Z$129*'Assumptions'!$D$11*(1+'Assumptions'!$D$13)^(15-1)</x:f>
        <x:v>2535.2519536781338</x:v>
      </x:c>
      <x:c r="S1899" s="10" t="n">
        <x:f>IF(I1899=0,0,J1899*'Assumptions'!$W$129+H1899*'Assumptions'!$X$129)</x:f>
        <x:v>1001.3751645021704</x:v>
      </x:c>
      <x:c r="T1899" s="10" t="n">
        <x:f>N1899*'Assumptions'!$AA$129</x:f>
        <x:v>1394.400326400412</x:v>
      </x:c>
      <x:c r="U1899" s="10" t="n">
        <x:f>'Assumptions'!$AE$129*'Assumptions'!$D$11*(1+'Assumptions'!$D$13)^(15-1)</x:f>
        <x:v>0</x:v>
      </x:c>
      <x:c r="V1899" s="10" t="n">
        <x:f>0</x:f>
        <x:v>0</x:v>
      </x:c>
      <x:c r="W1899" s="10" t="n">
        <x:f>H1899*('Assumptions'!$P$129+'Assumptions'!$Y$129)</x:f>
        <x:v>139.67501740108787</x:v>
      </x:c>
      <x:c r="X1899" s="10" t="n">
        <x:f>N1899/12*'Assumptions'!$AF$129</x:f>
        <x:v>0</x:v>
      </x:c>
      <x:c r="Y1899" s="10" t="n">
        <x:f>P1899/12</x:f>
        <x:v>0</x:v>
      </x:c>
      <x:c r="Z1899" s="10" t="n">
        <x:f>0</x:f>
        <x:v>0</x:v>
      </x:c>
      <x:c r="AA1899" s="10" t="n">
        <x:f>Z1899*'Assumptions'!$AC$129*'Assumptions'!$D$11*(1+'Assumptions'!$D$13)^(15-1)</x:f>
        <x:v>0</x:v>
      </x:c>
      <x:c r="AB1899" s="10" t="n">
        <x:f>F1899/1</x:f>
        <x:v>423.09326645104323</x:v>
      </x:c>
      <x:c r="AC1899" s="10" t="n">
        <x:f>AB1899/'Assumptions'!$AM$129</x:f>
        <x:v>8461.865329020864</x:v>
      </x:c>
      <x:c r="AD1899" s="10" t="n">
        <x:f>IF(AB1899=0,0,T1899/AB1899)</x:f>
        <x:v>3.2957280036546273</x:v>
      </x:c>
      <x:c r="AE1899" s="10" t="n">
        <x:f>AA1899*'Assumptions'!$D$21</x:f>
        <x:v>0</x:v>
      </x:c>
    </x:row>
    <x:row r="1900" ht="16" customHeight="1">
      <x:c r="A1900" s="1"/>
      <x:c r="B1900" s="1"/>
      <x:c r="C1900" s="1" t="str">
        <x:v>DOT-101</x:v>
      </x:c>
      <x:c r="D1900" s="10" t="str">
        <x:v>Sleepy Face</x:v>
      </x:c>
      <x:c r="E1900" s="10" t="n">
        <x:v>15</x:v>
      </x:c>
      <x:c r="F1900" s="21" t="n">
        <x:f>F1772*(1+'Assumptions'!$M$130)</x:f>
        <x:v>355.26597810800564</x:v>
      </x:c>
      <x:c r="G1900" s="21" t="n">
        <x:f>H1772*'Assumptions'!$K$130</x:f>
        <x:v>145.99964138725412</x:v>
      </x:c>
      <x:c r="H1900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1900+G1900,NA())</x:f>
        <x:v>501.2656194952598</x:v>
      </x:c>
      <x:c r="I1900" s="22" t="n">
        <x:f>'Assumptions'!$H$130*IF('Assumptions'!$O$130=1,1,'Assumptions'!$D$10)*(1+'Assumptions'!$N$130)^(15-1)</x:f>
        <x:v>125.35048249097288</x:v>
      </x:c>
      <x:c r="J1900" s="10" t="n">
        <x:f>H1900*I1900</x:f>
        <x:v>62833.88725986724</x:v>
      </x:c>
      <x:c r="K1900" s="10" t="n">
        <x:f>J1900*'Assumptions'!$T$130</x:f>
        <x:v>62833.88725986724</x:v>
      </x:c>
      <x:c r="L1900" s="10" t="n">
        <x:f>K1900*'Assumptions'!$U$130</x:f>
        <x:v>5026.710980789379</x:v>
      </x:c>
      <x:c r="M1900" s="10" t="n">
        <x:f>K1900*'Assumptions'!$V$130</x:f>
        <x:v>1256.6777451973448</x:v>
      </x:c>
      <x:c r="N1900" s="10" t="n">
        <x:f>K1900-L1900-M1900</x:f>
        <x:v>56550.49853388051</x:v>
      </x:c>
      <x:c r="O1900" s="10" t="n">
        <x:f>H1900*'Assumptions'!$P$130*'Assumptions'!$Q$130*'Assumptions'!$D$11*(1+'Assumptions'!$D$13)^(15-1)</x:f>
        <x:v>3980.598433726226</x:v>
      </x:c>
      <x:c r="P1900" s="10" t="n">
        <x:f>H1900*'Assumptions'!$R$130*'Assumptions'!$D$11*(1+'Assumptions'!$D$13)^(15-1)</x:f>
        <x:v>22746.276764149865</x:v>
      </x:c>
      <x:c r="Q1900" s="10" t="n">
        <x:f>J1900*'Assumptions'!$S$130</x:f>
        <x:v>0</x:v>
      </x:c>
      <x:c r="R1900" s="10" t="n">
        <x:f>H1900*'Assumptions'!$Y$130*'Assumptions'!$Z$130*'Assumptions'!$D$11*(1+'Assumptions'!$D$13)^(15-1)</x:f>
        <x:v>3411.9415146224796</x:v>
      </x:c>
      <x:c r="S1900" s="10" t="n">
        <x:f>IF(I1900=0,0,J1900*'Assumptions'!$W$130+H1900*'Assumptions'!$X$130)</x:f>
        <x:v>1972.562416384728</x:v>
      </x:c>
      <x:c r="T1900" s="10" t="n">
        <x:f>N1900*'Assumptions'!$AA$130</x:f>
        <x:v>4524.039882710441</x:v>
      </x:c>
      <x:c r="U1900" s="10" t="n">
        <x:f>'Assumptions'!$AE$130*'Assumptions'!$D$11*(1+'Assumptions'!$D$13)^(15-1)</x:f>
        <x:v>0</x:v>
      </x:c>
      <x:c r="V1900" s="10" t="n">
        <x:f>0</x:f>
        <x:v>0</x:v>
      </x:c>
      <x:c r="W1900" s="10" t="n">
        <x:f>H1900*('Assumptions'!$P$130+'Assumptions'!$Y$130)</x:f>
        <x:v>150.37968584857794</x:v>
      </x:c>
      <x:c r="X1900" s="10" t="n">
        <x:f>N1900/12*'Assumptions'!$AF$130</x:f>
        <x:v>0</x:v>
      </x:c>
      <x:c r="Y1900" s="10" t="n">
        <x:f>P1900/12</x:f>
        <x:v>1895.5230636791555</x:v>
      </x:c>
      <x:c r="Z1900" s="10" t="n">
        <x:f>0</x:f>
        <x:v>0</x:v>
      </x:c>
      <x:c r="AA1900" s="10" t="n">
        <x:f>Z1900*'Assumptions'!$AC$130*'Assumptions'!$D$11*(1+'Assumptions'!$D$13)^(15-1)</x:f>
        <x:v>0</x:v>
      </x:c>
      <x:c r="AB1900" s="10" t="n">
        <x:f>F1900/1</x:f>
        <x:v>355.26597810800564</x:v>
      </x:c>
      <x:c r="AC1900" s="10" t="n">
        <x:f>AB1900/'Assumptions'!$AM$130</x:f>
        <x:v>11842.199270266856</x:v>
      </x:c>
      <x:c r="AD1900" s="10" t="n">
        <x:f>IF(AB1900=0,0,T1900/AB1900)</x:f>
        <x:v>12.734233395507047</x:v>
      </x:c>
      <x:c r="AE1900" s="10" t="n">
        <x:f>AA1900*'Assumptions'!$D$21</x:f>
        <x:v>0</x:v>
      </x:c>
    </x:row>
    <x:row r="1901" ht="16" customHeight="1">
      <x:c r="A1901" s="1"/>
      <x:c r="B1901" s="1"/>
      <x:c r="C1901" s="1" t="str">
        <x:v>DOT-102</x:v>
      </x:c>
      <x:c r="D1901" s="10" t="str">
        <x:v>Sleepy Face</x:v>
      </x:c>
      <x:c r="E1901" s="10" t="n">
        <x:v>15</x:v>
      </x:c>
      <x:c r="F1901" s="21" t="n">
        <x:f>F1773*(1+'Assumptions'!$M$131)</x:f>
        <x:v>532.8989671620083</x:v>
      </x:c>
      <x:c r="G1901" s="21" t="n">
        <x:f>H1773*'Assumptions'!$K$131</x:f>
        <x:v>218.99946208088113</x:v>
      </x:c>
      <x:c r="H1901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1901+G1901,NA())</x:f>
        <x:v>751.8984292428894</x:v>
      </x:c>
      <x:c r="I1901" s="22" t="n">
        <x:f>'Assumptions'!$H$131*IF('Assumptions'!$O$131=1,1,'Assumptions'!$D$10)*(1+'Assumptions'!$N$131)^(15-1)</x:f>
        <x:v>217.71399590537393</x:v>
      </x:c>
      <x:c r="J1901" s="10" t="n">
        <x:f>H1901*I1901</x:f>
        <x:v>163698.81154544352</x:v>
      </x:c>
      <x:c r="K1901" s="10" t="n">
        <x:f>J1901*'Assumptions'!$T$131</x:f>
        <x:v>163698.81154544352</x:v>
      </x:c>
      <x:c r="L1901" s="10" t="n">
        <x:f>K1901*'Assumptions'!$U$131</x:f>
        <x:v>13095.904923635482</x:v>
      </x:c>
      <x:c r="M1901" s="10" t="n">
        <x:f>K1901*'Assumptions'!$V$131</x:f>
        <x:v>3273.9762309088705</x:v>
      </x:c>
      <x:c r="N1901" s="10" t="n">
        <x:f>K1901-L1901-M1901</x:f>
        <x:v>147328.93039089916</x:v>
      </x:c>
      <x:c r="O1901" s="10" t="n">
        <x:f>H1901*'Assumptions'!$P$131*'Assumptions'!$Q$131*'Assumptions'!$D$11*(1+'Assumptions'!$D$13)^(15-1)</x:f>
        <x:v>5970.897650589338</x:v>
      </x:c>
      <x:c r="P1901" s="10" t="n">
        <x:f>H1901*'Assumptions'!$R$131*'Assumptions'!$D$11*(1+'Assumptions'!$D$13)^(15-1)</x:f>
        <x:v>68238.83029244958</x:v>
      </x:c>
      <x:c r="Q1901" s="10" t="n">
        <x:f>J1901*'Assumptions'!$S$131</x:f>
        <x:v>0</x:v>
      </x:c>
      <x:c r="R1901" s="10" t="n">
        <x:f>H1901*'Assumptions'!$Y$131*'Assumptions'!$Z$131*'Assumptions'!$D$11*(1+'Assumptions'!$D$13)^(15-1)</x:f>
        <x:v>5117.912271933718</x:v>
      </x:c>
      <x:c r="S1901" s="10" t="n">
        <x:f>IF(I1901=0,0,J1901*'Assumptions'!$W$131+H1901*'Assumptions'!$X$131)</x:f>
        <x:v>4972.835063590729</x:v>
      </x:c>
      <x:c r="T1901" s="10" t="n">
        <x:f>N1901*'Assumptions'!$AA$131</x:f>
        <x:v>11786.314431271932</x:v>
      </x:c>
      <x:c r="U1901" s="10" t="n">
        <x:f>'Assumptions'!$AE$131*'Assumptions'!$D$11*(1+'Assumptions'!$D$13)^(15-1)</x:f>
        <x:v>0</x:v>
      </x:c>
      <x:c r="V1901" s="10" t="n">
        <x:f>0</x:f>
        <x:v>0</x:v>
      </x:c>
      <x:c r="W1901" s="10" t="n">
        <x:f>H1901*('Assumptions'!$P$131+'Assumptions'!$Y$131)</x:f>
        <x:v>225.56952877286682</x:v>
      </x:c>
      <x:c r="X1901" s="10" t="n">
        <x:f>N1901/12*'Assumptions'!$AF$131</x:f>
        <x:v>0</x:v>
      </x:c>
      <x:c r="Y1901" s="10" t="n">
        <x:f>P1901/12</x:f>
        <x:v>5686.569191037465</x:v>
      </x:c>
      <x:c r="Z1901" s="10" t="n">
        <x:f>0</x:f>
        <x:v>0</x:v>
      </x:c>
      <x:c r="AA1901" s="10" t="n">
        <x:f>Z1901*'Assumptions'!$AC$131*'Assumptions'!$D$11*(1+'Assumptions'!$D$13)^(15-1)</x:f>
        <x:v>0</x:v>
      </x:c>
      <x:c r="AB1901" s="10" t="n">
        <x:f>F1901/1</x:f>
        <x:v>532.8989671620083</x:v>
      </x:c>
      <x:c r="AC1901" s="10" t="n">
        <x:f>AB1901/'Assumptions'!$AM$131</x:f>
        <x:v>17763.298905400276</x:v>
      </x:c>
      <x:c r="AD1901" s="10" t="n">
        <x:f>IF(AB1901=0,0,T1901/AB1901)</x:f>
        <x:v>22.11735273956487</x:v>
      </x:c>
      <x:c r="AE1901" s="10" t="n">
        <x:f>AA1901*'Assumptions'!$D$21</x:f>
        <x:v>0</x:v>
      </x:c>
    </x:row>
    <x:row r="1902" ht="16" customHeight="1">
      <x:c r="A1902" s="1"/>
      <x:c r="B1902" s="1"/>
      <x:c r="C1902" s="1" t="str">
        <x:v>DOT-103</x:v>
      </x:c>
      <x:c r="D1902" s="10" t="str">
        <x:v>Sleepy Face</x:v>
      </x:c>
      <x:c r="E1902" s="10" t="n">
        <x:v>15</x:v>
      </x:c>
      <x:c r="F1902" s="21" t="n">
        <x:f>F1774*(1+'Assumptions'!$M$132)</x:f>
        <x:v>118.4219927026685</x:v>
      </x:c>
      <x:c r="G1902" s="21" t="n">
        <x:f>H1774*'Assumptions'!$K$132</x:f>
        <x:v>48.66654712908469</x:v>
      </x:c>
      <x:c r="H1902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1902+G1902,NA())</x:f>
        <x:v>167.0885398317532</x:v>
      </x:c>
      <x:c r="I1902" s="22" t="n">
        <x:f>'Assumptions'!$H$132*IF('Assumptions'!$O$132=1,1,'Assumptions'!$D$10)*(1+'Assumptions'!$N$132)^(15-1)</x:f>
        <x:v>296.8827216891463</x:v>
      </x:c>
      <x:c r="J1902" s="10" t="n">
        <x:f>H1902*I1902</x:f>
        <x:v>49605.70046831622</x:v>
      </x:c>
      <x:c r="K1902" s="10" t="n">
        <x:f>J1902*'Assumptions'!$T$132</x:f>
        <x:v>49605.70046831622</x:v>
      </x:c>
      <x:c r="L1902" s="10" t="n">
        <x:f>K1902*'Assumptions'!$U$132</x:f>
        <x:v>3968.456037465298</x:v>
      </x:c>
      <x:c r="M1902" s="10" t="n">
        <x:f>K1902*'Assumptions'!$V$132</x:f>
        <x:v>992.1140093663245</x:v>
      </x:c>
      <x:c r="N1902" s="10" t="n">
        <x:f>K1902-L1902-M1902</x:f>
        <x:v>44645.130421484595</x:v>
      </x:c>
      <x:c r="O1902" s="10" t="n">
        <x:f>H1902*'Assumptions'!$P$132*'Assumptions'!$Q$132*'Assumptions'!$D$11*(1+'Assumptions'!$D$13)^(15-1)</x:f>
        <x:v>1326.8661445754083</x:v>
      </x:c>
      <x:c r="P1902" s="10" t="n">
        <x:f>H1902*'Assumptions'!$R$132*'Assumptions'!$D$11*(1+'Assumptions'!$D$13)^(15-1)</x:f>
        <x:v>22746.276764149858</x:v>
      </x:c>
      <x:c r="Q1902" s="10" t="n">
        <x:f>J1902*'Assumptions'!$S$132</x:f>
        <x:v>0</x:v>
      </x:c>
      <x:c r="R1902" s="10" t="n">
        <x:f>H1902*'Assumptions'!$Y$132*'Assumptions'!$Z$132*'Assumptions'!$D$11*(1+'Assumptions'!$D$13)^(15-1)</x:f>
        <x:v>1137.3138382074928</x:v>
      </x:c>
      <x:c r="S1902" s="10" t="n">
        <x:f>IF(I1902=0,0,J1902*'Assumptions'!$W$132+H1902*'Assumptions'!$X$132)</x:f>
        <x:v>1488.6918755306965</x:v>
      </x:c>
      <x:c r="T1902" s="10" t="n">
        <x:f>N1902*'Assumptions'!$AA$132</x:f>
        <x:v>3571.6104337187676</x:v>
      </x:c>
      <x:c r="U1902" s="10" t="n">
        <x:f>'Assumptions'!$AE$132*'Assumptions'!$D$11*(1+'Assumptions'!$D$13)^(15-1)</x:f>
        <x:v>0</x:v>
      </x:c>
      <x:c r="V1902" s="10" t="n">
        <x:f>0</x:f>
        <x:v>0</x:v>
      </x:c>
      <x:c r="W1902" s="10" t="n">
        <x:f>H1902*('Assumptions'!$P$132+'Assumptions'!$Y$132)</x:f>
        <x:v>50.12656194952596</x:v>
      </x:c>
      <x:c r="X1902" s="10" t="n">
        <x:f>N1902/12*'Assumptions'!$AF$132</x:f>
        <x:v>0</x:v>
      </x:c>
      <x:c r="Y1902" s="10" t="n">
        <x:f>P1902/12</x:f>
        <x:v>1895.5230636791548</x:v>
      </x:c>
      <x:c r="Z1902" s="10" t="n">
        <x:f>0</x:f>
        <x:v>0</x:v>
      </x:c>
      <x:c r="AA1902" s="10" t="n">
        <x:f>Z1902*'Assumptions'!$AC$132*'Assumptions'!$D$11*(1+'Assumptions'!$D$13)^(15-1)</x:f>
        <x:v>0</x:v>
      </x:c>
      <x:c r="AB1902" s="10" t="n">
        <x:f>F1902/1</x:f>
        <x:v>118.4219927026685</x:v>
      </x:c>
      <x:c r="AC1902" s="10" t="n">
        <x:f>AB1902/'Assumptions'!$AM$132</x:f>
        <x:v>3947.399756755617</x:v>
      </x:c>
      <x:c r="AD1902" s="10" t="n">
        <x:f>IF(AB1902=0,0,T1902/AB1902)</x:f>
        <x:v>30.160026463043003</x:v>
      </x:c>
      <x:c r="AE1902" s="10" t="n">
        <x:f>AA1902*'Assumptions'!$D$21</x:f>
        <x:v>0</x:v>
      </x:c>
    </x:row>
    <x:row r="1903" ht="16" customHeight="1">
      <x:c r="A1903" s="1"/>
      <x:c r="B1903" s="1"/>
      <x:c r="C1903" s="1" t="str">
        <x:v>DOT-104</x:v>
      </x:c>
      <x:c r="D1903" s="10" t="str">
        <x:v>Sleepy Face</x:v>
      </x:c>
      <x:c r="E1903" s="10" t="n">
        <x:v>15</x:v>
      </x:c>
      <x:c r="F1903" s="21" t="n">
        <x:f>F1775*(1+'Assumptions'!$M$133)</x:f>
        <x:v>355.26597810800564</x:v>
      </x:c>
      <x:c r="G1903" s="21" t="n">
        <x:f>H1775*'Assumptions'!$K$133</x:f>
        <x:v>145.99964138725412</x:v>
      </x:c>
      <x:c r="H1903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1903+G1903,NA())</x:f>
        <x:v>501.2656194952598</x:v>
      </x:c>
      <x:c r="I1903" s="22" t="n">
        <x:f>'Assumptions'!$H$133*IF('Assumptions'!$O$133=1,1,'Assumptions'!$D$10)*(1+'Assumptions'!$N$133)^(15-1)</x:f>
        <x:v>125.35048249097288</x:v>
      </x:c>
      <x:c r="J1903" s="10" t="n">
        <x:f>H1903*I1903</x:f>
        <x:v>62833.88725986724</x:v>
      </x:c>
      <x:c r="K1903" s="10" t="n">
        <x:f>J1903*'Assumptions'!$T$133</x:f>
        <x:v>62833.88725986724</x:v>
      </x:c>
      <x:c r="L1903" s="10" t="n">
        <x:f>K1903*'Assumptions'!$U$133</x:f>
        <x:v>5026.710980789379</x:v>
      </x:c>
      <x:c r="M1903" s="10" t="n">
        <x:f>K1903*'Assumptions'!$V$133</x:f>
        <x:v>1256.6777451973448</x:v>
      </x:c>
      <x:c r="N1903" s="10" t="n">
        <x:f>K1903-L1903-M1903</x:f>
        <x:v>56550.49853388051</x:v>
      </x:c>
      <x:c r="O1903" s="10" t="n">
        <x:f>H1903*'Assumptions'!$P$133*'Assumptions'!$Q$133*'Assumptions'!$D$11*(1+'Assumptions'!$D$13)^(15-1)</x:f>
        <x:v>3980.598433726226</x:v>
      </x:c>
      <x:c r="P1903" s="10" t="n">
        <x:f>H1903*'Assumptions'!$R$133*'Assumptions'!$D$11*(1+'Assumptions'!$D$13)^(15-1)</x:f>
        <x:v>26537.322891508178</x:v>
      </x:c>
      <x:c r="Q1903" s="10" t="n">
        <x:f>J1903*'Assumptions'!$S$133</x:f>
        <x:v>0</x:v>
      </x:c>
      <x:c r="R1903" s="10" t="n">
        <x:f>H1903*'Assumptions'!$Y$133*'Assumptions'!$Z$133*'Assumptions'!$D$11*(1+'Assumptions'!$D$13)^(15-1)</x:f>
        <x:v>3411.9415146224796</x:v>
      </x:c>
      <x:c r="S1903" s="10" t="n">
        <x:f>IF(I1903=0,0,J1903*'Assumptions'!$W$133+H1903*'Assumptions'!$X$133)</x:f>
        <x:v>1972.562416384728</x:v>
      </x:c>
      <x:c r="T1903" s="10" t="n">
        <x:f>N1903*'Assumptions'!$AA$133</x:f>
        <x:v>4524.039882710441</x:v>
      </x:c>
      <x:c r="U1903" s="10" t="n">
        <x:f>'Assumptions'!$AE$133*'Assumptions'!$D$11*(1+'Assumptions'!$D$13)^(15-1)</x:f>
        <x:v>0</x:v>
      </x:c>
      <x:c r="V1903" s="10" t="n">
        <x:f>0</x:f>
        <x:v>0</x:v>
      </x:c>
      <x:c r="W1903" s="10" t="n">
        <x:f>H1903*('Assumptions'!$P$133+'Assumptions'!$Y$133)</x:f>
        <x:v>150.37968584857794</x:v>
      </x:c>
      <x:c r="X1903" s="10" t="n">
        <x:f>N1903/12*'Assumptions'!$AF$133</x:f>
        <x:v>0</x:v>
      </x:c>
      <x:c r="Y1903" s="10" t="n">
        <x:f>P1903/12</x:f>
        <x:v>2211.4435742923483</x:v>
      </x:c>
      <x:c r="Z1903" s="10" t="n">
        <x:f>0</x:f>
        <x:v>0</x:v>
      </x:c>
      <x:c r="AA1903" s="10" t="n">
        <x:f>Z1903*'Assumptions'!$AC$133*'Assumptions'!$D$11*(1+'Assumptions'!$D$13)^(15-1)</x:f>
        <x:v>0</x:v>
      </x:c>
      <x:c r="AB1903" s="10" t="n">
        <x:f>F1903/1</x:f>
        <x:v>355.26597810800564</x:v>
      </x:c>
      <x:c r="AC1903" s="10" t="n">
        <x:f>AB1903/'Assumptions'!$AM$133</x:f>
        <x:v>11842.199270266856</x:v>
      </x:c>
      <x:c r="AD1903" s="10" t="n">
        <x:f>IF(AB1903=0,0,T1903/AB1903)</x:f>
        <x:v>12.734233395507047</x:v>
      </x:c>
      <x:c r="AE1903" s="10" t="n">
        <x:f>AA1903*'Assumptions'!$D$21</x:f>
        <x:v>0</x:v>
      </x:c>
    </x:row>
    <x:row r="1904" ht="16" customHeight="1">
      <x:c r="A1904" s="1"/>
      <x:c r="B1904" s="1"/>
      <x:c r="C1904" s="1" t="str">
        <x:v>DOT-105</x:v>
      </x:c>
      <x:c r="D1904" s="10" t="str">
        <x:v>Sleepy Face</x:v>
      </x:c>
      <x:c r="E1904" s="10" t="n">
        <x:v>15</x:v>
      </x:c>
      <x:c r="F1904" s="21" t="n">
        <x:f>F1776*(1+'Assumptions'!$M$134)</x:f>
        <x:v>177.63298905400282</x:v>
      </x:c>
      <x:c r="G1904" s="21" t="n">
        <x:f>H1776*'Assumptions'!$K$134</x:f>
        <x:v>72.99982069362706</x:v>
      </x:c>
      <x:c r="H1904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1904+G1904,NA())</x:f>
        <x:v>250.6328097476299</x:v>
      </x:c>
      <x:c r="I1904" s="22" t="n">
        <x:f>'Assumptions'!$H$134*IF('Assumptions'!$O$134=1,1,'Assumptions'!$D$10)*(1+'Assumptions'!$N$134)^(15-1)</x:f>
        <x:v>230.90878353600266</x:v>
      </x:c>
      <x:c r="J1904" s="10" t="n">
        <x:f>H1904*I1904</x:f>
        <x:v>57873.31721303561</x:v>
      </x:c>
      <x:c r="K1904" s="10" t="n">
        <x:f>J1904*'Assumptions'!$T$134</x:f>
        <x:v>57873.31721303561</x:v>
      </x:c>
      <x:c r="L1904" s="10" t="n">
        <x:f>K1904*'Assumptions'!$U$134</x:f>
        <x:v>4629.865377042849</x:v>
      </x:c>
      <x:c r="M1904" s="10" t="n">
        <x:f>K1904*'Assumptions'!$V$134</x:f>
        <x:v>1157.4663442607123</x:v>
      </x:c>
      <x:c r="N1904" s="10" t="n">
        <x:f>K1904-L1904-M1904</x:f>
        <x:v>52085.98549173205</x:v>
      </x:c>
      <x:c r="O1904" s="10" t="n">
        <x:f>H1904*'Assumptions'!$P$134*'Assumptions'!$Q$134*'Assumptions'!$D$11*(1+'Assumptions'!$D$13)^(15-1)</x:f>
        <x:v>1990.299216863113</x:v>
      </x:c>
      <x:c r="P1904" s="10" t="n">
        <x:f>H1904*'Assumptions'!$R$134*'Assumptions'!$D$11*(1+'Assumptions'!$D$13)^(15-1)</x:f>
        <x:v>24641.79982782902</x:v>
      </x:c>
      <x:c r="Q1904" s="10" t="n">
        <x:f>J1904*'Assumptions'!$S$134</x:f>
        <x:v>0</x:v>
      </x:c>
      <x:c r="R1904" s="10" t="n">
        <x:f>H1904*'Assumptions'!$Y$134*'Assumptions'!$Z$134*'Assumptions'!$D$11*(1+'Assumptions'!$D$13)^(15-1)</x:f>
        <x:v>1705.9707573112398</x:v>
      </x:c>
      <x:c r="S1904" s="10" t="n">
        <x:f>IF(I1904=0,0,J1904*'Assumptions'!$W$134+H1904*'Assumptions'!$X$134)</x:f>
        <x:v>1753.5160421023218</x:v>
      </x:c>
      <x:c r="T1904" s="10" t="n">
        <x:f>N1904*'Assumptions'!$AA$134</x:f>
        <x:v>4166.878839338564</x:v>
      </x:c>
      <x:c r="U1904" s="10" t="n">
        <x:f>'Assumptions'!$AE$134*'Assumptions'!$D$11*(1+'Assumptions'!$D$13)^(15-1)</x:f>
        <x:v>0</x:v>
      </x:c>
      <x:c r="V1904" s="10" t="n">
        <x:f>0</x:f>
        <x:v>0</x:v>
      </x:c>
      <x:c r="W1904" s="10" t="n">
        <x:f>H1904*('Assumptions'!$P$134+'Assumptions'!$Y$134)</x:f>
        <x:v>75.18984292428897</x:v>
      </x:c>
      <x:c r="X1904" s="10" t="n">
        <x:f>N1904/12*'Assumptions'!$AF$134</x:f>
        <x:v>0</x:v>
      </x:c>
      <x:c r="Y1904" s="10" t="n">
        <x:f>P1904/12</x:f>
        <x:v>2053.483318985752</x:v>
      </x:c>
      <x:c r="Z1904" s="10" t="n">
        <x:f>0</x:f>
        <x:v>0</x:v>
      </x:c>
      <x:c r="AA1904" s="10" t="n">
        <x:f>Z1904*'Assumptions'!$AC$134*'Assumptions'!$D$11*(1+'Assumptions'!$D$13)^(15-1)</x:f>
        <x:v>0</x:v>
      </x:c>
      <x:c r="AB1904" s="10" t="n">
        <x:f>F1904/1</x:f>
        <x:v>177.63298905400282</x:v>
      </x:c>
      <x:c r="AC1904" s="10" t="n">
        <x:f>AB1904/'Assumptions'!$AM$134</x:f>
        <x:v>5921.099635133428</x:v>
      </x:c>
      <x:c r="AD1904" s="10" t="n">
        <x:f>IF(AB1904=0,0,T1904/AB1904)</x:f>
        <x:v>23.45779836014456</x:v>
      </x:c>
      <x:c r="AE1904" s="10" t="n">
        <x:f>AA1904*'Assumptions'!$D$21</x:f>
        <x:v>0</x:v>
      </x:c>
    </x:row>
    <x:row r="1905" ht="16" customHeight="1">
      <x:c r="A1905" s="1"/>
      <x:c r="B1905" s="1"/>
      <x:c r="C1905" s="1" t="str">
        <x:v>DOT-106</x:v>
      </x:c>
      <x:c r="D1905" s="10" t="str">
        <x:v>QzoticMusic</x:v>
      </x:c>
      <x:c r="E1905" s="10" t="n">
        <x:v>15</x:v>
      </x:c>
      <x:c r="F1905" s="21" t="n">
        <x:f>F1777*(1+'Assumptions'!$M$135)</x:f>
        <x:v>1057.7331661276082</x:v>
      </x:c>
      <x:c r="G1905" s="21" t="n">
        <x:f>H1777*'Assumptions'!$K$135</x:f>
        <x:v>339.01700732447716</x:v>
      </x:c>
      <x:c r="H1905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1905+G1905,NA())</x:f>
        <x:v>1396.7501734520854</x:v>
      </x:c>
      <x:c r="I1905" s="22" t="n">
        <x:f>'Assumptions'!$H$135*IF('Assumptions'!$O$135=1,1,'Assumptions'!$D$10)*(1+'Assumptions'!$N$135)^(15-1)</x:f>
        <x:v>6.597393815314362</x:v>
      </x:c>
      <x:c r="J1905" s="10" t="n">
        <x:f>H1905*I1905</x:f>
        <x:v>9214.91095587205</x:v>
      </x:c>
      <x:c r="K1905" s="10" t="n">
        <x:f>J1905*'Assumptions'!$T$135</x:f>
        <x:v>9214.91095587205</x:v>
      </x:c>
      <x:c r="L1905" s="10" t="n">
        <x:f>K1905*'Assumptions'!$U$135</x:f>
        <x:v>276.4473286761615</x:v>
      </x:c>
      <x:c r="M1905" s="10" t="n">
        <x:f>K1905*'Assumptions'!$V$135</x:f>
        <x:v>0</x:v>
      </x:c>
      <x:c r="N1905" s="10" t="n">
        <x:f>K1905-L1905-M1905</x:f>
        <x:v>8938.463627195888</x:v>
      </x:c>
      <x:c r="O1905" s="10" t="n">
        <x:f>H1905*'Assumptions'!$P$135*'Assumptions'!$Q$135*'Assumptions'!$D$11*(1+'Assumptions'!$D$13)^(15-1)</x:f>
        <x:v>1478.8969723872538</x:v>
      </x:c>
      <x:c r="P1905" s="10" t="n">
        <x:f>H1905*'Assumptions'!$R$135*'Assumptions'!$D$11*(1+'Assumptions'!$D$13)^(15-1)</x:f>
        <x:v>0</x:v>
      </x:c>
      <x:c r="Q1905" s="10" t="n">
        <x:f>J1905*'Assumptions'!$S$135</x:f>
        <x:v>0</x:v>
      </x:c>
      <x:c r="R1905" s="10" t="n">
        <x:f>H1905*'Assumptions'!$Y$135*'Assumptions'!$Z$135*'Assumptions'!$D$11*(1+'Assumptions'!$D$13)^(15-1)</x:f>
        <x:v>6338.129881659659</x:v>
      </x:c>
      <x:c r="S1905" s="10" t="n">
        <x:f>IF(I1905=0,0,J1905*'Assumptions'!$W$135+H1905*'Assumptions'!$X$135)</x:f>
        <x:v>686.257469755915</x:v>
      </x:c>
      <x:c r="T1905" s="10" t="n">
        <x:f>N1905*'Assumptions'!$AA$135</x:f>
        <x:v>446.9231813597944</x:v>
      </x:c>
      <x:c r="U1905" s="10" t="n">
        <x:f>'Assumptions'!$AE$135*'Assumptions'!$D$11*(1+'Assumptions'!$D$13)^(15-1)</x:f>
        <x:v>0</x:v>
      </x:c>
      <x:c r="V1905" s="10" t="n">
        <x:f>0</x:f>
        <x:v>0</x:v>
      </x:c>
      <x:c r="W1905" s="10" t="n">
        <x:f>H1905*('Assumptions'!$P$135+'Assumptions'!$Y$135)</x:f>
        <x:v>167.61002081425025</x:v>
      </x:c>
      <x:c r="X1905" s="10" t="n">
        <x:f>N1905/12*'Assumptions'!$AF$135</x:f>
        <x:v>0</x:v>
      </x:c>
      <x:c r="Y1905" s="10" t="n">
        <x:f>P1905/12</x:f>
        <x:v>0</x:v>
      </x:c>
      <x:c r="Z1905" s="10" t="n">
        <x:f>0</x:f>
        <x:v>0</x:v>
      </x:c>
      <x:c r="AA1905" s="10" t="n">
        <x:f>Z1905*'Assumptions'!$AC$135*'Assumptions'!$D$11*(1+'Assumptions'!$D$13)^(15-1)</x:f>
        <x:v>0</x:v>
      </x:c>
      <x:c r="AB1905" s="10" t="n">
        <x:f>F1905/12</x:f>
        <x:v>88.14443051063402</x:v>
      </x:c>
      <x:c r="AC1905" s="10" t="n">
        <x:f>AB1905/'Assumptions'!$AM$135</x:f>
        <x:v>1762.8886102126803</x:v>
      </x:c>
      <x:c r="AD1905" s="10" t="n">
        <x:f>IF(AB1905=0,0,T1905/AB1905)</x:f>
        <x:v>5.070350772824792</x:v>
      </x:c>
      <x:c r="AE1905" s="10" t="n">
        <x:f>AA1905*'Assumptions'!$D$21</x:f>
        <x:v>0</x:v>
      </x:c>
    </x:row>
    <x:row r="1906" ht="16" customHeight="1">
      <x:c r="A1906" s="1"/>
      <x:c r="B1906" s="1"/>
      <x:c r="C1906" s="1" t="str">
        <x:v>DOT-107</x:v>
      </x:c>
      <x:c r="D1906" s="10" t="str">
        <x:v>QzoticMusic</x:v>
      </x:c>
      <x:c r="E1906" s="10" t="n">
        <x:v>15</x:v>
      </x:c>
      <x:c r="F1906" s="21" t="n">
        <x:f>F1778*(1+'Assumptions'!$M$136)</x:f>
        <x:v>306.94996347564586</x:v>
      </x:c>
      <x:c r="G1906" s="21" t="n">
        <x:f>H1778*'Assumptions'!$K$136</x:f>
        <x:v>157.9886040790717</x:v>
      </x:c>
      <x:c r="H1906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1906+G1906,NA())</x:f>
        <x:v>464.93856755471757</x:v>
      </x:c>
      <x:c r="I1906" s="22" t="n">
        <x:f>'Assumptions'!$H$136*IF('Assumptions'!$O$136=1,1,'Assumptions'!$D$10)*(1+'Assumptions'!$N$136)^(15-1)</x:f>
        <x:v>32.98696907657181</x:v>
      </x:c>
      <x:c r="J1906" s="10" t="n">
        <x:f>H1906*I1906</x:f>
        <x:v>15336.914150433062</x:v>
      </x:c>
      <x:c r="K1906" s="10" t="n">
        <x:f>J1906*'Assumptions'!$T$136</x:f>
        <x:v>15336.914150433062</x:v>
      </x:c>
      <x:c r="L1906" s="10" t="n">
        <x:f>K1906*'Assumptions'!$U$136</x:f>
        <x:v>460.1074245129918</x:v>
      </x:c>
      <x:c r="M1906" s="10" t="n">
        <x:f>K1906*'Assumptions'!$V$136</x:f>
        <x:v>0</x:v>
      </x:c>
      <x:c r="N1906" s="10" t="n">
        <x:f>K1906-L1906-M1906</x:f>
        <x:v>14876.80672592007</x:v>
      </x:c>
      <x:c r="O1906" s="10" t="n">
        <x:f>H1906*'Assumptions'!$P$136*'Assumptions'!$Q$136*'Assumptions'!$D$11*(1+'Assumptions'!$D$13)^(15-1)</x:f>
        <x:v>3692.1218248536306</x:v>
      </x:c>
      <x:c r="P1906" s="10" t="n">
        <x:f>H1906*'Assumptions'!$R$136*'Assumptions'!$D$11*(1+'Assumptions'!$D$13)^(15-1)</x:f>
        <x:v>7032.6129997212</x:v>
      </x:c>
      <x:c r="Q1906" s="10" t="n">
        <x:f>J1906*'Assumptions'!$S$136</x:f>
        <x:v>0</x:v>
      </x:c>
      <x:c r="R1906" s="10" t="n">
        <x:f>H1906*'Assumptions'!$Y$136*'Assumptions'!$Z$136*'Assumptions'!$D$11*(1+'Assumptions'!$D$13)^(15-1)</x:f>
        <x:v>10548.919499581802</x:v>
      </x:c>
      <x:c r="S1906" s="10" t="n">
        <x:f>IF(I1906=0,0,J1906*'Assumptions'!$W$136+H1906*'Assumptions'!$X$136)</x:f>
        <x:v>584.2520806289741</x:v>
      </x:c>
      <x:c r="T1906" s="10" t="n">
        <x:f>N1906*'Assumptions'!$AA$136</x:f>
        <x:v>1190.1445380736056</x:v>
      </x:c>
      <x:c r="U1906" s="10" t="n">
        <x:f>'Assumptions'!$AE$136*'Assumptions'!$D$11*(1+'Assumptions'!$D$13)^(15-1)</x:f>
        <x:v>0</x:v>
      </x:c>
      <x:c r="V1906" s="10" t="n">
        <x:f>0</x:f>
        <x:v>0</x:v>
      </x:c>
      <x:c r="W1906" s="10" t="n">
        <x:f>H1906*('Assumptions'!$P$136+'Assumptions'!$Y$136)</x:f>
        <x:v>302.2100689105664</x:v>
      </x:c>
      <x:c r="X1906" s="10" t="n">
        <x:f>N1906/12*'Assumptions'!$AF$136</x:f>
        <x:v>1239.7338938266726</x:v>
      </x:c>
      <x:c r="Y1906" s="10" t="n">
        <x:f>P1906/12</x:f>
        <x:v>586.0510833101</x:v>
      </x:c>
      <x:c r="Z1906" s="10" t="n">
        <x:f>0</x:f>
        <x:v>0</x:v>
      </x:c>
      <x:c r="AA1906" s="10" t="n">
        <x:f>Z1906*'Assumptions'!$AC$136*'Assumptions'!$D$11*(1+'Assumptions'!$D$13)^(15-1)</x:f>
        <x:v>0</x:v>
      </x:c>
      <x:c r="AB1906" s="10" t="n">
        <x:f>F1906/1</x:f>
        <x:v>306.94996347564586</x:v>
      </x:c>
      <x:c r="AC1906" s="10" t="n">
        <x:f>AB1906/'Assumptions'!$AM$136</x:f>
        <x:v>3069.4996347564584</x:v>
      </x:c>
      <x:c r="AD1906" s="10" t="n">
        <x:f>IF(AB1906=0,0,T1906/AB1906)</x:f>
        <x:v>3.877324253755888</x:v>
      </x:c>
      <x:c r="AE1906" s="10" t="n">
        <x:f>AA1906*'Assumptions'!$D$21</x:f>
        <x:v>0</x:v>
      </x:c>
    </x:row>
    <x:row r="1907" ht="16" customHeight="1">
      <x:c r="A1907" s="1"/>
      <x:c r="B1907" s="1"/>
      <x:c r="C1907" s="1" t="str">
        <x:v>DOT-108</x:v>
      </x:c>
      <x:c r="D1907" s="10" t="str">
        <x:v>QzoticMusic</x:v>
      </x:c>
      <x:c r="E1907" s="10" t="n">
        <x:v>15</x:v>
      </x:c>
      <x:c r="F1907" s="21" t="n">
        <x:f>F1779*(1+'Assumptions'!$M$137)</x:f>
        <x:v>15.347498173782297</x:v>
      </x:c>
      <x:c r="G1907" s="21" t="n">
        <x:f>H1779*'Assumptions'!$K$137</x:f>
        <x:v>7.899430203953588</x:v>
      </x:c>
      <x:c r="H1907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1907+G1907,NA())</x:f>
        <x:v>23.246928377735884</x:v>
      </x:c>
      <x:c r="I1907" s="22" t="n">
        <x:f>'Assumptions'!$H$137*IF('Assumptions'!$O$137=1,1,'Assumptions'!$D$10)*(1+'Assumptions'!$N$137)^(15-1)</x:f>
        <x:v>329.8696907657181</x:v>
      </x:c>
      <x:c r="J1907" s="10" t="n">
        <x:f>H1907*I1907</x:f>
        <x:v>7668.457075216532</x:v>
      </x:c>
      <x:c r="K1907" s="10" t="n">
        <x:f>J1907*'Assumptions'!$T$137</x:f>
        <x:v>7668.457075216532</x:v>
      </x:c>
      <x:c r="L1907" s="10" t="n">
        <x:f>K1907*'Assumptions'!$U$137</x:f>
        <x:v>230.05371225649594</x:v>
      </x:c>
      <x:c r="M1907" s="10" t="n">
        <x:f>K1907*'Assumptions'!$V$137</x:f>
        <x:v>0</x:v>
      </x:c>
      <x:c r="N1907" s="10" t="n">
        <x:f>K1907-L1907-M1907</x:f>
        <x:v>7438.403362960036</x:v>
      </x:c>
      <x:c r="O1907" s="10" t="n">
        <x:f>H1907*'Assumptions'!$P$137*'Assumptions'!$Q$137*'Assumptions'!$D$11*(1+'Assumptions'!$D$13)^(15-1)</x:f>
        <x:v>2813.045199888481</x:v>
      </x:c>
      <x:c r="P1907" s="10" t="n">
        <x:f>H1907*'Assumptions'!$R$137*'Assumptions'!$D$11*(1+'Assumptions'!$D$13)^(15-1)</x:f>
        <x:v>0</x:v>
      </x:c>
      <x:c r="Q1907" s="10" t="n">
        <x:f>J1907*'Assumptions'!$S$137</x:f>
        <x:v>0</x:v>
      </x:c>
      <x:c r="R1907" s="10" t="n">
        <x:f>H1907*'Assumptions'!$Y$137*'Assumptions'!$Z$137*'Assumptions'!$D$11*(1+'Assumptions'!$D$13)^(15-1)</x:f>
        <x:v>527.4459749790901</x:v>
      </x:c>
      <x:c r="S1907" s="10" t="n">
        <x:f>IF(I1907=0,0,J1907*'Assumptions'!$W$137+H1907*'Assumptions'!$X$137)</x:f>
        <x:v>229.3593336946002</x:v>
      </x:c>
      <x:c r="T1907" s="10" t="n">
        <x:f>N1907*'Assumptions'!$AA$137</x:f>
        <x:v>595.0722690368029</x:v>
      </x:c>
      <x:c r="U1907" s="10" t="n">
        <x:f>'Assumptions'!$AE$137*'Assumptions'!$D$11*(1+'Assumptions'!$D$13)^(15-1)</x:f>
        <x:v>0</x:v>
      </x:c>
      <x:c r="V1907" s="10" t="n">
        <x:f>0</x:f>
        <x:v>0</x:v>
      </x:c>
      <x:c r="W1907" s="10" t="n">
        <x:f>H1907*('Assumptions'!$P$137+'Assumptions'!$Y$137)</x:f>
        <x:v>58.11732094433971</x:v>
      </x:c>
      <x:c r="X1907" s="10" t="n">
        <x:f>N1907/12*'Assumptions'!$AF$137</x:f>
        <x:v>619.8669469133364</x:v>
      </x:c>
      <x:c r="Y1907" s="10" t="n">
        <x:f>P1907/12</x:f>
        <x:v>0</x:v>
      </x:c>
      <x:c r="Z1907" s="10" t="n">
        <x:f>0</x:f>
        <x:v>0</x:v>
      </x:c>
      <x:c r="AA1907" s="10" t="n">
        <x:f>Z1907*'Assumptions'!$AC$137*'Assumptions'!$D$11*(1+'Assumptions'!$D$13)^(15-1)</x:f>
        <x:v>0</x:v>
      </x:c>
      <x:c r="AB1907" s="10" t="n">
        <x:f>F1907/1</x:f>
        <x:v>15.347498173782297</x:v>
      </x:c>
      <x:c r="AC1907" s="10" t="n">
        <x:f>AB1907/'Assumptions'!$AM$137</x:f>
        <x:v>153.47498173782296</x:v>
      </x:c>
      <x:c r="AD1907" s="10" t="n">
        <x:f>IF(AB1907=0,0,T1907/AB1907)</x:f>
        <x:v>38.77324253755888</x:v>
      </x:c>
      <x:c r="AE1907" s="10" t="n">
        <x:f>AA1907*'Assumptions'!$D$21</x:f>
        <x:v>0</x:v>
      </x:c>
    </x:row>
    <x:row r="1908" ht="16" customHeight="1">
      <x:c r="A1908" s="1"/>
      <x:c r="B1908" s="1"/>
      <x:c r="C1908" s="1" t="str">
        <x:v>DOT-109</x:v>
      </x:c>
      <x:c r="D1908" s="10" t="str">
        <x:v>LesPetitFilms</x:v>
      </x:c>
      <x:c r="E1908" s="10" t="n">
        <x:v>15</x:v>
      </x:c>
      <x:c r="F1908" s="21" t="n">
        <x:f>F1780*(1+'Assumptions'!$M$138)</x:f>
        <x:v>10.231665449188197</x:v>
      </x:c>
      <x:c r="G1908" s="21" t="n">
        <x:f>H1780*'Assumptions'!$K$138</x:f>
        <x:v>5.266286802635726</x:v>
      </x:c>
      <x:c r="H1908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1908+G1908,NA())</x:f>
        <x:v>15.497952251823923</x:v>
      </x:c>
      <x:c r="I1908" s="22" t="n">
        <x:f>'Assumptions'!$H$138*IF('Assumptions'!$O$138=1,1,'Assumptions'!$D$10)*(1+'Assumptions'!$N$138)^(15-1)</x:f>
        <x:v>4618.175670720053</x:v>
      </x:c>
      <x:c r="J1908" s="10" t="n">
        <x:f>H1908*I1908</x:f>
        <x:v>71572.2660353543</x:v>
      </x:c>
      <x:c r="K1908" s="10" t="n">
        <x:f>J1908*'Assumptions'!$T$138</x:f>
        <x:v>71572.2660353543</x:v>
      </x:c>
      <x:c r="L1908" s="10" t="n">
        <x:f>K1908*'Assumptions'!$U$138</x:f>
        <x:v>2147.1679810606292</x:v>
      </x:c>
      <x:c r="M1908" s="10" t="n">
        <x:f>K1908*'Assumptions'!$V$138</x:f>
        <x:v>0</x:v>
      </x:c>
      <x:c r="N1908" s="10" t="n">
        <x:f>K1908-L1908-M1908</x:f>
        <x:v>69425.09805429367</x:v>
      </x:c>
      <x:c r="O1908" s="10" t="n">
        <x:f>H1908*'Assumptions'!$P$138*'Assumptions'!$Q$138*'Assumptions'!$D$11*(1+'Assumptions'!$D$13)^(15-1)</x:f>
        <x:v>26372.298748954512</x:v>
      </x:c>
      <x:c r="P1908" s="10" t="n">
        <x:f>H1908*'Assumptions'!$R$138*'Assumptions'!$D$11*(1+'Assumptions'!$D$13)^(15-1)</x:f>
        <x:v>8204.715166341402</x:v>
      </x:c>
      <x:c r="Q1908" s="10" t="n">
        <x:f>J1908*'Assumptions'!$S$138</x:f>
        <x:v>0</x:v>
      </x:c>
      <x:c r="R1908" s="10" t="n">
        <x:f>H1908*'Assumptions'!$Y$138*'Assumptions'!$Z$138*'Assumptions'!$D$11*(1+'Assumptions'!$D$13)^(15-1)</x:f>
        <x:v>351.6306499860601</x:v>
      </x:c>
      <x:c r="S1908" s="10" t="n">
        <x:f>IF(I1908=0,0,J1908*'Assumptions'!$W$138+H1908*'Assumptions'!$X$138)</x:f>
        <x:v>2080.245100700822</x:v>
      </x:c>
      <x:c r="T1908" s="10" t="n">
        <x:f>N1908*'Assumptions'!$AA$138</x:f>
        <x:v>5554.007844343494</x:v>
      </x:c>
      <x:c r="U1908" s="10" t="n">
        <x:f>'Assumptions'!$AE$138*'Assumptions'!$D$11*(1+'Assumptions'!$D$13)^(15-1)</x:f>
        <x:v>0</x:v>
      </x:c>
      <x:c r="V1908" s="10" t="n">
        <x:f>0</x:f>
        <x:v>0</x:v>
      </x:c>
      <x:c r="W1908" s="10" t="n">
        <x:f>H1908*('Assumptions'!$P$138+'Assumptions'!$Y$138)</x:f>
        <x:v>395.19778242151006</x:v>
      </x:c>
      <x:c r="X1908" s="10" t="n">
        <x:f>N1908/12*'Assumptions'!$AF$138</x:f>
        <x:v>5785.424837857806</x:v>
      </x:c>
      <x:c r="Y1908" s="10" t="n">
        <x:f>P1908/12</x:f>
        <x:v>683.7262638617835</x:v>
      </x:c>
      <x:c r="Z1908" s="10" t="n">
        <x:f>0</x:f>
        <x:v>0</x:v>
      </x:c>
      <x:c r="AA1908" s="10" t="n">
        <x:f>Z1908*'Assumptions'!$AC$138*'Assumptions'!$D$11*(1+'Assumptions'!$D$13)^(15-1)</x:f>
        <x:v>0</x:v>
      </x:c>
      <x:c r="AB1908" s="10" t="n">
        <x:f>F1908/1</x:f>
        <x:v>10.231665449188197</x:v>
      </x:c>
      <x:c r="AC1908" s="10" t="n">
        <x:f>AB1908/'Assumptions'!$AM$138</x:f>
        <x:v>102.31665449188196</x:v>
      </x:c>
      <x:c r="AD1908" s="10" t="n">
        <x:f>IF(AB1908=0,0,T1908/AB1908)</x:f>
        <x:v>542.8253955258243</x:v>
      </x:c>
      <x:c r="AE1908" s="10" t="n">
        <x:f>AA1908*'Assumptions'!$D$21</x:f>
        <x:v>0</x:v>
      </x:c>
    </x:row>
    <x:row r="1909" ht="16" customHeight="1">
      <x:c r="A1909" s="1"/>
      <x:c r="B1909" s="1"/>
      <x:c r="C1909" s="1" t="str">
        <x:v>DOT-110</x:v>
      </x:c>
      <x:c r="D1909" s="10" t="str">
        <x:v>LesPetitFilms</x:v>
      </x:c>
      <x:c r="E1909" s="10" t="n">
        <x:v>15</x:v>
      </x:c>
      <x:c r="F1909" s="21" t="n">
        <x:f>F1781*(1+'Assumptions'!$M$139)</x:f>
        <x:v>10.231665449188197</x:v>
      </x:c>
      <x:c r="G1909" s="21" t="n">
        <x:f>H1781*'Assumptions'!$K$139</x:f>
        <x:v>5.266286802635726</x:v>
      </x:c>
      <x:c r="H1909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1909+G1909,NA())</x:f>
        <x:v>15.497952251823923</x:v>
      </x:c>
      <x:c r="I1909" s="22" t="n">
        <x:f>'Assumptions'!$H$139*IF('Assumptions'!$O$139=1,1,'Assumptions'!$D$10)*(1+'Assumptions'!$N$139)^(15-1)</x:f>
        <x:v>1979.2181445943086</x:v>
      </x:c>
      <x:c r="J1909" s="10" t="n">
        <x:f>H1909*I1909</x:f>
        <x:v>30673.82830086613</x:v>
      </x:c>
      <x:c r="K1909" s="10" t="n">
        <x:f>J1909*'Assumptions'!$T$139</x:f>
        <x:v>30673.82830086613</x:v>
      </x:c>
      <x:c r="L1909" s="10" t="n">
        <x:f>K1909*'Assumptions'!$U$139</x:f>
        <x:v>920.2148490259839</x:v>
      </x:c>
      <x:c r="M1909" s="10" t="n">
        <x:f>K1909*'Assumptions'!$V$139</x:f>
        <x:v>0</x:v>
      </x:c>
      <x:c r="N1909" s="10" t="n">
        <x:f>K1909-L1909-M1909</x:f>
        <x:v>29753.61345184015</x:v>
      </x:c>
      <x:c r="O1909" s="10" t="n">
        <x:f>H1909*'Assumptions'!$P$139*'Assumptions'!$Q$139*'Assumptions'!$D$11*(1+'Assumptions'!$D$13)^(15-1)</x:f>
        <x:v>10548.919499581805</x:v>
      </x:c>
      <x:c r="P1909" s="10" t="n">
        <x:f>H1909*'Assumptions'!$R$139*'Assumptions'!$D$11*(1+'Assumptions'!$D$13)^(15-1)</x:f>
        <x:v>4688.408666480802</x:v>
      </x:c>
      <x:c r="Q1909" s="10" t="n">
        <x:f>J1909*'Assumptions'!$S$139</x:f>
        <x:v>0</x:v>
      </x:c>
      <x:c r="R1909" s="10" t="n">
        <x:f>H1909*'Assumptions'!$Y$139*'Assumptions'!$Z$139*'Assumptions'!$D$11*(1+'Assumptions'!$D$13)^(15-1)</x:f>
        <x:v>351.6306499860601</x:v>
      </x:c>
      <x:c r="S1909" s="10" t="n">
        <x:f>IF(I1909=0,0,J1909*'Assumptions'!$W$139+H1909*'Assumptions'!$X$139)</x:f>
        <x:v>894.190406400665</x:v>
      </x:c>
      <x:c r="T1909" s="10" t="n">
        <x:f>N1909*'Assumptions'!$AA$139</x:f>
        <x:v>2380.2890761472117</x:v>
      </x:c>
      <x:c r="U1909" s="10" t="n">
        <x:f>'Assumptions'!$AE$139*'Assumptions'!$D$11*(1+'Assumptions'!$D$13)^(15-1)</x:f>
        <x:v>0</x:v>
      </x:c>
      <x:c r="V1909" s="10" t="n">
        <x:f>0</x:f>
        <x:v>0</x:v>
      </x:c>
      <x:c r="W1909" s="10" t="n">
        <x:f>H1909*('Assumptions'!$P$139+'Assumptions'!$Y$139)</x:f>
        <x:v>162.7284986441512</x:v>
      </x:c>
      <x:c r="X1909" s="10" t="n">
        <x:f>N1909/12*'Assumptions'!$AF$139</x:f>
        <x:v>2479.4677876533456</x:v>
      </x:c>
      <x:c r="Y1909" s="10" t="n">
        <x:f>P1909/12</x:f>
        <x:v>390.7007222067335</x:v>
      </x:c>
      <x:c r="Z1909" s="10" t="n">
        <x:f>0</x:f>
        <x:v>0</x:v>
      </x:c>
      <x:c r="AA1909" s="10" t="n">
        <x:f>Z1909*'Assumptions'!$AC$139*'Assumptions'!$D$11*(1+'Assumptions'!$D$13)^(15-1)</x:f>
        <x:v>0</x:v>
      </x:c>
      <x:c r="AB1909" s="10" t="n">
        <x:f>F1909/1</x:f>
        <x:v>10.231665449188197</x:v>
      </x:c>
      <x:c r="AC1909" s="10" t="n">
        <x:f>AB1909/'Assumptions'!$AM$139</x:f>
        <x:v>102.31665449188196</x:v>
      </x:c>
      <x:c r="AD1909" s="10" t="n">
        <x:f>IF(AB1909=0,0,T1909/AB1909)</x:f>
        <x:v>232.6394552253533</x:v>
      </x:c>
      <x:c r="AE1909" s="10" t="n">
        <x:f>AA1909*'Assumptions'!$D$21</x:f>
        <x:v>0</x:v>
      </x:c>
    </x:row>
    <x:row r="1910" ht="16" customHeight="1">
      <x:c r="A1910" s="1"/>
      <x:c r="B1910" s="1"/>
      <x:c r="C1910" s="1" t="str">
        <x:v>DOT-111</x:v>
      </x:c>
      <x:c r="D1910" s="10" t="str">
        <x:v>LesPetitFilms</x:v>
      </x:c>
      <x:c r="E1910" s="10" t="n">
        <x:v>15</x:v>
      </x:c>
      <x:c r="F1910" s="21" t="n">
        <x:f>F1782*(1+'Assumptions'!$M$140)</x:f>
        <x:v>15.347498173782297</x:v>
      </x:c>
      <x:c r="G1910" s="21" t="n">
        <x:f>H1782*'Assumptions'!$K$140</x:f>
        <x:v>7.899430203953588</x:v>
      </x:c>
      <x:c r="H1910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1910+G1910,NA())</x:f>
        <x:v>23.246928377735884</x:v>
      </x:c>
      <x:c r="I1910" s="22" t="n">
        <x:f>'Assumptions'!$H$140*IF('Assumptions'!$O$140=1,1,'Assumptions'!$D$10)*(1+'Assumptions'!$N$140)^(15-1)</x:f>
        <x:v>659.7393815314362</x:v>
      </x:c>
      <x:c r="J1910" s="10" t="n">
        <x:f>H1910*I1910</x:f>
        <x:v>15336.914150433064</x:v>
      </x:c>
      <x:c r="K1910" s="10" t="n">
        <x:f>J1910*'Assumptions'!$T$140</x:f>
        <x:v>15336.914150433064</x:v>
      </x:c>
      <x:c r="L1910" s="10" t="n">
        <x:f>K1910*'Assumptions'!$U$140</x:f>
        <x:v>460.1074245129919</x:v>
      </x:c>
      <x:c r="M1910" s="10" t="n">
        <x:f>K1910*'Assumptions'!$V$140</x:f>
        <x:v>0</x:v>
      </x:c>
      <x:c r="N1910" s="10" t="n">
        <x:f>K1910-L1910-M1910</x:f>
        <x:v>14876.806725920072</x:v>
      </x:c>
      <x:c r="O1910" s="10" t="n">
        <x:f>H1910*'Assumptions'!$P$140*'Assumptions'!$Q$140*'Assumptions'!$D$11*(1+'Assumptions'!$D$13)^(15-1)</x:f>
        <x:v>4219.567799832721</x:v>
      </x:c>
      <x:c r="P1910" s="10" t="n">
        <x:f>H1910*'Assumptions'!$R$140*'Assumptions'!$D$11*(1+'Assumptions'!$D$13)^(15-1)</x:f>
        <x:v>1758.1532499303007</x:v>
      </x:c>
      <x:c r="Q1910" s="10" t="n">
        <x:f>J1910*'Assumptions'!$S$140</x:f>
        <x:v>0</x:v>
      </x:c>
      <x:c r="R1910" s="10" t="n">
        <x:f>H1910*'Assumptions'!$Y$140*'Assumptions'!$Z$140*'Assumptions'!$D$11*(1+'Assumptions'!$D$13)^(15-1)</x:f>
        <x:v>527.4459749790901</x:v>
      </x:c>
      <x:c r="S1910" s="10" t="n">
        <x:f>IF(I1910=0,0,J1910*'Assumptions'!$W$140+H1910*'Assumptions'!$X$140)</x:f>
        <x:v>451.74458887587963</x:v>
      </x:c>
      <x:c r="T1910" s="10" t="n">
        <x:f>N1910*'Assumptions'!$AA$140</x:f>
        <x:v>1190.1445380736059</x:v>
      </x:c>
      <x:c r="U1910" s="10" t="n">
        <x:f>'Assumptions'!$AE$140*'Assumptions'!$D$11*(1+'Assumptions'!$D$13)^(15-1)</x:f>
        <x:v>0</x:v>
      </x:c>
      <x:c r="V1910" s="10" t="n">
        <x:f>0</x:f>
        <x:v>0</x:v>
      </x:c>
      <x:c r="W1910" s="10" t="n">
        <x:f>H1910*('Assumptions'!$P$140+'Assumptions'!$Y$140)</x:f>
        <x:v>81.3642493220756</x:v>
      </x:c>
      <x:c r="X1910" s="10" t="n">
        <x:f>N1910/12*'Assumptions'!$AF$140</x:f>
        <x:v>1239.7338938266728</x:v>
      </x:c>
      <x:c r="Y1910" s="10" t="n">
        <x:f>P1910/12</x:f>
        <x:v>146.51277082752506</x:v>
      </x:c>
      <x:c r="Z1910" s="10" t="n">
        <x:f>0</x:f>
        <x:v>0</x:v>
      </x:c>
      <x:c r="AA1910" s="10" t="n">
        <x:f>Z1910*'Assumptions'!$AC$140*'Assumptions'!$D$11*(1+'Assumptions'!$D$13)^(15-1)</x:f>
        <x:v>0</x:v>
      </x:c>
      <x:c r="AB1910" s="10" t="n">
        <x:f>F1910/1</x:f>
        <x:v>15.347498173782297</x:v>
      </x:c>
      <x:c r="AC1910" s="10" t="n">
        <x:f>AB1910/'Assumptions'!$AM$140</x:f>
        <x:v>153.47498173782296</x:v>
      </x:c>
      <x:c r="AD1910" s="10" t="n">
        <x:f>IF(AB1910=0,0,T1910/AB1910)</x:f>
        <x:v>77.54648507511776</x:v>
      </x:c>
      <x:c r="AE1910" s="10" t="n">
        <x:f>AA1910*'Assumptions'!$D$21</x:f>
        <x:v>0</x:v>
      </x:c>
    </x:row>
    <x:row r="1911" ht="16" customHeight="1">
      <x:c r="A1911" s="1"/>
      <x:c r="B1911" s="1"/>
      <x:c r="C1911" s="1" t="str">
        <x:v>DOT-112</x:v>
      </x:c>
      <x:c r="D1911" s="10" t="str">
        <x:v>Learn Anglais</x:v>
      </x:c>
      <x:c r="E1911" s="10" t="n">
        <x:v>15</x:v>
      </x:c>
      <x:c r="F1911" s="21" t="n">
        <x:f>F1783*(1+'Assumptions'!$M$141)</x:f>
        <x:v>501.61410075743504</x:v>
      </x:c>
      <x:c r="G1911" s="21" t="n">
        <x:f>H1783*'Assumptions'!$K$141</x:f>
        <x:v>1056.5480118889375</x:v>
      </x:c>
      <x:c r="H1911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1911+G1911,NA())</x:f>
        <x:v>1558.1621126463724</x:v>
      </x:c>
      <x:c r="I1911" s="22" t="n">
        <x:f>'Assumptions'!$H$141*IF('Assumptions'!$O$141=1,1,'Assumptions'!$D$10)*(1+'Assumptions'!$N$141)^(15-1)</x:f>
        <x:v>59.37654433782926</x:v>
      </x:c>
      <x:c r="J1911" s="10" t="n">
        <x:f>H1911*I1911</x:f>
        <x:v>92518.28176707304</x:v>
      </x:c>
      <x:c r="K1911" s="10" t="n">
        <x:f>J1911*'Assumptions'!$T$141</x:f>
        <x:v>30839.427255691015</x:v>
      </x:c>
      <x:c r="L1911" s="10" t="n">
        <x:f>K1911*'Assumptions'!$U$141</x:f>
        <x:v>925.1828176707304</x:v>
      </x:c>
      <x:c r="M1911" s="10" t="n">
        <x:f>K1911*'Assumptions'!$V$141</x:f>
        <x:v>0</x:v>
      </x:c>
      <x:c r="N1911" s="10" t="n">
        <x:f>K1911-L1911-M1911</x:f>
        <x:v>29914.244438020283</x:v>
      </x:c>
      <x:c r="O1911" s="10" t="n">
        <x:f>H1911*'Assumptions'!$P$141*'Assumptions'!$Q$141*'Assumptions'!$D$11*(1+'Assumptions'!$D$13)^(15-1)</x:f>
        <x:v>8249.010004366028</x:v>
      </x:c>
      <x:c r="P1911" s="10" t="n">
        <x:f>H1911*'Assumptions'!$R$141*'Assumptions'!$D$11*(1+'Assumptions'!$D$13)^(15-1)</x:f>
        <x:v>0</x:v>
      </x:c>
      <x:c r="Q1911" s="10" t="n">
        <x:f>J1911*'Assumptions'!$S$141</x:f>
        <x:v>0</x:v>
      </x:c>
      <x:c r="R1911" s="10" t="n">
        <x:f>H1911*'Assumptions'!$Y$141*'Assumptions'!$Z$141*'Assumptions'!$D$11*(1+'Assumptions'!$D$13)^(15-1)</x:f>
        <x:v>10605.870005613464</x:v>
      </x:c>
      <x:c r="S1911" s="10" t="n">
        <x:f>IF(I1911=0,0,J1911*'Assumptions'!$W$141+H1911*'Assumptions'!$X$141)</x:f>
        <x:v>3150.47880503903</x:v>
      </x:c>
      <x:c r="T1911" s="10" t="n">
        <x:f>N1911*'Assumptions'!$AA$141</x:f>
        <x:v>1495.7122219010143</x:v>
      </x:c>
      <x:c r="U1911" s="10" t="n">
        <x:f>'Assumptions'!$AE$141*'Assumptions'!$D$11*(1+'Assumptions'!$D$13)^(15-1)</x:f>
        <x:v>0</x:v>
      </x:c>
      <x:c r="V1911" s="10" t="n">
        <x:f>0</x:f>
        <x:v>0</x:v>
      </x:c>
      <x:c r="W1911" s="10" t="n">
        <x:f>H1911*('Assumptions'!$P$141+'Assumptions'!$Y$141)</x:f>
        <x:v>389.5405281615931</x:v>
      </x:c>
      <x:c r="X1911" s="10" t="n">
        <x:f>N1911/12*'Assumptions'!$AF$141</x:f>
        <x:v>0</x:v>
      </x:c>
      <x:c r="Y1911" s="10" t="n">
        <x:f>P1911/12</x:f>
        <x:v>0</x:v>
      </x:c>
      <x:c r="Z1911" s="10" t="n">
        <x:f>0</x:f>
        <x:v>0</x:v>
      </x:c>
      <x:c r="AA1911" s="10" t="n">
        <x:f>Z1911*'Assumptions'!$AC$141*'Assumptions'!$D$11*(1+'Assumptions'!$D$13)^(15-1)</x:f>
        <x:v>0</x:v>
      </x:c>
      <x:c r="AB1911" s="10" t="n">
        <x:f>F1911/1</x:f>
        <x:v>501.61410075743504</x:v>
      </x:c>
      <x:c r="AC1911" s="10" t="n">
        <x:f>AB1911/'Assumptions'!$AM$141</x:f>
        <x:v>10032.2820151487</x:v>
      </x:c>
      <x:c r="AD1911" s="10" t="n">
        <x:f>IF(AB1911=0,0,T1911/AB1911)</x:f>
        <x:v>2.9817985970539818</x:v>
      </x:c>
      <x:c r="AE1911" s="10" t="n">
        <x:f>AA1911*'Assumptions'!$D$21</x:f>
        <x:v>0</x:v>
      </x:c>
    </x:row>
    <x:row r="1912" ht="16" customHeight="1">
      <x:c r="A1912" s="1"/>
      <x:c r="B1912" s="1"/>
      <x:c r="C1912" s="1" t="str">
        <x:v>DOT-113</x:v>
      </x:c>
      <x:c r="D1912" s="10" t="str">
        <x:v>Learn Anglais</x:v>
      </x:c>
      <x:c r="E1912" s="10" t="n">
        <x:v>15</x:v>
      </x:c>
      <x:c r="F1912" s="21" t="n">
        <x:f>F1784*(1+'Assumptions'!$M$142)</x:f>
        <x:v>300.9684604544609</x:v>
      </x:c>
      <x:c r="G1912" s="21" t="n">
        <x:f>H1784*'Assumptions'!$K$142</x:f>
        <x:v>633.9288071333622</x:v>
      </x:c>
      <x:c r="H1912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1912+G1912,NA())</x:f>
        <x:v>934.8972675878231</x:v>
      </x:c>
      <x:c r="I1912" s="22" t="n">
        <x:f>'Assumptions'!$H$142*IF('Assumptions'!$O$142=1,1,'Assumptions'!$D$10)*(1+'Assumptions'!$N$142)^(15-1)</x:f>
        <x:v>112.15569486034416</x:v>
      </x:c>
      <x:c r="J1912" s="10" t="n">
        <x:f>H1912*I1912</x:f>
        <x:v>104854.0526693494</x:v>
      </x:c>
      <x:c r="K1912" s="10" t="n">
        <x:f>J1912*'Assumptions'!$T$142</x:f>
        <x:v>31456.21580080482</x:v>
      </x:c>
      <x:c r="L1912" s="10" t="n">
        <x:f>K1912*'Assumptions'!$U$142</x:f>
        <x:v>943.6864740241446</x:v>
      </x:c>
      <x:c r="M1912" s="10" t="n">
        <x:f>K1912*'Assumptions'!$V$142</x:f>
        <x:v>0</x:v>
      </x:c>
      <x:c r="N1912" s="10" t="n">
        <x:f>K1912-L1912-M1912</x:f>
        <x:v>30512.529326780677</x:v>
      </x:c>
      <x:c r="O1912" s="10" t="n">
        <x:f>H1912*'Assumptions'!$P$142*'Assumptions'!$Q$142*'Assumptions'!$D$11*(1+'Assumptions'!$D$13)^(15-1)</x:f>
        <x:v>4949.406002619614</x:v>
      </x:c>
      <x:c r="P1912" s="10" t="n">
        <x:f>H1912*'Assumptions'!$R$142*'Assumptions'!$D$11*(1+'Assumptions'!$D$13)^(15-1)</x:f>
        <x:v>0</x:v>
      </x:c>
      <x:c r="Q1912" s="10" t="n">
        <x:f>J1912*'Assumptions'!$S$142</x:f>
        <x:v>0</x:v>
      </x:c>
      <x:c r="R1912" s="10" t="n">
        <x:f>H1912*'Assumptions'!$Y$142*'Assumptions'!$Z$142*'Assumptions'!$D$11*(1+'Assumptions'!$D$13)^(15-1)</x:f>
        <x:v>6363.522003368074</x:v>
      </x:c>
      <x:c r="S1912" s="10" t="n">
        <x:f>IF(I1912=0,0,J1912*'Assumptions'!$W$142+H1912*'Assumptions'!$X$142)</x:f>
        <x:v>3321.23670768748</x:v>
      </x:c>
      <x:c r="T1912" s="10" t="n">
        <x:f>N1912*'Assumptions'!$AA$142</x:f>
        <x:v>1525.6264663390339</x:v>
      </x:c>
      <x:c r="U1912" s="10" t="n">
        <x:f>'Assumptions'!$AE$142*'Assumptions'!$D$11*(1+'Assumptions'!$D$13)^(15-1)</x:f>
        <x:v>0</x:v>
      </x:c>
      <x:c r="V1912" s="10" t="n">
        <x:f>0</x:f>
        <x:v>0</x:v>
      </x:c>
      <x:c r="W1912" s="10" t="n">
        <x:f>H1912*('Assumptions'!$P$142+'Assumptions'!$Y$142)</x:f>
        <x:v>233.72431689695577</x:v>
      </x:c>
      <x:c r="X1912" s="10" t="n">
        <x:f>N1912/12*'Assumptions'!$AF$142</x:f>
        <x:v>0</x:v>
      </x:c>
      <x:c r="Y1912" s="10" t="n">
        <x:f>P1912/12</x:f>
        <x:v>0</x:v>
      </x:c>
      <x:c r="Z1912" s="10" t="n">
        <x:f>0</x:f>
        <x:v>0</x:v>
      </x:c>
      <x:c r="AA1912" s="10" t="n">
        <x:f>Z1912*'Assumptions'!$AC$142*'Assumptions'!$D$11*(1+'Assumptions'!$D$13)^(15-1)</x:f>
        <x:v>0</x:v>
      </x:c>
      <x:c r="AB1912" s="10" t="n">
        <x:f>F1912/1</x:f>
        <x:v>300.9684604544609</x:v>
      </x:c>
      <x:c r="AC1912" s="10" t="n">
        <x:f>AB1912/'Assumptions'!$AM$142</x:f>
        <x:v>6019.369209089218</x:v>
      </x:c>
      <x:c r="AD1912" s="10" t="n">
        <x:f>IF(AB1912=0,0,T1912/AB1912)</x:f>
        <x:v>5.069057614991768</x:v>
      </x:c>
      <x:c r="AE1912" s="10" t="n">
        <x:f>AA1912*'Assumptions'!$D$21</x:f>
        <x:v>0</x:v>
      </x:c>
    </x:row>
    <x:row r="1913" ht="16" customHeight="1">
      <x:c r="A1913" s="1"/>
      <x:c r="B1913" s="1"/>
      <x:c r="C1913" s="1" t="str">
        <x:v>DOT-114</x:v>
      </x:c>
      <x:c r="D1913" s="10" t="str">
        <x:v>Learn Anglais</x:v>
      </x:c>
      <x:c r="E1913" s="10" t="n">
        <x:v>15</x:v>
      </x:c>
      <x:c r="F1913" s="21" t="n">
        <x:f>F1785*(1+'Assumptions'!$M$143)</x:f>
        <x:v>423.09326645104323</x:v>
      </x:c>
      <x:c r="G1913" s="21" t="n">
        <x:f>H1785*'Assumptions'!$K$143</x:f>
        <x:v>135.60680315330825</x:v>
      </x:c>
      <x:c r="H1913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1913+G1913,NA())</x:f>
        <x:v>558.7000696043515</x:v>
      </x:c>
      <x:c r="I1913" s="22" t="n">
        <x:f>'Assumptions'!$H$143*IF('Assumptions'!$O$143=1,1,'Assumptions'!$D$10)*(1+'Assumptions'!$N$143)^(15-1)</x:f>
        <x:v>38.2648841288233</x:v>
      </x:c>
      <x:c r="J1913" s="10" t="n">
        <x:f>H1913*I1913</x:f>
        <x:v>21378.59342617602</x:v>
      </x:c>
      <x:c r="K1913" s="10" t="n">
        <x:f>J1913*'Assumptions'!$T$143</x:f>
        <x:v>21378.59342617602</x:v>
      </x:c>
      <x:c r="L1913" s="10" t="n">
        <x:f>K1913*'Assumptions'!$U$143</x:f>
        <x:v>641.3578027852806</x:v>
      </x:c>
      <x:c r="M1913" s="10" t="n">
        <x:f>K1913*'Assumptions'!$V$143</x:f>
        <x:v>0</x:v>
      </x:c>
      <x:c r="N1913" s="10" t="n">
        <x:f>K1913-L1913-M1913</x:f>
        <x:v>20737.235623390738</x:v>
      </x:c>
      <x:c r="O1913" s="10" t="n">
        <x:f>H1913*'Assumptions'!$P$143*'Assumptions'!$Q$143*'Assumptions'!$D$11*(1+'Assumptions'!$D$13)^(15-1)</x:f>
        <x:v>4436.690918936733</x:v>
      </x:c>
      <x:c r="P1913" s="10" t="n">
        <x:f>H1913*'Assumptions'!$R$143*'Assumptions'!$D$11*(1+'Assumptions'!$D$13)^(15-1)</x:f>
        <x:v>0</x:v>
      </x:c>
      <x:c r="Q1913" s="10" t="n">
        <x:f>J1913*'Assumptions'!$S$143</x:f>
        <x:v>0</x:v>
      </x:c>
      <x:c r="R1913" s="10" t="n">
        <x:f>H1913*'Assumptions'!$Y$143*'Assumptions'!$Z$143*'Assumptions'!$D$11*(1+'Assumptions'!$D$13)^(15-1)</x:f>
        <x:v>2535.2519536781338</x:v>
      </x:c>
      <x:c r="S1913" s="10" t="n">
        <x:f>IF(I1913=0,0,J1913*'Assumptions'!$W$143+H1913*'Assumptions'!$X$143)</x:f>
        <x:v>787.5892302404101</x:v>
      </x:c>
      <x:c r="T1913" s="10" t="n">
        <x:f>N1913*'Assumptions'!$AA$143</x:f>
        <x:v>1036.861781169537</x:v>
      </x:c>
      <x:c r="U1913" s="10" t="n">
        <x:f>'Assumptions'!$AE$143*'Assumptions'!$D$11*(1+'Assumptions'!$D$13)^(15-1)</x:f>
        <x:v>0</x:v>
      </x:c>
      <x:c r="V1913" s="10" t="n">
        <x:f>0</x:f>
        <x:v>0</x:v>
      </x:c>
      <x:c r="W1913" s="10" t="n">
        <x:f>H1913*('Assumptions'!$P$143+'Assumptions'!$Y$143)</x:f>
        <x:v>139.67501740108787</x:v>
      </x:c>
      <x:c r="X1913" s="10" t="n">
        <x:f>N1913/12*'Assumptions'!$AF$143</x:f>
        <x:v>0</x:v>
      </x:c>
      <x:c r="Y1913" s="10" t="n">
        <x:f>P1913/12</x:f>
        <x:v>0</x:v>
      </x:c>
      <x:c r="Z1913" s="10" t="n">
        <x:f>0</x:f>
        <x:v>0</x:v>
      </x:c>
      <x:c r="AA1913" s="10" t="n">
        <x:f>Z1913*'Assumptions'!$AC$143*'Assumptions'!$D$11*(1+'Assumptions'!$D$13)^(15-1)</x:f>
        <x:v>0</x:v>
      </x:c>
      <x:c r="AB1913" s="10" t="n">
        <x:f>F1913/1</x:f>
        <x:v>423.09326645104323</x:v>
      </x:c>
      <x:c r="AC1913" s="10" t="n">
        <x:f>AB1913/'Assumptions'!$AM$143</x:f>
        <x:v>8461.865329020864</x:v>
      </x:c>
      <x:c r="AD1913" s="10" t="n">
        <x:f>IF(AB1913=0,0,T1913/AB1913)</x:f>
        <x:v>2.4506695411790815</x:v>
      </x:c>
      <x:c r="AE1913" s="10" t="n">
        <x:f>AA1913*'Assumptions'!$D$21</x:f>
        <x:v>0</x:v>
      </x:c>
    </x:row>
    <x:row r="1914" ht="16" customHeight="1">
      <x:c r="A1914" s="1"/>
      <x:c r="B1914" s="1"/>
      <x:c r="C1914" s="1" t="str">
        <x:v>DOT-115</x:v>
      </x:c>
      <x:c r="D1914" s="10" t="str">
        <x:v>Learn Anglais</x:v>
      </x:c>
      <x:c r="E1914" s="10" t="n">
        <x:v>15</x:v>
      </x:c>
      <x:c r="F1914" s="21" t="n">
        <x:f>F1786*(1+'Assumptions'!$M$144)</x:f>
        <x:v>200.645640302974</x:v>
      </x:c>
      <x:c r="G1914" s="21" t="n">
        <x:f>H1786*'Assumptions'!$K$144</x:f>
        <x:v>422.2122709118656</x:v>
      </x:c>
      <x:c r="H1914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1914+G1914,NA())</x:f>
        <x:v>622.8579112148395</x:v>
      </x:c>
      <x:c r="I1914" s="22" t="n">
        <x:f>'Assumptions'!$H$144*IF('Assumptions'!$O$144=1,1,'Assumptions'!$D$10)*(1+'Assumptions'!$N$144)^(15-1)</x:f>
        <x:v>59.37654433782926</x:v>
      </x:c>
      <x:c r="J1914" s="10" t="n">
        <x:f>H1914*I1914</x:f>
        <x:v>36983.15038141564</x:v>
      </x:c>
      <x:c r="K1914" s="10" t="n">
        <x:f>J1914*'Assumptions'!$T$144</x:f>
        <x:v>12327.716793805212</x:v>
      </x:c>
      <x:c r="L1914" s="10" t="n">
        <x:f>K1914*'Assumptions'!$U$144</x:f>
        <x:v>369.83150381415635</x:v>
      </x:c>
      <x:c r="M1914" s="10" t="n">
        <x:f>K1914*'Assumptions'!$V$144</x:f>
        <x:v>0</x:v>
      </x:c>
      <x:c r="N1914" s="10" t="n">
        <x:f>K1914-L1914-M1914</x:f>
        <x:v>11957.885289991056</x:v>
      </x:c>
      <x:c r="O1914" s="10" t="n">
        <x:f>H1914*'Assumptions'!$P$144*'Assumptions'!$Q$144*'Assumptions'!$D$11*(1+'Assumptions'!$D$13)^(15-1)</x:f>
        <x:v>4946.17450187849</x:v>
      </x:c>
      <x:c r="P1914" s="10" t="n">
        <x:f>H1914*'Assumptions'!$R$144*'Assumptions'!$D$11*(1+'Assumptions'!$D$13)^(15-1)</x:f>
        <x:v>0</x:v>
      </x:c>
      <x:c r="Q1914" s="10" t="n">
        <x:f>J1914*'Assumptions'!$S$144</x:f>
        <x:v>0</x:v>
      </x:c>
      <x:c r="R1914" s="10" t="n">
        <x:f>H1914*'Assumptions'!$Y$144*'Assumptions'!$Z$144*'Assumptions'!$D$11*(1+'Assumptions'!$D$13)^(15-1)</x:f>
        <x:v>4239.5781444672775</x:v>
      </x:c>
      <x:c r="S1914" s="10" t="n">
        <x:f>IF(I1914=0,0,J1914*'Assumptions'!$W$144+H1914*'Assumptions'!$X$144)</x:f>
        <x:v>1259.3687344255054</x:v>
      </x:c>
      <x:c r="T1914" s="10" t="n">
        <x:f>N1914*'Assumptions'!$AA$144</x:f>
        <x:v>597.8942644995528</x:v>
      </x:c>
      <x:c r="U1914" s="10" t="n">
        <x:f>'Assumptions'!$AE$144*'Assumptions'!$D$11*(1+'Assumptions'!$D$13)^(15-1)</x:f>
        <x:v>0</x:v>
      </x:c>
      <x:c r="V1914" s="10" t="n">
        <x:f>0</x:f>
        <x:v>0</x:v>
      </x:c>
      <x:c r="W1914" s="10" t="n">
        <x:f>H1914*('Assumptions'!$P$144+'Assumptions'!$Y$144)</x:f>
        <x:v>186.85737336445186</x:v>
      </x:c>
      <x:c r="X1914" s="10" t="n">
        <x:f>N1914/12*'Assumptions'!$AF$144</x:f>
        <x:v>0</x:v>
      </x:c>
      <x:c r="Y1914" s="10" t="n">
        <x:f>P1914/12</x:f>
        <x:v>0</x:v>
      </x:c>
      <x:c r="Z1914" s="10" t="n">
        <x:f>0</x:f>
        <x:v>0</x:v>
      </x:c>
      <x:c r="AA1914" s="10" t="n">
        <x:f>Z1914*'Assumptions'!$AC$144*'Assumptions'!$D$11*(1+'Assumptions'!$D$13)^(15-1)</x:f>
        <x:v>0</x:v>
      </x:c>
      <x:c r="AB1914" s="10" t="n">
        <x:f>F1914/1</x:f>
        <x:v>200.645640302974</x:v>
      </x:c>
      <x:c r="AC1914" s="10" t="n">
        <x:f>AB1914/'Assumptions'!$AM$144</x:f>
        <x:v>4012.9128060594794</x:v>
      </x:c>
      <x:c r="AD1914" s="10" t="n">
        <x:f>IF(AB1914=0,0,T1914/AB1914)</x:f>
        <x:v>2.9798517605303325</x:v>
      </x:c>
      <x:c r="AE1914" s="10" t="n">
        <x:f>AA1914*'Assumptions'!$D$21</x:f>
        <x:v>0</x:v>
      </x:c>
    </x:row>
    <x:row r="1915" ht="16" customHeight="1">
      <x:c r="A1915" s="1"/>
      <x:c r="B1915" s="1"/>
      <x:c r="C1915" s="1" t="str">
        <x:v>DOT-116</x:v>
      </x:c>
      <x:c r="D1915" s="10" t="str">
        <x:v>Fiefé</x:v>
      </x:c>
      <x:c r="E1915" s="10" t="n">
        <x:v>15</x:v>
      </x:c>
      <x:c r="F1915" s="21" t="n">
        <x:f>F1787*(1+'Assumptions'!$M$145)</x:f>
        <x:v>71.05319562160112</x:v>
      </x:c>
      <x:c r="G1915" s="21" t="n">
        <x:f>H1787*'Assumptions'!$K$145</x:f>
        <x:v>29.199928277450816</x:v>
      </x:c>
      <x:c r="H1915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1915+G1915,NA())</x:f>
        <x:v>100.25312389905193</x:v>
      </x:c>
      <x:c r="I1915" s="22" t="n">
        <x:f>'Assumptions'!$H$145*IF('Assumptions'!$O$145=1,1,'Assumptions'!$D$10)*(1+'Assumptions'!$N$145)^(15-1)</x:f>
        <x:v>593.7654433782926</x:v>
      </x:c>
      <x:c r="J1915" s="10" t="n">
        <x:f>H1915*I1915</x:f>
        <x:v>59526.84056197947</x:v>
      </x:c>
      <x:c r="K1915" s="10" t="n">
        <x:f>J1915*'Assumptions'!$T$145</x:f>
        <x:v>59526.84056197947</x:v>
      </x:c>
      <x:c r="L1915" s="10" t="n">
        <x:f>K1915*'Assumptions'!$U$145</x:f>
        <x:v>1785.805216859384</x:v>
      </x:c>
      <x:c r="M1915" s="10" t="n">
        <x:f>K1915*'Assumptions'!$V$145</x:f>
        <x:v>1190.5368112395895</x:v>
      </x:c>
      <x:c r="N1915" s="10" t="n">
        <x:f>K1915-L1915-M1915</x:f>
        <x:v>56550.4985338805</x:v>
      </x:c>
      <x:c r="O1915" s="10" t="n">
        <x:f>H1915*'Assumptions'!$P$145*'Assumptions'!$Q$145*'Assumptions'!$D$11*(1+'Assumptions'!$D$13)^(15-1)</x:f>
        <x:v>3791.04612735831</x:v>
      </x:c>
      <x:c r="P1915" s="10" t="n">
        <x:f>H1915*'Assumptions'!$R$145*'Assumptions'!$D$11*(1+'Assumptions'!$D$13)^(15-1)</x:f>
        <x:v>37910.4612735831</x:v>
      </x:c>
      <x:c r="Q1915" s="10" t="n">
        <x:f>J1915*'Assumptions'!$S$145</x:f>
        <x:v>0</x:v>
      </x:c>
      <x:c r="R1915" s="10" t="n">
        <x:f>H1915*'Assumptions'!$Y$145*'Assumptions'!$Z$145*'Assumptions'!$D$11*(1+'Assumptions'!$D$13)^(15-1)</x:f>
        <x:v>682.3883029244957</x:v>
      </x:c>
      <x:c r="S1915" s="10" t="n">
        <x:f>IF(I1915=0,0,J1915*'Assumptions'!$W$145+H1915*'Assumptions'!$X$145)</x:f>
        <x:v>1756.3543134671204</x:v>
      </x:c>
      <x:c r="T1915" s="10" t="n">
        <x:f>N1915*'Assumptions'!$AA$145</x:f>
        <x:v>4524.03988271044</x:v>
      </x:c>
      <x:c r="U1915" s="10" t="n">
        <x:f>'Assumptions'!$AE$145*'Assumptions'!$D$11*(1+'Assumptions'!$D$13)^(15-1)</x:f>
        <x:v>0</x:v>
      </x:c>
      <x:c r="V1915" s="10" t="n">
        <x:f>0</x:f>
        <x:v>0</x:v>
      </x:c>
      <x:c r="W1915" s="10" t="n">
        <x:f>H1915*('Assumptions'!$P$145+'Assumptions'!$Y$145)</x:f>
        <x:v>65.16453053438376</x:v>
      </x:c>
      <x:c r="X1915" s="10" t="n">
        <x:f>N1915/12*'Assumptions'!$AF$145</x:f>
        <x:v>0</x:v>
      </x:c>
      <x:c r="Y1915" s="10" t="n">
        <x:f>P1915/12</x:f>
        <x:v>3159.2051061319253</x:v>
      </x:c>
      <x:c r="Z1915" s="10" t="n">
        <x:f>0</x:f>
        <x:v>0</x:v>
      </x:c>
      <x:c r="AA1915" s="10" t="n">
        <x:f>Z1915*'Assumptions'!$AC$145*'Assumptions'!$D$11*(1+'Assumptions'!$D$13)^(15-1)</x:f>
        <x:v>0</x:v>
      </x:c>
      <x:c r="AB1915" s="10" t="n">
        <x:f>F1915/1</x:f>
        <x:v>71.05319562160112</x:v>
      </x:c>
      <x:c r="AC1915" s="10" t="n">
        <x:f>AB1915/'Assumptions'!$AM$145</x:f>
        <x:v>2368.4398540533707</x:v>
      </x:c>
      <x:c r="AD1915" s="10" t="n">
        <x:f>IF(AB1915=0,0,T1915/AB1915)</x:f>
        <x:v>63.67116697753523</x:v>
      </x:c>
      <x:c r="AE1915" s="10" t="n">
        <x:f>AA1915*'Assumptions'!$D$21</x:f>
        <x:v>0</x:v>
      </x:c>
    </x:row>
    <x:row r="1916" ht="16" customHeight="1">
      <x:c r="A1916" s="1"/>
      <x:c r="B1916" s="1"/>
      <x:c r="C1916" s="1" t="str">
        <x:v>DOT-117</x:v>
      </x:c>
      <x:c r="D1916" s="10" t="str">
        <x:v>Fiefé</x:v>
      </x:c>
      <x:c r="E1916" s="10" t="n">
        <x:v>15</x:v>
      </x:c>
      <x:c r="F1916" s="21" t="n">
        <x:f>F1788*(1+'Assumptions'!$M$146)</x:f>
        <x:v>88.81649452700141</x:v>
      </x:c>
      <x:c r="G1916" s="21" t="n">
        <x:f>H1788*'Assumptions'!$K$146</x:f>
        <x:v>36.49991034681353</x:v>
      </x:c>
      <x:c r="H1916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1916+G1916,NA())</x:f>
        <x:v>125.31640487381495</x:v>
      </x:c>
      <x:c r="I1916" s="22" t="n">
        <x:f>'Assumptions'!$H$146*IF('Assumptions'!$O$146=1,1,'Assumptions'!$D$10)*(1+'Assumptions'!$N$146)^(15-1)</x:f>
        <x:v>230.90878353600266</x:v>
      </x:c>
      <x:c r="J1916" s="10" t="n">
        <x:f>H1916*I1916</x:f>
        <x:v>28936.658606517805</x:v>
      </x:c>
      <x:c r="K1916" s="10" t="n">
        <x:f>J1916*'Assumptions'!$T$146</x:f>
        <x:v>28936.658606517805</x:v>
      </x:c>
      <x:c r="L1916" s="10" t="n">
        <x:f>K1916*'Assumptions'!$U$146</x:f>
        <x:v>868.0997581955342</x:v>
      </x:c>
      <x:c r="M1916" s="10" t="n">
        <x:f>K1916*'Assumptions'!$V$146</x:f>
        <x:v>578.7331721303561</x:v>
      </x:c>
      <x:c r="N1916" s="10" t="n">
        <x:f>K1916-L1916-M1916</x:f>
        <x:v>27489.825676191915</x:v>
      </x:c>
      <x:c r="O1916" s="10" t="n">
        <x:f>H1916*'Assumptions'!$P$146*'Assumptions'!$Q$146*'Assumptions'!$D$11*(1+'Assumptions'!$D$13)^(15-1)</x:f>
        <x:v>2132.46344663905</x:v>
      </x:c>
      <x:c r="P1916" s="10" t="n">
        <x:f>H1916*'Assumptions'!$R$146*'Assumptions'!$D$11*(1+'Assumptions'!$D$13)^(15-1)</x:f>
        <x:v>15164.184509433244</x:v>
      </x:c>
      <x:c r="Q1916" s="10" t="n">
        <x:f>J1916*'Assumptions'!$S$146</x:f>
        <x:v>0</x:v>
      </x:c>
      <x:c r="R1916" s="10" t="n">
        <x:f>H1916*'Assumptions'!$Y$146*'Assumptions'!$Z$146*'Assumptions'!$D$11*(1+'Assumptions'!$D$13)^(15-1)</x:f>
        <x:v>852.9853786556199</x:v>
      </x:c>
      <x:c r="S1916" s="10" t="n">
        <x:f>IF(I1916=0,0,J1916*'Assumptions'!$W$146+H1916*'Assumptions'!$X$146)</x:f>
        <x:v>876.7580210511609</x:v>
      </x:c>
      <x:c r="T1916" s="10" t="n">
        <x:f>N1916*'Assumptions'!$AA$146</x:f>
        <x:v>2199.186054095353</x:v>
      </x:c>
      <x:c r="U1916" s="10" t="n">
        <x:f>'Assumptions'!$AE$146*'Assumptions'!$D$11*(1+'Assumptions'!$D$13)^(15-1)</x:f>
        <x:v>0</x:v>
      </x:c>
      <x:c r="V1916" s="10" t="n">
        <x:f>0</x:f>
        <x:v>0</x:v>
      </x:c>
      <x:c r="W1916" s="10" t="n">
        <x:f>H1916*('Assumptions'!$P$146+'Assumptions'!$Y$146)</x:f>
        <x:v>50.12656194952598</x:v>
      </x:c>
      <x:c r="X1916" s="10" t="n">
        <x:f>N1916/12*'Assumptions'!$AF$146</x:f>
        <x:v>0</x:v>
      </x:c>
      <x:c r="Y1916" s="10" t="n">
        <x:f>P1916/12</x:f>
        <x:v>1263.6820424527702</x:v>
      </x:c>
      <x:c r="Z1916" s="10" t="n">
        <x:f>0</x:f>
        <x:v>0</x:v>
      </x:c>
      <x:c r="AA1916" s="10" t="n">
        <x:f>Z1916*'Assumptions'!$AC$146*'Assumptions'!$D$11*(1+'Assumptions'!$D$13)^(15-1)</x:f>
        <x:v>0</x:v>
      </x:c>
      <x:c r="AB1916" s="10" t="n">
        <x:f>F1916/1</x:f>
        <x:v>88.81649452700141</x:v>
      </x:c>
      <x:c r="AC1916" s="10" t="n">
        <x:f>AB1916/'Assumptions'!$AM$146</x:f>
        <x:v>2960.549817566714</x:v>
      </x:c>
      <x:c r="AD1916" s="10" t="n">
        <x:f>IF(AB1916=0,0,T1916/AB1916)</x:f>
        <x:v>24.76100938015259</x:v>
      </x:c>
      <x:c r="AE1916" s="10" t="n">
        <x:f>AA1916*'Assumptions'!$D$21</x:f>
        <x:v>0</x:v>
      </x:c>
    </x:row>
    <x:row r="1917" ht="16" customHeight="1">
      <x:c r="A1917" s="1"/>
      <x:c r="B1917" s="1"/>
      <x:c r="C1917" s="1" t="str">
        <x:v>DOT-118</x:v>
      </x:c>
      <x:c r="D1917" s="10" t="str">
        <x:v>Fiefé Design</x:v>
      </x:c>
      <x:c r="E1917" s="10" t="n">
        <x:v>15</x:v>
      </x:c>
      <x:c r="F1917" s="21" t="n">
        <x:f>F1789*(1+'Assumptions'!$M$147)</x:f>
        <x:v>11.842199270266855</x:v>
      </x:c>
      <x:c r="G1917" s="21" t="n">
        <x:f>H1789*'Assumptions'!$K$147</x:f>
        <x:v>4.8666547129084705</x:v>
      </x:c>
      <x:c r="H1917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1917+G1917,NA())</x:f>
        <x:v>16.708853983175324</x:v>
      </x:c>
      <x:c r="I1917" s="22" t="n">
        <x:f>'Assumptions'!$H$147*IF('Assumptions'!$O$147=1,1,'Assumptions'!$D$10)*(1+'Assumptions'!$N$147)^(15-1)</x:f>
        <x:v>3298.696907657181</x:v>
      </x:c>
      <x:c r="J1917" s="10" t="n">
        <x:f>H1917*I1917</x:f>
        <x:v>55117.44496479581</x:v>
      </x:c>
      <x:c r="K1917" s="10" t="n">
        <x:f>J1917*'Assumptions'!$T$147</x:f>
        <x:v>55117.44496479581</x:v>
      </x:c>
      <x:c r="L1917" s="10" t="n">
        <x:f>K1917*'Assumptions'!$U$147</x:f>
        <x:v>1653.5233489438742</x:v>
      </x:c>
      <x:c r="M1917" s="10" t="n">
        <x:f>K1917*'Assumptions'!$V$147</x:f>
        <x:v>1102.3488992959162</x:v>
      </x:c>
      <x:c r="N1917" s="10" t="n">
        <x:f>K1917-L1917-M1917</x:f>
        <x:v>52361.57271655602</x:v>
      </x:c>
      <x:c r="O1917" s="10" t="n">
        <x:f>H1917*'Assumptions'!$P$147*'Assumptions'!$Q$147*'Assumptions'!$D$11*(1+'Assumptions'!$D$13)^(15-1)</x:f>
        <x:v>12131.347607546593</x:v>
      </x:c>
      <x:c r="P1917" s="10" t="n">
        <x:f>H1917*'Assumptions'!$R$147*'Assumptions'!$D$11*(1+'Assumptions'!$D$13)^(15-1)</x:f>
        <x:v>22746.276764149865</x:v>
      </x:c>
      <x:c r="Q1917" s="10" t="n">
        <x:f>J1917*'Assumptions'!$S$147</x:f>
        <x:v>0</x:v>
      </x:c>
      <x:c r="R1917" s="10" t="n">
        <x:f>H1917*'Assumptions'!$Y$147*'Assumptions'!$Z$147*'Assumptions'!$D$11*(1+'Assumptions'!$D$13)^(15-1)</x:f>
        <x:v>113.73138382074931</x:v>
      </x:c>
      <x:c r="S1917" s="10" t="n">
        <x:f>IF(I1917=0,0,J1917*'Assumptions'!$W$147+H1917*'Assumptions'!$X$147)</x:f>
        <x:v>1603.4185601740312</x:v>
      </x:c>
      <x:c r="T1917" s="10" t="n">
        <x:f>N1917*'Assumptions'!$AA$147</x:f>
        <x:v>4188.925817324482</x:v>
      </x:c>
      <x:c r="U1917" s="10" t="n">
        <x:f>'Assumptions'!$AE$147*'Assumptions'!$D$11*(1+'Assumptions'!$D$13)^(15-1)</x:f>
        <x:v>0</x:v>
      </x:c>
      <x:c r="V1917" s="10" t="n">
        <x:f>0</x:f>
        <x:v>0</x:v>
      </x:c>
      <x:c r="W1917" s="10" t="n">
        <x:f>H1917*('Assumptions'!$P$147+'Assumptions'!$Y$147)</x:f>
        <x:v>136.1771599628789</x:v>
      </x:c>
      <x:c r="X1917" s="10" t="n">
        <x:f>N1917/12*'Assumptions'!$AF$147</x:f>
        <x:v>0</x:v>
      </x:c>
      <x:c r="Y1917" s="10" t="n">
        <x:f>P1917/12</x:f>
        <x:v>1895.5230636791555</x:v>
      </x:c>
      <x:c r="Z1917" s="10" t="n">
        <x:f>0</x:f>
        <x:v>0</x:v>
      </x:c>
      <x:c r="AA1917" s="10" t="n">
        <x:f>Z1917*'Assumptions'!$AC$147*'Assumptions'!$D$11*(1+'Assumptions'!$D$13)^(15-1)</x:f>
        <x:v>0</x:v>
      </x:c>
      <x:c r="AB1917" s="10" t="n">
        <x:f>F1917/1</x:f>
        <x:v>11.842199270266855</x:v>
      </x:c>
      <x:c r="AC1917" s="10" t="n">
        <x:f>AB1917/'Assumptions'!$AM$147</x:f>
        <x:v>394.7399756755618</x:v>
      </x:c>
      <x:c r="AD1917" s="10" t="n">
        <x:f>IF(AB1917=0,0,T1917/AB1917)</x:f>
        <x:v>353.72870543075123</x:v>
      </x:c>
      <x:c r="AE1917" s="10" t="n">
        <x:f>AA1917*'Assumptions'!$D$21</x:f>
        <x:v>0</x:v>
      </x:c>
    </x:row>
    <x:row r="1918" ht="16" customHeight="1">
      <x:c r="A1918" s="1"/>
      <x:c r="B1918" s="1"/>
      <x:c r="C1918" s="1" t="str">
        <x:v>DOT-119</x:v>
      </x:c>
      <x:c r="D1918" s="10" t="str">
        <x:v>OsezArt</x:v>
      </x:c>
      <x:c r="E1918" s="10" t="n">
        <x:v>15</x:v>
      </x:c>
      <x:c r="F1918" s="21" t="n">
        <x:f>F1790*(1+'Assumptions'!$M$148)</x:f>
        <x:v>10.032282015148699</x:v>
      </x:c>
      <x:c r="G1918" s="21" t="n">
        <x:f>H1790*'Assumptions'!$K$148</x:f>
        <x:v>21.110613545593274</x:v>
      </x:c>
      <x:c r="H1918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1918+G1918,NA())</x:f>
        <x:v>31.142895560741973</x:v>
      </x:c>
      <x:c r="I1918" s="22" t="n">
        <x:f>'Assumptions'!$H$148*IF('Assumptions'!$O$148=1,1,'Assumptions'!$D$10)*(1+'Assumptions'!$N$148)^(15-1)</x:f>
        <x:v>6597.393815314362</x:v>
      </x:c>
      <x:c r="J1918" s="10" t="n">
        <x:f>H1918*I1918</x:f>
        <x:v>205461.94656342018</x:v>
      </x:c>
      <x:c r="K1918" s="10" t="n">
        <x:f>J1918*'Assumptions'!$T$148</x:f>
        <x:v>41092.38931268404</x:v>
      </x:c>
      <x:c r="L1918" s="10" t="n">
        <x:f>K1918*'Assumptions'!$U$148</x:f>
        <x:v>1232.7716793805212</x:v>
      </x:c>
      <x:c r="M1918" s="10" t="n">
        <x:f>K1918*'Assumptions'!$V$148</x:f>
        <x:v>0</x:v>
      </x:c>
      <x:c r="N1918" s="10" t="n">
        <x:f>K1918-L1918-M1918</x:f>
        <x:v>39859.61763330352</x:v>
      </x:c>
      <x:c r="O1918" s="10" t="n">
        <x:f>H1918*'Assumptions'!$P$148*'Assumptions'!$Q$148*'Assumptions'!$D$11*(1+'Assumptions'!$D$13)^(15-1)</x:f>
        <x:v>11305.541718579405</x:v>
      </x:c>
      <x:c r="P1918" s="10" t="n">
        <x:f>H1918*'Assumptions'!$R$148*'Assumptions'!$D$11*(1+'Assumptions'!$D$13)^(15-1)</x:f>
        <x:v>0</x:v>
      </x:c>
      <x:c r="Q1918" s="10" t="n">
        <x:f>J1918*'Assumptions'!$S$148</x:f>
        <x:v>0</x:v>
      </x:c>
      <x:c r="R1918" s="10" t="n">
        <x:f>H1918*'Assumptions'!$Y$148*'Assumptions'!$Z$148*'Assumptions'!$D$11*(1+'Assumptions'!$D$13)^(15-1)</x:f>
        <x:v>211.97890722336382</x:v>
      </x:c>
      <x:c r="S1918" s="10" t="n">
        <x:f>IF(I1918=0,0,J1918*'Assumptions'!$W$148+H1918*'Assumptions'!$X$148)</x:f>
        <x:v>5967.739319007408</x:v>
      </x:c>
      <x:c r="T1918" s="10" t="n">
        <x:f>N1918*'Assumptions'!$AA$148</x:f>
        <x:v>1992.980881665176</x:v>
      </x:c>
      <x:c r="U1918" s="10" t="n">
        <x:f>'Assumptions'!$AE$148*'Assumptions'!$D$11*(1+'Assumptions'!$D$13)^(15-1)</x:f>
        <x:v>0</x:v>
      </x:c>
      <x:c r="V1918" s="10" t="n">
        <x:f>0</x:f>
        <x:v>0</x:v>
      </x:c>
      <x:c r="W1918" s="10" t="n">
        <x:f>H1918*('Assumptions'!$P$148+'Assumptions'!$Y$148)</x:f>
        <x:v>129.2430165770792</x:v>
      </x:c>
      <x:c r="X1918" s="10" t="n">
        <x:f>N1918/12*'Assumptions'!$AF$148</x:f>
        <x:v>0</x:v>
      </x:c>
      <x:c r="Y1918" s="10" t="n">
        <x:f>P1918/12</x:f>
        <x:v>0</x:v>
      </x:c>
      <x:c r="Z1918" s="10" t="n">
        <x:f>0</x:f>
        <x:v>0</x:v>
      </x:c>
      <x:c r="AA1918" s="10" t="n">
        <x:f>Z1918*'Assumptions'!$AC$148*'Assumptions'!$D$11*(1+'Assumptions'!$D$13)^(15-1)</x:f>
        <x:v>0</x:v>
      </x:c>
      <x:c r="AB1918" s="10" t="n">
        <x:f>F1918/1</x:f>
        <x:v>10.032282015148699</x:v>
      </x:c>
      <x:c r="AC1918" s="10" t="n">
        <x:f>AB1918/'Assumptions'!$AM$148</x:f>
        <x:v>200.64564030297396</x:v>
      </x:c>
      <x:c r="AD1918" s="10" t="n">
        <x:f>IF(AB1918=0,0,T1918/AB1918)</x:f>
        <x:v>198.65678403535549</x:v>
      </x:c>
      <x:c r="AE1918" s="10" t="n">
        <x:f>AA1918*'Assumptions'!$D$21</x:f>
        <x:v>0</x:v>
      </x:c>
    </x:row>
    <x:row r="1919" ht="16" customHeight="1">
      <x:c r="A1919" s="1"/>
      <x:c r="B1919" s="1"/>
      <x:c r="C1919" s="1" t="str">
        <x:v>DOT-120</x:v>
      </x:c>
      <x:c r="D1919" s="10" t="str">
        <x:v>OsezArt</x:v>
      </x:c>
      <x:c r="E1919" s="10" t="n">
        <x:v>15</x:v>
      </x:c>
      <x:c r="F1919" s="21" t="n">
        <x:f>F1791*(1+'Assumptions'!$M$149)</x:f>
        <x:v>5.9028839129931905</x:v>
      </x:c>
      <x:c r="G1919" s="21" t="n">
        <x:f>H1791*'Assumptions'!$K$149</x:f>
        <x:v>5.5682252744555445</x:v>
      </x:c>
      <x:c r="H1919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1919+G1919,NA())</x:f>
        <x:v>11.471109187448736</x:v>
      </x:c>
      <x:c r="I1919" s="22" t="n">
        <x:f>'Assumptions'!$H$149*IF('Assumptions'!$O$149=1,1,'Assumptions'!$D$10)*(1+'Assumptions'!$N$149)^(15-1)</x:f>
        <x:v>6597.393815314362</x:v>
      </x:c>
      <x:c r="J1919" s="10" t="n">
        <x:f>H1919*I1919</x:f>
        <x:v>75679.42480807005</x:v>
      </x:c>
      <x:c r="K1919" s="10" t="n">
        <x:f>J1919*'Assumptions'!$T$149</x:f>
        <x:v>75679.42480807005</x:v>
      </x:c>
      <x:c r="L1919" s="10" t="n">
        <x:f>K1919*'Assumptions'!$U$149</x:f>
        <x:v>2270.3827442421016</x:v>
      </x:c>
      <x:c r="M1919" s="10" t="n">
        <x:f>K1919*'Assumptions'!$V$149</x:f>
        <x:v>0</x:v>
      </x:c>
      <x:c r="N1919" s="10" t="n">
        <x:f>K1919-L1919-M1919</x:f>
        <x:v>73409.04206382795</x:v>
      </x:c>
      <x:c r="O1919" s="10" t="n">
        <x:f>H1919*'Assumptions'!$P$149*'Assumptions'!$Q$149*'Assumptions'!$D$11*(1+'Assumptions'!$D$13)^(15-1)</x:f>
        <x:v>33834.60968477076</x:v>
      </x:c>
      <x:c r="P1919" s="10" t="n">
        <x:f>H1919*'Assumptions'!$R$149*'Assumptions'!$D$11*(1+'Assumptions'!$D$13)^(15-1)</x:f>
        <x:v>4337.770472406507</x:v>
      </x:c>
      <x:c r="Q1919" s="10" t="n">
        <x:f>J1919*'Assumptions'!$S$149</x:f>
        <x:v>0</x:v>
      </x:c>
      <x:c r="R1919" s="10" t="n">
        <x:f>H1919*'Assumptions'!$Y$149*'Assumptions'!$Z$149*'Assumptions'!$D$11*(1+'Assumptions'!$D$13)^(15-1)</x:f>
        <x:v>130.1331141721952</x:v>
      </x:c>
      <x:c r="S1919" s="10" t="n">
        <x:f>IF(I1919=0,0,J1919*'Assumptions'!$W$149+H1919*'Assumptions'!$X$149)</x:f>
        <x:v>2198.1446521902662</x:v>
      </x:c>
      <x:c r="T1919" s="10" t="n">
        <x:f>N1919*'Assumptions'!$AA$149</x:f>
        <x:v>2936.361682553118</x:v>
      </x:c>
      <x:c r="U1919" s="10" t="n">
        <x:f>'Assumptions'!$AE$149*'Assumptions'!$D$11*(1+'Assumptions'!$D$13)^(15-1)</x:f>
        <x:v>0</x:v>
      </x:c>
      <x:c r="V1919" s="10" t="n">
        <x:f>0</x:f>
        <x:v>0</x:v>
      </x:c>
      <x:c r="W1919" s="10" t="n">
        <x:f>H1919*('Assumptions'!$P$149+'Assumptions'!$Y$149)</x:f>
        <x:v>347.00105292032424</x:v>
      </x:c>
      <x:c r="X1919" s="10" t="n">
        <x:f>N1919/12*'Assumptions'!$AF$149</x:f>
        <x:v>6117.420171985662</x:v>
      </x:c>
      <x:c r="Y1919" s="10" t="n">
        <x:f>P1919/12</x:f>
        <x:v>361.48087270054225</x:v>
      </x:c>
      <x:c r="Z1919" s="10" t="n">
        <x:f>0</x:f>
        <x:v>0</x:v>
      </x:c>
      <x:c r="AA1919" s="10" t="n">
        <x:f>Z1919*'Assumptions'!$AC$149*'Assumptions'!$D$11*(1+'Assumptions'!$D$13)^(15-1)</x:f>
        <x:v>0</x:v>
      </x:c>
      <x:c r="AB1919" s="10" t="n">
        <x:f>F1919/1</x:f>
        <x:v>5.9028839129931905</x:v>
      </x:c>
      <x:c r="AC1919" s="10" t="n">
        <x:f>AB1919/'Assumptions'!$AM$149</x:f>
        <x:v>29.51441956496595</x:v>
      </x:c>
      <x:c r="AD1919" s="10" t="n">
        <x:f>IF(AB1919=0,0,T1919/AB1919)</x:f>
        <x:v>497.44527011444643</x:v>
      </x:c>
      <x:c r="AE1919" s="10" t="n">
        <x:f>AA1919*'Assumptions'!$D$21</x:f>
        <x:v>0</x:v>
      </x:c>
    </x:row>
    <x:row r="1920" ht="16" customHeight="1">
      <x:c r="A1920" s="1"/>
      <x:c r="B1920" s="1"/>
      <x:c r="C1920" s="1" t="str">
        <x:v>DOT-121</x:v>
      </x:c>
      <x:c r="D1920" s="10" t="str">
        <x:v>OsezArt</x:v>
      </x:c>
      <x:c r="E1920" s="10" t="n">
        <x:v>15</x:v>
      </x:c>
      <x:c r="F1920" s="21" t="n">
        <x:f>F1792*(1+'Assumptions'!$M$150)</x:f>
        <x:v>5.9028839129931905</x:v>
      </x:c>
      <x:c r="G1920" s="21" t="n">
        <x:f>H1792*'Assumptions'!$K$150</x:f>
        <x:v>5.5681337217211695</x:v>
      </x:c>
      <x:c r="H1920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1920+G1920,NA())</x:f>
        <x:v>11.47101763471436</x:v>
      </x:c>
      <x:c r="I1920" s="22" t="n">
        <x:f>'Assumptions'!$H$150*IF('Assumptions'!$O$150=1,1,'Assumptions'!$D$10)*(1+'Assumptions'!$N$150)^(15-1)</x:f>
        <x:v>3958.436289188617</x:v>
      </x:c>
      <x:c r="J1920" s="10" t="n">
        <x:f>H1920*I1920</x:f>
        <x:v>45407.2924791759</x:v>
      </x:c>
      <x:c r="K1920" s="10" t="n">
        <x:f>J1920*'Assumptions'!$T$150</x:f>
        <x:v>45407.2924791759</x:v>
      </x:c>
      <x:c r="L1920" s="10" t="n">
        <x:f>K1920*'Assumptions'!$U$150</x:f>
        <x:v>1362.218774375277</x:v>
      </x:c>
      <x:c r="M1920" s="10" t="n">
        <x:f>K1920*'Assumptions'!$V$150</x:f>
        <x:v>0</x:v>
      </x:c>
      <x:c r="N1920" s="10" t="n">
        <x:f>K1920-L1920-M1920</x:f>
        <x:v>44045.07370480062</x:v>
      </x:c>
      <x:c r="O1920" s="10" t="n">
        <x:f>H1920*'Assumptions'!$P$150*'Assumptions'!$Q$150*'Assumptions'!$D$11*(1+'Assumptions'!$D$13)^(15-1)</x:f>
        <x:v>20300.603787243854</x:v>
      </x:c>
      <x:c r="P1920" s="10" t="n">
        <x:f>H1920*'Assumptions'!$R$150*'Assumptions'!$D$11*(1+'Assumptions'!$D$13)^(15-1)</x:f>
        <x:v>3470.1886815801463</x:v>
      </x:c>
      <x:c r="Q1920" s="10" t="n">
        <x:f>J1920*'Assumptions'!$S$150</x:f>
        <x:v>0</x:v>
      </x:c>
      <x:c r="R1920" s="10" t="n">
        <x:f>H1920*'Assumptions'!$Y$150*'Assumptions'!$Z$150*'Assumptions'!$D$11*(1+'Assumptions'!$D$13)^(15-1)</x:f>
        <x:v>130.13207555925547</x:v>
      </x:c>
      <x:c r="S1920" s="10" t="n">
        <x:f>IF(I1920=0,0,J1920*'Assumptions'!$W$150+H1920*'Assumptions'!$X$150)</x:f>
        <x:v>1320.2527871865154</x:v>
      </x:c>
      <x:c r="T1920" s="10" t="n">
        <x:f>N1920*'Assumptions'!$AA$150</x:f>
        <x:v>1761.8029481920248</x:v>
      </x:c>
      <x:c r="U1920" s="10" t="n">
        <x:f>'Assumptions'!$AE$150*'Assumptions'!$D$11*(1+'Assumptions'!$D$13)^(15-1)</x:f>
        <x:v>0</x:v>
      </x:c>
      <x:c r="V1920" s="10" t="n">
        <x:f>0</x:f>
        <x:v>0</x:v>
      </x:c>
      <x:c r="W1920" s="10" t="n">
        <x:f>H1920*('Assumptions'!$P$150+'Assumptions'!$Y$150)</x:f>
        <x:v>209.34607183353708</x:v>
      </x:c>
      <x:c r="X1920" s="10" t="n">
        <x:f>N1920/12*'Assumptions'!$AF$150</x:f>
        <x:v>3670.422808733385</x:v>
      </x:c>
      <x:c r="Y1920" s="10" t="n">
        <x:f>P1920/12</x:f>
        <x:v>289.18239013167886</x:v>
      </x:c>
      <x:c r="Z1920" s="10" t="n">
        <x:f>0</x:f>
        <x:v>0</x:v>
      </x:c>
      <x:c r="AA1920" s="10" t="n">
        <x:f>Z1920*'Assumptions'!$AC$150*'Assumptions'!$D$11*(1+'Assumptions'!$D$13)^(15-1)</x:f>
        <x:v>0</x:v>
      </x:c>
      <x:c r="AB1920" s="10" t="n">
        <x:f>F1920/1</x:f>
        <x:v>5.9028839129931905</x:v>
      </x:c>
      <x:c r="AC1920" s="10" t="n">
        <x:f>AB1920/'Assumptions'!$AM$150</x:f>
        <x:v>29.51441956496595</x:v>
      </x:c>
      <x:c r="AD1920" s="10" t="n">
        <x:f>IF(AB1920=0,0,T1920/AB1920)</x:f>
        <x:v>298.46477995510213</x:v>
      </x:c>
      <x:c r="AE1920" s="10" t="n">
        <x:f>AA1920*'Assumptions'!$D$21</x:f>
        <x:v>0</x:v>
      </x:c>
    </x:row>
    <x:row r="1921" ht="16" customHeight="1">
      <x:c r="A1921" s="1"/>
      <x:c r="B1921" s="1"/>
      <x:c r="C1921" s="1" t="str">
        <x:v>DOT-122</x:v>
      </x:c>
      <x:c r="D1921" s="10" t="str">
        <x:v>OsezArt</x:v>
      </x:c>
      <x:c r="E1921" s="10" t="n">
        <x:v>15</x:v>
      </x:c>
      <x:c r="F1921" s="21" t="n">
        <x:f>F1793*(1+'Assumptions'!$M$151)</x:f>
        <x:v>1.9676279709977305</x:v>
      </x:c>
      <x:c r="G1921" s="21" t="n">
        <x:f>H1793*'Assumptions'!$K$151</x:f>
        <x:v>1.8560445739070568</x:v>
      </x:c>
      <x:c r="H1921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1921+G1921,NA())</x:f>
        <x:v>3.8236725449047873</x:v>
      </x:c>
      <x:c r="I1921" s="22" t="n">
        <x:f>'Assumptions'!$H$151*IF('Assumptions'!$O$151=1,1,'Assumptions'!$D$10)*(1+'Assumptions'!$N$151)^(15-1)</x:f>
        <x:v>13194.787630628723</x:v>
      </x:c>
      <x:c r="J1921" s="10" t="n">
        <x:f>H1921*I1921</x:f>
        <x:v>50452.547199084336</x:v>
      </x:c>
      <x:c r="K1921" s="10" t="n">
        <x:f>J1921*'Assumptions'!$T$151</x:f>
        <x:v>50452.547199084336</x:v>
      </x:c>
      <x:c r="L1921" s="10" t="n">
        <x:f>K1921*'Assumptions'!$U$151</x:f>
        <x:v>1513.57641597253</x:v>
      </x:c>
      <x:c r="M1921" s="10" t="n">
        <x:f>K1921*'Assumptions'!$V$151</x:f>
        <x:v>0</x:v>
      </x:c>
      <x:c r="N1921" s="10" t="n">
        <x:f>K1921-L1921-M1921</x:f>
        <x:v>48938.97078311181</x:v>
      </x:c>
      <x:c r="O1921" s="10" t="n">
        <x:f>H1921*'Assumptions'!$P$151*'Assumptions'!$Q$151*'Assumptions'!$D$11*(1+'Assumptions'!$D$13)^(15-1)</x:f>
        <x:v>22556.226430270952</x:v>
      </x:c>
      <x:c r="P1921" s="10" t="n">
        <x:f>H1921*'Assumptions'!$R$151*'Assumptions'!$D$11*(1+'Assumptions'!$D$13)^(15-1)</x:f>
        <x:v>2891.8239013167886</x:v>
      </x:c>
      <x:c r="Q1921" s="10" t="n">
        <x:f>J1921*'Assumptions'!$S$151</x:f>
        <x:v>0</x:v>
      </x:c>
      <x:c r="R1921" s="10" t="n">
        <x:f>H1921*'Assumptions'!$Y$151*'Assumptions'!$Z$151*'Assumptions'!$D$11*(1+'Assumptions'!$D$13)^(15-1)</x:f>
        <x:v>43.37735851975183</x:v>
      </x:c>
      <x:c r="S1921" s="10" t="n">
        <x:f>IF(I1921=0,0,J1921*'Assumptions'!$W$151+H1921*'Assumptions'!$X$151)</x:f>
        <x:v>1464.2709705369173</x:v>
      </x:c>
      <x:c r="T1921" s="10" t="n">
        <x:f>N1921*'Assumptions'!$AA$151</x:f>
        <x:v>1957.5588313244723</x:v>
      </x:c>
      <x:c r="U1921" s="10" t="n">
        <x:f>'Assumptions'!$AE$151*'Assumptions'!$D$11*(1+'Assumptions'!$D$13)^(15-1)</x:f>
        <x:v>0</x:v>
      </x:c>
      <x:c r="V1921" s="10" t="n">
        <x:f>0</x:f>
        <x:v>0</x:v>
      </x:c>
      <x:c r="W1921" s="10" t="n">
        <x:f>H1921*('Assumptions'!$P$151+'Assumptions'!$Y$151)</x:f>
        <x:v>230.37627083051342</x:v>
      </x:c>
      <x:c r="X1921" s="10" t="n">
        <x:f>N1921/12*'Assumptions'!$AF$151</x:f>
        <x:v>4078.247565259317</x:v>
      </x:c>
      <x:c r="Y1921" s="10" t="n">
        <x:f>P1921/12</x:f>
        <x:v>240.98532510973237</x:v>
      </x:c>
      <x:c r="Z1921" s="10" t="n">
        <x:f>0</x:f>
        <x:v>0</x:v>
      </x:c>
      <x:c r="AA1921" s="10" t="n">
        <x:f>Z1921*'Assumptions'!$AC$151*'Assumptions'!$D$11*(1+'Assumptions'!$D$13)^(15-1)</x:f>
        <x:v>0</x:v>
      </x:c>
      <x:c r="AB1921" s="10" t="n">
        <x:f>F1921/1</x:f>
        <x:v>1.9676279709977305</x:v>
      </x:c>
      <x:c r="AC1921" s="10" t="n">
        <x:f>AB1921/'Assumptions'!$AM$151</x:f>
        <x:v>9.838139854988652</x:v>
      </x:c>
      <x:c r="AD1921" s="10" t="n">
        <x:f>IF(AB1921=0,0,T1921/AB1921)</x:f>
        <x:v>994.8825998503404</x:v>
      </x:c>
      <x:c r="AE1921" s="10" t="n">
        <x:f>AA1921*'Assumptions'!$D$21</x:f>
        <x:v>0</x:v>
      </x:c>
    </x:row>
    <x:row r="1922" ht="16" customHeight="1">
      <x:c r="A1922" s="1"/>
      <x:c r="B1922" s="1"/>
      <x:c r="C1922" s="1" t="str">
        <x:v>DOT-123</x:v>
      </x:c>
      <x:c r="D1922" s="10" t="str">
        <x:v>FinBot research</x:v>
      </x:c>
      <x:c r="E1922" s="10" t="n">
        <x:v>15</x:v>
      </x:c>
      <x:c r="F1922" s="21" t="n">
        <x:f>F1794*(1+'Assumptions'!$M$152)</x:f>
        <x:v>211.54663322552162</x:v>
      </x:c>
      <x:c r="G1922" s="21" t="n">
        <x:f>H1794*'Assumptions'!$K$152</x:f>
        <x:v>67.80340146489542</x:v>
      </x:c>
      <x:c r="H1922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1922+G1922,NA())</x:f>
        <x:v>279.35003469041703</x:v>
      </x:c>
      <x:c r="I1922" s="22" t="n">
        <x:f>'Assumptions'!$H$152*IF('Assumptions'!$O$152=1,1,'Assumptions'!$D$10)*(1+'Assumptions'!$N$152)^(15-1)</x:f>
        <x:v>38.2648841288233</x:v>
      </x:c>
      <x:c r="J1922" s="10" t="n">
        <x:f>H1922*I1922</x:f>
        <x:v>10689.296708811577</x:v>
      </x:c>
      <x:c r="K1922" s="10" t="n">
        <x:f>J1922*'Assumptions'!$T$152</x:f>
        <x:v>10689.296708811577</x:v>
      </x:c>
      <x:c r="L1922" s="10" t="n">
        <x:f>K1922*'Assumptions'!$U$152</x:f>
        <x:v>320.6789012643473</x:v>
      </x:c>
      <x:c r="M1922" s="10" t="n">
        <x:f>K1922*'Assumptions'!$V$152</x:f>
        <x:v>0</x:v>
      </x:c>
      <x:c r="N1922" s="10" t="n">
        <x:f>K1922-L1922-M1922</x:f>
        <x:v>10368.617807547229</x:v>
      </x:c>
      <x:c r="O1922" s="10" t="n">
        <x:f>H1922*'Assumptions'!$P$152*'Assumptions'!$Q$152*'Assumptions'!$D$11*(1+'Assumptions'!$D$13)^(15-1)</x:f>
        <x:v>3802.8779289957947</x:v>
      </x:c>
      <x:c r="P1922" s="10" t="n">
        <x:f>H1922*'Assumptions'!$R$152*'Assumptions'!$D$11*(1+'Assumptions'!$D$13)^(15-1)</x:f>
        <x:v>0</x:v>
      </x:c>
      <x:c r="Q1922" s="10" t="n">
        <x:f>J1922*'Assumptions'!$S$152</x:f>
        <x:v>0</x:v>
      </x:c>
      <x:c r="R1922" s="10" t="n">
        <x:f>H1922*'Assumptions'!$Y$152*'Assumptions'!$Z$152*'Assumptions'!$D$11*(1+'Assumptions'!$D$13)^(15-1)</x:f>
        <x:v>1267.6259763319315</x:v>
      </x:c>
      <x:c r="S1922" s="10" t="n">
        <x:f>IF(I1922=0,0,J1922*'Assumptions'!$W$152+H1922*'Assumptions'!$X$152)</x:f>
        <x:v>393.79461496266083</x:v>
      </x:c>
      <x:c r="T1922" s="10" t="n">
        <x:f>N1922*'Assumptions'!$AA$152</x:f>
        <x:v>518.4308903773615</x:v>
      </x:c>
      <x:c r="U1922" s="10" t="n">
        <x:f>'Assumptions'!$AE$152*'Assumptions'!$D$11*(1+'Assumptions'!$D$13)^(15-1)</x:f>
        <x:v>363.02153396522687</x:v>
      </x:c>
      <x:c r="V1922" s="10" t="n">
        <x:f>0</x:f>
        <x:v>0</x:v>
      </x:c>
      <x:c r="W1922" s="10" t="n">
        <x:f>H1922*('Assumptions'!$P$152+'Assumptions'!$Y$152)</x:f>
        <x:v>83.80501040712512</x:v>
      </x:c>
      <x:c r="X1922" s="10" t="n">
        <x:f>N1922/12*'Assumptions'!$AF$152</x:f>
        <x:v>0</x:v>
      </x:c>
      <x:c r="Y1922" s="10" t="n">
        <x:f>P1922/12</x:f>
        <x:v>0</x:v>
      </x:c>
      <x:c r="Z1922" s="10" t="n">
        <x:f>0</x:f>
        <x:v>0</x:v>
      </x:c>
      <x:c r="AA1922" s="10" t="n">
        <x:f>Z1922*'Assumptions'!$AC$152*'Assumptions'!$D$11*(1+'Assumptions'!$D$13)^(15-1)</x:f>
        <x:v>0</x:v>
      </x:c>
      <x:c r="AB1922" s="10" t="n">
        <x:f>F1922/12</x:f>
        <x:v>17.628886102126803</x:v>
      </x:c>
      <x:c r="AC1922" s="10" t="n">
        <x:f>AB1922/'Assumptions'!$AM$152</x:f>
        <x:v>352.57772204253604</x:v>
      </x:c>
      <x:c r="AD1922" s="10" t="n">
        <x:f>IF(AB1922=0,0,T1922/AB1922)</x:f>
        <x:v>29.408034482383798</x:v>
      </x:c>
      <x:c r="AE1922" s="10" t="n">
        <x:f>AA1922*'Assumptions'!$D$21</x:f>
        <x:v>0</x:v>
      </x:c>
    </x:row>
    <x:row r="1923" ht="16" customHeight="1">
      <x:c r="A1923" s="1"/>
      <x:c r="B1923" s="1"/>
      <x:c r="C1923" s="1" t="str">
        <x:v>DOT-124</x:v>
      </x:c>
      <x:c r="D1923" s="10" t="str">
        <x:v>Functional Analysis</x:v>
      </x:c>
      <x:c r="E1923" s="10" t="n">
        <x:v>15</x:v>
      </x:c>
      <x:c r="F1923" s="21" t="n">
        <x:f>F1795*(1+'Assumptions'!$M$153)</x:f>
        <x:v>423.09326645104323</x:v>
      </x:c>
      <x:c r="G1923" s="21" t="n">
        <x:f>H1795*'Assumptions'!$K$153</x:f>
        <x:v>135.60680292979083</x:v>
      </x:c>
      <x:c r="H1923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1923+G1923,NA())</x:f>
        <x:v>558.7000693808341</x:v>
      </x:c>
      <x:c r="I1923" s="22" t="n">
        <x:f>'Assumptions'!$H$153*IF('Assumptions'!$O$153=1,1,'Assumptions'!$D$10)*(1+'Assumptions'!$N$153)^(15-1)</x:f>
        <x:v>25.070096498194577</x:v>
      </x:c>
      <x:c r="J1923" s="10" t="n">
        <x:f>H1923*I1923</x:f>
        <x:v>14006.664652925516</x:v>
      </x:c>
      <x:c r="K1923" s="10" t="n">
        <x:f>J1923*'Assumptions'!$T$153</x:f>
        <x:v>14006.664652925516</x:v>
      </x:c>
      <x:c r="L1923" s="10" t="n">
        <x:f>K1923*'Assumptions'!$U$153</x:f>
        <x:v>420.19993958776547</x:v>
      </x:c>
      <x:c r="M1923" s="10" t="n">
        <x:f>K1923*'Assumptions'!$V$153</x:f>
        <x:v>0</x:v>
      </x:c>
      <x:c r="N1923" s="10" t="n">
        <x:f>K1923-L1923-M1923</x:f>
        <x:v>13586.464713337751</x:v>
      </x:c>
      <x:c r="O1923" s="10" t="n">
        <x:f>H1923*'Assumptions'!$P$153*'Assumptions'!$Q$153*'Assumptions'!$D$11*(1+'Assumptions'!$D$13)^(15-1)</x:f>
        <x:v>2957.793944774507</x:v>
      </x:c>
      <x:c r="P1923" s="10" t="n">
        <x:f>H1923*'Assumptions'!$R$153*'Assumptions'!$D$11*(1+'Assumptions'!$D$13)^(15-1)</x:f>
        <x:v>0</x:v>
      </x:c>
      <x:c r="Q1923" s="10" t="n">
        <x:f>J1923*'Assumptions'!$S$153</x:f>
        <x:v>0</x:v>
      </x:c>
      <x:c r="R1923" s="10" t="n">
        <x:f>H1923*'Assumptions'!$Y$153*'Assumptions'!$Z$153*'Assumptions'!$D$11*(1+'Assumptions'!$D$13)^(15-1)</x:f>
        <x:v>2535.251952663863</x:v>
      </x:c>
      <x:c r="S1923" s="10" t="n">
        <x:f>IF(I1923=0,0,J1923*'Assumptions'!$W$153+H1923*'Assumptions'!$X$153)</x:f>
        <x:v>573.8032957490902</x:v>
      </x:c>
      <x:c r="T1923" s="10" t="n">
        <x:f>N1923*'Assumptions'!$AA$153</x:f>
        <x:v>679.3232356668876</x:v>
      </x:c>
      <x:c r="U1923" s="10" t="n">
        <x:f>'Assumptions'!$AE$153*'Assumptions'!$D$11*(1+'Assumptions'!$D$13)^(15-1)</x:f>
        <x:v>0</x:v>
      </x:c>
      <x:c r="V1923" s="10" t="n">
        <x:f>0</x:f>
        <x:v>0</x:v>
      </x:c>
      <x:c r="W1923" s="10" t="n">
        <x:f>H1923*('Assumptions'!$P$153+'Assumptions'!$Y$153)</x:f>
        <x:v>111.74001387616681</x:v>
      </x:c>
      <x:c r="X1923" s="10" t="n">
        <x:f>N1923/12*'Assumptions'!$AF$153</x:f>
        <x:v>0</x:v>
      </x:c>
      <x:c r="Y1923" s="10" t="n">
        <x:f>P1923/12</x:f>
        <x:v>0</x:v>
      </x:c>
      <x:c r="Z1923" s="10" t="n">
        <x:f>0</x:f>
        <x:v>0</x:v>
      </x:c>
      <x:c r="AA1923" s="10" t="n">
        <x:f>Z1923*'Assumptions'!$AC$153*'Assumptions'!$D$11*(1+'Assumptions'!$D$13)^(15-1)</x:f>
        <x:v>0</x:v>
      </x:c>
      <x:c r="AB1923" s="10" t="n">
        <x:f>F1923/1</x:f>
        <x:v>423.09326645104323</x:v>
      </x:c>
      <x:c r="AC1923" s="10" t="n">
        <x:f>AB1923/'Assumptions'!$AM$153</x:f>
        <x:v>8461.865329020864</x:v>
      </x:c>
      <x:c r="AD1923" s="10" t="n">
        <x:f>IF(AB1923=0,0,T1923/AB1923)</x:f>
        <x:v>1.6056110780611847</x:v>
      </x:c>
      <x:c r="AE1923" s="10" t="n">
        <x:f>AA1923*'Assumptions'!$D$21</x:f>
        <x:v>0</x:v>
      </x:c>
    </x:row>
    <x:row r="1924" ht="16" customHeight="1">
      <x:c r="A1924" s="1"/>
      <x:c r="B1924" s="1"/>
      <x:c r="C1924" s="1" t="str">
        <x:v>DOT-125</x:v>
      </x:c>
      <x:c r="D1924" s="10" t="str">
        <x:v>Functional Analysis</x:v>
      </x:c>
      <x:c r="E1924" s="10" t="n">
        <x:v>15</x:v>
      </x:c>
      <x:c r="F1924" s="21" t="n">
        <x:f>F1796*(1+'Assumptions'!$M$154)</x:f>
        <x:v>35.41730347795912</x:v>
      </x:c>
      <x:c r="G1924" s="21" t="n">
        <x:f>H1796*'Assumptions'!$K$154</x:f>
        <x:v>33.408802330327006</x:v>
      </x:c>
      <x:c r="H1924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1924+G1924,NA())</x:f>
        <x:v>68.82610580828613</x:v>
      </x:c>
      <x:c r="I1924" s="22" t="n">
        <x:f>'Assumptions'!$H$154*IF('Assumptions'!$O$154=1,1,'Assumptions'!$D$10)*(1+'Assumptions'!$N$154)^(15-1)</x:f>
        <x:v>130.62839754322437</x:v>
      </x:c>
      <x:c r="J1924" s="10" t="n">
        <x:f>H1924*I1924</x:f>
        <x:v>8990.643910876825</x:v>
      </x:c>
      <x:c r="K1924" s="10" t="n">
        <x:f>J1924*'Assumptions'!$T$154</x:f>
        <x:v>8990.643910876825</x:v>
      </x:c>
      <x:c r="L1924" s="10" t="n">
        <x:f>K1924*'Assumptions'!$U$154</x:f>
        <x:v>269.71931732630475</x:v>
      </x:c>
      <x:c r="M1924" s="10" t="n">
        <x:f>K1924*'Assumptions'!$V$154</x:f>
        <x:v>0</x:v>
      </x:c>
      <x:c r="N1924" s="10" t="n">
        <x:f>K1924-L1924-M1924</x:f>
        <x:v>8720.92459355052</x:v>
      </x:c>
      <x:c r="O1924" s="10" t="n">
        <x:f>H1924*'Assumptions'!$P$154*'Assumptions'!$Q$154*'Assumptions'!$D$11*(1+'Assumptions'!$D$13)^(15-1)</x:f>
        <x:v>4164.226417896173</x:v>
      </x:c>
      <x:c r="P1924" s="10" t="n">
        <x:f>H1924*'Assumptions'!$R$154*'Assumptions'!$D$11*(1+'Assumptions'!$D$13)^(15-1)</x:f>
        <x:v>0</x:v>
      </x:c>
      <x:c r="Q1924" s="10" t="n">
        <x:f>J1924*'Assumptions'!$S$154</x:f>
        <x:v>0</x:v>
      </x:c>
      <x:c r="R1924" s="10" t="n">
        <x:f>H1924*'Assumptions'!$Y$154*'Assumptions'!$Z$154*'Assumptions'!$D$11*(1+'Assumptions'!$D$13)^(15-1)</x:f>
        <x:v>780.7924533555324</x:v>
      </x:c>
      <x:c r="S1924" s="10" t="n">
        <x:f>IF(I1924=0,0,J1924*'Assumptions'!$W$154+H1924*'Assumptions'!$X$154)</x:f>
        <x:v>281.37650515791375</x:v>
      </x:c>
      <x:c r="T1924" s="10" t="n">
        <x:f>N1924*'Assumptions'!$AA$154</x:f>
        <x:v>348.83698374202083</x:v>
      </x:c>
      <x:c r="U1924" s="10" t="n">
        <x:f>'Assumptions'!$AE$154*'Assumptions'!$D$11*(1+'Assumptions'!$D$13)^(15-1)</x:f>
        <x:v>0</x:v>
      </x:c>
      <x:c r="V1924" s="10" t="n">
        <x:f>0</x:f>
        <x:v>0</x:v>
      </x:c>
      <x:c r="W1924" s="10" t="n">
        <x:f>H1924*('Assumptions'!$P$154+'Assumptions'!$Y$154)</x:f>
        <x:v>86.03263226035766</x:v>
      </x:c>
      <x:c r="X1924" s="10" t="n">
        <x:f>N1924/12*'Assumptions'!$AF$154</x:f>
        <x:v>726.74371612921</x:v>
      </x:c>
      <x:c r="Y1924" s="10" t="n">
        <x:f>P1924/12</x:f>
        <x:v>0</x:v>
      </x:c>
      <x:c r="Z1924" s="10" t="n">
        <x:f>0</x:f>
        <x:v>0</x:v>
      </x:c>
      <x:c r="AA1924" s="10" t="n">
        <x:f>Z1924*'Assumptions'!$AC$154*'Assumptions'!$D$11*(1+'Assumptions'!$D$13)^(15-1)</x:f>
        <x:v>0</x:v>
      </x:c>
      <x:c r="AB1924" s="10" t="n">
        <x:f>F1924/1</x:f>
        <x:v>35.41730347795912</x:v>
      </x:c>
      <x:c r="AC1924" s="10" t="n">
        <x:f>AB1924/'Assumptions'!$AM$154</x:f>
        <x:v>177.0865173897956</x:v>
      </x:c>
      <x:c r="AD1924" s="10" t="n">
        <x:f>IF(AB1924=0,0,T1924/AB1924)</x:f>
        <x:v>9.849337738518374</x:v>
      </x:c>
      <x:c r="AE1924" s="10" t="n">
        <x:f>AA1924*'Assumptions'!$D$21</x:f>
        <x:v>0</x:v>
      </x:c>
    </x:row>
    <x:row r="1925" ht="16" customHeight="1">
      <x:c r="A1925" s="1"/>
      <x:c r="B1925" s="1"/>
      <x:c r="C1925" s="1" t="str">
        <x:v>DOT-126</x:v>
      </x:c>
      <x:c r="D1925" s="10" t="str">
        <x:v>Independent candy game</x:v>
      </x:c>
      <x:c r="E1925" s="10" t="n">
        <x:v>15</x:v>
      </x:c>
      <x:c r="F1925" s="21" t="n">
        <x:f>F1797*(1+'Assumptions'!$M$155)</x:f>
        <x:v>1057.7331661276082</x:v>
      </x:c>
      <x:c r="G1925" s="21" t="n">
        <x:f>H1797*'Assumptions'!$K$155</x:f>
        <x:v>339.01700732447716</x:v>
      </x:c>
      <x:c r="H1925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1925+G1925,NA())</x:f>
        <x:v>1396.7501734520854</x:v>
      </x:c>
      <x:c r="I1925" s="22" t="n">
        <x:f>'Assumptions'!$H$155*IF('Assumptions'!$O$155=1,1,'Assumptions'!$D$10)*(1+'Assumptions'!$N$155)^(15-1)</x:f>
        <x:v>6.584199027683733</x:v>
      </x:c>
      <x:c r="J1925" s="10" t="n">
        <x:f>H1925*I1925</x:f>
        <x:v>9196.481133960307</x:v>
      </x:c>
      <x:c r="K1925" s="10" t="n">
        <x:f>J1925*'Assumptions'!$T$155</x:f>
        <x:v>9196.481133960307</x:v>
      </x:c>
      <x:c r="L1925" s="10" t="n">
        <x:f>K1925*'Assumptions'!$U$155</x:f>
        <x:v>275.8944340188092</x:v>
      </x:c>
      <x:c r="M1925" s="10" t="n">
        <x:f>K1925*'Assumptions'!$V$155</x:f>
        <x:v>0</x:v>
      </x:c>
      <x:c r="N1925" s="10" t="n">
        <x:f>K1925-L1925-M1925</x:f>
        <x:v>8920.586699941497</x:v>
      </x:c>
      <x:c r="O1925" s="10" t="n">
        <x:f>H1925*'Assumptions'!$P$155*'Assumptions'!$Q$155*'Assumptions'!$D$11*(1+'Assumptions'!$D$13)^(15-1)</x:f>
        <x:v>1478.8969723872538</x:v>
      </x:c>
      <x:c r="P1925" s="10" t="n">
        <x:f>H1925*'Assumptions'!$R$155*'Assumptions'!$D$11*(1+'Assumptions'!$D$13)^(15-1)</x:f>
        <x:v>0</x:v>
      </x:c>
      <x:c r="Q1925" s="10" t="n">
        <x:f>J1925*'Assumptions'!$S$155</x:f>
        <x:v>0</x:v>
      </x:c>
      <x:c r="R1925" s="10" t="n">
        <x:f>H1925*'Assumptions'!$Y$155*'Assumptions'!$Z$155*'Assumptions'!$D$11*(1+'Assumptions'!$D$13)^(15-1)</x:f>
        <x:v>6338.129881659659</x:v>
      </x:c>
      <x:c r="S1925" s="10" t="n">
        <x:f>IF(I1925=0,0,J1925*'Assumptions'!$W$155+H1925*'Assumptions'!$X$155)</x:f>
        <x:v>685.7230049204745</x:v>
      </x:c>
      <x:c r="T1925" s="10" t="n">
        <x:f>N1925*'Assumptions'!$AA$155</x:f>
        <x:v>446.0293349970749</x:v>
      </x:c>
      <x:c r="U1925" s="10" t="n">
        <x:f>'Assumptions'!$AE$155*'Assumptions'!$D$11*(1+'Assumptions'!$D$13)^(15-1)</x:f>
        <x:v>0</x:v>
      </x:c>
      <x:c r="V1925" s="10" t="n">
        <x:f>0</x:f>
        <x:v>0</x:v>
      </x:c>
      <x:c r="W1925" s="10" t="n">
        <x:f>H1925*('Assumptions'!$P$155+'Assumptions'!$Y$155)</x:f>
        <x:v>167.61002081425025</x:v>
      </x:c>
      <x:c r="X1925" s="10" t="n">
        <x:f>N1925/12*'Assumptions'!$AF$155</x:f>
        <x:v>0</x:v>
      </x:c>
      <x:c r="Y1925" s="10" t="n">
        <x:f>P1925/12</x:f>
        <x:v>0</x:v>
      </x:c>
      <x:c r="Z1925" s="10" t="n">
        <x:f>0</x:f>
        <x:v>0</x:v>
      </x:c>
      <x:c r="AA1925" s="10" t="n">
        <x:f>Z1925*'Assumptions'!$AC$155*'Assumptions'!$D$11*(1+'Assumptions'!$D$13)^(15-1)</x:f>
        <x:v>0</x:v>
      </x:c>
      <x:c r="AB1925" s="10" t="n">
        <x:f>F1925/1</x:f>
        <x:v>1057.7331661276082</x:v>
      </x:c>
      <x:c r="AC1925" s="10" t="n">
        <x:f>AB1925/'Assumptions'!$AM$155</x:f>
        <x:v>21154.663322552162</x:v>
      </x:c>
      <x:c r="AD1925" s="10" t="n">
        <x:f>IF(AB1925=0,0,T1925/AB1925)</x:f>
        <x:v>0.4216841726065953</x:v>
      </x:c>
      <x:c r="AE1925" s="10" t="n">
        <x:f>AA1925*'Assumptions'!$D$21</x:f>
        <x:v>0</x:v>
      </x:c>
    </x:row>
    <x:row r="1926" ht="16" customHeight="1">
      <x:c r="A1926" s="1"/>
      <x:c r="B1926" s="1"/>
      <x:c r="C1926" s="1" t="str">
        <x:v>DOT-127</x:v>
      </x:c>
      <x:c r="D1926" s="10" t="str">
        <x:v>Learn Anglais</x:v>
      </x:c>
      <x:c r="E1926" s="10" t="n">
        <x:v>15</x:v>
      </x:c>
      <x:c r="F1926" s="21" t="n">
        <x:f>F1798*(1+'Assumptions'!$M$156)</x:f>
        <x:v>250.80705037871752</x:v>
      </x:c>
      <x:c r="G1926" s="21" t="n">
        <x:f>H1798*'Assumptions'!$K$156</x:f>
        <x:v>528.2740059444687</x:v>
      </x:c>
      <x:c r="H1926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1926+G1926,NA())</x:f>
        <x:v>779.0810563231862</x:v>
      </x:c>
      <x:c r="I1926" s="22" t="n">
        <x:f>'Assumptions'!$H$156*IF('Assumptions'!$O$156=1,1,'Assumptions'!$D$10)*(1+'Assumptions'!$N$156)^(15-1)</x:f>
        <x:v>31.667490313508935</x:v>
      </x:c>
      <x:c r="J1926" s="10" t="n">
        <x:f>H1926*I1926</x:f>
        <x:v>24671.54180455281</x:v>
      </x:c>
      <x:c r="K1926" s="10" t="n">
        <x:f>J1926*'Assumptions'!$T$156</x:f>
        <x:v>8223.847268184269</x:v>
      </x:c>
      <x:c r="L1926" s="10" t="n">
        <x:f>K1926*'Assumptions'!$U$156</x:f>
        <x:v>246.71541804552805</x:v>
      </x:c>
      <x:c r="M1926" s="10" t="n">
        <x:f>K1926*'Assumptions'!$V$156</x:f>
        <x:v>0</x:v>
      </x:c>
      <x:c r="N1926" s="10" t="n">
        <x:f>K1926-L1926-M1926</x:f>
        <x:v>7977.13185013874</x:v>
      </x:c>
      <x:c r="O1926" s="10" t="n">
        <x:f>H1926*'Assumptions'!$P$156*'Assumptions'!$Q$156*'Assumptions'!$D$11*(1+'Assumptions'!$D$13)^(15-1)</x:f>
        <x:v>4124.505002183014</x:v>
      </x:c>
      <x:c r="P1926" s="10" t="n">
        <x:f>H1926*'Assumptions'!$R$156*'Assumptions'!$D$11*(1+'Assumptions'!$D$13)^(15-1)</x:f>
        <x:v>0</x:v>
      </x:c>
      <x:c r="Q1926" s="10" t="n">
        <x:f>J1926*'Assumptions'!$S$156</x:f>
        <x:v>0</x:v>
      </x:c>
      <x:c r="R1926" s="10" t="n">
        <x:f>H1926*'Assumptions'!$Y$156*'Assumptions'!$Z$156*'Assumptions'!$D$11*(1+'Assumptions'!$D$13)^(15-1)</x:f>
        <x:v>5302.935002806732</x:v>
      </x:c>
      <x:c r="S1926" s="10" t="n">
        <x:f>IF(I1926=0,0,J1926*'Assumptions'!$W$156+H1926*'Assumptions'!$X$156)</x:f>
        <x:v>949.1990292289873</x:v>
      </x:c>
      <x:c r="T1926" s="10" t="n">
        <x:f>N1926*'Assumptions'!$AA$156</x:f>
        <x:v>398.85659250693703</x:v>
      </x:c>
      <x:c r="U1926" s="10" t="n">
        <x:f>'Assumptions'!$AE$156*'Assumptions'!$D$11*(1+'Assumptions'!$D$13)^(15-1)</x:f>
        <x:v>0</x:v>
      </x:c>
      <x:c r="V1926" s="10" t="n">
        <x:f>0</x:f>
        <x:v>0</x:v>
      </x:c>
      <x:c r="W1926" s="10" t="n">
        <x:f>H1926*('Assumptions'!$P$156+'Assumptions'!$Y$156)</x:f>
        <x:v>194.77026408079655</x:v>
      </x:c>
      <x:c r="X1926" s="10" t="n">
        <x:f>N1926/12*'Assumptions'!$AF$156</x:f>
        <x:v>0</x:v>
      </x:c>
      <x:c r="Y1926" s="10" t="n">
        <x:f>P1926/12</x:f>
        <x:v>0</x:v>
      </x:c>
      <x:c r="Z1926" s="10" t="n">
        <x:f>0</x:f>
        <x:v>0</x:v>
      </x:c>
      <x:c r="AA1926" s="10" t="n">
        <x:f>Z1926*'Assumptions'!$AC$156*'Assumptions'!$D$11*(1+'Assumptions'!$D$13)^(15-1)</x:f>
        <x:v>0</x:v>
      </x:c>
      <x:c r="AB1926" s="10" t="n">
        <x:f>F1926/1</x:f>
        <x:v>250.80705037871752</x:v>
      </x:c>
      <x:c r="AC1926" s="10" t="n">
        <x:f>AB1926/'Assumptions'!$AM$156</x:f>
        <x:v>5016.14100757435</x:v>
      </x:c>
      <x:c r="AD1926" s="10" t="n">
        <x:f>IF(AB1926=0,0,T1926/AB1926)</x:f>
        <x:v>1.5902925850954563</x:v>
      </x:c>
      <x:c r="AE1926" s="10" t="n">
        <x:f>AA1926*'Assumptions'!$D$21</x:f>
        <x:v>0</x:v>
      </x:c>
    </x:row>
    <x:row r="1927" ht="16" customHeight="1">
      <x:c r="A1927" s="1"/>
      <x:c r="B1927" s="1"/>
      <x:c r="C1927" s="1" t="str">
        <x:v>DOT-128</x:v>
      </x:c>
      <x:c r="D1927" s="10" t="str">
        <x:v>Learn Anglais</x:v>
      </x:c>
      <x:c r="E1927" s="10" t="n">
        <x:v>15</x:v>
      </x:c>
      <x:c r="F1927" s="21" t="n">
        <x:f>F1799*(1+'Assumptions'!$M$157)</x:f>
        <x:v>100.322820151487</x:v>
      </x:c>
      <x:c r="G1927" s="21" t="n">
        <x:f>H1799*'Assumptions'!$K$157</x:f>
        <x:v>211.30960237778748</x:v>
      </x:c>
      <x:c r="H1927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1927+G1927,NA())</x:f>
        <x:v>311.6324225292745</x:v>
      </x:c>
      <x:c r="I1927" s="22" t="n">
        <x:f>'Assumptions'!$H$157*IF('Assumptions'!$O$157=1,1,'Assumptions'!$D$10)*(1+'Assumptions'!$N$157)^(15-1)</x:f>
        <x:v>217.71399590537393</x:v>
      </x:c>
      <x:c r="J1927" s="10" t="n">
        <x:f>H1927*I1927</x:f>
        <x:v>67846.73996252022</x:v>
      </x:c>
      <x:c r="K1927" s="10" t="n">
        <x:f>J1927*'Assumptions'!$T$157</x:f>
        <x:v>20354.021988756067</x:v>
      </x:c>
      <x:c r="L1927" s="10" t="n">
        <x:f>K1927*'Assumptions'!$U$157</x:f>
        <x:v>610.620659662682</x:v>
      </x:c>
      <x:c r="M1927" s="10" t="n">
        <x:f>K1927*'Assumptions'!$V$157</x:f>
        <x:v>0</x:v>
      </x:c>
      <x:c r="N1927" s="10" t="n">
        <x:f>K1927-L1927-M1927</x:f>
        <x:v>19743.401329093384</x:v>
      </x:c>
      <x:c r="O1927" s="10" t="n">
        <x:f>H1927*'Assumptions'!$P$157*'Assumptions'!$Q$157*'Assumptions'!$D$11*(1+'Assumptions'!$D$13)^(15-1)</x:f>
        <x:v>1649.8020008732053</x:v>
      </x:c>
      <x:c r="P1927" s="10" t="n">
        <x:f>H1927*'Assumptions'!$R$157*'Assumptions'!$D$11*(1+'Assumptions'!$D$13)^(15-1)</x:f>
        <x:v>0</x:v>
      </x:c>
      <x:c r="Q1927" s="10" t="n">
        <x:f>J1927*'Assumptions'!$S$157</x:f>
        <x:v>0</x:v>
      </x:c>
      <x:c r="R1927" s="10" t="n">
        <x:f>H1927*'Assumptions'!$Y$157*'Assumptions'!$Z$157*'Assumptions'!$D$11*(1+'Assumptions'!$D$13)^(15-1)</x:f>
        <x:v>2121.1740011226925</x:v>
      </x:c>
      <x:c r="S1927" s="10" t="n">
        <x:f>IF(I1927=0,0,J1927*'Assumptions'!$W$157+H1927*'Assumptions'!$X$157)</x:f>
        <x:v>2061.0451856718687</x:v>
      </x:c>
      <x:c r="T1927" s="10" t="n">
        <x:f>N1927*'Assumptions'!$AA$157</x:f>
        <x:v>987.1700664546693</x:v>
      </x:c>
      <x:c r="U1927" s="10" t="n">
        <x:f>'Assumptions'!$AE$157*'Assumptions'!$D$11*(1+'Assumptions'!$D$13)^(15-1)</x:f>
        <x:v>0</x:v>
      </x:c>
      <x:c r="V1927" s="10" t="n">
        <x:f>0</x:f>
        <x:v>0</x:v>
      </x:c>
      <x:c r="W1927" s="10" t="n">
        <x:f>H1927*('Assumptions'!$P$157+'Assumptions'!$Y$157)</x:f>
        <x:v>77.90810563231862</x:v>
      </x:c>
      <x:c r="X1927" s="10" t="n">
        <x:f>N1927/12*'Assumptions'!$AF$157</x:f>
        <x:v>0</x:v>
      </x:c>
      <x:c r="Y1927" s="10" t="n">
        <x:f>P1927/12</x:f>
        <x:v>0</x:v>
      </x:c>
      <x:c r="Z1927" s="10" t="n">
        <x:f>0</x:f>
        <x:v>0</x:v>
      </x:c>
      <x:c r="AA1927" s="10" t="n">
        <x:f>Z1927*'Assumptions'!$AC$157*'Assumptions'!$D$11*(1+'Assumptions'!$D$13)^(15-1)</x:f>
        <x:v>0</x:v>
      </x:c>
      <x:c r="AB1927" s="10" t="n">
        <x:f>F1927/1</x:f>
        <x:v>100.322820151487</x:v>
      </x:c>
      <x:c r="AC1927" s="10" t="n">
        <x:f>AB1927/'Assumptions'!$AM$157</x:f>
        <x:v>2006.4564030297397</x:v>
      </x:c>
      <x:c r="AD1927" s="10" t="n">
        <x:f>IF(AB1927=0,0,T1927/AB1927)</x:f>
        <x:v>9.83993537027814</x:v>
      </x:c>
      <x:c r="AE1927" s="10" t="n">
        <x:f>AA1927*'Assumptions'!$D$21</x:f>
        <x:v>0</x:v>
      </x:c>
    </x:row>
    <x:row r="1928" ht="16" customHeight="1">
      <x:c r="A1928" s="1"/>
      <x:c r="B1928" s="1"/>
      <x:c r="C1928" s="1" t="str">
        <x:v>DOT-001</x:v>
      </x:c>
      <x:c r="D1928" s="10" t="str">
        <x:v>ETV courses</x:v>
      </x:c>
      <x:c r="E1928" s="10" t="n">
        <x:v>16</x:v>
      </x:c>
      <x:c r="F1928" s="21" t="n">
        <x:f>F1800*(1+'Assumptions'!$M$30)</x:f>
        <x:v>435.78606444457455</x:v>
      </x:c>
      <x:c r="G1928" s="21" t="n">
        <x:f>H1800*'Assumptions'!$K$30</x:f>
        <x:v>139.67501745696723</x:v>
      </x:c>
      <x:c r="H1928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1928+G1928,NA())</x:f>
        <x:v>575.4610819015418</x:v>
      </x:c>
      <x:c r="I1928" s="22" t="n">
        <x:f>'Assumptions'!$H$30*IF('Assumptions'!$O$30=1,1,'Assumptions'!$D$10)*(1+'Assumptions'!$N$30)^(16-1)</x:f>
        <x:v>29</x:v>
      </x:c>
      <x:c r="J1928" s="10" t="n">
        <x:f>H1928*I1928</x:f>
        <x:v>16688.37137514471</x:v>
      </x:c>
      <x:c r="K1928" s="10" t="n">
        <x:f>J1928*'Assumptions'!$T$30</x:f>
        <x:v>16688.37137514471</x:v>
      </x:c>
      <x:c r="L1928" s="10" t="n">
        <x:f>K1928*'Assumptions'!$U$30</x:f>
        <x:v>500.65114125434127</x:v>
      </x:c>
      <x:c r="M1928" s="10" t="n">
        <x:f>K1928*'Assumptions'!$V$30</x:f>
        <x:v>0</x:v>
      </x:c>
      <x:c r="N1928" s="10" t="n">
        <x:f>K1928-L1928-M1928</x:f>
        <x:v>16187.72023389037</x:v>
      </x:c>
      <x:c r="O1928" s="10" t="n">
        <x:f>H1928*'Assumptions'!$P$30*'Assumptions'!$Q$30*'Assumptions'!$D$11*(1+'Assumptions'!$D$13)^(16-1)</x:f>
        <x:v>4706.885479403238</x:v>
      </x:c>
      <x:c r="P1928" s="10" t="n">
        <x:f>H1928*'Assumptions'!$R$30*'Assumptions'!$D$11*(1+'Assumptions'!$D$13)^(16-1)</x:f>
        <x:v>0</x:v>
      </x:c>
      <x:c r="Q1928" s="10" t="n">
        <x:f>J1928*'Assumptions'!$S$30</x:f>
        <x:v>0</x:v>
      </x:c>
      <x:c r="R1928" s="10" t="n">
        <x:f>H1928*'Assumptions'!$Y$30*'Assumptions'!$Z$30*'Assumptions'!$D$11*(1+'Assumptions'!$D$13)^(16-1)</x:f>
        <x:v>2689.648845373279</x:v>
      </x:c>
      <x:c r="S1928" s="10" t="n">
        <x:f>IF(I1928=0,0,J1928*'Assumptions'!$W$30+H1928*'Assumptions'!$X$30)</x:f>
        <x:v>656.6010944496592</x:v>
      </x:c>
      <x:c r="T1928" s="10" t="n">
        <x:f>N1928*'Assumptions'!$AA$30</x:f>
        <x:v>809.3860116945185</x:v>
      </x:c>
      <x:c r="U1928" s="10" t="n">
        <x:f>'Assumptions'!$AE$30*'Assumptions'!$D$11*(1+'Assumptions'!$D$13)^(16-1)</x:f>
        <x:v>0</x:v>
      </x:c>
      <x:c r="V1928" s="10" t="n">
        <x:f>0</x:f>
        <x:v>0</x:v>
      </x:c>
      <x:c r="W1928" s="10" t="n">
        <x:f>H1928*('Assumptions'!$P$30+'Assumptions'!$Y$30)</x:f>
        <x:v>143.86527047538544</x:v>
      </x:c>
      <x:c r="X1928" s="10" t="n">
        <x:f>N1928/12*'Assumptions'!$AF$30</x:f>
        <x:v>0</x:v>
      </x:c>
      <x:c r="Y1928" s="10" t="n">
        <x:f>P1928/12</x:f>
        <x:v>0</x:v>
      </x:c>
      <x:c r="Z1928" s="10" t="n">
        <x:f>0</x:f>
        <x:v>0</x:v>
      </x:c>
      <x:c r="AA1928" s="10" t="n">
        <x:f>Z1928*'Assumptions'!$AC$30*'Assumptions'!$D$11*(1+'Assumptions'!$D$13)^(16-1)</x:f>
        <x:v>0</x:v>
      </x:c>
      <x:c r="AB1928" s="10" t="n">
        <x:f>F1928/1</x:f>
        <x:v>435.78606444457455</x:v>
      </x:c>
      <x:c r="AC1928" s="10" t="n">
        <x:f>AB1928/'Assumptions'!$AM$30</x:f>
        <x:v>8715.721288891491</x:v>
      </x:c>
      <x:c r="AD1928" s="10" t="n">
        <x:f>IF(AB1928=0,0,T1928/AB1928)</x:f>
        <x:v>1.8573012717286197</x:v>
      </x:c>
      <x:c r="AE1928" s="10" t="n">
        <x:f>AA1928*'Assumptions'!$D$21</x:f>
        <x:v>0</x:v>
      </x:c>
    </x:row>
    <x:row r="1929" ht="16" customHeight="1">
      <x:c r="A1929" s="1"/>
      <x:c r="B1929" s="1"/>
      <x:c r="C1929" s="1" t="str">
        <x:v>DOT-002</x:v>
      </x:c>
      <x:c r="D1929" s="10" t="str">
        <x:v>ETV courses</x:v>
      </x:c>
      <x:c r="E1929" s="10" t="n">
        <x:v>16</x:v>
      </x:c>
      <x:c r="F1929" s="21" t="n">
        <x:f>F1801*(1+'Assumptions'!$M$31)</x:f>
        <x:v>689.9946020372431</x:v>
      </x:c>
      <x:c r="G1929" s="21" t="n">
        <x:f>H1801*'Assumptions'!$K$31</x:f>
        <x:v>221.15211097353148</x:v>
      </x:c>
      <x:c r="H1929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1929+G1929,NA())</x:f>
        <x:v>911.1467130107746</x:v>
      </x:c>
      <x:c r="I1929" s="22" t="n">
        <x:f>'Assumptions'!$H$31*IF('Assumptions'!$O$31=1,1,'Assumptions'!$D$10)*(1+'Assumptions'!$N$31)^(16-1)</x:f>
        <x:v>52.488865194641065</x:v>
      </x:c>
      <x:c r="J1929" s="10" t="n">
        <x:f>H1929*I1929</x:f>
        <x:v>47825.05699176286</x:v>
      </x:c>
      <x:c r="K1929" s="10" t="n">
        <x:f>J1929*'Assumptions'!$T$31</x:f>
        <x:v>47825.05699176286</x:v>
      </x:c>
      <x:c r="L1929" s="10" t="n">
        <x:f>K1929*'Assumptions'!$U$31</x:f>
        <x:v>1434.7517097528857</x:v>
      </x:c>
      <x:c r="M1929" s="10" t="n">
        <x:f>K1929*'Assumptions'!$V$31</x:f>
        <x:v>0</x:v>
      </x:c>
      <x:c r="N1929" s="10" t="n">
        <x:f>K1929-L1929-M1929</x:f>
        <x:v>46390.30528200998</x:v>
      </x:c>
      <x:c r="O1929" s="10" t="n">
        <x:f>H1929*'Assumptions'!$P$31*'Assumptions'!$Q$31*'Assumptions'!$D$11*(1+'Assumptions'!$D$13)^(16-1)</x:f>
        <x:v>7452.568675721795</x:v>
      </x:c>
      <x:c r="P1929" s="10" t="n">
        <x:f>H1929*'Assumptions'!$R$31*'Assumptions'!$D$11*(1+'Assumptions'!$D$13)^(16-1)</x:f>
        <x:v>0</x:v>
      </x:c>
      <x:c r="Q1929" s="10" t="n">
        <x:f>J1929*'Assumptions'!$S$31</x:f>
        <x:v>0</x:v>
      </x:c>
      <x:c r="R1929" s="10" t="n">
        <x:f>H1929*'Assumptions'!$Y$31*'Assumptions'!$Z$31*'Assumptions'!$D$11*(1+'Assumptions'!$D$13)^(16-1)</x:f>
        <x:v>4258.610671841026</x:v>
      </x:c>
      <x:c r="S1929" s="10" t="n">
        <x:f>IF(I1929=0,0,J1929*'Assumptions'!$W$31+H1929*'Assumptions'!$X$31)</x:f>
        <x:v>1660.2706666643553</x:v>
      </x:c>
      <x:c r="T1929" s="10" t="n">
        <x:f>N1929*'Assumptions'!$AA$31</x:f>
        <x:v>2319.515264100499</x:v>
      </x:c>
      <x:c r="U1929" s="10" t="n">
        <x:f>'Assumptions'!$AE$31*'Assumptions'!$D$11*(1+'Assumptions'!$D$13)^(16-1)</x:f>
        <x:v>0</x:v>
      </x:c>
      <x:c r="V1929" s="10" t="n">
        <x:f>0</x:f>
        <x:v>0</x:v>
      </x:c>
      <x:c r="W1929" s="10" t="n">
        <x:f>H1929*('Assumptions'!$P$31+'Assumptions'!$Y$31)</x:f>
        <x:v>227.78667825269366</x:v>
      </x:c>
      <x:c r="X1929" s="10" t="n">
        <x:f>N1929/12*'Assumptions'!$AF$31</x:f>
        <x:v>0</x:v>
      </x:c>
      <x:c r="Y1929" s="10" t="n">
        <x:f>P1929/12</x:f>
        <x:v>0</x:v>
      </x:c>
      <x:c r="Z1929" s="10" t="n">
        <x:f>0</x:f>
        <x:v>0</x:v>
      </x:c>
      <x:c r="AA1929" s="10" t="n">
        <x:f>Z1929*'Assumptions'!$AC$31*'Assumptions'!$D$11*(1+'Assumptions'!$D$13)^(16-1)</x:f>
        <x:v>0</x:v>
      </x:c>
      <x:c r="AB1929" s="10" t="n">
        <x:f>F1929/1</x:f>
        <x:v>689.9946020372431</x:v>
      </x:c>
      <x:c r="AC1929" s="10" t="n">
        <x:f>AB1929/'Assumptions'!$AM$31</x:f>
        <x:v>13799.892040744862</x:v>
      </x:c>
      <x:c r="AD1929" s="10" t="n">
        <x:f>IF(AB1929=0,0,T1929/AB1929)</x:f>
        <x:v>3.361642623365481</x:v>
      </x:c>
      <x:c r="AE1929" s="10" t="n">
        <x:f>AA1929*'Assumptions'!$D$21</x:f>
        <x:v>0</x:v>
      </x:c>
    </x:row>
    <x:row r="1930" ht="16" customHeight="1">
      <x:c r="A1930" s="1"/>
      <x:c r="B1930" s="1"/>
      <x:c r="C1930" s="1" t="str">
        <x:v>DOT-003</x:v>
      </x:c>
      <x:c r="D1930" s="10" t="str">
        <x:v>ETV services</x:v>
      </x:c>
      <x:c r="E1930" s="10" t="n">
        <x:v>16</x:v>
      </x:c>
      <x:c r="F1930" s="21" t="n">
        <x:f>F1802*(1+'Assumptions'!$M$32)</x:f>
        <x:v>12.159940860765973</x:v>
      </x:c>
      <x:c r="G1930" s="21" t="n">
        <x:f>H1802*'Assumptions'!$K$32</x:f>
        <x:v>11.47120074018311</x:v>
      </x:c>
      <x:c r="H1930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1930+G1930,NA())</x:f>
        <x:v>23.631141600949086</x:v>
      </x:c>
      <x:c r="I1930" s="22" t="n">
        <x:f>'Assumptions'!$H$32*IF('Assumptions'!$O$32=1,1,'Assumptions'!$D$10)*(1+'Assumptions'!$N$32)^(16-1)</x:f>
        <x:v>2355.269592067227</x:v>
      </x:c>
      <x:c r="J1930" s="10" t="n">
        <x:f>H1930*I1930</x:f>
        <x:v>55657.70923855023</x:v>
      </x:c>
      <x:c r="K1930" s="10" t="n">
        <x:f>J1930*'Assumptions'!$T$32</x:f>
        <x:v>55657.70923855023</x:v>
      </x:c>
      <x:c r="L1930" s="10" t="n">
        <x:f>K1930*'Assumptions'!$U$32</x:f>
        <x:v>1669.7312771565068</x:v>
      </x:c>
      <x:c r="M1930" s="10" t="n">
        <x:f>K1930*'Assumptions'!$V$32</x:f>
        <x:v>0</x:v>
      </x:c>
      <x:c r="N1930" s="10" t="n">
        <x:f>K1930-L1930-M1930</x:f>
        <x:v>53987.97796139373</x:v>
      </x:c>
      <x:c r="O1930" s="10" t="n">
        <x:f>H1930*'Assumptions'!$P$32*'Assumptions'!$Q$32*'Assumptions'!$D$11*(1+'Assumptions'!$D$13)^(16-1)</x:f>
        <x:v>33134.893768221766</x:v>
      </x:c>
      <x:c r="P1930" s="10" t="n">
        <x:f>H1930*'Assumptions'!$R$32*'Assumptions'!$D$11*(1+'Assumptions'!$D$13)^(16-1)</x:f>
        <x:v>920.4137157839378</x:v>
      </x:c>
      <x:c r="Q1930" s="10" t="n">
        <x:f>J1930*'Assumptions'!$S$32</x:f>
        <x:v>0</x:v>
      </x:c>
      <x:c r="R1930" s="10" t="n">
        <x:f>H1930*'Assumptions'!$Y$32*'Assumptions'!$Z$32*'Assumptions'!$D$11*(1+'Assumptions'!$D$13)^(16-1)</x:f>
        <x:v>276.12411473518137</x:v>
      </x:c>
      <x:c r="S1930" s="10" t="n">
        <x:f>IF(I1930=0,0,J1930*'Assumptions'!$W$32+H1930*'Assumptions'!$X$32)</x:f>
        <x:v>1621.1629103982416</x:v>
      </x:c>
      <x:c r="T1930" s="10" t="n">
        <x:f>N1930*'Assumptions'!$AA$32</x:f>
        <x:v>2159.5191184557493</x:v>
      </x:c>
      <x:c r="U1930" s="10" t="n">
        <x:f>'Assumptions'!$AE$32*'Assumptions'!$D$11*(1+'Assumptions'!$D$13)^(16-1)</x:f>
        <x:v>0</x:v>
      </x:c>
      <x:c r="V1930" s="10" t="n">
        <x:f>0</x:f>
        <x:v>0</x:v>
      </x:c>
      <x:c r="W1930" s="10" t="n">
        <x:f>H1930*('Assumptions'!$P$32+'Assumptions'!$Y$32)</x:f>
        <x:v>478.53061741921897</x:v>
      </x:c>
      <x:c r="X1930" s="10" t="n">
        <x:f>N1930/12*'Assumptions'!$AF$32</x:f>
        <x:v>4498.998163449477</x:v>
      </x:c>
      <x:c r="Y1930" s="10" t="n">
        <x:f>P1930/12</x:f>
        <x:v>76.70114298199482</x:v>
      </x:c>
      <x:c r="Z1930" s="10" t="n">
        <x:f>0</x:f>
        <x:v>0</x:v>
      </x:c>
      <x:c r="AA1930" s="10" t="n">
        <x:f>Z1930*'Assumptions'!$AC$32*'Assumptions'!$D$11*(1+'Assumptions'!$D$13)^(16-1)</x:f>
        <x:v>0</x:v>
      </x:c>
      <x:c r="AB1930" s="10" t="n">
        <x:f>F1930/1</x:f>
        <x:v>12.159940860765973</x:v>
      </x:c>
      <x:c r="AC1930" s="10" t="n">
        <x:f>AB1930/'Assumptions'!$AM$32</x:f>
        <x:v>60.79970430382986</x:v>
      </x:c>
      <x:c r="AD1930" s="10" t="n">
        <x:f>IF(AB1930=0,0,T1930/AB1930)</x:f>
        <x:v>177.592896477271</x:v>
      </x:c>
      <x:c r="AE1930" s="10" t="n">
        <x:f>AA1930*'Assumptions'!$D$21</x:f>
        <x:v>0</x:v>
      </x:c>
    </x:row>
    <x:row r="1931" ht="16" customHeight="1">
      <x:c r="A1931" s="1"/>
      <x:c r="B1931" s="1"/>
      <x:c r="C1931" s="1" t="str">
        <x:v>DOT-004</x:v>
      </x:c>
      <x:c r="D1931" s="10" t="str">
        <x:v>ETV services</x:v>
      </x:c>
      <x:c r="E1931" s="10" t="n">
        <x:v>16</x:v>
      </x:c>
      <x:c r="F1931" s="21" t="n">
        <x:f>F1803*(1+'Assumptions'!$M$33)</x:f>
        <x:v>8.10662724051065</x:v>
      </x:c>
      <x:c r="G1931" s="21" t="n">
        <x:f>H1803*'Assumptions'!$K$33</x:f>
        <x:v>7.6474671601220745</x:v>
      </x:c>
      <x:c r="H1931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1931+G1931,NA())</x:f>
        <x:v>15.754094400632724</x:v>
      </x:c>
      <x:c r="I1931" s="22" t="n">
        <x:f>'Assumptions'!$H$33*IF('Assumptions'!$O$33=1,1,'Assumptions'!$D$10)*(1+'Assumptions'!$N$33)^(16-1)</x:f>
        <x:v>3364.670845810325</x:v>
      </x:c>
      <x:c r="J1931" s="10" t="n">
        <x:f>H1931*I1931</x:f>
        <x:v>53007.34213195261</x:v>
      </x:c>
      <x:c r="K1931" s="10" t="n">
        <x:f>J1931*'Assumptions'!$T$33</x:f>
        <x:v>53007.34213195261</x:v>
      </x:c>
      <x:c r="L1931" s="10" t="n">
        <x:f>K1931*'Assumptions'!$U$33</x:f>
        <x:v>1590.2202639585782</x:v>
      </x:c>
      <x:c r="M1931" s="10" t="n">
        <x:f>K1931*'Assumptions'!$V$33</x:f>
        <x:v>0</x:v>
      </x:c>
      <x:c r="N1931" s="10" t="n">
        <x:f>K1931-L1931-M1931</x:f>
        <x:v>51417.12186799403</x:v>
      </x:c>
      <x:c r="O1931" s="10" t="n">
        <x:f>H1931*'Assumptions'!$P$33*'Assumptions'!$Q$33*'Assumptions'!$D$11*(1+'Assumptions'!$D$13)^(16-1)</x:f>
        <x:v>33134.893768221766</x:v>
      </x:c>
      <x:c r="P1931" s="10" t="n">
        <x:f>H1931*'Assumptions'!$R$33*'Assumptions'!$D$11*(1+'Assumptions'!$D$13)^(16-1)</x:f>
        <x:v>613.6091438559586</x:v>
      </x:c>
      <x:c r="Q1931" s="10" t="n">
        <x:f>J1931*'Assumptions'!$S$33</x:f>
        <x:v>0</x:v>
      </x:c>
      <x:c r="R1931" s="10" t="n">
        <x:f>H1931*'Assumptions'!$Y$33*'Assumptions'!$Z$33*'Assumptions'!$D$11*(1+'Assumptions'!$D$13)^(16-1)</x:f>
        <x:v>184.0827431567876</x:v>
      </x:c>
      <x:c r="S1931" s="10" t="n">
        <x:f>IF(I1931=0,0,J1931*'Assumptions'!$W$33+H1931*'Assumptions'!$X$33)</x:f>
        <x:v>1541.9391501468156</x:v>
      </x:c>
      <x:c r="T1931" s="10" t="n">
        <x:f>N1931*'Assumptions'!$AA$33</x:f>
        <x:v>2056.684874719761</x:v>
      </x:c>
      <x:c r="U1931" s="10" t="n">
        <x:f>'Assumptions'!$AE$33*'Assumptions'!$D$11*(1+'Assumptions'!$D$13)^(16-1)</x:f>
        <x:v>0</x:v>
      </x:c>
      <x:c r="V1931" s="10" t="n">
        <x:f>0</x:f>
        <x:v>0</x:v>
      </x:c>
      <x:c r="W1931" s="10" t="n">
        <x:f>H1931*('Assumptions'!$P$33+'Assumptions'!$Y$33)</x:f>
        <x:v>476.5613556191399</x:v>
      </x:c>
      <x:c r="X1931" s="10" t="n">
        <x:f>N1931/12*'Assumptions'!$AF$33</x:f>
        <x:v>4284.760155666169</x:v>
      </x:c>
      <x:c r="Y1931" s="10" t="n">
        <x:f>P1931/12</x:f>
        <x:v>51.13409532132988</x:v>
      </x:c>
      <x:c r="Z1931" s="10" t="n">
        <x:f>0</x:f>
        <x:v>0</x:v>
      </x:c>
      <x:c r="AA1931" s="10" t="n">
        <x:f>Z1931*'Assumptions'!$AC$33*'Assumptions'!$D$11*(1+'Assumptions'!$D$13)^(16-1)</x:f>
        <x:v>0</x:v>
      </x:c>
      <x:c r="AB1931" s="10" t="n">
        <x:f>F1931/1</x:f>
        <x:v>8.10662724051065</x:v>
      </x:c>
      <x:c r="AC1931" s="10" t="n">
        <x:f>AB1931/'Assumptions'!$AM$33</x:f>
        <x:v>40.533136202553244</x:v>
      </x:c>
      <x:c r="AD1931" s="10" t="n">
        <x:f>IF(AB1931=0,0,T1931/AB1931)</x:f>
        <x:v>253.70413782467284</x:v>
      </x:c>
      <x:c r="AE1931" s="10" t="n">
        <x:f>AA1931*'Assumptions'!$D$21</x:f>
        <x:v>0</x:v>
      </x:c>
    </x:row>
    <x:row r="1932" ht="16" customHeight="1">
      <x:c r="A1932" s="1"/>
      <x:c r="B1932" s="1"/>
      <x:c r="C1932" s="1" t="str">
        <x:v>DOT-005</x:v>
      </x:c>
      <x:c r="D1932" s="10" t="str">
        <x:v>ETV services</x:v>
      </x:c>
      <x:c r="E1932" s="10" t="n">
        <x:v>16</x:v>
      </x:c>
      <x:c r="F1932" s="21" t="n">
        <x:f>F1804*(1+'Assumptions'!$M$34)</x:f>
        <x:v>8.10662724051065</x:v>
      </x:c>
      <x:c r="G1932" s="21" t="n">
        <x:f>H1804*'Assumptions'!$K$34</x:f>
        <x:v>7.6474671601220745</x:v>
      </x:c>
      <x:c r="H1932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1932+G1932,NA())</x:f>
        <x:v>15.754094400632724</x:v>
      </x:c>
      <x:c r="I1932" s="22" t="n">
        <x:f>'Assumptions'!$H$34*IF('Assumptions'!$O$34=1,1,'Assumptions'!$D$10)*(1+'Assumptions'!$N$34)^(16-1)</x:f>
        <x:v>2018.8025074861948</x:v>
      </x:c>
      <x:c r="J1932" s="10" t="n">
        <x:f>H1932*I1932</x:f>
        <x:v>31804.405279171566</x:v>
      </x:c>
      <x:c r="K1932" s="10" t="n">
        <x:f>J1932*'Assumptions'!$T$34</x:f>
        <x:v>31804.405279171566</x:v>
      </x:c>
      <x:c r="L1932" s="10" t="n">
        <x:f>K1932*'Assumptions'!$U$34</x:f>
        <x:v>954.1321583751469</x:v>
      </x:c>
      <x:c r="M1932" s="10" t="n">
        <x:f>K1932*'Assumptions'!$V$34</x:f>
        <x:v>0</x:v>
      </x:c>
      <x:c r="N1932" s="10" t="n">
        <x:f>K1932-L1932-M1932</x:f>
        <x:v>30850.273120796417</x:v>
      </x:c>
      <x:c r="O1932" s="10" t="n">
        <x:f>H1932*'Assumptions'!$P$34*'Assumptions'!$Q$34*'Assumptions'!$D$11*(1+'Assumptions'!$D$13)^(16-1)</x:f>
        <x:v>19880.936260933056</x:v>
      </x:c>
      <x:c r="P1932" s="10" t="n">
        <x:f>H1932*'Assumptions'!$R$34*'Assumptions'!$D$11*(1+'Assumptions'!$D$13)^(16-1)</x:f>
        <x:v>613.6091438559586</x:v>
      </x:c>
      <x:c r="Q1932" s="10" t="n">
        <x:f>J1932*'Assumptions'!$S$34</x:f>
        <x:v>0</x:v>
      </x:c>
      <x:c r="R1932" s="10" t="n">
        <x:f>H1932*'Assumptions'!$Y$34*'Assumptions'!$Z$34*'Assumptions'!$D$11*(1+'Assumptions'!$D$13)^(16-1)</x:f>
        <x:v>184.0827431567876</x:v>
      </x:c>
      <x:c r="S1932" s="10" t="n">
        <x:f>IF(I1932=0,0,J1932*'Assumptions'!$W$34+H1932*'Assumptions'!$X$34)</x:f>
        <x:v>927.0539814161652</x:v>
      </x:c>
      <x:c r="T1932" s="10" t="n">
        <x:f>N1932*'Assumptions'!$AA$34</x:f>
        <x:v>1234.0109248318568</x:v>
      </x:c>
      <x:c r="U1932" s="10" t="n">
        <x:f>'Assumptions'!$AE$34*'Assumptions'!$D$11*(1+'Assumptions'!$D$13)^(16-1)</x:f>
        <x:v>0</x:v>
      </x:c>
      <x:c r="V1932" s="10" t="n">
        <x:f>0</x:f>
        <x:v>0</x:v>
      </x:c>
      <x:c r="W1932" s="10" t="n">
        <x:f>H1932*('Assumptions'!$P$34+'Assumptions'!$Y$34)</x:f>
        <x:v>287.5122228115472</x:v>
      </x:c>
      <x:c r="X1932" s="10" t="n">
        <x:f>N1932/12*'Assumptions'!$AF$34</x:f>
        <x:v>2570.8560933997014</x:v>
      </x:c>
      <x:c r="Y1932" s="10" t="n">
        <x:f>P1932/12</x:f>
        <x:v>51.13409532132988</x:v>
      </x:c>
      <x:c r="Z1932" s="10" t="n">
        <x:f>0</x:f>
        <x:v>0</x:v>
      </x:c>
      <x:c r="AA1932" s="10" t="n">
        <x:f>Z1932*'Assumptions'!$AC$34*'Assumptions'!$D$11*(1+'Assumptions'!$D$13)^(16-1)</x:f>
        <x:v>0</x:v>
      </x:c>
      <x:c r="AB1932" s="10" t="n">
        <x:f>F1932/1</x:f>
        <x:v>8.10662724051065</x:v>
      </x:c>
      <x:c r="AC1932" s="10" t="n">
        <x:f>AB1932/'Assumptions'!$AM$34</x:f>
        <x:v>40.533136202553244</x:v>
      </x:c>
      <x:c r="AD1932" s="10" t="n">
        <x:f>IF(AB1932=0,0,T1932/AB1932)</x:f>
        <x:v>152.22248269480372</x:v>
      </x:c>
      <x:c r="AE1932" s="10" t="n">
        <x:f>AA1932*'Assumptions'!$D$21</x:f>
        <x:v>0</x:v>
      </x:c>
    </x:row>
    <x:row r="1933" ht="16" customHeight="1">
      <x:c r="A1933" s="1"/>
      <x:c r="B1933" s="1"/>
      <x:c r="C1933" s="1" t="str">
        <x:v>DOT-006</x:v>
      </x:c>
      <x:c r="D1933" s="10" t="str">
        <x:v>ETV services</x:v>
      </x:c>
      <x:c r="E1933" s="10" t="n">
        <x:v>16</x:v>
      </x:c>
      <x:c r="F1933" s="21" t="n">
        <x:f>F1805*(1+'Assumptions'!$M$35)</x:f>
        <x:v>12.159940860765973</x:v>
      </x:c>
      <x:c r="G1933" s="21" t="n">
        <x:f>H1805*'Assumptions'!$K$35</x:f>
        <x:v>11.47120074018311</x:v>
      </x:c>
      <x:c r="H1933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1933+G1933,NA())</x:f>
        <x:v>23.631141600949086</x:v>
      </x:c>
      <x:c r="I1933" s="22" t="n">
        <x:f>'Assumptions'!$H$35*IF('Assumptions'!$O$35=1,1,'Assumptions'!$D$10)*(1+'Assumptions'!$N$35)^(16-1)</x:f>
        <x:v>1009.4012537430974</x:v>
      </x:c>
      <x:c r="J1933" s="10" t="n">
        <x:f>H1933*I1933</x:f>
        <x:v>23853.303959378674</x:v>
      </x:c>
      <x:c r="K1933" s="10" t="n">
        <x:f>J1933*'Assumptions'!$T$35</x:f>
        <x:v>23853.303959378674</x:v>
      </x:c>
      <x:c r="L1933" s="10" t="n">
        <x:f>K1933*'Assumptions'!$U$35</x:f>
        <x:v>715.5991187813602</x:v>
      </x:c>
      <x:c r="M1933" s="10" t="n">
        <x:f>K1933*'Assumptions'!$V$35</x:f>
        <x:v>0</x:v>
      </x:c>
      <x:c r="N1933" s="10" t="n">
        <x:f>K1933-L1933-M1933</x:f>
        <x:v>23137.704840597315</x:v>
      </x:c>
      <x:c r="O1933" s="10" t="n">
        <x:f>H1933*'Assumptions'!$P$35*'Assumptions'!$Q$35*'Assumptions'!$D$11*(1+'Assumptions'!$D$13)^(16-1)</x:f>
        <x:v>13253.957507288704</x:v>
      </x:c>
      <x:c r="P1933" s="10" t="n">
        <x:f>H1933*'Assumptions'!$R$35*'Assumptions'!$D$11*(1+'Assumptions'!$D$13)^(16-1)</x:f>
        <x:v>920.4137157839378</x:v>
      </x:c>
      <x:c r="Q1933" s="10" t="n">
        <x:f>J1933*'Assumptions'!$S$35</x:f>
        <x:v>0</x:v>
      </x:c>
      <x:c r="R1933" s="10" t="n">
        <x:f>H1933*'Assumptions'!$Y$35*'Assumptions'!$Z$35*'Assumptions'!$D$11*(1+'Assumptions'!$D$13)^(16-1)</x:f>
        <x:v>276.12411473518137</x:v>
      </x:c>
      <x:c r="S1933" s="10" t="n">
        <x:f>IF(I1933=0,0,J1933*'Assumptions'!$W$35+H1933*'Assumptions'!$X$35)</x:f>
        <x:v>698.8351573022663</x:v>
      </x:c>
      <x:c r="T1933" s="10" t="n">
        <x:f>N1933*'Assumptions'!$AA$35</x:f>
        <x:v>925.5081936238926</x:v>
      </x:c>
      <x:c r="U1933" s="10" t="n">
        <x:f>'Assumptions'!$AE$35*'Assumptions'!$D$11*(1+'Assumptions'!$D$13)^(16-1)</x:f>
        <x:v>0</x:v>
      </x:c>
      <x:c r="V1933" s="10" t="n">
        <x:f>0</x:f>
        <x:v>0</x:v>
      </x:c>
      <x:c r="W1933" s="10" t="n">
        <x:f>H1933*('Assumptions'!$P$35+'Assumptions'!$Y$35)</x:f>
        <x:v>194.95691820782994</x:v>
      </x:c>
      <x:c r="X1933" s="10" t="n">
        <x:f>N1933/12*'Assumptions'!$AF$35</x:f>
        <x:v>1928.1420700497763</x:v>
      </x:c>
      <x:c r="Y1933" s="10" t="n">
        <x:f>P1933/12</x:f>
        <x:v>76.70114298199482</x:v>
      </x:c>
      <x:c r="Z1933" s="10" t="n">
        <x:f>0</x:f>
        <x:v>0</x:v>
      </x:c>
      <x:c r="AA1933" s="10" t="n">
        <x:f>Z1933*'Assumptions'!$AC$35*'Assumptions'!$D$11*(1+'Assumptions'!$D$13)^(16-1)</x:f>
        <x:v>0</x:v>
      </x:c>
      <x:c r="AB1933" s="10" t="n">
        <x:f>F1933/1</x:f>
        <x:v>12.159940860765973</x:v>
      </x:c>
      <x:c r="AC1933" s="10" t="n">
        <x:f>AB1933/'Assumptions'!$AM$35</x:f>
        <x:v>60.79970430382986</x:v>
      </x:c>
      <x:c r="AD1933" s="10" t="n">
        <x:f>IF(AB1933=0,0,T1933/AB1933)</x:f>
        <x:v>76.11124134740187</x:v>
      </x:c>
      <x:c r="AE1933" s="10" t="n">
        <x:f>AA1933*'Assumptions'!$D$21</x:f>
        <x:v>0</x:v>
      </x:c>
    </x:row>
    <x:row r="1934" ht="16" customHeight="1">
      <x:c r="A1934" s="1"/>
      <x:c r="B1934" s="1"/>
      <x:c r="C1934" s="1" t="str">
        <x:v>DOT-007</x:v>
      </x:c>
      <x:c r="D1934" s="10" t="str">
        <x:v>BPA professional services</x:v>
      </x:c>
      <x:c r="E1934" s="10" t="n">
        <x:v>16</x:v>
      </x:c>
      <x:c r="F1934" s="21" t="n">
        <x:f>F1806*(1+'Assumptions'!$M$36)</x:f>
        <x:v>48.63976344306389</x:v>
      </x:c>
      <x:c r="G1934" s="21" t="n">
        <x:f>H1806*'Assumptions'!$K$36</x:f>
        <x:v>45.88443674979494</x:v>
      </x:c>
      <x:c r="H1934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1934+G1934,NA())</x:f>
        <x:v>94.52420019285884</x:v>
      </x:c>
      <x:c r="I1934" s="22" t="n">
        <x:f>'Assumptions'!$H$36*IF('Assumptions'!$O$36=1,1,'Assumptions'!$D$10)*(1+'Assumptions'!$N$36)^(16-1)</x:f>
        <x:v>250</x:v>
      </x:c>
      <x:c r="J1934" s="10" t="n">
        <x:f>H1934*I1934</x:f>
        <x:v>23631.05004821471</x:v>
      </x:c>
      <x:c r="K1934" s="10" t="n">
        <x:f>J1934*'Assumptions'!$T$36</x:f>
        <x:v>23631.05004821471</x:v>
      </x:c>
      <x:c r="L1934" s="10" t="n">
        <x:f>K1934*'Assumptions'!$U$36</x:f>
        <x:v>708.9315014464413</x:v>
      </x:c>
      <x:c r="M1934" s="10" t="n">
        <x:f>K1934*'Assumptions'!$V$36</x:f>
        <x:v>0</x:v>
      </x:c>
      <x:c r="N1934" s="10" t="n">
        <x:f>K1934-L1934-M1934</x:f>
        <x:v>22922.11854676827</x:v>
      </x:c>
      <x:c r="O1934" s="10" t="n">
        <x:f>H1934*'Assumptions'!$P$36*'Assumptions'!$Q$36*'Assumptions'!$D$11*(1+'Assumptions'!$D$13)^(16-1)</x:f>
        <x:v>7360.335886556478</x:v>
      </x:c>
      <x:c r="P1934" s="10" t="n">
        <x:f>H1934*'Assumptions'!$R$36*'Assumptions'!$D$11*(1+'Assumptions'!$D$13)^(16-1)</x:f>
        <x:v>1472.6562398072185</x:v>
      </x:c>
      <x:c r="Q1934" s="10" t="n">
        <x:f>J1934*'Assumptions'!$S$36</x:f>
        <x:v>0</x:v>
      </x:c>
      <x:c r="R1934" s="10" t="n">
        <x:f>H1934*'Assumptions'!$Y$36*'Assumptions'!$Z$36*'Assumptions'!$D$11*(1+'Assumptions'!$D$13)^(16-1)</x:f>
        <x:v>1104.4921798554137</x:v>
      </x:c>
      <x:c r="S1934" s="10" t="n">
        <x:f>IF(I1934=0,0,J1934*'Assumptions'!$W$36+H1934*'Assumptions'!$X$36)</x:f>
        <x:v>713.6577114560843</x:v>
      </x:c>
      <x:c r="T1934" s="10" t="n">
        <x:f>N1934*'Assumptions'!$AA$36</x:f>
        <x:v>916.8847418707309</x:v>
      </x:c>
      <x:c r="U1934" s="10" t="n">
        <x:f>'Assumptions'!$AE$36*'Assumptions'!$D$11*(1+'Assumptions'!$D$13)^(16-1)</x:f>
        <x:v>0</x:v>
      </x:c>
      <x:c r="V1934" s="10" t="n">
        <x:f>0</x:f>
        <x:v>0</x:v>
      </x:c>
      <x:c r="W1934" s="10" t="n">
        <x:f>H1934*('Assumptions'!$P$36+'Assumptions'!$Y$36)</x:f>
        <x:v>102.36970880886612</x:v>
      </x:c>
      <x:c r="X1934" s="10" t="n">
        <x:f>N1934/12*'Assumptions'!$AF$36</x:f>
        <x:v>1910.1765455640225</x:v>
      </x:c>
      <x:c r="Y1934" s="10" t="n">
        <x:f>P1934/12</x:f>
        <x:v>122.72135331726821</x:v>
      </x:c>
      <x:c r="Z1934" s="10" t="n">
        <x:f>0</x:f>
        <x:v>0</x:v>
      </x:c>
      <x:c r="AA1934" s="10" t="n">
        <x:f>Z1934*'Assumptions'!$AC$36*'Assumptions'!$D$11*(1+'Assumptions'!$D$13)^(16-1)</x:f>
        <x:v>0</x:v>
      </x:c>
      <x:c r="AB1934" s="10" t="n">
        <x:f>F1934/1</x:f>
        <x:v>48.63976344306389</x:v>
      </x:c>
      <x:c r="AC1934" s="10" t="n">
        <x:f>AB1934/'Assumptions'!$AM$36</x:f>
        <x:v>243.19881721531945</x:v>
      </x:c>
      <x:c r="AD1934" s="10" t="n">
        <x:f>IF(AB1934=0,0,T1934/AB1934)</x:f>
        <x:v>18.850518114546468</x:v>
      </x:c>
      <x:c r="AE1934" s="10" t="n">
        <x:f>AA1934*'Assumptions'!$D$21</x:f>
        <x:v>0</x:v>
      </x:c>
    </x:row>
    <x:row r="1935" ht="16" customHeight="1">
      <x:c r="A1935" s="1"/>
      <x:c r="B1935" s="1"/>
      <x:c r="C1935" s="1" t="str">
        <x:v>DOT-008</x:v>
      </x:c>
      <x:c r="D1935" s="10" t="str">
        <x:v>BPA professional services</x:v>
      </x:c>
      <x:c r="E1935" s="10" t="n">
        <x:v>16</x:v>
      </x:c>
      <x:c r="F1935" s="21" t="n">
        <x:f>F1807*(1+'Assumptions'!$M$37)</x:f>
        <x:v>18.23991129114895</x:v>
      </x:c>
      <x:c r="G1935" s="21" t="n">
        <x:f>H1807*'Assumptions'!$K$37</x:f>
        <x:v>17.206663781173095</x:v>
      </x:c>
      <x:c r="H1935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1935+G1935,NA())</x:f>
        <x:v>35.44657507232205</x:v>
      </x:c>
      <x:c r="I1935" s="22" t="n">
        <x:f>'Assumptions'!$H$37*IF('Assumptions'!$O$37=1,1,'Assumptions'!$D$10)*(1+'Assumptions'!$N$37)^(16-1)</x:f>
        <x:v>600</x:v>
      </x:c>
      <x:c r="J1935" s="10" t="n">
        <x:f>H1935*I1935</x:f>
        <x:v>21267.94504339323</x:v>
      </x:c>
      <x:c r="K1935" s="10" t="n">
        <x:f>J1935*'Assumptions'!$T$37</x:f>
        <x:v>21267.94504339323</x:v>
      </x:c>
      <x:c r="L1935" s="10" t="n">
        <x:f>K1935*'Assumptions'!$U$37</x:f>
        <x:v>638.0383513017969</x:v>
      </x:c>
      <x:c r="M1935" s="10" t="n">
        <x:f>K1935*'Assumptions'!$V$37</x:f>
        <x:v>0</x:v>
      </x:c>
      <x:c r="N1935" s="10" t="n">
        <x:f>K1935-L1935-M1935</x:f>
        <x:v>20629.906692091434</x:v>
      </x:c>
      <x:c r="O1935" s="10" t="n">
        <x:f>H1935*'Assumptions'!$P$37*'Assumptions'!$Q$37*'Assumptions'!$D$11*(1+'Assumptions'!$D$13)^(16-1)</x:f>
        <x:v>13253.906158264957</x:v>
      </x:c>
      <x:c r="P1935" s="10" t="n">
        <x:f>H1935*'Assumptions'!$R$37*'Assumptions'!$D$11*(1+'Assumptions'!$D$13)^(16-1)</x:f>
        <x:v>552.2460899277066</x:v>
      </x:c>
      <x:c r="Q1935" s="10" t="n">
        <x:f>J1935*'Assumptions'!$S$37</x:f>
        <x:v>0</x:v>
      </x:c>
      <x:c r="R1935" s="10" t="n">
        <x:f>H1935*'Assumptions'!$Y$37*'Assumptions'!$Z$37*'Assumptions'!$D$11*(1+'Assumptions'!$D$13)^(16-1)</x:f>
        <x:v>414.1845674457799</x:v>
      </x:c>
      <x:c r="S1935" s="10" t="n">
        <x:f>IF(I1935=0,0,J1935*'Assumptions'!$W$37+H1935*'Assumptions'!$X$37)</x:f>
        <x:v>627.4043787801003</x:v>
      </x:c>
      <x:c r="T1935" s="10" t="n">
        <x:f>N1935*'Assumptions'!$AA$37</x:f>
        <x:v>825.1962676836574</x:v>
      </x:c>
      <x:c r="U1935" s="10" t="n">
        <x:f>'Assumptions'!$AE$37*'Assumptions'!$D$11*(1+'Assumptions'!$D$13)^(16-1)</x:f>
        <x:v>0</x:v>
      </x:c>
      <x:c r="V1935" s="10" t="n">
        <x:f>0</x:f>
        <x:v>0</x:v>
      </x:c>
      <x:c r="W1935" s="10" t="n">
        <x:f>H1935*('Assumptions'!$P$37+'Assumptions'!$Y$37)</x:f>
        <x:v>150.6479440573687</x:v>
      </x:c>
      <x:c r="X1935" s="10" t="n">
        <x:f>N1935/12*'Assumptions'!$AF$37</x:f>
        <x:v>1719.1588910076196</x:v>
      </x:c>
      <x:c r="Y1935" s="10" t="n">
        <x:f>P1935/12</x:f>
        <x:v>46.02050749397555</x:v>
      </x:c>
      <x:c r="Z1935" s="10" t="n">
        <x:f>0</x:f>
        <x:v>0</x:v>
      </x:c>
      <x:c r="AA1935" s="10" t="n">
        <x:f>Z1935*'Assumptions'!$AC$37*'Assumptions'!$D$11*(1+'Assumptions'!$D$13)^(16-1)</x:f>
        <x:v>0</x:v>
      </x:c>
      <x:c r="AB1935" s="10" t="n">
        <x:f>F1935/1</x:f>
        <x:v>18.23991129114895</x:v>
      </x:c>
      <x:c r="AC1935" s="10" t="n">
        <x:f>AB1935/'Assumptions'!$AM$37</x:f>
        <x:v>91.19955645574474</x:v>
      </x:c>
      <x:c r="AD1935" s="10" t="n">
        <x:f>IF(AB1935=0,0,T1935/AB1935)</x:f>
        <x:v>45.24124347491152</x:v>
      </x:c>
      <x:c r="AE1935" s="10" t="n">
        <x:f>AA1935*'Assumptions'!$D$21</x:f>
        <x:v>0</x:v>
      </x:c>
    </x:row>
    <x:row r="1936" ht="16" customHeight="1">
      <x:c r="A1936" s="1"/>
      <x:c r="B1936" s="1"/>
      <x:c r="C1936" s="1" t="str">
        <x:v>DOT-009</x:v>
      </x:c>
      <x:c r="D1936" s="10" t="str">
        <x:v>BPA professional services</x:v>
      </x:c>
      <x:c r="E1936" s="10" t="n">
        <x:v>16</x:v>
      </x:c>
      <x:c r="F1936" s="21" t="n">
        <x:f>F1808*(1+'Assumptions'!$M$38)</x:f>
        <x:v>12.159940860765973</x:v>
      </x:c>
      <x:c r="G1936" s="21" t="n">
        <x:f>H1808*'Assumptions'!$K$38</x:f>
        <x:v>11.471109187448736</x:v>
      </x:c>
      <x:c r="H1936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1936+G1936,NA())</x:f>
        <x:v>23.63105004821471</x:v>
      </x:c>
      <x:c r="I1936" s="22" t="n">
        <x:f>'Assumptions'!$H$38*IF('Assumptions'!$O$38=1,1,'Assumptions'!$D$10)*(1+'Assumptions'!$N$38)^(16-1)</x:f>
        <x:v>900</x:v>
      </x:c>
      <x:c r="J1936" s="10" t="n">
        <x:f>H1936*I1936</x:f>
        <x:v>21267.94504339324</x:v>
      </x:c>
      <x:c r="K1936" s="10" t="n">
        <x:f>J1936*'Assumptions'!$T$38</x:f>
        <x:v>21267.94504339324</x:v>
      </x:c>
      <x:c r="L1936" s="10" t="n">
        <x:f>K1936*'Assumptions'!$U$38</x:f>
        <x:v>638.0383513017972</x:v>
      </x:c>
      <x:c r="M1936" s="10" t="n">
        <x:f>K1936*'Assumptions'!$V$38</x:f>
        <x:v>0</x:v>
      </x:c>
      <x:c r="N1936" s="10" t="n">
        <x:f>K1936-L1936-M1936</x:f>
        <x:v>20629.90669209144</x:v>
      </x:c>
      <x:c r="O1936" s="10" t="n">
        <x:f>H1936*'Assumptions'!$P$38*'Assumptions'!$Q$38*'Assumptions'!$D$11*(1+'Assumptions'!$D$13)^(16-1)</x:f>
        <x:v>13253.906158264965</x:v>
      </x:c>
      <x:c r="P1936" s="10" t="n">
        <x:f>H1936*'Assumptions'!$R$38*'Assumptions'!$D$11*(1+'Assumptions'!$D$13)^(16-1)</x:f>
        <x:v>368.16405995180463</x:v>
      </x:c>
      <x:c r="Q1936" s="10" t="n">
        <x:f>J1936*'Assumptions'!$S$38</x:f>
        <x:v>0</x:v>
      </x:c>
      <x:c r="R1936" s="10" t="n">
        <x:f>H1936*'Assumptions'!$Y$38*'Assumptions'!$Z$38*'Assumptions'!$D$11*(1+'Assumptions'!$D$13)^(16-1)</x:f>
        <x:v>276.12304496385343</x:v>
      </x:c>
      <x:c r="S1936" s="10" t="n">
        <x:f>IF(I1936=0,0,J1936*'Assumptions'!$W$38+H1936*'Assumptions'!$X$38)</x:f>
        <x:v>623.8597212728685</x:v>
      </x:c>
      <x:c r="T1936" s="10" t="n">
        <x:f>N1936*'Assumptions'!$AA$38</x:f>
        <x:v>825.1962676836577</x:v>
      </x:c>
      <x:c r="U1936" s="10" t="n">
        <x:f>'Assumptions'!$AE$38*'Assumptions'!$D$11*(1+'Assumptions'!$D$13)^(16-1)</x:f>
        <x:v>0</x:v>
      </x:c>
      <x:c r="V1936" s="10" t="n">
        <x:f>0</x:f>
        <x:v>0</x:v>
      </x:c>
      <x:c r="W1936" s="10" t="n">
        <x:f>H1936*('Assumptions'!$P$38+'Assumptions'!$Y$38)</x:f>
        <x:v>147.69406280134194</x:v>
      </x:c>
      <x:c r="X1936" s="10" t="n">
        <x:f>N1936/12*'Assumptions'!$AF$38</x:f>
        <x:v>1719.15889100762</x:v>
      </x:c>
      <x:c r="Y1936" s="10" t="n">
        <x:f>P1936/12</x:f>
        <x:v>30.680338329317053</x:v>
      </x:c>
      <x:c r="Z1936" s="10" t="n">
        <x:f>0</x:f>
        <x:v>0</x:v>
      </x:c>
      <x:c r="AA1936" s="10" t="n">
        <x:f>Z1936*'Assumptions'!$AC$38*'Assumptions'!$D$11*(1+'Assumptions'!$D$13)^(16-1)</x:f>
        <x:v>0</x:v>
      </x:c>
      <x:c r="AB1936" s="10" t="n">
        <x:f>F1936/1</x:f>
        <x:v>12.159940860765973</x:v>
      </x:c>
      <x:c r="AC1936" s="10" t="n">
        <x:f>AB1936/'Assumptions'!$AM$38</x:f>
        <x:v>60.79970430382986</x:v>
      </x:c>
      <x:c r="AD1936" s="10" t="n">
        <x:f>IF(AB1936=0,0,T1936/AB1936)</x:f>
        <x:v>67.86186521236726</x:v>
      </x:c>
      <x:c r="AE1936" s="10" t="n">
        <x:f>AA1936*'Assumptions'!$D$21</x:f>
        <x:v>0</x:v>
      </x:c>
    </x:row>
    <x:row r="1937" ht="16" customHeight="1">
      <x:c r="A1937" s="1"/>
      <x:c r="B1937" s="1"/>
      <x:c r="C1937" s="1" t="str">
        <x:v>DOT-010</x:v>
      </x:c>
      <x:c r="D1937" s="10" t="str">
        <x:v>BPA professional services</x:v>
      </x:c>
      <x:c r="E1937" s="10" t="n">
        <x:v>16</x:v>
      </x:c>
      <x:c r="F1937" s="21" t="n">
        <x:f>F1809*(1+'Assumptions'!$M$39)</x:f>
        <x:v>12.159940860765973</x:v>
      </x:c>
      <x:c r="G1937" s="21" t="n">
        <x:f>H1809*'Assumptions'!$K$39</x:f>
        <x:v>11.471109187448736</x:v>
      </x:c>
      <x:c r="H1937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1937+G1937,NA())</x:f>
        <x:v>23.63105004821471</x:v>
      </x:c>
      <x:c r="I1937" s="22" t="n">
        <x:f>'Assumptions'!$H$39*IF('Assumptions'!$O$39=1,1,'Assumptions'!$D$10)*(1+'Assumptions'!$N$39)^(16-1)</x:f>
        <x:v>1800</x:v>
      </x:c>
      <x:c r="J1937" s="10" t="n">
        <x:f>H1937*I1937</x:f>
        <x:v>42535.89008678648</x:v>
      </x:c>
      <x:c r="K1937" s="10" t="n">
        <x:f>J1937*'Assumptions'!$T$39</x:f>
        <x:v>42535.89008678648</x:v>
      </x:c>
      <x:c r="L1937" s="10" t="n">
        <x:f>K1937*'Assumptions'!$U$39</x:f>
        <x:v>1276.0767026035944</x:v>
      </x:c>
      <x:c r="M1937" s="10" t="n">
        <x:f>K1937*'Assumptions'!$V$39</x:f>
        <x:v>0</x:v>
      </x:c>
      <x:c r="N1937" s="10" t="n">
        <x:f>K1937-L1937-M1937</x:f>
        <x:v>41259.81338418288</x:v>
      </x:c>
      <x:c r="O1937" s="10" t="n">
        <x:f>H1937*'Assumptions'!$P$39*'Assumptions'!$Q$39*'Assumptions'!$D$11*(1+'Assumptions'!$D$13)^(16-1)</x:f>
        <x:v>26507.81231652993</x:v>
      </x:c>
      <x:c r="P1937" s="10" t="n">
        <x:f>H1937*'Assumptions'!$R$39*'Assumptions'!$D$11*(1+'Assumptions'!$D$13)^(16-1)</x:f>
        <x:v>368.16405995180463</x:v>
      </x:c>
      <x:c r="Q1937" s="10" t="n">
        <x:f>J1937*'Assumptions'!$S$39</x:f>
        <x:v>0</x:v>
      </x:c>
      <x:c r="R1937" s="10" t="n">
        <x:f>H1937*'Assumptions'!$Y$39*'Assumptions'!$Z$39*'Assumptions'!$D$11*(1+'Assumptions'!$D$13)^(16-1)</x:f>
        <x:v>276.12304496385343</x:v>
      </x:c>
      <x:c r="S1937" s="10" t="n">
        <x:f>IF(I1937=0,0,J1937*'Assumptions'!$W$39+H1937*'Assumptions'!$X$39)</x:f>
        <x:v>1240.6301275312724</x:v>
      </x:c>
      <x:c r="T1937" s="10" t="n">
        <x:f>N1937*'Assumptions'!$AA$39</x:f>
        <x:v>1650.3925353673153</x:v>
      </x:c>
      <x:c r="U1937" s="10" t="n">
        <x:f>'Assumptions'!$AE$39*'Assumptions'!$D$11*(1+'Assumptions'!$D$13)^(16-1)</x:f>
        <x:v>0</x:v>
      </x:c>
      <x:c r="V1937" s="10" t="n">
        <x:f>0</x:f>
        <x:v>0</x:v>
      </x:c>
      <x:c r="W1937" s="10" t="n">
        <x:f>H1937*('Assumptions'!$P$39+'Assumptions'!$Y$39)</x:f>
        <x:v>289.4803630906302</x:v>
      </x:c>
      <x:c r="X1937" s="10" t="n">
        <x:f>N1937/12*'Assumptions'!$AF$39</x:f>
        <x:v>3438.31778201524</x:v>
      </x:c>
      <x:c r="Y1937" s="10" t="n">
        <x:f>P1937/12</x:f>
        <x:v>30.680338329317053</x:v>
      </x:c>
      <x:c r="Z1937" s="10" t="n">
        <x:f>0</x:f>
        <x:v>0</x:v>
      </x:c>
      <x:c r="AA1937" s="10" t="n">
        <x:f>Z1937*'Assumptions'!$AC$39*'Assumptions'!$D$11*(1+'Assumptions'!$D$13)^(16-1)</x:f>
        <x:v>0</x:v>
      </x:c>
      <x:c r="AB1937" s="10" t="n">
        <x:f>F1937/1</x:f>
        <x:v>12.159940860765973</x:v>
      </x:c>
      <x:c r="AC1937" s="10" t="n">
        <x:f>AB1937/'Assumptions'!$AM$39</x:f>
        <x:v>60.79970430382986</x:v>
      </x:c>
      <x:c r="AD1937" s="10" t="n">
        <x:f>IF(AB1937=0,0,T1937/AB1937)</x:f>
        <x:v>135.72373042473453</x:v>
      </x:c>
      <x:c r="AE1937" s="10" t="n">
        <x:f>AA1937*'Assumptions'!$D$21</x:f>
        <x:v>0</x:v>
      </x:c>
    </x:row>
    <x:row r="1938" ht="16" customHeight="1">
      <x:c r="A1938" s="1"/>
      <x:c r="B1938" s="1"/>
      <x:c r="C1938" s="1" t="str">
        <x:v>DOT-011</x:v>
      </x:c>
      <x:c r="D1938" s="10" t="str">
        <x:v>BPA professional services</x:v>
      </x:c>
      <x:c r="E1938" s="10" t="n">
        <x:v>16</x:v>
      </x:c>
      <x:c r="F1938" s="21" t="n">
        <x:f>F1810*(1+'Assumptions'!$M$40)</x:f>
        <x:v>36.4798225822979</x:v>
      </x:c>
      <x:c r="G1938" s="21" t="n">
        <x:f>H1810*'Assumptions'!$K$40</x:f>
        <x:v>34.41332756234619</x:v>
      </x:c>
      <x:c r="H1938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1938+G1938,NA())</x:f>
        <x:v>70.8931501446441</x:v>
      </x:c>
      <x:c r="I1938" s="22" t="n">
        <x:f>'Assumptions'!$H$40*IF('Assumptions'!$O$40=1,1,'Assumptions'!$D$10)*(1+'Assumptions'!$N$40)^(16-1)</x:f>
        <x:v>600</x:v>
      </x:c>
      <x:c r="J1938" s="10" t="n">
        <x:f>H1938*I1938</x:f>
        <x:v>42535.89008678646</x:v>
      </x:c>
      <x:c r="K1938" s="10" t="n">
        <x:f>J1938*'Assumptions'!$T$40</x:f>
        <x:v>42535.89008678646</x:v>
      </x:c>
      <x:c r="L1938" s="10" t="n">
        <x:f>K1938*'Assumptions'!$U$40</x:f>
        <x:v>1276.0767026035937</x:v>
      </x:c>
      <x:c r="M1938" s="10" t="n">
        <x:f>K1938*'Assumptions'!$V$40</x:f>
        <x:v>0</x:v>
      </x:c>
      <x:c r="N1938" s="10" t="n">
        <x:f>K1938-L1938-M1938</x:f>
        <x:v>41259.81338418287</x:v>
      </x:c>
      <x:c r="O1938" s="10" t="n">
        <x:f>H1938*'Assumptions'!$P$40*'Assumptions'!$Q$40*'Assumptions'!$D$11*(1+'Assumptions'!$D$13)^(16-1)</x:f>
        <x:v>26507.812316529915</x:v>
      </x:c>
      <x:c r="P1938" s="10" t="n">
        <x:f>H1938*'Assumptions'!$R$40*'Assumptions'!$D$11*(1+'Assumptions'!$D$13)^(16-1)</x:f>
        <x:v>1104.4921798554133</x:v>
      </x:c>
      <x:c r="Q1938" s="10" t="n">
        <x:f>J1938*'Assumptions'!$S$40</x:f>
        <x:v>0</x:v>
      </x:c>
      <x:c r="R1938" s="10" t="n">
        <x:f>H1938*'Assumptions'!$Y$40*'Assumptions'!$Z$40*'Assumptions'!$D$11*(1+'Assumptions'!$D$13)^(16-1)</x:f>
        <x:v>828.3691348915598</x:v>
      </x:c>
      <x:c r="S1938" s="10" t="n">
        <x:f>IF(I1938=0,0,J1938*'Assumptions'!$W$40+H1938*'Assumptions'!$X$40)</x:f>
        <x:v>1254.8087575602005</x:v>
      </x:c>
      <x:c r="T1938" s="10" t="n">
        <x:f>N1938*'Assumptions'!$AA$40</x:f>
        <x:v>1650.3925353673148</x:v>
      </x:c>
      <x:c r="U1938" s="10" t="n">
        <x:f>'Assumptions'!$AE$40*'Assumptions'!$D$11*(1+'Assumptions'!$D$13)^(16-1)</x:f>
        <x:v>0</x:v>
      </x:c>
      <x:c r="V1938" s="10" t="n">
        <x:f>0</x:f>
        <x:v>0</x:v>
      </x:c>
      <x:c r="W1938" s="10" t="n">
        <x:f>H1938*('Assumptions'!$P$40+'Assumptions'!$Y$40)</x:f>
        <x:v>301.2958881147374</x:v>
      </x:c>
      <x:c r="X1938" s="10" t="n">
        <x:f>N1938/12*'Assumptions'!$AF$40</x:f>
        <x:v>3438.317782015239</x:v>
      </x:c>
      <x:c r="Y1938" s="10" t="n">
        <x:f>P1938/12</x:f>
        <x:v>92.0410149879511</x:v>
      </x:c>
      <x:c r="Z1938" s="10" t="n">
        <x:f>0</x:f>
        <x:v>0</x:v>
      </x:c>
      <x:c r="AA1938" s="10" t="n">
        <x:f>Z1938*'Assumptions'!$AC$40*'Assumptions'!$D$11*(1+'Assumptions'!$D$13)^(16-1)</x:f>
        <x:v>0</x:v>
      </x:c>
      <x:c r="AB1938" s="10" t="n">
        <x:f>F1938/12</x:f>
        <x:v>3.0399852151914915</x:v>
      </x:c>
      <x:c r="AC1938" s="10" t="n">
        <x:f>AB1938/'Assumptions'!$AM$40</x:f>
        <x:v>15.199926075957457</x:v>
      </x:c>
      <x:c r="AD1938" s="10" t="n">
        <x:f>IF(AB1938=0,0,T1938/AB1938)</x:f>
        <x:v>542.8949216989383</x:v>
      </x:c>
      <x:c r="AE1938" s="10" t="n">
        <x:f>AA1938*'Assumptions'!$D$21</x:f>
        <x:v>0</x:v>
      </x:c>
    </x:row>
    <x:row r="1939" ht="16" customHeight="1">
      <x:c r="A1939" s="1"/>
      <x:c r="B1939" s="1"/>
      <x:c r="C1939" s="1" t="str">
        <x:v>DOT-012</x:v>
      </x:c>
      <x:c r="D1939" s="10" t="str">
        <x:v>BPA professional services</x:v>
      </x:c>
      <x:c r="E1939" s="10" t="n">
        <x:v>16</x:v>
      </x:c>
      <x:c r="F1939" s="21" t="n">
        <x:f>F1811*(1+'Assumptions'!$M$41)</x:f>
        <x:v>24.319881721531946</x:v>
      </x:c>
      <x:c r="G1939" s="21" t="n">
        <x:f>H1811*'Assumptions'!$K$41</x:f>
        <x:v>22.94221837489747</x:v>
      </x:c>
      <x:c r="H1939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1939+G1939,NA())</x:f>
        <x:v>47.26210009642942</x:v>
      </x:c>
      <x:c r="I1939" s="22" t="n">
        <x:f>'Assumptions'!$H$41*IF('Assumptions'!$O$41=1,1,'Assumptions'!$D$10)*(1+'Assumptions'!$N$41)^(16-1)</x:f>
        <x:v>1080</x:v>
      </x:c>
      <x:c r="J1939" s="10" t="n">
        <x:f>H1939*I1939</x:f>
        <x:v>51043.06810414378</x:v>
      </x:c>
      <x:c r="K1939" s="10" t="n">
        <x:f>J1939*'Assumptions'!$T$41</x:f>
        <x:v>51043.06810414378</x:v>
      </x:c>
      <x:c r="L1939" s="10" t="n">
        <x:f>K1939*'Assumptions'!$U$41</x:f>
        <x:v>1531.2920431243133</x:v>
      </x:c>
      <x:c r="M1939" s="10" t="n">
        <x:f>K1939*'Assumptions'!$V$41</x:f>
        <x:v>0</x:v>
      </x:c>
      <x:c r="N1939" s="10" t="n">
        <x:f>K1939-L1939-M1939</x:f>
        <x:v>49511.77606101947</x:v>
      </x:c>
      <x:c r="O1939" s="10" t="n">
        <x:f>H1939*'Assumptions'!$P$41*'Assumptions'!$Q$41*'Assumptions'!$D$11*(1+'Assumptions'!$D$13)^(16-1)</x:f>
        <x:v>35343.74975537324</x:v>
      </x:c>
      <x:c r="P1939" s="10" t="n">
        <x:f>H1939*'Assumptions'!$R$41*'Assumptions'!$D$11*(1+'Assumptions'!$D$13)^(16-1)</x:f>
        <x:v>736.3281199036093</x:v>
      </x:c>
      <x:c r="Q1939" s="10" t="n">
        <x:f>J1939*'Assumptions'!$S$41</x:f>
        <x:v>0</x:v>
      </x:c>
      <x:c r="R1939" s="10" t="n">
        <x:f>H1939*'Assumptions'!$Y$41*'Assumptions'!$Z$41*'Assumptions'!$D$11*(1+'Assumptions'!$D$13)^(16-1)</x:f>
        <x:v>552.2460899277069</x:v>
      </x:c>
      <x:c r="S1939" s="10" t="n">
        <x:f>IF(I1939=0,0,J1939*'Assumptions'!$W$41+H1939*'Assumptions'!$X$41)</x:f>
        <x:v>1494.4276050490985</x:v>
      </x:c>
      <x:c r="T1939" s="10" t="n">
        <x:f>N1939*'Assumptions'!$AA$41</x:f>
        <x:v>1980.4710424407788</x:v>
      </x:c>
      <x:c r="U1939" s="10" t="n">
        <x:f>'Assumptions'!$AE$41*'Assumptions'!$D$11*(1+'Assumptions'!$D$13)^(16-1)</x:f>
        <x:v>0</x:v>
      </x:c>
      <x:c r="V1939" s="10" t="n">
        <x:f>0</x:f>
        <x:v>0</x:v>
      </x:c>
      <x:c r="W1939" s="10" t="n">
        <x:f>H1939*('Assumptions'!$P$41+'Assumptions'!$Y$41)</x:f>
        <x:v>389.9123257955427</x:v>
      </x:c>
      <x:c r="X1939" s="10" t="n">
        <x:f>N1939/12*'Assumptions'!$AF$41</x:f>
        <x:v>4125.981338418289</x:v>
      </x:c>
      <x:c r="Y1939" s="10" t="n">
        <x:f>P1939/12</x:f>
        <x:v>61.360676658634105</x:v>
      </x:c>
      <x:c r="Z1939" s="10" t="n">
        <x:f>0</x:f>
        <x:v>0</x:v>
      </x:c>
      <x:c r="AA1939" s="10" t="n">
        <x:f>Z1939*'Assumptions'!$AC$41*'Assumptions'!$D$11*(1+'Assumptions'!$D$13)^(16-1)</x:f>
        <x:v>0</x:v>
      </x:c>
      <x:c r="AB1939" s="10" t="n">
        <x:f>F1939/12</x:f>
        <x:v>2.0266568101276623</x:v>
      </x:c>
      <x:c r="AC1939" s="10" t="n">
        <x:f>AB1939/'Assumptions'!$AM$41</x:f>
        <x:v>10.133284050638311</x:v>
      </x:c>
      <x:c r="AD1939" s="10" t="n">
        <x:f>IF(AB1939=0,0,T1939/AB1939)</x:f>
        <x:v>977.2108590580888</x:v>
      </x:c>
      <x:c r="AE1939" s="10" t="n">
        <x:f>AA1939*'Assumptions'!$D$21</x:f>
        <x:v>0</x:v>
      </x:c>
    </x:row>
    <x:row r="1940" ht="16" customHeight="1">
      <x:c r="A1940" s="1"/>
      <x:c r="B1940" s="1"/>
      <x:c r="C1940" s="1" t="str">
        <x:v>DOT-013</x:v>
      </x:c>
      <x:c r="D1940" s="10" t="str">
        <x:v>BPA professional services</x:v>
      </x:c>
      <x:c r="E1940" s="10" t="n">
        <x:v>16</x:v>
      </x:c>
      <x:c r="F1940" s="21" t="n">
        <x:f>F1812*(1+'Assumptions'!$M$42)</x:f>
        <x:v>18.23991129114895</x:v>
      </x:c>
      <x:c r="G1940" s="21" t="n">
        <x:f>H1812*'Assumptions'!$K$42</x:f>
        <x:v>17.206663781173095</x:v>
      </x:c>
      <x:c r="H1940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1940+G1940,NA())</x:f>
        <x:v>35.44657507232205</x:v>
      </x:c>
      <x:c r="I1940" s="22" t="n">
        <x:f>'Assumptions'!$H$42*IF('Assumptions'!$O$42=1,1,'Assumptions'!$D$10)*(1+'Assumptions'!$N$42)^(16-1)</x:f>
        <x:v>2160</x:v>
      </x:c>
      <x:c r="J1940" s="10" t="n">
        <x:f>H1940*I1940</x:f>
        <x:v>76564.60215621562</x:v>
      </x:c>
      <x:c r="K1940" s="10" t="n">
        <x:f>J1940*'Assumptions'!$T$42</x:f>
        <x:v>76564.60215621562</x:v>
      </x:c>
      <x:c r="L1940" s="10" t="n">
        <x:f>K1940*'Assumptions'!$U$42</x:f>
        <x:v>2296.938064686469</x:v>
      </x:c>
      <x:c r="M1940" s="10" t="n">
        <x:f>K1940*'Assumptions'!$V$42</x:f>
        <x:v>0</x:v>
      </x:c>
      <x:c r="N1940" s="10" t="n">
        <x:f>K1940-L1940-M1940</x:f>
        <x:v>74267.66409152915</x:v>
      </x:c>
      <x:c r="O1940" s="10" t="n">
        <x:f>H1940*'Assumptions'!$P$42*'Assumptions'!$Q$42*'Assumptions'!$D$11*(1+'Assumptions'!$D$13)^(16-1)</x:f>
        <x:v>53015.62463305983</x:v>
      </x:c>
      <x:c r="P1940" s="10" t="n">
        <x:f>H1940*'Assumptions'!$R$42*'Assumptions'!$D$11*(1+'Assumptions'!$D$13)^(16-1)</x:f>
        <x:v>552.2460899277066</x:v>
      </x:c>
      <x:c r="Q1940" s="10" t="n">
        <x:f>J1940*'Assumptions'!$S$42</x:f>
        <x:v>0</x:v>
      </x:c>
      <x:c r="R1940" s="10" t="n">
        <x:f>H1940*'Assumptions'!$Y$42*'Assumptions'!$Z$42*'Assumptions'!$D$11*(1+'Assumptions'!$D$13)^(16-1)</x:f>
        <x:v>414.1845674457799</x:v>
      </x:c>
      <x:c r="S1940" s="10" t="n">
        <x:f>IF(I1940=0,0,J1940*'Assumptions'!$W$42+H1940*'Assumptions'!$X$42)</x:f>
        <x:v>2231.00743505195</x:v>
      </x:c>
      <x:c r="T1940" s="10" t="n">
        <x:f>N1940*'Assumptions'!$AA$42</x:f>
        <x:v>2970.706563661166</x:v>
      </x:c>
      <x:c r="U1940" s="10" t="n">
        <x:f>'Assumptions'!$AE$42*'Assumptions'!$D$11*(1+'Assumptions'!$D$13)^(16-1)</x:f>
        <x:v>0</x:v>
      </x:c>
      <x:c r="V1940" s="10" t="n">
        <x:f>0</x:f>
        <x:v>0</x:v>
      </x:c>
      <x:c r="W1940" s="10" t="n">
        <x:f>H1940*('Assumptions'!$P$42+'Assumptions'!$Y$42)</x:f>
        <x:v>576.0068449252333</x:v>
      </x:c>
      <x:c r="X1940" s="10" t="n">
        <x:f>N1940/12*'Assumptions'!$AF$42</x:f>
        <x:v>6188.972007627429</x:v>
      </x:c>
      <x:c r="Y1940" s="10" t="n">
        <x:f>P1940/12</x:f>
        <x:v>46.02050749397555</x:v>
      </x:c>
      <x:c r="Z1940" s="10" t="n">
        <x:f>0</x:f>
        <x:v>0</x:v>
      </x:c>
      <x:c r="AA1940" s="10" t="n">
        <x:f>Z1940*'Assumptions'!$AC$42*'Assumptions'!$D$11*(1+'Assumptions'!$D$13)^(16-1)</x:f>
        <x:v>0</x:v>
      </x:c>
      <x:c r="AB1940" s="10" t="n">
        <x:f>F1940/12</x:f>
        <x:v>1.5199926075957457</x:v>
      </x:c>
      <x:c r="AC1940" s="10" t="n">
        <x:f>AB1940/'Assumptions'!$AM$42</x:f>
        <x:v>7.599963037978728</x:v>
      </x:c>
      <x:c r="AD1940" s="10" t="n">
        <x:f>IF(AB1940=0,0,T1940/AB1940)</x:f>
        <x:v>1954.4217181161773</x:v>
      </x:c>
      <x:c r="AE1940" s="10" t="n">
        <x:f>AA1940*'Assumptions'!$D$21</x:f>
        <x:v>0</x:v>
      </x:c>
    </x:row>
    <x:row r="1941" ht="16" customHeight="1">
      <x:c r="A1941" s="1"/>
      <x:c r="B1941" s="1"/>
      <x:c r="C1941" s="1" t="str">
        <x:v>DOT-014</x:v>
      </x:c>
      <x:c r="D1941" s="10" t="str">
        <x:v>BPA professional services</x:v>
      </x:c>
      <x:c r="E1941" s="10" t="n">
        <x:v>16</x:v>
      </x:c>
      <x:c r="F1941" s="21" t="n">
        <x:f>F1813*(1+'Assumptions'!$M$43)</x:f>
        <x:v>12.159940860765973</x:v>
      </x:c>
      <x:c r="G1941" s="21" t="n">
        <x:f>H1813*'Assumptions'!$K$43</x:f>
        <x:v>11.471109187448736</x:v>
      </x:c>
      <x:c r="H1941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1941+G1941,NA())</x:f>
        <x:v>23.63105004821471</x:v>
      </x:c>
      <x:c r="I1941" s="22" t="n">
        <x:f>'Assumptions'!$H$43*IF('Assumptions'!$O$43=1,1,'Assumptions'!$D$10)*(1+'Assumptions'!$N$43)^(16-1)</x:f>
        <x:v>3000</x:v>
      </x:c>
      <x:c r="J1941" s="10" t="n">
        <x:f>H1941*I1941</x:f>
        <x:v>70893.15014464413</x:v>
      </x:c>
      <x:c r="K1941" s="10" t="n">
        <x:f>J1941*'Assumptions'!$T$43</x:f>
        <x:v>70893.15014464413</x:v>
      </x:c>
      <x:c r="L1941" s="10" t="n">
        <x:f>K1941*'Assumptions'!$U$43</x:f>
        <x:v>2126.794504339324</x:v>
      </x:c>
      <x:c r="M1941" s="10" t="n">
        <x:f>K1941*'Assumptions'!$V$43</x:f>
        <x:v>0</x:v>
      </x:c>
      <x:c r="N1941" s="10" t="n">
        <x:f>K1941-L1941-M1941</x:f>
        <x:v>68766.3556403048</x:v>
      </x:c>
      <x:c r="O1941" s="10" t="n">
        <x:f>H1941*'Assumptions'!$P$43*'Assumptions'!$Q$43*'Assumptions'!$D$11*(1+'Assumptions'!$D$13)^(16-1)</x:f>
        <x:v>44179.68719421655</x:v>
      </x:c>
      <x:c r="P1941" s="10" t="n">
        <x:f>H1941*'Assumptions'!$R$43*'Assumptions'!$D$11*(1+'Assumptions'!$D$13)^(16-1)</x:f>
        <x:v>368.16405995180463</x:v>
      </x:c>
      <x:c r="Q1941" s="10" t="n">
        <x:f>J1941*'Assumptions'!$S$43</x:f>
        <x:v>0</x:v>
      </x:c>
      <x:c r="R1941" s="10" t="n">
        <x:f>H1941*'Assumptions'!$Y$43*'Assumptions'!$Z$43*'Assumptions'!$D$11*(1+'Assumptions'!$D$13)^(16-1)</x:f>
        <x:v>276.12304496385343</x:v>
      </x:c>
      <x:c r="S1941" s="10" t="n">
        <x:f>IF(I1941=0,0,J1941*'Assumptions'!$W$43+H1941*'Assumptions'!$X$43)</x:f>
        <x:v>2062.990669209144</x:v>
      </x:c>
      <x:c r="T1941" s="10" t="n">
        <x:f>N1941*'Assumptions'!$AA$43</x:f>
        <x:v>2750.654225612192</x:v>
      </x:c>
      <x:c r="U1941" s="10" t="n">
        <x:f>'Assumptions'!$AE$43*'Assumptions'!$D$11*(1+'Assumptions'!$D$13)^(16-1)</x:f>
        <x:v>0</x:v>
      </x:c>
      <x:c r="V1941" s="10" t="n">
        <x:f>0</x:f>
        <x:v>0</x:v>
      </x:c>
      <x:c r="W1941" s="10" t="n">
        <x:f>H1941*('Assumptions'!$P$43+'Assumptions'!$Y$43)</x:f>
        <x:v>478.5287634763479</x:v>
      </x:c>
      <x:c r="X1941" s="10" t="n">
        <x:f>N1941/12*'Assumptions'!$AF$43</x:f>
        <x:v>5730.529636692067</x:v>
      </x:c>
      <x:c r="Y1941" s="10" t="n">
        <x:f>P1941/12</x:f>
        <x:v>30.680338329317053</x:v>
      </x:c>
      <x:c r="Z1941" s="10" t="n">
        <x:f>0</x:f>
        <x:v>0</x:v>
      </x:c>
      <x:c r="AA1941" s="10" t="n">
        <x:f>Z1941*'Assumptions'!$AC$43*'Assumptions'!$D$11*(1+'Assumptions'!$D$13)^(16-1)</x:f>
        <x:v>0</x:v>
      </x:c>
      <x:c r="AB1941" s="10" t="n">
        <x:f>F1941/12</x:f>
        <x:v>1.0133284050638312</x:v>
      </x:c>
      <x:c r="AC1941" s="10" t="n">
        <x:f>AB1941/'Assumptions'!$AM$43</x:f>
        <x:v>5.0666420253191555</x:v>
      </x:c>
      <x:c r="AD1941" s="10" t="n">
        <x:f>IF(AB1941=0,0,T1941/AB1941)</x:f>
        <x:v>2714.4746084946905</x:v>
      </x:c>
      <x:c r="AE1941" s="10" t="n">
        <x:f>AA1941*'Assumptions'!$D$21</x:f>
        <x:v>0</x:v>
      </x:c>
    </x:row>
    <x:row r="1942" ht="16" customHeight="1">
      <x:c r="A1942" s="1"/>
      <x:c r="B1942" s="1"/>
      <x:c r="C1942" s="1" t="str">
        <x:v>DOT-015</x:v>
      </x:c>
      <x:c r="D1942" s="10" t="str">
        <x:v>BPA professional services</x:v>
      </x:c>
      <x:c r="E1942" s="10" t="n">
        <x:v>16</x:v>
      </x:c>
      <x:c r="F1942" s="21" t="n">
        <x:f>F1814*(1+'Assumptions'!$M$44)</x:f>
        <x:v>10.13328405063831</x:v>
      </x:c>
      <x:c r="G1942" s="21" t="n">
        <x:f>H1814*'Assumptions'!$K$44</x:f>
        <x:v>9.55925765620728</x:v>
      </x:c>
      <x:c r="H1942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1942+G1942,NA())</x:f>
        <x:v>19.69254170684559</x:v>
      </x:c>
      <x:c r="I1942" s="22" t="n">
        <x:f>'Assumptions'!$H$44*IF('Assumptions'!$O$44=1,1,'Assumptions'!$D$10)*(1+'Assumptions'!$N$44)^(16-1)</x:f>
        <x:v>1200</x:v>
      </x:c>
      <x:c r="J1942" s="10" t="n">
        <x:f>H1942*I1942</x:f>
        <x:v>23631.050048214707</x:v>
      </x:c>
      <x:c r="K1942" s="10" t="n">
        <x:f>J1942*'Assumptions'!$T$44</x:f>
        <x:v>23631.050048214707</x:v>
      </x:c>
      <x:c r="L1942" s="10" t="n">
        <x:f>K1942*'Assumptions'!$U$44</x:f>
        <x:v>708.9315014464412</x:v>
      </x:c>
      <x:c r="M1942" s="10" t="n">
        <x:f>K1942*'Assumptions'!$V$44</x:f>
        <x:v>0</x:v>
      </x:c>
      <x:c r="N1942" s="10" t="n">
        <x:f>K1942-L1942-M1942</x:f>
        <x:v>22922.118546768266</x:v>
      </x:c>
      <x:c r="O1942" s="10" t="n">
        <x:f>H1942*'Assumptions'!$P$44*'Assumptions'!$Q$44*'Assumptions'!$D$11*(1+'Assumptions'!$D$13)^(16-1)</x:f>
        <x:v>18408.202997590226</x:v>
      </x:c>
      <x:c r="P1942" s="10" t="n">
        <x:f>H1942*'Assumptions'!$R$44*'Assumptions'!$D$11*(1+'Assumptions'!$D$13)^(16-1)</x:f>
        <x:v>306.80338329317044</x:v>
      </x:c>
      <x:c r="Q1942" s="10" t="n">
        <x:f>J1942*'Assumptions'!$S$44</x:f>
        <x:v>0</x:v>
      </x:c>
      <x:c r="R1942" s="10" t="n">
        <x:f>H1942*'Assumptions'!$Y$44*'Assumptions'!$Z$44*'Assumptions'!$D$11*(1+'Assumptions'!$D$13)^(16-1)</x:f>
        <x:v>230.10253746987783</x:v>
      </x:c>
      <x:c r="S1942" s="10" t="n">
        <x:f>IF(I1942=0,0,J1942*'Assumptions'!$W$44+H1942*'Assumptions'!$X$44)</x:f>
        <x:v>691.2082139102802</x:v>
      </x:c>
      <x:c r="T1942" s="10" t="n">
        <x:f>N1942*'Assumptions'!$AA$44</x:f>
        <x:v>916.8847418707306</x:v>
      </x:c>
      <x:c r="U1942" s="10" t="n">
        <x:f>'Assumptions'!$AE$44*'Assumptions'!$D$11*(1+'Assumptions'!$D$13)^(16-1)</x:f>
        <x:v>0</x:v>
      </x:c>
      <x:c r="V1942" s="10" t="n">
        <x:f>0</x:f>
        <x:v>0</x:v>
      </x:c>
      <x:c r="W1942" s="10" t="n">
        <x:f>H1942*('Assumptions'!$P$44+'Assumptions'!$Y$44)</x:f>
        <x:v>201.84855249516727</x:v>
      </x:c>
      <x:c r="X1942" s="10" t="n">
        <x:f>N1942/12*'Assumptions'!$AF$44</x:f>
        <x:v>1910.1765455640223</x:v>
      </x:c>
      <x:c r="Y1942" s="10" t="n">
        <x:f>P1942/12</x:f>
        <x:v>25.566948607764203</x:v>
      </x:c>
      <x:c r="Z1942" s="10" t="n">
        <x:f>0</x:f>
        <x:v>0</x:v>
      </x:c>
      <x:c r="AA1942" s="10" t="n">
        <x:f>Z1942*'Assumptions'!$AC$44*'Assumptions'!$D$11*(1+'Assumptions'!$D$13)^(16-1)</x:f>
        <x:v>0</x:v>
      </x:c>
      <x:c r="AB1942" s="10" t="n">
        <x:f>F1942/1</x:f>
        <x:v>10.13328405063831</x:v>
      </x:c>
      <x:c r="AC1942" s="10" t="n">
        <x:f>AB1942/'Assumptions'!$AM$44</x:f>
        <x:v>50.666420253191546</x:v>
      </x:c>
      <x:c r="AD1942" s="10" t="n">
        <x:f>IF(AB1942=0,0,T1942/AB1942)</x:f>
        <x:v>90.48248694982303</x:v>
      </x:c>
      <x:c r="AE1942" s="10" t="n">
        <x:f>AA1942*'Assumptions'!$D$21</x:f>
        <x:v>0</x:v>
      </x:c>
    </x:row>
    <x:row r="1943" ht="16" customHeight="1">
      <x:c r="A1943" s="1"/>
      <x:c r="B1943" s="1"/>
      <x:c r="C1943" s="1" t="str">
        <x:v>DOT-016</x:v>
      </x:c>
      <x:c r="D1943" s="10" t="str">
        <x:v>BPA professional services</x:v>
      </x:c>
      <x:c r="E1943" s="10" t="n">
        <x:v>16</x:v>
      </x:c>
      <x:c r="F1943" s="21" t="n">
        <x:f>F1815*(1+'Assumptions'!$M$45)</x:f>
        <x:v>6.0799704303829865</x:v>
      </x:c>
      <x:c r="G1943" s="21" t="n">
        <x:f>H1815*'Assumptions'!$K$45</x:f>
        <x:v>5.735554593724368</x:v>
      </x:c>
      <x:c r="H1943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1943+G1943,NA())</x:f>
        <x:v>11.815525024107355</x:v>
      </x:c>
      <x:c r="I1943" s="22" t="n">
        <x:f>'Assumptions'!$H$45*IF('Assumptions'!$O$45=1,1,'Assumptions'!$D$10)*(1+'Assumptions'!$N$45)^(16-1)</x:f>
        <x:v>1800</x:v>
      </x:c>
      <x:c r="J1943" s="10" t="n">
        <x:f>H1943*I1943</x:f>
        <x:v>21267.94504339324</x:v>
      </x:c>
      <x:c r="K1943" s="10" t="n">
        <x:f>J1943*'Assumptions'!$T$45</x:f>
        <x:v>21267.94504339324</x:v>
      </x:c>
      <x:c r="L1943" s="10" t="n">
        <x:f>K1943*'Assumptions'!$U$45</x:f>
        <x:v>638.0383513017972</x:v>
      </x:c>
      <x:c r="M1943" s="10" t="n">
        <x:f>K1943*'Assumptions'!$V$45</x:f>
        <x:v>0</x:v>
      </x:c>
      <x:c r="N1943" s="10" t="n">
        <x:f>K1943-L1943-M1943</x:f>
        <x:v>20629.90669209144</x:v>
      </x:c>
      <x:c r="O1943" s="10" t="n">
        <x:f>H1943*'Assumptions'!$P$45*'Assumptions'!$Q$45*'Assumptions'!$D$11*(1+'Assumptions'!$D$13)^(16-1)</x:f>
        <x:v>5522.460899277069</x:v>
      </x:c>
      <x:c r="P1943" s="10" t="n">
        <x:f>H1943*'Assumptions'!$R$45*'Assumptions'!$D$11*(1+'Assumptions'!$D$13)^(16-1)</x:f>
        <x:v>184.08202997590232</x:v>
      </x:c>
      <x:c r="Q1943" s="10" t="n">
        <x:f>J1943*'Assumptions'!$S$45</x:f>
        <x:v>0</x:v>
      </x:c>
      <x:c r="R1943" s="10" t="n">
        <x:f>H1943*'Assumptions'!$Y$45*'Assumptions'!$Z$45*'Assumptions'!$D$11*(1+'Assumptions'!$D$13)^(16-1)</x:f>
        <x:v>138.06152248192672</x:v>
      </x:c>
      <x:c r="S1943" s="10" t="n">
        <x:f>IF(I1943=0,0,J1943*'Assumptions'!$W$45+H1943*'Assumptions'!$X$45)</x:f>
        <x:v>620.3150637656362</x:v>
      </x:c>
      <x:c r="T1943" s="10" t="n">
        <x:f>N1943*'Assumptions'!$AA$45</x:f>
        <x:v>825.1962676836577</x:v>
      </x:c>
      <x:c r="U1943" s="10" t="n">
        <x:f>'Assumptions'!$AE$45*'Assumptions'!$D$11*(1+'Assumptions'!$D$13)^(16-1)</x:f>
        <x:v>0</x:v>
      </x:c>
      <x:c r="V1943" s="10" t="n">
        <x:f>0</x:f>
        <x:v>0</x:v>
      </x:c>
      <x:c r="W1943" s="10" t="n">
        <x:f>H1943*('Assumptions'!$P$45+'Assumptions'!$Y$45)</x:f>
        <x:v>62.03150637656361</x:v>
      </x:c>
      <x:c r="X1943" s="10" t="n">
        <x:f>N1943/12*'Assumptions'!$AF$45</x:f>
        <x:v>1719.15889100762</x:v>
      </x:c>
      <x:c r="Y1943" s="10" t="n">
        <x:f>P1943/12</x:f>
        <x:v>15.340169164658526</x:v>
      </x:c>
      <x:c r="Z1943" s="10" t="n">
        <x:f>0</x:f>
        <x:v>0</x:v>
      </x:c>
      <x:c r="AA1943" s="10" t="n">
        <x:f>Z1943*'Assumptions'!$AC$45*'Assumptions'!$D$11*(1+'Assumptions'!$D$13)^(16-1)</x:f>
        <x:v>0</x:v>
      </x:c>
      <x:c r="AB1943" s="10" t="n">
        <x:f>F1943/1</x:f>
        <x:v>6.0799704303829865</x:v>
      </x:c>
      <x:c r="AC1943" s="10" t="n">
        <x:f>AB1943/'Assumptions'!$AM$45</x:f>
        <x:v>30.39985215191493</x:v>
      </x:c>
      <x:c r="AD1943" s="10" t="n">
        <x:f>IF(AB1943=0,0,T1943/AB1943)</x:f>
        <x:v>135.72373042473453</x:v>
      </x:c>
      <x:c r="AE1943" s="10" t="n">
        <x:f>AA1943*'Assumptions'!$D$21</x:f>
        <x:v>0</x:v>
      </x:c>
    </x:row>
    <x:row r="1944" ht="16" customHeight="1">
      <x:c r="A1944" s="1"/>
      <x:c r="B1944" s="1"/>
      <x:c r="C1944" s="1" t="str">
        <x:v>DOT-017</x:v>
      </x:c>
      <x:c r="D1944" s="10" t="str">
        <x:v>BPA professional services</x:v>
      </x:c>
      <x:c r="E1944" s="10" t="n">
        <x:v>16</x:v>
      </x:c>
      <x:c r="F1944" s="21" t="n">
        <x:f>F1816*(1+'Assumptions'!$M$46)</x:f>
        <x:v>6.0799704303829865</x:v>
      </x:c>
      <x:c r="G1944" s="21" t="n">
        <x:f>H1816*'Assumptions'!$K$46</x:f>
        <x:v>5.735554593724368</x:v>
      </x:c>
      <x:c r="H1944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1944+G1944,NA())</x:f>
        <x:v>11.815525024107355</x:v>
      </x:c>
      <x:c r="I1944" s="22" t="n">
        <x:f>'Assumptions'!$H$46*IF('Assumptions'!$O$46=1,1,'Assumptions'!$D$10)*(1+'Assumptions'!$N$46)^(16-1)</x:f>
        <x:v>1500</x:v>
      </x:c>
      <x:c r="J1944" s="10" t="n">
        <x:f>H1944*I1944</x:f>
        <x:v>17723.28753616103</x:v>
      </x:c>
      <x:c r="K1944" s="10" t="n">
        <x:f>J1944*'Assumptions'!$T$46</x:f>
        <x:v>17723.28753616103</x:v>
      </x:c>
      <x:c r="L1944" s="10" t="n">
        <x:f>K1944*'Assumptions'!$U$46</x:f>
        <x:v>531.698626084831</x:v>
      </x:c>
      <x:c r="M1944" s="10" t="n">
        <x:f>K1944*'Assumptions'!$V$46</x:f>
        <x:v>0</x:v>
      </x:c>
      <x:c r="N1944" s="10" t="n">
        <x:f>K1944-L1944-M1944</x:f>
        <x:v>17191.5889100762</x:v>
      </x:c>
      <x:c r="O1944" s="10" t="n">
        <x:f>H1944*'Assumptions'!$P$46*'Assumptions'!$Q$46*'Assumptions'!$D$11*(1+'Assumptions'!$D$13)^(16-1)</x:f>
        <x:v>6626.953079132482</x:v>
      </x:c>
      <x:c r="P1944" s="10" t="n">
        <x:f>H1944*'Assumptions'!$R$46*'Assumptions'!$D$11*(1+'Assumptions'!$D$13)^(16-1)</x:f>
        <x:v>184.08202997590232</x:v>
      </x:c>
      <x:c r="Q1944" s="10" t="n">
        <x:f>J1944*'Assumptions'!$S$46</x:f>
        <x:v>0</x:v>
      </x:c>
      <x:c r="R1944" s="10" t="n">
        <x:f>H1944*'Assumptions'!$Y$46*'Assumptions'!$Z$46*'Assumptions'!$D$11*(1+'Assumptions'!$D$13)^(16-1)</x:f>
        <x:v>138.06152248192672</x:v>
      </x:c>
      <x:c r="S1944" s="10" t="n">
        <x:f>IF(I1944=0,0,J1944*'Assumptions'!$W$46+H1944*'Assumptions'!$X$46)</x:f>
        <x:v>517.5199960559021</x:v>
      </x:c>
      <x:c r="T1944" s="10" t="n">
        <x:f>N1944*'Assumptions'!$AA$46</x:f>
        <x:v>687.663556403048</x:v>
      </x:c>
      <x:c r="U1944" s="10" t="n">
        <x:f>'Assumptions'!$AE$46*'Assumptions'!$D$11*(1+'Assumptions'!$D$13)^(16-1)</x:f>
        <x:v>0</x:v>
      </x:c>
      <x:c r="V1944" s="10" t="n">
        <x:f>0</x:f>
        <x:v>0</x:v>
      </x:c>
      <x:c r="W1944" s="10" t="n">
        <x:f>H1944*('Assumptions'!$P$46+'Assumptions'!$Y$46)</x:f>
        <x:v>73.84703140067097</x:v>
      </x:c>
      <x:c r="X1944" s="10" t="n">
        <x:f>N1944/12*'Assumptions'!$AF$46</x:f>
        <x:v>1432.6324091730166</x:v>
      </x:c>
      <x:c r="Y1944" s="10" t="n">
        <x:f>P1944/12</x:f>
        <x:v>15.340169164658526</x:v>
      </x:c>
      <x:c r="Z1944" s="10" t="n">
        <x:f>0</x:f>
        <x:v>0</x:v>
      </x:c>
      <x:c r="AA1944" s="10" t="n">
        <x:f>Z1944*'Assumptions'!$AC$46*'Assumptions'!$D$11*(1+'Assumptions'!$D$13)^(16-1)</x:f>
        <x:v>0</x:v>
      </x:c>
      <x:c r="AB1944" s="10" t="n">
        <x:f>F1944/1</x:f>
        <x:v>6.0799704303829865</x:v>
      </x:c>
      <x:c r="AC1944" s="10" t="n">
        <x:f>AB1944/'Assumptions'!$AM$46</x:f>
        <x:v>30.39985215191493</x:v>
      </x:c>
      <x:c r="AD1944" s="10" t="n">
        <x:f>IF(AB1944=0,0,T1944/AB1944)</x:f>
        <x:v>113.10310868727878</x:v>
      </x:c>
      <x:c r="AE1944" s="10" t="n">
        <x:f>AA1944*'Assumptions'!$D$21</x:f>
        <x:v>0</x:v>
      </x:c>
    </x:row>
    <x:row r="1945" ht="16" customHeight="1">
      <x:c r="A1945" s="1"/>
      <x:c r="B1945" s="1"/>
      <x:c r="C1945" s="1" t="str">
        <x:v>DOT-018</x:v>
      </x:c>
      <x:c r="D1945" s="10" t="str">
        <x:v>BPA professional services</x:v>
      </x:c>
      <x:c r="E1945" s="10" t="n">
        <x:v>16</x:v>
      </x:c>
      <x:c r="F1945" s="21" t="n">
        <x:f>F1817*(1+'Assumptions'!$M$47)</x:f>
        <x:v>8.10662724051065</x:v>
      </x:c>
      <x:c r="G1945" s="21" t="n">
        <x:f>H1817*'Assumptions'!$K$47</x:f>
        <x:v>7.6474061249658245</x:v>
      </x:c>
      <x:c r="H1945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1945+G1945,NA())</x:f>
        <x:v>15.754033365476474</x:v>
      </x:c>
      <x:c r="I1945" s="22" t="n">
        <x:f>'Assumptions'!$H$47*IF('Assumptions'!$O$47=1,1,'Assumptions'!$D$10)*(1+'Assumptions'!$N$47)^(16-1)</x:f>
        <x:v>1200</x:v>
      </x:c>
      <x:c r="J1945" s="10" t="n">
        <x:f>H1945*I1945</x:f>
        <x:v>18904.84003857177</x:v>
      </x:c>
      <x:c r="K1945" s="10" t="n">
        <x:f>J1945*'Assumptions'!$T$47</x:f>
        <x:v>18904.84003857177</x:v>
      </x:c>
      <x:c r="L1945" s="10" t="n">
        <x:f>K1945*'Assumptions'!$U$47</x:f>
        <x:v>567.145201157153</x:v>
      </x:c>
      <x:c r="M1945" s="10" t="n">
        <x:f>K1945*'Assumptions'!$V$47</x:f>
        <x:v>0</x:v>
      </x:c>
      <x:c r="N1945" s="10" t="n">
        <x:f>K1945-L1945-M1945</x:f>
        <x:v>18337.694837414616</x:v>
      </x:c>
      <x:c r="O1945" s="10" t="n">
        <x:f>H1945*'Assumptions'!$P$47*'Assumptions'!$Q$47*'Assumptions'!$D$11*(1+'Assumptions'!$D$13)^(16-1)</x:f>
        <x:v>5890.624959228874</x:v>
      </x:c>
      <x:c r="P1945" s="10" t="n">
        <x:f>H1945*'Assumptions'!$R$47*'Assumptions'!$D$11*(1+'Assumptions'!$D$13)^(16-1)</x:f>
        <x:v>245.4427066345364</x:v>
      </x:c>
      <x:c r="Q1945" s="10" t="n">
        <x:f>J1945*'Assumptions'!$S$47</x:f>
        <x:v>0</x:v>
      </x:c>
      <x:c r="R1945" s="10" t="n">
        <x:f>H1945*'Assumptions'!$Y$47*'Assumptions'!$Z$47*'Assumptions'!$D$11*(1+'Assumptions'!$D$13)^(16-1)</x:f>
        <x:v>184.08202997590232</x:v>
      </x:c>
      <x:c r="S1945" s="10" t="n">
        <x:f>IF(I1945=0,0,J1945*'Assumptions'!$W$47+H1945*'Assumptions'!$X$47)</x:f>
        <x:v>552.9665711282242</x:v>
      </x:c>
      <x:c r="T1945" s="10" t="n">
        <x:f>N1945*'Assumptions'!$AA$47</x:f>
        <x:v>733.5077934965847</x:v>
      </x:c>
      <x:c r="U1945" s="10" t="n">
        <x:f>'Assumptions'!$AE$47*'Assumptions'!$D$11*(1+'Assumptions'!$D$13)^(16-1)</x:f>
        <x:v>0</x:v>
      </x:c>
      <x:c r="V1945" s="10" t="n">
        <x:f>0</x:f>
        <x:v>0</x:v>
      </x:c>
      <x:c r="W1945" s="10" t="n">
        <x:f>H1945*('Assumptions'!$P$47+'Assumptions'!$Y$47)</x:f>
        <x:v>66.95464180327501</x:v>
      </x:c>
      <x:c r="X1945" s="10" t="n">
        <x:f>N1945/12*'Assumptions'!$AF$47</x:f>
        <x:v>1528.141236451218</x:v>
      </x:c>
      <x:c r="Y1945" s="10" t="n">
        <x:f>P1945/12</x:f>
        <x:v>20.453558886211365</x:v>
      </x:c>
      <x:c r="Z1945" s="10" t="n">
        <x:f>0</x:f>
        <x:v>0</x:v>
      </x:c>
      <x:c r="AA1945" s="10" t="n">
        <x:f>Z1945*'Assumptions'!$AC$47*'Assumptions'!$D$11*(1+'Assumptions'!$D$13)^(16-1)</x:f>
        <x:v>0</x:v>
      </x:c>
      <x:c r="AB1945" s="10" t="n">
        <x:f>F1945/1</x:f>
        <x:v>8.10662724051065</x:v>
      </x:c>
      <x:c r="AC1945" s="10" t="n">
        <x:f>AB1945/'Assumptions'!$AM$47</x:f>
        <x:v>40.533136202553244</x:v>
      </x:c>
      <x:c r="AD1945" s="10" t="n">
        <x:f>IF(AB1945=0,0,T1945/AB1945)</x:f>
        <x:v>90.48248694982303</x:v>
      </x:c>
      <x:c r="AE1945" s="10" t="n">
        <x:f>AA1945*'Assumptions'!$D$21</x:f>
        <x:v>0</x:v>
      </x:c>
    </x:row>
    <x:row r="1946" ht="16" customHeight="1">
      <x:c r="A1946" s="1"/>
      <x:c r="B1946" s="1"/>
      <x:c r="C1946" s="1" t="str">
        <x:v>DOT-019</x:v>
      </x:c>
      <x:c r="D1946" s="10" t="str">
        <x:v>BPA professional services</x:v>
      </x:c>
      <x:c r="E1946" s="10" t="n">
        <x:v>16</x:v>
      </x:c>
      <x:c r="F1946" s="21" t="n">
        <x:f>F1818*(1+'Assumptions'!$M$48)</x:f>
        <x:v>4.053313620255325</x:v>
      </x:c>
      <x:c r="G1946" s="21" t="n">
        <x:f>H1818*'Assumptions'!$K$48</x:f>
        <x:v>3.8237030624829123</x:v>
      </x:c>
      <x:c r="H1946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1946+G1946,NA())</x:f>
        <x:v>7.877016682738237</x:v>
      </x:c>
      <x:c r="I1946" s="22" t="n">
        <x:f>'Assumptions'!$H$48*IF('Assumptions'!$O$48=1,1,'Assumptions'!$D$10)*(1+'Assumptions'!$N$48)^(16-1)</x:f>
        <x:v>3000</x:v>
      </x:c>
      <x:c r="J1946" s="10" t="n">
        <x:f>H1946*I1946</x:f>
        <x:v>23631.05004821471</x:v>
      </x:c>
      <x:c r="K1946" s="10" t="n">
        <x:f>J1946*'Assumptions'!$T$48</x:f>
        <x:v>23631.05004821471</x:v>
      </x:c>
      <x:c r="L1946" s="10" t="n">
        <x:f>K1946*'Assumptions'!$U$48</x:f>
        <x:v>708.9315014464413</x:v>
      </x:c>
      <x:c r="M1946" s="10" t="n">
        <x:f>K1946*'Assumptions'!$V$48</x:f>
        <x:v>0</x:v>
      </x:c>
      <x:c r="N1946" s="10" t="n">
        <x:f>K1946-L1946-M1946</x:f>
        <x:v>22922.11854676827</x:v>
      </x:c>
      <x:c r="O1946" s="10" t="n">
        <x:f>H1946*'Assumptions'!$P$48*'Assumptions'!$Q$48*'Assumptions'!$D$11*(1+'Assumptions'!$D$13)^(16-1)</x:f>
        <x:v>8835.93743884331</x:v>
      </x:c>
      <x:c r="P1946" s="10" t="n">
        <x:f>H1946*'Assumptions'!$R$48*'Assumptions'!$D$11*(1+'Assumptions'!$D$13)^(16-1)</x:f>
        <x:v>122.7213533172682</x:v>
      </x:c>
      <x:c r="Q1946" s="10" t="n">
        <x:f>J1946*'Assumptions'!$S$48</x:f>
        <x:v>0</x:v>
      </x:c>
      <x:c r="R1946" s="10" t="n">
        <x:f>H1946*'Assumptions'!$Y$48*'Assumptions'!$Z$48*'Assumptions'!$D$11*(1+'Assumptions'!$D$13)^(16-1)</x:f>
        <x:v>92.04101498795116</x:v>
      </x:c>
      <x:c r="S1946" s="10" t="n">
        <x:f>IF(I1946=0,0,J1946*'Assumptions'!$W$48+H1946*'Assumptions'!$X$48)</x:f>
        <x:v>687.6635564030481</x:v>
      </x:c>
      <x:c r="T1946" s="10" t="n">
        <x:f>N1946*'Assumptions'!$AA$48</x:f>
        <x:v>916.8847418707309</x:v>
      </x:c>
      <x:c r="U1946" s="10" t="n">
        <x:f>'Assumptions'!$AE$48*'Assumptions'!$D$11*(1+'Assumptions'!$D$13)^(16-1)</x:f>
        <x:v>0</x:v>
      </x:c>
      <x:c r="V1946" s="10" t="n">
        <x:f>0</x:f>
        <x:v>0</x:v>
      </x:c>
      <x:c r="W1946" s="10" t="n">
        <x:f>H1946*('Assumptions'!$P$48+'Assumptions'!$Y$48)</x:f>
        <x:v>96.4934543635434</x:v>
      </x:c>
      <x:c r="X1946" s="10" t="n">
        <x:f>N1946/12*'Assumptions'!$AF$48</x:f>
        <x:v>1910.1765455640225</x:v>
      </x:c>
      <x:c r="Y1946" s="10" t="n">
        <x:f>P1946/12</x:f>
        <x:v>10.226779443105682</x:v>
      </x:c>
      <x:c r="Z1946" s="10" t="n">
        <x:f>0</x:f>
        <x:v>0</x:v>
      </x:c>
      <x:c r="AA1946" s="10" t="n">
        <x:f>Z1946*'Assumptions'!$AC$48*'Assumptions'!$D$11*(1+'Assumptions'!$D$13)^(16-1)</x:f>
        <x:v>0</x:v>
      </x:c>
      <x:c r="AB1946" s="10" t="n">
        <x:f>F1946/1</x:f>
        <x:v>4.053313620255325</x:v>
      </x:c>
      <x:c r="AC1946" s="10" t="n">
        <x:f>AB1946/'Assumptions'!$AM$48</x:f>
        <x:v>20.266568101276622</x:v>
      </x:c>
      <x:c r="AD1946" s="10" t="n">
        <x:f>IF(AB1946=0,0,T1946/AB1946)</x:f>
        <x:v>226.20621737455758</x:v>
      </x:c>
      <x:c r="AE1946" s="10" t="n">
        <x:f>AA1946*'Assumptions'!$D$21</x:f>
        <x:v>0</x:v>
      </x:c>
    </x:row>
    <x:row r="1947" ht="16" customHeight="1">
      <x:c r="A1947" s="1"/>
      <x:c r="B1947" s="1"/>
      <x:c r="C1947" s="1" t="str">
        <x:v>DOT-020</x:v>
      </x:c>
      <x:c r="D1947" s="10" t="str">
        <x:v>BPA professional services</x:v>
      </x:c>
      <x:c r="E1947" s="10" t="n">
        <x:v>16</x:v>
      </x:c>
      <x:c r="F1947" s="21" t="n">
        <x:f>F1819*(1+'Assumptions'!$M$49)</x:f>
        <x:v>6.0799704303829865</x:v>
      </x:c>
      <x:c r="G1947" s="21" t="n">
        <x:f>H1819*'Assumptions'!$K$49</x:f>
        <x:v>5.735554593724368</x:v>
      </x:c>
      <x:c r="H1947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1947+G1947,NA())</x:f>
        <x:v>11.815525024107355</x:v>
      </x:c>
      <x:c r="I1947" s="22" t="n">
        <x:f>'Assumptions'!$H$49*IF('Assumptions'!$O$49=1,1,'Assumptions'!$D$10)*(1+'Assumptions'!$N$49)^(16-1)</x:f>
        <x:v>1800</x:v>
      </x:c>
      <x:c r="J1947" s="10" t="n">
        <x:f>H1947*I1947</x:f>
        <x:v>21267.94504339324</x:v>
      </x:c>
      <x:c r="K1947" s="10" t="n">
        <x:f>J1947*'Assumptions'!$T$49</x:f>
        <x:v>21267.94504339324</x:v>
      </x:c>
      <x:c r="L1947" s="10" t="n">
        <x:f>K1947*'Assumptions'!$U$49</x:f>
        <x:v>638.0383513017972</x:v>
      </x:c>
      <x:c r="M1947" s="10" t="n">
        <x:f>K1947*'Assumptions'!$V$49</x:f>
        <x:v>0</x:v>
      </x:c>
      <x:c r="N1947" s="10" t="n">
        <x:f>K1947-L1947-M1947</x:f>
        <x:v>20629.90669209144</x:v>
      </x:c>
      <x:c r="O1947" s="10" t="n">
        <x:f>H1947*'Assumptions'!$P$49*'Assumptions'!$Q$49*'Assumptions'!$D$11*(1+'Assumptions'!$D$13)^(16-1)</x:f>
        <x:v>6626.953079132482</x:v>
      </x:c>
      <x:c r="P1947" s="10" t="n">
        <x:f>H1947*'Assumptions'!$R$49*'Assumptions'!$D$11*(1+'Assumptions'!$D$13)^(16-1)</x:f>
        <x:v>184.08202997590232</x:v>
      </x:c>
      <x:c r="Q1947" s="10" t="n">
        <x:f>J1947*'Assumptions'!$S$49</x:f>
        <x:v>0</x:v>
      </x:c>
      <x:c r="R1947" s="10" t="n">
        <x:f>H1947*'Assumptions'!$Y$49*'Assumptions'!$Z$49*'Assumptions'!$D$11*(1+'Assumptions'!$D$13)^(16-1)</x:f>
        <x:v>138.06152248192672</x:v>
      </x:c>
      <x:c r="S1947" s="10" t="n">
        <x:f>IF(I1947=0,0,J1947*'Assumptions'!$W$49+H1947*'Assumptions'!$X$49)</x:f>
        <x:v>620.3150637656362</x:v>
      </x:c>
      <x:c r="T1947" s="10" t="n">
        <x:f>N1947*'Assumptions'!$AA$49</x:f>
        <x:v>825.1962676836577</x:v>
      </x:c>
      <x:c r="U1947" s="10" t="n">
        <x:f>'Assumptions'!$AE$49*'Assumptions'!$D$11*(1+'Assumptions'!$D$13)^(16-1)</x:f>
        <x:v>0</x:v>
      </x:c>
      <x:c r="V1947" s="10" t="n">
        <x:f>0</x:f>
        <x:v>0</x:v>
      </x:c>
      <x:c r="W1947" s="10" t="n">
        <x:f>H1947*('Assumptions'!$P$49+'Assumptions'!$Y$49)</x:f>
        <x:v>73.84703140067097</x:v>
      </x:c>
      <x:c r="X1947" s="10" t="n">
        <x:f>N1947/12*'Assumptions'!$AF$49</x:f>
        <x:v>1719.15889100762</x:v>
      </x:c>
      <x:c r="Y1947" s="10" t="n">
        <x:f>P1947/12</x:f>
        <x:v>15.340169164658526</x:v>
      </x:c>
      <x:c r="Z1947" s="10" t="n">
        <x:f>0</x:f>
        <x:v>0</x:v>
      </x:c>
      <x:c r="AA1947" s="10" t="n">
        <x:f>Z1947*'Assumptions'!$AC$49*'Assumptions'!$D$11*(1+'Assumptions'!$D$13)^(16-1)</x:f>
        <x:v>0</x:v>
      </x:c>
      <x:c r="AB1947" s="10" t="n">
        <x:f>F1947/1</x:f>
        <x:v>6.0799704303829865</x:v>
      </x:c>
      <x:c r="AC1947" s="10" t="n">
        <x:f>AB1947/'Assumptions'!$AM$49</x:f>
        <x:v>30.39985215191493</x:v>
      </x:c>
      <x:c r="AD1947" s="10" t="n">
        <x:f>IF(AB1947=0,0,T1947/AB1947)</x:f>
        <x:v>135.72373042473453</x:v>
      </x:c>
      <x:c r="AE1947" s="10" t="n">
        <x:f>AA1947*'Assumptions'!$D$21</x:f>
        <x:v>0</x:v>
      </x:c>
    </x:row>
    <x:row r="1948" ht="16" customHeight="1">
      <x:c r="A1948" s="1"/>
      <x:c r="B1948" s="1"/>
      <x:c r="C1948" s="1" t="str">
        <x:v>DOT-021</x:v>
      </x:c>
      <x:c r="D1948" s="10" t="str">
        <x:v>BPA professional services</x:v>
      </x:c>
      <x:c r="E1948" s="10" t="n">
        <x:v>16</x:v>
      </x:c>
      <x:c r="F1948" s="21" t="n">
        <x:f>F1820*(1+'Assumptions'!$M$50)</x:f>
        <x:v>4.053313620255325</x:v>
      </x:c>
      <x:c r="G1948" s="21" t="n">
        <x:f>H1820*'Assumptions'!$K$50</x:f>
        <x:v>3.8237030624829123</x:v>
      </x:c>
      <x:c r="H1948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1948+G1948,NA())</x:f>
        <x:v>7.877016682738237</x:v>
      </x:c>
      <x:c r="I1948" s="22" t="n">
        <x:f>'Assumptions'!$H$50*IF('Assumptions'!$O$50=1,1,'Assumptions'!$D$10)*(1+'Assumptions'!$N$50)^(16-1)</x:f>
        <x:v>4200</x:v>
      </x:c>
      <x:c r="J1948" s="10" t="n">
        <x:f>H1948*I1948</x:f>
        <x:v>33083.470067500595</x:v>
      </x:c>
      <x:c r="K1948" s="10" t="n">
        <x:f>J1948*'Assumptions'!$T$50</x:f>
        <x:v>33083.470067500595</x:v>
      </x:c>
      <x:c r="L1948" s="10" t="n">
        <x:f>K1948*'Assumptions'!$U$50</x:f>
        <x:v>992.5041020250178</x:v>
      </x:c>
      <x:c r="M1948" s="10" t="n">
        <x:f>K1948*'Assumptions'!$V$50</x:f>
        <x:v>0</x:v>
      </x:c>
      <x:c r="N1948" s="10" t="n">
        <x:f>K1948-L1948-M1948</x:f>
        <x:v>32090.965965475578</x:v>
      </x:c>
      <x:c r="O1948" s="10" t="n">
        <x:f>H1948*'Assumptions'!$P$50*'Assumptions'!$Q$50*'Assumptions'!$D$11*(1+'Assumptions'!$D$13)^(16-1)</x:f>
        <x:v>8835.93743884331</x:v>
      </x:c>
      <x:c r="P1948" s="10" t="n">
        <x:f>H1948*'Assumptions'!$R$50*'Assumptions'!$D$11*(1+'Assumptions'!$D$13)^(16-1)</x:f>
        <x:v>122.7213533172682</x:v>
      </x:c>
      <x:c r="Q1948" s="10" t="n">
        <x:f>J1948*'Assumptions'!$S$50</x:f>
        <x:v>0</x:v>
      </x:c>
      <x:c r="R1948" s="10" t="n">
        <x:f>H1948*'Assumptions'!$Y$50*'Assumptions'!$Z$50*'Assumptions'!$D$11*(1+'Assumptions'!$D$13)^(16-1)</x:f>
        <x:v>92.04101498795116</x:v>
      </x:c>
      <x:c r="S1948" s="10" t="n">
        <x:f>IF(I1948=0,0,J1948*'Assumptions'!$W$50+H1948*'Assumptions'!$X$50)</x:f>
        <x:v>961.7837369623388</x:v>
      </x:c>
      <x:c r="T1948" s="10" t="n">
        <x:f>N1948*'Assumptions'!$AA$50</x:f>
        <x:v>1283.6386386190231</x:v>
      </x:c>
      <x:c r="U1948" s="10" t="n">
        <x:f>'Assumptions'!$AE$50*'Assumptions'!$D$11*(1+'Assumptions'!$D$13)^(16-1)</x:f>
        <x:v>0</x:v>
      </x:c>
      <x:c r="V1948" s="10" t="n">
        <x:f>0</x:f>
        <x:v>0</x:v>
      </x:c>
      <x:c r="W1948" s="10" t="n">
        <x:f>H1948*('Assumptions'!$P$50+'Assumptions'!$Y$50)</x:f>
        <x:v>96.4934543635434</x:v>
      </x:c>
      <x:c r="X1948" s="10" t="n">
        <x:f>N1948/12*'Assumptions'!$AF$50</x:f>
        <x:v>2674.2471637896315</x:v>
      </x:c>
      <x:c r="Y1948" s="10" t="n">
        <x:f>P1948/12</x:f>
        <x:v>10.226779443105682</x:v>
      </x:c>
      <x:c r="Z1948" s="10" t="n">
        <x:f>0</x:f>
        <x:v>0</x:v>
      </x:c>
      <x:c r="AA1948" s="10" t="n">
        <x:f>Z1948*'Assumptions'!$AC$50*'Assumptions'!$D$11*(1+'Assumptions'!$D$13)^(16-1)</x:f>
        <x:v>0</x:v>
      </x:c>
      <x:c r="AB1948" s="10" t="n">
        <x:f>F1948/1</x:f>
        <x:v>4.053313620255325</x:v>
      </x:c>
      <x:c r="AC1948" s="10" t="n">
        <x:f>AB1948/'Assumptions'!$AM$50</x:f>
        <x:v>20.266568101276622</x:v>
      </x:c>
      <x:c r="AD1948" s="10" t="n">
        <x:f>IF(AB1948=0,0,T1948/AB1948)</x:f>
        <x:v>316.6887043243806</x:v>
      </x:c>
      <x:c r="AE1948" s="10" t="n">
        <x:f>AA1948*'Assumptions'!$D$21</x:f>
        <x:v>0</x:v>
      </x:c>
    </x:row>
    <x:row r="1949" ht="16" customHeight="1">
      <x:c r="A1949" s="1"/>
      <x:c r="B1949" s="1"/>
      <x:c r="C1949" s="1" t="str">
        <x:v>DOT-022</x:v>
      </x:c>
      <x:c r="D1949" s="10" t="str">
        <x:v>BPA professional services</x:v>
      </x:c>
      <x:c r="E1949" s="10" t="n">
        <x:v>16</x:v>
      </x:c>
      <x:c r="F1949" s="21" t="n">
        <x:f>F1821*(1+'Assumptions'!$M$51)</x:f>
        <x:v>16.2132544810213</x:v>
      </x:c>
      <x:c r="G1949" s="21" t="n">
        <x:f>H1821*'Assumptions'!$K$51</x:f>
        <x:v>15.294812249931649</x:v>
      </x:c>
      <x:c r="H1949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1949+G1949,NA())</x:f>
        <x:v>31.508066730952947</x:v>
      </x:c>
      <x:c r="I1949" s="22" t="n">
        <x:f>'Assumptions'!$H$51*IF('Assumptions'!$O$51=1,1,'Assumptions'!$D$10)*(1+'Assumptions'!$N$51)^(16-1)</x:f>
        <x:v>900</x:v>
      </x:c>
      <x:c r="J1949" s="10" t="n">
        <x:f>H1949*I1949</x:f>
        <x:v>28357.260057857653</x:v>
      </x:c>
      <x:c r="K1949" s="10" t="n">
        <x:f>J1949*'Assumptions'!$T$51</x:f>
        <x:v>28357.260057857653</x:v>
      </x:c>
      <x:c r="L1949" s="10" t="n">
        <x:f>K1949*'Assumptions'!$U$51</x:f>
        <x:v>850.7178017357296</x:v>
      </x:c>
      <x:c r="M1949" s="10" t="n">
        <x:f>K1949*'Assumptions'!$V$51</x:f>
        <x:v>0</x:v>
      </x:c>
      <x:c r="N1949" s="10" t="n">
        <x:f>K1949-L1949-M1949</x:f>
        <x:v>27506.542256121924</x:v>
      </x:c>
      <x:c r="O1949" s="10" t="n">
        <x:f>H1949*'Assumptions'!$P$51*'Assumptions'!$Q$51*'Assumptions'!$D$11*(1+'Assumptions'!$D$13)^(16-1)</x:f>
        <x:v>8835.93743884331</x:v>
      </x:c>
      <x:c r="P1949" s="10" t="n">
        <x:f>H1949*'Assumptions'!$R$51*'Assumptions'!$D$11*(1+'Assumptions'!$D$13)^(16-1)</x:f>
        <x:v>490.8854132690728</x:v>
      </x:c>
      <x:c r="Q1949" s="10" t="n">
        <x:f>J1949*'Assumptions'!$S$51</x:f>
        <x:v>0</x:v>
      </x:c>
      <x:c r="R1949" s="10" t="n">
        <x:f>H1949*'Assumptions'!$Y$51*'Assumptions'!$Z$51*'Assumptions'!$D$11*(1+'Assumptions'!$D$13)^(16-1)</x:f>
        <x:v>368.16405995180463</x:v>
      </x:c>
      <x:c r="S1949" s="10" t="n">
        <x:f>IF(I1949=0,0,J1949*'Assumptions'!$W$51+H1949*'Assumptions'!$X$51)</x:f>
        <x:v>831.8129616971579</x:v>
      </x:c>
      <x:c r="T1949" s="10" t="n">
        <x:f>N1949*'Assumptions'!$AA$51</x:f>
        <x:v>1100.261690244877</x:v>
      </x:c>
      <x:c r="U1949" s="10" t="n">
        <x:f>'Assumptions'!$AE$51*'Assumptions'!$D$11*(1+'Assumptions'!$D$13)^(16-1)</x:f>
        <x:v>0</x:v>
      </x:c>
      <x:c r="V1949" s="10" t="n">
        <x:f>0</x:f>
        <x:v>0</x:v>
      </x:c>
      <x:c r="W1949" s="10" t="n">
        <x:f>H1949*('Assumptions'!$P$51+'Assumptions'!$Y$51)</x:f>
        <x:v>102.40121687559707</x:v>
      </x:c>
      <x:c r="X1949" s="10" t="n">
        <x:f>N1949/12*'Assumptions'!$AF$51</x:f>
        <x:v>2292.211854676827</x:v>
      </x:c>
      <x:c r="Y1949" s="10" t="n">
        <x:f>P1949/12</x:f>
        <x:v>40.90711777242273</x:v>
      </x:c>
      <x:c r="Z1949" s="10" t="n">
        <x:f>0</x:f>
        <x:v>0</x:v>
      </x:c>
      <x:c r="AA1949" s="10" t="n">
        <x:f>Z1949*'Assumptions'!$AC$51*'Assumptions'!$D$11*(1+'Assumptions'!$D$13)^(16-1)</x:f>
        <x:v>0</x:v>
      </x:c>
      <x:c r="AB1949" s="10" t="n">
        <x:f>F1949/1</x:f>
        <x:v>16.2132544810213</x:v>
      </x:c>
      <x:c r="AC1949" s="10" t="n">
        <x:f>AB1949/'Assumptions'!$AM$51</x:f>
        <x:v>81.06627240510649</x:v>
      </x:c>
      <x:c r="AD1949" s="10" t="n">
        <x:f>IF(AB1949=0,0,T1949/AB1949)</x:f>
        <x:v>67.86186521236726</x:v>
      </x:c>
      <x:c r="AE1949" s="10" t="n">
        <x:f>AA1949*'Assumptions'!$D$21</x:f>
        <x:v>0</x:v>
      </x:c>
    </x:row>
    <x:row r="1950" ht="16" customHeight="1">
      <x:c r="A1950" s="1"/>
      <x:c r="B1950" s="1"/>
      <x:c r="C1950" s="1" t="str">
        <x:v>DOT-023</x:v>
      </x:c>
      <x:c r="D1950" s="10" t="str">
        <x:v>BPA professional services</x:v>
      </x:c>
      <x:c r="E1950" s="10" t="n">
        <x:v>16</x:v>
      </x:c>
      <x:c r="F1950" s="21" t="n">
        <x:f>F1822*(1+'Assumptions'!$M$52)</x:f>
        <x:v>10.13328405063831</x:v>
      </x:c>
      <x:c r="G1950" s="21" t="n">
        <x:f>H1822*'Assumptions'!$K$52</x:f>
        <x:v>9.55925765620728</x:v>
      </x:c>
      <x:c r="H1950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1950+G1950,NA())</x:f>
        <x:v>19.69254170684559</x:v>
      </x:c>
      <x:c r="I1950" s="22" t="n">
        <x:f>'Assumptions'!$H$52*IF('Assumptions'!$O$52=1,1,'Assumptions'!$D$10)*(1+'Assumptions'!$N$52)^(16-1)</x:f>
        <x:v>1800</x:v>
      </x:c>
      <x:c r="J1950" s="10" t="n">
        <x:f>H1950*I1950</x:f>
        <x:v>35446.57507232206</x:v>
      </x:c>
      <x:c r="K1950" s="10" t="n">
        <x:f>J1950*'Assumptions'!$T$52</x:f>
        <x:v>35446.57507232206</x:v>
      </x:c>
      <x:c r="L1950" s="10" t="n">
        <x:f>K1950*'Assumptions'!$U$52</x:f>
        <x:v>1063.397252169662</x:v>
      </x:c>
      <x:c r="M1950" s="10" t="n">
        <x:f>K1950*'Assumptions'!$V$52</x:f>
        <x:v>0</x:v>
      </x:c>
      <x:c r="N1950" s="10" t="n">
        <x:f>K1950-L1950-M1950</x:f>
        <x:v>34383.1778201524</x:v>
      </x:c>
      <x:c r="O1950" s="10" t="n">
        <x:f>H1950*'Assumptions'!$P$52*'Assumptions'!$Q$52*'Assumptions'!$D$11*(1+'Assumptions'!$D$13)^(16-1)</x:f>
        <x:v>11044.921798554135</x:v>
      </x:c>
      <x:c r="P1950" s="10" t="n">
        <x:f>H1950*'Assumptions'!$R$52*'Assumptions'!$D$11*(1+'Assumptions'!$D$13)^(16-1)</x:f>
        <x:v>306.80338329317044</x:v>
      </x:c>
      <x:c r="Q1950" s="10" t="n">
        <x:f>J1950*'Assumptions'!$S$52</x:f>
        <x:v>0</x:v>
      </x:c>
      <x:c r="R1950" s="10" t="n">
        <x:f>H1950*'Assumptions'!$Y$52*'Assumptions'!$Z$52*'Assumptions'!$D$11*(1+'Assumptions'!$D$13)^(16-1)</x:f>
        <x:v>230.10253746987783</x:v>
      </x:c>
      <x:c r="S1950" s="10" t="n">
        <x:f>IF(I1950=0,0,J1950*'Assumptions'!$W$52+H1950*'Assumptions'!$X$52)</x:f>
        <x:v>1033.8584396093936</x:v>
      </x:c>
      <x:c r="T1950" s="10" t="n">
        <x:f>N1950*'Assumptions'!$AA$52</x:f>
        <x:v>1375.327112806096</x:v>
      </x:c>
      <x:c r="U1950" s="10" t="n">
        <x:f>'Assumptions'!$AE$52*'Assumptions'!$D$11*(1+'Assumptions'!$D$13)^(16-1)</x:f>
        <x:v>0</x:v>
      </x:c>
      <x:c r="V1950" s="10" t="n">
        <x:f>0</x:f>
        <x:v>0</x:v>
      </x:c>
      <x:c r="W1950" s="10" t="n">
        <x:f>H1950*('Assumptions'!$P$52+'Assumptions'!$Y$52)</x:f>
        <x:v>123.07838566778493</x:v>
      </x:c>
      <x:c r="X1950" s="10" t="n">
        <x:f>N1950/12*'Assumptions'!$AF$52</x:f>
        <x:v>2865.2648183460333</x:v>
      </x:c>
      <x:c r="Y1950" s="10" t="n">
        <x:f>P1950/12</x:f>
        <x:v>25.566948607764203</x:v>
      </x:c>
      <x:c r="Z1950" s="10" t="n">
        <x:f>0</x:f>
        <x:v>0</x:v>
      </x:c>
      <x:c r="AA1950" s="10" t="n">
        <x:f>Z1950*'Assumptions'!$AC$52*'Assumptions'!$D$11*(1+'Assumptions'!$D$13)^(16-1)</x:f>
        <x:v>0</x:v>
      </x:c>
      <x:c r="AB1950" s="10" t="n">
        <x:f>F1950/1</x:f>
        <x:v>10.13328405063831</x:v>
      </x:c>
      <x:c r="AC1950" s="10" t="n">
        <x:f>AB1950/'Assumptions'!$AM$52</x:f>
        <x:v>50.666420253191546</x:v>
      </x:c>
      <x:c r="AD1950" s="10" t="n">
        <x:f>IF(AB1950=0,0,T1950/AB1950)</x:f>
        <x:v>135.72373042473455</x:v>
      </x:c>
      <x:c r="AE1950" s="10" t="n">
        <x:f>AA1950*'Assumptions'!$D$21</x:f>
        <x:v>0</x:v>
      </x:c>
    </x:row>
    <x:row r="1951" ht="16" customHeight="1">
      <x:c r="A1951" s="1"/>
      <x:c r="B1951" s="1"/>
      <x:c r="C1951" s="1" t="str">
        <x:v>DOT-024</x:v>
      </x:c>
      <x:c r="D1951" s="10" t="str">
        <x:v>BPA professional services</x:v>
      </x:c>
      <x:c r="E1951" s="10" t="n">
        <x:v>16</x:v>
      </x:c>
      <x:c r="F1951" s="21" t="n">
        <x:f>F1823*(1+'Assumptions'!$M$53)</x:f>
        <x:v>50.66642025319156</x:v>
      </x:c>
      <x:c r="G1951" s="21" t="n">
        <x:f>H1823*'Assumptions'!$K$53</x:f>
        <x:v>47.79590681130984</x:v>
      </x:c>
      <x:c r="H1951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1951+G1951,NA())</x:f>
        <x:v>98.46232706450141</x:v>
      </x:c>
      <x:c r="I1951" s="22" t="n">
        <x:f>'Assumptions'!$H$53*IF('Assumptions'!$O$53=1,1,'Assumptions'!$D$10)*(1+'Assumptions'!$N$53)^(16-1)</x:f>
        <x:v>540</x:v>
      </x:c>
      <x:c r="J1951" s="10" t="n">
        <x:f>H1951*I1951</x:f>
        <x:v>53169.65661483076</x:v>
      </x:c>
      <x:c r="K1951" s="10" t="n">
        <x:f>J1951*'Assumptions'!$T$53</x:f>
        <x:v>53169.65661483076</x:v>
      </x:c>
      <x:c r="L1951" s="10" t="n">
        <x:f>K1951*'Assumptions'!$U$53</x:f>
        <x:v>1595.0896984449228</x:v>
      </x:c>
      <x:c r="M1951" s="10" t="n">
        <x:f>K1951*'Assumptions'!$V$53</x:f>
        <x:v>0</x:v>
      </x:c>
      <x:c r="N1951" s="10" t="n">
        <x:f>K1951-L1951-M1951</x:f>
        <x:v>51574.56691638584</x:v>
      </x:c>
      <x:c r="O1951" s="10" t="n">
        <x:f>H1951*'Assumptions'!$P$53*'Assumptions'!$Q$53*'Assumptions'!$D$11*(1+'Assumptions'!$D$13)^(16-1)</x:f>
        <x:v>18408.131679501705</x:v>
      </x:c>
      <x:c r="P1951" s="10" t="n">
        <x:f>H1951*'Assumptions'!$R$53*'Assumptions'!$D$11*(1+'Assumptions'!$D$13)^(16-1)</x:f>
        <x:v>1534.0109732918086</x:v>
      </x:c>
      <x:c r="Q1951" s="10" t="n">
        <x:f>J1951*'Assumptions'!$S$53</x:f>
        <x:v>0</x:v>
      </x:c>
      <x:c r="R1951" s="10" t="n">
        <x:f>H1951*'Assumptions'!$Y$53*'Assumptions'!$Z$53*'Assumptions'!$D$11*(1+'Assumptions'!$D$13)^(16-1)</x:f>
        <x:v>1150.5082299688565</x:v>
      </x:c>
      <x:c r="S1951" s="10" t="n">
        <x:f>IF(I1951=0,0,J1951*'Assumptions'!$W$53+H1951*'Assumptions'!$X$53)</x:f>
        <x:v>1571.4587399494426</x:v>
      </x:c>
      <x:c r="T1951" s="10" t="n">
        <x:f>N1951*'Assumptions'!$AA$53</x:f>
        <x:v>2062.982676655434</x:v>
      </x:c>
      <x:c r="U1951" s="10" t="n">
        <x:f>'Assumptions'!$AE$53*'Assumptions'!$D$11*(1+'Assumptions'!$D$13)^(16-1)</x:f>
        <x:v>0</x:v>
      </x:c>
      <x:c r="V1951" s="10" t="n">
        <x:f>0</x:f>
        <x:v>0</x:v>
      </x:c>
      <x:c r="W1951" s="10" t="n">
        <x:f>H1951*('Assumptions'!$P$53+'Assumptions'!$Y$53)</x:f>
        <x:v>221.54023589512818</x:v>
      </x:c>
      <x:c r="X1951" s="10" t="n">
        <x:f>N1951/12*'Assumptions'!$AF$53</x:f>
        <x:v>4297.880576365486</x:v>
      </x:c>
      <x:c r="Y1951" s="10" t="n">
        <x:f>P1951/12</x:f>
        <x:v>127.83424777431738</x:v>
      </x:c>
      <x:c r="Z1951" s="10" t="n">
        <x:f>0</x:f>
        <x:v>0</x:v>
      </x:c>
      <x:c r="AA1951" s="10" t="n">
        <x:f>Z1951*'Assumptions'!$AC$53*'Assumptions'!$D$11*(1+'Assumptions'!$D$13)^(16-1)</x:f>
        <x:v>0</x:v>
      </x:c>
      <x:c r="AB1951" s="10" t="n">
        <x:f>F1951/1</x:f>
        <x:v>50.66642025319156</x:v>
      </x:c>
      <x:c r="AC1951" s="10" t="n">
        <x:f>AB1951/'Assumptions'!$AM$53</x:f>
        <x:v>253.3321012659578</x:v>
      </x:c>
      <x:c r="AD1951" s="10" t="n">
        <x:f>IF(AB1951=0,0,T1951/AB1951)</x:f>
        <x:v>40.71696137888256</x:v>
      </x:c>
      <x:c r="AE1951" s="10" t="n">
        <x:f>AA1951*'Assumptions'!$D$21</x:f>
        <x:v>0</x:v>
      </x:c>
    </x:row>
    <x:row r="1952" ht="16" customHeight="1">
      <x:c r="A1952" s="1"/>
      <x:c r="B1952" s="1"/>
      <x:c r="C1952" s="1" t="str">
        <x:v>DOT-025</x:v>
      </x:c>
      <x:c r="D1952" s="10" t="str">
        <x:v>BPA professional services</x:v>
      </x:c>
      <x:c r="E1952" s="10" t="n">
        <x:v>16</x:v>
      </x:c>
      <x:c r="F1952" s="21" t="n">
        <x:f>F1824*(1+'Assumptions'!$M$54)</x:f>
        <x:v>20.26656810127662</x:v>
      </x:c>
      <x:c r="G1952" s="21" t="n">
        <x:f>H1824*'Assumptions'!$K$54</x:f>
        <x:v>19.118362724523934</x:v>
      </x:c>
      <x:c r="H1952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1952+G1952,NA())</x:f>
        <x:v>39.38493082580055</x:v>
      </x:c>
      <x:c r="I1952" s="22" t="n">
        <x:f>'Assumptions'!$H$54*IF('Assumptions'!$O$54=1,1,'Assumptions'!$D$10)*(1+'Assumptions'!$N$54)^(16-1)</x:f>
        <x:v>1020</x:v>
      </x:c>
      <x:c r="J1952" s="10" t="n">
        <x:f>H1952*I1952</x:f>
        <x:v>40172.62944231656</x:v>
      </x:c>
      <x:c r="K1952" s="10" t="n">
        <x:f>J1952*'Assumptions'!$T$54</x:f>
        <x:v>40172.62944231656</x:v>
      </x:c>
      <x:c r="L1952" s="10" t="n">
        <x:f>K1952*'Assumptions'!$U$54</x:f>
        <x:v>1205.1788832694967</x:v>
      </x:c>
      <x:c r="M1952" s="10" t="n">
        <x:f>K1952*'Assumptions'!$V$54</x:f>
        <x:v>0</x:v>
      </x:c>
      <x:c r="N1952" s="10" t="n">
        <x:f>K1952-L1952-M1952</x:f>
        <x:v>38967.450559047065</x:v>
      </x:c>
      <x:c r="O1952" s="10" t="n">
        <x:f>H1952*'Assumptions'!$P$54*'Assumptions'!$Q$54*'Assumptions'!$D$11*(1+'Assumptions'!$D$13)^(16-1)</x:f>
        <x:v>18408.131679501697</x:v>
      </x:c>
      <x:c r="P1952" s="10" t="n">
        <x:f>H1952*'Assumptions'!$R$54*'Assumptions'!$D$11*(1+'Assumptions'!$D$13)^(16-1)</x:f>
        <x:v>613.6043893167232</x:v>
      </x:c>
      <x:c r="Q1952" s="10" t="n">
        <x:f>J1952*'Assumptions'!$S$54</x:f>
        <x:v>0</x:v>
      </x:c>
      <x:c r="R1952" s="10" t="n">
        <x:f>H1952*'Assumptions'!$Y$54*'Assumptions'!$Z$54*'Assumptions'!$D$11*(1+'Assumptions'!$D$13)^(16-1)</x:f>
        <x:v>460.20329198754246</x:v>
      </x:c>
      <x:c r="S1952" s="10" t="n">
        <x:f>IF(I1952=0,0,J1952*'Assumptions'!$W$54+H1952*'Assumptions'!$X$54)</x:f>
        <x:v>1176.8217330749203</x:v>
      </x:c>
      <x:c r="T1952" s="10" t="n">
        <x:f>N1952*'Assumptions'!$AA$54</x:f>
        <x:v>1558.6980223618827</x:v>
      </x:c>
      <x:c r="U1952" s="10" t="n">
        <x:f>'Assumptions'!$AE$54*'Assumptions'!$D$11*(1+'Assumptions'!$D$13)^(16-1)</x:f>
        <x:v>0</x:v>
      </x:c>
      <x:c r="V1952" s="10" t="n">
        <x:f>0</x:f>
        <x:v>0</x:v>
      </x:c>
      <x:c r="W1952" s="10" t="n">
        <x:f>H1952*('Assumptions'!$P$54+'Assumptions'!$Y$54)</x:f>
        <x:v>206.7708868354529</x:v>
      </x:c>
      <x:c r="X1952" s="10" t="n">
        <x:f>N1952/12*'Assumptions'!$AF$54</x:f>
        <x:v>3247.2875465872553</x:v>
      </x:c>
      <x:c r="Y1952" s="10" t="n">
        <x:f>P1952/12</x:f>
        <x:v>51.13369910972693</x:v>
      </x:c>
      <x:c r="Z1952" s="10" t="n">
        <x:f>0</x:f>
        <x:v>0</x:v>
      </x:c>
      <x:c r="AA1952" s="10" t="n">
        <x:f>Z1952*'Assumptions'!$AC$54*'Assumptions'!$D$11*(1+'Assumptions'!$D$13)^(16-1)</x:f>
        <x:v>0</x:v>
      </x:c>
      <x:c r="AB1952" s="10" t="n">
        <x:f>F1952/1</x:f>
        <x:v>20.26656810127662</x:v>
      </x:c>
      <x:c r="AC1952" s="10" t="n">
        <x:f>AB1952/'Assumptions'!$AM$54</x:f>
        <x:v>101.33284050638309</x:v>
      </x:c>
      <x:c r="AD1952" s="10" t="n">
        <x:f>IF(AB1952=0,0,T1952/AB1952)</x:f>
        <x:v>76.90981593788926</x:v>
      </x:c>
      <x:c r="AE1952" s="10" t="n">
        <x:f>AA1952*'Assumptions'!$D$21</x:f>
        <x:v>0</x:v>
      </x:c>
    </x:row>
    <x:row r="1953" ht="16" customHeight="1">
      <x:c r="A1953" s="1"/>
      <x:c r="B1953" s="1"/>
      <x:c r="C1953" s="1" t="str">
        <x:v>DOT-026</x:v>
      </x:c>
      <x:c r="D1953" s="10" t="str">
        <x:v>BPA professional services</x:v>
      </x:c>
      <x:c r="E1953" s="10" t="n">
        <x:v>16</x:v>
      </x:c>
      <x:c r="F1953" s="21" t="n">
        <x:f>F1825*(1+'Assumptions'!$M$55)</x:f>
        <x:v>8.10662724051065</x:v>
      </x:c>
      <x:c r="G1953" s="21" t="n">
        <x:f>H1825*'Assumptions'!$K$55</x:f>
        <x:v>7.6473450898095745</x:v>
      </x:c>
      <x:c r="H1953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1953+G1953,NA())</x:f>
        <x:v>15.753972330320224</x:v>
      </x:c>
      <x:c r="I1953" s="22" t="n">
        <x:f>'Assumptions'!$H$55*IF('Assumptions'!$O$55=1,1,'Assumptions'!$D$10)*(1+'Assumptions'!$N$55)^(16-1)</x:f>
        <x:v>1800</x:v>
      </x:c>
      <x:c r="J1953" s="10" t="n">
        <x:f>H1953*I1953</x:f>
        <x:v>28357.150194576403</x:v>
      </x:c>
      <x:c r="K1953" s="10" t="n">
        <x:f>J1953*'Assumptions'!$T$55</x:f>
        <x:v>28357.150194576403</x:v>
      </x:c>
      <x:c r="L1953" s="10" t="n">
        <x:f>K1953*'Assumptions'!$U$55</x:f>
        <x:v>850.7145058372921</x:v>
      </x:c>
      <x:c r="M1953" s="10" t="n">
        <x:f>K1953*'Assumptions'!$V$55</x:f>
        <x:v>0</x:v>
      </x:c>
      <x:c r="N1953" s="10" t="n">
        <x:f>K1953-L1953-M1953</x:f>
        <x:v>27506.43568873911</x:v>
      </x:c>
      <x:c r="O1953" s="10" t="n">
        <x:f>H1953*'Assumptions'!$P$55*'Assumptions'!$Q$55*'Assumptions'!$D$11*(1+'Assumptions'!$D$13)^(16-1)</x:f>
        <x:v>14726.50534360136</x:v>
      </x:c>
      <x:c r="P1953" s="10" t="n">
        <x:f>H1953*'Assumptions'!$R$55*'Assumptions'!$D$11*(1+'Assumptions'!$D$13)^(16-1)</x:f>
        <x:v>245.44175572668934</x:v>
      </x:c>
      <x:c r="Q1953" s="10" t="n">
        <x:f>J1953*'Assumptions'!$S$55</x:f>
        <x:v>0</x:v>
      </x:c>
      <x:c r="R1953" s="10" t="n">
        <x:f>H1953*'Assumptions'!$Y$55*'Assumptions'!$Z$55*'Assumptions'!$D$11*(1+'Assumptions'!$D$13)^(16-1)</x:f>
        <x:v>184.08131679501702</x:v>
      </x:c>
      <x:c r="S1953" s="10" t="n">
        <x:f>IF(I1953=0,0,J1953*'Assumptions'!$W$55+H1953*'Assumptions'!$X$55)</x:f>
        <x:v>827.0835473418117</x:v>
      </x:c>
      <x:c r="T1953" s="10" t="n">
        <x:f>N1953*'Assumptions'!$AA$55</x:f>
        <x:v>1100.2574275495645</x:v>
      </x:c>
      <x:c r="U1953" s="10" t="n">
        <x:f>'Assumptions'!$AE$55*'Assumptions'!$D$11*(1+'Assumptions'!$D$13)^(16-1)</x:f>
        <x:v>0</x:v>
      </x:c>
      <x:c r="V1953" s="10" t="n">
        <x:f>0</x:f>
        <x:v>0</x:v>
      </x:c>
      <x:c r="W1953" s="10" t="n">
        <x:f>H1953*('Assumptions'!$P$55+'Assumptions'!$Y$55)</x:f>
        <x:v>161.4782163857823</x:v>
      </x:c>
      <x:c r="X1953" s="10" t="n">
        <x:f>N1953/12*'Assumptions'!$AF$55</x:f>
        <x:v>2292.2029740615926</x:v>
      </x:c>
      <x:c r="Y1953" s="10" t="n">
        <x:f>P1953/12</x:f>
        <x:v>20.453479643890777</x:v>
      </x:c>
      <x:c r="Z1953" s="10" t="n">
        <x:f>0</x:f>
        <x:v>0</x:v>
      </x:c>
      <x:c r="AA1953" s="10" t="n">
        <x:f>Z1953*'Assumptions'!$AC$55*'Assumptions'!$D$11*(1+'Assumptions'!$D$13)^(16-1)</x:f>
        <x:v>0</x:v>
      </x:c>
      <x:c r="AB1953" s="10" t="n">
        <x:f>F1953/1</x:f>
        <x:v>8.10662724051065</x:v>
      </x:c>
      <x:c r="AC1953" s="10" t="n">
        <x:f>AB1953/'Assumptions'!$AM$55</x:f>
        <x:v>40.533136202553244</x:v>
      </x:c>
      <x:c r="AD1953" s="10" t="n">
        <x:f>IF(AB1953=0,0,T1953/AB1953)</x:f>
        <x:v>135.72320459627517</x:v>
      </x:c>
      <x:c r="AE1953" s="10" t="n">
        <x:f>AA1953*'Assumptions'!$D$21</x:f>
        <x:v>0</x:v>
      </x:c>
    </x:row>
    <x:row r="1954" ht="16" customHeight="1">
      <x:c r="A1954" s="1"/>
      <x:c r="B1954" s="1"/>
      <x:c r="C1954" s="1" t="str">
        <x:v>DOT-027</x:v>
      </x:c>
      <x:c r="D1954" s="10" t="str">
        <x:v>BPA professional services</x:v>
      </x:c>
      <x:c r="E1954" s="10" t="n">
        <x:v>16</x:v>
      </x:c>
      <x:c r="F1954" s="21" t="n">
        <x:f>F1826*(1+'Assumptions'!$M$56)</x:f>
        <x:v>8.10662724051065</x:v>
      </x:c>
      <x:c r="G1954" s="21" t="n">
        <x:f>H1826*'Assumptions'!$K$56</x:f>
        <x:v>7.6473450898095745</x:v>
      </x:c>
      <x:c r="H1954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1954+G1954,NA())</x:f>
        <x:v>15.753972330320224</x:v>
      </x:c>
      <x:c r="I1954" s="22" t="n">
        <x:f>'Assumptions'!$H$56*IF('Assumptions'!$O$56=1,1,'Assumptions'!$D$10)*(1+'Assumptions'!$N$56)^(16-1)</x:f>
        <x:v>1800</x:v>
      </x:c>
      <x:c r="J1954" s="10" t="n">
        <x:f>H1954*I1954</x:f>
        <x:v>28357.150194576403</x:v>
      </x:c>
      <x:c r="K1954" s="10" t="n">
        <x:f>J1954*'Assumptions'!$T$56</x:f>
        <x:v>28357.150194576403</x:v>
      </x:c>
      <x:c r="L1954" s="10" t="n">
        <x:f>K1954*'Assumptions'!$U$56</x:f>
        <x:v>850.7145058372921</x:v>
      </x:c>
      <x:c r="M1954" s="10" t="n">
        <x:f>K1954*'Assumptions'!$V$56</x:f>
        <x:v>0</x:v>
      </x:c>
      <x:c r="N1954" s="10" t="n">
        <x:f>K1954-L1954-M1954</x:f>
        <x:v>27506.43568873911</x:v>
      </x:c>
      <x:c r="O1954" s="10" t="n">
        <x:f>H1954*'Assumptions'!$P$56*'Assumptions'!$Q$56*'Assumptions'!$D$11*(1+'Assumptions'!$D$13)^(16-1)</x:f>
        <x:v>14726.50534360136</x:v>
      </x:c>
      <x:c r="P1954" s="10" t="n">
        <x:f>H1954*'Assumptions'!$R$56*'Assumptions'!$D$11*(1+'Assumptions'!$D$13)^(16-1)</x:f>
        <x:v>245.44175572668934</x:v>
      </x:c>
      <x:c r="Q1954" s="10" t="n">
        <x:f>J1954*'Assumptions'!$S$56</x:f>
        <x:v>0</x:v>
      </x:c>
      <x:c r="R1954" s="10" t="n">
        <x:f>H1954*'Assumptions'!$Y$56*'Assumptions'!$Z$56*'Assumptions'!$D$11*(1+'Assumptions'!$D$13)^(16-1)</x:f>
        <x:v>184.08131679501702</x:v>
      </x:c>
      <x:c r="S1954" s="10" t="n">
        <x:f>IF(I1954=0,0,J1954*'Assumptions'!$W$56+H1954*'Assumptions'!$X$56)</x:f>
        <x:v>827.0835473418117</x:v>
      </x:c>
      <x:c r="T1954" s="10" t="n">
        <x:f>N1954*'Assumptions'!$AA$56</x:f>
        <x:v>1100.2574275495645</x:v>
      </x:c>
      <x:c r="U1954" s="10" t="n">
        <x:f>'Assumptions'!$AE$56*'Assumptions'!$D$11*(1+'Assumptions'!$D$13)^(16-1)</x:f>
        <x:v>0</x:v>
      </x:c>
      <x:c r="V1954" s="10" t="n">
        <x:f>0</x:f>
        <x:v>0</x:v>
      </x:c>
      <x:c r="W1954" s="10" t="n">
        <x:f>H1954*('Assumptions'!$P$56+'Assumptions'!$Y$56)</x:f>
        <x:v>161.4782163857823</x:v>
      </x:c>
      <x:c r="X1954" s="10" t="n">
        <x:f>N1954/12*'Assumptions'!$AF$56</x:f>
        <x:v>2292.2029740615926</x:v>
      </x:c>
      <x:c r="Y1954" s="10" t="n">
        <x:f>P1954/12</x:f>
        <x:v>20.453479643890777</x:v>
      </x:c>
      <x:c r="Z1954" s="10" t="n">
        <x:f>0</x:f>
        <x:v>0</x:v>
      </x:c>
      <x:c r="AA1954" s="10" t="n">
        <x:f>Z1954*'Assumptions'!$AC$56*'Assumptions'!$D$11*(1+'Assumptions'!$D$13)^(16-1)</x:f>
        <x:v>0</x:v>
      </x:c>
      <x:c r="AB1954" s="10" t="n">
        <x:f>F1954/1</x:f>
        <x:v>8.10662724051065</x:v>
      </x:c>
      <x:c r="AC1954" s="10" t="n">
        <x:f>AB1954/'Assumptions'!$AM$56</x:f>
        <x:v>40.533136202553244</x:v>
      </x:c>
      <x:c r="AD1954" s="10" t="n">
        <x:f>IF(AB1954=0,0,T1954/AB1954)</x:f>
        <x:v>135.72320459627517</x:v>
      </x:c>
      <x:c r="AE1954" s="10" t="n">
        <x:f>AA1954*'Assumptions'!$D$21</x:f>
        <x:v>0</x:v>
      </x:c>
    </x:row>
    <x:row r="1955" ht="16" customHeight="1">
      <x:c r="A1955" s="1"/>
      <x:c r="B1955" s="1"/>
      <x:c r="C1955" s="1" t="str">
        <x:v>DOT-028</x:v>
      </x:c>
      <x:c r="D1955" s="10" t="str">
        <x:v>BPA professional services</x:v>
      </x:c>
      <x:c r="E1955" s="10" t="n">
        <x:v>16</x:v>
      </x:c>
      <x:c r="F1955" s="21" t="n">
        <x:f>F1827*(1+'Assumptions'!$M$57)</x:f>
        <x:v>4.053313620255325</x:v>
      </x:c>
      <x:c r="G1955" s="21" t="n">
        <x:f>H1827*'Assumptions'!$K$57</x:f>
        <x:v>3.8236725449047873</x:v>
      </x:c>
      <x:c r="H1955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1955+G1955,NA())</x:f>
        <x:v>7.876986165160112</x:v>
      </x:c>
      <x:c r="I1955" s="22" t="n">
        <x:f>'Assumptions'!$H$57*IF('Assumptions'!$O$57=1,1,'Assumptions'!$D$10)*(1+'Assumptions'!$N$57)^(16-1)</x:f>
        <x:v>1800</x:v>
      </x:c>
      <x:c r="J1955" s="10" t="n">
        <x:f>H1955*I1955</x:f>
        <x:v>14178.575097288202</x:v>
      </x:c>
      <x:c r="K1955" s="10" t="n">
        <x:f>J1955*'Assumptions'!$T$57</x:f>
        <x:v>14178.575097288202</x:v>
      </x:c>
      <x:c r="L1955" s="10" t="n">
        <x:f>K1955*'Assumptions'!$U$57</x:f>
        <x:v>425.35725291864605</x:v>
      </x:c>
      <x:c r="M1955" s="10" t="n">
        <x:f>K1955*'Assumptions'!$V$57</x:f>
        <x:v>0</x:v>
      </x:c>
      <x:c r="N1955" s="10" t="n">
        <x:f>K1955-L1955-M1955</x:f>
        <x:v>13753.217844369556</x:v>
      </x:c>
      <x:c r="O1955" s="10" t="n">
        <x:f>H1955*'Assumptions'!$P$57*'Assumptions'!$Q$57*'Assumptions'!$D$11*(1+'Assumptions'!$D$13)^(16-1)</x:f>
        <x:v>8835.903206160816</x:v>
      </x:c>
      <x:c r="P1955" s="10" t="n">
        <x:f>H1955*'Assumptions'!$R$57*'Assumptions'!$D$11*(1+'Assumptions'!$D$13)^(16-1)</x:f>
        <x:v>122.72087786334467</x:v>
      </x:c>
      <x:c r="Q1955" s="10" t="n">
        <x:f>J1955*'Assumptions'!$S$57</x:f>
        <x:v>0</x:v>
      </x:c>
      <x:c r="R1955" s="10" t="n">
        <x:f>H1955*'Assumptions'!$Y$57*'Assumptions'!$Z$57*'Assumptions'!$D$11*(1+'Assumptions'!$D$13)^(16-1)</x:f>
        <x:v>92.04065839750851</x:v>
      </x:c>
      <x:c r="S1955" s="10" t="n">
        <x:f>IF(I1955=0,0,J1955*'Assumptions'!$W$57+H1955*'Assumptions'!$X$57)</x:f>
        <x:v>413.54177367090585</x:v>
      </x:c>
      <x:c r="T1955" s="10" t="n">
        <x:f>N1955*'Assumptions'!$AA$57</x:f>
        <x:v>550.1287137747822</x:v>
      </x:c>
      <x:c r="U1955" s="10" t="n">
        <x:f>'Assumptions'!$AE$57*'Assumptions'!$D$11*(1+'Assumptions'!$D$13)^(16-1)</x:f>
        <x:v>0</x:v>
      </x:c>
      <x:c r="V1955" s="10" t="n">
        <x:f>0</x:f>
        <x:v>0</x:v>
      </x:c>
      <x:c r="W1955" s="10" t="n">
        <x:f>H1955*('Assumptions'!$P$57+'Assumptions'!$Y$57)</x:f>
        <x:v>96.49308052321138</x:v>
      </x:c>
      <x:c r="X1955" s="10" t="n">
        <x:f>N1955/12*'Assumptions'!$AF$57</x:f>
        <x:v>1146.1014870307963</x:v>
      </x:c>
      <x:c r="Y1955" s="10" t="n">
        <x:f>P1955/12</x:f>
        <x:v>10.226739821945388</x:v>
      </x:c>
      <x:c r="Z1955" s="10" t="n">
        <x:f>0</x:f>
        <x:v>0</x:v>
      </x:c>
      <x:c r="AA1955" s="10" t="n">
        <x:f>Z1955*'Assumptions'!$AC$57*'Assumptions'!$D$11*(1+'Assumptions'!$D$13)^(16-1)</x:f>
        <x:v>0</x:v>
      </x:c>
      <x:c r="AB1955" s="10" t="n">
        <x:f>F1955/1</x:f>
        <x:v>4.053313620255325</x:v>
      </x:c>
      <x:c r="AC1955" s="10" t="n">
        <x:f>AB1955/'Assumptions'!$AM$57</x:f>
        <x:v>20.266568101276622</x:v>
      </x:c>
      <x:c r="AD1955" s="10" t="n">
        <x:f>IF(AB1955=0,0,T1955/AB1955)</x:f>
        <x:v>135.72320459627517</x:v>
      </x:c>
      <x:c r="AE1955" s="10" t="n">
        <x:f>AA1955*'Assumptions'!$D$21</x:f>
        <x:v>0</x:v>
      </x:c>
    </x:row>
    <x:row r="1956" ht="16" customHeight="1">
      <x:c r="A1956" s="1"/>
      <x:c r="B1956" s="1"/>
      <x:c r="C1956" s="1" t="str">
        <x:v>DOT-029</x:v>
      </x:c>
      <x:c r="D1956" s="10" t="str">
        <x:v>BPA professional services</x:v>
      </x:c>
      <x:c r="E1956" s="10" t="n">
        <x:v>16</x:v>
      </x:c>
      <x:c r="F1956" s="21" t="n">
        <x:f>F1828*(1+'Assumptions'!$M$58)</x:f>
        <x:v>40.53313620255324</x:v>
      </x:c>
      <x:c r="G1956" s="21" t="n">
        <x:f>H1828*'Assumptions'!$K$58</x:f>
        <x:v>38.23672544904787</x:v>
      </x:c>
      <x:c r="H1956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1956+G1956,NA())</x:f>
        <x:v>78.7698616516011</x:v>
      </x:c>
      <x:c r="I1956" s="22" t="n">
        <x:f>'Assumptions'!$H$58*IF('Assumptions'!$O$58=1,1,'Assumptions'!$D$10)*(1+'Assumptions'!$N$58)^(16-1)</x:f>
        <x:v>180</x:v>
      </x:c>
      <x:c r="J1956" s="10" t="n">
        <x:f>H1956*I1956</x:f>
        <x:v>14178.575097288198</x:v>
      </x:c>
      <x:c r="K1956" s="10" t="n">
        <x:f>J1956*'Assumptions'!$T$58</x:f>
        <x:v>14178.575097288198</x:v>
      </x:c>
      <x:c r="L1956" s="10" t="n">
        <x:f>K1956*'Assumptions'!$U$58</x:f>
        <x:v>425.35725291864594</x:v>
      </x:c>
      <x:c r="M1956" s="10" t="n">
        <x:f>K1956*'Assumptions'!$V$58</x:f>
        <x:v>0</x:v>
      </x:c>
      <x:c r="N1956" s="10" t="n">
        <x:f>K1956-L1956-M1956</x:f>
        <x:v>13753.217844369552</x:v>
      </x:c>
      <x:c r="O1956" s="10" t="n">
        <x:f>H1956*'Assumptions'!$P$58*'Assumptions'!$Q$58*'Assumptions'!$D$11*(1+'Assumptions'!$D$13)^(16-1)</x:f>
        <x:v>7363.252671800679</x:v>
      </x:c>
      <x:c r="P1956" s="10" t="n">
        <x:f>H1956*'Assumptions'!$R$58*'Assumptions'!$D$11*(1+'Assumptions'!$D$13)^(16-1)</x:f>
        <x:v>1227.2087786334464</x:v>
      </x:c>
      <x:c r="Q1956" s="10" t="n">
        <x:f>J1956*'Assumptions'!$S$58</x:f>
        <x:v>0</x:v>
      </x:c>
      <x:c r="R1956" s="10" t="n">
        <x:f>H1956*'Assumptions'!$Y$58*'Assumptions'!$Z$58*'Assumptions'!$D$11*(1+'Assumptions'!$D$13)^(16-1)</x:f>
        <x:v>920.4065839750849</x:v>
      </x:c>
      <x:c r="S1956" s="10" t="n">
        <x:f>IF(I1956=0,0,J1956*'Assumptions'!$W$58+H1956*'Assumptions'!$X$58)</x:f>
        <x:v>434.8096363168381</x:v>
      </x:c>
      <x:c r="T1956" s="10" t="n">
        <x:f>N1956*'Assumptions'!$AA$58</x:f>
        <x:v>550.1287137747821</x:v>
      </x:c>
      <x:c r="U1956" s="10" t="n">
        <x:f>'Assumptions'!$AE$58*'Assumptions'!$D$11*(1+'Assumptions'!$D$13)^(16-1)</x:f>
        <x:v>0</x:v>
      </x:c>
      <x:c r="V1956" s="10" t="n">
        <x:f>0</x:f>
        <x:v>0</x:v>
      </x:c>
      <x:c r="W1956" s="10" t="n">
        <x:f>H1956*('Assumptions'!$P$58+'Assumptions'!$Y$58)</x:f>
        <x:v>98.46232706450138</x:v>
      </x:c>
      <x:c r="X1956" s="10" t="n">
        <x:f>N1956/12*'Assumptions'!$AF$58</x:f>
        <x:v>1146.101487030796</x:v>
      </x:c>
      <x:c r="Y1956" s="10" t="n">
        <x:f>P1956/12</x:f>
        <x:v>102.26739821945387</x:v>
      </x:c>
      <x:c r="Z1956" s="10" t="n">
        <x:f>0</x:f>
        <x:v>0</x:v>
      </x:c>
      <x:c r="AA1956" s="10" t="n">
        <x:f>Z1956*'Assumptions'!$AC$58*'Assumptions'!$D$11*(1+'Assumptions'!$D$13)^(16-1)</x:f>
        <x:v>0</x:v>
      </x:c>
      <x:c r="AB1956" s="10" t="n">
        <x:f>F1956/1</x:f>
        <x:v>40.53313620255324</x:v>
      </x:c>
      <x:c r="AC1956" s="10" t="n">
        <x:f>AB1956/'Assumptions'!$AM$58</x:f>
        <x:v>202.66568101276619</x:v>
      </x:c>
      <x:c r="AD1956" s="10" t="n">
        <x:f>IF(AB1956=0,0,T1956/AB1956)</x:f>
        <x:v>13.572320459627518</x:v>
      </x:c>
      <x:c r="AE1956" s="10" t="n">
        <x:f>AA1956*'Assumptions'!$D$21</x:f>
        <x:v>0</x:v>
      </x:c>
    </x:row>
    <x:row r="1957" ht="16" customHeight="1">
      <x:c r="A1957" s="1"/>
      <x:c r="B1957" s="1"/>
      <x:c r="C1957" s="1" t="str">
        <x:v>DOT-030</x:v>
      </x:c>
      <x:c r="D1957" s="10" t="str">
        <x:v>BPA professional services</x:v>
      </x:c>
      <x:c r="E1957" s="10" t="n">
        <x:v>16</x:v>
      </x:c>
      <x:c r="F1957" s="21" t="n">
        <x:f>F1829*(1+'Assumptions'!$M$59)</x:f>
        <x:v>8.10662724051065</x:v>
      </x:c>
      <x:c r="G1957" s="21" t="n">
        <x:f>H1829*'Assumptions'!$K$59</x:f>
        <x:v>7.6473450898095745</x:v>
      </x:c>
      <x:c r="H1957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1957+G1957,NA())</x:f>
        <x:v>15.753972330320224</x:v>
      </x:c>
      <x:c r="I1957" s="22" t="n">
        <x:f>'Assumptions'!$H$59*IF('Assumptions'!$O$59=1,1,'Assumptions'!$D$10)*(1+'Assumptions'!$N$59)^(16-1)</x:f>
        <x:v>672.9341691620649</x:v>
      </x:c>
      <x:c r="J1957" s="10" t="n">
        <x:f>H1957*I1957</x:f>
        <x:v>10601.386281106199</x:v>
      </x:c>
      <x:c r="K1957" s="10" t="n">
        <x:f>J1957*'Assumptions'!$T$59</x:f>
        <x:v>10601.386281106199</x:v>
      </x:c>
      <x:c r="L1957" s="10" t="n">
        <x:f>K1957*'Assumptions'!$U$59</x:f>
        <x:v>318.04158843318595</x:v>
      </x:c>
      <x:c r="M1957" s="10" t="n">
        <x:f>K1957*'Assumptions'!$V$59</x:f>
        <x:v>0</x:v>
      </x:c>
      <x:c r="N1957" s="10" t="n">
        <x:f>K1957-L1957-M1957</x:f>
        <x:v>10283.344692673014</x:v>
      </x:c>
      <x:c r="O1957" s="10" t="n">
        <x:f>H1957*'Assumptions'!$P$59*'Assumptions'!$Q$59*'Assumptions'!$D$11*(1+'Assumptions'!$D$13)^(16-1)</x:f>
        <x:v>4417.951603080408</x:v>
      </x:c>
      <x:c r="P1957" s="10" t="n">
        <x:f>H1957*'Assumptions'!$R$59*'Assumptions'!$D$11*(1+'Assumptions'!$D$13)^(16-1)</x:f>
        <x:v>245.44175572668934</x:v>
      </x:c>
      <x:c r="Q1957" s="10" t="n">
        <x:f>J1957*'Assumptions'!$S$59</x:f>
        <x:v>0</x:v>
      </x:c>
      <x:c r="R1957" s="10" t="n">
        <x:f>H1957*'Assumptions'!$Y$59*'Assumptions'!$Z$59*'Assumptions'!$D$11*(1+'Assumptions'!$D$13)^(16-1)</x:f>
        <x:v>184.08131679501702</x:v>
      </x:c>
      <x:c r="S1957" s="10" t="n">
        <x:f>IF(I1957=0,0,J1957*'Assumptions'!$W$59+H1957*'Assumptions'!$X$59)</x:f>
        <x:v>312.1663938511759</x:v>
      </x:c>
      <x:c r="T1957" s="10" t="n">
        <x:f>N1957*'Assumptions'!$AA$59</x:f>
        <x:v>411.3337877069206</x:v>
      </x:c>
      <x:c r="U1957" s="10" t="n">
        <x:f>'Assumptions'!$AE$59*'Assumptions'!$D$11*(1+'Assumptions'!$D$13)^(16-1)</x:f>
        <x:v>0</x:v>
      </x:c>
      <x:c r="V1957" s="10" t="n">
        <x:f>0</x:f>
        <x:v>0</x:v>
      </x:c>
      <x:c r="W1957" s="10" t="n">
        <x:f>H1957*('Assumptions'!$P$59+'Assumptions'!$Y$59)</x:f>
        <x:v>51.20041007354072</x:v>
      </x:c>
      <x:c r="X1957" s="10" t="n">
        <x:f>N1957/12*'Assumptions'!$AF$59</x:f>
        <x:v>856.9453910560845</x:v>
      </x:c>
      <x:c r="Y1957" s="10" t="n">
        <x:f>P1957/12</x:f>
        <x:v>20.453479643890777</x:v>
      </x:c>
      <x:c r="Z1957" s="10" t="n">
        <x:f>0</x:f>
        <x:v>0</x:v>
      </x:c>
      <x:c r="AA1957" s="10" t="n">
        <x:f>Z1957*'Assumptions'!$AC$59*'Assumptions'!$D$11*(1+'Assumptions'!$D$13)^(16-1)</x:f>
        <x:v>0</x:v>
      </x:c>
      <x:c r="AB1957" s="10" t="n">
        <x:f>F1957/1</x:f>
        <x:v>8.10662724051065</x:v>
      </x:c>
      <x:c r="AC1957" s="10" t="n">
        <x:f>AB1957/'Assumptions'!$AM$59</x:f>
        <x:v>40.533136202553244</x:v>
      </x:c>
      <x:c r="AD1957" s="10" t="n">
        <x:f>IF(AB1957=0,0,T1957/AB1957)</x:f>
        <x:v>50.740434400559664</x:v>
      </x:c>
      <x:c r="AE1957" s="10" t="n">
        <x:f>AA1957*'Assumptions'!$D$21</x:f>
        <x:v>0</x:v>
      </x:c>
    </x:row>
    <x:row r="1958" ht="16" customHeight="1">
      <x:c r="A1958" s="1"/>
      <x:c r="B1958" s="1"/>
      <x:c r="C1958" s="1" t="str">
        <x:v>DOT-031</x:v>
      </x:c>
      <x:c r="D1958" s="10" t="str">
        <x:v>BPA professional services</x:v>
      </x:c>
      <x:c r="E1958" s="10" t="n">
        <x:v>16</x:v>
      </x:c>
      <x:c r="F1958" s="21" t="n">
        <x:f>F1830*(1+'Assumptions'!$M$60)</x:f>
        <x:v>4.053313620255325</x:v>
      </x:c>
      <x:c r="G1958" s="21" t="n">
        <x:f>H1830*'Assumptions'!$K$60</x:f>
        <x:v>3.8237030624829123</x:v>
      </x:c>
      <x:c r="H1958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1958+G1958,NA())</x:f>
        <x:v>7.877016682738237</x:v>
      </x:c>
      <x:c r="I1958" s="22" t="n">
        <x:f>'Assumptions'!$H$60*IF('Assumptions'!$O$60=1,1,'Assumptions'!$D$10)*(1+'Assumptions'!$N$60)^(16-1)</x:f>
        <x:v>6729.34169162065</x:v>
      </x:c>
      <x:c r="J1958" s="10" t="n">
        <x:f>H1958*I1958</x:f>
        <x:v>53007.1367687418</x:v>
      </x:c>
      <x:c r="K1958" s="10" t="n">
        <x:f>J1958*'Assumptions'!$T$60</x:f>
        <x:v>53007.1367687418</x:v>
      </x:c>
      <x:c r="L1958" s="10" t="n">
        <x:f>K1958*'Assumptions'!$U$60</x:f>
        <x:v>1590.214103062254</x:v>
      </x:c>
      <x:c r="M1958" s="10" t="n">
        <x:f>K1958*'Assumptions'!$V$60</x:f>
        <x:v>0</x:v>
      </x:c>
      <x:c r="N1958" s="10" t="n">
        <x:f>K1958-L1958-M1958</x:f>
        <x:v>51416.92266567955</x:v>
      </x:c>
      <x:c r="O1958" s="10" t="n">
        <x:f>H1958*'Assumptions'!$P$60*'Assumptions'!$Q$60*'Assumptions'!$D$11*(1+'Assumptions'!$D$13)^(16-1)</x:f>
        <x:v>29453.124796144366</x:v>
      </x:c>
      <x:c r="P1958" s="10" t="n">
        <x:f>H1958*'Assumptions'!$R$60*'Assumptions'!$D$11*(1+'Assumptions'!$D$13)^(16-1)</x:f>
        <x:v>122.7213533172682</x:v>
      </x:c>
      <x:c r="Q1958" s="10" t="n">
        <x:f>J1958*'Assumptions'!$S$60</x:f>
        <x:v>0</x:v>
      </x:c>
      <x:c r="R1958" s="10" t="n">
        <x:f>H1958*'Assumptions'!$Y$60*'Assumptions'!$Z$60*'Assumptions'!$D$11*(1+'Assumptions'!$D$13)^(16-1)</x:f>
        <x:v>92.04101498795116</x:v>
      </x:c>
      <x:c r="S1958" s="10" t="n">
        <x:f>IF(I1958=0,0,J1958*'Assumptions'!$W$60+H1958*'Assumptions'!$X$60)</x:f>
        <x:v>1539.5700712983337</x:v>
      </x:c>
      <x:c r="T1958" s="10" t="n">
        <x:f>N1958*'Assumptions'!$AA$60</x:f>
        <x:v>2056.6769066271822</x:v>
      </x:c>
      <x:c r="U1958" s="10" t="n">
        <x:f>'Assumptions'!$AE$60*'Assumptions'!$D$11*(1+'Assumptions'!$D$13)^(16-1)</x:f>
        <x:v>0</x:v>
      </x:c>
      <x:c r="V1958" s="10" t="n">
        <x:f>0</x:f>
        <x:v>0</x:v>
      </x:c>
      <x:c r="W1958" s="10" t="n">
        <x:f>H1958*('Assumptions'!$P$60+'Assumptions'!$Y$60)</x:f>
        <x:v>317.04992148021404</x:v>
      </x:c>
      <x:c r="X1958" s="10" t="n">
        <x:f>N1958/12*'Assumptions'!$AF$60</x:f>
        <x:v>4284.743555473296</x:v>
      </x:c>
      <x:c r="Y1958" s="10" t="n">
        <x:f>P1958/12</x:f>
        <x:v>10.226779443105682</x:v>
      </x:c>
      <x:c r="Z1958" s="10" t="n">
        <x:f>0</x:f>
        <x:v>0</x:v>
      </x:c>
      <x:c r="AA1958" s="10" t="n">
        <x:f>Z1958*'Assumptions'!$AC$60*'Assumptions'!$D$11*(1+'Assumptions'!$D$13)^(16-1)</x:f>
        <x:v>0</x:v>
      </x:c>
      <x:c r="AB1958" s="10" t="n">
        <x:f>F1958/1</x:f>
        <x:v>4.053313620255325</x:v>
      </x:c>
      <x:c r="AC1958" s="10" t="n">
        <x:f>AB1958/'Assumptions'!$AM$60</x:f>
        <x:v>20.266568101276622</x:v>
      </x:c>
      <x:c r="AD1958" s="10" t="n">
        <x:f>IF(AB1958=0,0,T1958/AB1958)</x:f>
        <x:v>507.4063098274712</x:v>
      </x:c>
      <x:c r="AE1958" s="10" t="n">
        <x:f>AA1958*'Assumptions'!$D$21</x:f>
        <x:v>0</x:v>
      </x:c>
    </x:row>
    <x:row r="1959" ht="16" customHeight="1">
      <x:c r="A1959" s="1"/>
      <x:c r="B1959" s="1"/>
      <x:c r="C1959" s="1" t="str">
        <x:v>DOT-032</x:v>
      </x:c>
      <x:c r="D1959" s="10" t="str">
        <x:v>BPA professional services</x:v>
      </x:c>
      <x:c r="E1959" s="10" t="n">
        <x:v>16</x:v>
      </x:c>
      <x:c r="F1959" s="21" t="n">
        <x:f>F1831*(1+'Assumptions'!$M$61)</x:f>
        <x:v>2.0266568101276623</x:v>
      </x:c>
      <x:c r="G1959" s="21" t="n">
        <x:f>H1831*'Assumptions'!$K$61</x:f>
        <x:v>1.9118515312414561</x:v>
      </x:c>
      <x:c r="H1959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1959+G1959,NA())</x:f>
        <x:v>3.9385083413691184</x:v>
      </x:c>
      <x:c r="I1959" s="22" t="n">
        <x:f>'Assumptions'!$H$61*IF('Assumptions'!$O$61=1,1,'Assumptions'!$D$10)*(1+'Assumptions'!$N$61)^(16-1)</x:f>
        <x:v>10094.012537430974</x:v>
      </x:c>
      <x:c r="J1959" s="10" t="n">
        <x:f>H1959*I1959</x:f>
        <x:v>39755.35257655635</x:v>
      </x:c>
      <x:c r="K1959" s="10" t="n">
        <x:f>J1959*'Assumptions'!$T$61</x:f>
        <x:v>39755.35257655635</x:v>
      </x:c>
      <x:c r="L1959" s="10" t="n">
        <x:f>K1959*'Assumptions'!$U$61</x:f>
        <x:v>1192.6605772966905</x:v>
      </x:c>
      <x:c r="M1959" s="10" t="n">
        <x:f>K1959*'Assumptions'!$V$61</x:f>
        <x:v>0</x:v>
      </x:c>
      <x:c r="N1959" s="10" t="n">
        <x:f>K1959-L1959-M1959</x:f>
        <x:v>38562.69199925967</x:v>
      </x:c>
      <x:c r="O1959" s="10" t="n">
        <x:f>H1959*'Assumptions'!$P$61*'Assumptions'!$Q$61*'Assumptions'!$D$11*(1+'Assumptions'!$D$13)^(16-1)</x:f>
        <x:v>22089.843597108276</x:v>
      </x:c>
      <x:c r="P1959" s="10" t="n">
        <x:f>H1959*'Assumptions'!$R$61*'Assumptions'!$D$11*(1+'Assumptions'!$D$13)^(16-1)</x:f>
        <x:v>61.3606766586341</x:v>
      </x:c>
      <x:c r="Q1959" s="10" t="n">
        <x:f>J1959*'Assumptions'!$S$61</x:f>
        <x:v>0</x:v>
      </x:c>
      <x:c r="R1959" s="10" t="n">
        <x:f>H1959*'Assumptions'!$Y$61*'Assumptions'!$Z$61*'Assumptions'!$D$11*(1+'Assumptions'!$D$13)^(16-1)</x:f>
        <x:v>46.02050749397558</x:v>
      </x:c>
      <x:c r="S1959" s="10" t="n">
        <x:f>IF(I1959=0,0,J1959*'Assumptions'!$W$61+H1959*'Assumptions'!$X$61)</x:f>
        <x:v>1154.0867772225452</x:v>
      </x:c>
      <x:c r="T1959" s="10" t="n">
        <x:f>N1959*'Assumptions'!$AA$61</x:f>
        <x:v>1542.5076799703868</x:v>
      </x:c>
      <x:c r="U1959" s="10" t="n">
        <x:f>'Assumptions'!$AE$61*'Assumptions'!$D$11*(1+'Assumptions'!$D$13)^(16-1)</x:f>
        <x:v>0</x:v>
      </x:c>
      <x:c r="V1959" s="10" t="n">
        <x:f>0</x:f>
        <x:v>0</x:v>
      </x:c>
      <x:c r="W1959" s="10" t="n">
        <x:f>H1959*('Assumptions'!$P$61+'Assumptions'!$Y$61)</x:f>
        <x:v>237.29512756748937</x:v>
      </x:c>
      <x:c r="X1959" s="10" t="n">
        <x:f>N1959/12*'Assumptions'!$AF$61</x:f>
        <x:v>3213.5576666049724</x:v>
      </x:c>
      <x:c r="Y1959" s="10" t="n">
        <x:f>P1959/12</x:f>
        <x:v>5.113389721552841</x:v>
      </x:c>
      <x:c r="Z1959" s="10" t="n">
        <x:f>0</x:f>
        <x:v>0</x:v>
      </x:c>
      <x:c r="AA1959" s="10" t="n">
        <x:f>Z1959*'Assumptions'!$AC$61*'Assumptions'!$D$11*(1+'Assumptions'!$D$13)^(16-1)</x:f>
        <x:v>0</x:v>
      </x:c>
      <x:c r="AB1959" s="10" t="n">
        <x:f>F1959/1</x:f>
        <x:v>2.0266568101276623</x:v>
      </x:c>
      <x:c r="AC1959" s="10" t="n">
        <x:f>AB1959/'Assumptions'!$AM$61</x:f>
        <x:v>10.133284050638311</x:v>
      </x:c>
      <x:c r="AD1959" s="10" t="n">
        <x:f>IF(AB1959=0,0,T1959/AB1959)</x:f>
        <x:v>761.1094647412069</x:v>
      </x:c>
      <x:c r="AE1959" s="10" t="n">
        <x:f>AA1959*'Assumptions'!$D$21</x:f>
        <x:v>0</x:v>
      </x:c>
    </x:row>
    <x:row r="1960" ht="16" customHeight="1">
      <x:c r="A1960" s="1"/>
      <x:c r="B1960" s="1"/>
      <x:c r="C1960" s="1" t="str">
        <x:v>DOT-033</x:v>
      </x:c>
      <x:c r="D1960" s="10" t="str">
        <x:v>CornerFlow</x:v>
      </x:c>
      <x:c r="E1960" s="10" t="n">
        <x:v>16</x:v>
      </x:c>
      <x:c r="F1960" s="21" t="n">
        <x:f>F1832*(1+'Assumptions'!$M$62)</x:f>
        <x:v>103.33250475603161</x:v>
      </x:c>
      <x:c r="G1960" s="21" t="n">
        <x:f>H1832*'Assumptions'!$K$62</x:f>
        <x:v>218.00026892519384</x:v>
      </x:c>
      <x:c r="H1960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1960+G1960,NA())</x:f>
        <x:v>321.33277368122543</x:v>
      </x:c>
      <x:c r="I1960" s="22" t="n">
        <x:f>'Assumptions'!$H$62*IF('Assumptions'!$O$62=1,1,'Assumptions'!$D$10)*(1+'Assumptions'!$N$62)^(16-1)</x:f>
        <x:v>65.94754857788236</x:v>
      </x:c>
      <x:c r="J1960" s="10" t="n">
        <x:f>H1960*I1960</x:f>
        <x:v>21191.108702008292</x:v>
      </x:c>
      <x:c r="K1960" s="10" t="n">
        <x:f>J1960*'Assumptions'!$T$62</x:f>
        <x:v>21191.108702008292</x:v>
      </x:c>
      <x:c r="L1960" s="10" t="n">
        <x:f>K1960*'Assumptions'!$U$62</x:f>
        <x:v>635.7332610602488</x:v>
      </x:c>
      <x:c r="M1960" s="10" t="n">
        <x:f>K1960*'Assumptions'!$V$62</x:f>
        <x:v>0</x:v>
      </x:c>
      <x:c r="N1960" s="10" t="n">
        <x:f>K1960-L1960-M1960</x:f>
        <x:v>20555.375440948043</x:v>
      </x:c>
      <x:c r="O1960" s="10" t="n">
        <x:f>H1960*'Assumptions'!$P$62*'Assumptions'!$Q$62*'Assumptions'!$D$11*(1+'Assumptions'!$D$13)^(16-1)</x:f>
        <x:v>2628.28645422681</x:v>
      </x:c>
      <x:c r="P1960" s="10" t="n">
        <x:f>H1960*'Assumptions'!$R$62*'Assumptions'!$D$11*(1+'Assumptions'!$D$13)^(16-1)</x:f>
        <x:v>0</x:v>
      </x:c>
      <x:c r="Q1960" s="10" t="n">
        <x:f>J1960*'Assumptions'!$S$62</x:f>
        <x:v>0</x:v>
      </x:c>
      <x:c r="R1960" s="10" t="n">
        <x:f>H1960*'Assumptions'!$Y$62*'Assumptions'!$Z$62*'Assumptions'!$D$11*(1+'Assumptions'!$D$13)^(16-1)</x:f>
        <x:v>2252.8169607658374</x:v>
      </x:c>
      <x:c r="S1960" s="10" t="n">
        <x:f>IF(I1960=0,0,J1960*'Assumptions'!$W$62+H1960*'Assumptions'!$X$62)</x:f>
        <x:v>710.9419844626082</x:v>
      </x:c>
      <x:c r="T1960" s="10" t="n">
        <x:f>N1960*'Assumptions'!$AA$62</x:f>
        <x:v>1027.768772047402</x:v>
      </x:c>
      <x:c r="U1960" s="10" t="n">
        <x:f>'Assumptions'!$AE$62*'Assumptions'!$D$11*(1+'Assumptions'!$D$13)^(16-1)</x:f>
        <x:v>186.95608999209182</x:v>
      </x:c>
      <x:c r="V1960" s="10" t="n">
        <x:f>0</x:f>
        <x:v>0</x:v>
      </x:c>
      <x:c r="W1960" s="10" t="n">
        <x:f>H1960*('Assumptions'!$P$62+'Assumptions'!$Y$62)</x:f>
        <x:v>96.39983210436763</x:v>
      </x:c>
      <x:c r="X1960" s="10" t="n">
        <x:f>N1960/12*'Assumptions'!$AF$62</x:f>
        <x:v>0</x:v>
      </x:c>
      <x:c r="Y1960" s="10" t="n">
        <x:f>P1960/12</x:f>
        <x:v>0</x:v>
      </x:c>
      <x:c r="Z1960" s="10" t="n">
        <x:f>0</x:f>
        <x:v>0</x:v>
      </x:c>
      <x:c r="AA1960" s="10" t="n">
        <x:f>Z1960*'Assumptions'!$AC$62*'Assumptions'!$D$11*(1+'Assumptions'!$D$13)^(16-1)</x:f>
        <x:v>0</x:v>
      </x:c>
      <x:c r="AB1960" s="10" t="n">
        <x:f>F1960/12</x:f>
        <x:v>8.611042063002634</x:v>
      </x:c>
      <x:c r="AC1960" s="10" t="n">
        <x:f>AB1960/'Assumptions'!$AM$62</x:f>
        <x:v>172.22084126005265</x:v>
      </x:c>
      <x:c r="AD1960" s="10" t="n">
        <x:f>IF(AB1960=0,0,T1960/AB1960)</x:f>
        <x:v>119.35474992779486</x:v>
      </x:c>
      <x:c r="AE1960" s="10" t="n">
        <x:f>AA1960*'Assumptions'!$D$21</x:f>
        <x:v>0</x:v>
      </x:c>
    </x:row>
    <x:row r="1961" ht="16" customHeight="1">
      <x:c r="A1961" s="1"/>
      <x:c r="B1961" s="1"/>
      <x:c r="C1961" s="1" t="str">
        <x:v>DOT-034</x:v>
      </x:c>
      <x:c r="D1961" s="10" t="str">
        <x:v>CornerFlow</x:v>
      </x:c>
      <x:c r="E1961" s="10" t="n">
        <x:v>16</x:v>
      </x:c>
      <x:c r="F1961" s="21" t="n">
        <x:f>F1833*(1+'Assumptions'!$M$63)</x:f>
        <x:v>20.26656810127662</x:v>
      </x:c>
      <x:c r="G1961" s="21" t="n">
        <x:f>H1833*'Assumptions'!$K$63</x:f>
        <x:v>19.118362724523934</x:v>
      </x:c>
      <x:c r="H1961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1961+G1961,NA())</x:f>
        <x:v>39.38493082580055</x:v>
      </x:c>
      <x:c r="I1961" s="22" t="n">
        <x:f>'Assumptions'!$H$63*IF('Assumptions'!$O$63=1,1,'Assumptions'!$D$10)*(1+'Assumptions'!$N$63)^(16-1)</x:f>
        <x:v>267.82779932650186</x:v>
      </x:c>
      <x:c r="J1961" s="10" t="n">
        <x:f>H1961*I1961</x:f>
        <x:v>10548.379349700668</x:v>
      </x:c>
      <x:c r="K1961" s="10" t="n">
        <x:f>J1961*'Assumptions'!$T$63</x:f>
        <x:v>10548.379349700668</x:v>
      </x:c>
      <x:c r="L1961" s="10" t="n">
        <x:f>K1961*'Assumptions'!$U$63</x:f>
        <x:v>316.45138049102</x:v>
      </x:c>
      <x:c r="M1961" s="10" t="n">
        <x:f>K1961*'Assumptions'!$V$63</x:f>
        <x:v>0</x:v>
      </x:c>
      <x:c r="N1961" s="10" t="n">
        <x:f>K1961-L1961-M1961</x:f>
        <x:v>10231.927969209648</x:v>
      </x:c>
      <x:c r="O1961" s="10" t="n">
        <x:f>H1961*'Assumptions'!$P$63*'Assumptions'!$Q$63*'Assumptions'!$D$11*(1+'Assumptions'!$D$13)^(16-1)</x:f>
        <x:v>4908.835114533786</x:v>
      </x:c>
      <x:c r="P1961" s="10" t="n">
        <x:f>H1961*'Assumptions'!$R$63*'Assumptions'!$D$11*(1+'Assumptions'!$D$13)^(16-1)</x:f>
        <x:v>0</x:v>
      </x:c>
      <x:c r="Q1961" s="10" t="n">
        <x:f>J1961*'Assumptions'!$S$63</x:f>
        <x:v>0</x:v>
      </x:c>
      <x:c r="R1961" s="10" t="n">
        <x:f>H1961*'Assumptions'!$Y$63*'Assumptions'!$Z$63*'Assumptions'!$D$11*(1+'Assumptions'!$D$13)^(16-1)</x:f>
        <x:v>460.20329198754246</x:v>
      </x:c>
      <x:c r="S1961" s="10" t="n">
        <x:f>IF(I1961=0,0,J1961*'Assumptions'!$W$63+H1961*'Assumptions'!$X$63)</x:f>
        <x:v>317.71848038905955</x:v>
      </x:c>
      <x:c r="T1961" s="10" t="n">
        <x:f>N1961*'Assumptions'!$AA$63</x:f>
        <x:v>409.27711876838595</x:v>
      </x:c>
      <x:c r="U1961" s="10" t="n">
        <x:f>'Assumptions'!$AE$63*'Assumptions'!$D$11*(1+'Assumptions'!$D$13)^(16-1)</x:f>
        <x:v>0</x:v>
      </x:c>
      <x:c r="V1961" s="10" t="n">
        <x:f>0</x:f>
        <x:v>0</x:v>
      </x:c>
      <x:c r="W1961" s="10" t="n">
        <x:f>H1961*('Assumptions'!$P$63+'Assumptions'!$Y$63)</x:f>
        <x:v>88.61609435805124</x:v>
      </x:c>
      <x:c r="X1961" s="10" t="n">
        <x:f>N1961/12*'Assumptions'!$AF$63</x:f>
        <x:v>852.660664100804</x:v>
      </x:c>
      <x:c r="Y1961" s="10" t="n">
        <x:f>P1961/12</x:f>
        <x:v>0</x:v>
      </x:c>
      <x:c r="Z1961" s="10" t="n">
        <x:f>0</x:f>
        <x:v>0</x:v>
      </x:c>
      <x:c r="AA1961" s="10" t="n">
        <x:f>Z1961*'Assumptions'!$AC$63*'Assumptions'!$D$11*(1+'Assumptions'!$D$13)^(16-1)</x:f>
        <x:v>0</x:v>
      </x:c>
      <x:c r="AB1961" s="10" t="n">
        <x:f>F1961/1</x:f>
        <x:v>20.26656810127662</x:v>
      </x:c>
      <x:c r="AC1961" s="10" t="n">
        <x:f>AB1961/'Assumptions'!$AM$63</x:f>
        <x:v>101.33284050638309</x:v>
      </x:c>
      <x:c r="AD1961" s="10" t="n">
        <x:f>IF(AB1961=0,0,T1961/AB1961)</x:f>
        <x:v>20.194692891422747</x:v>
      </x:c>
      <x:c r="AE1961" s="10" t="n">
        <x:f>AA1961*'Assumptions'!$D$21</x:f>
        <x:v>0</x:v>
      </x:c>
    </x:row>
    <x:row r="1962" ht="16" customHeight="1">
      <x:c r="A1962" s="1"/>
      <x:c r="B1962" s="1"/>
      <x:c r="C1962" s="1" t="str">
        <x:v>DOT-035</x:v>
      </x:c>
      <x:c r="D1962" s="10" t="str">
        <x:v>Spindle</x:v>
      </x:c>
      <x:c r="E1962" s="10" t="n">
        <x:v>16</x:v>
      </x:c>
      <x:c r="F1962" s="21" t="n">
        <x:f>F1834*(1+'Assumptions'!$M$64)</x:f>
        <x:v>103.33250475603161</x:v>
      </x:c>
      <x:c r="G1962" s="21" t="n">
        <x:f>H1834*'Assumptions'!$K$64</x:f>
        <x:v>218.00026892519384</x:v>
      </x:c>
      <x:c r="H1962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1962+G1962,NA())</x:f>
        <x:v>321.33277368122543</x:v>
      </x:c>
      <x:c r="I1962" s="22" t="n">
        <x:f>'Assumptions'!$H$64*IF('Assumptions'!$O$64=1,1,'Assumptions'!$D$10)*(1+'Assumptions'!$N$64)^(16-1)</x:f>
        <x:v>65.94754857788236</x:v>
      </x:c>
      <x:c r="J1962" s="10" t="n">
        <x:f>H1962*I1962</x:f>
        <x:v>21191.108702008292</x:v>
      </x:c>
      <x:c r="K1962" s="10" t="n">
        <x:f>J1962*'Assumptions'!$T$64</x:f>
        <x:v>21191.108702008292</x:v>
      </x:c>
      <x:c r="L1962" s="10" t="n">
        <x:f>K1962*'Assumptions'!$U$64</x:f>
        <x:v>635.7332610602488</x:v>
      </x:c>
      <x:c r="M1962" s="10" t="n">
        <x:f>K1962*'Assumptions'!$V$64</x:f>
        <x:v>0</x:v>
      </x:c>
      <x:c r="N1962" s="10" t="n">
        <x:f>K1962-L1962-M1962</x:f>
        <x:v>20555.375440948043</x:v>
      </x:c>
      <x:c r="O1962" s="10" t="n">
        <x:f>H1962*'Assumptions'!$P$64*'Assumptions'!$Q$64*'Assumptions'!$D$11*(1+'Assumptions'!$D$13)^(16-1)</x:f>
        <x:v>2628.28645422681</x:v>
      </x:c>
      <x:c r="P1962" s="10" t="n">
        <x:f>H1962*'Assumptions'!$R$64*'Assumptions'!$D$11*(1+'Assumptions'!$D$13)^(16-1)</x:f>
        <x:v>0</x:v>
      </x:c>
      <x:c r="Q1962" s="10" t="n">
        <x:f>J1962*'Assumptions'!$S$64</x:f>
        <x:v>0</x:v>
      </x:c>
      <x:c r="R1962" s="10" t="n">
        <x:f>H1962*'Assumptions'!$Y$64*'Assumptions'!$Z$64*'Assumptions'!$D$11*(1+'Assumptions'!$D$13)^(16-1)</x:f>
        <x:v>2252.8169607658374</x:v>
      </x:c>
      <x:c r="S1962" s="10" t="n">
        <x:f>IF(I1962=0,0,J1962*'Assumptions'!$W$64+H1962*'Assumptions'!$X$64)</x:f>
        <x:v>710.9419844626082</x:v>
      </x:c>
      <x:c r="T1962" s="10" t="n">
        <x:f>N1962*'Assumptions'!$AA$64</x:f>
        <x:v>1027.768772047402</x:v>
      </x:c>
      <x:c r="U1962" s="10" t="n">
        <x:f>'Assumptions'!$AE$64*'Assumptions'!$D$11*(1+'Assumptions'!$D$13)^(16-1)</x:f>
        <x:v>186.95608999209182</x:v>
      </x:c>
      <x:c r="V1962" s="10" t="n">
        <x:f>0</x:f>
        <x:v>0</x:v>
      </x:c>
      <x:c r="W1962" s="10" t="n">
        <x:f>H1962*('Assumptions'!$P$64+'Assumptions'!$Y$64)</x:f>
        <x:v>96.39983210436763</x:v>
      </x:c>
      <x:c r="X1962" s="10" t="n">
        <x:f>N1962/12*'Assumptions'!$AF$64</x:f>
        <x:v>0</x:v>
      </x:c>
      <x:c r="Y1962" s="10" t="n">
        <x:f>P1962/12</x:f>
        <x:v>0</x:v>
      </x:c>
      <x:c r="Z1962" s="10" t="n">
        <x:f>0</x:f>
        <x:v>0</x:v>
      </x:c>
      <x:c r="AA1962" s="10" t="n">
        <x:f>Z1962*'Assumptions'!$AC$64*'Assumptions'!$D$11*(1+'Assumptions'!$D$13)^(16-1)</x:f>
        <x:v>0</x:v>
      </x:c>
      <x:c r="AB1962" s="10" t="n">
        <x:f>F1962/12</x:f>
        <x:v>8.611042063002634</x:v>
      </x:c>
      <x:c r="AC1962" s="10" t="n">
        <x:f>AB1962/'Assumptions'!$AM$64</x:f>
        <x:v>172.22084126005265</x:v>
      </x:c>
      <x:c r="AD1962" s="10" t="n">
        <x:f>IF(AB1962=0,0,T1962/AB1962)</x:f>
        <x:v>119.35474992779486</x:v>
      </x:c>
      <x:c r="AE1962" s="10" t="n">
        <x:f>AA1962*'Assumptions'!$D$21</x:f>
        <x:v>0</x:v>
      </x:c>
    </x:row>
    <x:row r="1963" ht="16" customHeight="1">
      <x:c r="A1963" s="1"/>
      <x:c r="B1963" s="1"/>
      <x:c r="C1963" s="1" t="str">
        <x:v>DOT-036</x:v>
      </x:c>
      <x:c r="D1963" s="10" t="str">
        <x:v>Spindle</x:v>
      </x:c>
      <x:c r="E1963" s="10" t="n">
        <x:v>16</x:v>
      </x:c>
      <x:c r="F1963" s="21" t="n">
        <x:f>F1835*(1+'Assumptions'!$M$65)</x:f>
        <x:v>20.26656810127662</x:v>
      </x:c>
      <x:c r="G1963" s="21" t="n">
        <x:f>H1835*'Assumptions'!$K$65</x:f>
        <x:v>19.118362724523934</x:v>
      </x:c>
      <x:c r="H1963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1963+G1963,NA())</x:f>
        <x:v>39.38493082580055</x:v>
      </x:c>
      <x:c r="I1963" s="22" t="n">
        <x:f>'Assumptions'!$H$65*IF('Assumptions'!$O$65=1,1,'Assumptions'!$D$10)*(1+'Assumptions'!$N$65)^(16-1)</x:f>
        <x:v>267.82779932650186</x:v>
      </x:c>
      <x:c r="J1963" s="10" t="n">
        <x:f>H1963*I1963</x:f>
        <x:v>10548.379349700668</x:v>
      </x:c>
      <x:c r="K1963" s="10" t="n">
        <x:f>J1963*'Assumptions'!$T$65</x:f>
        <x:v>10548.379349700668</x:v>
      </x:c>
      <x:c r="L1963" s="10" t="n">
        <x:f>K1963*'Assumptions'!$U$65</x:f>
        <x:v>316.45138049102</x:v>
      </x:c>
      <x:c r="M1963" s="10" t="n">
        <x:f>K1963*'Assumptions'!$V$65</x:f>
        <x:v>0</x:v>
      </x:c>
      <x:c r="N1963" s="10" t="n">
        <x:f>K1963-L1963-M1963</x:f>
        <x:v>10231.927969209648</x:v>
      </x:c>
      <x:c r="O1963" s="10" t="n">
        <x:f>H1963*'Assumptions'!$P$65*'Assumptions'!$Q$65*'Assumptions'!$D$11*(1+'Assumptions'!$D$13)^(16-1)</x:f>
        <x:v>4908.835114533786</x:v>
      </x:c>
      <x:c r="P1963" s="10" t="n">
        <x:f>H1963*'Assumptions'!$R$65*'Assumptions'!$D$11*(1+'Assumptions'!$D$13)^(16-1)</x:f>
        <x:v>0</x:v>
      </x:c>
      <x:c r="Q1963" s="10" t="n">
        <x:f>J1963*'Assumptions'!$S$65</x:f>
        <x:v>0</x:v>
      </x:c>
      <x:c r="R1963" s="10" t="n">
        <x:f>H1963*'Assumptions'!$Y$65*'Assumptions'!$Z$65*'Assumptions'!$D$11*(1+'Assumptions'!$D$13)^(16-1)</x:f>
        <x:v>460.20329198754246</x:v>
      </x:c>
      <x:c r="S1963" s="10" t="n">
        <x:f>IF(I1963=0,0,J1963*'Assumptions'!$W$65+H1963*'Assumptions'!$X$65)</x:f>
        <x:v>317.71848038905955</x:v>
      </x:c>
      <x:c r="T1963" s="10" t="n">
        <x:f>N1963*'Assumptions'!$AA$65</x:f>
        <x:v>409.27711876838595</x:v>
      </x:c>
      <x:c r="U1963" s="10" t="n">
        <x:f>'Assumptions'!$AE$65*'Assumptions'!$D$11*(1+'Assumptions'!$D$13)^(16-1)</x:f>
        <x:v>0</x:v>
      </x:c>
      <x:c r="V1963" s="10" t="n">
        <x:f>0</x:f>
        <x:v>0</x:v>
      </x:c>
      <x:c r="W1963" s="10" t="n">
        <x:f>H1963*('Assumptions'!$P$65+'Assumptions'!$Y$65)</x:f>
        <x:v>88.61609435805124</x:v>
      </x:c>
      <x:c r="X1963" s="10" t="n">
        <x:f>N1963/12*'Assumptions'!$AF$65</x:f>
        <x:v>852.660664100804</x:v>
      </x:c>
      <x:c r="Y1963" s="10" t="n">
        <x:f>P1963/12</x:f>
        <x:v>0</x:v>
      </x:c>
      <x:c r="Z1963" s="10" t="n">
        <x:f>0</x:f>
        <x:v>0</x:v>
      </x:c>
      <x:c r="AA1963" s="10" t="n">
        <x:f>Z1963*'Assumptions'!$AC$65*'Assumptions'!$D$11*(1+'Assumptions'!$D$13)^(16-1)</x:f>
        <x:v>0</x:v>
      </x:c>
      <x:c r="AB1963" s="10" t="n">
        <x:f>F1963/1</x:f>
        <x:v>20.26656810127662</x:v>
      </x:c>
      <x:c r="AC1963" s="10" t="n">
        <x:f>AB1963/'Assumptions'!$AM$65</x:f>
        <x:v>101.33284050638309</x:v>
      </x:c>
      <x:c r="AD1963" s="10" t="n">
        <x:f>IF(AB1963=0,0,T1963/AB1963)</x:f>
        <x:v>20.194692891422747</x:v>
      </x:c>
      <x:c r="AE1963" s="10" t="n">
        <x:f>AA1963*'Assumptions'!$D$21</x:f>
        <x:v>0</x:v>
      </x:c>
    </x:row>
    <x:row r="1964" ht="16" customHeight="1">
      <x:c r="A1964" s="1"/>
      <x:c r="B1964" s="1"/>
      <x:c r="C1964" s="1" t="str">
        <x:v>DOT-037</x:v>
      </x:c>
      <x:c r="D1964" s="10" t="str">
        <x:v>Maison Contour</x:v>
      </x:c>
      <x:c r="E1964" s="10" t="n">
        <x:v>16</x:v>
      </x:c>
      <x:c r="F1964" s="21" t="n">
        <x:f>F1836*(1+'Assumptions'!$M$66)</x:f>
        <x:v>103.33250475603161</x:v>
      </x:c>
      <x:c r="G1964" s="21" t="n">
        <x:f>H1836*'Assumptions'!$K$66</x:f>
        <x:v>218.00026892519384</x:v>
      </x:c>
      <x:c r="H1964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1964+G1964,NA())</x:f>
        <x:v>321.33277368122543</x:v>
      </x:c>
      <x:c r="I1964" s="22" t="n">
        <x:f>'Assumptions'!$H$66*IF('Assumptions'!$O$66=1,1,'Assumptions'!$D$10)*(1+'Assumptions'!$N$66)^(16-1)</x:f>
        <x:v>106.32359872760627</x:v>
      </x:c>
      <x:c r="J1964" s="10" t="n">
        <x:f>H1964*I1964</x:f>
        <x:v>34165.25688691133</x:v>
      </x:c>
      <x:c r="K1964" s="10" t="n">
        <x:f>J1964*'Assumptions'!$T$66</x:f>
        <x:v>34165.25688691133</x:v>
      </x:c>
      <x:c r="L1964" s="10" t="n">
        <x:f>K1964*'Assumptions'!$U$66</x:f>
        <x:v>1024.9577066073398</x:v>
      </x:c>
      <x:c r="M1964" s="10" t="n">
        <x:f>K1964*'Assumptions'!$V$66</x:f>
        <x:v>0</x:v>
      </x:c>
      <x:c r="N1964" s="10" t="n">
        <x:f>K1964-L1964-M1964</x:f>
        <x:v>33140.29918030399</x:v>
      </x:c>
      <x:c r="O1964" s="10" t="n">
        <x:f>H1964*'Assumptions'!$P$66*'Assumptions'!$Q$66*'Assumptions'!$D$11*(1+'Assumptions'!$D$13)^(16-1)</x:f>
        <x:v>2628.28645422681</x:v>
      </x:c>
      <x:c r="P1964" s="10" t="n">
        <x:f>H1964*'Assumptions'!$R$66*'Assumptions'!$D$11*(1+'Assumptions'!$D$13)^(16-1)</x:f>
        <x:v>0</x:v>
      </x:c>
      <x:c r="Q1964" s="10" t="n">
        <x:f>J1964*'Assumptions'!$S$66</x:f>
        <x:v>0</x:v>
      </x:c>
      <x:c r="R1964" s="10" t="n">
        <x:f>H1964*'Assumptions'!$Y$66*'Assumptions'!$Z$66*'Assumptions'!$D$11*(1+'Assumptions'!$D$13)^(16-1)</x:f>
        <x:v>2252.8169607658374</x:v>
      </x:c>
      <x:c r="S1964" s="10" t="n">
        <x:f>IF(I1964=0,0,J1964*'Assumptions'!$W$66+H1964*'Assumptions'!$X$66)</x:f>
        <x:v>1087.1922818247963</x:v>
      </x:c>
      <x:c r="T1964" s="10" t="n">
        <x:f>N1964*'Assumptions'!$AA$66</x:f>
        <x:v>1657.0149590151996</x:v>
      </x:c>
      <x:c r="U1964" s="10" t="n">
        <x:f>'Assumptions'!$AE$66*'Assumptions'!$D$11*(1+'Assumptions'!$D$13)^(16-1)</x:f>
        <x:v>186.95608999209182</x:v>
      </x:c>
      <x:c r="V1964" s="10" t="n">
        <x:f>0</x:f>
        <x:v>0</x:v>
      </x:c>
      <x:c r="W1964" s="10" t="n">
        <x:f>H1964*('Assumptions'!$P$66+'Assumptions'!$Y$66)</x:f>
        <x:v>96.39983210436763</x:v>
      </x:c>
      <x:c r="X1964" s="10" t="n">
        <x:f>N1964/12*'Assumptions'!$AF$66</x:f>
        <x:v>0</x:v>
      </x:c>
      <x:c r="Y1964" s="10" t="n">
        <x:f>P1964/12</x:f>
        <x:v>0</x:v>
      </x:c>
      <x:c r="Z1964" s="10" t="n">
        <x:f>0</x:f>
        <x:v>0</x:v>
      </x:c>
      <x:c r="AA1964" s="10" t="n">
        <x:f>Z1964*'Assumptions'!$AC$66*'Assumptions'!$D$11*(1+'Assumptions'!$D$13)^(16-1)</x:f>
        <x:v>0</x:v>
      </x:c>
      <x:c r="AB1964" s="10" t="n">
        <x:f>F1964/12</x:f>
        <x:v>8.611042063002634</x:v>
      </x:c>
      <x:c r="AC1964" s="10" t="n">
        <x:f>AB1964/'Assumptions'!$AM$66</x:f>
        <x:v>172.22084126005265</x:v>
      </x:c>
      <x:c r="AD1964" s="10" t="n">
        <x:f>IF(AB1964=0,0,T1964/AB1964)</x:f>
        <x:v>192.42908661828153</x:v>
      </x:c>
      <x:c r="AE1964" s="10" t="n">
        <x:f>AA1964*'Assumptions'!$D$21</x:f>
        <x:v>0</x:v>
      </x:c>
    </x:row>
    <x:row r="1965" ht="16" customHeight="1">
      <x:c r="A1965" s="1"/>
      <x:c r="B1965" s="1"/>
      <x:c r="C1965" s="1" t="str">
        <x:v>DOT-038</x:v>
      </x:c>
      <x:c r="D1965" s="10" t="str">
        <x:v>Maison Contour</x:v>
      </x:c>
      <x:c r="E1965" s="10" t="n">
        <x:v>16</x:v>
      </x:c>
      <x:c r="F1965" s="21" t="n">
        <x:f>F1837*(1+'Assumptions'!$M$67)</x:f>
        <x:v>20.26656810127662</x:v>
      </x:c>
      <x:c r="G1965" s="21" t="n">
        <x:f>H1837*'Assumptions'!$K$67</x:f>
        <x:v>19.118362724523934</x:v>
      </x:c>
      <x:c r="H1965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1965+G1965,NA())</x:f>
        <x:v>39.38493082580055</x:v>
      </x:c>
      <x:c r="I1965" s="22" t="n">
        <x:f>'Assumptions'!$H$67*IF('Assumptions'!$O$67=1,1,'Assumptions'!$D$10)*(1+'Assumptions'!$N$67)^(16-1)</x:f>
        <x:v>267.82779932650186</x:v>
      </x:c>
      <x:c r="J1965" s="10" t="n">
        <x:f>H1965*I1965</x:f>
        <x:v>10548.379349700668</x:v>
      </x:c>
      <x:c r="K1965" s="10" t="n">
        <x:f>J1965*'Assumptions'!$T$67</x:f>
        <x:v>10548.379349700668</x:v>
      </x:c>
      <x:c r="L1965" s="10" t="n">
        <x:f>K1965*'Assumptions'!$U$67</x:f>
        <x:v>316.45138049102</x:v>
      </x:c>
      <x:c r="M1965" s="10" t="n">
        <x:f>K1965*'Assumptions'!$V$67</x:f>
        <x:v>0</x:v>
      </x:c>
      <x:c r="N1965" s="10" t="n">
        <x:f>K1965-L1965-M1965</x:f>
        <x:v>10231.927969209648</x:v>
      </x:c>
      <x:c r="O1965" s="10" t="n">
        <x:f>H1965*'Assumptions'!$P$67*'Assumptions'!$Q$67*'Assumptions'!$D$11*(1+'Assumptions'!$D$13)^(16-1)</x:f>
        <x:v>4908.835114533786</x:v>
      </x:c>
      <x:c r="P1965" s="10" t="n">
        <x:f>H1965*'Assumptions'!$R$67*'Assumptions'!$D$11*(1+'Assumptions'!$D$13)^(16-1)</x:f>
        <x:v>0</x:v>
      </x:c>
      <x:c r="Q1965" s="10" t="n">
        <x:f>J1965*'Assumptions'!$S$67</x:f>
        <x:v>0</x:v>
      </x:c>
      <x:c r="R1965" s="10" t="n">
        <x:f>H1965*'Assumptions'!$Y$67*'Assumptions'!$Z$67*'Assumptions'!$D$11*(1+'Assumptions'!$D$13)^(16-1)</x:f>
        <x:v>460.20329198754246</x:v>
      </x:c>
      <x:c r="S1965" s="10" t="n">
        <x:f>IF(I1965=0,0,J1965*'Assumptions'!$W$67+H1965*'Assumptions'!$X$67)</x:f>
        <x:v>317.71848038905955</x:v>
      </x:c>
      <x:c r="T1965" s="10" t="n">
        <x:f>N1965*'Assumptions'!$AA$67</x:f>
        <x:v>409.27711876838595</x:v>
      </x:c>
      <x:c r="U1965" s="10" t="n">
        <x:f>'Assumptions'!$AE$67*'Assumptions'!$D$11*(1+'Assumptions'!$D$13)^(16-1)</x:f>
        <x:v>0</x:v>
      </x:c>
      <x:c r="V1965" s="10" t="n">
        <x:f>0</x:f>
        <x:v>0</x:v>
      </x:c>
      <x:c r="W1965" s="10" t="n">
        <x:f>H1965*('Assumptions'!$P$67+'Assumptions'!$Y$67)</x:f>
        <x:v>88.61609435805124</x:v>
      </x:c>
      <x:c r="X1965" s="10" t="n">
        <x:f>N1965/12*'Assumptions'!$AF$67</x:f>
        <x:v>852.660664100804</x:v>
      </x:c>
      <x:c r="Y1965" s="10" t="n">
        <x:f>P1965/12</x:f>
        <x:v>0</x:v>
      </x:c>
      <x:c r="Z1965" s="10" t="n">
        <x:f>0</x:f>
        <x:v>0</x:v>
      </x:c>
      <x:c r="AA1965" s="10" t="n">
        <x:f>Z1965*'Assumptions'!$AC$67*'Assumptions'!$D$11*(1+'Assumptions'!$D$13)^(16-1)</x:f>
        <x:v>0</x:v>
      </x:c>
      <x:c r="AB1965" s="10" t="n">
        <x:f>F1965/1</x:f>
        <x:v>20.26656810127662</x:v>
      </x:c>
      <x:c r="AC1965" s="10" t="n">
        <x:f>AB1965/'Assumptions'!$AM$67</x:f>
        <x:v>101.33284050638309</x:v>
      </x:c>
      <x:c r="AD1965" s="10" t="n">
        <x:f>IF(AB1965=0,0,T1965/AB1965)</x:f>
        <x:v>20.194692891422747</x:v>
      </x:c>
      <x:c r="AE1965" s="10" t="n">
        <x:f>AA1965*'Assumptions'!$D$21</x:f>
        <x:v>0</x:v>
      </x:c>
    </x:row>
    <x:row r="1966" ht="16" customHeight="1">
      <x:c r="A1966" s="1"/>
      <x:c r="B1966" s="1"/>
      <x:c r="C1966" s="1" t="str">
        <x:v>DOT-039</x:v>
      </x:c>
      <x:c r="D1966" s="10" t="str">
        <x:v>DishLoom US</x:v>
      </x:c>
      <x:c r="E1966" s="10" t="n">
        <x:v>16</x:v>
      </x:c>
      <x:c r="F1966" s="21" t="n">
        <x:f>F1838*(1+'Assumptions'!$M$68)</x:f>
        <x:v>103.33250475603161</x:v>
      </x:c>
      <x:c r="G1966" s="21" t="n">
        <x:f>H1838*'Assumptions'!$K$68</x:f>
        <x:v>218.00026892519384</x:v>
      </x:c>
      <x:c r="H1966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1966+G1966,NA())</x:f>
        <x:v>321.33277368122543</x:v>
      </x:c>
      <x:c r="I1966" s="22" t="n">
        <x:f>'Assumptions'!$H$68*IF('Assumptions'!$O$68=1,1,'Assumptions'!$D$10)*(1+'Assumptions'!$N$68)^(16-1)</x:f>
        <x:v>52.488865194641065</x:v>
      </x:c>
      <x:c r="J1966" s="10" t="n">
        <x:f>H1966*I1966</x:f>
        <x:v>16866.39264037395</x:v>
      </x:c>
      <x:c r="K1966" s="10" t="n">
        <x:f>J1966*'Assumptions'!$T$68</x:f>
        <x:v>16866.39264037395</x:v>
      </x:c>
      <x:c r="L1966" s="10" t="n">
        <x:f>K1966*'Assumptions'!$U$68</x:f>
        <x:v>505.9917792112185</x:v>
      </x:c>
      <x:c r="M1966" s="10" t="n">
        <x:f>K1966*'Assumptions'!$V$68</x:f>
        <x:v>0</x:v>
      </x:c>
      <x:c r="N1966" s="10" t="n">
        <x:f>K1966-L1966-M1966</x:f>
        <x:v>16360.40086116273</x:v>
      </x:c>
      <x:c r="O1966" s="10" t="n">
        <x:f>H1966*'Assumptions'!$P$68*'Assumptions'!$Q$68*'Assumptions'!$D$11*(1+'Assumptions'!$D$13)^(16-1)</x:f>
        <x:v>2628.28645422681</x:v>
      </x:c>
      <x:c r="P1966" s="10" t="n">
        <x:f>H1966*'Assumptions'!$R$68*'Assumptions'!$D$11*(1+'Assumptions'!$D$13)^(16-1)</x:f>
        <x:v>0</x:v>
      </x:c>
      <x:c r="Q1966" s="10" t="n">
        <x:f>J1966*'Assumptions'!$S$68</x:f>
        <x:v>0</x:v>
      </x:c>
      <x:c r="R1966" s="10" t="n">
        <x:f>H1966*'Assumptions'!$Y$68*'Assumptions'!$Z$68*'Assumptions'!$D$11*(1+'Assumptions'!$D$13)^(16-1)</x:f>
        <x:v>2252.8169607658374</x:v>
      </x:c>
      <x:c r="S1966" s="10" t="n">
        <x:f>IF(I1966=0,0,J1966*'Assumptions'!$W$68+H1966*'Assumptions'!$X$68)</x:f>
        <x:v>585.5252186752122</x:v>
      </x:c>
      <x:c r="T1966" s="10" t="n">
        <x:f>N1966*'Assumptions'!$AA$68</x:f>
        <x:v>818.0200430581366</x:v>
      </x:c>
      <x:c r="U1966" s="10" t="n">
        <x:f>'Assumptions'!$AE$68*'Assumptions'!$D$11*(1+'Assumptions'!$D$13)^(16-1)</x:f>
        <x:v>186.95608999209182</x:v>
      </x:c>
      <x:c r="V1966" s="10" t="n">
        <x:f>0</x:f>
        <x:v>0</x:v>
      </x:c>
      <x:c r="W1966" s="10" t="n">
        <x:f>H1966*('Assumptions'!$P$68+'Assumptions'!$Y$68)</x:f>
        <x:v>96.39983210436763</x:v>
      </x:c>
      <x:c r="X1966" s="10" t="n">
        <x:f>N1966/12*'Assumptions'!$AF$68</x:f>
        <x:v>0</x:v>
      </x:c>
      <x:c r="Y1966" s="10" t="n">
        <x:f>P1966/12</x:f>
        <x:v>0</x:v>
      </x:c>
      <x:c r="Z1966" s="10" t="n">
        <x:f>0</x:f>
        <x:v>0</x:v>
      </x:c>
      <x:c r="AA1966" s="10" t="n">
        <x:f>Z1966*'Assumptions'!$AC$68*'Assumptions'!$D$11*(1+'Assumptions'!$D$13)^(16-1)</x:f>
        <x:v>0</x:v>
      </x:c>
      <x:c r="AB1966" s="10" t="n">
        <x:f>F1966/12</x:f>
        <x:v>8.611042063002634</x:v>
      </x:c>
      <x:c r="AC1966" s="10" t="n">
        <x:f>AB1966/'Assumptions'!$AM$68</x:f>
        <x:v>172.22084126005265</x:v>
      </x:c>
      <x:c r="AD1966" s="10" t="n">
        <x:f>IF(AB1966=0,0,T1966/AB1966)</x:f>
        <x:v>94.99663769763266</x:v>
      </x:c>
      <x:c r="AE1966" s="10" t="n">
        <x:f>AA1966*'Assumptions'!$D$21</x:f>
        <x:v>0</x:v>
      </x:c>
    </x:row>
    <x:row r="1967" ht="16" customHeight="1">
      <x:c r="A1967" s="1"/>
      <x:c r="B1967" s="1"/>
      <x:c r="C1967" s="1" t="str">
        <x:v>DOT-040</x:v>
      </x:c>
      <x:c r="D1967" s="10" t="str">
        <x:v>DishLoom US</x:v>
      </x:c>
      <x:c r="E1967" s="10" t="n">
        <x:v>16</x:v>
      </x:c>
      <x:c r="F1967" s="21" t="n">
        <x:f>F1839*(1+'Assumptions'!$M$69)</x:f>
        <x:v>206.66500951206322</x:v>
      </x:c>
      <x:c r="G1967" s="21" t="n">
        <x:f>H1839*'Assumptions'!$K$69</x:f>
        <x:v>436.0005378503877</x:v>
      </x:c>
      <x:c r="H1967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1967+G1967,NA())</x:f>
        <x:v>642.6655473624509</x:v>
      </x:c>
      <x:c r="I1967" s="22" t="n">
        <x:f>'Assumptions'!$H$69*IF('Assumptions'!$O$69=1,1,'Assumptions'!$D$10)*(1+'Assumptions'!$N$69)^(16-1)</x:f>
        <x:v>12.11281504491717</x:v>
      </x:c>
      <x:c r="J1967" s="10" t="n">
        <x:f>H1967*I1967</x:f>
        <x:v>7784.488910941823</x:v>
      </x:c>
      <x:c r="K1967" s="10" t="n">
        <x:f>J1967*'Assumptions'!$T$69</x:f>
        <x:v>7784.488910941823</x:v>
      </x:c>
      <x:c r="L1967" s="10" t="n">
        <x:f>K1967*'Assumptions'!$U$69</x:f>
        <x:v>233.53466732825467</x:v>
      </x:c>
      <x:c r="M1967" s="10" t="n">
        <x:f>K1967*'Assumptions'!$V$69</x:f>
        <x:v>0</x:v>
      </x:c>
      <x:c r="N1967" s="10" t="n">
        <x:f>K1967-L1967-M1967</x:f>
        <x:v>7550.954243613568</x:v>
      </x:c>
      <x:c r="O1967" s="10" t="n">
        <x:f>H1967*'Assumptions'!$P$69*'Assumptions'!$Q$69*'Assumptions'!$D$11*(1+'Assumptions'!$D$13)^(16-1)</x:f>
        <x:v>1752.1909694845397</x:v>
      </x:c>
      <x:c r="P1967" s="10" t="n">
        <x:f>H1967*'Assumptions'!$R$69*'Assumptions'!$D$11*(1+'Assumptions'!$D$13)^(16-1)</x:f>
        <x:v>0</x:v>
      </x:c>
      <x:c r="Q1967" s="10" t="n">
        <x:f>J1967*'Assumptions'!$S$69</x:f>
        <x:v>0</x:v>
      </x:c>
      <x:c r="R1967" s="10" t="n">
        <x:f>H1967*'Assumptions'!$Y$69*'Assumptions'!$Z$69*'Assumptions'!$D$11*(1+'Assumptions'!$D$13)^(16-1)</x:f>
        <x:v>4505.633921531675</x:v>
      </x:c>
      <x:c r="S1967" s="10" t="n">
        <x:f>IF(I1967=0,0,J1967*'Assumptions'!$W$69+H1967*'Assumptions'!$X$69)</x:f>
        <x:v>418.54984262604813</x:v>
      </x:c>
      <x:c r="T1967" s="10" t="n">
        <x:f>N1967*'Assumptions'!$AA$69</x:f>
        <x:v>377.54771218067845</x:v>
      </x:c>
      <x:c r="U1967" s="10" t="n">
        <x:f>'Assumptions'!$AE$69*'Assumptions'!$D$11*(1+'Assumptions'!$D$13)^(16-1)</x:f>
        <x:v>0</x:v>
      </x:c>
      <x:c r="V1967" s="10" t="n">
        <x:f>0</x:f>
        <x:v>0</x:v>
      </x:c>
      <x:c r="W1967" s="10" t="n">
        <x:f>H1967*('Assumptions'!$P$69+'Assumptions'!$Y$69)</x:f>
        <x:v>128.53310947249017</x:v>
      </x:c>
      <x:c r="X1967" s="10" t="n">
        <x:f>N1967/12*'Assumptions'!$AF$69</x:f>
        <x:v>0</x:v>
      </x:c>
      <x:c r="Y1967" s="10" t="n">
        <x:f>P1967/12</x:f>
        <x:v>0</x:v>
      </x:c>
      <x:c r="Z1967" s="10" t="n">
        <x:f>0</x:f>
        <x:v>0</x:v>
      </x:c>
      <x:c r="AA1967" s="10" t="n">
        <x:f>Z1967*'Assumptions'!$AC$69*'Assumptions'!$D$11*(1+'Assumptions'!$D$13)^(16-1)</x:f>
        <x:v>0</x:v>
      </x:c>
      <x:c r="AB1967" s="10" t="n">
        <x:f>F1967/1</x:f>
        <x:v>206.66500951206322</x:v>
      </x:c>
      <x:c r="AC1967" s="10" t="n">
        <x:f>AB1967/'Assumptions'!$AM$69</x:f>
        <x:v>4133.300190241264</x:v>
      </x:c>
      <x:c r="AD1967" s="10" t="n">
        <x:f>IF(AB1967=0,0,T1967/AB1967)</x:f>
        <x:v>1.8268584172621667</x:v>
      </x:c>
      <x:c r="AE1967" s="10" t="n">
        <x:f>AA1967*'Assumptions'!$D$21</x:f>
        <x:v>0</x:v>
      </x:c>
    </x:row>
    <x:row r="1968" ht="16" customHeight="1">
      <x:c r="A1968" s="1"/>
      <x:c r="B1968" s="1"/>
      <x:c r="C1968" s="1" t="str">
        <x:v>DOT-041</x:v>
      </x:c>
      <x:c r="D1968" s="10" t="str">
        <x:v>DishLoom US</x:v>
      </x:c>
      <x:c r="E1968" s="10" t="n">
        <x:v>16</x:v>
      </x:c>
      <x:c r="F1968" s="21" t="n">
        <x:f>F1840*(1+'Assumptions'!$M$70)</x:f>
        <x:v>258.3312618900791</x:v>
      </x:c>
      <x:c r="G1968" s="21" t="n">
        <x:f>H1840*'Assumptions'!$K$70</x:f>
        <x:v>545.0006723129846</x:v>
      </x:c>
      <x:c r="H1968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1968+G1968,NA())</x:f>
        <x:v>803.3319342030637</x:v>
      </x:c>
      <x:c r="I1968" s="22" t="n">
        <x:f>'Assumptions'!$H$70*IF('Assumptions'!$O$70=1,1,'Assumptions'!$D$10)*(1+'Assumptions'!$N$70)^(16-1)</x:f>
        <x:v>134.586833832413</x:v>
      </x:c>
      <x:c r="J1968" s="10" t="n">
        <x:f>H1968*I1968</x:f>
        <x:v>108117.90154085867</x:v>
      </x:c>
      <x:c r="K1968" s="10" t="n">
        <x:f>J1968*'Assumptions'!$T$70</x:f>
        <x:v>16217.6852311288</x:v>
      </x:c>
      <x:c r="L1968" s="10" t="n">
        <x:f>K1968*'Assumptions'!$U$70</x:f>
        <x:v>486.530556933864</x:v>
      </x:c>
      <x:c r="M1968" s="10" t="n">
        <x:f>K1968*'Assumptions'!$V$70</x:f>
        <x:v>0</x:v>
      </x:c>
      <x:c r="N1968" s="10" t="n">
        <x:f>K1968-L1968-M1968</x:f>
        <x:v>15731.154674194937</x:v>
      </x:c>
      <x:c r="O1968" s="10" t="n">
        <x:f>H1968*'Assumptions'!$P$70*'Assumptions'!$Q$70*'Assumptions'!$D$11*(1+'Assumptions'!$D$13)^(16-1)</x:f>
        <x:v>4380.477423711351</x:v>
      </x:c>
      <x:c r="P1968" s="10" t="n">
        <x:f>H1968*'Assumptions'!$R$70*'Assumptions'!$D$11*(1+'Assumptions'!$D$13)^(16-1)</x:f>
        <x:v>0</x:v>
      </x:c>
      <x:c r="Q1968" s="10" t="n">
        <x:f>J1968*'Assumptions'!$S$70</x:f>
        <x:v>0</x:v>
      </x:c>
      <x:c r="R1968" s="10" t="n">
        <x:f>H1968*'Assumptions'!$Y$70*'Assumptions'!$Z$70*'Assumptions'!$D$11*(1+'Assumptions'!$D$13)^(16-1)</x:f>
        <x:v>5632.042401914593</x:v>
      </x:c>
      <x:c r="S1968" s="10" t="n">
        <x:f>IF(I1968=0,0,J1968*'Assumptions'!$W$70+H1968*'Assumptions'!$X$70)</x:f>
        <x:v>3376.418724945821</x:v>
      </x:c>
      <x:c r="T1968" s="10" t="n">
        <x:f>N1968*'Assumptions'!$AA$70</x:f>
        <x:v>786.5577337097469</x:v>
      </x:c>
      <x:c r="U1968" s="10" t="n">
        <x:f>'Assumptions'!$AE$70*'Assumptions'!$D$11*(1+'Assumptions'!$D$13)^(16-1)</x:f>
        <x:v>0</x:v>
      </x:c>
      <x:c r="V1968" s="10" t="n">
        <x:f>0</x:f>
        <x:v>0</x:v>
      </x:c>
      <x:c r="W1968" s="10" t="n">
        <x:f>H1968*('Assumptions'!$P$70+'Assumptions'!$Y$70)</x:f>
        <x:v>200.83298355076593</x:v>
      </x:c>
      <x:c r="X1968" s="10" t="n">
        <x:f>N1968/12*'Assumptions'!$AF$70</x:f>
        <x:v>0</x:v>
      </x:c>
      <x:c r="Y1968" s="10" t="n">
        <x:f>P1968/12</x:f>
        <x:v>0</x:v>
      </x:c>
      <x:c r="Z1968" s="10" t="n">
        <x:f>0</x:f>
        <x:v>0</x:v>
      </x:c>
      <x:c r="AA1968" s="10" t="n">
        <x:f>Z1968*'Assumptions'!$AC$70*'Assumptions'!$D$11*(1+'Assumptions'!$D$13)^(16-1)</x:f>
        <x:v>0</x:v>
      </x:c>
      <x:c r="AB1968" s="10" t="n">
        <x:f>F1968/1</x:f>
        <x:v>258.3312618900791</x:v>
      </x:c>
      <x:c r="AC1968" s="10" t="n">
        <x:f>AB1968/'Assumptions'!$AM$70</x:f>
        <x:v>5166.6252378015815</x:v>
      </x:c>
      <x:c r="AD1968" s="10" t="n">
        <x:f>IF(AB1968=0,0,T1968/AB1968)</x:f>
        <x:v>3.044764028770278</x:v>
      </x:c>
      <x:c r="AE1968" s="10" t="n">
        <x:f>AA1968*'Assumptions'!$D$21</x:f>
        <x:v>0</x:v>
      </x:c>
    </x:row>
    <x:row r="1969" ht="16" customHeight="1">
      <x:c r="A1969" s="1"/>
      <x:c r="B1969" s="1"/>
      <x:c r="C1969" s="1" t="str">
        <x:v>DOT-042</x:v>
      </x:c>
      <x:c r="D1969" s="10" t="str">
        <x:v>Is Makes Travel Easy</x:v>
      </x:c>
      <x:c r="E1969" s="10" t="n">
        <x:v>16</x:v>
      </x:c>
      <x:c r="F1969" s="21" t="n">
        <x:f>F1841*(1+'Assumptions'!$M$71)</x:f>
        <x:v>309.99751426809473</x:v>
      </x:c>
      <x:c r="G1969" s="21" t="n">
        <x:f>H1841*'Assumptions'!$K$71</x:f>
        <x:v>654.4280873114761</x:v>
      </x:c>
      <x:c r="H1969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1969+G1969,NA())</x:f>
        <x:v>964.4256015795709</x:v>
      </x:c>
      <x:c r="I1969" s="22" t="n">
        <x:f>'Assumptions'!$H$71*IF('Assumptions'!$O$71=1,1,'Assumptions'!$D$10)*(1+'Assumptions'!$N$71)^(16-1)</x:f>
        <x:v>39.030181811399764</x:v>
      </x:c>
      <x:c r="J1969" s="10" t="n">
        <x:f>H1969*I1969</x:f>
        <x:v>37641.70657321924</x:v>
      </x:c>
      <x:c r="K1969" s="10" t="n">
        <x:f>J1969*'Assumptions'!$T$71</x:f>
        <x:v>37641.70657321924</x:v>
      </x:c>
      <x:c r="L1969" s="10" t="n">
        <x:f>K1969*'Assumptions'!$U$71</x:f>
        <x:v>1129.2511971965773</x:v>
      </x:c>
      <x:c r="M1969" s="10" t="n">
        <x:f>K1969*'Assumptions'!$V$71</x:f>
        <x:v>0</x:v>
      </x:c>
      <x:c r="N1969" s="10" t="n">
        <x:f>K1969-L1969-M1969</x:f>
        <x:v>36512.45537602266</x:v>
      </x:c>
      <x:c r="O1969" s="10" t="n">
        <x:f>H1969*'Assumptions'!$P$71*'Assumptions'!$Q$71*'Assumptions'!$D$11*(1+'Assumptions'!$D$13)^(16-1)</x:f>
        <x:v>5258.90282048797</x:v>
      </x:c>
      <x:c r="P1969" s="10" t="n">
        <x:f>H1969*'Assumptions'!$R$71*'Assumptions'!$D$11*(1+'Assumptions'!$D$13)^(16-1)</x:f>
        <x:v>0</x:v>
      </x:c>
      <x:c r="Q1969" s="10" t="n">
        <x:f>J1969*'Assumptions'!$S$71</x:f>
        <x:v>0</x:v>
      </x:c>
      <x:c r="R1969" s="10" t="n">
        <x:f>H1969*'Assumptions'!$Y$71*'Assumptions'!$Z$71*'Assumptions'!$D$11*(1+'Assumptions'!$D$13)^(16-1)</x:f>
        <x:v>6761.446483484531</x:v>
      </x:c>
      <x:c r="S1969" s="10" t="n">
        <x:f>IF(I1969=0,0,J1969*'Assumptions'!$W$71+H1969*'Assumptions'!$X$71)</x:f>
        <x:v>1380.9371710972293</x:v>
      </x:c>
      <x:c r="T1969" s="10" t="n">
        <x:f>N1969*'Assumptions'!$AA$71</x:f>
        <x:v>1825.6227688011331</x:v>
      </x:c>
      <x:c r="U1969" s="10" t="n">
        <x:f>'Assumptions'!$AE$71*'Assumptions'!$D$11*(1+'Assumptions'!$D$13)^(16-1)</x:f>
        <x:v>373.91217998418364</x:v>
      </x:c>
      <x:c r="V1969" s="10" t="n">
        <x:f>0</x:f>
        <x:v>0</x:v>
      </x:c>
      <x:c r="W1969" s="10" t="n">
        <x:f>H1969*('Assumptions'!$P$71+'Assumptions'!$Y$71)</x:f>
        <x:v>241.10640039489272</x:v>
      </x:c>
      <x:c r="X1969" s="10" t="n">
        <x:f>N1969/12*'Assumptions'!$AF$71</x:f>
        <x:v>0</x:v>
      </x:c>
      <x:c r="Y1969" s="10" t="n">
        <x:f>P1969/12</x:f>
        <x:v>0</x:v>
      </x:c>
      <x:c r="Z1969" s="10" t="n">
        <x:f>0</x:f>
        <x:v>0</x:v>
      </x:c>
      <x:c r="AA1969" s="10" t="n">
        <x:f>Z1969*'Assumptions'!$AC$71*'Assumptions'!$D$11*(1+'Assumptions'!$D$13)^(16-1)</x:f>
        <x:v>0</x:v>
      </x:c>
      <x:c r="AB1969" s="10" t="n">
        <x:f>F1969/1</x:f>
        <x:v>309.99751426809473</x:v>
      </x:c>
      <x:c r="AC1969" s="10" t="n">
        <x:f>AB1969/'Assumptions'!$AM$71</x:f>
        <x:v>6199.950285361894</x:v>
      </x:c>
      <x:c r="AD1969" s="10" t="n">
        <x:f>IF(AB1969=0,0,T1969/AB1969)</x:f>
        <x:v>5.889152927924068</x:v>
      </x:c>
      <x:c r="AE1969" s="10" t="n">
        <x:f>AA1969*'Assumptions'!$D$21</x:f>
        <x:v>0</x:v>
      </x:c>
    </x:row>
    <x:row r="1970" ht="16" customHeight="1">
      <x:c r="A1970" s="1"/>
      <x:c r="B1970" s="1"/>
      <x:c r="C1970" s="1" t="str">
        <x:v>DOT-043</x:v>
      </x:c>
      <x:c r="D1970" s="10" t="str">
        <x:v>Is Makes Travel Easy</x:v>
      </x:c>
      <x:c r="E1970" s="10" t="n">
        <x:v>16</x:v>
      </x:c>
      <x:c r="F1970" s="21" t="n">
        <x:f>F1842*(1+'Assumptions'!$M$72)</x:f>
        <x:v>154.99875713404737</x:v>
      </x:c>
      <x:c r="G1970" s="21" t="n">
        <x:f>H1842*'Assumptions'!$K$72</x:f>
        <x:v>327.21404365573807</x:v>
      </x:c>
      <x:c r="H1970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1970+G1970,NA())</x:f>
        <x:v>482.21280078978543</x:v>
      </x:c>
      <x:c r="I1970" s="22" t="n">
        <x:f>'Assumptions'!$H$72*IF('Assumptions'!$O$72=1,1,'Assumptions'!$D$10)*(1+'Assumptions'!$N$72)^(16-1)</x:f>
        <x:v>25.571498428158467</x:v>
      </x:c>
      <x:c r="J1970" s="10" t="n">
        <x:f>H1970*I1970</x:f>
        <x:v>12330.90387743389</x:v>
      </x:c>
      <x:c r="K1970" s="10" t="n">
        <x:f>J1970*'Assumptions'!$T$72</x:f>
        <x:v>12330.90387743389</x:v>
      </x:c>
      <x:c r="L1970" s="10" t="n">
        <x:f>K1970*'Assumptions'!$U$72</x:f>
        <x:v>369.92711632301666</x:v>
      </x:c>
      <x:c r="M1970" s="10" t="n">
        <x:f>K1970*'Assumptions'!$V$72</x:f>
        <x:v>0</x:v>
      </x:c>
      <x:c r="N1970" s="10" t="n">
        <x:f>K1970-L1970-M1970</x:f>
        <x:v>11960.976761110873</x:v>
      </x:c>
      <x:c r="O1970" s="10" t="n">
        <x:f>H1970*'Assumptions'!$P$72*'Assumptions'!$Q$72*'Assumptions'!$D$11*(1+'Assumptions'!$D$13)^(16-1)</x:f>
        <x:v>2629.451410243985</x:v>
      </x:c>
      <x:c r="P1970" s="10" t="n">
        <x:f>H1970*'Assumptions'!$R$72*'Assumptions'!$D$11*(1+'Assumptions'!$D$13)^(16-1)</x:f>
        <x:v>0</x:v>
      </x:c>
      <x:c r="Q1970" s="10" t="n">
        <x:f>J1970*'Assumptions'!$S$72</x:f>
        <x:v>0</x:v>
      </x:c>
      <x:c r="R1970" s="10" t="n">
        <x:f>H1970*'Assumptions'!$Y$72*'Assumptions'!$Z$72*'Assumptions'!$D$11*(1+'Assumptions'!$D$13)^(16-1)</x:f>
        <x:v>3380.7232417422656</x:v>
      </x:c>
      <x:c r="S1970" s="10" t="n">
        <x:f>IF(I1970=0,0,J1970*'Assumptions'!$W$72+H1970*'Assumptions'!$X$72)</x:f>
        <x:v>502.26005268251845</x:v>
      </x:c>
      <x:c r="T1970" s="10" t="n">
        <x:f>N1970*'Assumptions'!$AA$72</x:f>
        <x:v>598.0488380555437</x:v>
      </x:c>
      <x:c r="U1970" s="10" t="n">
        <x:f>'Assumptions'!$AE$72*'Assumptions'!$D$11*(1+'Assumptions'!$D$13)^(16-1)</x:f>
        <x:v>0</x:v>
      </x:c>
      <x:c r="V1970" s="10" t="n">
        <x:f>0</x:f>
        <x:v>0</x:v>
      </x:c>
      <x:c r="W1970" s="10" t="n">
        <x:f>H1970*('Assumptions'!$P$72+'Assumptions'!$Y$72)</x:f>
        <x:v>120.55320019744636</x:v>
      </x:c>
      <x:c r="X1970" s="10" t="n">
        <x:f>N1970/12*'Assumptions'!$AF$72</x:f>
        <x:v>0</x:v>
      </x:c>
      <x:c r="Y1970" s="10" t="n">
        <x:f>P1970/12</x:f>
        <x:v>0</x:v>
      </x:c>
      <x:c r="Z1970" s="10" t="n">
        <x:f>0</x:f>
        <x:v>0</x:v>
      </x:c>
      <x:c r="AA1970" s="10" t="n">
        <x:f>Z1970*'Assumptions'!$AC$72*'Assumptions'!$D$11*(1+'Assumptions'!$D$13)^(16-1)</x:f>
        <x:v>0</x:v>
      </x:c>
      <x:c r="AB1970" s="10" t="n">
        <x:f>F1970/12</x:f>
        <x:v>12.916563094503948</x:v>
      </x:c>
      <x:c r="AC1970" s="10" t="n">
        <x:f>AB1970/'Assumptions'!$AM$72</x:f>
        <x:v>258.33126189007896</x:v>
      </x:c>
      <x:c r="AD1970" s="10" t="n">
        <x:f>IF(AB1970=0,0,T1970/AB1970)</x:f>
        <x:v>46.300926467816815</x:v>
      </x:c>
      <x:c r="AE1970" s="10" t="n">
        <x:f>AA1970*'Assumptions'!$D$21</x:f>
        <x:v>0</x:v>
      </x:c>
    </x:row>
    <x:row r="1971" ht="16" customHeight="1">
      <x:c r="A1971" s="1"/>
      <x:c r="B1971" s="1"/>
      <x:c r="C1971" s="1" t="str">
        <x:v>DOT-044</x:v>
      </x:c>
      <x:c r="D1971" s="10" t="str">
        <x:v>Is Makes Travel Easy</x:v>
      </x:c>
      <x:c r="E1971" s="10" t="n">
        <x:v>16</x:v>
      </x:c>
      <x:c r="F1971" s="21" t="n">
        <x:f>F1843*(1+'Assumptions'!$M$73)</x:f>
        <x:v>63.23169247598307</x:v>
      </x:c>
      <x:c r="G1971" s="21" t="n">
        <x:f>H1843*'Assumptions'!$K$73</x:f>
        <x:v>32.54570146743919</x:v>
      </x:c>
      <x:c r="H1971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1971+G1971,NA())</x:f>
        <x:v>95.77739394342225</x:v>
      </x:c>
      <x:c r="I1971" s="22" t="n">
        <x:f>'Assumptions'!$H$73*IF('Assumptions'!$O$73=1,1,'Assumptions'!$D$10)*(1+'Assumptions'!$N$73)^(16-1)</x:f>
        <x:v>65.94754857788236</x:v>
      </x:c>
      <x:c r="J1971" s="10" t="n">
        <x:f>H1971*I1971</x:f>
        <x:v>6316.284339746815</x:v>
      </x:c>
      <x:c r="K1971" s="10" t="n">
        <x:f>J1971*'Assumptions'!$T$73</x:f>
        <x:v>6316.284339746815</x:v>
      </x:c>
      <x:c r="L1971" s="10" t="n">
        <x:f>K1971*'Assumptions'!$U$73</x:f>
        <x:v>189.48853019240445</x:v>
      </x:c>
      <x:c r="M1971" s="10" t="n">
        <x:f>K1971*'Assumptions'!$V$73</x:f>
        <x:v>0</x:v>
      </x:c>
      <x:c r="N1971" s="10" t="n">
        <x:f>K1971-L1971-M1971</x:f>
        <x:v>6126.795809554411</x:v>
      </x:c>
      <x:c r="O1971" s="10" t="n">
        <x:f>H1971*'Assumptions'!$P$73*'Assumptions'!$Q$73*'Assumptions'!$D$11*(1+'Assumptions'!$D$13)^(16-1)</x:f>
        <x:v>1305.6580163443891</x:v>
      </x:c>
      <x:c r="P1971" s="10" t="n">
        <x:f>H1971*'Assumptions'!$R$73*'Assumptions'!$D$11*(1+'Assumptions'!$D$13)^(16-1)</x:f>
        <x:v>0</x:v>
      </x:c>
      <x:c r="Q1971" s="10" t="n">
        <x:f>J1971*'Assumptions'!$S$73</x:f>
        <x:v>0</x:v>
      </x:c>
      <x:c r="R1971" s="10" t="n">
        <x:f>H1971*'Assumptions'!$Y$73*'Assumptions'!$Z$73*'Assumptions'!$D$11*(1+'Assumptions'!$D$13)^(16-1)</x:f>
        <x:v>2238.27088516181</x:v>
      </x:c>
      <x:c r="S1971" s="10" t="n">
        <x:f>IF(I1971=0,0,J1971*'Assumptions'!$W$73+H1971*'Assumptions'!$X$73)</x:f>
        <x:v>211.90546403568433</x:v>
      </x:c>
      <x:c r="T1971" s="10" t="n">
        <x:f>N1971*'Assumptions'!$AA$73</x:f>
        <x:v>490.1436647643529</x:v>
      </x:c>
      <x:c r="U1971" s="10" t="n">
        <x:f>'Assumptions'!$AE$73*'Assumptions'!$D$11*(1+'Assumptions'!$D$13)^(16-1)</x:f>
        <x:v>0</x:v>
      </x:c>
      <x:c r="V1971" s="10" t="n">
        <x:f>0</x:f>
        <x:v>0</x:v>
      </x:c>
      <x:c r="W1971" s="10" t="n">
        <x:f>H1971*('Assumptions'!$P$73+'Assumptions'!$Y$73)</x:f>
        <x:v>71.8330454575667</x:v>
      </x:c>
      <x:c r="X1971" s="10" t="n">
        <x:f>N1971/12*'Assumptions'!$AF$73</x:f>
        <x:v>510.5663174628676</x:v>
      </x:c>
      <x:c r="Y1971" s="10" t="n">
        <x:f>P1971/12</x:f>
        <x:v>0</x:v>
      </x:c>
      <x:c r="Z1971" s="10" t="n">
        <x:f>0</x:f>
        <x:v>0</x:v>
      </x:c>
      <x:c r="AA1971" s="10" t="n">
        <x:f>Z1971*'Assumptions'!$AC$73*'Assumptions'!$D$11*(1+'Assumptions'!$D$13)^(16-1)</x:f>
        <x:v>0</x:v>
      </x:c>
      <x:c r="AB1971" s="10" t="n">
        <x:f>F1971/1</x:f>
        <x:v>63.23169247598307</x:v>
      </x:c>
      <x:c r="AC1971" s="10" t="n">
        <x:f>AB1971/'Assumptions'!$AM$73</x:f>
        <x:v>632.3169247598306</x:v>
      </x:c>
      <x:c r="AD1971" s="10" t="n">
        <x:f>IF(AB1971=0,0,T1971/AB1971)</x:f>
        <x:v>7.7515506160225165</x:v>
      </x:c>
      <x:c r="AE1971" s="10" t="n">
        <x:f>AA1971*'Assumptions'!$D$21</x:f>
        <x:v>0</x:v>
      </x:c>
    </x:row>
    <x:row r="1972" ht="16" customHeight="1">
      <x:c r="A1972" s="1"/>
      <x:c r="B1972" s="1"/>
      <x:c r="C1972" s="1" t="str">
        <x:v>DOT-045</x:v>
      </x:c>
      <x:c r="D1972" s="10" t="str">
        <x:v>Is Makes Travel Easy</x:v>
      </x:c>
      <x:c r="E1972" s="10" t="n">
        <x:v>16</x:v>
      </x:c>
      <x:c r="F1972" s="21" t="n">
        <x:f>F1844*(1+'Assumptions'!$M$74)</x:f>
        <x:v>206.66500951206322</x:v>
      </x:c>
      <x:c r="G1972" s="21" t="n">
        <x:f>H1844*'Assumptions'!$K$74</x:f>
        <x:v>436.2853915409843</x:v>
      </x:c>
      <x:c r="H1972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1972+G1972,NA())</x:f>
        <x:v>642.9504010530475</x:v>
      </x:c>
      <x:c r="I1972" s="22" t="n">
        <x:f>'Assumptions'!$H$74*IF('Assumptions'!$O$74=1,1,'Assumptions'!$D$10)*(1+'Assumptions'!$N$74)^(16-1)</x:f>
        <x:v>201.8802507486195</x:v>
      </x:c>
      <x:c r="J1972" s="10" t="n">
        <x:f>H1972*I1972</x:f>
        <x:v>129798.98818351468</x:v>
      </x:c>
      <x:c r="K1972" s="10" t="n">
        <x:f>J1972*'Assumptions'!$T$74</x:f>
        <x:v>12979.898818351468</x:v>
      </x:c>
      <x:c r="L1972" s="10" t="n">
        <x:f>K1972*'Assumptions'!$U$74</x:f>
        <x:v>389.39696455054406</x:v>
      </x:c>
      <x:c r="M1972" s="10" t="n">
        <x:f>K1972*'Assumptions'!$V$74</x:f>
        <x:v>0</x:v>
      </x:c>
      <x:c r="N1972" s="10" t="n">
        <x:f>K1972-L1972-M1972</x:f>
        <x:v>12590.501853800924</x:v>
      </x:c>
      <x:c r="O1972" s="10" t="n">
        <x:f>H1972*'Assumptions'!$P$74*'Assumptions'!$Q$74*'Assumptions'!$D$11*(1+'Assumptions'!$D$13)^(16-1)</x:f>
        <x:v>3505.935213658648</x:v>
      </x:c>
      <x:c r="P1972" s="10" t="n">
        <x:f>H1972*'Assumptions'!$R$74*'Assumptions'!$D$11*(1+'Assumptions'!$D$13)^(16-1)</x:f>
        <x:v>0</x:v>
      </x:c>
      <x:c r="Q1972" s="10" t="n">
        <x:f>J1972*'Assumptions'!$S$74</x:f>
        <x:v>0</x:v>
      </x:c>
      <x:c r="R1972" s="10" t="n">
        <x:f>H1972*'Assumptions'!$Y$74*'Assumptions'!$Z$74*'Assumptions'!$D$11*(1+'Assumptions'!$D$13)^(16-1)</x:f>
        <x:v>4507.63098898969</x:v>
      </x:c>
      <x:c r="S1972" s="10" t="n">
        <x:f>IF(I1972=0,0,J1972*'Assumptions'!$W$74+H1972*'Assumptions'!$X$74)</x:f>
        <x:v>3957.05577763784</x:v>
      </x:c>
      <x:c r="T1972" s="10" t="n">
        <x:f>N1972*'Assumptions'!$AA$74</x:f>
        <x:v>629.5250926900462</x:v>
      </x:c>
      <x:c r="U1972" s="10" t="n">
        <x:f>'Assumptions'!$AE$74*'Assumptions'!$D$11*(1+'Assumptions'!$D$13)^(16-1)</x:f>
        <x:v>0</x:v>
      </x:c>
      <x:c r="V1972" s="10" t="n">
        <x:f>0</x:f>
        <x:v>0</x:v>
      </x:c>
      <x:c r="W1972" s="10" t="n">
        <x:f>H1972*('Assumptions'!$P$74+'Assumptions'!$Y$74)</x:f>
        <x:v>160.73760026326187</x:v>
      </x:c>
      <x:c r="X1972" s="10" t="n">
        <x:f>N1972/12*'Assumptions'!$AF$74</x:f>
        <x:v>0</x:v>
      </x:c>
      <x:c r="Y1972" s="10" t="n">
        <x:f>P1972/12</x:f>
        <x:v>0</x:v>
      </x:c>
      <x:c r="Z1972" s="10" t="n">
        <x:f>0</x:f>
        <x:v>0</x:v>
      </x:c>
      <x:c r="AA1972" s="10" t="n">
        <x:f>Z1972*'Assumptions'!$AC$74*'Assumptions'!$D$11*(1+'Assumptions'!$D$13)^(16-1)</x:f>
        <x:v>0</x:v>
      </x:c>
      <x:c r="AB1972" s="10" t="n">
        <x:f>F1972/1</x:f>
        <x:v>206.66500951206322</x:v>
      </x:c>
      <x:c r="AC1972" s="10" t="n">
        <x:f>AB1972/'Assumptions'!$AM$74</x:f>
        <x:v>4133.300190241264</x:v>
      </x:c>
      <x:c r="AD1972" s="10" t="n">
        <x:f>IF(AB1972=0,0,T1972/AB1972)</x:f>
        <x:v>3.046113583409001</x:v>
      </x:c>
      <x:c r="AE1972" s="10" t="n">
        <x:f>AA1972*'Assumptions'!$D$21</x:f>
        <x:v>0</x:v>
      </x:c>
    </x:row>
    <x:row r="1973" ht="16" customHeight="1">
      <x:c r="A1973" s="1"/>
      <x:c r="B1973" s="1"/>
      <x:c r="C1973" s="1" t="str">
        <x:v>DOT-046</x:v>
      </x:c>
      <x:c r="D1973" s="10" t="str">
        <x:v>Turbo Tax - Made Easy!</x:v>
      </x:c>
      <x:c r="E1973" s="10" t="n">
        <x:v>16</x:v>
      </x:c>
      <x:c r="F1973" s="21" t="n">
        <x:f>F1845*(1+'Assumptions'!$M$75)</x:f>
        <x:v>544.7325805557183</x:v>
      </x:c>
      <x:c r="G1973" s="21" t="n">
        <x:f>H1845*'Assumptions'!$K$75</x:f>
        <x:v>174.59377177464293</x:v>
      </x:c>
      <x:c r="H1973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1973+G1973,NA())</x:f>
        <x:v>719.3263523303613</x:v>
      </x:c>
      <x:c r="I1973" s="22" t="n">
        <x:f>'Assumptions'!$H$75*IF('Assumptions'!$O$75=1,1,'Assumptions'!$D$10)*(1+'Assumptions'!$N$75)^(16-1)</x:f>
        <x:v>149</x:v>
      </x:c>
      <x:c r="J1973" s="10" t="n">
        <x:f>H1973*I1973</x:f>
        <x:v>107179.62649722383</x:v>
      </x:c>
      <x:c r="K1973" s="10" t="n">
        <x:f>J1973*'Assumptions'!$T$75</x:f>
        <x:v>107179.62649722383</x:v>
      </x:c>
      <x:c r="L1973" s="10" t="n">
        <x:f>K1973*'Assumptions'!$U$75</x:f>
        <x:v>3215.3887949167147</x:v>
      </x:c>
      <x:c r="M1973" s="10" t="n">
        <x:f>K1973*'Assumptions'!$V$75</x:f>
        <x:v>0</x:v>
      </x:c>
      <x:c r="N1973" s="10" t="n">
        <x:f>K1973-L1973-M1973</x:f>
        <x:v>103964.23770230712</x:v>
      </x:c>
      <x:c r="O1973" s="10" t="n">
        <x:f>H1973*'Assumptions'!$P$75*'Assumptions'!$Q$75*'Assumptions'!$D$11*(1+'Assumptions'!$D$13)^(16-1)</x:f>
        <x:v>5883.60684887317</x:v>
      </x:c>
      <x:c r="P1973" s="10" t="n">
        <x:f>H1973*'Assumptions'!$R$75*'Assumptions'!$D$11*(1+'Assumptions'!$D$13)^(16-1)</x:f>
        <x:v>0</x:v>
      </x:c>
      <x:c r="Q1973" s="10" t="n">
        <x:f>J1973*'Assumptions'!$S$75</x:f>
        <x:v>0</x:v>
      </x:c>
      <x:c r="R1973" s="10" t="n">
        <x:f>H1973*'Assumptions'!$Y$75*'Assumptions'!$Z$75*'Assumptions'!$D$11*(1+'Assumptions'!$D$13)^(16-1)</x:f>
        <x:v>3362.0610564989543</x:v>
      </x:c>
      <x:c r="S1973" s="10" t="n">
        <x:f>IF(I1973=0,0,J1973*'Assumptions'!$W$75+H1973*'Assumptions'!$X$75)</x:f>
        <x:v>3324.0070741185996</x:v>
      </x:c>
      <x:c r="T1973" s="10" t="n">
        <x:f>N1973*'Assumptions'!$AA$75</x:f>
        <x:v>5198.211885115356</x:v>
      </x:c>
      <x:c r="U1973" s="10" t="n">
        <x:f>'Assumptions'!$AE$75*'Assumptions'!$D$11*(1+'Assumptions'!$D$13)^(16-1)</x:f>
        <x:v>0</x:v>
      </x:c>
      <x:c r="V1973" s="10" t="n">
        <x:f>0</x:f>
        <x:v>0</x:v>
      </x:c>
      <x:c r="W1973" s="10" t="n">
        <x:f>H1973*('Assumptions'!$P$75+'Assumptions'!$Y$75)</x:f>
        <x:v>179.83158808259032</x:v>
      </x:c>
      <x:c r="X1973" s="10" t="n">
        <x:f>N1973/12*'Assumptions'!$AF$75</x:f>
        <x:v>0</x:v>
      </x:c>
      <x:c r="Y1973" s="10" t="n">
        <x:f>P1973/12</x:f>
        <x:v>0</x:v>
      </x:c>
      <x:c r="Z1973" s="10" t="n">
        <x:f>0</x:f>
        <x:v>0</x:v>
      </x:c>
      <x:c r="AA1973" s="10" t="n">
        <x:f>Z1973*'Assumptions'!$AC$75*'Assumptions'!$D$11*(1+'Assumptions'!$D$13)^(16-1)</x:f>
        <x:v>0</x:v>
      </x:c>
      <x:c r="AB1973" s="10" t="n">
        <x:f>F1973/1</x:f>
        <x:v>544.7325805557183</x:v>
      </x:c>
      <x:c r="AC1973" s="10" t="n">
        <x:f>AB1973/'Assumptions'!$AM$75</x:f>
        <x:v>10894.651611114365</x:v>
      </x:c>
      <x:c r="AD1973" s="10" t="n">
        <x:f>IF(AB1973=0,0,T1973/AB1973)</x:f>
        <x:v>9.542685843781019</x:v>
      </x:c>
      <x:c r="AE1973" s="10" t="n">
        <x:f>AA1973*'Assumptions'!$D$21</x:f>
        <x:v>0</x:v>
      </x:c>
    </x:row>
    <x:row r="1974" ht="16" customHeight="1">
      <x:c r="A1974" s="1"/>
      <x:c r="B1974" s="1"/>
      <x:c r="C1974" s="1" t="str">
        <x:v>DOT-047</x:v>
      </x:c>
      <x:c r="D1974" s="10" t="str">
        <x:v>LavaLearning adult</x:v>
      </x:c>
      <x:c r="E1974" s="10" t="n">
        <x:v>16</x:v>
      </x:c>
      <x:c r="F1974" s="21" t="n">
        <x:f>F1846*(1+'Assumptions'!$M$76)</x:f>
        <x:v>363.1550537038121</x:v>
      </x:c>
      <x:c r="G1974" s="21" t="n">
        <x:f>H1846*'Assumptions'!$K$76</x:f>
        <x:v>116.39584783423987</x:v>
      </x:c>
      <x:c r="H1974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1974+G1974,NA())</x:f>
        <x:v>479.55090153805196</x:v>
      </x:c>
      <x:c r="I1974" s="22" t="n">
        <x:f>'Assumptions'!$H$76*IF('Assumptions'!$O$76=1,1,'Assumptions'!$D$10)*(1+'Assumptions'!$N$76)^(16-1)</x:f>
        <x:v>79</x:v>
      </x:c>
      <x:c r="J1974" s="10" t="n">
        <x:f>H1974*I1974</x:f>
        <x:v>37884.521221506104</x:v>
      </x:c>
      <x:c r="K1974" s="10" t="n">
        <x:f>J1974*'Assumptions'!$T$76</x:f>
        <x:v>37884.521221506104</x:v>
      </x:c>
      <x:c r="L1974" s="10" t="n">
        <x:f>K1974*'Assumptions'!$U$76</x:f>
        <x:v>1136.535636645183</x:v>
      </x:c>
      <x:c r="M1974" s="10" t="n">
        <x:f>K1974*'Assumptions'!$V$76</x:f>
        <x:v>0</x:v>
      </x:c>
      <x:c r="N1974" s="10" t="n">
        <x:f>K1974-L1974-M1974</x:f>
        <x:v>36747.98558486092</x:v>
      </x:c>
      <x:c r="O1974" s="10" t="n">
        <x:f>H1974*'Assumptions'!$P$76*'Assumptions'!$Q$76*'Assumptions'!$D$11*(1+'Assumptions'!$D$13)^(16-1)</x:f>
        <x:v>3922.404565788485</x:v>
      </x:c>
      <x:c r="P1974" s="10" t="n">
        <x:f>H1974*'Assumptions'!$R$76*'Assumptions'!$D$11*(1+'Assumptions'!$D$13)^(16-1)</x:f>
        <x:v>0</x:v>
      </x:c>
      <x:c r="Q1974" s="10" t="n">
        <x:f>J1974*'Assumptions'!$S$76</x:f>
        <x:v>0</x:v>
      </x:c>
      <x:c r="R1974" s="10" t="n">
        <x:f>H1974*'Assumptions'!$Y$76*'Assumptions'!$Z$76*'Assumptions'!$D$11*(1+'Assumptions'!$D$13)^(16-1)</x:f>
        <x:v>2241.3740375934203</x:v>
      </x:c>
      <x:c r="S1974" s="10" t="n">
        <x:f>IF(I1974=0,0,J1974*'Assumptions'!$W$76+H1974*'Assumptions'!$X$76)</x:f>
        <x:v>1242.5163858850926</x:v>
      </x:c>
      <x:c r="T1974" s="10" t="n">
        <x:f>N1974*'Assumptions'!$AA$76</x:f>
        <x:v>1837.3992792430463</x:v>
      </x:c>
      <x:c r="U1974" s="10" t="n">
        <x:f>'Assumptions'!$AE$76*'Assumptions'!$D$11*(1+'Assumptions'!$D$13)^(16-1)</x:f>
        <x:v>0</x:v>
      </x:c>
      <x:c r="V1974" s="10" t="n">
        <x:f>0</x:f>
        <x:v>0</x:v>
      </x:c>
      <x:c r="W1974" s="10" t="n">
        <x:f>H1974*('Assumptions'!$P$76+'Assumptions'!$Y$76)</x:f>
        <x:v>119.88772538451299</x:v>
      </x:c>
      <x:c r="X1974" s="10" t="n">
        <x:f>N1974/12*'Assumptions'!$AF$76</x:f>
        <x:v>0</x:v>
      </x:c>
      <x:c r="Y1974" s="10" t="n">
        <x:f>P1974/12</x:f>
        <x:v>0</x:v>
      </x:c>
      <x:c r="Z1974" s="10" t="n">
        <x:f>0</x:f>
        <x:v>0</x:v>
      </x:c>
      <x:c r="AA1974" s="10" t="n">
        <x:f>Z1974*'Assumptions'!$AC$76*'Assumptions'!$D$11*(1+'Assumptions'!$D$13)^(16-1)</x:f>
        <x:v>0</x:v>
      </x:c>
      <x:c r="AB1974" s="10" t="n">
        <x:f>F1974/1</x:f>
        <x:v>363.1550537038121</x:v>
      </x:c>
      <x:c r="AC1974" s="10" t="n">
        <x:f>AB1974/'Assumptions'!$AM$76</x:f>
        <x:v>7263.101074076241</x:v>
      </x:c>
      <x:c r="AD1974" s="10" t="n">
        <x:f>IF(AB1974=0,0,T1974/AB1974)</x:f>
        <x:v>5.059544843183216</x:v>
      </x:c>
      <x:c r="AE1974" s="10" t="n">
        <x:f>AA1974*'Assumptions'!$D$21</x:f>
        <x:v>0</x:v>
      </x:c>
    </x:row>
    <x:row r="1975" ht="16" customHeight="1">
      <x:c r="A1975" s="1"/>
      <x:c r="B1975" s="1"/>
      <x:c r="C1975" s="1" t="str">
        <x:v>DOT-048</x:v>
      </x:c>
      <x:c r="D1975" s="10" t="str">
        <x:v>Turbo Tax - Made Easy!</x:v>
      </x:c>
      <x:c r="E1975" s="10" t="n">
        <x:v>16</x:v>
      </x:c>
      <x:c r="F1975" s="21" t="n">
        <x:f>F1847*(1+'Assumptions'!$M$77)</x:f>
        <x:v>1089.4651611114366</x:v>
      </x:c>
      <x:c r="G1975" s="21" t="n">
        <x:f>H1847*'Assumptions'!$K$77</x:f>
        <x:v>349.18754354928586</x:v>
      </x:c>
      <x:c r="H1975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1975+G1975,NA())</x:f>
        <x:v>1438.6527046607225</x:v>
      </x:c>
      <x:c r="I1975" s="22" t="n">
        <x:f>'Assumptions'!$H$77*IF('Assumptions'!$O$77=1,1,'Assumptions'!$D$10)*(1+'Assumptions'!$N$77)^(16-1)</x:f>
        <x:v>25.571498428158467</x:v>
      </x:c>
      <x:c r="J1975" s="10" t="n">
        <x:f>H1975*I1975</x:f>
        <x:v>36788.50537589759</x:v>
      </x:c>
      <x:c r="K1975" s="10" t="n">
        <x:f>J1975*'Assumptions'!$T$77</x:f>
        <x:v>36788.50537589759</x:v>
      </x:c>
      <x:c r="L1975" s="10" t="n">
        <x:f>K1975*'Assumptions'!$U$77</x:f>
        <x:v>1103.6551612769276</x:v>
      </x:c>
      <x:c r="M1975" s="10" t="n">
        <x:f>K1975*'Assumptions'!$V$77</x:f>
        <x:v>0</x:v>
      </x:c>
      <x:c r="N1975" s="10" t="n">
        <x:f>K1975-L1975-M1975</x:f>
        <x:v>35684.85021462067</x:v>
      </x:c>
      <x:c r="O1975" s="10" t="n">
        <x:f>H1975*'Assumptions'!$P$77*'Assumptions'!$Q$77*'Assumptions'!$D$11*(1+'Assumptions'!$D$13)^(16-1)</x:f>
        <x:v>11767.21369774634</x:v>
      </x:c>
      <x:c r="P1975" s="10" t="n">
        <x:f>H1975*'Assumptions'!$R$77*'Assumptions'!$D$11*(1+'Assumptions'!$D$13)^(16-1)</x:f>
        <x:v>0</x:v>
      </x:c>
      <x:c r="Q1975" s="10" t="n">
        <x:f>J1975*'Assumptions'!$S$77</x:f>
        <x:v>0</x:v>
      </x:c>
      <x:c r="R1975" s="10" t="n">
        <x:f>H1975*'Assumptions'!$Y$77*'Assumptions'!$Z$77*'Assumptions'!$D$11*(1+'Assumptions'!$D$13)^(16-1)</x:f>
        <x:v>6724.1221129979085</x:v>
      </x:c>
      <x:c r="S1975" s="10" t="n">
        <x:f>IF(I1975=0,0,J1975*'Assumptions'!$W$77+H1975*'Assumptions'!$X$77)</x:f>
        <x:v>1498.462467299247</x:v>
      </x:c>
      <x:c r="T1975" s="10" t="n">
        <x:f>N1975*'Assumptions'!$AA$77</x:f>
        <x:v>1784.2425107310335</x:v>
      </x:c>
      <x:c r="U1975" s="10" t="n">
        <x:f>'Assumptions'!$AE$77*'Assumptions'!$D$11*(1+'Assumptions'!$D$13)^(16-1)</x:f>
        <x:v>0</x:v>
      </x:c>
      <x:c r="V1975" s="10" t="n">
        <x:f>0</x:f>
        <x:v>0</x:v>
      </x:c>
      <x:c r="W1975" s="10" t="n">
        <x:f>H1975*('Assumptions'!$P$77+'Assumptions'!$Y$77)</x:f>
        <x:v>359.66317616518063</x:v>
      </x:c>
      <x:c r="X1975" s="10" t="n">
        <x:f>N1975/12*'Assumptions'!$AF$77</x:f>
        <x:v>0</x:v>
      </x:c>
      <x:c r="Y1975" s="10" t="n">
        <x:f>P1975/12</x:f>
        <x:v>0</x:v>
      </x:c>
      <x:c r="Z1975" s="10" t="n">
        <x:f>0</x:f>
        <x:v>0</x:v>
      </x:c>
      <x:c r="AA1975" s="10" t="n">
        <x:f>Z1975*'Assumptions'!$AC$77*'Assumptions'!$D$11*(1+'Assumptions'!$D$13)^(16-1)</x:f>
        <x:v>0</x:v>
      </x:c>
      <x:c r="AB1975" s="10" t="n">
        <x:f>F1975/1</x:f>
        <x:v>1089.4651611114366</x:v>
      </x:c>
      <x:c r="AC1975" s="10" t="n">
        <x:f>AB1975/'Assumptions'!$AM$77</x:f>
        <x:v>21789.30322222873</x:v>
      </x:c>
      <x:c r="AD1975" s="10" t="n">
        <x:f>IF(AB1975=0,0,T1975/AB1975)</x:f>
        <x:v>1.6377233292258817</x:v>
      </x:c>
      <x:c r="AE1975" s="10" t="n">
        <x:f>AA1975*'Assumptions'!$D$21</x:f>
        <x:v>0</x:v>
      </x:c>
    </x:row>
    <x:row r="1976" ht="16" customHeight="1">
      <x:c r="A1976" s="1"/>
      <x:c r="B1976" s="1"/>
      <x:c r="C1976" s="1" t="str">
        <x:v>DOT-049</x:v>
      </x:c>
      <x:c r="D1976" s="10" t="str">
        <x:v>Turbo Tax - Made Easy!</x:v>
      </x:c>
      <x:c r="E1976" s="10" t="n">
        <x:v>16</x:v>
      </x:c>
      <x:c r="F1976" s="21" t="n">
        <x:f>F1848*(1+'Assumptions'!$M$78)</x:f>
        <x:v>363.1550537038121</x:v>
      </x:c>
      <x:c r="G1976" s="21" t="n">
        <x:f>H1848*'Assumptions'!$K$78</x:f>
        <x:v>116.39584778767374</x:v>
      </x:c>
      <x:c r="H1976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1976+G1976,NA())</x:f>
        <x:v>479.55090149148583</x:v>
      </x:c>
      <x:c r="I1976" s="22" t="n">
        <x:f>'Assumptions'!$H$78*IF('Assumptions'!$O$78=1,1,'Assumptions'!$D$10)*(1+'Assumptions'!$N$78)^(16-1)</x:f>
        <x:v>25.571498428158467</x:v>
      </x:c>
      <x:c r="J1976" s="10" t="n">
        <x:f>H1976*I1976</x:f>
        <x:v>12262.835123711506</x:v>
      </x:c>
      <x:c r="K1976" s="10" t="n">
        <x:f>J1976*'Assumptions'!$T$78</x:f>
        <x:v>12262.835123711506</x:v>
      </x:c>
      <x:c r="L1976" s="10" t="n">
        <x:f>K1976*'Assumptions'!$U$78</x:f>
        <x:v>367.88505371134517</x:v>
      </x:c>
      <x:c r="M1976" s="10" t="n">
        <x:f>K1976*'Assumptions'!$V$78</x:f>
        <x:v>0</x:v>
      </x:c>
      <x:c r="N1976" s="10" t="n">
        <x:f>K1976-L1976-M1976</x:f>
        <x:v>11894.95007000016</x:v>
      </x:c>
      <x:c r="O1976" s="10" t="n">
        <x:f>H1976*'Assumptions'!$P$78*'Assumptions'!$Q$78*'Assumptions'!$D$11*(1+'Assumptions'!$D$13)^(16-1)</x:f>
        <x:v>3922.4045654076053</x:v>
      </x:c>
      <x:c r="P1976" s="10" t="n">
        <x:f>H1976*'Assumptions'!$R$78*'Assumptions'!$D$11*(1+'Assumptions'!$D$13)^(16-1)</x:f>
        <x:v>0</x:v>
      </x:c>
      <x:c r="Q1976" s="10" t="n">
        <x:f>J1976*'Assumptions'!$S$78</x:f>
        <x:v>0</x:v>
      </x:c>
      <x:c r="R1976" s="10" t="n">
        <x:f>H1976*'Assumptions'!$Y$78*'Assumptions'!$Z$78*'Assumptions'!$D$11*(1+'Assumptions'!$D$13)^(16-1)</x:f>
        <x:v>2241.3740373757746</x:v>
      </x:c>
      <x:c r="S1976" s="10" t="n">
        <x:f>IF(I1976=0,0,J1976*'Assumptions'!$W$78+H1976*'Assumptions'!$X$78)</x:f>
        <x:v>499.4874890350794</x:v>
      </x:c>
      <x:c r="T1976" s="10" t="n">
        <x:f>N1976*'Assumptions'!$AA$78</x:f>
        <x:v>594.7475035000081</x:v>
      </x:c>
      <x:c r="U1976" s="10" t="n">
        <x:f>'Assumptions'!$AE$78*'Assumptions'!$D$11*(1+'Assumptions'!$D$13)^(16-1)</x:f>
        <x:v>0</x:v>
      </x:c>
      <x:c r="V1976" s="10" t="n">
        <x:f>0</x:f>
        <x:v>0</x:v>
      </x:c>
      <x:c r="W1976" s="10" t="n">
        <x:f>H1976*('Assumptions'!$P$78+'Assumptions'!$Y$78)</x:f>
        <x:v>119.88772537287146</x:v>
      </x:c>
      <x:c r="X1976" s="10" t="n">
        <x:f>N1976/12*'Assumptions'!$AF$78</x:f>
        <x:v>0</x:v>
      </x:c>
      <x:c r="Y1976" s="10" t="n">
        <x:f>P1976/12</x:f>
        <x:v>0</x:v>
      </x:c>
      <x:c r="Z1976" s="10" t="n">
        <x:f>0</x:f>
        <x:v>0</x:v>
      </x:c>
      <x:c r="AA1976" s="10" t="n">
        <x:f>Z1976*'Assumptions'!$AC$78*'Assumptions'!$D$11*(1+'Assumptions'!$D$13)^(16-1)</x:f>
        <x:v>0</x:v>
      </x:c>
      <x:c r="AB1976" s="10" t="n">
        <x:f>F1976/1</x:f>
        <x:v>363.1550537038121</x:v>
      </x:c>
      <x:c r="AC1976" s="10" t="n">
        <x:f>AB1976/'Assumptions'!$AM$78</x:f>
        <x:v>7263.101074076241</x:v>
      </x:c>
      <x:c r="AD1976" s="10" t="n">
        <x:f>IF(AB1976=0,0,T1976/AB1976)</x:f>
        <x:v>1.637723329013843</x:v>
      </x:c>
      <x:c r="AE1976" s="10" t="n">
        <x:f>AA1976*'Assumptions'!$D$21</x:f>
        <x:v>0</x:v>
      </x:c>
    </x:row>
    <x:row r="1977" ht="16" customHeight="1">
      <x:c r="A1977" s="1"/>
      <x:c r="B1977" s="1"/>
      <x:c r="C1977" s="1" t="str">
        <x:v>DOT-050</x:v>
      </x:c>
      <x:c r="D1977" s="10" t="str">
        <x:v>LavaLearning adult</x:v>
      </x:c>
      <x:c r="E1977" s="10" t="n">
        <x:v>16</x:v>
      </x:c>
      <x:c r="F1977" s="21" t="n">
        <x:f>F1849*(1+'Assumptions'!$M$79)</x:f>
        <x:v>1089.4651611114366</x:v>
      </x:c>
      <x:c r="G1977" s="21" t="n">
        <x:f>H1849*'Assumptions'!$K$79</x:f>
        <x:v>349.18754350271973</x:v>
      </x:c>
      <x:c r="H1977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1977+G1977,NA())</x:f>
        <x:v>1438.6527046141564</x:v>
      </x:c>
      <x:c r="I1977" s="22" t="n">
        <x:f>'Assumptions'!$H$79*IF('Assumptions'!$O$79=1,1,'Assumptions'!$D$10)*(1+'Assumptions'!$N$79)^(16-1)</x:f>
        <x:v>25.571498428158467</x:v>
      </x:c>
      <x:c r="J1977" s="10" t="n">
        <x:f>H1977*I1977</x:f>
        <x:v>36788.50537470683</x:v>
      </x:c>
      <x:c r="K1977" s="10" t="n">
        <x:f>J1977*'Assumptions'!$T$79</x:f>
        <x:v>36788.50537470683</x:v>
      </x:c>
      <x:c r="L1977" s="10" t="n">
        <x:f>K1977*'Assumptions'!$U$79</x:f>
        <x:v>1103.655161241205</x:v>
      </x:c>
      <x:c r="M1977" s="10" t="n">
        <x:f>K1977*'Assumptions'!$V$79</x:f>
        <x:v>0</x:v>
      </x:c>
      <x:c r="N1977" s="10" t="n">
        <x:f>K1977-L1977-M1977</x:f>
        <x:v>35684.85021346562</x:v>
      </x:c>
      <x:c r="O1977" s="10" t="n">
        <x:f>H1977*'Assumptions'!$P$79*'Assumptions'!$Q$79*'Assumptions'!$D$11*(1+'Assumptions'!$D$13)^(16-1)</x:f>
        <x:v>11767.21369736546</x:v>
      </x:c>
      <x:c r="P1977" s="10" t="n">
        <x:f>H1977*'Assumptions'!$R$79*'Assumptions'!$D$11*(1+'Assumptions'!$D$13)^(16-1)</x:f>
        <x:v>0</x:v>
      </x:c>
      <x:c r="Q1977" s="10" t="n">
        <x:f>J1977*'Assumptions'!$S$79</x:f>
        <x:v>0</x:v>
      </x:c>
      <x:c r="R1977" s="10" t="n">
        <x:f>H1977*'Assumptions'!$Y$79*'Assumptions'!$Z$79*'Assumptions'!$D$11*(1+'Assumptions'!$D$13)^(16-1)</x:f>
        <x:v>6724.122112780263</x:v>
      </x:c>
      <x:c r="S1977" s="10" t="n">
        <x:f>IF(I1977=0,0,J1977*'Assumptions'!$W$79+H1977*'Assumptions'!$X$79)</x:f>
        <x:v>1498.462467250745</x:v>
      </x:c>
      <x:c r="T1977" s="10" t="n">
        <x:f>N1977*'Assumptions'!$AA$79</x:f>
        <x:v>1784.2425106732812</x:v>
      </x:c>
      <x:c r="U1977" s="10" t="n">
        <x:f>'Assumptions'!$AE$79*'Assumptions'!$D$11*(1+'Assumptions'!$D$13)^(16-1)</x:f>
        <x:v>0</x:v>
      </x:c>
      <x:c r="V1977" s="10" t="n">
        <x:f>0</x:f>
        <x:v>0</x:v>
      </x:c>
      <x:c r="W1977" s="10" t="n">
        <x:f>H1977*('Assumptions'!$P$79+'Assumptions'!$Y$79)</x:f>
        <x:v>359.6631761535391</x:v>
      </x:c>
      <x:c r="X1977" s="10" t="n">
        <x:f>N1977/12*'Assumptions'!$AF$79</x:f>
        <x:v>0</x:v>
      </x:c>
      <x:c r="Y1977" s="10" t="n">
        <x:f>P1977/12</x:f>
        <x:v>0</x:v>
      </x:c>
      <x:c r="Z1977" s="10" t="n">
        <x:f>0</x:f>
        <x:v>0</x:v>
      </x:c>
      <x:c r="AA1977" s="10" t="n">
        <x:f>Z1977*'Assumptions'!$AC$79*'Assumptions'!$D$11*(1+'Assumptions'!$D$13)^(16-1)</x:f>
        <x:v>0</x:v>
      </x:c>
      <x:c r="AB1977" s="10" t="n">
        <x:f>F1977/1</x:f>
        <x:v>1089.4651611114366</x:v>
      </x:c>
      <x:c r="AC1977" s="10" t="n">
        <x:f>AB1977/'Assumptions'!$AM$79</x:f>
        <x:v>21789.30322222873</x:v>
      </x:c>
      <x:c r="AD1977" s="10" t="n">
        <x:f>IF(AB1977=0,0,T1977/AB1977)</x:f>
        <x:v>1.6377233291728719</x:v>
      </x:c>
      <x:c r="AE1977" s="10" t="n">
        <x:f>AA1977*'Assumptions'!$D$21</x:f>
        <x:v>0</x:v>
      </x:c>
    </x:row>
    <x:row r="1978" ht="16" customHeight="1">
      <x:c r="A1978" s="1"/>
      <x:c r="B1978" s="1"/>
      <x:c r="C1978" s="1" t="str">
        <x:v>DOT-051</x:v>
      </x:c>
      <x:c r="D1978" s="10" t="str">
        <x:v>LavaLearning adult</x:v>
      </x:c>
      <x:c r="E1978" s="10" t="n">
        <x:v>16</x:v>
      </x:c>
      <x:c r="F1978" s="21" t="n">
        <x:f>F1850*(1+'Assumptions'!$M$80)</x:f>
        <x:v>217.89303222228727</x:v>
      </x:c>
      <x:c r="G1978" s="21" t="n">
        <x:f>H1850*'Assumptions'!$K$80</x:f>
        <x:v>69.83750867260426</x:v>
      </x:c>
      <x:c r="H1978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1978+G1978,NA())</x:f>
        <x:v>287.73054089489153</x:v>
      </x:c>
      <x:c r="I1978" s="22" t="n">
        <x:f>'Assumptions'!$H$80*IF('Assumptions'!$O$80=1,1,'Assumptions'!$D$10)*(1+'Assumptions'!$N$80)^(16-1)</x:f>
        <x:v>39.030181811399764</x:v>
      </x:c>
      <x:c r="J1978" s="10" t="n">
        <x:f>H1978*I1978</x:f>
        <x:v>11230.17532382001</x:v>
      </x:c>
      <x:c r="K1978" s="10" t="n">
        <x:f>J1978*'Assumptions'!$T$80</x:f>
        <x:v>11230.17532382001</x:v>
      </x:c>
      <x:c r="L1978" s="10" t="n">
        <x:f>K1978*'Assumptions'!$U$80</x:f>
        <x:v>336.90525971460033</x:v>
      </x:c>
      <x:c r="M1978" s="10" t="n">
        <x:f>K1978*'Assumptions'!$V$80</x:f>
        <x:v>0</x:v>
      </x:c>
      <x:c r="N1978" s="10" t="n">
        <x:f>K1978-L1978-M1978</x:f>
        <x:v>10893.27006410541</x:v>
      </x:c>
      <x:c r="O1978" s="10" t="n">
        <x:f>H1978*'Assumptions'!$P$80*'Assumptions'!$Q$80*'Assumptions'!$D$11*(1+'Assumptions'!$D$13)^(16-1)</x:f>
        <x:v>2353.442739244563</x:v>
      </x:c>
      <x:c r="P1978" s="10" t="n">
        <x:f>H1978*'Assumptions'!$R$80*'Assumptions'!$D$11*(1+'Assumptions'!$D$13)^(16-1)</x:f>
        <x:v>0</x:v>
      </x:c>
      <x:c r="Q1978" s="10" t="n">
        <x:f>J1978*'Assumptions'!$S$80</x:f>
        <x:v>0</x:v>
      </x:c>
      <x:c r="R1978" s="10" t="n">
        <x:f>H1978*'Assumptions'!$Y$80*'Assumptions'!$Z$80*'Assumptions'!$D$11*(1+'Assumptions'!$D$13)^(16-1)</x:f>
        <x:v>1344.824422425465</x:v>
      </x:c>
      <x:c r="S1978" s="10" t="n">
        <x:f>IF(I1978=0,0,J1978*'Assumptions'!$W$80+H1978*'Assumptions'!$X$80)</x:f>
        <x:v>411.9942466592478</x:v>
      </x:c>
      <x:c r="T1978" s="10" t="n">
        <x:f>N1978*'Assumptions'!$AA$80</x:f>
        <x:v>544.6635032052706</x:v>
      </x:c>
      <x:c r="U1978" s="10" t="n">
        <x:f>'Assumptions'!$AE$80*'Assumptions'!$D$11*(1+'Assumptions'!$D$13)^(16-1)</x:f>
        <x:v>0</x:v>
      </x:c>
      <x:c r="V1978" s="10" t="n">
        <x:f>0</x:f>
        <x:v>0</x:v>
      </x:c>
      <x:c r="W1978" s="10" t="n">
        <x:f>H1978*('Assumptions'!$P$80+'Assumptions'!$Y$80)</x:f>
        <x:v>71.93263522372288</x:v>
      </x:c>
      <x:c r="X1978" s="10" t="n">
        <x:f>N1978/12*'Assumptions'!$AF$80</x:f>
        <x:v>0</x:v>
      </x:c>
      <x:c r="Y1978" s="10" t="n">
        <x:f>P1978/12</x:f>
        <x:v>0</x:v>
      </x:c>
      <x:c r="Z1978" s="10" t="n">
        <x:f>0</x:f>
        <x:v>0</x:v>
      </x:c>
      <x:c r="AA1978" s="10" t="n">
        <x:f>Z1978*'Assumptions'!$AC$80*'Assumptions'!$D$11*(1+'Assumptions'!$D$13)^(16-1)</x:f>
        <x:v>0</x:v>
      </x:c>
      <x:c r="AB1978" s="10" t="n">
        <x:f>F1978/1</x:f>
        <x:v>217.89303222228727</x:v>
      </x:c>
      <x:c r="AC1978" s="10" t="n">
        <x:f>AB1978/'Assumptions'!$AM$80</x:f>
        <x:v>4357.8606444457455</x:v>
      </x:c>
      <x:c r="AD1978" s="10" t="n">
        <x:f>IF(AB1978=0,0,T1978/AB1978)</x:f>
        <x:v>2.4996829758632337</x:v>
      </x:c>
      <x:c r="AE1978" s="10" t="n">
        <x:f>AA1978*'Assumptions'!$D$21</x:f>
        <x:v>0</x:v>
      </x:c>
    </x:row>
    <x:row r="1979" ht="16" customHeight="1">
      <x:c r="A1979" s="1"/>
      <x:c r="B1979" s="1"/>
      <x:c r="C1979" s="1" t="str">
        <x:v>DOT-052</x:v>
      </x:c>
      <x:c r="D1979" s="10" t="str">
        <x:v>LavaLearning Model Life</x:v>
      </x:c>
      <x:c r="E1979" s="10" t="n">
        <x:v>16</x:v>
      </x:c>
      <x:c r="F1979" s="21" t="n">
        <x:f>F1851*(1+'Assumptions'!$M$81)</x:f>
        <x:v>0</x:v>
      </x:c>
      <x:c r="G1979" s="21" t="n">
        <x:f>H1851*'Assumptions'!$K$81</x:f>
        <x:v>0</x:v>
      </x:c>
      <x:c r="H1979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1979+G1979,NA())</x:f>
        <x:v>0</x:v>
      </x:c>
      <x:c r="I1979" s="22" t="n">
        <x:f>'Assumptions'!$H$81*IF('Assumptions'!$O$81=1,1,'Assumptions'!$D$10)*(1+'Assumptions'!$N$81)^(16-1)</x:f>
        <x:v>0</x:v>
      </x:c>
      <x:c r="J1979" s="10" t="n">
        <x:f>H1979*I1979</x:f>
        <x:v>0</x:v>
      </x:c>
      <x:c r="K1979" s="10" t="n">
        <x:f>J1979*'Assumptions'!$T$81</x:f>
        <x:v>0</x:v>
      </x:c>
      <x:c r="L1979" s="10" t="n">
        <x:f>K1979*'Assumptions'!$U$81</x:f>
        <x:v>0</x:v>
      </x:c>
      <x:c r="M1979" s="10" t="n">
        <x:f>K1979*'Assumptions'!$V$81</x:f>
        <x:v>0</x:v>
      </x:c>
      <x:c r="N1979" s="10" t="n">
        <x:f>K1979-L1979-M1979</x:f>
        <x:v>0</x:v>
      </x:c>
      <x:c r="O1979" s="10" t="n">
        <x:f>H1979*'Assumptions'!$P$81*'Assumptions'!$Q$81*'Assumptions'!$D$11*(1+'Assumptions'!$D$13)^(16-1)</x:f>
        <x:v>0</x:v>
      </x:c>
      <x:c r="P1979" s="10" t="n">
        <x:f>H1979*'Assumptions'!$R$81*'Assumptions'!$D$11*(1+'Assumptions'!$D$13)^(16-1)</x:f>
        <x:v>0</x:v>
      </x:c>
      <x:c r="Q1979" s="10" t="n">
        <x:f>J1979*'Assumptions'!$S$81</x:f>
        <x:v>0</x:v>
      </x:c>
      <x:c r="R1979" s="10" t="n">
        <x:f>H1979*'Assumptions'!$Y$81*'Assumptions'!$Z$81*'Assumptions'!$D$11*(1+'Assumptions'!$D$13)^(16-1)</x:f>
        <x:v>0</x:v>
      </x:c>
      <x:c r="S1979" s="10" t="n">
        <x:f>IF(I1979=0,0,J1979*'Assumptions'!$W$81+H1979*'Assumptions'!$X$81)</x:f>
        <x:v>0</x:v>
      </x:c>
      <x:c r="T1979" s="10" t="n">
        <x:f>N1979*'Assumptions'!$AA$81</x:f>
        <x:v>0</x:v>
      </x:c>
      <x:c r="U1979" s="10" t="n">
        <x:f>'Assumptions'!$AE$81*'Assumptions'!$D$11*(1+'Assumptions'!$D$13)^(16-1)</x:f>
        <x:v>0</x:v>
      </x:c>
      <x:c r="V1979" s="10" t="n">
        <x:f>0</x:f>
        <x:v>0</x:v>
      </x:c>
      <x:c r="W1979" s="10" t="n">
        <x:f>H1979*('Assumptions'!$P$81+'Assumptions'!$Y$81)</x:f>
        <x:v>0</x:v>
      </x:c>
      <x:c r="X1979" s="10" t="n">
        <x:f>N1979/12*'Assumptions'!$AF$81</x:f>
        <x:v>0</x:v>
      </x:c>
      <x:c r="Y1979" s="10" t="n">
        <x:f>P1979/12</x:f>
        <x:v>0</x:v>
      </x:c>
      <x:c r="Z1979" s="10" t="n">
        <x:f>0</x:f>
        <x:v>0</x:v>
      </x:c>
      <x:c r="AA1979" s="10" t="n">
        <x:f>Z1979*'Assumptions'!$AC$81*'Assumptions'!$D$11*(1+'Assumptions'!$D$13)^(16-1)</x:f>
        <x:v>0</x:v>
      </x:c>
      <x:c r="AB1979" s="10" t="n">
        <x:f>F1979/1</x:f>
        <x:v>0</x:v>
      </x:c>
      <x:c r="AC1979" s="10" t="n">
        <x:f>AB1979/'Assumptions'!$AM$81</x:f>
        <x:v>0</x:v>
      </x:c>
      <x:c r="AD1979" s="10" t="n">
        <x:f>IF(AB1979=0,0,T1979/AB1979)</x:f>
        <x:v>0</x:v>
      </x:c>
      <x:c r="AE1979" s="10" t="n">
        <x:f>AA1979*'Assumptions'!$D$21</x:f>
        <x:v>0</x:v>
      </x:c>
    </x:row>
    <x:row r="1980" ht="16" customHeight="1">
      <x:c r="A1980" s="1"/>
      <x:c r="B1980" s="1"/>
      <x:c r="C1980" s="1" t="str">
        <x:v>DOT-053</x:v>
      </x:c>
      <x:c r="D1980" s="10" t="str">
        <x:v>LavaLearning Kids</x:v>
      </x:c>
      <x:c r="E1980" s="10" t="n">
        <x:v>16</x:v>
      </x:c>
      <x:c r="F1980" s="21" t="n">
        <x:f>F1852*(1+'Assumptions'!$M$82)</x:f>
        <x:v>1089.4651611114366</x:v>
      </x:c>
      <x:c r="G1980" s="21" t="n">
        <x:f>H1852*'Assumptions'!$K$82</x:f>
        <x:v>349.18754336302135</x:v>
      </x:c>
      <x:c r="H1980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1980+G1980,NA())</x:f>
        <x:v>1438.652704474458</x:v>
      </x:c>
      <x:c r="I1980" s="22" t="n">
        <x:f>'Assumptions'!$H$82*IF('Assumptions'!$O$82=1,1,'Assumptions'!$D$10)*(1+'Assumptions'!$N$82)^(16-1)</x:f>
        <x:v>25.571498428158467</x:v>
      </x:c>
      <x:c r="J1980" s="10" t="n">
        <x:f>H1980*I1980</x:f>
        <x:v>36788.50537113453</x:v>
      </x:c>
      <x:c r="K1980" s="10" t="n">
        <x:f>J1980*'Assumptions'!$T$82</x:f>
        <x:v>36788.50537113453</x:v>
      </x:c>
      <x:c r="L1980" s="10" t="n">
        <x:f>K1980*'Assumptions'!$U$82</x:f>
        <x:v>1103.655161134036</x:v>
      </x:c>
      <x:c r="M1980" s="10" t="n">
        <x:f>K1980*'Assumptions'!$V$82</x:f>
        <x:v>0</x:v>
      </x:c>
      <x:c r="N1980" s="10" t="n">
        <x:f>K1980-L1980-M1980</x:f>
        <x:v>35684.8502100005</x:v>
      </x:c>
      <x:c r="O1980" s="10" t="n">
        <x:f>H1980*'Assumptions'!$P$82*'Assumptions'!$Q$82*'Assumptions'!$D$11*(1+'Assumptions'!$D$13)^(16-1)</x:f>
        <x:v>11767.21369622282</x:v>
      </x:c>
      <x:c r="P1980" s="10" t="n">
        <x:f>H1980*'Assumptions'!$R$82*'Assumptions'!$D$11*(1+'Assumptions'!$D$13)^(16-1)</x:f>
        <x:v>0</x:v>
      </x:c>
      <x:c r="Q1980" s="10" t="n">
        <x:f>J1980*'Assumptions'!$S$82</x:f>
        <x:v>0</x:v>
      </x:c>
      <x:c r="R1980" s="10" t="n">
        <x:f>H1980*'Assumptions'!$Y$82*'Assumptions'!$Z$82*'Assumptions'!$D$11*(1+'Assumptions'!$D$13)^(16-1)</x:f>
        <x:v>6724.122112127326</x:v>
      </x:c>
      <x:c r="S1980" s="10" t="n">
        <x:f>IF(I1980=0,0,J1980*'Assumptions'!$W$82+H1980*'Assumptions'!$X$82)</x:f>
        <x:v>1498.4624671052388</x:v>
      </x:c>
      <x:c r="T1980" s="10" t="n">
        <x:f>N1980*'Assumptions'!$AA$82</x:f>
        <x:v>1784.242510500025</x:v>
      </x:c>
      <x:c r="U1980" s="10" t="n">
        <x:f>'Assumptions'!$AE$82*'Assumptions'!$D$11*(1+'Assumptions'!$D$13)^(16-1)</x:f>
        <x:v>373.91217998418364</x:v>
      </x:c>
      <x:c r="V1980" s="10" t="n">
        <x:f>0</x:f>
        <x:v>0</x:v>
      </x:c>
      <x:c r="W1980" s="10" t="n">
        <x:f>H1980*('Assumptions'!$P$82+'Assumptions'!$Y$82)</x:f>
        <x:v>359.6631761186145</x:v>
      </x:c>
      <x:c r="X1980" s="10" t="n">
        <x:f>N1980/12*'Assumptions'!$AF$82</x:f>
        <x:v>0</x:v>
      </x:c>
      <x:c r="Y1980" s="10" t="n">
        <x:f>P1980/12</x:f>
        <x:v>0</x:v>
      </x:c>
      <x:c r="Z1980" s="10" t="n">
        <x:f>0</x:f>
        <x:v>0</x:v>
      </x:c>
      <x:c r="AA1980" s="10" t="n">
        <x:f>Z1980*'Assumptions'!$AC$82*'Assumptions'!$D$11*(1+'Assumptions'!$D$13)^(16-1)</x:f>
        <x:v>0</x:v>
      </x:c>
      <x:c r="AB1980" s="10" t="n">
        <x:f>F1980/1</x:f>
        <x:v>1089.4651611114366</x:v>
      </x:c>
      <x:c r="AC1980" s="10" t="n">
        <x:f>AB1980/'Assumptions'!$AM$82</x:f>
        <x:v>21789.30322222873</x:v>
      </x:c>
      <x:c r="AD1980" s="10" t="n">
        <x:f>IF(AB1980=0,0,T1980/AB1980)</x:f>
        <x:v>1.6377233290138433</x:v>
      </x:c>
      <x:c r="AE1980" s="10" t="n">
        <x:f>AA1980*'Assumptions'!$D$21</x:f>
        <x:v>0</x:v>
      </x:c>
    </x:row>
    <x:row r="1981" ht="16" customHeight="1">
      <x:c r="A1981" s="1"/>
      <x:c r="B1981" s="1"/>
      <x:c r="C1981" s="1" t="str">
        <x:v>DOT-054</x:v>
      </x:c>
      <x:c r="D1981" s="10" t="str">
        <x:v>VraiSkill adult</x:v>
      </x:c>
      <x:c r="E1981" s="10" t="n">
        <x:v>16</x:v>
      </x:c>
      <x:c r="F1981" s="21" t="n">
        <x:f>F1853*(1+'Assumptions'!$M$83)</x:f>
        <x:v>2178.930322222873</x:v>
      </x:c>
      <x:c r="G1981" s="21" t="n">
        <x:f>H1853*'Assumptions'!$K$83</x:f>
        <x:v>698.3750870054395</x:v>
      </x:c>
      <x:c r="H1981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1981+G1981,NA())</x:f>
        <x:v>2877.305409228313</x:v>
      </x:c>
      <x:c r="I1981" s="22" t="n">
        <x:f>'Assumptions'!$H$83*IF('Assumptions'!$O$83=1,1,'Assumptions'!$D$10)*(1+'Assumptions'!$N$83)^(16-1)</x:f>
        <x:v>13.445224699858057</x:v>
      </x:c>
      <x:c r="J1981" s="10" t="n">
        <x:f>H1981*I1981</x:f>
        <x:v>38686.01775719171</x:v>
      </x:c>
      <x:c r="K1981" s="10" t="n">
        <x:f>J1981*'Assumptions'!$T$83</x:f>
        <x:v>38686.01775719171</x:v>
      </x:c>
      <x:c r="L1981" s="10" t="n">
        <x:f>K1981*'Assumptions'!$U$83</x:f>
        <x:v>1160.5805327157511</x:v>
      </x:c>
      <x:c r="M1981" s="10" t="n">
        <x:f>K1981*'Assumptions'!$V$83</x:f>
        <x:v>0</x:v>
      </x:c>
      <x:c r="N1981" s="10" t="n">
        <x:f>K1981-L1981-M1981</x:f>
        <x:v>37525.43722447596</x:v>
      </x:c>
      <x:c r="O1981" s="10" t="n">
        <x:f>H1981*'Assumptions'!$P$83*'Assumptions'!$Q$83*'Assumptions'!$D$11*(1+'Assumptions'!$D$13)^(16-1)</x:f>
        <x:v>23534.42739473092</x:v>
      </x:c>
      <x:c r="P1981" s="10" t="n">
        <x:f>H1981*'Assumptions'!$R$83*'Assumptions'!$D$11*(1+'Assumptions'!$D$13)^(16-1)</x:f>
        <x:v>0</x:v>
      </x:c>
      <x:c r="Q1981" s="10" t="n">
        <x:f>J1981*'Assumptions'!$S$83</x:f>
        <x:v>0</x:v>
      </x:c>
      <x:c r="R1981" s="10" t="n">
        <x:f>H1981*'Assumptions'!$Y$83*'Assumptions'!$Z$83*'Assumptions'!$D$11*(1+'Assumptions'!$D$13)^(16-1)</x:f>
        <x:v>13448.244225560526</x:v>
      </x:c>
      <x:c r="S1981" s="10" t="n">
        <x:f>IF(I1981=0,0,J1981*'Assumptions'!$W$83+H1981*'Assumptions'!$X$83)</x:f>
        <x:v>1985.0861377270535</x:v>
      </x:c>
      <x:c r="T1981" s="10" t="n">
        <x:f>N1981*'Assumptions'!$AA$83</x:f>
        <x:v>1876.271861223798</x:v>
      </x:c>
      <x:c r="U1981" s="10" t="n">
        <x:f>'Assumptions'!$AE$83*'Assumptions'!$D$11*(1+'Assumptions'!$D$13)^(16-1)</x:f>
        <x:v>373.91217998418364</x:v>
      </x:c>
      <x:c r="V1981" s="10" t="n">
        <x:f>0</x:f>
        <x:v>0</x:v>
      </x:c>
      <x:c r="W1981" s="10" t="n">
        <x:f>H1981*('Assumptions'!$P$83+'Assumptions'!$Y$83)</x:f>
        <x:v>719.3263523070782</x:v>
      </x:c>
      <x:c r="X1981" s="10" t="n">
        <x:f>N1981/12*'Assumptions'!$AF$83</x:f>
        <x:v>0</x:v>
      </x:c>
      <x:c r="Y1981" s="10" t="n">
        <x:f>P1981/12</x:f>
        <x:v>0</x:v>
      </x:c>
      <x:c r="Z1981" s="10" t="n">
        <x:f>0</x:f>
        <x:v>0</x:v>
      </x:c>
      <x:c r="AA1981" s="10" t="n">
        <x:f>Z1981*'Assumptions'!$AC$83*'Assumptions'!$D$11*(1+'Assumptions'!$D$13)^(16-1)</x:f>
        <x:v>0</x:v>
      </x:c>
      <x:c r="AB1981" s="10" t="n">
        <x:f>F1981/1</x:f>
        <x:v>2178.930322222873</x:v>
      </x:c>
      <x:c r="AC1981" s="10" t="n">
        <x:f>AB1981/'Assumptions'!$AM$83</x:f>
        <x:v>43578.60644445746</x:v>
      </x:c>
      <x:c r="AD1981" s="10" t="n">
        <x:f>IF(AB1981=0,0,T1981/AB1981)</x:f>
        <x:v>0.8610976872861574</x:v>
      </x:c>
      <x:c r="AE1981" s="10" t="n">
        <x:f>AA1981*'Assumptions'!$D$21</x:f>
        <x:v>0</x:v>
      </x:c>
    </x:row>
    <x:row r="1982" ht="16" customHeight="1">
      <x:c r="A1982" s="1"/>
      <x:c r="B1982" s="1"/>
      <x:c r="C1982" s="1" t="str">
        <x:v>DOT-055</x:v>
      </x:c>
      <x:c r="D1982" s="10" t="str">
        <x:v>VraiSkill adult</x:v>
      </x:c>
      <x:c r="E1982" s="10" t="n">
        <x:v>16</x:v>
      </x:c>
      <x:c r="F1982" s="21" t="n">
        <x:f>F1854*(1+'Assumptions'!$M$84)</x:f>
        <x:v>726.3101074076242</x:v>
      </x:c>
      <x:c r="G1982" s="21" t="n">
        <x:f>H1854*'Assumptions'!$K$84</x:f>
        <x:v>232.79169566847975</x:v>
      </x:c>
      <x:c r="H1982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1982+G1982,NA())</x:f>
        <x:v>959.1018030761039</x:v>
      </x:c>
      <x:c r="I1982" s="22" t="n">
        <x:f>'Assumptions'!$H$84*IF('Assumptions'!$O$84=1,1,'Assumptions'!$D$10)*(1+'Assumptions'!$N$84)^(16-1)</x:f>
        <x:v>32.30084011977912</x:v>
      </x:c>
      <x:c r="J1982" s="10" t="n">
        <x:f>H1982*I1982</x:f>
        <x:v>30979.793999753107</x:v>
      </x:c>
      <x:c r="K1982" s="10" t="n">
        <x:f>J1982*'Assumptions'!$T$84</x:f>
        <x:v>30979.793999753107</x:v>
      </x:c>
      <x:c r="L1982" s="10" t="n">
        <x:f>K1982*'Assumptions'!$U$84</x:f>
        <x:v>929.3938199925932</x:v>
      </x:c>
      <x:c r="M1982" s="10" t="n">
        <x:f>K1982*'Assumptions'!$V$84</x:f>
        <x:v>0</x:v>
      </x:c>
      <x:c r="N1982" s="10" t="n">
        <x:f>K1982-L1982-M1982</x:f>
        <x:v>30050.400179760512</x:v>
      </x:c>
      <x:c r="O1982" s="10" t="n">
        <x:f>H1982*'Assumptions'!$P$84*'Assumptions'!$Q$84*'Assumptions'!$D$11*(1+'Assumptions'!$D$13)^(16-1)</x:f>
        <x:v>7844.80913157697</x:v>
      </x:c>
      <x:c r="P1982" s="10" t="n">
        <x:f>H1982*'Assumptions'!$R$84*'Assumptions'!$D$11*(1+'Assumptions'!$D$13)^(16-1)</x:f>
        <x:v>0</x:v>
      </x:c>
      <x:c r="Q1982" s="10" t="n">
        <x:f>J1982*'Assumptions'!$S$84</x:f>
        <x:v>0</x:v>
      </x:c>
      <x:c r="R1982" s="10" t="n">
        <x:f>H1982*'Assumptions'!$Y$84*'Assumptions'!$Z$84*'Assumptions'!$D$11*(1+'Assumptions'!$D$13)^(16-1)</x:f>
        <x:v>4482.748075186841</x:v>
      </x:c>
      <x:c r="S1982" s="10" t="n">
        <x:f>IF(I1982=0,0,J1982*'Assumptions'!$W$84+H1982*'Assumptions'!$X$84)</x:f>
        <x:v>1186.1445669156712</x:v>
      </x:c>
      <x:c r="T1982" s="10" t="n">
        <x:f>N1982*'Assumptions'!$AA$84</x:f>
        <x:v>1502.5200089880257</x:v>
      </x:c>
      <x:c r="U1982" s="10" t="n">
        <x:f>'Assumptions'!$AE$84*'Assumptions'!$D$11*(1+'Assumptions'!$D$13)^(16-1)</x:f>
        <x:v>0</x:v>
      </x:c>
      <x:c r="V1982" s="10" t="n">
        <x:f>0</x:f>
        <x:v>0</x:v>
      </x:c>
      <x:c r="W1982" s="10" t="n">
        <x:f>H1982*('Assumptions'!$P$84+'Assumptions'!$Y$84)</x:f>
        <x:v>239.77545076902598</x:v>
      </x:c>
      <x:c r="X1982" s="10" t="n">
        <x:f>N1982/12*'Assumptions'!$AF$84</x:f>
        <x:v>0</x:v>
      </x:c>
      <x:c r="Y1982" s="10" t="n">
        <x:f>P1982/12</x:f>
        <x:v>0</x:v>
      </x:c>
      <x:c r="Z1982" s="10" t="n">
        <x:f>0</x:f>
        <x:v>0</x:v>
      </x:c>
      <x:c r="AA1982" s="10" t="n">
        <x:f>Z1982*'Assumptions'!$AC$84*'Assumptions'!$D$11*(1+'Assumptions'!$D$13)^(16-1)</x:f>
        <x:v>0</x:v>
      </x:c>
      <x:c r="AB1982" s="10" t="n">
        <x:f>F1982/1</x:f>
        <x:v>726.3101074076242</x:v>
      </x:c>
      <x:c r="AC1982" s="10" t="n">
        <x:f>AB1982/'Assumptions'!$AM$84</x:f>
        <x:v>14526.202148152483</x:v>
      </x:c>
      <x:c r="AD1982" s="10" t="n">
        <x:f>IF(AB1982=0,0,T1982/AB1982)</x:f>
        <x:v>2.068703152639417</x:v>
      </x:c>
      <x:c r="AE1982" s="10" t="n">
        <x:f>AA1982*'Assumptions'!$D$21</x:f>
        <x:v>0</x:v>
      </x:c>
    </x:row>
    <x:row r="1983" ht="16" customHeight="1">
      <x:c r="A1983" s="1"/>
      <x:c r="B1983" s="1"/>
      <x:c r="C1983" s="1" t="str">
        <x:v>DOT-056</x:v>
      </x:c>
      <x:c r="D1983" s="10" t="str">
        <x:v>VraiSkill teen</x:v>
      </x:c>
      <x:c r="E1983" s="10" t="n">
        <x:v>16</x:v>
      </x:c>
      <x:c r="F1983" s="21" t="n">
        <x:f>F1855*(1+'Assumptions'!$M$85)</x:f>
        <x:v>726.3101074076242</x:v>
      </x:c>
      <x:c r="G1983" s="21" t="n">
        <x:f>H1855*'Assumptions'!$K$85</x:f>
        <x:v>232.7916955753475</x:v>
      </x:c>
      <x:c r="H1983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1983+G1983,NA())</x:f>
        <x:v>959.1018029829717</x:v>
      </x:c>
      <x:c r="I1983" s="22" t="n">
        <x:f>'Assumptions'!$H$85*IF('Assumptions'!$O$85=1,1,'Assumptions'!$D$10)*(1+'Assumptions'!$N$85)^(16-1)</x:f>
        <x:v>32.30084011977912</x:v>
      </x:c>
      <x:c r="J1983" s="10" t="n">
        <x:f>H1983*I1983</x:f>
        <x:v>30979.79399674486</x:v>
      </x:c>
      <x:c r="K1983" s="10" t="n">
        <x:f>J1983*'Assumptions'!$T$85</x:f>
        <x:v>30979.79399674486</x:v>
      </x:c>
      <x:c r="L1983" s="10" t="n">
        <x:f>K1983*'Assumptions'!$U$85</x:f>
        <x:v>929.3938199023457</x:v>
      </x:c>
      <x:c r="M1983" s="10" t="n">
        <x:f>K1983*'Assumptions'!$V$85</x:f>
        <x:v>0</x:v>
      </x:c>
      <x:c r="N1983" s="10" t="n">
        <x:f>K1983-L1983-M1983</x:f>
        <x:v>30050.40017684251</x:v>
      </x:c>
      <x:c r="O1983" s="10" t="n">
        <x:f>H1983*'Assumptions'!$P$85*'Assumptions'!$Q$85*'Assumptions'!$D$11*(1+'Assumptions'!$D$13)^(16-1)</x:f>
        <x:v>7844.809130815211</x:v>
      </x:c>
      <x:c r="P1983" s="10" t="n">
        <x:f>H1983*'Assumptions'!$R$85*'Assumptions'!$D$11*(1+'Assumptions'!$D$13)^(16-1)</x:f>
        <x:v>0</x:v>
      </x:c>
      <x:c r="Q1983" s="10" t="n">
        <x:f>J1983*'Assumptions'!$S$85</x:f>
        <x:v>0</x:v>
      </x:c>
      <x:c r="R1983" s="10" t="n">
        <x:f>H1983*'Assumptions'!$Y$85*'Assumptions'!$Z$85*'Assumptions'!$D$11*(1+'Assumptions'!$D$13)^(16-1)</x:f>
        <x:v>4482.748074751549</x:v>
      </x:c>
      <x:c r="S1983" s="10" t="n">
        <x:f>IF(I1983=0,0,J1983*'Assumptions'!$W$85+H1983*'Assumptions'!$X$85)</x:f>
        <x:v>1186.1445668004924</x:v>
      </x:c>
      <x:c r="T1983" s="10" t="n">
        <x:f>N1983*'Assumptions'!$AA$85</x:f>
        <x:v>1502.5200088421257</x:v>
      </x:c>
      <x:c r="U1983" s="10" t="n">
        <x:f>'Assumptions'!$AE$85*'Assumptions'!$D$11*(1+'Assumptions'!$D$13)^(16-1)</x:f>
        <x:v>373.91217998418364</x:v>
      </x:c>
      <x:c r="V1983" s="10" t="n">
        <x:f>0</x:f>
        <x:v>0</x:v>
      </x:c>
      <x:c r="W1983" s="10" t="n">
        <x:f>H1983*('Assumptions'!$P$85+'Assumptions'!$Y$85)</x:f>
        <x:v>239.77545074574292</x:v>
      </x:c>
      <x:c r="X1983" s="10" t="n">
        <x:f>N1983/12*'Assumptions'!$AF$85</x:f>
        <x:v>0</x:v>
      </x:c>
      <x:c r="Y1983" s="10" t="n">
        <x:f>P1983/12</x:f>
        <x:v>0</x:v>
      </x:c>
      <x:c r="Z1983" s="10" t="n">
        <x:f>0</x:f>
        <x:v>0</x:v>
      </x:c>
      <x:c r="AA1983" s="10" t="n">
        <x:f>Z1983*'Assumptions'!$AC$85*'Assumptions'!$D$11*(1+'Assumptions'!$D$13)^(16-1)</x:f>
        <x:v>0</x:v>
      </x:c>
      <x:c r="AB1983" s="10" t="n">
        <x:f>F1983/1</x:f>
        <x:v>726.3101074076242</x:v>
      </x:c>
      <x:c r="AC1983" s="10" t="n">
        <x:f>AB1983/'Assumptions'!$AM$85</x:f>
        <x:v>14526.202148152483</x:v>
      </x:c>
      <x:c r="AD1983" s="10" t="n">
        <x:f>IF(AB1983=0,0,T1983/AB1983)</x:f>
        <x:v>2.0687031524385384</x:v>
      </x:c>
      <x:c r="AE1983" s="10" t="n">
        <x:f>AA1983*'Assumptions'!$D$21</x:f>
        <x:v>0</x:v>
      </x:c>
    </x:row>
    <x:row r="1984" ht="16" customHeight="1">
      <x:c r="A1984" s="1"/>
      <x:c r="B1984" s="1"/>
      <x:c r="C1984" s="1" t="str">
        <x:v>DOT-057</x:v>
      </x:c>
      <x:c r="D1984" s="10" t="str">
        <x:v>VraiSkill Model Life</x:v>
      </x:c>
      <x:c r="E1984" s="10" t="n">
        <x:v>16</x:v>
      </x:c>
      <x:c r="F1984" s="21" t="n">
        <x:f>F1856*(1+'Assumptions'!$M$86)</x:f>
        <x:v>0</x:v>
      </x:c>
      <x:c r="G1984" s="21" t="n">
        <x:f>H1856*'Assumptions'!$K$86</x:f>
        <x:v>0</x:v>
      </x:c>
      <x:c r="H1984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1984+G1984,NA())</x:f>
        <x:v>0</x:v>
      </x:c>
      <x:c r="I1984" s="22" t="n">
        <x:f>'Assumptions'!$H$86*IF('Assumptions'!$O$86=1,1,'Assumptions'!$D$10)*(1+'Assumptions'!$N$86)^(16-1)</x:f>
        <x:v>0</x:v>
      </x:c>
      <x:c r="J1984" s="10" t="n">
        <x:f>H1984*I1984</x:f>
        <x:v>0</x:v>
      </x:c>
      <x:c r="K1984" s="10" t="n">
        <x:f>J1984*'Assumptions'!$T$86</x:f>
        <x:v>0</x:v>
      </x:c>
      <x:c r="L1984" s="10" t="n">
        <x:f>K1984*'Assumptions'!$U$86</x:f>
        <x:v>0</x:v>
      </x:c>
      <x:c r="M1984" s="10" t="n">
        <x:f>K1984*'Assumptions'!$V$86</x:f>
        <x:v>0</x:v>
      </x:c>
      <x:c r="N1984" s="10" t="n">
        <x:f>K1984-L1984-M1984</x:f>
        <x:v>0</x:v>
      </x:c>
      <x:c r="O1984" s="10" t="n">
        <x:f>H1984*'Assumptions'!$P$86*'Assumptions'!$Q$86*'Assumptions'!$D$11*(1+'Assumptions'!$D$13)^(16-1)</x:f>
        <x:v>0</x:v>
      </x:c>
      <x:c r="P1984" s="10" t="n">
        <x:f>H1984*'Assumptions'!$R$86*'Assumptions'!$D$11*(1+'Assumptions'!$D$13)^(16-1)</x:f>
        <x:v>0</x:v>
      </x:c>
      <x:c r="Q1984" s="10" t="n">
        <x:f>J1984*'Assumptions'!$S$86</x:f>
        <x:v>0</x:v>
      </x:c>
      <x:c r="R1984" s="10" t="n">
        <x:f>H1984*'Assumptions'!$Y$86*'Assumptions'!$Z$86*'Assumptions'!$D$11*(1+'Assumptions'!$D$13)^(16-1)</x:f>
        <x:v>0</x:v>
      </x:c>
      <x:c r="S1984" s="10" t="n">
        <x:f>IF(I1984=0,0,J1984*'Assumptions'!$W$86+H1984*'Assumptions'!$X$86)</x:f>
        <x:v>0</x:v>
      </x:c>
      <x:c r="T1984" s="10" t="n">
        <x:f>N1984*'Assumptions'!$AA$86</x:f>
        <x:v>0</x:v>
      </x:c>
      <x:c r="U1984" s="10" t="n">
        <x:f>'Assumptions'!$AE$86*'Assumptions'!$D$11*(1+'Assumptions'!$D$13)^(16-1)</x:f>
        <x:v>0</x:v>
      </x:c>
      <x:c r="V1984" s="10" t="n">
        <x:f>0</x:f>
        <x:v>0</x:v>
      </x:c>
      <x:c r="W1984" s="10" t="n">
        <x:f>H1984*('Assumptions'!$P$86+'Assumptions'!$Y$86)</x:f>
        <x:v>0</x:v>
      </x:c>
      <x:c r="X1984" s="10" t="n">
        <x:f>N1984/12*'Assumptions'!$AF$86</x:f>
        <x:v>0</x:v>
      </x:c>
      <x:c r="Y1984" s="10" t="n">
        <x:f>P1984/12</x:f>
        <x:v>0</x:v>
      </x:c>
      <x:c r="Z1984" s="10" t="n">
        <x:f>0</x:f>
        <x:v>0</x:v>
      </x:c>
      <x:c r="AA1984" s="10" t="n">
        <x:f>Z1984*'Assumptions'!$AC$86*'Assumptions'!$D$11*(1+'Assumptions'!$D$13)^(16-1)</x:f>
        <x:v>0</x:v>
      </x:c>
      <x:c r="AB1984" s="10" t="n">
        <x:f>F1984/1</x:f>
        <x:v>0</x:v>
      </x:c>
      <x:c r="AC1984" s="10" t="n">
        <x:f>AB1984/'Assumptions'!$AM$86</x:f>
        <x:v>0</x:v>
      </x:c>
      <x:c r="AD1984" s="10" t="n">
        <x:f>IF(AB1984=0,0,T1984/AB1984)</x:f>
        <x:v>0</x:v>
      </x:c>
      <x:c r="AE1984" s="10" t="n">
        <x:f>AA1984*'Assumptions'!$D$21</x:f>
        <x:v>0</x:v>
      </x:c>
    </x:row>
    <x:row r="1985" ht="16" customHeight="1">
      <x:c r="A1985" s="1"/>
      <x:c r="B1985" s="1"/>
      <x:c r="C1985" s="1" t="str">
        <x:v>DOT-058</x:v>
      </x:c>
      <x:c r="D1985" s="10" t="str">
        <x:v>Model Life</x:v>
      </x:c>
      <x:c r="E1985" s="10" t="n">
        <x:v>16</x:v>
      </x:c>
      <x:c r="F1985" s="21" t="n">
        <x:f>F1857*(1+'Assumptions'!$M$87)</x:f>
        <x:v>413.33001902412644</x:v>
      </x:c>
      <x:c r="G1985" s="21" t="n">
        <x:f>H1857*'Assumptions'!$K$87</x:f>
        <x:v>872.0010757007753</x:v>
      </x:c>
      <x:c r="H1985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1985+G1985,NA())</x:f>
        <x:v>1285.3310947249017</x:v>
      </x:c>
      <x:c r="I1985" s="22" t="n">
        <x:f>'Assumptions'!$H$87*IF('Assumptions'!$O$87=1,1,'Assumptions'!$D$10)*(1+'Assumptions'!$N$87)^(16-1)</x:f>
        <x:v>20.188025074861947</x:v>
      </x:c>
      <x:c r="J1985" s="10" t="n">
        <x:f>H1985*I1985</x:f>
        <x:v>25948.296369806074</x:v>
      </x:c>
      <x:c r="K1985" s="10" t="n">
        <x:f>J1985*'Assumptions'!$T$87</x:f>
        <x:v>25948.296369806074</x:v>
      </x:c>
      <x:c r="L1985" s="10" t="n">
        <x:f>K1985*'Assumptions'!$U$87</x:f>
        <x:v>778.4488910941822</x:v>
      </x:c>
      <x:c r="M1985" s="10" t="n">
        <x:f>K1985*'Assumptions'!$V$87</x:f>
        <x:v>0</x:v>
      </x:c>
      <x:c r="N1985" s="10" t="n">
        <x:f>K1985-L1985-M1985</x:f>
        <x:v>25169.84747871189</x:v>
      </x:c>
      <x:c r="O1985" s="10" t="n">
        <x:f>H1985*'Assumptions'!$P$87*'Assumptions'!$Q$87*'Assumptions'!$D$11*(1+'Assumptions'!$D$13)^(16-1)</x:f>
        <x:v>7008.763877938159</x:v>
      </x:c>
      <x:c r="P1985" s="10" t="n">
        <x:f>H1985*'Assumptions'!$R$87*'Assumptions'!$D$11*(1+'Assumptions'!$D$13)^(16-1)</x:f>
        <x:v>0</x:v>
      </x:c>
      <x:c r="Q1985" s="10" t="n">
        <x:f>J1985*'Assumptions'!$S$87</x:f>
        <x:v>0</x:v>
      </x:c>
      <x:c r="R1985" s="10" t="n">
        <x:f>H1985*'Assumptions'!$Y$87*'Assumptions'!$Z$87*'Assumptions'!$D$11*(1+'Assumptions'!$D$13)^(16-1)</x:f>
        <x:v>9011.26784306335</x:v>
      </x:c>
      <x:c r="S1985" s="10" t="n">
        <x:f>IF(I1985=0,0,J1985*'Assumptions'!$W$87+H1985*'Assumptions'!$X$87)</x:f>
        <x:v>1138.0999231418466</x:v>
      </x:c>
      <x:c r="T1985" s="10" t="n">
        <x:f>N1985*'Assumptions'!$AA$87</x:f>
        <x:v>1258.4923739355945</x:v>
      </x:c>
      <x:c r="U1985" s="10" t="n">
        <x:f>'Assumptions'!$AE$87*'Assumptions'!$D$11*(1+'Assumptions'!$D$13)^(16-1)</x:f>
        <x:v>93.47804499604591</x:v>
      </x:c>
      <x:c r="V1985" s="10" t="n">
        <x:f>0</x:f>
        <x:v>0</x:v>
      </x:c>
      <x:c r="W1985" s="10" t="n">
        <x:f>H1985*('Assumptions'!$P$87+'Assumptions'!$Y$87)</x:f>
        <x:v>321.33277368122543</x:v>
      </x:c>
      <x:c r="X1985" s="10" t="n">
        <x:f>N1985/12*'Assumptions'!$AF$87</x:f>
        <x:v>0</x:v>
      </x:c>
      <x:c r="Y1985" s="10" t="n">
        <x:f>P1985/12</x:f>
        <x:v>0</x:v>
      </x:c>
      <x:c r="Z1985" s="10" t="n">
        <x:f>0</x:f>
        <x:v>0</x:v>
      </x:c>
      <x:c r="AA1985" s="10" t="n">
        <x:f>Z1985*'Assumptions'!$AC$87*'Assumptions'!$D$11*(1+'Assumptions'!$D$13)^(16-1)</x:f>
        <x:v>0</x:v>
      </x:c>
      <x:c r="AB1985" s="10" t="n">
        <x:f>F1985/12</x:f>
        <x:v>34.444168252010535</x:v>
      </x:c>
      <x:c r="AC1985" s="10" t="n">
        <x:f>AB1985/'Assumptions'!$AM$87</x:f>
        <x:v>688.8833650402106</x:v>
      </x:c>
      <x:c r="AD1985" s="10" t="n">
        <x:f>IF(AB1985=0,0,T1985/AB1985)</x:f>
        <x:v>36.53716834524333</x:v>
      </x:c>
      <x:c r="AE1985" s="10" t="n">
        <x:f>AA1985*'Assumptions'!$D$21</x:f>
        <x:v>0</x:v>
      </x:c>
    </x:row>
    <x:row r="1986" ht="16" customHeight="1">
      <x:c r="A1986" s="1"/>
      <x:c r="B1986" s="1"/>
      <x:c r="C1986" s="1" t="str">
        <x:v>DOT-059</x:v>
      </x:c>
      <x:c r="D1986" s="10" t="str">
        <x:v>Model Life</x:v>
      </x:c>
      <x:c r="E1986" s="10" t="n">
        <x:v>16</x:v>
      </x:c>
      <x:c r="F1986" s="21" t="n">
        <x:f>F1858*(1+'Assumptions'!$M$88)</x:f>
        <x:v>103.33250475603161</x:v>
      </x:c>
      <x:c r="G1986" s="21" t="n">
        <x:f>H1858*'Assumptions'!$K$88</x:f>
        <x:v>218.00026892519384</x:v>
      </x:c>
      <x:c r="H1986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1986+G1986,NA())</x:f>
        <x:v>321.33277368122543</x:v>
      </x:c>
      <x:c r="I1986" s="22" t="n">
        <x:f>'Assumptions'!$H$88*IF('Assumptions'!$O$88=1,1,'Assumptions'!$D$10)*(1+'Assumptions'!$N$88)^(16-1)</x:f>
        <x:v>106.32359872760627</x:v>
      </x:c>
      <x:c r="J1986" s="10" t="n">
        <x:f>H1986*I1986</x:f>
        <x:v>34165.25688691133</x:v>
      </x:c>
      <x:c r="K1986" s="10" t="n">
        <x:f>J1986*'Assumptions'!$T$88</x:f>
        <x:v>34165.25688691133</x:v>
      </x:c>
      <x:c r="L1986" s="10" t="n">
        <x:f>K1986*'Assumptions'!$U$88</x:f>
        <x:v>1024.9577066073398</x:v>
      </x:c>
      <x:c r="M1986" s="10" t="n">
        <x:f>K1986*'Assumptions'!$V$88</x:f>
        <x:v>0</x:v>
      </x:c>
      <x:c r="N1986" s="10" t="n">
        <x:f>K1986-L1986-M1986</x:f>
        <x:v>33140.29918030399</x:v>
      </x:c>
      <x:c r="O1986" s="10" t="n">
        <x:f>H1986*'Assumptions'!$P$88*'Assumptions'!$Q$88*'Assumptions'!$D$11*(1+'Assumptions'!$D$13)^(16-1)</x:f>
        <x:v>1752.1909694845397</x:v>
      </x:c>
      <x:c r="P1986" s="10" t="n">
        <x:f>H1986*'Assumptions'!$R$88*'Assumptions'!$D$11*(1+'Assumptions'!$D$13)^(16-1)</x:f>
        <x:v>0</x:v>
      </x:c>
      <x:c r="Q1986" s="10" t="n">
        <x:f>J1986*'Assumptions'!$S$88</x:f>
        <x:v>0</x:v>
      </x:c>
      <x:c r="R1986" s="10" t="n">
        <x:f>H1986*'Assumptions'!$Y$88*'Assumptions'!$Z$88*'Assumptions'!$D$11*(1+'Assumptions'!$D$13)^(16-1)</x:f>
        <x:v>2252.8169607658374</x:v>
      </x:c>
      <x:c r="S1986" s="10" t="n">
        <x:f>IF(I1986=0,0,J1986*'Assumptions'!$W$88+H1986*'Assumptions'!$X$88)</x:f>
        <x:v>1087.1922818247963</x:v>
      </x:c>
      <x:c r="T1986" s="10" t="n">
        <x:f>N1986*'Assumptions'!$AA$88</x:f>
        <x:v>1657.0149590151996</x:v>
      </x:c>
      <x:c r="U1986" s="10" t="n">
        <x:f>'Assumptions'!$AE$88*'Assumptions'!$D$11*(1+'Assumptions'!$D$13)^(16-1)</x:f>
        <x:v>93.47804499604591</x:v>
      </x:c>
      <x:c r="V1986" s="10" t="n">
        <x:f>0</x:f>
        <x:v>0</x:v>
      </x:c>
      <x:c r="W1986" s="10" t="n">
        <x:f>H1986*('Assumptions'!$P$88+'Assumptions'!$Y$88)</x:f>
        <x:v>80.33319342030636</x:v>
      </x:c>
      <x:c r="X1986" s="10" t="n">
        <x:f>N1986/12*'Assumptions'!$AF$88</x:f>
        <x:v>0</x:v>
      </x:c>
      <x:c r="Y1986" s="10" t="n">
        <x:f>P1986/12</x:f>
        <x:v>0</x:v>
      </x:c>
      <x:c r="Z1986" s="10" t="n">
        <x:f>0</x:f>
        <x:v>0</x:v>
      </x:c>
      <x:c r="AA1986" s="10" t="n">
        <x:f>Z1986*'Assumptions'!$AC$88*'Assumptions'!$D$11*(1+'Assumptions'!$D$13)^(16-1)</x:f>
        <x:v>0</x:v>
      </x:c>
      <x:c r="AB1986" s="10" t="n">
        <x:f>F1986/12</x:f>
        <x:v>8.611042063002634</x:v>
      </x:c>
      <x:c r="AC1986" s="10" t="n">
        <x:f>AB1986/'Assumptions'!$AM$88</x:f>
        <x:v>172.22084126005265</x:v>
      </x:c>
      <x:c r="AD1986" s="10" t="n">
        <x:f>IF(AB1986=0,0,T1986/AB1986)</x:f>
        <x:v>192.42908661828153</x:v>
      </x:c>
      <x:c r="AE1986" s="10" t="n">
        <x:f>AA1986*'Assumptions'!$D$21</x:f>
        <x:v>0</x:v>
      </x:c>
    </x:row>
    <x:row r="1987" ht="16" customHeight="1">
      <x:c r="A1987" s="1"/>
      <x:c r="B1987" s="1"/>
      <x:c r="C1987" s="1" t="str">
        <x:v>DOT-060</x:v>
      </x:c>
      <x:c r="D1987" s="10" t="str">
        <x:v>Model Life</x:v>
      </x:c>
      <x:c r="E1987" s="10" t="n">
        <x:v>16</x:v>
      </x:c>
      <x:c r="F1987" s="21" t="n">
        <x:f>F1859*(1+'Assumptions'!$M$89)</x:f>
        <x:v>103.33250475603161</x:v>
      </x:c>
      <x:c r="G1987" s="21" t="n">
        <x:f>H1859*'Assumptions'!$K$89</x:f>
        <x:v>218.00026892519384</x:v>
      </x:c>
      <x:c r="H1987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1987+G1987,NA())</x:f>
        <x:v>321.33277368122543</x:v>
      </x:c>
      <x:c r="I1987" s="22" t="n">
        <x:f>'Assumptions'!$H$89*IF('Assumptions'!$O$89=1,1,'Assumptions'!$D$10)*(1+'Assumptions'!$N$89)^(16-1)</x:f>
        <x:v>79.40623196112367</x:v>
      </x:c>
      <x:c r="J1987" s="10" t="n">
        <x:f>H1987*I1987</x:f>
        <x:v>25515.824763642642</x:v>
      </x:c>
      <x:c r="K1987" s="10" t="n">
        <x:f>J1987*'Assumptions'!$T$89</x:f>
        <x:v>25515.824763642642</x:v>
      </x:c>
      <x:c r="L1987" s="10" t="n">
        <x:f>K1987*'Assumptions'!$U$89</x:f>
        <x:v>765.4747429092793</x:v>
      </x:c>
      <x:c r="M1987" s="10" t="n">
        <x:f>K1987*'Assumptions'!$V$89</x:f>
        <x:v>0</x:v>
      </x:c>
      <x:c r="N1987" s="10" t="n">
        <x:f>K1987-L1987-M1987</x:f>
        <x:v>24750.350020733364</x:v>
      </x:c>
      <x:c r="O1987" s="10" t="n">
        <x:f>H1987*'Assumptions'!$P$89*'Assumptions'!$Q$89*'Assumptions'!$D$11*(1+'Assumptions'!$D$13)^(16-1)</x:f>
        <x:v>1752.1909694845397</x:v>
      </x:c>
      <x:c r="P1987" s="10" t="n">
        <x:f>H1987*'Assumptions'!$R$89*'Assumptions'!$D$11*(1+'Assumptions'!$D$13)^(16-1)</x:f>
        <x:v>0</x:v>
      </x:c>
      <x:c r="Q1987" s="10" t="n">
        <x:f>J1987*'Assumptions'!$S$89</x:f>
        <x:v>0</x:v>
      </x:c>
      <x:c r="R1987" s="10" t="n">
        <x:f>H1987*'Assumptions'!$Y$89*'Assumptions'!$Z$89*'Assumptions'!$D$11*(1+'Assumptions'!$D$13)^(16-1)</x:f>
        <x:v>2252.8169607658374</x:v>
      </x:c>
      <x:c r="S1987" s="10" t="n">
        <x:f>IF(I1987=0,0,J1987*'Assumptions'!$W$89+H1987*'Assumptions'!$X$89)</x:f>
        <x:v>836.3587502500043</x:v>
      </x:c>
      <x:c r="T1987" s="10" t="n">
        <x:f>N1987*'Assumptions'!$AA$89</x:f>
        <x:v>1237.5175010366684</x:v>
      </x:c>
      <x:c r="U1987" s="10" t="n">
        <x:f>'Assumptions'!$AE$89*'Assumptions'!$D$11*(1+'Assumptions'!$D$13)^(16-1)</x:f>
        <x:v>93.47804499604591</x:v>
      </x:c>
      <x:c r="V1987" s="10" t="n">
        <x:f>0</x:f>
        <x:v>0</x:v>
      </x:c>
      <x:c r="W1987" s="10" t="n">
        <x:f>H1987*('Assumptions'!$P$89+'Assumptions'!$Y$89)</x:f>
        <x:v>80.33319342030636</x:v>
      </x:c>
      <x:c r="X1987" s="10" t="n">
        <x:f>N1987/12*'Assumptions'!$AF$89</x:f>
        <x:v>0</x:v>
      </x:c>
      <x:c r="Y1987" s="10" t="n">
        <x:f>P1987/12</x:f>
        <x:v>0</x:v>
      </x:c>
      <x:c r="Z1987" s="10" t="n">
        <x:f>0</x:f>
        <x:v>0</x:v>
      </x:c>
      <x:c r="AA1987" s="10" t="n">
        <x:f>Z1987*'Assumptions'!$AC$89*'Assumptions'!$D$11*(1+'Assumptions'!$D$13)^(16-1)</x:f>
        <x:v>0</x:v>
      </x:c>
      <x:c r="AB1987" s="10" t="n">
        <x:f>F1987/12</x:f>
        <x:v>8.611042063002634</x:v>
      </x:c>
      <x:c r="AC1987" s="10" t="n">
        <x:f>AB1987/'Assumptions'!$AM$89</x:f>
        <x:v>172.22084126005265</x:v>
      </x:c>
      <x:c r="AD1987" s="10" t="n">
        <x:f>IF(AB1987=0,0,T1987/AB1987)</x:f>
        <x:v>143.71286215795715</x:v>
      </x:c>
      <x:c r="AE1987" s="10" t="n">
        <x:f>AA1987*'Assumptions'!$D$21</x:f>
        <x:v>0</x:v>
      </x:c>
    </x:row>
    <x:row r="1988" ht="16" customHeight="1">
      <x:c r="A1988" s="1"/>
      <x:c r="B1988" s="1"/>
      <x:c r="C1988" s="1" t="str">
        <x:v>DOT-061</x:v>
      </x:c>
      <x:c r="D1988" s="10" t="str">
        <x:v>Model Life</x:v>
      </x:c>
      <x:c r="E1988" s="10" t="n">
        <x:v>16</x:v>
      </x:c>
      <x:c r="F1988" s="21" t="n">
        <x:f>F1860*(1+'Assumptions'!$M$90)</x:f>
        <x:v>51.666252378015805</x:v>
      </x:c>
      <x:c r="G1988" s="21" t="n">
        <x:f>H1860*'Assumptions'!$K$90</x:f>
        <x:v>109.00013446259692</x:v>
      </x:c>
      <x:c r="H1988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1988+G1988,NA())</x:f>
        <x:v>160.66638684061272</x:v>
      </x:c>
      <x:c r="I1988" s="22" t="n">
        <x:f>'Assumptions'!$H$90*IF('Assumptions'!$O$90=1,1,'Assumptions'!$D$10)*(1+'Assumptions'!$N$90)^(16-1)</x:f>
        <x:v>133.24096549408887</x:v>
      </x:c>
      <x:c r="J1988" s="10" t="n">
        <x:f>H1988*I1988</x:f>
        <x:v>21407.34450509001</x:v>
      </x:c>
      <x:c r="K1988" s="10" t="n">
        <x:f>J1988*'Assumptions'!$T$90</x:f>
        <x:v>21407.34450509001</x:v>
      </x:c>
      <x:c r="L1988" s="10" t="n">
        <x:f>K1988*'Assumptions'!$U$90</x:f>
        <x:v>642.2203351527004</x:v>
      </x:c>
      <x:c r="M1988" s="10" t="n">
        <x:f>K1988*'Assumptions'!$V$90</x:f>
        <x:v>0</x:v>
      </x:c>
      <x:c r="N1988" s="10" t="n">
        <x:f>K1988-L1988-M1988</x:f>
        <x:v>20765.124169937313</x:v>
      </x:c>
      <x:c r="O1988" s="10" t="n">
        <x:f>H1988*'Assumptions'!$P$90*'Assumptions'!$Q$90*'Assumptions'!$D$11*(1+'Assumptions'!$D$13)^(16-1)</x:f>
        <x:v>876.0954847422698</x:v>
      </x:c>
      <x:c r="P1988" s="10" t="n">
        <x:f>H1988*'Assumptions'!$R$90*'Assumptions'!$D$11*(1+'Assumptions'!$D$13)^(16-1)</x:f>
        <x:v>0</x:v>
      </x:c>
      <x:c r="Q1988" s="10" t="n">
        <x:f>J1988*'Assumptions'!$S$90</x:f>
        <x:v>0</x:v>
      </x:c>
      <x:c r="R1988" s="10" t="n">
        <x:f>H1988*'Assumptions'!$Y$90*'Assumptions'!$Z$90*'Assumptions'!$D$11*(1+'Assumptions'!$D$13)^(16-1)</x:f>
        <x:v>1126.4084803829187</x:v>
      </x:c>
      <x:c r="S1988" s="10" t="n">
        <x:f>IF(I1988=0,0,J1988*'Assumptions'!$W$90+H1988*'Assumptions'!$X$90)</x:f>
        <x:v>669.0129066997941</x:v>
      </x:c>
      <x:c r="T1988" s="10" t="n">
        <x:f>N1988*'Assumptions'!$AA$90</x:f>
        <x:v>1038.2562084968656</x:v>
      </x:c>
      <x:c r="U1988" s="10" t="n">
        <x:f>'Assumptions'!$AE$90*'Assumptions'!$D$11*(1+'Assumptions'!$D$13)^(16-1)</x:f>
        <x:v>93.47804499604591</x:v>
      </x:c>
      <x:c r="V1988" s="10" t="n">
        <x:f>0</x:f>
        <x:v>0</x:v>
      </x:c>
      <x:c r="W1988" s="10" t="n">
        <x:f>H1988*('Assumptions'!$P$90+'Assumptions'!$Y$90)</x:f>
        <x:v>40.16659671015318</x:v>
      </x:c>
      <x:c r="X1988" s="10" t="n">
        <x:f>N1988/12*'Assumptions'!$AF$90</x:f>
        <x:v>0</x:v>
      </x:c>
      <x:c r="Y1988" s="10" t="n">
        <x:f>P1988/12</x:f>
        <x:v>0</x:v>
      </x:c>
      <x:c r="Z1988" s="10" t="n">
        <x:f>0</x:f>
        <x:v>0</x:v>
      </x:c>
      <x:c r="AA1988" s="10" t="n">
        <x:f>Z1988*'Assumptions'!$AC$90*'Assumptions'!$D$11*(1+'Assumptions'!$D$13)^(16-1)</x:f>
        <x:v>0</x:v>
      </x:c>
      <x:c r="AB1988" s="10" t="n">
        <x:f>F1988/12</x:f>
        <x:v>4.305521031501317</x:v>
      </x:c>
      <x:c r="AC1988" s="10" t="n">
        <x:f>AB1988/'Assumptions'!$AM$90</x:f>
        <x:v>86.11042063002633</x:v>
      </x:c>
      <x:c r="AD1988" s="10" t="n">
        <x:f>IF(AB1988=0,0,T1988/AB1988)</x:f>
        <x:v>241.145311078606</x:v>
      </x:c>
      <x:c r="AE1988" s="10" t="n">
        <x:f>AA1988*'Assumptions'!$D$21</x:f>
        <x:v>0</x:v>
      </x:c>
    </x:row>
    <x:row r="1989" ht="16" customHeight="1">
      <x:c r="A1989" s="1"/>
      <x:c r="B1989" s="1"/>
      <x:c r="C1989" s="1" t="str">
        <x:v>DOT-062</x:v>
      </x:c>
      <x:c r="D1989" s="10" t="str">
        <x:v>Model Life</x:v>
      </x:c>
      <x:c r="E1989" s="10" t="n">
        <x:v>16</x:v>
      </x:c>
      <x:c r="F1989" s="21" t="n">
        <x:f>F1861*(1+'Assumptions'!$M$91)</x:f>
        <x:v>51.666252378015805</x:v>
      </x:c>
      <x:c r="G1989" s="21" t="n">
        <x:f>H1861*'Assumptions'!$K$91</x:f>
        <x:v>109.00013446259692</x:v>
      </x:c>
      <x:c r="H1989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1989+G1989,NA())</x:f>
        <x:v>160.66638684061272</x:v>
      </x:c>
      <x:c r="I1989" s="22" t="n">
        <x:f>'Assumptions'!$H$91*IF('Assumptions'!$O$91=1,1,'Assumptions'!$D$10)*(1+'Assumptions'!$N$91)^(16-1)</x:f>
        <x:v>65.94754857788236</x:v>
      </x:c>
      <x:c r="J1989" s="10" t="n">
        <x:f>H1989*I1989</x:f>
        <x:v>10595.554351004146</x:v>
      </x:c>
      <x:c r="K1989" s="10" t="n">
        <x:f>J1989*'Assumptions'!$T$91</x:f>
        <x:v>10595.554351004146</x:v>
      </x:c>
      <x:c r="L1989" s="10" t="n">
        <x:f>K1989*'Assumptions'!$U$91</x:f>
        <x:v>317.8666305301244</x:v>
      </x:c>
      <x:c r="M1989" s="10" t="n">
        <x:f>K1989*'Assumptions'!$V$91</x:f>
        <x:v>0</x:v>
      </x:c>
      <x:c r="N1989" s="10" t="n">
        <x:f>K1989-L1989-M1989</x:f>
        <x:v>10277.687720474021</x:v>
      </x:c>
      <x:c r="O1989" s="10" t="n">
        <x:f>H1989*'Assumptions'!$P$91*'Assumptions'!$Q$91*'Assumptions'!$D$11*(1+'Assumptions'!$D$13)^(16-1)</x:f>
        <x:v>876.0954847422698</x:v>
      </x:c>
      <x:c r="P1989" s="10" t="n">
        <x:f>H1989*'Assumptions'!$R$91*'Assumptions'!$D$11*(1+'Assumptions'!$D$13)^(16-1)</x:f>
        <x:v>0</x:v>
      </x:c>
      <x:c r="Q1989" s="10" t="n">
        <x:f>J1989*'Assumptions'!$S$91</x:f>
        <x:v>0</x:v>
      </x:c>
      <x:c r="R1989" s="10" t="n">
        <x:f>H1989*'Assumptions'!$Y$91*'Assumptions'!$Z$91*'Assumptions'!$D$11*(1+'Assumptions'!$D$13)^(16-1)</x:f>
        <x:v>1126.4084803829187</x:v>
      </x:c>
      <x:c r="S1989" s="10" t="n">
        <x:f>IF(I1989=0,0,J1989*'Assumptions'!$W$91+H1989*'Assumptions'!$X$91)</x:f>
        <x:v>355.4709922313041</x:v>
      </x:c>
      <x:c r="T1989" s="10" t="n">
        <x:f>N1989*'Assumptions'!$AA$91</x:f>
        <x:v>513.884386023701</x:v>
      </x:c>
      <x:c r="U1989" s="10" t="n">
        <x:f>'Assumptions'!$AE$91*'Assumptions'!$D$11*(1+'Assumptions'!$D$13)^(16-1)</x:f>
        <x:v>93.47804499604591</x:v>
      </x:c>
      <x:c r="V1989" s="10" t="n">
        <x:f>0</x:f>
        <x:v>0</x:v>
      </x:c>
      <x:c r="W1989" s="10" t="n">
        <x:f>H1989*('Assumptions'!$P$91+'Assumptions'!$Y$91)</x:f>
        <x:v>40.16659671015318</x:v>
      </x:c>
      <x:c r="X1989" s="10" t="n">
        <x:f>N1989/12*'Assumptions'!$AF$91</x:f>
        <x:v>0</x:v>
      </x:c>
      <x:c r="Y1989" s="10" t="n">
        <x:f>P1989/12</x:f>
        <x:v>0</x:v>
      </x:c>
      <x:c r="Z1989" s="10" t="n">
        <x:f>0</x:f>
        <x:v>0</x:v>
      </x:c>
      <x:c r="AA1989" s="10" t="n">
        <x:f>Z1989*'Assumptions'!$AC$91*'Assumptions'!$D$11*(1+'Assumptions'!$D$13)^(16-1)</x:f>
        <x:v>0</x:v>
      </x:c>
      <x:c r="AB1989" s="10" t="n">
        <x:f>F1989/12</x:f>
        <x:v>4.305521031501317</x:v>
      </x:c>
      <x:c r="AC1989" s="10" t="n">
        <x:f>AB1989/'Assumptions'!$AM$91</x:f>
        <x:v>86.11042063002633</x:v>
      </x:c>
      <x:c r="AD1989" s="10" t="n">
        <x:f>IF(AB1989=0,0,T1989/AB1989)</x:f>
        <x:v>119.35474992779486</x:v>
      </x:c>
      <x:c r="AE1989" s="10" t="n">
        <x:f>AA1989*'Assumptions'!$D$21</x:f>
        <x:v>0</x:v>
      </x:c>
    </x:row>
    <x:row r="1990" ht="16" customHeight="1">
      <x:c r="A1990" s="1"/>
      <x:c r="B1990" s="1"/>
      <x:c r="C1990" s="1" t="str">
        <x:v>DOT-063</x:v>
      </x:c>
      <x:c r="D1990" s="10" t="str">
        <x:v>S’otality cleaning</x:v>
      </x:c>
      <x:c r="E1990" s="10" t="n">
        <x:v>16</x:v>
      </x:c>
      <x:c r="F1990" s="21" t="n">
        <x:f>F1862*(1+'Assumptions'!$M$92)</x:f>
        <x:v>97.27952688612778</x:v>
      </x:c>
      <x:c r="G1990" s="21" t="n">
        <x:f>H1862*'Assumptions'!$K$92</x:f>
        <x:v>135.6817332772982</x:v>
      </x:c>
      <x:c r="H1990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1990+G1990,NA())</x:f>
        <x:v>232.961260163426</x:v>
      </x:c>
      <x:c r="I1990" s="22" t="n">
        <x:f>'Assumptions'!$H$92*IF('Assumptions'!$O$92=1,1,'Assumptions'!$D$10)*(1+'Assumptions'!$N$92)^(16-1)</x:f>
        <x:v>200.53438241029536</x:v>
      </x:c>
      <x:c r="J1990" s="10" t="n">
        <x:f>H1990*I1990</x:f>
        <x:v>46716.74243239678</x:v>
      </x:c>
      <x:c r="K1990" s="10" t="n">
        <x:f>J1990*'Assumptions'!$T$92</x:f>
        <x:v>46716.74243239678</x:v>
      </x:c>
      <x:c r="L1990" s="10" t="n">
        <x:f>K1990*'Assumptions'!$U$92</x:f>
        <x:v>1401.5022729719033</x:v>
      </x:c>
      <x:c r="M1990" s="10" t="n">
        <x:f>K1990*'Assumptions'!$V$92</x:f>
        <x:v>0</x:v>
      </x:c>
      <x:c r="N1990" s="10" t="n">
        <x:f>K1990-L1990-M1990</x:f>
        <x:v>45315.24015942487</x:v>
      </x:c>
      <x:c r="O1990" s="10" t="n">
        <x:f>H1990*'Assumptions'!$P$92*'Assumptions'!$Q$92*'Assumptions'!$D$11*(1+'Assumptions'!$D$13)^(16-1)</x:f>
        <x:v>1270.3111843270503</x:v>
      </x:c>
      <x:c r="P1990" s="10" t="n">
        <x:f>H1990*'Assumptions'!$R$92*'Assumptions'!$D$11*(1+'Assumptions'!$D$13)^(16-1)</x:f>
        <x:v>2903.5684213189725</x:v>
      </x:c>
      <x:c r="Q1990" s="10" t="n">
        <x:f>J1990*'Assumptions'!$S$92</x:f>
        <x:v>30365.882581057907</x:v>
      </x:c>
      <x:c r="R1990" s="10" t="n">
        <x:f>H1990*'Assumptions'!$Y$92*'Assumptions'!$Z$92*'Assumptions'!$D$11*(1+'Assumptions'!$D$13)^(16-1)</x:f>
        <x:v>2177.6763159892294</x:v>
      </x:c>
      <x:c r="S1990" s="10" t="n">
        <x:f>IF(I1990=0,0,J1990*'Assumptions'!$W$92+H1990*'Assumptions'!$X$92)</x:f>
        <x:v>1424.6739085885345</x:v>
      </x:c>
      <x:c r="T1990" s="10" t="n">
        <x:f>N1990*'Assumptions'!$AA$92</x:f>
        <x:v>1812.6096063769949</x:v>
      </x:c>
      <x:c r="U1990" s="10" t="n">
        <x:f>'Assumptions'!$AE$92*'Assumptions'!$D$11*(1+'Assumptions'!$D$13)^(16-1)</x:f>
        <x:v>0</x:v>
      </x:c>
      <x:c r="V1990" s="10" t="n">
        <x:f>0</x:f>
        <x:v>0</x:v>
      </x:c>
      <x:c r="W1990" s="10" t="n">
        <x:f>H1990*('Assumptions'!$P$92+'Assumptions'!$Y$92)</x:f>
        <x:v>69.8883780490278</x:v>
      </x:c>
      <x:c r="X1990" s="10" t="n">
        <x:f>N1990/12*'Assumptions'!$AF$92</x:f>
        <x:v>0</x:v>
      </x:c>
      <x:c r="Y1990" s="10" t="n">
        <x:f>P1990/12</x:f>
        <x:v>241.96403510991436</x:v>
      </x:c>
      <x:c r="Z1990" s="10" t="n">
        <x:f>0</x:f>
        <x:v>0</x:v>
      </x:c>
      <x:c r="AA1990" s="10" t="n">
        <x:f>Z1990*'Assumptions'!$AC$92*'Assumptions'!$D$11*(1+'Assumptions'!$D$13)^(16-1)</x:f>
        <x:v>0</x:v>
      </x:c>
      <x:c r="AB1990" s="10" t="n">
        <x:f>F1990/1</x:f>
        <x:v>97.27952688612778</x:v>
      </x:c>
      <x:c r="AC1990" s="10" t="n">
        <x:f>AB1990/'Assumptions'!$AM$92</x:f>
        <x:v>648.5301792408519</x:v>
      </x:c>
      <x:c r="AD1990" s="10" t="n">
        <x:f>IF(AB1990=0,0,T1990/AB1990)</x:f>
        <x:v>18.633001869949226</x:v>
      </x:c>
      <x:c r="AE1990" s="10" t="n">
        <x:f>AA1990*'Assumptions'!$D$21</x:f>
        <x:v>0</x:v>
      </x:c>
    </x:row>
    <x:row r="1991" ht="16" customHeight="1">
      <x:c r="A1991" s="1"/>
      <x:c r="B1991" s="1"/>
      <x:c r="C1991" s="1" t="str">
        <x:v>DOT-064</x:v>
      </x:c>
      <x:c r="D1991" s="10" t="str">
        <x:v>S’otality cleaning</x:v>
      </x:c>
      <x:c r="E1991" s="10" t="n">
        <x:v>16</x:v>
      </x:c>
      <x:c r="F1991" s="21" t="n">
        <x:f>F1863*(1+'Assumptions'!$M$93)</x:f>
        <x:v>145.9192903291916</x:v>
      </x:c>
      <x:c r="G1991" s="21" t="n">
        <x:f>H1863*'Assumptions'!$K$93</x:f>
        <x:v>203.5225999159472</x:v>
      </x:c>
      <x:c r="H1991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1991+G1991,NA())</x:f>
        <x:v>349.4418902451388</x:v>
      </x:c>
      <x:c r="I1991" s="22" t="n">
        <x:f>'Assumptions'!$H$93*IF('Assumptions'!$O$93=1,1,'Assumptions'!$D$10)*(1+'Assumptions'!$N$93)^(16-1)</x:f>
        <x:v>187.07569902705404</x:v>
      </x:c>
      <x:c r="J1991" s="10" t="n">
        <x:f>H1991*I1991</x:f>
        <x:v>65372.085886944435</x:v>
      </x:c>
      <x:c r="K1991" s="10" t="n">
        <x:f>J1991*'Assumptions'!$T$93</x:f>
        <x:v>65372.085886944435</x:v>
      </x:c>
      <x:c r="L1991" s="10" t="n">
        <x:f>K1991*'Assumptions'!$U$93</x:f>
        <x:v>1961.162576608333</x:v>
      </x:c>
      <x:c r="M1991" s="10" t="n">
        <x:f>K1991*'Assumptions'!$V$93</x:f>
        <x:v>0</x:v>
      </x:c>
      <x:c r="N1991" s="10" t="n">
        <x:f>K1991-L1991-M1991</x:f>
        <x:v>63410.923310336104</x:v>
      </x:c>
      <x:c r="O1991" s="10" t="n">
        <x:f>H1991*'Assumptions'!$P$93*'Assumptions'!$Q$93*'Assumptions'!$D$11*(1+'Assumptions'!$D$13)^(16-1)</x:f>
        <x:v>1905.4667764905746</x:v>
      </x:c>
      <x:c r="P1991" s="10" t="n">
        <x:f>H1991*'Assumptions'!$R$93*'Assumptions'!$D$11*(1+'Assumptions'!$D$13)^(16-1)</x:f>
        <x:v>4355.352631978456</x:v>
      </x:c>
      <x:c r="Q1991" s="10" t="n">
        <x:f>J1991*'Assumptions'!$S$93</x:f>
        <x:v>42491.855826513885</x:v>
      </x:c>
      <x:c r="R1991" s="10" t="n">
        <x:f>H1991*'Assumptions'!$Y$93*'Assumptions'!$Z$93*'Assumptions'!$D$11*(1+'Assumptions'!$D$13)^(16-1)</x:f>
        <x:v>3266.514473983842</x:v>
      </x:c>
      <x:c r="S1991" s="10" t="n">
        <x:f>IF(I1991=0,0,J1991*'Assumptions'!$W$93+H1991*'Assumptions'!$X$93)</x:f>
        <x:v>2000.6230577949304</x:v>
      </x:c>
      <x:c r="T1991" s="10" t="n">
        <x:f>N1991*'Assumptions'!$AA$93</x:f>
        <x:v>2536.436932413444</x:v>
      </x:c>
      <x:c r="U1991" s="10" t="n">
        <x:f>'Assumptions'!$AE$93*'Assumptions'!$D$11*(1+'Assumptions'!$D$13)^(16-1)</x:f>
        <x:v>0</x:v>
      </x:c>
      <x:c r="V1991" s="10" t="n">
        <x:f>0</x:f>
        <x:v>0</x:v>
      </x:c>
      <x:c r="W1991" s="10" t="n">
        <x:f>H1991*('Assumptions'!$P$93+'Assumptions'!$Y$93)</x:f>
        <x:v>104.83256707354165</x:v>
      </x:c>
      <x:c r="X1991" s="10" t="n">
        <x:f>N1991/12*'Assumptions'!$AF$93</x:f>
        <x:v>0</x:v>
      </x:c>
      <x:c r="Y1991" s="10" t="n">
        <x:f>P1991/12</x:f>
        <x:v>362.94605266487133</x:v>
      </x:c>
      <x:c r="Z1991" s="10" t="n">
        <x:f>0</x:f>
        <x:v>0</x:v>
      </x:c>
      <x:c r="AA1991" s="10" t="n">
        <x:f>Z1991*'Assumptions'!$AC$93*'Assumptions'!$D$11*(1+'Assumptions'!$D$13)^(16-1)</x:f>
        <x:v>0</x:v>
      </x:c>
      <x:c r="AB1991" s="10" t="n">
        <x:f>F1991/1</x:f>
        <x:v>145.9192903291916</x:v>
      </x:c>
      <x:c r="AC1991" s="10" t="n">
        <x:f>AB1991/'Assumptions'!$AM$93</x:f>
        <x:v>972.7952688612773</x:v>
      </x:c>
      <x:c r="AD1991" s="10" t="n">
        <x:f>IF(AB1991=0,0,T1991/AB1991)</x:f>
        <x:v>17.382464831697597</x:v>
      </x:c>
      <x:c r="AE1991" s="10" t="n">
        <x:f>AA1991*'Assumptions'!$D$21</x:f>
        <x:v>0</x:v>
      </x:c>
    </x:row>
    <x:row r="1992" ht="16" customHeight="1">
      <x:c r="A1992" s="1"/>
      <x:c r="B1992" s="1"/>
      <x:c r="C1992" s="1" t="str">
        <x:v>DOT-065</x:v>
      </x:c>
      <x:c r="D1992" s="10" t="str">
        <x:v>S’otality cleaning</x:v>
      </x:c>
      <x:c r="E1992" s="10" t="n">
        <x:v>16</x:v>
      </x:c>
      <x:c r="F1992" s="21" t="n">
        <x:f>F1864*(1+'Assumptions'!$M$94)</x:f>
        <x:v>97.27952688612778</x:v>
      </x:c>
      <x:c r="G1992" s="21" t="n">
        <x:f>H1864*'Assumptions'!$K$94</x:f>
        <x:v>135.6817332772982</x:v>
      </x:c>
      <x:c r="H1992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1992+G1992,NA())</x:f>
        <x:v>232.961260163426</x:v>
      </x:c>
      <x:c r="I1992" s="22" t="n">
        <x:f>'Assumptions'!$H$94*IF('Assumptions'!$O$94=1,1,'Assumptions'!$D$10)*(1+'Assumptions'!$N$94)^(16-1)</x:f>
        <x:v>213.99306579353666</x:v>
      </x:c>
      <x:c r="J1992" s="10" t="n">
        <x:f>H1992*I1992</x:f>
        <x:v>49852.094273497234</x:v>
      </x:c>
      <x:c r="K1992" s="10" t="n">
        <x:f>J1992*'Assumptions'!$T$94</x:f>
        <x:v>49852.094273497234</x:v>
      </x:c>
      <x:c r="L1992" s="10" t="n">
        <x:f>K1992*'Assumptions'!$U$94</x:f>
        <x:v>1495.562828204917</x:v>
      </x:c>
      <x:c r="M1992" s="10" t="n">
        <x:f>K1992*'Assumptions'!$V$94</x:f>
        <x:v>0</x:v>
      </x:c>
      <x:c r="N1992" s="10" t="n">
        <x:f>K1992-L1992-M1992</x:f>
        <x:v>48356.53144529232</x:v>
      </x:c>
      <x:c r="O1992" s="10" t="n">
        <x:f>H1992*'Assumptions'!$P$94*'Assumptions'!$Q$94*'Assumptions'!$D$11*(1+'Assumptions'!$D$13)^(16-1)</x:f>
        <x:v>1270.3111843270503</x:v>
      </x:c>
      <x:c r="P1992" s="10" t="n">
        <x:f>H1992*'Assumptions'!$R$94*'Assumptions'!$D$11*(1+'Assumptions'!$D$13)^(16-1)</x:f>
        <x:v>2903.5684213189725</x:v>
      </x:c>
      <x:c r="Q1992" s="10" t="n">
        <x:f>J1992*'Assumptions'!$S$94</x:f>
        <x:v>32403.861277773205</x:v>
      </x:c>
      <x:c r="R1992" s="10" t="n">
        <x:f>H1992*'Assumptions'!$Y$94*'Assumptions'!$Z$94*'Assumptions'!$D$11*(1+'Assumptions'!$D$13)^(16-1)</x:f>
        <x:v>2177.6763159892294</x:v>
      </x:c>
      <x:c r="S1992" s="10" t="n">
        <x:f>IF(I1992=0,0,J1992*'Assumptions'!$W$94+H1992*'Assumptions'!$X$94)</x:f>
        <x:v>1515.5991119804476</x:v>
      </x:c>
      <x:c r="T1992" s="10" t="n">
        <x:f>N1992*'Assumptions'!$AA$94</x:f>
        <x:v>1934.2612578116928</x:v>
      </x:c>
      <x:c r="U1992" s="10" t="n">
        <x:f>'Assumptions'!$AE$94*'Assumptions'!$D$11*(1+'Assumptions'!$D$13)^(16-1)</x:f>
        <x:v>0</x:v>
      </x:c>
      <x:c r="V1992" s="10" t="n">
        <x:f>0</x:f>
        <x:v>0</x:v>
      </x:c>
      <x:c r="W1992" s="10" t="n">
        <x:f>H1992*('Assumptions'!$P$94+'Assumptions'!$Y$94)</x:f>
        <x:v>69.8883780490278</x:v>
      </x:c>
      <x:c r="X1992" s="10" t="n">
        <x:f>N1992/12*'Assumptions'!$AF$94</x:f>
        <x:v>0</x:v>
      </x:c>
      <x:c r="Y1992" s="10" t="n">
        <x:f>P1992/12</x:f>
        <x:v>241.96403510991436</x:v>
      </x:c>
      <x:c r="Z1992" s="10" t="n">
        <x:f>0</x:f>
        <x:v>0</x:v>
      </x:c>
      <x:c r="AA1992" s="10" t="n">
        <x:f>Z1992*'Assumptions'!$AC$94*'Assumptions'!$D$11*(1+'Assumptions'!$D$13)^(16-1)</x:f>
        <x:v>0</x:v>
      </x:c>
      <x:c r="AB1992" s="10" t="n">
        <x:f>F1992/1</x:f>
        <x:v>97.27952688612778</x:v>
      </x:c>
      <x:c r="AC1992" s="10" t="n">
        <x:f>AB1992/'Assumptions'!$AM$94</x:f>
        <x:v>648.5301792408519</x:v>
      </x:c>
      <x:c r="AD1992" s="10" t="n">
        <x:f>IF(AB1992=0,0,T1992/AB1992)</x:f>
        <x:v>19.883538908200855</x:v>
      </x:c>
      <x:c r="AE1992" s="10" t="n">
        <x:f>AA1992*'Assumptions'!$D$21</x:f>
        <x:v>0</x:v>
      </x:c>
    </x:row>
    <x:row r="1993" ht="16" customHeight="1">
      <x:c r="A1993" s="1"/>
      <x:c r="B1993" s="1"/>
      <x:c r="C1993" s="1" t="str">
        <x:v>DOT-066</x:v>
      </x:c>
      <x:c r="D1993" s="10" t="str">
        <x:v>S’otality cleaning</x:v>
      </x:c>
      <x:c r="E1993" s="10" t="n">
        <x:v>16</x:v>
      </x:c>
      <x:c r="F1993" s="21" t="n">
        <x:f>F1865*(1+'Assumptions'!$M$95)</x:f>
        <x:v>145.9192903291916</x:v>
      </x:c>
      <x:c r="G1993" s="21" t="n">
        <x:f>H1865*'Assumptions'!$K$95</x:f>
        <x:v>203.5225999159472</x:v>
      </x:c>
      <x:c r="H1993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1993+G1993,NA())</x:f>
        <x:v>349.4418902451388</x:v>
      </x:c>
      <x:c r="I1993" s="22" t="n">
        <x:f>'Assumptions'!$H$95*IF('Assumptions'!$O$95=1,1,'Assumptions'!$D$10)*(1+'Assumptions'!$N$95)^(16-1)</x:f>
        <x:v>200.53438241029536</x:v>
      </x:c>
      <x:c r="J1993" s="10" t="n">
        <x:f>H1993*I1993</x:f>
        <x:v>70075.11364859513</x:v>
      </x:c>
      <x:c r="K1993" s="10" t="n">
        <x:f>J1993*'Assumptions'!$T$95</x:f>
        <x:v>70075.11364859513</x:v>
      </x:c>
      <x:c r="L1993" s="10" t="n">
        <x:f>K1993*'Assumptions'!$U$95</x:f>
        <x:v>2102.2534094578536</x:v>
      </x:c>
      <x:c r="M1993" s="10" t="n">
        <x:f>K1993*'Assumptions'!$V$95</x:f>
        <x:v>0</x:v>
      </x:c>
      <x:c r="N1993" s="10" t="n">
        <x:f>K1993-L1993-M1993</x:f>
        <x:v>67972.86023913727</x:v>
      </x:c>
      <x:c r="O1993" s="10" t="n">
        <x:f>H1993*'Assumptions'!$P$95*'Assumptions'!$Q$95*'Assumptions'!$D$11*(1+'Assumptions'!$D$13)^(16-1)</x:f>
        <x:v>1905.4667764905746</x:v>
      </x:c>
      <x:c r="P1993" s="10" t="n">
        <x:f>H1993*'Assumptions'!$R$95*'Assumptions'!$D$11*(1+'Assumptions'!$D$13)^(16-1)</x:f>
        <x:v>4355.352631978456</x:v>
      </x:c>
      <x:c r="Q1993" s="10" t="n">
        <x:f>J1993*'Assumptions'!$S$95</x:f>
        <x:v>45548.823871586836</x:v>
      </x:c>
      <x:c r="R1993" s="10" t="n">
        <x:f>H1993*'Assumptions'!$Y$95*'Assumptions'!$Z$95*'Assumptions'!$D$11*(1+'Assumptions'!$D$13)^(16-1)</x:f>
        <x:v>3266.514473983842</x:v>
      </x:c>
      <x:c r="S1993" s="10" t="n">
        <x:f>IF(I1993=0,0,J1993*'Assumptions'!$W$95+H1993*'Assumptions'!$X$95)</x:f>
        <x:v>2137.0108628828</x:v>
      </x:c>
      <x:c r="T1993" s="10" t="n">
        <x:f>N1993*'Assumptions'!$AA$95</x:f>
        <x:v>2718.914409565491</x:v>
      </x:c>
      <x:c r="U1993" s="10" t="n">
        <x:f>'Assumptions'!$AE$95*'Assumptions'!$D$11*(1+'Assumptions'!$D$13)^(16-1)</x:f>
        <x:v>0</x:v>
      </x:c>
      <x:c r="V1993" s="10" t="n">
        <x:f>0</x:f>
        <x:v>0</x:v>
      </x:c>
      <x:c r="W1993" s="10" t="n">
        <x:f>H1993*('Assumptions'!$P$95+'Assumptions'!$Y$95)</x:f>
        <x:v>104.83256707354165</x:v>
      </x:c>
      <x:c r="X1993" s="10" t="n">
        <x:f>N1993/12*'Assumptions'!$AF$95</x:f>
        <x:v>0</x:v>
      </x:c>
      <x:c r="Y1993" s="10" t="n">
        <x:f>P1993/12</x:f>
        <x:v>362.94605266487133</x:v>
      </x:c>
      <x:c r="Z1993" s="10" t="n">
        <x:f>0</x:f>
        <x:v>0</x:v>
      </x:c>
      <x:c r="AA1993" s="10" t="n">
        <x:f>Z1993*'Assumptions'!$AC$95*'Assumptions'!$D$11*(1+'Assumptions'!$D$13)^(16-1)</x:f>
        <x:v>0</x:v>
      </x:c>
      <x:c r="AB1993" s="10" t="n">
        <x:f>F1993/1</x:f>
        <x:v>145.9192903291916</x:v>
      </x:c>
      <x:c r="AC1993" s="10" t="n">
        <x:f>AB1993/'Assumptions'!$AM$95</x:f>
        <x:v>972.7952688612773</x:v>
      </x:c>
      <x:c r="AD1993" s="10" t="n">
        <x:f>IF(AB1993=0,0,T1993/AB1993)</x:f>
        <x:v>18.633001869949226</x:v>
      </x:c>
      <x:c r="AE1993" s="10" t="n">
        <x:f>AA1993*'Assumptions'!$D$21</x:f>
        <x:v>0</x:v>
      </x:c>
    </x:row>
    <x:row r="1994" ht="16" customHeight="1">
      <x:c r="A1994" s="1"/>
      <x:c r="B1994" s="1"/>
      <x:c r="C1994" s="1" t="str">
        <x:v>DOT-067</x:v>
      </x:c>
      <x:c r="D1994" s="10" t="str">
        <x:v>S’otality cleaning</x:v>
      </x:c>
      <x:c r="E1994" s="10" t="n">
        <x:v>16</x:v>
      </x:c>
      <x:c r="F1994" s="21" t="n">
        <x:f>F1866*(1+'Assumptions'!$M$96)</x:f>
        <x:v>64.8530179240852</x:v>
      </x:c>
      <x:c r="G1994" s="21" t="n">
        <x:f>H1866*'Assumptions'!$K$96</x:f>
        <x:v>90.45448885153219</x:v>
      </x:c>
      <x:c r="H1994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1994+G1994,NA())</x:f>
        <x:v>155.30750677561738</x:v>
      </x:c>
      <x:c r="I1994" s="22" t="n">
        <x:f>'Assumptions'!$H$96*IF('Assumptions'!$O$96=1,1,'Assumptions'!$D$10)*(1+'Assumptions'!$N$96)^(16-1)</x:f>
        <x:v>267.82779932650186</x:v>
      </x:c>
      <x:c r="J1994" s="10" t="n">
        <x:f>H1994*I1994</x:f>
        <x:v>41595.66775859938</x:v>
      </x:c>
      <x:c r="K1994" s="10" t="n">
        <x:f>J1994*'Assumptions'!$T$96</x:f>
        <x:v>41595.66775859938</x:v>
      </x:c>
      <x:c r="L1994" s="10" t="n">
        <x:f>K1994*'Assumptions'!$U$96</x:f>
        <x:v>1247.8700327579813</x:v>
      </x:c>
      <x:c r="M1994" s="10" t="n">
        <x:f>K1994*'Assumptions'!$V$96</x:f>
        <x:v>0</x:v>
      </x:c>
      <x:c r="N1994" s="10" t="n">
        <x:f>K1994-L1994-M1994</x:f>
        <x:v>40347.7977258414</x:v>
      </x:c>
      <x:c r="O1994" s="10" t="n">
        <x:f>H1994*'Assumptions'!$P$96*'Assumptions'!$Q$96*'Assumptions'!$D$11*(1+'Assumptions'!$D$13)^(16-1)</x:f>
        <x:v>846.8741228847005</x:v>
      </x:c>
      <x:c r="P1994" s="10" t="n">
        <x:f>H1994*'Assumptions'!$R$96*'Assumptions'!$D$11*(1+'Assumptions'!$D$13)^(16-1)</x:f>
        <x:v>1935.7122808793156</x:v>
      </x:c>
      <x:c r="Q1994" s="10" t="n">
        <x:f>J1994*'Assumptions'!$S$96</x:f>
        <x:v>27037.1840430896</x:v>
      </x:c>
      <x:c r="R1994" s="10" t="n">
        <x:f>H1994*'Assumptions'!$Y$96*'Assumptions'!$Z$96*'Assumptions'!$D$11*(1+'Assumptions'!$D$13)^(16-1)</x:f>
        <x:v>1451.7842106594867</x:v>
      </x:c>
      <x:c r="S1994" s="10" t="n">
        <x:f>IF(I1994=0,0,J1994*'Assumptions'!$W$96+H1994*'Assumptions'!$X$96)</x:f>
        <x:v>1252.8666170320673</x:v>
      </x:c>
      <x:c r="T1994" s="10" t="n">
        <x:f>N1994*'Assumptions'!$AA$96</x:f>
        <x:v>1613.9119090336562</x:v>
      </x:c>
      <x:c r="U1994" s="10" t="n">
        <x:f>'Assumptions'!$AE$96*'Assumptions'!$D$11*(1+'Assumptions'!$D$13)^(16-1)</x:f>
        <x:v>0</x:v>
      </x:c>
      <x:c r="V1994" s="10" t="n">
        <x:f>0</x:f>
        <x:v>0</x:v>
      </x:c>
      <x:c r="W1994" s="10" t="n">
        <x:f>H1994*('Assumptions'!$P$96+'Assumptions'!$Y$96)</x:f>
        <x:v>46.592252032685224</x:v>
      </x:c>
      <x:c r="X1994" s="10" t="n">
        <x:f>N1994/12*'Assumptions'!$AF$96</x:f>
        <x:v>0</x:v>
      </x:c>
      <x:c r="Y1994" s="10" t="n">
        <x:f>P1994/12</x:f>
        <x:v>161.30935673994296</x:v>
      </x:c>
      <x:c r="Z1994" s="10" t="n">
        <x:f>0</x:f>
        <x:v>0</x:v>
      </x:c>
      <x:c r="AA1994" s="10" t="n">
        <x:f>Z1994*'Assumptions'!$AC$96*'Assumptions'!$D$11*(1+'Assumptions'!$D$13)^(16-1)</x:f>
        <x:v>0</x:v>
      </x:c>
      <x:c r="AB1994" s="10" t="n">
        <x:f>F1994/1</x:f>
        <x:v>64.8530179240852</x:v>
      </x:c>
      <x:c r="AC1994" s="10" t="n">
        <x:f>AB1994/'Assumptions'!$AM$96</x:f>
        <x:v>432.35345282723466</x:v>
      </x:c>
      <x:c r="AD1994" s="10" t="n">
        <x:f>IF(AB1994=0,0,T1994/AB1994)</x:f>
        <x:v>24.885687061207364</x:v>
      </x:c>
      <x:c r="AE1994" s="10" t="n">
        <x:f>AA1994*'Assumptions'!$D$21</x:f>
        <x:v>0</x:v>
      </x:c>
    </x:row>
    <x:row r="1995" ht="16" customHeight="1">
      <x:c r="A1995" s="1"/>
      <x:c r="B1995" s="1"/>
      <x:c r="C1995" s="1" t="str">
        <x:v>DOT-068</x:v>
      </x:c>
      <x:c r="D1995" s="10" t="str">
        <x:v>S’otality cleaning</x:v>
      </x:c>
      <x:c r="E1995" s="10" t="n">
        <x:v>16</x:v>
      </x:c>
      <x:c r="F1995" s="21" t="n">
        <x:f>F1867*(1+'Assumptions'!$M$97)</x:f>
        <x:v>97.27952688612778</x:v>
      </x:c>
      <x:c r="G1995" s="21" t="n">
        <x:f>H1867*'Assumptions'!$K$97</x:f>
        <x:v>135.6817332772982</x:v>
      </x:c>
      <x:c r="H1995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1995+G1995,NA())</x:f>
        <x:v>232.961260163426</x:v>
      </x:c>
      <x:c r="I1995" s="22" t="n">
        <x:f>'Assumptions'!$H$97*IF('Assumptions'!$O$97=1,1,'Assumptions'!$D$10)*(1+'Assumptions'!$N$97)^(16-1)</x:f>
        <x:v>254.36911594326054</x:v>
      </x:c>
      <x:c r="J1995" s="10" t="n">
        <x:f>H1995*I1995</x:f>
        <x:v>59258.14979679859</x:v>
      </x:c>
      <x:c r="K1995" s="10" t="n">
        <x:f>J1995*'Assumptions'!$T$97</x:f>
        <x:v>59258.14979679859</x:v>
      </x:c>
      <x:c r="L1995" s="10" t="n">
        <x:f>K1995*'Assumptions'!$U$97</x:f>
        <x:v>1777.7444939039576</x:v>
      </x:c>
      <x:c r="M1995" s="10" t="n">
        <x:f>K1995*'Assumptions'!$V$97</x:f>
        <x:v>0</x:v>
      </x:c>
      <x:c r="N1995" s="10" t="n">
        <x:f>K1995-L1995-M1995</x:f>
        <x:v>57480.40530289464</x:v>
      </x:c>
      <x:c r="O1995" s="10" t="n">
        <x:f>H1995*'Assumptions'!$P$97*'Assumptions'!$Q$97*'Assumptions'!$D$11*(1+'Assumptions'!$D$13)^(16-1)</x:f>
        <x:v>1270.3111843270503</x:v>
      </x:c>
      <x:c r="P1995" s="10" t="n">
        <x:f>H1995*'Assumptions'!$R$97*'Assumptions'!$D$11*(1+'Assumptions'!$D$13)^(16-1)</x:f>
        <x:v>2903.5684213189725</x:v>
      </x:c>
      <x:c r="Q1995" s="10" t="n">
        <x:f>J1995*'Assumptions'!$S$97</x:f>
        <x:v>38517.79736791908</x:v>
      </x:c>
      <x:c r="R1995" s="10" t="n">
        <x:f>H1995*'Assumptions'!$Y$97*'Assumptions'!$Z$97*'Assumptions'!$D$11*(1+'Assumptions'!$D$13)^(16-1)</x:f>
        <x:v>2177.6763159892294</x:v>
      </x:c>
      <x:c r="S1995" s="10" t="n">
        <x:f>IF(I1995=0,0,J1995*'Assumptions'!$W$97+H1995*'Assumptions'!$X$97)</x:f>
        <x:v>1788.374722156187</x:v>
      </x:c>
      <x:c r="T1995" s="10" t="n">
        <x:f>N1995*'Assumptions'!$AA$97</x:f>
        <x:v>2299.2162121157853</x:v>
      </x:c>
      <x:c r="U1995" s="10" t="n">
        <x:f>'Assumptions'!$AE$97*'Assumptions'!$D$11*(1+'Assumptions'!$D$13)^(16-1)</x:f>
        <x:v>0</x:v>
      </x:c>
      <x:c r="V1995" s="10" t="n">
        <x:f>0</x:f>
        <x:v>0</x:v>
      </x:c>
      <x:c r="W1995" s="10" t="n">
        <x:f>H1995*('Assumptions'!$P$97+'Assumptions'!$Y$97)</x:f>
        <x:v>69.8883780490278</x:v>
      </x:c>
      <x:c r="X1995" s="10" t="n">
        <x:f>N1995/12*'Assumptions'!$AF$97</x:f>
        <x:v>0</x:v>
      </x:c>
      <x:c r="Y1995" s="10" t="n">
        <x:f>P1995/12</x:f>
        <x:v>241.96403510991436</x:v>
      </x:c>
      <x:c r="Z1995" s="10" t="n">
        <x:f>0</x:f>
        <x:v>0</x:v>
      </x:c>
      <x:c r="AA1995" s="10" t="n">
        <x:f>Z1995*'Assumptions'!$AC$97*'Assumptions'!$D$11*(1+'Assumptions'!$D$13)^(16-1)</x:f>
        <x:v>0</x:v>
      </x:c>
      <x:c r="AB1995" s="10" t="n">
        <x:f>F1995/1</x:f>
        <x:v>97.27952688612778</x:v>
      </x:c>
      <x:c r="AC1995" s="10" t="n">
        <x:f>AB1995/'Assumptions'!$AM$97</x:f>
        <x:v>648.5301792408519</x:v>
      </x:c>
      <x:c r="AD1995" s="10" t="n">
        <x:f>IF(AB1995=0,0,T1995/AB1995)</x:f>
        <x:v>23.635150022955727</x:v>
      </x:c>
      <x:c r="AE1995" s="10" t="n">
        <x:f>AA1995*'Assumptions'!$D$21</x:f>
        <x:v>0</x:v>
      </x:c>
    </x:row>
    <x:row r="1996" ht="16" customHeight="1">
      <x:c r="A1996" s="1"/>
      <x:c r="B1996" s="1"/>
      <x:c r="C1996" s="1" t="str">
        <x:v>DOT-069</x:v>
      </x:c>
      <x:c r="D1996" s="10" t="str">
        <x:v>S’otality cleaning</x:v>
      </x:c>
      <x:c r="E1996" s="10" t="n">
        <x:v>16</x:v>
      </x:c>
      <x:c r="F1996" s="21" t="n">
        <x:f>F1868*(1+'Assumptions'!$M$98)</x:f>
        <x:v>32.4265089620426</x:v>
      </x:c>
      <x:c r="G1996" s="21" t="n">
        <x:f>H1868*'Assumptions'!$K$98</x:f>
        <x:v>45.227244425766095</x:v>
      </x:c>
      <x:c r="H1996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1996+G1996,NA())</x:f>
        <x:v>77.65375338780869</x:v>
      </x:c>
      <x:c r="I1996" s="22" t="n">
        <x:f>'Assumptions'!$H$98*IF('Assumptions'!$O$98=1,1,'Assumptions'!$D$10)*(1+'Assumptions'!$N$98)^(16-1)</x:f>
        <x:v>402.41463315891485</x:v>
      </x:c>
      <x:c r="J1996" s="10" t="n">
        <x:f>H1996*I1996</x:f>
        <x:v>31249.006682967876</x:v>
      </x:c>
      <x:c r="K1996" s="10" t="n">
        <x:f>J1996*'Assumptions'!$T$98</x:f>
        <x:v>31249.006682967876</x:v>
      </x:c>
      <x:c r="L1996" s="10" t="n">
        <x:f>K1996*'Assumptions'!$U$98</x:f>
        <x:v>937.4702004890363</x:v>
      </x:c>
      <x:c r="M1996" s="10" t="n">
        <x:f>K1996*'Assumptions'!$V$98</x:f>
        <x:v>0</x:v>
      </x:c>
      <x:c r="N1996" s="10" t="n">
        <x:f>K1996-L1996-M1996</x:f>
        <x:v>30311.53648247884</x:v>
      </x:c>
      <x:c r="O1996" s="10" t="n">
        <x:f>H1996*'Assumptions'!$P$98*'Assumptions'!$Q$98*'Assumptions'!$D$11*(1+'Assumptions'!$D$13)^(16-1)</x:f>
        <x:v>423.4370614423502</x:v>
      </x:c>
      <x:c r="P1996" s="10" t="n">
        <x:f>H1996*'Assumptions'!$R$98*'Assumptions'!$D$11*(1+'Assumptions'!$D$13)^(16-1)</x:f>
        <x:v>967.8561404396578</x:v>
      </x:c>
      <x:c r="Q1996" s="10" t="n">
        <x:f>J1996*'Assumptions'!$S$98</x:f>
        <x:v>20311.85434392912</x:v>
      </x:c>
      <x:c r="R1996" s="10" t="n">
        <x:f>H1996*'Assumptions'!$Y$98*'Assumptions'!$Z$98*'Assumptions'!$D$11*(1+'Assumptions'!$D$13)^(16-1)</x:f>
        <x:v>725.8921053297433</x:v>
      </x:c>
      <x:c r="S1996" s="10" t="n">
        <x:f>IF(I1996=0,0,J1996*'Assumptions'!$W$98+H1996*'Assumptions'!$X$98)</x:f>
        <x:v>929.517319822411</x:v>
      </x:c>
      <x:c r="T1996" s="10" t="n">
        <x:f>N1996*'Assumptions'!$AA$98</x:f>
        <x:v>1212.4614592991536</x:v>
      </x:c>
      <x:c r="U1996" s="10" t="n">
        <x:f>'Assumptions'!$AE$98*'Assumptions'!$D$11*(1+'Assumptions'!$D$13)^(16-1)</x:f>
        <x:v>0</x:v>
      </x:c>
      <x:c r="V1996" s="10" t="n">
        <x:f>0</x:f>
        <x:v>0</x:v>
      </x:c>
      <x:c r="W1996" s="10" t="n">
        <x:f>H1996*('Assumptions'!$P$98+'Assumptions'!$Y$98)</x:f>
        <x:v>23.296126016342612</x:v>
      </x:c>
      <x:c r="X1996" s="10" t="n">
        <x:f>N1996/12*'Assumptions'!$AF$98</x:f>
        <x:v>0</x:v>
      </x:c>
      <x:c r="Y1996" s="10" t="n">
        <x:f>P1996/12</x:f>
        <x:v>80.65467836997148</x:v>
      </x:c>
      <x:c r="Z1996" s="10" t="n">
        <x:f>0</x:f>
        <x:v>0</x:v>
      </x:c>
      <x:c r="AA1996" s="10" t="n">
        <x:f>Z1996*'Assumptions'!$AC$98*'Assumptions'!$D$11*(1+'Assumptions'!$D$13)^(16-1)</x:f>
        <x:v>0</x:v>
      </x:c>
      <x:c r="AB1996" s="10" t="n">
        <x:f>F1996/1</x:f>
        <x:v>32.4265089620426</x:v>
      </x:c>
      <x:c r="AC1996" s="10" t="n">
        <x:f>AB1996/'Assumptions'!$AM$98</x:f>
        <x:v>216.17672641361733</x:v>
      </x:c>
      <x:c r="AD1996" s="10" t="n">
        <x:f>IF(AB1996=0,0,T1996/AB1996)</x:f>
        <x:v>37.391057443723625</x:v>
      </x:c>
      <x:c r="AE1996" s="10" t="n">
        <x:f>AA1996*'Assumptions'!$D$21</x:f>
        <x:v>0</x:v>
      </x:c>
    </x:row>
    <x:row r="1997" ht="16" customHeight="1">
      <x:c r="A1997" s="1"/>
      <x:c r="B1997" s="1"/>
      <x:c r="C1997" s="1" t="str">
        <x:v>DOT-070</x:v>
      </x:c>
      <x:c r="D1997" s="10" t="str">
        <x:v>S’otality laundry</x:v>
      </x:c>
      <x:c r="E1997" s="10" t="n">
        <x:v>16</x:v>
      </x:c>
      <x:c r="F1997" s="21" t="n">
        <x:f>F1869*(1+'Assumptions'!$M$99)</x:f>
        <x:v>291.8385806583832</x:v>
      </x:c>
      <x:c r="G1997" s="21" t="n">
        <x:f>H1869*'Assumptions'!$K$99</x:f>
        <x:v>407.0451998318944</x:v>
      </x:c>
      <x:c r="H1997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1997+G1997,NA())</x:f>
        <x:v>698.8837804902776</x:v>
      </x:c>
      <x:c r="I1997" s="22" t="n">
        <x:f>'Assumptions'!$H$99*IF('Assumptions'!$O$99=1,1,'Assumptions'!$D$10)*(1+'Assumptions'!$N$99)^(16-1)</x:f>
        <x:v>80.75210029944779</x:v>
      </x:c>
      <x:c r="J1997" s="10" t="n">
        <x:f>H1997*I1997</x:f>
        <x:v>56436.33313980814</x:v>
      </x:c>
      <x:c r="K1997" s="10" t="n">
        <x:f>J1997*'Assumptions'!$T$99</x:f>
        <x:v>56436.33313980814</x:v>
      </x:c>
      <x:c r="L1997" s="10" t="n">
        <x:f>K1997*'Assumptions'!$U$99</x:f>
        <x:v>1693.0899941942441</x:v>
      </x:c>
      <x:c r="M1997" s="10" t="n">
        <x:f>K1997*'Assumptions'!$V$99</x:f>
        <x:v>0</x:v>
      </x:c>
      <x:c r="N1997" s="10" t="n">
        <x:f>K1997-L1997-M1997</x:f>
        <x:v>54743.2431456139</x:v>
      </x:c>
      <x:c r="O1997" s="10" t="n">
        <x:f>H1997*'Assumptions'!$P$99*'Assumptions'!$Q$99*'Assumptions'!$D$11*(1+'Assumptions'!$D$13)^(16-1)</x:f>
        <x:v>3810.933552981149</x:v>
      </x:c>
      <x:c r="P1997" s="10" t="n">
        <x:f>H1997*'Assumptions'!$R$99*'Assumptions'!$D$11*(1+'Assumptions'!$D$13)^(16-1)</x:f>
        <x:v>0</x:v>
      </x:c>
      <x:c r="Q1997" s="10" t="n">
        <x:f>J1997*'Assumptions'!$S$99</x:f>
        <x:v>36683.61654087529</x:v>
      </x:c>
      <x:c r="R1997" s="10" t="n">
        <x:f>H1997*'Assumptions'!$Y$99*'Assumptions'!$Z$99*'Assumptions'!$D$11*(1+'Assumptions'!$D$13)^(16-1)</x:f>
        <x:v>6533.028947967684</x:v>
      </x:c>
      <x:c r="S1997" s="10" t="n">
        <x:f>IF(I1997=0,0,J1997*'Assumptions'!$W$99+H1997*'Assumptions'!$X$99)</x:f>
        <x:v>1846.3187952015196</x:v>
      </x:c>
      <x:c r="T1997" s="10" t="n">
        <x:f>N1997*'Assumptions'!$AA$99</x:f>
        <x:v>2189.729725824556</x:v>
      </x:c>
      <x:c r="U1997" s="10" t="n">
        <x:f>'Assumptions'!$AE$99*'Assumptions'!$D$11*(1+'Assumptions'!$D$13)^(16-1)</x:f>
        <x:v>0</x:v>
      </x:c>
      <x:c r="V1997" s="10" t="n">
        <x:f>0</x:f>
        <x:v>0</x:v>
      </x:c>
      <x:c r="W1997" s="10" t="n">
        <x:f>H1997*('Assumptions'!$P$99+'Assumptions'!$Y$99)</x:f>
        <x:v>209.6651341470833</x:v>
      </x:c>
      <x:c r="X1997" s="10" t="n">
        <x:f>N1997/12*'Assumptions'!$AF$99</x:f>
        <x:v>0</x:v>
      </x:c>
      <x:c r="Y1997" s="10" t="n">
        <x:f>P1997/12</x:f>
        <x:v>0</x:v>
      </x:c>
      <x:c r="Z1997" s="10" t="n">
        <x:f>0</x:f>
        <x:v>0</x:v>
      </x:c>
      <x:c r="AA1997" s="10" t="n">
        <x:f>Z1997*'Assumptions'!$AC$99*'Assumptions'!$D$11*(1+'Assumptions'!$D$13)^(16-1)</x:f>
        <x:v>0</x:v>
      </x:c>
      <x:c r="AB1997" s="10" t="n">
        <x:f>F1997/1</x:f>
        <x:v>291.8385806583832</x:v>
      </x:c>
      <x:c r="AC1997" s="10" t="n">
        <x:f>AB1997/'Assumptions'!$AM$99</x:f>
        <x:v>1945.5905377225547</x:v>
      </x:c>
      <x:c r="AD1997" s="10" t="n">
        <x:f>IF(AB1997=0,0,T1997/AB1997)</x:f>
        <x:v>7.503222229509754</x:v>
      </x:c>
      <x:c r="AE1997" s="10" t="n">
        <x:f>AA1997*'Assumptions'!$D$21</x:f>
        <x:v>0</x:v>
      </x:c>
    </x:row>
    <x:row r="1998" ht="16" customHeight="1">
      <x:c r="A1998" s="1"/>
      <x:c r="B1998" s="1"/>
      <x:c r="C1998" s="1" t="str">
        <x:v>DOT-071</x:v>
      </x:c>
      <x:c r="D1998" s="10" t="str">
        <x:v>S’otality Personal Chef</x:v>
      </x:c>
      <x:c r="E1998" s="10" t="n">
        <x:v>16</x:v>
      </x:c>
      <x:c r="F1998" s="21" t="n">
        <x:f>F1870*(1+'Assumptions'!$M$100)</x:f>
        <x:v>48.63976344306389</x:v>
      </x:c>
      <x:c r="G1998" s="21" t="n">
        <x:f>H1870*'Assumptions'!$K$100</x:f>
        <x:v>67.83381386388048</x:v>
      </x:c>
      <x:c r="H1998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1998+G1998,NA())</x:f>
        <x:v>116.47357730694438</x:v>
      </x:c>
      <x:c r="I1998" s="22" t="n">
        <x:f>'Assumptions'!$H$100*IF('Assumptions'!$O$100=1,1,'Assumptions'!$D$10)*(1+'Assumptions'!$N$100)^(16-1)</x:f>
        <x:v>874.8144199106845</x:v>
      </x:c>
      <x:c r="J1998" s="10" t="n">
        <x:f>H1998*I1998</x:f>
        <x:v>101892.7649666968</x:v>
      </x:c>
      <x:c r="K1998" s="10" t="n">
        <x:f>J1998*'Assumptions'!$T$100</x:f>
        <x:v>101892.7649666968</x:v>
      </x:c>
      <x:c r="L1998" s="10" t="n">
        <x:f>K1998*'Assumptions'!$U$100</x:f>
        <x:v>3056.782949000904</x:v>
      </x:c>
      <x:c r="M1998" s="10" t="n">
        <x:f>K1998*'Assumptions'!$V$100</x:f>
        <x:v>0</x:v>
      </x:c>
      <x:c r="N1998" s="10" t="n">
        <x:f>K1998-L1998-M1998</x:f>
        <x:v>98835.9820176959</x:v>
      </x:c>
      <x:c r="O1998" s="10" t="n">
        <x:f>H1998*'Assumptions'!$P$100*'Assumptions'!$Q$100*'Assumptions'!$D$11*(1+'Assumptions'!$D$13)^(16-1)</x:f>
        <x:v>3629.240766782993</x:v>
      </x:c>
      <x:c r="P1998" s="10" t="n">
        <x:f>H1998*'Assumptions'!$R$100*'Assumptions'!$D$11*(1+'Assumptions'!$D$13)^(16-1)</x:f>
        <x:v>18146.203833914962</x:v>
      </x:c>
      <x:c r="Q1998" s="10" t="n">
        <x:f>J1998*'Assumptions'!$S$100</x:f>
        <x:v>50946.3824833484</x:v>
      </x:c>
      <x:c r="R1998" s="10" t="n">
        <x:f>H1998*'Assumptions'!$Y$100*'Assumptions'!$Z$100*'Assumptions'!$D$11*(1+'Assumptions'!$D$13)^(16-1)</x:f>
        <x:v>1088.7722300348978</x:v>
      </x:c>
      <x:c r="S1998" s="10" t="n">
        <x:f>IF(I1998=0,0,J1998*'Assumptions'!$W$100+H1998*'Assumptions'!$X$100)</x:f>
        <x:v>2989.8322572262905</x:v>
      </x:c>
      <x:c r="T1998" s="10" t="n">
        <x:f>N1998*'Assumptions'!$AA$100</x:f>
        <x:v>3953.439280707836</x:v>
      </x:c>
      <x:c r="U1998" s="10" t="n">
        <x:f>'Assumptions'!$AE$100*'Assumptions'!$D$11*(1+'Assumptions'!$D$13)^(16-1)</x:f>
        <x:v>0</x:v>
      </x:c>
      <x:c r="V1998" s="10" t="n">
        <x:f>0</x:f>
        <x:v>0</x:v>
      </x:c>
      <x:c r="W1998" s="10" t="n">
        <x:f>H1998*('Assumptions'!$P$100+'Assumptions'!$Y$100)</x:f>
        <x:v>81.53150411486106</x:v>
      </x:c>
      <x:c r="X1998" s="10" t="n">
        <x:f>N1998/12*'Assumptions'!$AF$100</x:f>
        <x:v>0</x:v>
      </x:c>
      <x:c r="Y1998" s="10" t="n">
        <x:f>P1998/12</x:f>
        <x:v>1512.1836528262468</x:v>
      </x:c>
      <x:c r="Z1998" s="10" t="n">
        <x:f>0</x:f>
        <x:v>0</x:v>
      </x:c>
      <x:c r="AA1998" s="10" t="n">
        <x:f>Z1998*'Assumptions'!$AC$100*'Assumptions'!$D$11*(1+'Assumptions'!$D$13)^(16-1)</x:f>
        <x:v>0</x:v>
      </x:c>
      <x:c r="AB1998" s="10" t="n">
        <x:f>F1998/1</x:f>
        <x:v>48.63976344306389</x:v>
      </x:c>
      <x:c r="AC1998" s="10" t="n">
        <x:f>AB1998/'Assumptions'!$AM$100</x:f>
        <x:v>324.26508962042595</x:v>
      </x:c>
      <x:c r="AD1998" s="10" t="n">
        <x:f>IF(AB1998=0,0,T1998/AB1998)</x:f>
        <x:v>81.27998577410028</x:v>
      </x:c>
      <x:c r="AE1998" s="10" t="n">
        <x:f>AA1998*'Assumptions'!$D$21</x:f>
        <x:v>0</x:v>
      </x:c>
    </x:row>
    <x:row r="1999" ht="16" customHeight="1">
      <x:c r="A1999" s="1"/>
      <x:c r="B1999" s="1"/>
      <x:c r="C1999" s="1" t="str">
        <x:v>DOT-072</x:v>
      </x:c>
      <x:c r="D1999" s="10" t="str">
        <x:v>S’otality interiors</x:v>
      </x:c>
      <x:c r="E1999" s="10" t="n">
        <x:v>16</x:v>
      </x:c>
      <x:c r="F1999" s="21" t="n">
        <x:f>F1871*(1+'Assumptions'!$M$101)</x:f>
        <x:v>18.23991129114895</x:v>
      </x:c>
      <x:c r="G1999" s="21" t="n">
        <x:f>H1871*'Assumptions'!$K$101</x:f>
        <x:v>17.206663781173095</x:v>
      </x:c>
      <x:c r="H1999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1999+G1999,NA())</x:f>
        <x:v>35.44657507232205</x:v>
      </x:c>
      <x:c r="I1999" s="22" t="n">
        <x:f>'Assumptions'!$H$101*IF('Assumptions'!$O$101=1,1,'Assumptions'!$D$10)*(1+'Assumptions'!$N$101)^(16-1)</x:f>
        <x:v>2018.8025074861948</x:v>
      </x:c>
      <x:c r="J1999" s="10" t="n">
        <x:f>H1999*I1999</x:f>
        <x:v>71559.6346378014</x:v>
      </x:c>
      <x:c r="K1999" s="10" t="n">
        <x:f>J1999*'Assumptions'!$T$101</x:f>
        <x:v>71559.6346378014</x:v>
      </x:c>
      <x:c r="L1999" s="10" t="n">
        <x:f>K1999*'Assumptions'!$U$101</x:f>
        <x:v>2146.789039134042</x:v>
      </x:c>
      <x:c r="M1999" s="10" t="n">
        <x:f>K1999*'Assumptions'!$V$101</x:f>
        <x:v>0</x:v>
      </x:c>
      <x:c r="N1999" s="10" t="n">
        <x:f>K1999-L1999-M1999</x:f>
        <x:v>69412.84559866735</x:v>
      </x:c>
      <x:c r="O1999" s="10" t="n">
        <x:f>H1999*'Assumptions'!$P$101*'Assumptions'!$Q$101*'Assumptions'!$D$11*(1+'Assumptions'!$D$13)^(16-1)</x:f>
        <x:v>30373.534946023865</x:v>
      </x:c>
      <x:c r="P1999" s="10" t="n">
        <x:f>H1999*'Assumptions'!$R$101*'Assumptions'!$D$11*(1+'Assumptions'!$D$13)^(16-1)</x:f>
        <x:v>2761.230449638533</x:v>
      </x:c>
      <x:c r="Q1999" s="10" t="n">
        <x:f>J1999*'Assumptions'!$S$101</x:f>
        <x:v>0</x:v>
      </x:c>
      <x:c r="R1999" s="10" t="n">
        <x:f>H1999*'Assumptions'!$Y$101*'Assumptions'!$Z$101*'Assumptions'!$D$11*(1+'Assumptions'!$D$13)^(16-1)</x:f>
        <x:v>414.1845674457799</x:v>
      </x:c>
      <x:c r="S1999" s="10" t="n">
        <x:f>IF(I1999=0,0,J1999*'Assumptions'!$W$101+H1999*'Assumptions'!$X$101)</x:f>
        <x:v>2085.863377017937</x:v>
      </x:c>
      <x:c r="T1999" s="10" t="n">
        <x:f>N1999*'Assumptions'!$AA$101</x:f>
        <x:v>2776.513823946694</x:v>
      </x:c>
      <x:c r="U1999" s="10" t="n">
        <x:f>'Assumptions'!$AE$101*'Assumptions'!$D$11*(1+'Assumptions'!$D$13)^(16-1)</x:f>
        <x:v>0</x:v>
      </x:c>
      <x:c r="V1999" s="10" t="n">
        <x:f>0</x:f>
        <x:v>0</x:v>
      </x:c>
      <x:c r="W1999" s="10" t="n">
        <x:f>H1999*('Assumptions'!$P$101+'Assumptions'!$Y$101)</x:f>
        <x:v>363.327394491301</x:v>
      </x:c>
      <x:c r="X1999" s="10" t="n">
        <x:f>N1999/12*'Assumptions'!$AF$101</x:f>
        <x:v>5784.403799888946</x:v>
      </x:c>
      <x:c r="Y1999" s="10" t="n">
        <x:f>P1999/12</x:f>
        <x:v>230.10253746987777</x:v>
      </x:c>
      <x:c r="Z1999" s="10" t="n">
        <x:f>0</x:f>
        <x:v>0</x:v>
      </x:c>
      <x:c r="AA1999" s="10" t="n">
        <x:f>Z1999*'Assumptions'!$AC$101*'Assumptions'!$D$11*(1+'Assumptions'!$D$13)^(16-1)</x:f>
        <x:v>0</x:v>
      </x:c>
      <x:c r="AB1999" s="10" t="n">
        <x:f>F1999/1</x:f>
        <x:v>18.23991129114895</x:v>
      </x:c>
      <x:c r="AC1999" s="10" t="n">
        <x:f>AB1999/'Assumptions'!$AM$101</x:f>
        <x:v>91.19955645574474</x:v>
      </x:c>
      <x:c r="AD1999" s="10" t="n">
        <x:f>IF(AB1999=0,0,T1999/AB1999)</x:f>
        <x:v>152.22189294824136</x:v>
      </x:c>
      <x:c r="AE1999" s="10" t="n">
        <x:f>AA1999*'Assumptions'!$D$21</x:f>
        <x:v>0</x:v>
      </x:c>
    </x:row>
    <x:row r="2000" ht="16" customHeight="1">
      <x:c r="A2000" s="1"/>
      <x:c r="B2000" s="1"/>
      <x:c r="C2000" s="1" t="str">
        <x:v>DOT-073</x:v>
      </x:c>
      <x:c r="D2000" s="10" t="str">
        <x:v>S’otality interiors</x:v>
      </x:c>
      <x:c r="E2000" s="10" t="n">
        <x:v>16</x:v>
      </x:c>
      <x:c r="F2000" s="21" t="n">
        <x:f>F1872*(1+'Assumptions'!$M$102)</x:f>
        <x:v>48.63976344306389</x:v>
      </x:c>
      <x:c r="G2000" s="21" t="n">
        <x:f>H1872*'Assumptions'!$K$102</x:f>
        <x:v>67.8408666386491</x:v>
      </x:c>
      <x:c r="H2000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2000+G2000,NA())</x:f>
        <x:v>116.480630081713</x:v>
      </x:c>
      <x:c r="I2000" s="22" t="n">
        <x:f>'Assumptions'!$H$102*IF('Assumptions'!$O$102=1,1,'Assumptions'!$D$10)*(1+'Assumptions'!$N$102)^(16-1)</x:f>
        <x:v>403.760501497239</x:v>
      </x:c>
      <x:c r="J2000" s="10" t="n">
        <x:f>H2000*I2000</x:f>
        <x:v>47030.27761650682</x:v>
      </x:c>
      <x:c r="K2000" s="10" t="n">
        <x:f>J2000*'Assumptions'!$T$102</x:f>
        <x:v>47030.27761650682</x:v>
      </x:c>
      <x:c r="L2000" s="10" t="n">
        <x:f>K2000*'Assumptions'!$U$102</x:f>
        <x:v>1410.9083284952046</x:v>
      </x:c>
      <x:c r="M2000" s="10" t="n">
        <x:f>K2000*'Assumptions'!$V$102</x:f>
        <x:v>0</x:v>
      </x:c>
      <x:c r="N2000" s="10" t="n">
        <x:f>K2000-L2000-M2000</x:f>
        <x:v>45619.369288011614</x:v>
      </x:c>
      <x:c r="O2000" s="10" t="n">
        <x:f>H2000*'Assumptions'!$P$102*'Assumptions'!$Q$102*'Assumptions'!$D$11*(1+'Assumptions'!$D$13)^(16-1)</x:f>
        <x:v>1587.888980408813</x:v>
      </x:c>
      <x:c r="P2000" s="10" t="n">
        <x:f>H2000*'Assumptions'!$R$102*'Assumptions'!$D$11*(1+'Assumptions'!$D$13)^(16-1)</x:f>
        <x:v>0</x:v>
      </x:c>
      <x:c r="Q2000" s="10" t="n">
        <x:f>J2000*'Assumptions'!$S$102</x:f>
        <x:v>28218.166569904093</x:v>
      </x:c>
      <x:c r="R2000" s="10" t="n">
        <x:f>H2000*'Assumptions'!$Y$102*'Assumptions'!$Z$102*'Assumptions'!$D$11*(1+'Assumptions'!$D$13)^(16-1)</x:f>
        <x:v>1088.8381579946147</x:v>
      </x:c>
      <x:c r="S2000" s="10" t="n">
        <x:f>IF(I2000=0,0,J2000*'Assumptions'!$W$102+H2000*'Assumptions'!$X$102)</x:f>
        <x:v>1398.8222399032118</x:v>
      </x:c>
      <x:c r="T2000" s="10" t="n">
        <x:f>N2000*'Assumptions'!$AA$102</x:f>
        <x:v>1824.7747715204646</x:v>
      </x:c>
      <x:c r="U2000" s="10" t="n">
        <x:f>'Assumptions'!$AE$102*'Assumptions'!$D$11*(1+'Assumptions'!$D$13)^(16-1)</x:f>
        <x:v>0</x:v>
      </x:c>
      <x:c r="V2000" s="10" t="n">
        <x:f>0</x:f>
        <x:v>0</x:v>
      </x:c>
      <x:c r="W2000" s="10" t="n">
        <x:f>H2000*('Assumptions'!$P$102+'Assumptions'!$Y$102)</x:f>
        <x:v>52.416283536770855</x:v>
      </x:c>
      <x:c r="X2000" s="10" t="n">
        <x:f>N2000/12*'Assumptions'!$AF$102</x:f>
        <x:v>0</x:v>
      </x:c>
      <x:c r="Y2000" s="10" t="n">
        <x:f>P2000/12</x:f>
        <x:v>0</x:v>
      </x:c>
      <x:c r="Z2000" s="10" t="n">
        <x:f>0</x:f>
        <x:v>0</x:v>
      </x:c>
      <x:c r="AA2000" s="10" t="n">
        <x:f>Z2000*'Assumptions'!$AC$102*'Assumptions'!$D$11*(1+'Assumptions'!$D$13)^(16-1)</x:f>
        <x:v>0</x:v>
      </x:c>
      <x:c r="AB2000" s="10" t="n">
        <x:f>F2000/1</x:f>
        <x:v>48.63976344306389</x:v>
      </x:c>
      <x:c r="AC2000" s="10" t="n">
        <x:f>AB2000/'Assumptions'!$AM$102</x:f>
        <x:v>324.26508962042595</x:v>
      </x:c>
      <x:c r="AD2000" s="10" t="n">
        <x:f>IF(AB2000=0,0,T2000/AB2000)</x:f>
        <x:v>37.51611114754877</x:v>
      </x:c>
      <x:c r="AE2000" s="10" t="n">
        <x:f>AA2000*'Assumptions'!$D$21</x:f>
        <x:v>0</x:v>
      </x:c>
    </x:row>
    <x:row r="2001" ht="16" customHeight="1">
      <x:c r="A2001" s="1"/>
      <x:c r="B2001" s="1"/>
      <x:c r="C2001" s="1" t="str">
        <x:v>DOT-074</x:v>
      </x:c>
      <x:c r="D2001" s="10" t="str">
        <x:v>S’otality interiors</x:v>
      </x:c>
      <x:c r="E2001" s="10" t="n">
        <x:v>16</x:v>
      </x:c>
      <x:c r="F2001" s="21" t="n">
        <x:f>F1873*(1+'Assumptions'!$M$103)</x:f>
        <x:v>20.66650095120632</x:v>
      </x:c>
      <x:c r="G2001" s="21" t="n">
        <x:f>H1873*'Assumptions'!$K$103</x:f>
        <x:v>43.62853915409842</x:v>
      </x:c>
      <x:c r="H2001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2001+G2001,NA())</x:f>
        <x:v>64.29504010530474</x:v>
      </x:c>
      <x:c r="I2001" s="22" t="n">
        <x:f>'Assumptions'!$H$103*IF('Assumptions'!$O$103=1,1,'Assumptions'!$D$10)*(1+'Assumptions'!$N$103)^(16-1)</x:f>
        <x:v>2018.8025074861948</x:v>
      </x:c>
      <x:c r="J2001" s="10" t="n">
        <x:f>H2001*I2001</x:f>
        <x:v>129798.98818351467</x:v>
      </x:c>
      <x:c r="K2001" s="10" t="n">
        <x:f>J2001*'Assumptions'!$T$103</x:f>
        <x:v>12979.898818351467</x:v>
      </x:c>
      <x:c r="L2001" s="10" t="n">
        <x:f>K2001*'Assumptions'!$U$103</x:f>
        <x:v>389.396964550544</x:v>
      </x:c>
      <x:c r="M2001" s="10" t="n">
        <x:f>K2001*'Assumptions'!$V$103</x:f>
        <x:v>0</x:v>
      </x:c>
      <x:c r="N2001" s="10" t="n">
        <x:f>K2001-L2001-M2001</x:f>
        <x:v>12590.501853800923</x:v>
      </x:c>
      <x:c r="O2001" s="10" t="n">
        <x:f>H2001*'Assumptions'!$P$103*'Assumptions'!$Q$103*'Assumptions'!$D$11*(1+'Assumptions'!$D$13)^(16-1)</x:f>
        <x:v>4006.783101324168</x:v>
      </x:c>
      <x:c r="P2001" s="10" t="n">
        <x:f>H2001*'Assumptions'!$R$103*'Assumptions'!$D$11*(1+'Assumptions'!$D$13)^(16-1)</x:f>
        <x:v>0</x:v>
      </x:c>
      <x:c r="Q2001" s="10" t="n">
        <x:f>J2001*'Assumptions'!$S$103</x:f>
        <x:v>0</x:v>
      </x:c>
      <x:c r="R2001" s="10" t="n">
        <x:f>H2001*'Assumptions'!$Y$103*'Assumptions'!$Z$103*'Assumptions'!$D$11*(1+'Assumptions'!$D$13)^(16-1)</x:f>
        <x:v>450.76309889896885</x:v>
      </x:c>
      <x:c r="S2001" s="10" t="n">
        <x:f>IF(I2001=0,0,J2001*'Assumptions'!$W$103+H2001*'Assumptions'!$X$103)</x:f>
        <x:v>3783.4591693535167</x:v>
      </x:c>
      <x:c r="T2001" s="10" t="n">
        <x:f>N2001*'Assumptions'!$AA$103</x:f>
        <x:v>629.5250926900462</x:v>
      </x:c>
      <x:c r="U2001" s="10" t="n">
        <x:f>'Assumptions'!$AE$103*'Assumptions'!$D$11*(1+'Assumptions'!$D$13)^(16-1)</x:f>
        <x:v>0</x:v>
      </x:c>
      <x:c r="V2001" s="10" t="n">
        <x:f>0</x:f>
        <x:v>0</x:v>
      </x:c>
      <x:c r="W2001" s="10" t="n">
        <x:f>H2001*('Assumptions'!$P$103+'Assumptions'!$Y$103)</x:f>
        <x:v>73.93929612110044</x:v>
      </x:c>
      <x:c r="X2001" s="10" t="n">
        <x:f>N2001/12*'Assumptions'!$AF$103</x:f>
        <x:v>0</x:v>
      </x:c>
      <x:c r="Y2001" s="10" t="n">
        <x:f>P2001/12</x:f>
        <x:v>0</x:v>
      </x:c>
      <x:c r="Z2001" s="10" t="n">
        <x:f>0</x:f>
        <x:v>0</x:v>
      </x:c>
      <x:c r="AA2001" s="10" t="n">
        <x:f>Z2001*'Assumptions'!$AC$103*'Assumptions'!$D$11*(1+'Assumptions'!$D$13)^(16-1)</x:f>
        <x:v>0</x:v>
      </x:c>
      <x:c r="AB2001" s="10" t="n">
        <x:f>F2001/1</x:f>
        <x:v>20.66650095120632</x:v>
      </x:c>
      <x:c r="AC2001" s="10" t="n">
        <x:f>AB2001/'Assumptions'!$AM$103</x:f>
        <x:v>413.3300190241264</x:v>
      </x:c>
      <x:c r="AD2001" s="10" t="n">
        <x:f>IF(AB2001=0,0,T2001/AB2001)</x:f>
        <x:v>30.461135834090015</x:v>
      </x:c>
      <x:c r="AE2001" s="10" t="n">
        <x:f>AA2001*'Assumptions'!$D$21</x:f>
        <x:v>0</x:v>
      </x:c>
    </x:row>
    <x:row r="2002" ht="16" customHeight="1">
      <x:c r="A2002" s="1"/>
      <x:c r="B2002" s="1"/>
      <x:c r="C2002" s="1" t="str">
        <x:v>DOT-075</x:v>
      </x:c>
      <x:c r="D2002" s="10" t="str">
        <x:v>S’otality concierge</x:v>
      </x:c>
      <x:c r="E2002" s="10" t="n">
        <x:v>16</x:v>
      </x:c>
      <x:c r="F2002" s="21" t="n">
        <x:f>F1874*(1+'Assumptions'!$M$104)</x:f>
        <x:v>243.19881721531942</x:v>
      </x:c>
      <x:c r="G2002" s="21" t="n">
        <x:f>H1874*'Assumptions'!$K$104</x:f>
        <x:v>229.42218374897467</x:v>
      </x:c>
      <x:c r="H2002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2002+G2002,NA())</x:f>
        <x:v>472.6210009642941</x:v>
      </x:c>
      <x:c r="I2002" s="22" t="n">
        <x:f>'Assumptions'!$H$104*IF('Assumptions'!$O$104=1,1,'Assumptions'!$D$10)*(1+'Assumptions'!$N$104)^(16-1)</x:f>
        <x:v>100.94012537430974</x:v>
      </x:c>
      <x:c r="J2002" s="10" t="n">
        <x:f>H2002*I2002</x:f>
        <x:v>47706.42309186762</x:v>
      </x:c>
      <x:c r="K2002" s="10" t="n">
        <x:f>J2002*'Assumptions'!$T$104</x:f>
        <x:v>47706.42309186762</x:v>
      </x:c>
      <x:c r="L2002" s="10" t="n">
        <x:f>K2002*'Assumptions'!$U$104</x:f>
        <x:v>1431.1926927560285</x:v>
      </x:c>
      <x:c r="M2002" s="10" t="n">
        <x:f>K2002*'Assumptions'!$V$104</x:f>
        <x:v>0</x:v>
      </x:c>
      <x:c r="N2002" s="10" t="n">
        <x:f>K2002-L2002-M2002</x:f>
        <x:v>46275.23039911159</x:v>
      </x:c>
      <x:c r="O2002" s="10" t="n">
        <x:f>H2002*'Assumptions'!$P$104*'Assumptions'!$Q$104*'Assumptions'!$D$11*(1+'Assumptions'!$D$13)^(16-1)</x:f>
        <x:v>19328.613147469736</x:v>
      </x:c>
      <x:c r="P2002" s="10" t="n">
        <x:f>H2002*'Assumptions'!$R$104*'Assumptions'!$D$11*(1+'Assumptions'!$D$13)^(16-1)</x:f>
        <x:v>0</x:v>
      </x:c>
      <x:c r="Q2002" s="10" t="n">
        <x:f>J2002*'Assumptions'!$S$104</x:f>
        <x:v>0</x:v>
      </x:c>
      <x:c r="R2002" s="10" t="n">
        <x:f>H2002*'Assumptions'!$Y$104*'Assumptions'!$Z$104*'Assumptions'!$D$11*(1+'Assumptions'!$D$13)^(16-1)</x:f>
        <x:v>5522.460899277067</x:v>
      </x:c>
      <x:c r="S2002" s="10" t="n">
        <x:f>IF(I2002=0,0,J2002*'Assumptions'!$W$104+H2002*'Assumptions'!$X$104)</x:f>
        <x:v>1525.2725699534492</x:v>
      </x:c>
      <x:c r="T2002" s="10" t="n">
        <x:f>N2002*'Assumptions'!$AA$104</x:f>
        <x:v>1851.0092159644637</x:v>
      </x:c>
      <x:c r="U2002" s="10" t="n">
        <x:f>'Assumptions'!$AE$104*'Assumptions'!$D$11*(1+'Assumptions'!$D$13)^(16-1)</x:f>
        <x:v>0</x:v>
      </x:c>
      <x:c r="V2002" s="10" t="n">
        <x:f>0</x:f>
        <x:v>0</x:v>
      </x:c>
      <x:c r="W2002" s="10" t="n">
        <x:f>H2002*('Assumptions'!$P$104+'Assumptions'!$Y$104)</x:f>
        <x:v>472.6210009642941</x:v>
      </x:c>
      <x:c r="X2002" s="10" t="n">
        <x:f>N2002/12*'Assumptions'!$AF$104</x:f>
        <x:v>3856.269199925966</x:v>
      </x:c>
      <x:c r="Y2002" s="10" t="n">
        <x:f>P2002/12</x:f>
        <x:v>0</x:v>
      </x:c>
      <x:c r="Z2002" s="10" t="n">
        <x:f>0</x:f>
        <x:v>0</x:v>
      </x:c>
      <x:c r="AA2002" s="10" t="n">
        <x:f>Z2002*'Assumptions'!$AC$104*'Assumptions'!$D$11*(1+'Assumptions'!$D$13)^(16-1)</x:f>
        <x:v>0</x:v>
      </x:c>
      <x:c r="AB2002" s="10" t="n">
        <x:f>F2002/1</x:f>
        <x:v>243.19881721531942</x:v>
      </x:c>
      <x:c r="AC2002" s="10" t="n">
        <x:f>AB2002/'Assumptions'!$AM$104</x:f>
        <x:v>1215.9940860765971</x:v>
      </x:c>
      <x:c r="AD2002" s="10" t="n">
        <x:f>IF(AB2002=0,0,T2002/AB2002)</x:f>
        <x:v>7.611094647412068</x:v>
      </x:c>
      <x:c r="AE2002" s="10" t="n">
        <x:f>AA2002*'Assumptions'!$D$21</x:f>
        <x:v>0</x:v>
      </x:c>
    </x:row>
    <x:row r="2003" ht="16" customHeight="1">
      <x:c r="A2003" s="1"/>
      <x:c r="B2003" s="1"/>
      <x:c r="C2003" s="1" t="str">
        <x:v>DOT-076</x:v>
      </x:c>
      <x:c r="D2003" s="10" t="str">
        <x:v>S’otality administration</x:v>
      </x:c>
      <x:c r="E2003" s="10" t="n">
        <x:v>16</x:v>
      </x:c>
      <x:c r="F2003" s="21" t="n">
        <x:f>F1875*(1+'Assumptions'!$M$105)</x:f>
        <x:v>486.39763443063885</x:v>
      </x:c>
      <x:c r="G2003" s="21" t="n">
        <x:f>H1875*'Assumptions'!$K$105</x:f>
        <x:v>458.84436749794935</x:v>
      </x:c>
      <x:c r="H2003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2003+G2003,NA())</x:f>
        <x:v>945.2420019285883</x:v>
      </x:c>
      <x:c r="I2003" s="22" t="n">
        <x:f>'Assumptions'!$H$105*IF('Assumptions'!$O$105=1,1,'Assumptions'!$D$10)*(1+'Assumptions'!$N$105)^(16-1)</x:f>
        <x:v>80.75210029944779</x:v>
      </x:c>
      <x:c r="J2003" s="10" t="n">
        <x:f>H2003*I2003</x:f>
        <x:v>76330.27694698818</x:v>
      </x:c>
      <x:c r="K2003" s="10" t="n">
        <x:f>J2003*'Assumptions'!$T$105</x:f>
        <x:v>76330.27694698818</x:v>
      </x:c>
      <x:c r="L2003" s="10" t="n">
        <x:f>K2003*'Assumptions'!$U$105</x:f>
        <x:v>2289.908308409645</x:v>
      </x:c>
      <x:c r="M2003" s="10" t="n">
        <x:f>K2003*'Assumptions'!$V$105</x:f>
        <x:v>0</x:v>
      </x:c>
      <x:c r="N2003" s="10" t="n">
        <x:f>K2003-L2003-M2003</x:f>
        <x:v>74040.36863857853</x:v>
      </x:c>
      <x:c r="O2003" s="10" t="n">
        <x:f>H2003*'Assumptions'!$P$105*'Assumptions'!$Q$105*'Assumptions'!$D$11*(1+'Assumptions'!$D$13)^(16-1)</x:f>
        <x:v>44179.68719421654</x:v>
      </x:c>
      <x:c r="P2003" s="10" t="n">
        <x:f>H2003*'Assumptions'!$R$105*'Assumptions'!$D$11*(1+'Assumptions'!$D$13)^(16-1)</x:f>
        <x:v>0</x:v>
      </x:c>
      <x:c r="Q2003" s="10" t="n">
        <x:f>J2003*'Assumptions'!$S$105</x:f>
        <x:v>0</x:v>
      </x:c>
      <x:c r="R2003" s="10" t="n">
        <x:f>H2003*'Assumptions'!$Y$105*'Assumptions'!$Z$105*'Assumptions'!$D$11*(1+'Assumptions'!$D$13)^(16-1)</x:f>
        <x:v>11044.921798554135</x:v>
      </x:c>
      <x:c r="S2003" s="10" t="n">
        <x:f>IF(I2003=0,0,J2003*'Assumptions'!$W$105+H2003*'Assumptions'!$X$105)</x:f>
        <x:v>2497.1506320412336</x:v>
      </x:c>
      <x:c r="T2003" s="10" t="n">
        <x:f>N2003*'Assumptions'!$AA$105</x:f>
        <x:v>2961.614745543141</x:v>
      </x:c>
      <x:c r="U2003" s="10" t="n">
        <x:f>'Assumptions'!$AE$105*'Assumptions'!$D$11*(1+'Assumptions'!$D$13)^(16-1)</x:f>
        <x:v>0</x:v>
      </x:c>
      <x:c r="V2003" s="10" t="n">
        <x:f>0</x:f>
        <x:v>0</x:v>
      </x:c>
      <x:c r="W2003" s="10" t="n">
        <x:f>H2003*('Assumptions'!$P$105+'Assumptions'!$Y$105)</x:f>
        <x:v>1181.5525024107353</x:v>
      </x:c>
      <x:c r="X2003" s="10" t="n">
        <x:f>N2003/12*'Assumptions'!$AF$105</x:f>
        <x:v>6170.0307198815435</x:v>
      </x:c>
      <x:c r="Y2003" s="10" t="n">
        <x:f>P2003/12</x:f>
        <x:v>0</x:v>
      </x:c>
      <x:c r="Z2003" s="10" t="n">
        <x:f>0</x:f>
        <x:v>0</x:v>
      </x:c>
      <x:c r="AA2003" s="10" t="n">
        <x:f>Z2003*'Assumptions'!$AC$105*'Assumptions'!$D$11*(1+'Assumptions'!$D$13)^(16-1)</x:f>
        <x:v>0</x:v>
      </x:c>
      <x:c r="AB2003" s="10" t="n">
        <x:f>F2003/1</x:f>
        <x:v>486.39763443063885</x:v>
      </x:c>
      <x:c r="AC2003" s="10" t="n">
        <x:f>AB2003/'Assumptions'!$AM$105</x:f>
        <x:v>2431.9881721531942</x:v>
      </x:c>
      <x:c r="AD2003" s="10" t="n">
        <x:f>IF(AB2003=0,0,T2003/AB2003)</x:f>
        <x:v>6.088875717929653</x:v>
      </x:c>
      <x:c r="AE2003" s="10" t="n">
        <x:f>AA2003*'Assumptions'!$D$21</x:f>
        <x:v>0</x:v>
      </x:c>
    </x:row>
    <x:row r="2004" ht="16" customHeight="1">
      <x:c r="A2004" s="1"/>
      <x:c r="B2004" s="1"/>
      <x:c r="C2004" s="1" t="str">
        <x:v>DOT-077</x:v>
      </x:c>
      <x:c r="D2004" s="10" t="str">
        <x:v>S’otality bike tours</x:v>
      </x:c>
      <x:c r="E2004" s="10" t="n">
        <x:v>16</x:v>
      </x:c>
      <x:c r="F2004" s="21" t="n">
        <x:f>F1876*(1+'Assumptions'!$M$106)</x:f>
        <x:v>194.55905377225557</x:v>
      </x:c>
      <x:c r="G2004" s="21" t="n">
        <x:f>H1876*'Assumptions'!$K$106</x:f>
        <x:v>271.3352554555219</x:v>
      </x:c>
      <x:c r="H2004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2004+G2004,NA())</x:f>
        <x:v>465.8943092277775</x:v>
      </x:c>
      <x:c r="I2004" s="22" t="n">
        <x:f>'Assumptions'!$H$106*IF('Assumptions'!$O$106=1,1,'Assumptions'!$D$10)*(1+'Assumptions'!$N$106)^(16-1)</x:f>
        <x:v>87.48144199106844</x:v>
      </x:c>
      <x:c r="J2004" s="10" t="n">
        <x:f>H2004*I2004</x:f>
        <x:v>40757.10598667872</x:v>
      </x:c>
      <x:c r="K2004" s="10" t="n">
        <x:f>J2004*'Assumptions'!$T$106</x:f>
        <x:v>40757.10598667872</x:v>
      </x:c>
      <x:c r="L2004" s="10" t="n">
        <x:f>K2004*'Assumptions'!$U$106</x:f>
        <x:v>1222.7131796003614</x:v>
      </x:c>
      <x:c r="M2004" s="10" t="n">
        <x:f>K2004*'Assumptions'!$V$106</x:f>
        <x:v>0</x:v>
      </x:c>
      <x:c r="N2004" s="10" t="n">
        <x:f>K2004-L2004-M2004</x:f>
        <x:v>39534.39280707836</x:v>
      </x:c>
      <x:c r="O2004" s="10" t="n">
        <x:f>H2004*'Assumptions'!$P$106*'Assumptions'!$Q$106*'Assumptions'!$D$11*(1+'Assumptions'!$D$13)^(16-1)</x:f>
        <x:v>3810.7028051221423</x:v>
      </x:c>
      <x:c r="P2004" s="10" t="n">
        <x:f>H2004*'Assumptions'!$R$106*'Assumptions'!$D$11*(1+'Assumptions'!$D$13)^(16-1)</x:f>
        <x:v>3629.240766782993</x:v>
      </x:c>
      <x:c r="Q2004" s="10" t="n">
        <x:f>J2004*'Assumptions'!$S$106</x:f>
        <x:v>18340.697694005423</x:v>
      </x:c>
      <x:c r="R2004" s="10" t="n">
        <x:f>H2004*'Assumptions'!$Y$106*'Assumptions'!$Z$106*'Assumptions'!$D$11*(1+'Assumptions'!$D$13)^(16-1)</x:f>
        <x:v>4355.088920139591</x:v>
      </x:c>
      <x:c r="S2004" s="10" t="n">
        <x:f>IF(I2004=0,0,J2004*'Assumptions'!$W$106+H2004*'Assumptions'!$X$106)</x:f>
        <x:v>1321.7243663820163</x:v>
      </x:c>
      <x:c r="T2004" s="10" t="n">
        <x:f>N2004*'Assumptions'!$AA$106</x:f>
        <x:v>1581.3757122831344</x:v>
      </x:c>
      <x:c r="U2004" s="10" t="n">
        <x:f>'Assumptions'!$AE$106*'Assumptions'!$D$11*(1+'Assumptions'!$D$13)^(16-1)</x:f>
        <x:v>0</x:v>
      </x:c>
      <x:c r="V2004" s="10" t="n">
        <x:f>0</x:f>
        <x:v>0</x:v>
      </x:c>
      <x:c r="W2004" s="10" t="n">
        <x:f>H2004*('Assumptions'!$P$106+'Assumptions'!$Y$106)</x:f>
        <x:v>163.06300822972213</x:v>
      </x:c>
      <x:c r="X2004" s="10" t="n">
        <x:f>N2004/12*'Assumptions'!$AF$106</x:f>
        <x:v>0</x:v>
      </x:c>
      <x:c r="Y2004" s="10" t="n">
        <x:f>P2004/12</x:f>
        <x:v>302.43673056524943</x:v>
      </x:c>
      <x:c r="Z2004" s="10" t="n">
        <x:f>0</x:f>
        <x:v>0</x:v>
      </x:c>
      <x:c r="AA2004" s="10" t="n">
        <x:f>Z2004*'Assumptions'!$AC$106*'Assumptions'!$D$11*(1+'Assumptions'!$D$13)^(16-1)</x:f>
        <x:v>0</x:v>
      </x:c>
      <x:c r="AB2004" s="10" t="n">
        <x:f>F2004/1</x:f>
        <x:v>194.55905377225557</x:v>
      </x:c>
      <x:c r="AC2004" s="10" t="n">
        <x:f>AB2004/'Assumptions'!$AM$106</x:f>
        <x:v>1297.0603584817038</x:v>
      </x:c>
      <x:c r="AD2004" s="10" t="n">
        <x:f>IF(AB2004=0,0,T2004/AB2004)</x:f>
        <x:v>8.127998577410027</x:v>
      </x:c>
      <x:c r="AE2004" s="10" t="n">
        <x:f>AA2004*'Assumptions'!$D$21</x:f>
        <x:v>0</x:v>
      </x:c>
    </x:row>
    <x:row r="2005" ht="16" customHeight="1">
      <x:c r="A2005" s="1"/>
      <x:c r="B2005" s="1"/>
      <x:c r="C2005" s="1" t="str">
        <x:v>DOT-078</x:v>
      </x:c>
      <x:c r="D2005" s="10" t="str">
        <x:v>S’otality editorial</x:v>
      </x:c>
      <x:c r="E2005" s="10" t="n">
        <x:v>16</x:v>
      </x:c>
      <x:c r="F2005" s="21" t="n">
        <x:f>F1877*(1+'Assumptions'!$M$107)</x:f>
        <x:v>15.807923118995767</x:v>
      </x:c>
      <x:c r="G2005" s="21" t="n">
        <x:f>H1877*'Assumptions'!$K$107</x:f>
        <x:v>8.136424932207559</x:v>
      </x:c>
      <x:c r="H2005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2005+G2005,NA())</x:f>
        <x:v>23.944348051203328</x:v>
      </x:c>
      <x:c r="I2005" s="22" t="n">
        <x:f>'Assumptions'!$H$107*IF('Assumptions'!$O$107=1,1,'Assumptions'!$D$10)*(1+'Assumptions'!$N$107)^(16-1)</x:f>
        <x:v>336.46708458103245</x:v>
      </x:c>
      <x:c r="J2005" s="10" t="n">
        <x:f>H2005*I2005</x:f>
        <x:v>8056.48498098191</x:v>
      </x:c>
      <x:c r="K2005" s="10" t="n">
        <x:f>J2005*'Assumptions'!$T$107</x:f>
        <x:v>8056.48498098191</x:v>
      </x:c>
      <x:c r="L2005" s="10" t="n">
        <x:f>K2005*'Assumptions'!$U$107</x:f>
        <x:v>241.69454942945728</x:v>
      </x:c>
      <x:c r="M2005" s="10" t="n">
        <x:f>K2005*'Assumptions'!$V$107</x:f>
        <x:v>0</x:v>
      </x:c>
      <x:c r="N2005" s="10" t="n">
        <x:f>K2005-L2005-M2005</x:f>
        <x:v>7814.790431552453</x:v>
      </x:c>
      <x:c r="O2005" s="10" t="n">
        <x:f>H2005*'Assumptions'!$P$107*'Assumptions'!$Q$107*'Assumptions'!$D$11*(1+'Assumptions'!$D$13)^(16-1)</x:f>
        <x:v>2984.3611260418247</x:v>
      </x:c>
      <x:c r="P2005" s="10" t="n">
        <x:f>H2005*'Assumptions'!$R$107*'Assumptions'!$D$11*(1+'Assumptions'!$D$13)^(16-1)</x:f>
        <x:v>0</x:v>
      </x:c>
      <x:c r="Q2005" s="10" t="n">
        <x:f>J2005*'Assumptions'!$S$107</x:f>
        <x:v>0</x:v>
      </x:c>
      <x:c r="R2005" s="10" t="n">
        <x:f>H2005*'Assumptions'!$Y$107*'Assumptions'!$Z$107*'Assumptions'!$D$11*(1+'Assumptions'!$D$13)^(16-1)</x:f>
        <x:v>559.5677111328422</x:v>
      </x:c>
      <x:c r="S2005" s="10" t="n">
        <x:f>IF(I2005=0,0,J2005*'Assumptions'!$W$107+H2005*'Assumptions'!$X$107)</x:f>
        <x:v>240.8213688638364</x:v>
      </x:c>
      <x:c r="T2005" s="10" t="n">
        <x:f>N2005*'Assumptions'!$AA$107</x:f>
        <x:v>625.1832345241962</x:v>
      </x:c>
      <x:c r="U2005" s="10" t="n">
        <x:f>'Assumptions'!$AE$107*'Assumptions'!$D$11*(1+'Assumptions'!$D$13)^(16-1)</x:f>
        <x:v>0</x:v>
      </x:c>
      <x:c r="V2005" s="10" t="n">
        <x:f>0</x:f>
        <x:v>0</x:v>
      </x:c>
      <x:c r="W2005" s="10" t="n">
        <x:f>H2005*('Assumptions'!$P$107+'Assumptions'!$Y$107)</x:f>
        <x:v>59.860870128008315</x:v>
      </x:c>
      <x:c r="X2005" s="10" t="n">
        <x:f>N2005/12*'Assumptions'!$AF$107</x:f>
        <x:v>651.2325359627044</x:v>
      </x:c>
      <x:c r="Y2005" s="10" t="n">
        <x:f>P2005/12</x:f>
        <x:v>0</x:v>
      </x:c>
      <x:c r="Z2005" s="10" t="n">
        <x:f>0</x:f>
        <x:v>0</x:v>
      </x:c>
      <x:c r="AA2005" s="10" t="n">
        <x:f>Z2005*'Assumptions'!$AC$107*'Assumptions'!$D$11*(1+'Assumptions'!$D$13)^(16-1)</x:f>
        <x:v>0</x:v>
      </x:c>
      <x:c r="AB2005" s="10" t="n">
        <x:f>F2005/1</x:f>
        <x:v>15.807923118995767</x:v>
      </x:c>
      <x:c r="AC2005" s="10" t="n">
        <x:f>AB2005/'Assumptions'!$AM$107</x:f>
        <x:v>158.07923118995765</x:v>
      </x:c>
      <x:c r="AD2005" s="10" t="n">
        <x:f>IF(AB2005=0,0,T2005/AB2005)</x:f>
        <x:v>39.548726914855614</x:v>
      </x:c>
      <x:c r="AE2005" s="10" t="n">
        <x:f>AA2005*'Assumptions'!$D$21</x:f>
        <x:v>0</x:v>
      </x:c>
    </x:row>
    <x:row r="2006" ht="16" customHeight="1">
      <x:c r="A2006" s="1"/>
      <x:c r="B2006" s="1"/>
      <x:c r="C2006" s="1" t="str">
        <x:v>DOT-079</x:v>
      </x:c>
      <x:c r="D2006" s="10" t="str">
        <x:v>S’otality editorial</x:v>
      </x:c>
      <x:c r="E2006" s="10" t="n">
        <x:v>16</x:v>
      </x:c>
      <x:c r="F2006" s="21" t="n">
        <x:f>F1878*(1+'Assumptions'!$M$108)</x:f>
        <x:v>5.269307706331921</x:v>
      </x:c>
      <x:c r="G2006" s="21" t="n">
        <x:f>H1878*'Assumptions'!$K$108</x:f>
        <x:v>2.7121416440691863</x:v>
      </x:c>
      <x:c r="H2006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2006+G2006,NA())</x:f>
        <x:v>7.981449350401108</x:v>
      </x:c>
      <x:c r="I2006" s="22" t="n">
        <x:f>'Assumptions'!$H$108*IF('Assumptions'!$O$108=1,1,'Assumptions'!$D$10)*(1+'Assumptions'!$N$108)^(16-1)</x:f>
        <x:v>1345.8683383241298</x:v>
      </x:c>
      <x:c r="J2006" s="10" t="n">
        <x:f>H2006*I2006</x:f>
        <x:v>10741.979974642543</x:v>
      </x:c>
      <x:c r="K2006" s="10" t="n">
        <x:f>J2006*'Assumptions'!$T$108</x:f>
        <x:v>10741.979974642543</x:v>
      </x:c>
      <x:c r="L2006" s="10" t="n">
        <x:f>K2006*'Assumptions'!$U$108</x:f>
        <x:v>322.25939923927626</x:v>
      </x:c>
      <x:c r="M2006" s="10" t="n">
        <x:f>K2006*'Assumptions'!$V$108</x:f>
        <x:v>0</x:v>
      </x:c>
      <x:c r="N2006" s="10" t="n">
        <x:f>K2006-L2006-M2006</x:f>
        <x:v>10419.720575403268</x:v>
      </x:c>
      <x:c r="O2006" s="10" t="n">
        <x:f>H2006*'Assumptions'!$P$108*'Assumptions'!$Q$108*'Assumptions'!$D$11*(1+'Assumptions'!$D$13)^(16-1)</x:f>
        <x:v>3979.1481680557663</x:v>
      </x:c>
      <x:c r="P2006" s="10" t="n">
        <x:f>H2006*'Assumptions'!$R$108*'Assumptions'!$D$11*(1+'Assumptions'!$D$13)^(16-1)</x:f>
        <x:v>1243.483802517427</x:v>
      </x:c>
      <x:c r="Q2006" s="10" t="n">
        <x:f>J2006*'Assumptions'!$S$108</x:f>
        <x:v>0</x:v>
      </x:c>
      <x:c r="R2006" s="10" t="n">
        <x:f>H2006*'Assumptions'!$Y$108*'Assumptions'!$Z$108*'Assumptions'!$D$11*(1+'Assumptions'!$D$13)^(16-1)</x:f>
        <x:v>186.52257037761402</x:v>
      </x:c>
      <x:c r="S2006" s="10" t="n">
        <x:f>IF(I2006=0,0,J2006*'Assumptions'!$W$108+H2006*'Assumptions'!$X$108)</x:f>
        <x:v>313.9118540697541</x:v>
      </x:c>
      <x:c r="T2006" s="10" t="n">
        <x:f>N2006*'Assumptions'!$AA$108</x:f>
        <x:v>833.5776460322614</x:v>
      </x:c>
      <x:c r="U2006" s="10" t="n">
        <x:f>'Assumptions'!$AE$108*'Assumptions'!$D$11*(1+'Assumptions'!$D$13)^(16-1)</x:f>
        <x:v>0</x:v>
      </x:c>
      <x:c r="V2006" s="10" t="n">
        <x:f>0</x:f>
        <x:v>0</x:v>
      </x:c>
      <x:c r="W2006" s="10" t="n">
        <x:f>H2006*('Assumptions'!$P$108+'Assumptions'!$Y$108)</x:f>
        <x:v>67.84231947840942</x:v>
      </x:c>
      <x:c r="X2006" s="10" t="n">
        <x:f>N2006/12*'Assumptions'!$AF$108</x:f>
        <x:v>868.3100479502723</x:v>
      </x:c>
      <x:c r="Y2006" s="10" t="n">
        <x:f>P2006/12</x:f>
        <x:v>103.62365020978558</x:v>
      </x:c>
      <x:c r="Z2006" s="10" t="n">
        <x:f>0</x:f>
        <x:v>0</x:v>
      </x:c>
      <x:c r="AA2006" s="10" t="n">
        <x:f>Z2006*'Assumptions'!$AC$108*'Assumptions'!$D$11*(1+'Assumptions'!$D$13)^(16-1)</x:f>
        <x:v>0</x:v>
      </x:c>
      <x:c r="AB2006" s="10" t="n">
        <x:f>F2006/1</x:f>
        <x:v>5.269307706331921</x:v>
      </x:c>
      <x:c r="AC2006" s="10" t="n">
        <x:f>AB2006/'Assumptions'!$AM$108</x:f>
        <x:v>52.69307706331921</x:v>
      </x:c>
      <x:c r="AD2006" s="10" t="n">
        <x:f>IF(AB2006=0,0,T2006/AB2006)</x:f>
        <x:v>158.19490765942246</x:v>
      </x:c>
      <x:c r="AE2006" s="10" t="n">
        <x:f>AA2006*'Assumptions'!$D$21</x:f>
        <x:v>0</x:v>
      </x:c>
    </x:row>
    <x:row r="2007" ht="16" customHeight="1">
      <x:c r="A2007" s="1"/>
      <x:c r="B2007" s="1"/>
      <x:c r="C2007" s="1" t="str">
        <x:v>DOT-080</x:v>
      </x:c>
      <x:c r="D2007" s="10" t="str">
        <x:v>Tomato Odyssey</x:v>
      </x:c>
      <x:c r="E2007" s="10" t="n">
        <x:v>16</x:v>
      </x:c>
      <x:c r="F2007" s="21" t="n">
        <x:f>F1879*(1+'Assumptions'!$M$109)</x:f>
        <x:v>15.807923118995767</x:v>
      </x:c>
      <x:c r="G2007" s="21" t="n">
        <x:f>H1879*'Assumptions'!$K$109</x:f>
        <x:v>8.136424932207559</x:v>
      </x:c>
      <x:c r="H2007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2007+G2007,NA())</x:f>
        <x:v>23.944348051203328</x:v>
      </x:c>
      <x:c r="I2007" s="22" t="n">
        <x:f>'Assumptions'!$H$109*IF('Assumptions'!$O$109=1,1,'Assumptions'!$D$10)*(1+'Assumptions'!$N$109)^(16-1)</x:f>
        <x:v>336.46708458103245</x:v>
      </x:c>
      <x:c r="J2007" s="10" t="n">
        <x:f>H2007*I2007</x:f>
        <x:v>8056.48498098191</x:v>
      </x:c>
      <x:c r="K2007" s="10" t="n">
        <x:f>J2007*'Assumptions'!$T$109</x:f>
        <x:v>8056.48498098191</x:v>
      </x:c>
      <x:c r="L2007" s="10" t="n">
        <x:f>K2007*'Assumptions'!$U$109</x:f>
        <x:v>241.69454942945728</x:v>
      </x:c>
      <x:c r="M2007" s="10" t="n">
        <x:f>K2007*'Assumptions'!$V$109</x:f>
        <x:v>0</x:v>
      </x:c>
      <x:c r="N2007" s="10" t="n">
        <x:f>K2007-L2007-M2007</x:f>
        <x:v>7814.790431552453</x:v>
      </x:c>
      <x:c r="O2007" s="10" t="n">
        <x:f>H2007*'Assumptions'!$P$109*'Assumptions'!$Q$109*'Assumptions'!$D$11*(1+'Assumptions'!$D$13)^(16-1)</x:f>
        <x:v>2984.3611260418247</x:v>
      </x:c>
      <x:c r="P2007" s="10" t="n">
        <x:f>H2007*'Assumptions'!$R$109*'Assumptions'!$D$11*(1+'Assumptions'!$D$13)^(16-1)</x:f>
        <x:v>0</x:v>
      </x:c>
      <x:c r="Q2007" s="10" t="n">
        <x:f>J2007*'Assumptions'!$S$109</x:f>
        <x:v>0</x:v>
      </x:c>
      <x:c r="R2007" s="10" t="n">
        <x:f>H2007*'Assumptions'!$Y$109*'Assumptions'!$Z$109*'Assumptions'!$D$11*(1+'Assumptions'!$D$13)^(16-1)</x:f>
        <x:v>559.5677111328422</x:v>
      </x:c>
      <x:c r="S2007" s="10" t="n">
        <x:f>IF(I2007=0,0,J2007*'Assumptions'!$W$109+H2007*'Assumptions'!$X$109)</x:f>
        <x:v>240.8213688638364</x:v>
      </x:c>
      <x:c r="T2007" s="10" t="n">
        <x:f>N2007*'Assumptions'!$AA$109</x:f>
        <x:v>625.1832345241962</x:v>
      </x:c>
      <x:c r="U2007" s="10" t="n">
        <x:f>'Assumptions'!$AE$109*'Assumptions'!$D$11*(1+'Assumptions'!$D$13)^(16-1)</x:f>
        <x:v>0</x:v>
      </x:c>
      <x:c r="V2007" s="10" t="n">
        <x:f>0</x:f>
        <x:v>0</x:v>
      </x:c>
      <x:c r="W2007" s="10" t="n">
        <x:f>H2007*('Assumptions'!$P$109+'Assumptions'!$Y$109)</x:f>
        <x:v>59.860870128008315</x:v>
      </x:c>
      <x:c r="X2007" s="10" t="n">
        <x:f>N2007/12*'Assumptions'!$AF$109</x:f>
        <x:v>651.2325359627044</x:v>
      </x:c>
      <x:c r="Y2007" s="10" t="n">
        <x:f>P2007/12</x:f>
        <x:v>0</x:v>
      </x:c>
      <x:c r="Z2007" s="10" t="n">
        <x:f>0</x:f>
        <x:v>0</x:v>
      </x:c>
      <x:c r="AA2007" s="10" t="n">
        <x:f>Z2007*'Assumptions'!$AC$109*'Assumptions'!$D$11*(1+'Assumptions'!$D$13)^(16-1)</x:f>
        <x:v>0</x:v>
      </x:c>
      <x:c r="AB2007" s="10" t="n">
        <x:f>F2007/1</x:f>
        <x:v>15.807923118995767</x:v>
      </x:c>
      <x:c r="AC2007" s="10" t="n">
        <x:f>AB2007/'Assumptions'!$AM$109</x:f>
        <x:v>158.07923118995765</x:v>
      </x:c>
      <x:c r="AD2007" s="10" t="n">
        <x:f>IF(AB2007=0,0,T2007/AB2007)</x:f>
        <x:v>39.548726914855614</x:v>
      </x:c>
      <x:c r="AE2007" s="10" t="n">
        <x:f>AA2007*'Assumptions'!$D$21</x:f>
        <x:v>0</x:v>
      </x:c>
    </x:row>
    <x:row r="2008" ht="16" customHeight="1">
      <x:c r="A2008" s="1"/>
      <x:c r="B2008" s="1"/>
      <x:c r="C2008" s="1" t="str">
        <x:v>DOT-081</x:v>
      </x:c>
      <x:c r="D2008" s="10" t="str">
        <x:v>Tomato Odyssey</x:v>
      </x:c>
      <x:c r="E2008" s="10" t="n">
        <x:v>16</x:v>
      </x:c>
      <x:c r="F2008" s="21" t="n">
        <x:f>F1880*(1+'Assumptions'!$M$110)</x:f>
        <x:v>5.269307706331921</x:v>
      </x:c>
      <x:c r="G2008" s="21" t="n">
        <x:f>H1880*'Assumptions'!$K$110</x:f>
        <x:v>2.7121416440691863</x:v>
      </x:c>
      <x:c r="H2008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2008+G2008,NA())</x:f>
        <x:v>7.981449350401108</x:v>
      </x:c>
      <x:c r="I2008" s="22" t="n">
        <x:f>'Assumptions'!$H$110*IF('Assumptions'!$O$110=1,1,'Assumptions'!$D$10)*(1+'Assumptions'!$N$110)^(16-1)</x:f>
        <x:v>1345.8683383241298</x:v>
      </x:c>
      <x:c r="J2008" s="10" t="n">
        <x:f>H2008*I2008</x:f>
        <x:v>10741.979974642543</x:v>
      </x:c>
      <x:c r="K2008" s="10" t="n">
        <x:f>J2008*'Assumptions'!$T$110</x:f>
        <x:v>10741.979974642543</x:v>
      </x:c>
      <x:c r="L2008" s="10" t="n">
        <x:f>K2008*'Assumptions'!$U$110</x:f>
        <x:v>322.25939923927626</x:v>
      </x:c>
      <x:c r="M2008" s="10" t="n">
        <x:f>K2008*'Assumptions'!$V$110</x:f>
        <x:v>0</x:v>
      </x:c>
      <x:c r="N2008" s="10" t="n">
        <x:f>K2008-L2008-M2008</x:f>
        <x:v>10419.720575403268</x:v>
      </x:c>
      <x:c r="O2008" s="10" t="n">
        <x:f>H2008*'Assumptions'!$P$110*'Assumptions'!$Q$110*'Assumptions'!$D$11*(1+'Assumptions'!$D$13)^(16-1)</x:f>
        <x:v>3979.1481680557663</x:v>
      </x:c>
      <x:c r="P2008" s="10" t="n">
        <x:f>H2008*'Assumptions'!$R$110*'Assumptions'!$D$11*(1+'Assumptions'!$D$13)^(16-1)</x:f>
        <x:v>1243.483802517427</x:v>
      </x:c>
      <x:c r="Q2008" s="10" t="n">
        <x:f>J2008*'Assumptions'!$S$110</x:f>
        <x:v>0</x:v>
      </x:c>
      <x:c r="R2008" s="10" t="n">
        <x:f>H2008*'Assumptions'!$Y$110*'Assumptions'!$Z$110*'Assumptions'!$D$11*(1+'Assumptions'!$D$13)^(16-1)</x:f>
        <x:v>186.52257037761402</x:v>
      </x:c>
      <x:c r="S2008" s="10" t="n">
        <x:f>IF(I2008=0,0,J2008*'Assumptions'!$W$110+H2008*'Assumptions'!$X$110)</x:f>
        <x:v>313.9118540697541</x:v>
      </x:c>
      <x:c r="T2008" s="10" t="n">
        <x:f>N2008*'Assumptions'!$AA$110</x:f>
        <x:v>833.5776460322614</x:v>
      </x:c>
      <x:c r="U2008" s="10" t="n">
        <x:f>'Assumptions'!$AE$110*'Assumptions'!$D$11*(1+'Assumptions'!$D$13)^(16-1)</x:f>
        <x:v>0</x:v>
      </x:c>
      <x:c r="V2008" s="10" t="n">
        <x:f>0</x:f>
        <x:v>0</x:v>
      </x:c>
      <x:c r="W2008" s="10" t="n">
        <x:f>H2008*('Assumptions'!$P$110+'Assumptions'!$Y$110)</x:f>
        <x:v>67.84231947840942</x:v>
      </x:c>
      <x:c r="X2008" s="10" t="n">
        <x:f>N2008/12*'Assumptions'!$AF$110</x:f>
        <x:v>868.3100479502723</x:v>
      </x:c>
      <x:c r="Y2008" s="10" t="n">
        <x:f>P2008/12</x:f>
        <x:v>103.62365020978558</x:v>
      </x:c>
      <x:c r="Z2008" s="10" t="n">
        <x:f>0</x:f>
        <x:v>0</x:v>
      </x:c>
      <x:c r="AA2008" s="10" t="n">
        <x:f>Z2008*'Assumptions'!$AC$110*'Assumptions'!$D$11*(1+'Assumptions'!$D$13)^(16-1)</x:f>
        <x:v>0</x:v>
      </x:c>
      <x:c r="AB2008" s="10" t="n">
        <x:f>F2008/1</x:f>
        <x:v>5.269307706331921</x:v>
      </x:c>
      <x:c r="AC2008" s="10" t="n">
        <x:f>AB2008/'Assumptions'!$AM$110</x:f>
        <x:v>52.69307706331921</x:v>
      </x:c>
      <x:c r="AD2008" s="10" t="n">
        <x:f>IF(AB2008=0,0,T2008/AB2008)</x:f>
        <x:v>158.19490765942246</x:v>
      </x:c>
      <x:c r="AE2008" s="10" t="n">
        <x:f>AA2008*'Assumptions'!$D$21</x:f>
        <x:v>0</x:v>
      </x:c>
    </x:row>
    <x:row r="2009" ht="16" customHeight="1">
      <x:c r="A2009" s="1"/>
      <x:c r="B2009" s="1"/>
      <x:c r="C2009" s="1" t="str">
        <x:v>DOT-082</x:v>
      </x:c>
      <x:c r="D2009" s="10" t="str">
        <x:v>Semajes Studio</x:v>
      </x:c>
      <x:c r="E2009" s="10" t="n">
        <x:v>16</x:v>
      </x:c>
      <x:c r="F2009" s="21" t="n">
        <x:f>F1881*(1+'Assumptions'!$M$111)</x:f>
        <x:v>36.4798225822979</x:v>
      </x:c>
      <x:c r="G2009" s="21" t="n">
        <x:f>H1881*'Assumptions'!$K$111</x:f>
        <x:v>34.41332756234619</x:v>
      </x:c>
      <x:c r="H2009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2009+G2009,NA())</x:f>
        <x:v>70.8931501446441</x:v>
      </x:c>
      <x:c r="I2009" s="22" t="n">
        <x:f>'Assumptions'!$H$111*IF('Assumptions'!$O$111=1,1,'Assumptions'!$D$10)*(1+'Assumptions'!$N$111)^(16-1)</x:f>
        <x:v>740.2275860782714</x:v>
      </x:c>
      <x:c r="J2009" s="10" t="n">
        <x:f>H2009*I2009</x:f>
        <x:v>52477.06540105436</x:v>
      </x:c>
      <x:c r="K2009" s="10" t="n">
        <x:f>J2009*'Assumptions'!$T$111</x:f>
        <x:v>52477.06540105436</x:v>
      </x:c>
      <x:c r="L2009" s="10" t="n">
        <x:f>K2009*'Assumptions'!$U$111</x:f>
        <x:v>1574.3119620316306</x:v>
      </x:c>
      <x:c r="M2009" s="10" t="n">
        <x:f>K2009*'Assumptions'!$V$111</x:f>
        <x:v>0</x:v>
      </x:c>
      <x:c r="N2009" s="10" t="n">
        <x:f>K2009-L2009-M2009</x:f>
        <x:v>50902.75343902273</x:v>
      </x:c>
      <x:c r="O2009" s="10" t="n">
        <x:f>H2009*'Assumptions'!$P$111*'Assumptions'!$Q$111*'Assumptions'!$D$11*(1+'Assumptions'!$D$13)^(16-1)</x:f>
        <x:v>33134.7653956624</x:v>
      </x:c>
      <x:c r="P2009" s="10" t="n">
        <x:f>H2009*'Assumptions'!$R$111*'Assumptions'!$D$11*(1+'Assumptions'!$D$13)^(16-1)</x:f>
        <x:v>8835.937438843306</x:v>
      </x:c>
      <x:c r="Q2009" s="10" t="n">
        <x:f>J2009*'Assumptions'!$S$111</x:f>
        <x:v>0</x:v>
      </x:c>
      <x:c r="R2009" s="10" t="n">
        <x:f>H2009*'Assumptions'!$Y$111*'Assumptions'!$Z$111*'Assumptions'!$D$11*(1+'Assumptions'!$D$13)^(16-1)</x:f>
        <x:v>828.3691348915598</x:v>
      </x:c>
      <x:c r="S2009" s="10" t="n">
        <x:f>IF(I2009=0,0,J2009*'Assumptions'!$W$111+H2009*'Assumptions'!$X$111)</x:f>
        <x:v>1543.1028416739696</x:v>
      </x:c>
      <x:c r="T2009" s="10" t="n">
        <x:f>N2009*'Assumptions'!$AA$111</x:f>
        <x:v>2036.1101375609092</x:v>
      </x:c>
      <x:c r="U2009" s="10" t="n">
        <x:f>'Assumptions'!$AE$111*'Assumptions'!$D$11*(1+'Assumptions'!$D$13)^(16-1)</x:f>
        <x:v>0</x:v>
      </x:c>
      <x:c r="V2009" s="10" t="n">
        <x:f>0</x:f>
        <x:v>0</x:v>
      </x:c>
      <x:c r="W2009" s="10" t="n">
        <x:f>H2009*('Assumptions'!$P$111+'Assumptions'!$Y$111)</x:f>
        <x:v>443.0821884040256</x:v>
      </x:c>
      <x:c r="X2009" s="10" t="n">
        <x:f>N2009/12*'Assumptions'!$AF$111</x:f>
        <x:v>4241.8961199185605</x:v>
      </x:c>
      <x:c r="Y2009" s="10" t="n">
        <x:f>P2009/12</x:f>
        <x:v>736.3281199036088</x:v>
      </x:c>
      <x:c r="Z2009" s="10" t="n">
        <x:f>0</x:f>
        <x:v>0</x:v>
      </x:c>
      <x:c r="AA2009" s="10" t="n">
        <x:f>Z2009*'Assumptions'!$AC$111*'Assumptions'!$D$11*(1+'Assumptions'!$D$13)^(16-1)</x:f>
        <x:v>0</x:v>
      </x:c>
      <x:c r="AB2009" s="10" t="n">
        <x:f>F2009/1</x:f>
        <x:v>36.4798225822979</x:v>
      </x:c>
      <x:c r="AC2009" s="10" t="n">
        <x:f>AB2009/'Assumptions'!$AM$111</x:f>
        <x:v>182.39911291148948</x:v>
      </x:c>
      <x:c r="AD2009" s="10" t="n">
        <x:f>IF(AB2009=0,0,T2009/AB2009)</x:f>
        <x:v>55.814694081021834</x:v>
      </x:c>
      <x:c r="AE2009" s="10" t="n">
        <x:f>AA2009*'Assumptions'!$D$21</x:f>
        <x:v>0</x:v>
      </x:c>
    </x:row>
    <x:row r="2010" ht="16" customHeight="1">
      <x:c r="A2010" s="1"/>
      <x:c r="B2010" s="1"/>
      <x:c r="C2010" s="1" t="str">
        <x:v>DOT-083</x:v>
      </x:c>
      <x:c r="D2010" s="10" t="str">
        <x:v>Semajes Studio</x:v>
      </x:c>
      <x:c r="E2010" s="10" t="n">
        <x:v>16</x:v>
      </x:c>
      <x:c r="F2010" s="21" t="n">
        <x:f>F1882*(1+'Assumptions'!$M$112)</x:f>
        <x:v>18.23991129114895</x:v>
      </x:c>
      <x:c r="G2010" s="21" t="n">
        <x:f>H1882*'Assumptions'!$K$112</x:f>
        <x:v>17.206663781173095</x:v>
      </x:c>
      <x:c r="H2010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2010+G2010,NA())</x:f>
        <x:v>35.44657507232205</x:v>
      </x:c>
      <x:c r="I2010" s="22" t="n">
        <x:f>'Assumptions'!$H$112*IF('Assumptions'!$O$112=1,1,'Assumptions'!$D$10)*(1+'Assumptions'!$N$112)^(16-1)</x:f>
        <x:v>1615.042005988956</x:v>
      </x:c>
      <x:c r="J2010" s="10" t="n">
        <x:f>H2010*I2010</x:f>
        <x:v>57247.70771024112</x:v>
      </x:c>
      <x:c r="K2010" s="10" t="n">
        <x:f>J2010*'Assumptions'!$T$112</x:f>
        <x:v>57247.70771024112</x:v>
      </x:c>
      <x:c r="L2010" s="10" t="n">
        <x:f>K2010*'Assumptions'!$U$112</x:f>
        <x:v>1717.4312313072335</x:v>
      </x:c>
      <x:c r="M2010" s="10" t="n">
        <x:f>K2010*'Assumptions'!$V$112</x:f>
        <x:v>0</x:v>
      </x:c>
      <x:c r="N2010" s="10" t="n">
        <x:f>K2010-L2010-M2010</x:f>
        <x:v>55530.27647893388</x:v>
      </x:c>
      <x:c r="O2010" s="10" t="n">
        <x:f>H2010*'Assumptions'!$P$112*'Assumptions'!$Q$112*'Assumptions'!$D$11*(1+'Assumptions'!$D$13)^(16-1)</x:f>
        <x:v>27612.304496385328</x:v>
      </x:c>
      <x:c r="P2010" s="10" t="n">
        <x:f>H2010*'Assumptions'!$R$112*'Assumptions'!$D$11*(1+'Assumptions'!$D$13)^(16-1)</x:f>
        <x:v>8283.6913489156</x:v>
      </x:c>
      <x:c r="Q2010" s="10" t="n">
        <x:f>J2010*'Assumptions'!$S$112</x:f>
        <x:v>0</x:v>
      </x:c>
      <x:c r="R2010" s="10" t="n">
        <x:f>H2010*'Assumptions'!$Y$112*'Assumptions'!$Z$112*'Assumptions'!$D$11*(1+'Assumptions'!$D$13)^(16-1)</x:f>
        <x:v>414.1845674457799</x:v>
      </x:c>
      <x:c r="S2010" s="10" t="n">
        <x:f>IF(I2010=0,0,J2010*'Assumptions'!$W$112+H2010*'Assumptions'!$X$112)</x:f>
        <x:v>1670.8174961186892</x:v>
      </x:c>
      <x:c r="T2010" s="10" t="n">
        <x:f>N2010*'Assumptions'!$AA$112</x:f>
        <x:v>2221.2110591573555</x:v>
      </x:c>
      <x:c r="U2010" s="10" t="n">
        <x:f>'Assumptions'!$AE$112*'Assumptions'!$D$11*(1+'Assumptions'!$D$13)^(16-1)</x:f>
        <x:v>0</x:v>
      </x:c>
      <x:c r="V2010" s="10" t="n">
        <x:f>0</x:f>
        <x:v>0</x:v>
      </x:c>
      <x:c r="W2010" s="10" t="n">
        <x:f>H2010*('Assumptions'!$P$112+'Assumptions'!$Y$112)</x:f>
        <x:v>363.327394491301</x:v>
      </x:c>
      <x:c r="X2010" s="10" t="n">
        <x:f>N2010/12*'Assumptions'!$AF$112</x:f>
        <x:v>4627.523039911157</x:v>
      </x:c>
      <x:c r="Y2010" s="10" t="n">
        <x:f>P2010/12</x:f>
        <x:v>690.3076124096333</x:v>
      </x:c>
      <x:c r="Z2010" s="10" t="n">
        <x:f>0</x:f>
        <x:v>0</x:v>
      </x:c>
      <x:c r="AA2010" s="10" t="n">
        <x:f>Z2010*'Assumptions'!$AC$112*'Assumptions'!$D$11*(1+'Assumptions'!$D$13)^(16-1)</x:f>
        <x:v>0</x:v>
      </x:c>
      <x:c r="AB2010" s="10" t="n">
        <x:f>F2010/1</x:f>
        <x:v>18.23991129114895</x:v>
      </x:c>
      <x:c r="AC2010" s="10" t="n">
        <x:f>AB2010/'Assumptions'!$AM$112</x:f>
        <x:v>91.19955645574474</x:v>
      </x:c>
      <x:c r="AD2010" s="10" t="n">
        <x:f>IF(AB2010=0,0,T2010/AB2010)</x:f>
        <x:v>121.7775143585931</x:v>
      </x:c>
      <x:c r="AE2010" s="10" t="n">
        <x:f>AA2010*'Assumptions'!$D$21</x:f>
        <x:v>0</x:v>
      </x:c>
    </x:row>
    <x:row r="2011" ht="16" customHeight="1">
      <x:c r="A2011" s="1"/>
      <x:c r="B2011" s="1"/>
      <x:c r="C2011" s="1" t="str">
        <x:v>DOT-084</x:v>
      </x:c>
      <x:c r="D2011" s="10" t="str">
        <x:v>Semajes Studio</x:v>
      </x:c>
      <x:c r="E2011" s="10" t="n">
        <x:v>16</x:v>
      </x:c>
      <x:c r="F2011" s="21" t="n">
        <x:f>F1883*(1+'Assumptions'!$M$113)</x:f>
        <x:v>121.59940860765971</x:v>
      </x:c>
      <x:c r="G2011" s="21" t="n">
        <x:f>H1883*'Assumptions'!$K$113</x:f>
        <x:v>114.71109187448734</x:v>
      </x:c>
      <x:c r="H2011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2011+G2011,NA())</x:f>
        <x:v>236.31050048214706</x:v>
      </x:c>
      <x:c r="I2011" s="22" t="n">
        <x:f>'Assumptions'!$H$113*IF('Assumptions'!$O$113=1,1,'Assumptions'!$D$10)*(1+'Assumptions'!$N$113)^(16-1)</x:f>
        <x:v>47.10539184134455</x:v>
      </x:c>
      <x:c r="J2011" s="10" t="n">
        <x:f>H2011*I2011</x:f>
        <x:v>11131.498721435777</x:v>
      </x:c>
      <x:c r="K2011" s="10" t="n">
        <x:f>J2011*'Assumptions'!$T$113</x:f>
        <x:v>11131.498721435777</x:v>
      </x:c>
      <x:c r="L2011" s="10" t="n">
        <x:f>K2011*'Assumptions'!$U$113</x:f>
        <x:v>333.9449616430733</x:v>
      </x:c>
      <x:c r="M2011" s="10" t="n">
        <x:f>K2011*'Assumptions'!$V$113</x:f>
        <x:v>0</x:v>
      </x:c>
      <x:c r="N2011" s="10" t="n">
        <x:f>K2011-L2011-M2011</x:f>
        <x:v>10797.553759792703</x:v>
      </x:c>
      <x:c r="O2011" s="10" t="n">
        <x:f>H2011*'Assumptions'!$P$113*'Assumptions'!$Q$113*'Assumptions'!$D$11*(1+'Assumptions'!$D$13)^(16-1)</x:f>
        <x:v>1840.8202997590226</x:v>
      </x:c>
      <x:c r="P2011" s="10" t="n">
        <x:f>H2011*'Assumptions'!$R$113*'Assumptions'!$D$11*(1+'Assumptions'!$D$13)^(16-1)</x:f>
        <x:v>0</x:v>
      </x:c>
      <x:c r="Q2011" s="10" t="n">
        <x:f>J2011*'Assumptions'!$S$113</x:f>
        <x:v>0</x:v>
      </x:c>
      <x:c r="R2011" s="10" t="n">
        <x:f>H2011*'Assumptions'!$Y$113*'Assumptions'!$Z$113*'Assumptions'!$D$11*(1+'Assumptions'!$D$13)^(16-1)</x:f>
        <x:v>2761.2304496385336</x:v>
      </x:c>
      <x:c r="S2011" s="10" t="n">
        <x:f>IF(I2011=0,0,J2011*'Assumptions'!$W$113+H2011*'Assumptions'!$X$113)</x:f>
        <x:v>393.70661306628165</x:v>
      </x:c>
      <x:c r="T2011" s="10" t="n">
        <x:f>N2011*'Assumptions'!$AA$113</x:f>
        <x:v>431.9021503917081</x:v>
      </x:c>
      <x:c r="U2011" s="10" t="n">
        <x:f>'Assumptions'!$AE$113*'Assumptions'!$D$11*(1+'Assumptions'!$D$13)^(16-1)</x:f>
        <x:v>0</x:v>
      </x:c>
      <x:c r="V2011" s="10" t="n">
        <x:f>0</x:f>
        <x:v>0</x:v>
      </x:c>
      <x:c r="W2011" s="10" t="n">
        <x:f>H2011*('Assumptions'!$P$113+'Assumptions'!$Y$113)</x:f>
        <x:v>82.70867516875147</x:v>
      </x:c>
      <x:c r="X2011" s="10" t="n">
        <x:f>N2011/12*'Assumptions'!$AF$113</x:f>
        <x:v>899.796146649392</x:v>
      </x:c>
      <x:c r="Y2011" s="10" t="n">
        <x:f>P2011/12</x:f>
        <x:v>0</x:v>
      </x:c>
      <x:c r="Z2011" s="10" t="n">
        <x:f>0</x:f>
        <x:v>0</x:v>
      </x:c>
      <x:c r="AA2011" s="10" t="n">
        <x:f>Z2011*'Assumptions'!$AC$113*'Assumptions'!$D$11*(1+'Assumptions'!$D$13)^(16-1)</x:f>
        <x:v>0</x:v>
      </x:c>
      <x:c r="AB2011" s="10" t="n">
        <x:f>F2011/1</x:f>
        <x:v>121.59940860765971</x:v>
      </x:c>
      <x:c r="AC2011" s="10" t="n">
        <x:f>AB2011/'Assumptions'!$AM$113</x:f>
        <x:v>607.9970430382986</x:v>
      </x:c>
      <x:c r="AD2011" s="10" t="n">
        <x:f>IF(AB2011=0,0,T2011/AB2011)</x:f>
        <x:v>3.551844168792298</x:v>
      </x:c>
      <x:c r="AE2011" s="10" t="n">
        <x:f>AA2011*'Assumptions'!$D$21</x:f>
        <x:v>0</x:v>
      </x:c>
    </x:row>
    <x:row r="2012" ht="16" customHeight="1">
      <x:c r="A2012" s="1"/>
      <x:c r="B2012" s="1"/>
      <x:c r="C2012" s="1" t="str">
        <x:v>DOT-085</x:v>
      </x:c>
      <x:c r="D2012" s="10" t="str">
        <x:v>Semajes Studio</x:v>
      </x:c>
      <x:c r="E2012" s="10" t="n">
        <x:v>16</x:v>
      </x:c>
      <x:c r="F2012" s="21" t="n">
        <x:f>F1884*(1+'Assumptions'!$M$114)</x:f>
        <x:v>36.4798225822979</x:v>
      </x:c>
      <x:c r="G2012" s="21" t="n">
        <x:f>H1884*'Assumptions'!$K$114</x:f>
        <x:v>34.41332756234619</x:v>
      </x:c>
      <x:c r="H2012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2012+G2012,NA())</x:f>
        <x:v>70.8931501446441</x:v>
      </x:c>
      <x:c r="I2012" s="22" t="n">
        <x:f>'Assumptions'!$H$114*IF('Assumptions'!$O$114=1,1,'Assumptions'!$D$10)*(1+'Assumptions'!$N$114)^(16-1)</x:f>
        <x:v>201.8802507486195</x:v>
      </x:c>
      <x:c r="J2012" s="10" t="n">
        <x:f>H2012*I2012</x:f>
        <x:v>14311.92692756028</x:v>
      </x:c>
      <x:c r="K2012" s="10" t="n">
        <x:f>J2012*'Assumptions'!$T$114</x:f>
        <x:v>14311.92692756028</x:v>
      </x:c>
      <x:c r="L2012" s="10" t="n">
        <x:f>K2012*'Assumptions'!$U$114</x:f>
        <x:v>429.35780782680837</x:v>
      </x:c>
      <x:c r="M2012" s="10" t="n">
        <x:f>K2012*'Assumptions'!$V$114</x:f>
        <x:v>0</x:v>
      </x:c>
      <x:c r="N2012" s="10" t="n">
        <x:f>K2012-L2012-M2012</x:f>
        <x:v>13882.56911973347</x:v>
      </x:c>
      <x:c r="O2012" s="10" t="n">
        <x:f>H2012*'Assumptions'!$P$114*'Assumptions'!$Q$114*'Assumptions'!$D$11*(1+'Assumptions'!$D$13)^(16-1)</x:f>
        <x:v>1380.6152248192666</x:v>
      </x:c>
      <x:c r="P2012" s="10" t="n">
        <x:f>H2012*'Assumptions'!$R$114*'Assumptions'!$D$11*(1+'Assumptions'!$D$13)^(16-1)</x:f>
        <x:v>0</x:v>
      </x:c>
      <x:c r="Q2012" s="10" t="n">
        <x:f>J2012*'Assumptions'!$S$114</x:f>
        <x:v>0</x:v>
      </x:c>
      <x:c r="R2012" s="10" t="n">
        <x:f>H2012*'Assumptions'!$Y$114*'Assumptions'!$Z$114*'Assumptions'!$D$11*(1+'Assumptions'!$D$13)^(16-1)</x:f>
        <x:v>828.3691348915598</x:v>
      </x:c>
      <x:c r="S2012" s="10" t="n">
        <x:f>IF(I2012=0,0,J2012*'Assumptions'!$W$114+H2012*'Assumptions'!$X$114)</x:f>
        <x:v>436.31382594264136</x:v>
      </x:c>
      <x:c r="T2012" s="10" t="n">
        <x:f>N2012*'Assumptions'!$AA$114</x:f>
        <x:v>555.3027647893389</x:v>
      </x:c>
      <x:c r="U2012" s="10" t="n">
        <x:f>'Assumptions'!$AE$114*'Assumptions'!$D$11*(1+'Assumptions'!$D$13)^(16-1)</x:f>
        <x:v>0</x:v>
      </x:c>
      <x:c r="V2012" s="10" t="n">
        <x:f>0</x:f>
        <x:v>0</x:v>
      </x:c>
      <x:c r="W2012" s="10" t="n">
        <x:f>H2012*('Assumptions'!$P$114+'Assumptions'!$Y$114)</x:f>
        <x:v>35.44657507232205</x:v>
      </x:c>
      <x:c r="X2012" s="10" t="n">
        <x:f>N2012/12*'Assumptions'!$AF$114</x:f>
        <x:v>1156.8807599777892</x:v>
      </x:c>
      <x:c r="Y2012" s="10" t="n">
        <x:f>P2012/12</x:f>
        <x:v>0</x:v>
      </x:c>
      <x:c r="Z2012" s="10" t="n">
        <x:f>0</x:f>
        <x:v>0</x:v>
      </x:c>
      <x:c r="AA2012" s="10" t="n">
        <x:f>Z2012*'Assumptions'!$AC$114*'Assumptions'!$D$11*(1+'Assumptions'!$D$13)^(16-1)</x:f>
        <x:v>0</x:v>
      </x:c>
      <x:c r="AB2012" s="10" t="n">
        <x:f>F2012/1</x:f>
        <x:v>36.4798225822979</x:v>
      </x:c>
      <x:c r="AC2012" s="10" t="n">
        <x:f>AB2012/'Assumptions'!$AM$114</x:f>
        <x:v>182.39911291148948</x:v>
      </x:c>
      <x:c r="AD2012" s="10" t="n">
        <x:f>IF(AB2012=0,0,T2012/AB2012)</x:f>
        <x:v>15.222189294824137</x:v>
      </x:c>
      <x:c r="AE2012" s="10" t="n">
        <x:f>AA2012*'Assumptions'!$D$21</x:f>
        <x:v>0</x:v>
      </x:c>
    </x:row>
    <x:row r="2013" ht="16" customHeight="1">
      <x:c r="A2013" s="1"/>
      <x:c r="B2013" s="1"/>
      <x:c r="C2013" s="1" t="str">
        <x:v>DOT-086</x:v>
      </x:c>
      <x:c r="D2013" s="10" t="str">
        <x:v>Semajes Studio</x:v>
      </x:c>
      <x:c r="E2013" s="10" t="n">
        <x:v>16</x:v>
      </x:c>
      <x:c r="F2013" s="21" t="n">
        <x:f>F1885*(1+'Assumptions'!$M$115)</x:f>
        <x:v>18.23991129114895</x:v>
      </x:c>
      <x:c r="G2013" s="21" t="n">
        <x:f>H1885*'Assumptions'!$K$115</x:f>
        <x:v>17.206663781173095</x:v>
      </x:c>
      <x:c r="H2013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2013+G2013,NA())</x:f>
        <x:v>35.44657507232205</x:v>
      </x:c>
      <x:c r="I2013" s="22" t="n">
        <x:f>'Assumptions'!$H$115*IF('Assumptions'!$O$115=1,1,'Assumptions'!$D$10)*(1+'Assumptions'!$N$115)^(16-1)</x:f>
        <x:v>672.9341691620649</x:v>
      </x:c>
      <x:c r="J2013" s="10" t="n">
        <x:f>H2013*I2013</x:f>
        <x:v>23853.2115459338</x:v>
      </x:c>
      <x:c r="K2013" s="10" t="n">
        <x:f>J2013*'Assumptions'!$T$115</x:f>
        <x:v>23853.2115459338</x:v>
      </x:c>
      <x:c r="L2013" s="10" t="n">
        <x:f>K2013*'Assumptions'!$U$115</x:f>
        <x:v>715.5963463780139</x:v>
      </x:c>
      <x:c r="M2013" s="10" t="n">
        <x:f>K2013*'Assumptions'!$V$115</x:f>
        <x:v>0</x:v>
      </x:c>
      <x:c r="N2013" s="10" t="n">
        <x:f>K2013-L2013-M2013</x:f>
        <x:v>23137.615199555785</x:v>
      </x:c>
      <x:c r="O2013" s="10" t="n">
        <x:f>H2013*'Assumptions'!$P$115*'Assumptions'!$Q$115*'Assumptions'!$D$11*(1+'Assumptions'!$D$13)^(16-1)</x:f>
        <x:v>2761.230449638533</x:v>
      </x:c>
      <x:c r="P2013" s="10" t="n">
        <x:f>H2013*'Assumptions'!$R$115*'Assumptions'!$D$11*(1+'Assumptions'!$D$13)^(16-1)</x:f>
        <x:v>0</x:v>
      </x:c>
      <x:c r="Q2013" s="10" t="n">
        <x:f>J2013*'Assumptions'!$S$115</x:f>
        <x:v>0</x:v>
      </x:c>
      <x:c r="R2013" s="10" t="n">
        <x:f>H2013*'Assumptions'!$Y$115*'Assumptions'!$Z$115*'Assumptions'!$D$11*(1+'Assumptions'!$D$13)^(16-1)</x:f>
        <x:v>414.1845674457799</x:v>
      </x:c>
      <x:c r="S2013" s="10" t="n">
        <x:f>IF(I2013=0,0,J2013*'Assumptions'!$W$115+H2013*'Assumptions'!$X$115)</x:f>
        <x:v>702.3771073537768</x:v>
      </x:c>
      <x:c r="T2013" s="10" t="n">
        <x:f>N2013*'Assumptions'!$AA$115</x:f>
        <x:v>925.5046079822314</x:v>
      </x:c>
      <x:c r="U2013" s="10" t="n">
        <x:f>'Assumptions'!$AE$115*'Assumptions'!$D$11*(1+'Assumptions'!$D$13)^(16-1)</x:f>
        <x:v>0</x:v>
      </x:c>
      <x:c r="V2013" s="10" t="n">
        <x:f>0</x:f>
        <x:v>0</x:v>
      </x:c>
      <x:c r="W2013" s="10" t="n">
        <x:f>H2013*('Assumptions'!$P$115+'Assumptions'!$Y$115)</x:f>
        <x:v>44.30821884040256</x:v>
      </x:c>
      <x:c r="X2013" s="10" t="n">
        <x:f>N2013/12*'Assumptions'!$AF$115</x:f>
        <x:v>1928.134599962982</x:v>
      </x:c>
      <x:c r="Y2013" s="10" t="n">
        <x:f>P2013/12</x:f>
        <x:v>0</x:v>
      </x:c>
      <x:c r="Z2013" s="10" t="n">
        <x:f>0</x:f>
        <x:v>0</x:v>
      </x:c>
      <x:c r="AA2013" s="10" t="n">
        <x:f>Z2013*'Assumptions'!$AC$115*'Assumptions'!$D$11*(1+'Assumptions'!$D$13)^(16-1)</x:f>
        <x:v>0</x:v>
      </x:c>
      <x:c r="AB2013" s="10" t="n">
        <x:f>F2013/1</x:f>
        <x:v>18.23991129114895</x:v>
      </x:c>
      <x:c r="AC2013" s="10" t="n">
        <x:f>AB2013/'Assumptions'!$AM$115</x:f>
        <x:v>91.19955645574474</x:v>
      </x:c>
      <x:c r="AD2013" s="10" t="n">
        <x:f>IF(AB2013=0,0,T2013/AB2013)</x:f>
        <x:v>50.74063098274712</x:v>
      </x:c>
      <x:c r="AE2013" s="10" t="n">
        <x:f>AA2013*'Assumptions'!$D$21</x:f>
        <x:v>0</x:v>
      </x:c>
    </x:row>
    <x:row r="2014" ht="16" customHeight="1">
      <x:c r="A2014" s="1"/>
      <x:c r="B2014" s="1"/>
      <x:c r="C2014" s="1" t="str">
        <x:v>DOT-087</x:v>
      </x:c>
      <x:c r="D2014" s="10" t="str">
        <x:v>Semajes Studio</x:v>
      </x:c>
      <x:c r="E2014" s="10" t="n">
        <x:v>16</x:v>
      </x:c>
      <x:c r="F2014" s="21" t="n">
        <x:f>F1886*(1+'Assumptions'!$M$116)</x:f>
        <x:v>182.9619787256229</x:v>
      </x:c>
      <x:c r="G2014" s="21" t="n">
        <x:f>H1886*'Assumptions'!$K$116</x:f>
        <x:v>75.18984335475618</x:v>
      </x:c>
      <x:c r="H2014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2014+G2014,NA())</x:f>
        <x:v>258.1518220803791</x:v>
      </x:c>
      <x:c r="I2014" s="22" t="n">
        <x:f>'Assumptions'!$H$116*IF('Assumptions'!$O$116=1,1,'Assumptions'!$D$10)*(1+'Assumptions'!$N$116)^(16-1)</x:f>
        <x:v>127.85749214079235</x:v>
      </x:c>
      <x:c r="J2014" s="10" t="n">
        <x:f>H2014*I2014</x:f>
        <x:v>33006.64456277329</x:v>
      </x:c>
      <x:c r="K2014" s="10" t="n">
        <x:f>J2014*'Assumptions'!$T$116</x:f>
        <x:v>33006.64456277329</x:v>
      </x:c>
      <x:c r="L2014" s="10" t="n">
        <x:f>K2014*'Assumptions'!$U$116</x:f>
        <x:v>990.1993368831986</x:v>
      </x:c>
      <x:c r="M2014" s="10" t="n">
        <x:f>K2014*'Assumptions'!$V$116</x:f>
        <x:v>660.1328912554658</x:v>
      </x:c>
      <x:c r="N2014" s="10" t="n">
        <x:f>K2014-L2014-M2014</x:f>
        <x:v>31356.312334634626</x:v>
      </x:c>
      <x:c r="O2014" s="10" t="n">
        <x:f>H2014*'Assumptions'!$P$116*'Assumptions'!$Q$116*'Assumptions'!$D$11*(1+'Assumptions'!$D$13)^(16-1)</x:f>
        <x:v>3016.440955030114</x:v>
      </x:c>
      <x:c r="P2014" s="10" t="n">
        <x:f>H2014*'Assumptions'!$R$116*'Assumptions'!$D$11*(1+'Assumptions'!$D$13)^(16-1)</x:f>
        <x:v>14076.724456807198</x:v>
      </x:c>
      <x:c r="Q2014" s="10" t="n">
        <x:f>J2014*'Assumptions'!$S$116</x:f>
        <x:v>0</x:v>
      </x:c>
      <x:c r="R2014" s="10" t="n">
        <x:f>H2014*'Assumptions'!$Y$116*'Assumptions'!$Z$116*'Assumptions'!$D$11*(1+'Assumptions'!$D$13)^(16-1)</x:f>
        <x:v>1809.864573018068</x:v>
      </x:c>
      <x:c r="S2014" s="10" t="n">
        <x:f>IF(I2014=0,0,J2014*'Assumptions'!$W$116+H2014*'Assumptions'!$X$116)</x:f>
        <x:v>1034.6382389445391</x:v>
      </x:c>
      <x:c r="T2014" s="10" t="n">
        <x:f>N2014*'Assumptions'!$AA$116</x:f>
        <x:v>2508.5049867707703</x:v>
      </x:c>
      <x:c r="U2014" s="10" t="n">
        <x:f>'Assumptions'!$AE$116*'Assumptions'!$D$11*(1+'Assumptions'!$D$13)^(16-1)</x:f>
        <x:v>0</x:v>
      </x:c>
      <x:c r="V2014" s="10" t="n">
        <x:f>0</x:f>
        <x:v>0</x:v>
      </x:c>
      <x:c r="W2014" s="10" t="n">
        <x:f>H2014*('Assumptions'!$P$116+'Assumptions'!$Y$116)</x:f>
        <x:v>77.44554662411372</x:v>
      </x:c>
      <x:c r="X2014" s="10" t="n">
        <x:f>N2014/12*'Assumptions'!$AF$116</x:f>
        <x:v>0</x:v>
      </x:c>
      <x:c r="Y2014" s="10" t="n">
        <x:f>P2014/12</x:f>
        <x:v>1173.0603714006</x:v>
      </x:c>
      <x:c r="Z2014" s="10" t="n">
        <x:f>0</x:f>
        <x:v>0</x:v>
      </x:c>
      <x:c r="AA2014" s="10" t="n">
        <x:f>Z2014*'Assumptions'!$AC$116*'Assumptions'!$D$11*(1+'Assumptions'!$D$13)^(16-1)</x:f>
        <x:v>0</x:v>
      </x:c>
      <x:c r="AB2014" s="10" t="n">
        <x:f>F2014/1</x:f>
        <x:v>182.9619787256229</x:v>
      </x:c>
      <x:c r="AC2014" s="10" t="n">
        <x:f>AB2014/'Assumptions'!$AM$116</x:f>
        <x:v>6098.732624187431</x:v>
      </x:c>
      <x:c r="AD2014" s="10" t="n">
        <x:f>IF(AB2014=0,0,T2014/AB2014)</x:f>
        <x:v>13.710526111726331</x:v>
      </x:c>
      <x:c r="AE2014" s="10" t="n">
        <x:f>AA2014*'Assumptions'!$D$21</x:f>
        <x:v>0</x:v>
      </x:c>
    </x:row>
    <x:row r="2015" ht="16" customHeight="1">
      <x:c r="A2015" s="1"/>
      <x:c r="B2015" s="1"/>
      <x:c r="C2015" s="1" t="str">
        <x:v>DOT-088</x:v>
      </x:c>
      <x:c r="D2015" s="10" t="str">
        <x:v>Semajes Studio</x:v>
      </x:c>
      <x:c r="E2015" s="10" t="n">
        <x:v>16</x:v>
      </x:c>
      <x:c r="F2015" s="21" t="n">
        <x:f>F1887*(1+'Assumptions'!$M$117)</x:f>
        <x:v>91.48098936281146</x:v>
      </x:c>
      <x:c r="G2015" s="21" t="n">
        <x:f>H1887*'Assumptions'!$K$117</x:f>
        <x:v>37.59492167737809</x:v>
      </x:c>
      <x:c r="H2015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2015+G2015,NA())</x:f>
        <x:v>129.07591104018954</x:v>
      </x:c>
      <x:c r="I2015" s="22" t="n">
        <x:f>'Assumptions'!$H$117*IF('Assumptions'!$O$117=1,1,'Assumptions'!$D$10)*(1+'Assumptions'!$N$117)^(16-1)</x:f>
        <x:v>336.46708458103245</x:v>
      </x:c>
      <x:c r="J2015" s="10" t="n">
        <x:f>H2015*I2015</x:f>
        <x:v>43429.795477333275</x:v>
      </x:c>
      <x:c r="K2015" s="10" t="n">
        <x:f>J2015*'Assumptions'!$T$117</x:f>
        <x:v>43429.795477333275</x:v>
      </x:c>
      <x:c r="L2015" s="10" t="n">
        <x:f>K2015*'Assumptions'!$U$117</x:f>
        <x:v>1302.893864319998</x:v>
      </x:c>
      <x:c r="M2015" s="10" t="n">
        <x:f>K2015*'Assumptions'!$V$117</x:f>
        <x:v>868.5959095466656</x:v>
      </x:c>
      <x:c r="N2015" s="10" t="n">
        <x:f>K2015-L2015-M2015</x:f>
        <x:v>41258.30570346661</x:v>
      </x:c>
      <x:c r="O2015" s="10" t="n">
        <x:f>H2015*'Assumptions'!$P$117*'Assumptions'!$Q$117*'Assumptions'!$D$11*(1+'Assumptions'!$D$13)^(16-1)</x:f>
        <x:v>2513.700795858428</x:v>
      </x:c>
      <x:c r="P2015" s="10" t="n">
        <x:f>H2015*'Assumptions'!$R$117*'Assumptions'!$D$11*(1+'Assumptions'!$D$13)^(16-1)</x:f>
        <x:v>22120.56700355417</x:v>
      </x:c>
      <x:c r="Q2015" s="10" t="n">
        <x:f>J2015*'Assumptions'!$S$117</x:f>
        <x:v>0</x:v>
      </x:c>
      <x:c r="R2015" s="10" t="n">
        <x:f>H2015*'Assumptions'!$Y$117*'Assumptions'!$Z$117*'Assumptions'!$D$11*(1+'Assumptions'!$D$13)^(16-1)</x:f>
        <x:v>904.932286509034</x:v>
      </x:c>
      <x:c r="S2015" s="10" t="n">
        <x:f>IF(I2015=0,0,J2015*'Assumptions'!$W$117+H2015*'Assumptions'!$X$117)</x:f>
        <x:v>1298.186842154722</x:v>
      </x:c>
      <x:c r="T2015" s="10" t="n">
        <x:f>N2015*'Assumptions'!$AA$117</x:f>
        <x:v>3300.664456277329</x:v>
      </x:c>
      <x:c r="U2015" s="10" t="n">
        <x:f>'Assumptions'!$AE$117*'Assumptions'!$D$11*(1+'Assumptions'!$D$13)^(16-1)</x:f>
        <x:v>0</x:v>
      </x:c>
      <x:c r="V2015" s="10" t="n">
        <x:f>0</x:f>
        <x:v>0</x:v>
      </x:c>
      <x:c r="W2015" s="10" t="n">
        <x:f>H2015*('Assumptions'!$P$117+'Assumptions'!$Y$117)</x:f>
        <x:v>51.63036441607582</x:v>
      </x:c>
      <x:c r="X2015" s="10" t="n">
        <x:f>N2015/12*'Assumptions'!$AF$117</x:f>
        <x:v>0</x:v>
      </x:c>
      <x:c r="Y2015" s="10" t="n">
        <x:f>P2015/12</x:f>
        <x:v>1843.3805836295141</x:v>
      </x:c>
      <x:c r="Z2015" s="10" t="n">
        <x:f>0</x:f>
        <x:v>0</x:v>
      </x:c>
      <x:c r="AA2015" s="10" t="n">
        <x:f>Z2015*'Assumptions'!$AC$117*'Assumptions'!$D$11*(1+'Assumptions'!$D$13)^(16-1)</x:f>
        <x:v>0</x:v>
      </x:c>
      <x:c r="AB2015" s="10" t="n">
        <x:f>F2015/1</x:f>
        <x:v>91.48098936281146</x:v>
      </x:c>
      <x:c r="AC2015" s="10" t="n">
        <x:f>AB2015/'Assumptions'!$AM$117</x:f>
        <x:v>3049.3663120937154</x:v>
      </x:c>
      <x:c r="AD2015" s="10" t="n">
        <x:f>IF(AB2015=0,0,T2015/AB2015)</x:f>
        <x:v>36.080331872964024</x:v>
      </x:c>
      <x:c r="AE2015" s="10" t="n">
        <x:f>AA2015*'Assumptions'!$D$21</x:f>
        <x:v>0</x:v>
      </x:c>
    </x:row>
    <x:row r="2016" ht="16" customHeight="1">
      <x:c r="A2016" s="1"/>
      <x:c r="B2016" s="1"/>
      <x:c r="C2016" s="1" t="str">
        <x:v>DOT-089</x:v>
      </x:c>
      <x:c r="D2016" s="10" t="str">
        <x:v>Semajes Studio</x:v>
      </x:c>
      <x:c r="E2016" s="10" t="n">
        <x:v>16</x:v>
      </x:c>
      <x:c r="F2016" s="21" t="n">
        <x:f>F1888*(1+'Assumptions'!$M$118)</x:f>
        <x:v>36.59239574512458</x:v>
      </x:c>
      <x:c r="G2016" s="21" t="n">
        <x:f>H1888*'Assumptions'!$K$118</x:f>
        <x:v>15.037968670951232</x:v>
      </x:c>
      <x:c r="H2016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2016+G2016,NA())</x:f>
        <x:v>51.63036441607581</x:v>
      </x:c>
      <x:c r="I2016" s="22" t="n">
        <x:f>'Assumptions'!$H$118*IF('Assumptions'!$O$118=1,1,'Assumptions'!$D$10)*(1+'Assumptions'!$N$118)^(16-1)</x:f>
        <x:v>235.52695920672272</x:v>
      </x:c>
      <x:c r="J2016" s="10" t="n">
        <x:f>H2016*I2016</x:f>
        <x:v>12160.342733653315</x:v>
      </x:c>
      <x:c r="K2016" s="10" t="n">
        <x:f>J2016*'Assumptions'!$T$118</x:f>
        <x:v>12160.342733653315</x:v>
      </x:c>
      <x:c r="L2016" s="10" t="n">
        <x:f>K2016*'Assumptions'!$U$118</x:f>
        <x:v>364.81028200959946</x:v>
      </x:c>
      <x:c r="M2016" s="10" t="n">
        <x:f>K2016*'Assumptions'!$V$118</x:f>
        <x:v>243.20685467306632</x:v>
      </x:c>
      <x:c r="N2016" s="10" t="n">
        <x:f>K2016-L2016-M2016</x:f>
        <x:v>11552.32559697065</x:v>
      </x:c>
      <x:c r="O2016" s="10" t="n">
        <x:f>H2016*'Assumptions'!$P$118*'Assumptions'!$Q$118*'Assumptions'!$D$11*(1+'Assumptions'!$D$13)^(16-1)</x:f>
        <x:v>2010.9606366867424</x:v>
      </x:c>
      <x:c r="P2016" s="10" t="n">
        <x:f>H2016*'Assumptions'!$R$118*'Assumptions'!$D$11*(1+'Assumptions'!$D$13)^(16-1)</x:f>
        <x:v>7239.458292072272</x:v>
      </x:c>
      <x:c r="Q2016" s="10" t="n">
        <x:f>J2016*'Assumptions'!$S$118</x:f>
        <x:v>0</x:v>
      </x:c>
      <x:c r="R2016" s="10" t="n">
        <x:f>H2016*'Assumptions'!$Y$118*'Assumptions'!$Z$118*'Assumptions'!$D$11*(1+'Assumptions'!$D$13)^(16-1)</x:f>
        <x:v>361.9729146036136</x:v>
      </x:c>
      <x:c r="S2016" s="10" t="n">
        <x:f>IF(I2016=0,0,J2016*'Assumptions'!$W$118+H2016*'Assumptions'!$X$118)</x:f>
        <x:v>368.1390486007689</x:v>
      </x:c>
      <x:c r="T2016" s="10" t="n">
        <x:f>N2016*'Assumptions'!$AA$118</x:f>
        <x:v>924.186047757652</x:v>
      </x:c>
      <x:c r="U2016" s="10" t="n">
        <x:f>'Assumptions'!$AE$118*'Assumptions'!$D$11*(1+'Assumptions'!$D$13)^(16-1)</x:f>
        <x:v>0</x:v>
      </x:c>
      <x:c r="V2016" s="10" t="n">
        <x:f>0</x:f>
        <x:v>0</x:v>
      </x:c>
      <x:c r="W2016" s="10" t="n">
        <x:f>H2016*('Assumptions'!$P$118+'Assumptions'!$Y$118)</x:f>
        <x:v>33.55973687044928</x:v>
      </x:c>
      <x:c r="X2016" s="10" t="n">
        <x:f>N2016/12*'Assumptions'!$AF$118</x:f>
        <x:v>0</x:v>
      </x:c>
      <x:c r="Y2016" s="10" t="n">
        <x:f>P2016/12</x:f>
        <x:v>603.2881910060227</x:v>
      </x:c>
      <x:c r="Z2016" s="10" t="n">
        <x:f>0</x:f>
        <x:v>0</x:v>
      </x:c>
      <x:c r="AA2016" s="10" t="n">
        <x:f>Z2016*'Assumptions'!$AC$118*'Assumptions'!$D$11*(1+'Assumptions'!$D$13)^(16-1)</x:f>
        <x:v>0</x:v>
      </x:c>
      <x:c r="AB2016" s="10" t="n">
        <x:f>F2016/1</x:f>
        <x:v>36.59239574512458</x:v>
      </x:c>
      <x:c r="AC2016" s="10" t="n">
        <x:f>AB2016/'Assumptions'!$AM$118</x:f>
        <x:v>1219.746524837486</x:v>
      </x:c>
      <x:c r="AD2016" s="10" t="n">
        <x:f>IF(AB2016=0,0,T2016/AB2016)</x:f>
        <x:v>25.256232311074818</x:v>
      </x:c>
      <x:c r="AE2016" s="10" t="n">
        <x:f>AA2016*'Assumptions'!$D$21</x:f>
        <x:v>0</x:v>
      </x:c>
    </x:row>
    <x:row r="2017" ht="16" customHeight="1">
      <x:c r="A2017" s="1"/>
      <x:c r="B2017" s="1"/>
      <x:c r="C2017" s="1" t="str">
        <x:v>DOT-090</x:v>
      </x:c>
      <x:c r="D2017" s="10" t="str">
        <x:v>Semajes Marketplace</x:v>
      </x:c>
      <x:c r="E2017" s="10" t="n">
        <x:v>16</x:v>
      </x:c>
      <x:c r="F2017" s="21" t="n">
        <x:f>F1889*(1+'Assumptions'!$M$119)</x:f>
        <x:v>103.33250475603161</x:v>
      </x:c>
      <x:c r="G2017" s="21" t="n">
        <x:f>H1889*'Assumptions'!$K$119</x:f>
        <x:v>218.00026892519384</x:v>
      </x:c>
      <x:c r="H2017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2017+G2017,NA())</x:f>
        <x:v>321.33277368122543</x:v>
      </x:c>
      <x:c r="I2017" s="22" t="n">
        <x:f>'Assumptions'!$H$119*IF('Assumptions'!$O$119=1,1,'Assumptions'!$D$10)*(1+'Assumptions'!$N$119)^(16-1)</x:f>
        <x:v>807.521002994478</x:v>
      </x:c>
      <x:c r="J2017" s="10" t="n">
        <x:f>H2017*I2017</x:f>
        <x:v>259482.96369806075</x:v>
      </x:c>
      <x:c r="K2017" s="10" t="n">
        <x:f>J2017*'Assumptions'!$T$119</x:f>
        <x:v>38922.44455470911</x:v>
      </x:c>
      <x:c r="L2017" s="10" t="n">
        <x:f>K2017*'Assumptions'!$U$119</x:f>
        <x:v>1167.6733366412732</x:v>
      </x:c>
      <x:c r="M2017" s="10" t="n">
        <x:f>K2017*'Assumptions'!$V$119</x:f>
        <x:v>0</x:v>
      </x:c>
      <x:c r="N2017" s="10" t="n">
        <x:f>K2017-L2017-M2017</x:f>
        <x:v>37754.771218067835</x:v>
      </x:c>
      <x:c r="O2017" s="10" t="n">
        <x:f>H2017*'Assumptions'!$P$119*'Assumptions'!$Q$119*'Assumptions'!$D$11*(1+'Assumptions'!$D$13)^(16-1)</x:f>
        <x:v>4380.47742371135</x:v>
      </x:c>
      <x:c r="P2017" s="10" t="n">
        <x:f>H2017*'Assumptions'!$R$119*'Assumptions'!$D$11*(1+'Assumptions'!$D$13)^(16-1)</x:f>
        <x:v>0</x:v>
      </x:c>
      <x:c r="Q2017" s="10" t="n">
        <x:f>J2017*'Assumptions'!$S$119</x:f>
        <x:v>0</x:v>
      </x:c>
      <x:c r="R2017" s="10" t="n">
        <x:f>H2017*'Assumptions'!$Y$119*'Assumptions'!$Z$119*'Assumptions'!$D$11*(1+'Assumptions'!$D$13)^(16-1)</x:f>
        <x:v>2252.8169607658374</x:v>
      </x:c>
      <x:c r="S2017" s="10" t="n">
        <x:f>IF(I2017=0,0,J2017*'Assumptions'!$W$119+H2017*'Assumptions'!$X$119)</x:f>
        <x:v>7621.40577934813</x:v>
      </x:c>
      <x:c r="T2017" s="10" t="n">
        <x:f>N2017*'Assumptions'!$AA$119</x:f>
        <x:v>1887.7385609033918</x:v>
      </x:c>
      <x:c r="U2017" s="10" t="n">
        <x:f>'Assumptions'!$AE$119*'Assumptions'!$D$11*(1+'Assumptions'!$D$13)^(16-1)</x:f>
        <x:v>373.91217998418364</x:v>
      </x:c>
      <x:c r="V2017" s="10" t="n">
        <x:f>0</x:f>
        <x:v>0</x:v>
      </x:c>
      <x:c r="W2017" s="10" t="n">
        <x:f>H2017*('Assumptions'!$P$119+'Assumptions'!$Y$119)</x:f>
        <x:v>128.53310947249017</x:v>
      </x:c>
      <x:c r="X2017" s="10" t="n">
        <x:f>N2017/12*'Assumptions'!$AF$119</x:f>
        <x:v>0</x:v>
      </x:c>
      <x:c r="Y2017" s="10" t="n">
        <x:f>P2017/12</x:f>
        <x:v>0</x:v>
      </x:c>
      <x:c r="Z2017" s="10" t="n">
        <x:f>0</x:f>
        <x:v>0</x:v>
      </x:c>
      <x:c r="AA2017" s="10" t="n">
        <x:f>Z2017*'Assumptions'!$AC$119*'Assumptions'!$D$11*(1+'Assumptions'!$D$13)^(16-1)</x:f>
        <x:v>0</x:v>
      </x:c>
      <x:c r="AB2017" s="10" t="n">
        <x:f>F2017/1</x:f>
        <x:v>103.33250475603161</x:v>
      </x:c>
      <x:c r="AC2017" s="10" t="n">
        <x:f>AB2017/'Assumptions'!$AM$119</x:f>
        <x:v>2066.650095120632</x:v>
      </x:c>
      <x:c r="AD2017" s="10" t="n">
        <x:f>IF(AB2017=0,0,T2017/AB2017)</x:f>
        <x:v>18.26858417262166</x:v>
      </x:c>
      <x:c r="AE2017" s="10" t="n">
        <x:f>AA2017*'Assumptions'!$D$21</x:f>
        <x:v>0</x:v>
      </x:c>
    </x:row>
    <x:row r="2018" ht="16" customHeight="1">
      <x:c r="A2018" s="1"/>
      <x:c r="B2018" s="1"/>
      <x:c r="C2018" s="1" t="str">
        <x:v>DOT-091</x:v>
      </x:c>
      <x:c r="D2018" s="10" t="str">
        <x:v>Semajes Marketplace</x:v>
      </x:c>
      <x:c r="E2018" s="10" t="n">
        <x:v>16</x:v>
      </x:c>
      <x:c r="F2018" s="21" t="n">
        <x:f>F1890*(1+'Assumptions'!$M$120)</x:f>
        <x:v>206.66500951206322</x:v>
      </x:c>
      <x:c r="G2018" s="21" t="n">
        <x:f>H1890*'Assumptions'!$K$120</x:f>
        <x:v>436.0005378503877</x:v>
      </x:c>
      <x:c r="H2018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2018+G2018,NA())</x:f>
        <x:v>642.6655473624509</x:v>
      </x:c>
      <x:c r="I2018" s="22" t="n">
        <x:f>'Assumptions'!$H$120*IF('Assumptions'!$O$120=1,1,'Assumptions'!$D$10)*(1+'Assumptions'!$N$120)^(16-1)</x:f>
        <x:v>100.94012537430974</x:v>
      </x:c>
      <x:c r="J2018" s="10" t="n">
        <x:f>H2018*I2018</x:f>
        <x:v>64870.74092451519</x:v>
      </x:c>
      <x:c r="K2018" s="10" t="n">
        <x:f>J2018*'Assumptions'!$T$120</x:f>
        <x:v>12974.148184903039</x:v>
      </x:c>
      <x:c r="L2018" s="10" t="n">
        <x:f>K2018*'Assumptions'!$U$120</x:f>
        <x:v>389.22444554709114</x:v>
      </x:c>
      <x:c r="M2018" s="10" t="n">
        <x:f>K2018*'Assumptions'!$V$120</x:f>
        <x:v>0</x:v>
      </x:c>
      <x:c r="N2018" s="10" t="n">
        <x:f>K2018-L2018-M2018</x:f>
        <x:v>12584.923739355947</x:v>
      </x:c>
      <x:c r="O2018" s="10" t="n">
        <x:f>H2018*'Assumptions'!$P$120*'Assumptions'!$Q$120*'Assumptions'!$D$11*(1+'Assumptions'!$D$13)^(16-1)</x:f>
        <x:v>3504.3819389690793</x:v>
      </x:c>
      <x:c r="P2018" s="10" t="n">
        <x:f>H2018*'Assumptions'!$R$120*'Assumptions'!$D$11*(1+'Assumptions'!$D$13)^(16-1)</x:f>
        <x:v>0</x:v>
      </x:c>
      <x:c r="Q2018" s="10" t="n">
        <x:f>J2018*'Assumptions'!$S$120</x:f>
        <x:v>0</x:v>
      </x:c>
      <x:c r="R2018" s="10" t="n">
        <x:f>H2018*'Assumptions'!$Y$120*'Assumptions'!$Z$120*'Assumptions'!$D$11*(1+'Assumptions'!$D$13)^(16-1)</x:f>
        <x:v>4505.633921531675</x:v>
      </x:c>
      <x:c r="S2018" s="10" t="n">
        <x:f>IF(I2018=0,0,J2018*'Assumptions'!$W$120+H2018*'Assumptions'!$X$120)</x:f>
        <x:v>2074.0511510196757</x:v>
      </x:c>
      <x:c r="T2018" s="10" t="n">
        <x:f>N2018*'Assumptions'!$AA$120</x:f>
        <x:v>629.2461869677974</x:v>
      </x:c>
      <x:c r="U2018" s="10" t="n">
        <x:f>'Assumptions'!$AE$120*'Assumptions'!$D$11*(1+'Assumptions'!$D$13)^(16-1)</x:f>
        <x:v>0</x:v>
      </x:c>
      <x:c r="V2018" s="10" t="n">
        <x:f>0</x:f>
        <x:v>0</x:v>
      </x:c>
      <x:c r="W2018" s="10" t="n">
        <x:f>H2018*('Assumptions'!$P$120+'Assumptions'!$Y$120)</x:f>
        <x:v>160.66638684061272</x:v>
      </x:c>
      <x:c r="X2018" s="10" t="n">
        <x:f>N2018/12*'Assumptions'!$AF$120</x:f>
        <x:v>0</x:v>
      </x:c>
      <x:c r="Y2018" s="10" t="n">
        <x:f>P2018/12</x:f>
        <x:v>0</x:v>
      </x:c>
      <x:c r="Z2018" s="10" t="n">
        <x:f>0</x:f>
        <x:v>0</x:v>
      </x:c>
      <x:c r="AA2018" s="10" t="n">
        <x:f>Z2018*'Assumptions'!$AC$120*'Assumptions'!$D$11*(1+'Assumptions'!$D$13)^(16-1)</x:f>
        <x:v>0</x:v>
      </x:c>
      <x:c r="AB2018" s="10" t="n">
        <x:f>F2018/1</x:f>
        <x:v>206.66500951206322</x:v>
      </x:c>
      <x:c r="AC2018" s="10" t="n">
        <x:f>AB2018/'Assumptions'!$AM$120</x:f>
        <x:v>4133.300190241264</x:v>
      </x:c>
      <x:c r="AD2018" s="10" t="n">
        <x:f>IF(AB2018=0,0,T2018/AB2018)</x:f>
        <x:v>3.0447640287702775</x:v>
      </x:c>
      <x:c r="AE2018" s="10" t="n">
        <x:f>AA2018*'Assumptions'!$D$21</x:f>
        <x:v>0</x:v>
      </x:c>
    </x:row>
    <x:row r="2019" ht="16" customHeight="1">
      <x:c r="A2019" s="1"/>
      <x:c r="B2019" s="1"/>
      <x:c r="C2019" s="1" t="str">
        <x:v>DOT-092</x:v>
      </x:c>
      <x:c r="D2019" s="10" t="str">
        <x:v>Semajes Marketplace</x:v>
      </x:c>
      <x:c r="E2019" s="10" t="n">
        <x:v>16</x:v>
      </x:c>
      <x:c r="F2019" s="21" t="n">
        <x:f>F1891*(1+'Assumptions'!$M$121)</x:f>
        <x:v>103.33250475603161</x:v>
      </x:c>
      <x:c r="G2019" s="21" t="n">
        <x:f>H1891*'Assumptions'!$K$121</x:f>
        <x:v>218.00026892519384</x:v>
      </x:c>
      <x:c r="H2019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2019+G2019,NA())</x:f>
        <x:v>321.33277368122543</x:v>
      </x:c>
      <x:c r="I2019" s="22" t="n">
        <x:f>'Assumptions'!$H$121*IF('Assumptions'!$O$121=1,1,'Assumptions'!$D$10)*(1+'Assumptions'!$N$121)^(16-1)</x:f>
        <x:v>336.46708458103245</x:v>
      </x:c>
      <x:c r="J2019" s="10" t="n">
        <x:f>H2019*I2019</x:f>
        <x:v>108117.90154085864</x:v>
      </x:c>
      <x:c r="K2019" s="10" t="n">
        <x:f>J2019*'Assumptions'!$T$121</x:f>
        <x:v>21623.58030817173</x:v>
      </x:c>
      <x:c r="L2019" s="10" t="n">
        <x:f>K2019*'Assumptions'!$U$121</x:f>
        <x:v>648.7074092451519</x:v>
      </x:c>
      <x:c r="M2019" s="10" t="n">
        <x:f>K2019*'Assumptions'!$V$121</x:f>
        <x:v>0</x:v>
      </x:c>
      <x:c r="N2019" s="10" t="n">
        <x:f>K2019-L2019-M2019</x:f>
        <x:v>20974.87289892658</x:v>
      </x:c>
      <x:c r="O2019" s="10" t="n">
        <x:f>H2019*'Assumptions'!$P$121*'Assumptions'!$Q$121*'Assumptions'!$D$11*(1+'Assumptions'!$D$13)^(16-1)</x:f>
        <x:v>2628.28645422681</x:v>
      </x:c>
      <x:c r="P2019" s="10" t="n">
        <x:f>H2019*'Assumptions'!$R$121*'Assumptions'!$D$11*(1+'Assumptions'!$D$13)^(16-1)</x:f>
        <x:v>0</x:v>
      </x:c>
      <x:c r="Q2019" s="10" t="n">
        <x:f>J2019*'Assumptions'!$S$121</x:f>
        <x:v>0</x:v>
      </x:c>
      <x:c r="R2019" s="10" t="n">
        <x:f>H2019*'Assumptions'!$Y$121*'Assumptions'!$Z$121*'Assumptions'!$D$11*(1+'Assumptions'!$D$13)^(16-1)</x:f>
        <x:v>2252.8169607658374</x:v>
      </x:c>
      <x:c r="S2019" s="10" t="n">
        <x:f>IF(I2019=0,0,J2019*'Assumptions'!$W$121+H2019*'Assumptions'!$X$121)</x:f>
        <x:v>3231.8189767892686</x:v>
      </x:c>
      <x:c r="T2019" s="10" t="n">
        <x:f>N2019*'Assumptions'!$AA$121</x:f>
        <x:v>1048.7436449463291</x:v>
      </x:c>
      <x:c r="U2019" s="10" t="n">
        <x:f>'Assumptions'!$AE$121*'Assumptions'!$D$11*(1+'Assumptions'!$D$13)^(16-1)</x:f>
        <x:v>0</x:v>
      </x:c>
      <x:c r="V2019" s="10" t="n">
        <x:f>0</x:f>
        <x:v>0</x:v>
      </x:c>
      <x:c r="W2019" s="10" t="n">
        <x:f>H2019*('Assumptions'!$P$121+'Assumptions'!$Y$121)</x:f>
        <x:v>96.39983210436763</x:v>
      </x:c>
      <x:c r="X2019" s="10" t="n">
        <x:f>N2019/12*'Assumptions'!$AF$121</x:f>
        <x:v>0</x:v>
      </x:c>
      <x:c r="Y2019" s="10" t="n">
        <x:f>P2019/12</x:f>
        <x:v>0</x:v>
      </x:c>
      <x:c r="Z2019" s="10" t="n">
        <x:f>0</x:f>
        <x:v>0</x:v>
      </x:c>
      <x:c r="AA2019" s="10" t="n">
        <x:f>Z2019*'Assumptions'!$AC$121*'Assumptions'!$D$11*(1+'Assumptions'!$D$13)^(16-1)</x:f>
        <x:v>0</x:v>
      </x:c>
      <x:c r="AB2019" s="10" t="n">
        <x:f>F2019/1</x:f>
        <x:v>103.33250475603161</x:v>
      </x:c>
      <x:c r="AC2019" s="10" t="n">
        <x:f>AB2019/'Assumptions'!$AM$121</x:f>
        <x:v>2066.650095120632</x:v>
      </x:c>
      <x:c r="AD2019" s="10" t="n">
        <x:f>IF(AB2019=0,0,T2019/AB2019)</x:f>
        <x:v>10.14921342923426</x:v>
      </x:c>
      <x:c r="AE2019" s="10" t="n">
        <x:f>AA2019*'Assumptions'!$D$21</x:f>
        <x:v>0</x:v>
      </x:c>
    </x:row>
    <x:row r="2020" ht="16" customHeight="1">
      <x:c r="A2020" s="1"/>
      <x:c r="B2020" s="1"/>
      <x:c r="C2020" s="1" t="str">
        <x:v>DOT-093</x:v>
      </x:c>
      <x:c r="D2020" s="10" t="str">
        <x:v>Semajes Marketplace</x:v>
      </x:c>
      <x:c r="E2020" s="10" t="n">
        <x:v>16</x:v>
      </x:c>
      <x:c r="F2020" s="21" t="n">
        <x:f>F1892*(1+'Assumptions'!$M$122)</x:f>
        <x:v>20.66650095120632</x:v>
      </x:c>
      <x:c r="G2020" s="21" t="n">
        <x:f>H1892*'Assumptions'!$K$122</x:f>
        <x:v>43.60005378503876</x:v>
      </x:c>
      <x:c r="H2020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2020+G2020,NA())</x:f>
        <x:v>64.26655473624508</x:v>
      </x:c>
      <x:c r="I2020" s="22" t="n">
        <x:f>'Assumptions'!$H$122*IF('Assumptions'!$O$122=1,1,'Assumptions'!$D$10)*(1+'Assumptions'!$N$122)^(16-1)</x:f>
        <x:v>672.9341691620649</x:v>
      </x:c>
      <x:c r="J2020" s="10" t="n">
        <x:f>H2020*I2020</x:f>
        <x:v>43247.160616343455</x:v>
      </x:c>
      <x:c r="K2020" s="10" t="n">
        <x:f>J2020*'Assumptions'!$T$122</x:f>
        <x:v>6487.0740924515185</x:v>
      </x:c>
      <x:c r="L2020" s="10" t="n">
        <x:f>K2020*'Assumptions'!$U$122</x:f>
        <x:v>194.61222277354554</x:v>
      </x:c>
      <x:c r="M2020" s="10" t="n">
        <x:f>K2020*'Assumptions'!$V$122</x:f>
        <x:v>0</x:v>
      </x:c>
      <x:c r="N2020" s="10" t="n">
        <x:f>K2020-L2020-M2020</x:f>
        <x:v>6292.461869677973</x:v>
      </x:c>
      <x:c r="O2020" s="10" t="n">
        <x:f>H2020*'Assumptions'!$P$122*'Assumptions'!$Q$122*'Assumptions'!$D$11*(1+'Assumptions'!$D$13)^(16-1)</x:f>
        <x:v>876.0954847422698</x:v>
      </x:c>
      <x:c r="P2020" s="10" t="n">
        <x:f>H2020*'Assumptions'!$R$122*'Assumptions'!$D$11*(1+'Assumptions'!$D$13)^(16-1)</x:f>
        <x:v>0</x:v>
      </x:c>
      <x:c r="Q2020" s="10" t="n">
        <x:f>J2020*'Assumptions'!$S$122</x:f>
        <x:v>0</x:v>
      </x:c>
      <x:c r="R2020" s="10" t="n">
        <x:f>H2020*'Assumptions'!$Y$122*'Assumptions'!$Z$122*'Assumptions'!$D$11*(1+'Assumptions'!$D$13)^(16-1)</x:f>
        <x:v>450.5633921531674</x:v>
      </x:c>
      <x:c r="S2020" s="10" t="n">
        <x:f>IF(I2020=0,0,J2020*'Assumptions'!$W$122+H2020*'Assumptions'!$X$122)</x:f>
        <x:v>1273.4476242948338</x:v>
      </x:c>
      <x:c r="T2020" s="10" t="n">
        <x:f>N2020*'Assumptions'!$AA$122</x:f>
        <x:v>314.62309348389863</x:v>
      </x:c>
      <x:c r="U2020" s="10" t="n">
        <x:f>'Assumptions'!$AE$122*'Assumptions'!$D$11*(1+'Assumptions'!$D$13)^(16-1)</x:f>
        <x:v>0</x:v>
      </x:c>
      <x:c r="V2020" s="10" t="n">
        <x:f>0</x:f>
        <x:v>0</x:v>
      </x:c>
      <x:c r="W2020" s="10" t="n">
        <x:f>H2020*('Assumptions'!$P$122+'Assumptions'!$Y$122)</x:f>
        <x:v>25.706621894498035</x:v>
      </x:c>
      <x:c r="X2020" s="10" t="n">
        <x:f>N2020/12*'Assumptions'!$AF$122</x:f>
        <x:v>0</x:v>
      </x:c>
      <x:c r="Y2020" s="10" t="n">
        <x:f>P2020/12</x:f>
        <x:v>0</x:v>
      </x:c>
      <x:c r="Z2020" s="10" t="n">
        <x:f>0</x:f>
        <x:v>0</x:v>
      </x:c>
      <x:c r="AA2020" s="10" t="n">
        <x:f>Z2020*'Assumptions'!$AC$122*'Assumptions'!$D$11*(1+'Assumptions'!$D$13)^(16-1)</x:f>
        <x:v>0</x:v>
      </x:c>
      <x:c r="AB2020" s="10" t="n">
        <x:f>F2020/1</x:f>
        <x:v>20.66650095120632</x:v>
      </x:c>
      <x:c r="AC2020" s="10" t="n">
        <x:f>AB2020/'Assumptions'!$AM$122</x:f>
        <x:v>413.3300190241264</x:v>
      </x:c>
      <x:c r="AD2020" s="10" t="n">
        <x:f>IF(AB2020=0,0,T2020/AB2020)</x:f>
        <x:v>15.223820143851388</x:v>
      </x:c>
      <x:c r="AE2020" s="10" t="n">
        <x:f>AA2020*'Assumptions'!$D$21</x:f>
        <x:v>0</x:v>
      </x:c>
    </x:row>
    <x:row r="2021" ht="16" customHeight="1">
      <x:c r="A2021" s="1"/>
      <x:c r="B2021" s="1"/>
      <x:c r="C2021" s="1" t="str">
        <x:v>DOT-094</x:v>
      </x:c>
      <x:c r="D2021" s="10" t="str">
        <x:v>Semajes premium and media</x:v>
      </x:c>
      <x:c r="E2021" s="10" t="n">
        <x:v>16</x:v>
      </x:c>
      <x:c r="F2021" s="21" t="n">
        <x:f>F1893*(1+'Assumptions'!$M$123)</x:f>
        <x:v>103.33250475603161</x:v>
      </x:c>
      <x:c r="G2021" s="21" t="n">
        <x:f>H1893*'Assumptions'!$K$123</x:f>
        <x:v>218.00026892519384</x:v>
      </x:c>
      <x:c r="H2021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2021+G2021,NA())</x:f>
        <x:v>321.33277368122543</x:v>
      </x:c>
      <x:c r="I2021" s="22" t="n">
        <x:f>'Assumptions'!$H$123*IF('Assumptions'!$O$123=1,1,'Assumptions'!$D$10)*(1+'Assumptions'!$N$123)^(16-1)</x:f>
        <x:v>12.11281504491717</x:v>
      </x:c>
      <x:c r="J2021" s="10" t="n">
        <x:f>H2021*I2021</x:f>
        <x:v>3892.2444554709114</x:v>
      </x:c>
      <x:c r="K2021" s="10" t="n">
        <x:f>J2021*'Assumptions'!$T$123</x:f>
        <x:v>3892.2444554709114</x:v>
      </x:c>
      <x:c r="L2021" s="10" t="n">
        <x:f>K2021*'Assumptions'!$U$123</x:f>
        <x:v>116.76733366412734</x:v>
      </x:c>
      <x:c r="M2021" s="10" t="n">
        <x:f>K2021*'Assumptions'!$V$123</x:f>
        <x:v>0</x:v>
      </x:c>
      <x:c r="N2021" s="10" t="n">
        <x:f>K2021-L2021-M2021</x:f>
        <x:v>3775.477121806784</x:v>
      </x:c>
      <x:c r="O2021" s="10" t="n">
        <x:f>H2021*'Assumptions'!$P$123*'Assumptions'!$Q$123*'Assumptions'!$D$11*(1+'Assumptions'!$D$13)^(16-1)</x:f>
        <x:v>876.0954847422698</x:v>
      </x:c>
      <x:c r="P2021" s="10" t="n">
        <x:f>H2021*'Assumptions'!$R$123*'Assumptions'!$D$11*(1+'Assumptions'!$D$13)^(16-1)</x:f>
        <x:v>0</x:v>
      </x:c>
      <x:c r="Q2021" s="10" t="n">
        <x:f>J2021*'Assumptions'!$S$123</x:f>
        <x:v>0</x:v>
      </x:c>
      <x:c r="R2021" s="10" t="n">
        <x:f>H2021*'Assumptions'!$Y$123*'Assumptions'!$Z$123*'Assumptions'!$D$11*(1+'Assumptions'!$D$13)^(16-1)</x:f>
        <x:v>2252.8169607658374</x:v>
      </x:c>
      <x:c r="S2021" s="10" t="n">
        <x:f>IF(I2021=0,0,J2021*'Assumptions'!$W$123+H2021*'Assumptions'!$X$123)</x:f>
        <x:v>209.27492131302407</x:v>
      </x:c>
      <x:c r="T2021" s="10" t="n">
        <x:f>N2021*'Assumptions'!$AA$123</x:f>
        <x:v>188.77385609033922</x:v>
      </x:c>
      <x:c r="U2021" s="10" t="n">
        <x:f>'Assumptions'!$AE$123*'Assumptions'!$D$11*(1+'Assumptions'!$D$13)^(16-1)</x:f>
        <x:v>0</x:v>
      </x:c>
      <x:c r="V2021" s="10" t="n">
        <x:f>0</x:f>
        <x:v>0</x:v>
      </x:c>
      <x:c r="W2021" s="10" t="n">
        <x:f>H2021*('Assumptions'!$P$123+'Assumptions'!$Y$123)</x:f>
        <x:v>64.26655473624508</x:v>
      </x:c>
      <x:c r="X2021" s="10" t="n">
        <x:f>N2021/12*'Assumptions'!$AF$123</x:f>
        <x:v>0</x:v>
      </x:c>
      <x:c r="Y2021" s="10" t="n">
        <x:f>P2021/12</x:f>
        <x:v>0</x:v>
      </x:c>
      <x:c r="Z2021" s="10" t="n">
        <x:f>0</x:f>
        <x:v>0</x:v>
      </x:c>
      <x:c r="AA2021" s="10" t="n">
        <x:f>Z2021*'Assumptions'!$AC$123*'Assumptions'!$D$11*(1+'Assumptions'!$D$13)^(16-1)</x:f>
        <x:v>0</x:v>
      </x:c>
      <x:c r="AB2021" s="10" t="n">
        <x:f>F2021/12</x:f>
        <x:v>8.611042063002634</x:v>
      </x:c>
      <x:c r="AC2021" s="10" t="n">
        <x:f>AB2021/'Assumptions'!$AM$123</x:f>
        <x:v>172.22084126005265</x:v>
      </x:c>
      <x:c r="AD2021" s="10" t="n">
        <x:f>IF(AB2021=0,0,T2021/AB2021)</x:f>
        <x:v>21.922301007146</x:v>
      </x:c>
      <x:c r="AE2021" s="10" t="n">
        <x:f>AA2021*'Assumptions'!$D$21</x:f>
        <x:v>0</x:v>
      </x:c>
    </x:row>
    <x:row r="2022" ht="16" customHeight="1">
      <x:c r="A2022" s="1"/>
      <x:c r="B2022" s="1"/>
      <x:c r="C2022" s="1" t="str">
        <x:v>DOT-095</x:v>
      </x:c>
      <x:c r="D2022" s="10" t="str">
        <x:v>Semajes premium and media</x:v>
      </x:c>
      <x:c r="E2022" s="10" t="n">
        <x:v>16</x:v>
      </x:c>
      <x:c r="F2022" s="21" t="n">
        <x:f>F1894*(1+'Assumptions'!$M$124)</x:f>
        <x:v>103.33250475603161</x:v>
      </x:c>
      <x:c r="G2022" s="21" t="n">
        <x:f>H1894*'Assumptions'!$K$124</x:f>
        <x:v>218.00026892519384</x:v>
      </x:c>
      <x:c r="H2022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2022+G2022,NA())</x:f>
        <x:v>321.33277368122543</x:v>
      </x:c>
      <x:c r="I2022" s="22" t="n">
        <x:f>'Assumptions'!$H$124*IF('Assumptions'!$O$124=1,1,'Assumptions'!$D$10)*(1+'Assumptions'!$N$124)^(16-1)</x:f>
        <x:v>25.571498428158467</x:v>
      </x:c>
      <x:c r="J2022" s="10" t="n">
        <x:f>H2022*I2022</x:f>
        <x:v>8216.960517105257</x:v>
      </x:c>
      <x:c r="K2022" s="10" t="n">
        <x:f>J2022*'Assumptions'!$T$124</x:f>
        <x:v>8216.960517105257</x:v>
      </x:c>
      <x:c r="L2022" s="10" t="n">
        <x:f>K2022*'Assumptions'!$U$124</x:f>
        <x:v>246.5088155131577</x:v>
      </x:c>
      <x:c r="M2022" s="10" t="n">
        <x:f>K2022*'Assumptions'!$V$124</x:f>
        <x:v>0</x:v>
      </x:c>
      <x:c r="N2022" s="10" t="n">
        <x:f>K2022-L2022-M2022</x:f>
        <x:v>7970.451701592099</x:v>
      </x:c>
      <x:c r="O2022" s="10" t="n">
        <x:f>H2022*'Assumptions'!$P$124*'Assumptions'!$Q$124*'Assumptions'!$D$11*(1+'Assumptions'!$D$13)^(16-1)</x:f>
        <x:v>1752.1909694845397</x:v>
      </x:c>
      <x:c r="P2022" s="10" t="n">
        <x:f>H2022*'Assumptions'!$R$124*'Assumptions'!$D$11*(1+'Assumptions'!$D$13)^(16-1)</x:f>
        <x:v>0</x:v>
      </x:c>
      <x:c r="Q2022" s="10" t="n">
        <x:f>J2022*'Assumptions'!$S$124</x:f>
        <x:v>0</x:v>
      </x:c>
      <x:c r="R2022" s="10" t="n">
        <x:f>H2022*'Assumptions'!$Y$124*'Assumptions'!$Z$124*'Assumptions'!$D$11*(1+'Assumptions'!$D$13)^(16-1)</x:f>
        <x:v>2252.8169607658374</x:v>
      </x:c>
      <x:c r="S2022" s="10" t="n">
        <x:f>IF(I2022=0,0,J2022*'Assumptions'!$W$124+H2022*'Assumptions'!$X$124)</x:f>
        <x:v>334.6916871004201</x:v>
      </x:c>
      <x:c r="T2022" s="10" t="n">
        <x:f>N2022*'Assumptions'!$AA$124</x:f>
        <x:v>398.522585079605</x:v>
      </x:c>
      <x:c r="U2022" s="10" t="n">
        <x:f>'Assumptions'!$AE$124*'Assumptions'!$D$11*(1+'Assumptions'!$D$13)^(16-1)</x:f>
        <x:v>0</x:v>
      </x:c>
      <x:c r="V2022" s="10" t="n">
        <x:f>0</x:f>
        <x:v>0</x:v>
      </x:c>
      <x:c r="W2022" s="10" t="n">
        <x:f>H2022*('Assumptions'!$P$124+'Assumptions'!$Y$124)</x:f>
        <x:v>80.33319342030636</x:v>
      </x:c>
      <x:c r="X2022" s="10" t="n">
        <x:f>N2022/12*'Assumptions'!$AF$124</x:f>
        <x:v>0</x:v>
      </x:c>
      <x:c r="Y2022" s="10" t="n">
        <x:f>P2022/12</x:f>
        <x:v>0</x:v>
      </x:c>
      <x:c r="Z2022" s="10" t="n">
        <x:f>0</x:f>
        <x:v>0</x:v>
      </x:c>
      <x:c r="AA2022" s="10" t="n">
        <x:f>Z2022*'Assumptions'!$AC$124*'Assumptions'!$D$11*(1+'Assumptions'!$D$13)^(16-1)</x:f>
        <x:v>0</x:v>
      </x:c>
      <x:c r="AB2022" s="10" t="n">
        <x:f>F2022/12</x:f>
        <x:v>8.611042063002634</x:v>
      </x:c>
      <x:c r="AC2022" s="10" t="n">
        <x:f>AB2022/'Assumptions'!$AM$124</x:f>
        <x:v>172.22084126005265</x:v>
      </x:c>
      <x:c r="AD2022" s="10" t="n">
        <x:f>IF(AB2022=0,0,T2022/AB2022)</x:f>
        <x:v>46.280413237308224</x:v>
      </x:c>
      <x:c r="AE2022" s="10" t="n">
        <x:f>AA2022*'Assumptions'!$D$21</x:f>
        <x:v>0</x:v>
      </x:c>
    </x:row>
    <x:row r="2023" ht="16" customHeight="1">
      <x:c r="A2023" s="1"/>
      <x:c r="B2023" s="1"/>
      <x:c r="C2023" s="1" t="str">
        <x:v>DOT-096</x:v>
      </x:c>
      <x:c r="D2023" s="10" t="str">
        <x:v>Semajes premium and media</x:v>
      </x:c>
      <x:c r="E2023" s="10" t="n">
        <x:v>16</x:v>
      </x:c>
      <x:c r="F2023" s="21" t="n">
        <x:f>F1895*(1+'Assumptions'!$M$125)</x:f>
        <x:v>51.666252378015805</x:v>
      </x:c>
      <x:c r="G2023" s="21" t="n">
        <x:f>H1895*'Assumptions'!$K$125</x:f>
        <x:v>109.00013446259692</x:v>
      </x:c>
      <x:c r="H2023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2023+G2023,NA())</x:f>
        <x:v>160.66638684061272</x:v>
      </x:c>
      <x:c r="I2023" s="22" t="n">
        <x:f>'Assumptions'!$H$125*IF('Assumptions'!$O$125=1,1,'Assumptions'!$D$10)*(1+'Assumptions'!$N$125)^(16-1)</x:f>
        <x:v>52.488865194641065</x:v>
      </x:c>
      <x:c r="J2023" s="10" t="n">
        <x:f>H2023*I2023</x:f>
        <x:v>8433.196320186975</x:v>
      </x:c>
      <x:c r="K2023" s="10" t="n">
        <x:f>J2023*'Assumptions'!$T$125</x:f>
        <x:v>8433.196320186975</x:v>
      </x:c>
      <x:c r="L2023" s="10" t="n">
        <x:f>K2023*'Assumptions'!$U$125</x:f>
        <x:v>252.99588960560925</x:v>
      </x:c>
      <x:c r="M2023" s="10" t="n">
        <x:f>K2023*'Assumptions'!$V$125</x:f>
        <x:v>0</x:v>
      </x:c>
      <x:c r="N2023" s="10" t="n">
        <x:f>K2023-L2023-M2023</x:f>
        <x:v>8180.200430581365</x:v>
      </x:c>
      <x:c r="O2023" s="10" t="n">
        <x:f>H2023*'Assumptions'!$P$125*'Assumptions'!$Q$125*'Assumptions'!$D$11*(1+'Assumptions'!$D$13)^(16-1)</x:f>
        <x:v>1752.1909694845397</x:v>
      </x:c>
      <x:c r="P2023" s="10" t="n">
        <x:f>H2023*'Assumptions'!$R$125*'Assumptions'!$D$11*(1+'Assumptions'!$D$13)^(16-1)</x:f>
        <x:v>0</x:v>
      </x:c>
      <x:c r="Q2023" s="10" t="n">
        <x:f>J2023*'Assumptions'!$S$125</x:f>
        <x:v>0</x:v>
      </x:c>
      <x:c r="R2023" s="10" t="n">
        <x:f>H2023*'Assumptions'!$Y$125*'Assumptions'!$Z$125*'Assumptions'!$D$11*(1+'Assumptions'!$D$13)^(16-1)</x:f>
        <x:v>1126.4084803829187</x:v>
      </x:c>
      <x:c r="S2023" s="10" t="n">
        <x:f>IF(I2023=0,0,J2023*'Assumptions'!$W$125+H2023*'Assumptions'!$X$125)</x:f>
        <x:v>292.7626093376061</x:v>
      </x:c>
      <x:c r="T2023" s="10" t="n">
        <x:f>N2023*'Assumptions'!$AA$125</x:f>
        <x:v>409.0100215290683</x:v>
      </x:c>
      <x:c r="U2023" s="10" t="n">
        <x:f>'Assumptions'!$AE$125*'Assumptions'!$D$11*(1+'Assumptions'!$D$13)^(16-1)</x:f>
        <x:v>0</x:v>
      </x:c>
      <x:c r="V2023" s="10" t="n">
        <x:f>0</x:f>
        <x:v>0</x:v>
      </x:c>
      <x:c r="W2023" s="10" t="n">
        <x:f>H2023*('Assumptions'!$P$125+'Assumptions'!$Y$125)</x:f>
        <x:v>56.23323539421445</x:v>
      </x:c>
      <x:c r="X2023" s="10" t="n">
        <x:f>N2023/12*'Assumptions'!$AF$125</x:f>
        <x:v>0</x:v>
      </x:c>
      <x:c r="Y2023" s="10" t="n">
        <x:f>P2023/12</x:f>
        <x:v>0</x:v>
      </x:c>
      <x:c r="Z2023" s="10" t="n">
        <x:f>0</x:f>
        <x:v>0</x:v>
      </x:c>
      <x:c r="AA2023" s="10" t="n">
        <x:f>Z2023*'Assumptions'!$AC$125*'Assumptions'!$D$11*(1+'Assumptions'!$D$13)^(16-1)</x:f>
        <x:v>0</x:v>
      </x:c>
      <x:c r="AB2023" s="10" t="n">
        <x:f>F2023/12</x:f>
        <x:v>4.305521031501317</x:v>
      </x:c>
      <x:c r="AC2023" s="10" t="n">
        <x:f>AB2023/'Assumptions'!$AM$125</x:f>
        <x:v>86.11042063002633</x:v>
      </x:c>
      <x:c r="AD2023" s="10" t="n">
        <x:f>IF(AB2023=0,0,T2023/AB2023)</x:f>
        <x:v>94.99663769763266</x:v>
      </x:c>
      <x:c r="AE2023" s="10" t="n">
        <x:f>AA2023*'Assumptions'!$D$21</x:f>
        <x:v>0</x:v>
      </x:c>
    </x:row>
    <x:row r="2024" ht="16" customHeight="1">
      <x:c r="A2024" s="1"/>
      <x:c r="B2024" s="1"/>
      <x:c r="C2024" s="1" t="str">
        <x:v>DOT-097</x:v>
      </x:c>
      <x:c r="D2024" s="10" t="str">
        <x:v>Semajes premium and media</x:v>
      </x:c>
      <x:c r="E2024" s="10" t="n">
        <x:v>16</x:v>
      </x:c>
      <x:c r="F2024" s="21" t="n">
        <x:f>F1896*(1+'Assumptions'!$M$126)</x:f>
        <x:v>30.999751426809475</x:v>
      </x:c>
      <x:c r="G2024" s="21" t="n">
        <x:f>H1896*'Assumptions'!$K$126</x:f>
        <x:v>65.40008067755812</x:v>
      </x:c>
      <x:c r="H2024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2024+G2024,NA())</x:f>
        <x:v>96.39983210436759</x:v>
      </x:c>
      <x:c r="I2024" s="22" t="n">
        <x:f>'Assumptions'!$H$126*IF('Assumptions'!$O$126=1,1,'Assumptions'!$D$10)*(1+'Assumptions'!$N$126)^(16-1)</x:f>
        <x:v>133.24096549408887</x:v>
      </x:c>
      <x:c r="J2024" s="10" t="n">
        <x:f>H2024*I2024</x:f>
        <x:v>12844.406703054003</x:v>
      </x:c>
      <x:c r="K2024" s="10" t="n">
        <x:f>J2024*'Assumptions'!$T$126</x:f>
        <x:v>12844.406703054003</x:v>
      </x:c>
      <x:c r="L2024" s="10" t="n">
        <x:f>K2024*'Assumptions'!$U$126</x:f>
        <x:v>385.33220109162005</x:v>
      </x:c>
      <x:c r="M2024" s="10" t="n">
        <x:f>K2024*'Assumptions'!$V$126</x:f>
        <x:v>0</x:v>
      </x:c>
      <x:c r="N2024" s="10" t="n">
        <x:f>K2024-L2024-M2024</x:f>
        <x:v>12459.074501962383</x:v>
      </x:c>
      <x:c r="O2024" s="10" t="n">
        <x:f>H2024*'Assumptions'!$P$126*'Assumptions'!$Q$126*'Assumptions'!$D$11*(1+'Assumptions'!$D$13)^(16-1)</x:f>
        <x:v>5256.572908453618</x:v>
      </x:c>
      <x:c r="P2024" s="10" t="n">
        <x:f>H2024*'Assumptions'!$R$126*'Assumptions'!$D$11*(1+'Assumptions'!$D$13)^(16-1)</x:f>
        <x:v>0</x:v>
      </x:c>
      <x:c r="Q2024" s="10" t="n">
        <x:f>J2024*'Assumptions'!$S$126</x:f>
        <x:v>0</x:v>
      </x:c>
      <x:c r="R2024" s="10" t="n">
        <x:f>H2024*'Assumptions'!$Y$126*'Assumptions'!$Z$126*'Assumptions'!$D$11*(1+'Assumptions'!$D$13)^(16-1)</x:f>
        <x:v>675.8450882297508</x:v>
      </x:c>
      <x:c r="S2024" s="10" t="n">
        <x:f>IF(I2024=0,0,J2024*'Assumptions'!$W$126+H2024*'Assumptions'!$X$126)</x:f>
        <x:v>401.40774401987636</x:v>
      </x:c>
      <x:c r="T2024" s="10" t="n">
        <x:f>N2024*'Assumptions'!$AA$126</x:f>
        <x:v>622.9537250981192</x:v>
      </x:c>
      <x:c r="U2024" s="10" t="n">
        <x:f>'Assumptions'!$AE$126*'Assumptions'!$D$11*(1+'Assumptions'!$D$13)^(16-1)</x:f>
        <x:v>0</x:v>
      </x:c>
      <x:c r="V2024" s="10" t="n">
        <x:f>0</x:f>
        <x:v>0</x:v>
      </x:c>
      <x:c r="W2024" s="10" t="n">
        <x:f>H2024*('Assumptions'!$P$126+'Assumptions'!$Y$126)</x:f>
        <x:v>110.85980692002272</x:v>
      </x:c>
      <x:c r="X2024" s="10" t="n">
        <x:f>N2024/12*'Assumptions'!$AF$126</x:f>
        <x:v>0</x:v>
      </x:c>
      <x:c r="Y2024" s="10" t="n">
        <x:f>P2024/12</x:f>
        <x:v>0</x:v>
      </x:c>
      <x:c r="Z2024" s="10" t="n">
        <x:f>0</x:f>
        <x:v>0</x:v>
      </x:c>
      <x:c r="AA2024" s="10" t="n">
        <x:f>Z2024*'Assumptions'!$AC$126*'Assumptions'!$D$11*(1+'Assumptions'!$D$13)^(16-1)</x:f>
        <x:v>0</x:v>
      </x:c>
      <x:c r="AB2024" s="10" t="n">
        <x:f>F2024/1</x:f>
        <x:v>30.999751426809475</x:v>
      </x:c>
      <x:c r="AC2024" s="10" t="n">
        <x:f>AB2024/'Assumptions'!$AM$126</x:f>
        <x:v>619.9950285361895</x:v>
      </x:c>
      <x:c r="AD2024" s="10" t="n">
        <x:f>IF(AB2024=0,0,T2024/AB2024)</x:f>
        <x:v>20.09544258988383</x:v>
      </x:c>
      <x:c r="AE2024" s="10" t="n">
        <x:f>AA2024*'Assumptions'!$D$21</x:f>
        <x:v>0</x:v>
      </x:c>
    </x:row>
    <x:row r="2025" ht="16" customHeight="1">
      <x:c r="A2025" s="1"/>
      <x:c r="B2025" s="1"/>
      <x:c r="C2025" s="1" t="str">
        <x:v>DOT-098</x:v>
      </x:c>
      <x:c r="D2025" s="10" t="str">
        <x:v>Semajes premium and media</x:v>
      </x:c>
      <x:c r="E2025" s="10" t="n">
        <x:v>16</x:v>
      </x:c>
      <x:c r="F2025" s="21" t="n">
        <x:f>F1897*(1+'Assumptions'!$M$127)</x:f>
        <x:v>15.499875713404737</x:v>
      </x:c>
      <x:c r="G2025" s="21" t="n">
        <x:f>H1897*'Assumptions'!$K$127</x:f>
        <x:v>32.70004033877906</x:v>
      </x:c>
      <x:c r="H2025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2025+G2025,NA())</x:f>
        <x:v>48.199916052183795</x:v>
      </x:c>
      <x:c r="I2025" s="22" t="n">
        <x:f>'Assumptions'!$H$127*IF('Assumptions'!$O$127=1,1,'Assumptions'!$D$10)*(1+'Assumptions'!$N$127)^(16-1)</x:f>
        <x:v>335.12121624270833</x:v>
      </x:c>
      <x:c r="J2025" s="10" t="n">
        <x:f>H2025*I2025</x:f>
        <x:v>16152.814490204273</x:v>
      </x:c>
      <x:c r="K2025" s="10" t="n">
        <x:f>J2025*'Assumptions'!$T$127</x:f>
        <x:v>16152.814490204273</x:v>
      </x:c>
      <x:c r="L2025" s="10" t="n">
        <x:f>K2025*'Assumptions'!$U$127</x:f>
        <x:v>484.58443470612815</x:v>
      </x:c>
      <x:c r="M2025" s="10" t="n">
        <x:f>K2025*'Assumptions'!$V$127</x:f>
        <x:v>0</x:v>
      </x:c>
      <x:c r="N2025" s="10" t="n">
        <x:f>K2025-L2025-M2025</x:f>
        <x:v>15668.230055498145</x:v>
      </x:c>
      <x:c r="O2025" s="10" t="n">
        <x:f>H2025*'Assumptions'!$P$127*'Assumptions'!$Q$127*'Assumptions'!$D$11*(1+'Assumptions'!$D$13)^(16-1)</x:f>
        <x:v>7884.859362680426</x:v>
      </x:c>
      <x:c r="P2025" s="10" t="n">
        <x:f>H2025*'Assumptions'!$R$127*'Assumptions'!$D$11*(1+'Assumptions'!$D$13)^(16-1)</x:f>
        <x:v>0</x:v>
      </x:c>
      <x:c r="Q2025" s="10" t="n">
        <x:f>J2025*'Assumptions'!$S$127</x:f>
        <x:v>0</x:v>
      </x:c>
      <x:c r="R2025" s="10" t="n">
        <x:f>H2025*'Assumptions'!$Y$127*'Assumptions'!$Z$127*'Assumptions'!$D$11*(1+'Assumptions'!$D$13)^(16-1)</x:f>
        <x:v>337.9225441148754</x:v>
      </x:c>
      <x:c r="S2025" s="10" t="n">
        <x:f>IF(I2025=0,0,J2025*'Assumptions'!$W$127+H2025*'Assumptions'!$X$127)</x:f>
        <x:v>482.8915950315791</x:v>
      </x:c>
      <x:c r="T2025" s="10" t="n">
        <x:f>N2025*'Assumptions'!$AA$127</x:f>
        <x:v>783.4115027749073</x:v>
      </x:c>
      <x:c r="U2025" s="10" t="n">
        <x:f>'Assumptions'!$AE$127*'Assumptions'!$D$11*(1+'Assumptions'!$D$13)^(16-1)</x:f>
        <x:v>0</x:v>
      </x:c>
      <x:c r="V2025" s="10" t="n">
        <x:f>0</x:f>
        <x:v>0</x:v>
      </x:c>
      <x:c r="W2025" s="10" t="n">
        <x:f>H2025*('Assumptions'!$P$127+'Assumptions'!$Y$127)</x:f>
        <x:v>151.82973556437895</x:v>
      </x:c>
      <x:c r="X2025" s="10" t="n">
        <x:f>N2025/12*'Assumptions'!$AF$127</x:f>
        <x:v>0</x:v>
      </x:c>
      <x:c r="Y2025" s="10" t="n">
        <x:f>P2025/12</x:f>
        <x:v>0</x:v>
      </x:c>
      <x:c r="Z2025" s="10" t="n">
        <x:f>0</x:f>
        <x:v>0</x:v>
      </x:c>
      <x:c r="AA2025" s="10" t="n">
        <x:f>Z2025*'Assumptions'!$AC$127*'Assumptions'!$D$11*(1+'Assumptions'!$D$13)^(16-1)</x:f>
        <x:v>0</x:v>
      </x:c>
      <x:c r="AB2025" s="10" t="n">
        <x:f>F2025/1</x:f>
        <x:v>15.499875713404737</x:v>
      </x:c>
      <x:c r="AC2025" s="10" t="n">
        <x:f>AB2025/'Assumptions'!$AM$127</x:f>
        <x:v>309.99751426809473</x:v>
      </x:c>
      <x:c r="AD2025" s="10" t="n">
        <x:f>IF(AB2025=0,0,T2025/AB2025)</x:f>
        <x:v>50.54308287758659</x:v>
      </x:c>
      <x:c r="AE2025" s="10" t="n">
        <x:f>AA2025*'Assumptions'!$D$21</x:f>
        <x:v>0</x:v>
      </x:c>
    </x:row>
    <x:row r="2026" ht="16" customHeight="1">
      <x:c r="A2026" s="1"/>
      <x:c r="B2026" s="1"/>
      <x:c r="C2026" s="1" t="str">
        <x:v>DOT-099</x:v>
      </x:c>
      <x:c r="D2026" s="10" t="str">
        <x:v>Semajes premium and media</x:v>
      </x:c>
      <x:c r="E2026" s="10" t="n">
        <x:v>16</x:v>
      </x:c>
      <x:c r="F2026" s="21" t="n">
        <x:f>F1898*(1+'Assumptions'!$M$128)</x:f>
        <x:v>51.666252378015805</x:v>
      </x:c>
      <x:c r="G2026" s="21" t="n">
        <x:f>H1898*'Assumptions'!$K$128</x:f>
        <x:v>109.00013446259692</x:v>
      </x:c>
      <x:c r="H2026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2026+G2026,NA())</x:f>
        <x:v>160.66638684061272</x:v>
      </x:c>
      <x:c r="I2026" s="22" t="n">
        <x:f>'Assumptions'!$H$128*IF('Assumptions'!$O$128=1,1,'Assumptions'!$D$10)*(1+'Assumptions'!$N$128)^(16-1)</x:f>
        <x:v>39.030181811399764</x:v>
      </x:c>
      <x:c r="J2026" s="10" t="n">
        <x:f>H2026*I2026</x:f>
        <x:v>6270.838289369801</x:v>
      </x:c>
      <x:c r="K2026" s="10" t="n">
        <x:f>J2026*'Assumptions'!$T$128</x:f>
        <x:v>6270.838289369801</x:v>
      </x:c>
      <x:c r="L2026" s="10" t="n">
        <x:f>K2026*'Assumptions'!$U$128</x:f>
        <x:v>188.125148681094</x:v>
      </x:c>
      <x:c r="M2026" s="10" t="n">
        <x:f>K2026*'Assumptions'!$V$128</x:f>
        <x:v>0</x:v>
      </x:c>
      <x:c r="N2026" s="10" t="n">
        <x:f>K2026-L2026-M2026</x:f>
        <x:v>6082.7131406887065</x:v>
      </x:c>
      <x:c r="O2026" s="10" t="n">
        <x:f>H2026*'Assumptions'!$P$128*'Assumptions'!$Q$128*'Assumptions'!$D$11*(1+'Assumptions'!$D$13)^(16-1)</x:f>
        <x:v>1314.143227113405</x:v>
      </x:c>
      <x:c r="P2026" s="10" t="n">
        <x:f>H2026*'Assumptions'!$R$128*'Assumptions'!$D$11*(1+'Assumptions'!$D$13)^(16-1)</x:f>
        <x:v>0</x:v>
      </x:c>
      <x:c r="Q2026" s="10" t="n">
        <x:f>J2026*'Assumptions'!$S$128</x:f>
        <x:v>0</x:v>
      </x:c>
      <x:c r="R2026" s="10" t="n">
        <x:f>H2026*'Assumptions'!$Y$128*'Assumptions'!$Z$128*'Assumptions'!$D$11*(1+'Assumptions'!$D$13)^(16-1)</x:f>
        <x:v>1126.4084803829187</x:v>
      </x:c>
      <x:c r="S2026" s="10" t="n">
        <x:f>IF(I2026=0,0,J2026*'Assumptions'!$W$128+H2026*'Assumptions'!$X$128)</x:f>
        <x:v>230.05422644390805</x:v>
      </x:c>
      <x:c r="T2026" s="10" t="n">
        <x:f>N2026*'Assumptions'!$AA$128</x:f>
        <x:v>304.1356570344353</x:v>
      </x:c>
      <x:c r="U2026" s="10" t="n">
        <x:f>'Assumptions'!$AE$128*'Assumptions'!$D$11*(1+'Assumptions'!$D$13)^(16-1)</x:f>
        <x:v>0</x:v>
      </x:c>
      <x:c r="V2026" s="10" t="n">
        <x:f>0</x:f>
        <x:v>0</x:v>
      </x:c>
      <x:c r="W2026" s="10" t="n">
        <x:f>H2026*('Assumptions'!$P$128+'Assumptions'!$Y$128)</x:f>
        <x:v>48.199916052183816</x:v>
      </x:c>
      <x:c r="X2026" s="10" t="n">
        <x:f>N2026/12*'Assumptions'!$AF$128</x:f>
        <x:v>0</x:v>
      </x:c>
      <x:c r="Y2026" s="10" t="n">
        <x:f>P2026/12</x:f>
        <x:v>0</x:v>
      </x:c>
      <x:c r="Z2026" s="10" t="n">
        <x:f>0</x:f>
        <x:v>0</x:v>
      </x:c>
      <x:c r="AA2026" s="10" t="n">
        <x:f>Z2026*'Assumptions'!$AC$128*'Assumptions'!$D$11*(1+'Assumptions'!$D$13)^(16-1)</x:f>
        <x:v>0</x:v>
      </x:c>
      <x:c r="AB2026" s="10" t="n">
        <x:f>F2026/1</x:f>
        <x:v>51.666252378015805</x:v>
      </x:c>
      <x:c r="AC2026" s="10" t="n">
        <x:f>AB2026/'Assumptions'!$AM$128</x:f>
        <x:v>1033.325047560316</x:v>
      </x:c>
      <x:c r="AD2026" s="10" t="n">
        <x:f>IF(AB2026=0,0,T2026/AB2026)</x:f>
        <x:v>5.886543788955869</x:v>
      </x:c>
      <x:c r="AE2026" s="10" t="n">
        <x:f>AA2026*'Assumptions'!$D$21</x:f>
        <x:v>0</x:v>
      </x:c>
    </x:row>
    <x:row r="2027" ht="16" customHeight="1">
      <x:c r="A2027" s="1"/>
      <x:c r="B2027" s="1"/>
      <x:c r="C2027" s="1" t="str">
        <x:v>DOT-100</x:v>
      </x:c>
      <x:c r="D2027" s="10" t="str">
        <x:v>Semajes courses</x:v>
      </x:c>
      <x:c r="E2027" s="10" t="n">
        <x:v>16</x:v>
      </x:c>
      <x:c r="F2027" s="21" t="n">
        <x:f>F1899*(1+'Assumptions'!$M$129)</x:f>
        <x:v>435.78606444457455</x:v>
      </x:c>
      <x:c r="G2027" s="21" t="n">
        <x:f>H1899*'Assumptions'!$K$129</x:f>
        <x:v>139.67501740108787</x:v>
      </x:c>
      <x:c r="H2027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2027+G2027,NA())</x:f>
        <x:v>575.4610818456624</x:v>
      </x:c>
      <x:c r="I2027" s="22" t="n">
        <x:f>'Assumptions'!$H$129*IF('Assumptions'!$O$129=1,1,'Assumptions'!$D$10)*(1+'Assumptions'!$N$129)^(16-1)</x:f>
        <x:v>52.488865194641065</x:v>
      </x:c>
      <x:c r="J2027" s="10" t="n">
        <x:f>H2027*I2027</x:f>
        <x:v>30205.299149759285</x:v>
      </x:c>
      <x:c r="K2027" s="10" t="n">
        <x:f>J2027*'Assumptions'!$T$129</x:f>
        <x:v>30205.299149759285</x:v>
      </x:c>
      <x:c r="L2027" s="10" t="n">
        <x:f>K2027*'Assumptions'!$U$129</x:f>
        <x:v>906.1589744927785</x:v>
      </x:c>
      <x:c r="M2027" s="10" t="n">
        <x:f>K2027*'Assumptions'!$V$129</x:f>
        <x:v>0</x:v>
      </x:c>
      <x:c r="N2027" s="10" t="n">
        <x:f>K2027-L2027-M2027</x:f>
        <x:v>29299.140175266508</x:v>
      </x:c>
      <x:c r="O2027" s="10" t="n">
        <x:f>H2027*'Assumptions'!$P$129*'Assumptions'!$Q$129*'Assumptions'!$D$11*(1+'Assumptions'!$D$13)^(16-1)</x:f>
        <x:v>4706.885478946182</x:v>
      </x:c>
      <x:c r="P2027" s="10" t="n">
        <x:f>H2027*'Assumptions'!$R$129*'Assumptions'!$D$11*(1+'Assumptions'!$D$13)^(16-1)</x:f>
        <x:v>0</x:v>
      </x:c>
      <x:c r="Q2027" s="10" t="n">
        <x:f>J2027*'Assumptions'!$S$129</x:f>
        <x:v>0</x:v>
      </x:c>
      <x:c r="R2027" s="10" t="n">
        <x:f>H2027*'Assumptions'!$Y$129*'Assumptions'!$Z$129*'Assumptions'!$D$11*(1+'Assumptions'!$D$13)^(16-1)</x:f>
        <x:v>2689.6488451121045</x:v>
      </x:c>
      <x:c r="S2027" s="10" t="n">
        <x:f>IF(I2027=0,0,J2027*'Assumptions'!$W$129+H2027*'Assumptions'!$X$129)</x:f>
        <x:v>1048.591999896718</x:v>
      </x:c>
      <x:c r="T2027" s="10" t="n">
        <x:f>N2027*'Assumptions'!$AA$129</x:f>
        <x:v>1464.9570087633256</x:v>
      </x:c>
      <x:c r="U2027" s="10" t="n">
        <x:f>'Assumptions'!$AE$129*'Assumptions'!$D$11*(1+'Assumptions'!$D$13)^(16-1)</x:f>
        <x:v>0</x:v>
      </x:c>
      <x:c r="V2027" s="10" t="n">
        <x:f>0</x:f>
        <x:v>0</x:v>
      </x:c>
      <x:c r="W2027" s="10" t="n">
        <x:f>H2027*('Assumptions'!$P$129+'Assumptions'!$Y$129)</x:f>
        <x:v>143.8652704614156</x:v>
      </x:c>
      <x:c r="X2027" s="10" t="n">
        <x:f>N2027/12*'Assumptions'!$AF$129</x:f>
        <x:v>0</x:v>
      </x:c>
      <x:c r="Y2027" s="10" t="n">
        <x:f>P2027/12</x:f>
        <x:v>0</x:v>
      </x:c>
      <x:c r="Z2027" s="10" t="n">
        <x:f>0</x:f>
        <x:v>0</x:v>
      </x:c>
      <x:c r="AA2027" s="10" t="n">
        <x:f>Z2027*'Assumptions'!$AC$129*'Assumptions'!$D$11*(1+'Assumptions'!$D$13)^(16-1)</x:f>
        <x:v>0</x:v>
      </x:c>
      <x:c r="AB2027" s="10" t="n">
        <x:f>F2027/1</x:f>
        <x:v>435.78606444457455</x:v>
      </x:c>
      <x:c r="AC2027" s="10" t="n">
        <x:f>AB2027/'Assumptions'!$AM$129</x:f>
        <x:v>8715.721288891491</x:v>
      </x:c>
      <x:c r="AD2027" s="10" t="n">
        <x:f>IF(AB2027=0,0,T2027/AB2027)</x:f>
        <x:v>3.3616426230390535</x:v>
      </x:c>
      <x:c r="AE2027" s="10" t="n">
        <x:f>AA2027*'Assumptions'!$D$21</x:f>
        <x:v>0</x:v>
      </x:c>
    </x:row>
    <x:row r="2028" ht="16" customHeight="1">
      <x:c r="A2028" s="1"/>
      <x:c r="B2028" s="1"/>
      <x:c r="C2028" s="1" t="str">
        <x:v>DOT-101</x:v>
      </x:c>
      <x:c r="D2028" s="10" t="str">
        <x:v>Sleepy Face</x:v>
      </x:c>
      <x:c r="E2028" s="10" t="n">
        <x:v>16</x:v>
      </x:c>
      <x:c r="F2028" s="21" t="n">
        <x:f>F1900*(1+'Assumptions'!$M$130)</x:f>
        <x:v>365.9239574512458</x:v>
      </x:c>
      <x:c r="G2028" s="21" t="n">
        <x:f>H1900*'Assumptions'!$K$130</x:f>
        <x:v>150.37968584857794</x:v>
      </x:c>
      <x:c r="H2028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2028+G2028,NA())</x:f>
        <x:v>516.3036432998238</x:v>
      </x:c>
      <x:c r="I2028" s="22" t="n">
        <x:f>'Assumptions'!$H$130*IF('Assumptions'!$O$130=1,1,'Assumptions'!$D$10)*(1+'Assumptions'!$N$130)^(16-1)</x:f>
        <x:v>127.85749214079235</x:v>
      </x:c>
      <x:c r="J2028" s="10" t="n">
        <x:f>H2028*I2028</x:f>
        <x:v>66013.28901546967</x:v>
      </x:c>
      <x:c r="K2028" s="10" t="n">
        <x:f>J2028*'Assumptions'!$T$130</x:f>
        <x:v>66013.28901546967</x:v>
      </x:c>
      <x:c r="L2028" s="10" t="n">
        <x:f>K2028*'Assumptions'!$U$130</x:f>
        <x:v>5281.063121237573</x:v>
      </x:c>
      <x:c r="M2028" s="10" t="n">
        <x:f>K2028*'Assumptions'!$V$130</x:f>
        <x:v>1320.2657803093932</x:v>
      </x:c>
      <x:c r="N2028" s="10" t="n">
        <x:f>K2028-L2028-M2028</x:f>
        <x:v>59411.9601139227</x:v>
      </x:c>
      <x:c r="O2028" s="10" t="n">
        <x:f>H2028*'Assumptions'!$P$130*'Assumptions'!$Q$130*'Assumptions'!$D$11*(1+'Assumptions'!$D$13)^(16-1)</x:f>
        <x:v>4223.017330000294</x:v>
      </x:c>
      <x:c r="P2028" s="10" t="n">
        <x:f>H2028*'Assumptions'!$R$130*'Assumptions'!$D$11*(1+'Assumptions'!$D$13)^(16-1)</x:f>
        <x:v>24131.527600001682</x:v>
      </x:c>
      <x:c r="Q2028" s="10" t="n">
        <x:f>J2028*'Assumptions'!$S$130</x:f>
        <x:v>0</x:v>
      </x:c>
      <x:c r="R2028" s="10" t="n">
        <x:f>H2028*'Assumptions'!$Y$130*'Assumptions'!$Z$130*'Assumptions'!$D$11*(1+'Assumptions'!$D$13)^(16-1)</x:f>
        <x:v>3619.729140000252</x:v>
      </x:c>
      <x:c r="S2028" s="10" t="n">
        <x:f>IF(I2028=0,0,J2028*'Assumptions'!$W$130+H2028*'Assumptions'!$X$130)</x:f>
        <x:v>2069.2764744385677</x:v>
      </x:c>
      <x:c r="T2028" s="10" t="n">
        <x:f>N2028*'Assumptions'!$AA$130</x:f>
        <x:v>4752.956809113816</x:v>
      </x:c>
      <x:c r="U2028" s="10" t="n">
        <x:f>'Assumptions'!$AE$130*'Assumptions'!$D$11*(1+'Assumptions'!$D$13)^(16-1)</x:f>
        <x:v>0</x:v>
      </x:c>
      <x:c r="V2028" s="10" t="n">
        <x:f>0</x:f>
        <x:v>0</x:v>
      </x:c>
      <x:c r="W2028" s="10" t="n">
        <x:f>H2028*('Assumptions'!$P$130+'Assumptions'!$Y$130)</x:f>
        <x:v>154.8910929899471</x:v>
      </x:c>
      <x:c r="X2028" s="10" t="n">
        <x:f>N2028/12*'Assumptions'!$AF$130</x:f>
        <x:v>0</x:v>
      </x:c>
      <x:c r="Y2028" s="10" t="n">
        <x:f>P2028/12</x:f>
        <x:v>2010.9606333334734</x:v>
      </x:c>
      <x:c r="Z2028" s="10" t="n">
        <x:f>0</x:f>
        <x:v>0</x:v>
      </x:c>
      <x:c r="AA2028" s="10" t="n">
        <x:f>Z2028*'Assumptions'!$AC$130*'Assumptions'!$D$11*(1+'Assumptions'!$D$13)^(16-1)</x:f>
        <x:v>0</x:v>
      </x:c>
      <x:c r="AB2028" s="10" t="n">
        <x:f>F2028/1</x:f>
        <x:v>365.9239574512458</x:v>
      </x:c>
      <x:c r="AC2028" s="10" t="n">
        <x:f>AB2028/'Assumptions'!$AM$130</x:f>
        <x:v>12197.465248374861</x:v>
      </x:c>
      <x:c r="AD2028" s="10" t="n">
        <x:f>IF(AB2028=0,0,T2028/AB2028)</x:f>
        <x:v>12.988919452608075</x:v>
      </x:c>
      <x:c r="AE2028" s="10" t="n">
        <x:f>AA2028*'Assumptions'!$D$21</x:f>
        <x:v>0</x:v>
      </x:c>
    </x:row>
    <x:row r="2029" ht="16" customHeight="1">
      <x:c r="A2029" s="1"/>
      <x:c r="B2029" s="1"/>
      <x:c r="C2029" s="1" t="str">
        <x:v>DOT-102</x:v>
      </x:c>
      <x:c r="D2029" s="10" t="str">
        <x:v>Sleepy Face</x:v>
      </x:c>
      <x:c r="E2029" s="10" t="n">
        <x:v>16</x:v>
      </x:c>
      <x:c r="F2029" s="21" t="n">
        <x:f>F1901*(1+'Assumptions'!$M$131)</x:f>
        <x:v>548.8859361768685</x:v>
      </x:c>
      <x:c r="G2029" s="21" t="n">
        <x:f>H1901*'Assumptions'!$K$131</x:f>
        <x:v>225.56952877286682</x:v>
      </x:c>
      <x:c r="H2029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2029+G2029,NA())</x:f>
        <x:v>774.4554649497354</x:v>
      </x:c>
      <x:c r="I2029" s="22" t="n">
        <x:f>'Assumptions'!$H$131*IF('Assumptions'!$O$131=1,1,'Assumptions'!$D$10)*(1+'Assumptions'!$N$131)^(16-1)</x:f>
        <x:v>222.06827582348143</x:v>
      </x:c>
      <x:c r="J2029" s="10" t="n">
        <x:f>H2029*I2029</x:f>
        <x:v>171981.9898034604</x:v>
      </x:c>
      <x:c r="K2029" s="10" t="n">
        <x:f>J2029*'Assumptions'!$T$131</x:f>
        <x:v>171981.9898034604</x:v>
      </x:c>
      <x:c r="L2029" s="10" t="n">
        <x:f>K2029*'Assumptions'!$U$131</x:f>
        <x:v>13758.559184276832</x:v>
      </x:c>
      <x:c r="M2029" s="10" t="n">
        <x:f>K2029*'Assumptions'!$V$131</x:f>
        <x:v>3439.639796069208</x:v>
      </x:c>
      <x:c r="N2029" s="10" t="n">
        <x:f>K2029-L2029-M2029</x:f>
        <x:v>154783.79082311437</x:v>
      </x:c>
      <x:c r="O2029" s="10" t="n">
        <x:f>H2029*'Assumptions'!$P$131*'Assumptions'!$Q$131*'Assumptions'!$D$11*(1+'Assumptions'!$D$13)^(16-1)</x:f>
        <x:v>6334.525995000439</x:v>
      </x:c>
      <x:c r="P2029" s="10" t="n">
        <x:f>H2029*'Assumptions'!$R$131*'Assumptions'!$D$11*(1+'Assumptions'!$D$13)^(16-1)</x:f>
        <x:v>72394.58280000502</x:v>
      </x:c>
      <x:c r="Q2029" s="10" t="n">
        <x:f>J2029*'Assumptions'!$S$131</x:f>
        <x:v>0</x:v>
      </x:c>
      <x:c r="R2029" s="10" t="n">
        <x:f>H2029*'Assumptions'!$Y$131*'Assumptions'!$Z$131*'Assumptions'!$D$11*(1+'Assumptions'!$D$13)^(16-1)</x:f>
        <x:v>5429.593710000376</x:v>
      </x:c>
      <x:c r="S2029" s="10" t="n">
        <x:f>IF(I2029=0,0,J2029*'Assumptions'!$W$131+H2029*'Assumptions'!$X$131)</x:f>
        <x:v>5219.814343785272</x:v>
      </x:c>
      <x:c r="T2029" s="10" t="n">
        <x:f>N2029*'Assumptions'!$AA$131</x:f>
        <x:v>12382.70326584915</x:v>
      </x:c>
      <x:c r="U2029" s="10" t="n">
        <x:f>'Assumptions'!$AE$131*'Assumptions'!$D$11*(1+'Assumptions'!$D$13)^(16-1)</x:f>
        <x:v>0</x:v>
      </x:c>
      <x:c r="V2029" s="10" t="n">
        <x:f>0</x:f>
        <x:v>0</x:v>
      </x:c>
      <x:c r="W2029" s="10" t="n">
        <x:f>H2029*('Assumptions'!$P$131+'Assumptions'!$Y$131)</x:f>
        <x:v>232.33663948492062</x:v>
      </x:c>
      <x:c r="X2029" s="10" t="n">
        <x:f>N2029/12*'Assumptions'!$AF$131</x:f>
        <x:v>0</x:v>
      </x:c>
      <x:c r="Y2029" s="10" t="n">
        <x:f>P2029/12</x:f>
        <x:v>6032.881900000419</x:v>
      </x:c>
      <x:c r="Z2029" s="10" t="n">
        <x:f>0</x:f>
        <x:v>0</x:v>
      </x:c>
      <x:c r="AA2029" s="10" t="n">
        <x:f>Z2029*'Assumptions'!$AC$131*'Assumptions'!$D$11*(1+'Assumptions'!$D$13)^(16-1)</x:f>
        <x:v>0</x:v>
      </x:c>
      <x:c r="AB2029" s="10" t="n">
        <x:f>F2029/1</x:f>
        <x:v>548.8859361768685</x:v>
      </x:c>
      <x:c r="AC2029" s="10" t="n">
        <x:f>AB2029/'Assumptions'!$AM$131</x:f>
        <x:v>18296.197872562287</x:v>
      </x:c>
      <x:c r="AD2029" s="10" t="n">
        <x:f>IF(AB2029=0,0,T2029/AB2029)</x:f>
        <x:v>22.559702207161394</x:v>
      </x:c>
      <x:c r="AE2029" s="10" t="n">
        <x:f>AA2029*'Assumptions'!$D$21</x:f>
        <x:v>0</x:v>
      </x:c>
    </x:row>
    <x:row r="2030" ht="16" customHeight="1">
      <x:c r="A2030" s="1"/>
      <x:c r="B2030" s="1"/>
      <x:c r="C2030" s="1" t="str">
        <x:v>DOT-103</x:v>
      </x:c>
      <x:c r="D2030" s="10" t="str">
        <x:v>Sleepy Face</x:v>
      </x:c>
      <x:c r="E2030" s="10" t="n">
        <x:v>16</x:v>
      </x:c>
      <x:c r="F2030" s="21" t="n">
        <x:f>F1902*(1+'Assumptions'!$M$132)</x:f>
        <x:v>121.97465248374856</x:v>
      </x:c>
      <x:c r="G2030" s="21" t="n">
        <x:f>H1902*'Assumptions'!$K$132</x:f>
        <x:v>50.12656194952596</x:v>
      </x:c>
      <x:c r="H2030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2030+G2030,NA())</x:f>
        <x:v>172.10121443327452</x:v>
      </x:c>
      <x:c r="I2030" s="22" t="n">
        <x:f>'Assumptions'!$H$132*IF('Assumptions'!$O$132=1,1,'Assumptions'!$D$10)*(1+'Assumptions'!$N$132)^(16-1)</x:f>
        <x:v>302.82037612292925</x:v>
      </x:c>
      <x:c r="J2030" s="10" t="n">
        <x:f>H2030*I2030</x:f>
        <x:v>52115.75448589709</x:v>
      </x:c>
      <x:c r="K2030" s="10" t="n">
        <x:f>J2030*'Assumptions'!$T$132</x:f>
        <x:v>52115.75448589709</x:v>
      </x:c>
      <x:c r="L2030" s="10" t="n">
        <x:f>K2030*'Assumptions'!$U$132</x:f>
        <x:v>4169.260358871767</x:v>
      </x:c>
      <x:c r="M2030" s="10" t="n">
        <x:f>K2030*'Assumptions'!$V$132</x:f>
        <x:v>1042.3150897179416</x:v>
      </x:c>
      <x:c r="N2030" s="10" t="n">
        <x:f>K2030-L2030-M2030</x:f>
        <x:v>46904.179037307375</x:v>
      </x:c>
      <x:c r="O2030" s="10" t="n">
        <x:f>H2030*'Assumptions'!$P$132*'Assumptions'!$Q$132*'Assumptions'!$D$11*(1+'Assumptions'!$D$13)^(16-1)</x:f>
        <x:v>1407.672443333431</x:v>
      </x:c>
      <x:c r="P2030" s="10" t="n">
        <x:f>H2030*'Assumptions'!$R$132*'Assumptions'!$D$11*(1+'Assumptions'!$D$13)^(16-1)</x:f>
        <x:v>24131.52760000167</x:v>
      </x:c>
      <x:c r="Q2030" s="10" t="n">
        <x:f>J2030*'Assumptions'!$S$132</x:f>
        <x:v>0</x:v>
      </x:c>
      <x:c r="R2030" s="10" t="n">
        <x:f>H2030*'Assumptions'!$Y$132*'Assumptions'!$Z$132*'Assumptions'!$D$11*(1+'Assumptions'!$D$13)^(16-1)</x:f>
        <x:v>1206.5763800000834</x:v>
      </x:c>
      <x:c r="S2030" s="10" t="n">
        <x:f>IF(I2030=0,0,J2030*'Assumptions'!$W$132+H2030*'Assumptions'!$X$132)</x:f>
        <x:v>1562.987244420998</x:v>
      </x:c>
      <x:c r="T2030" s="10" t="n">
        <x:f>N2030*'Assumptions'!$AA$132</x:f>
        <x:v>3752.33432298459</x:v>
      </x:c>
      <x:c r="U2030" s="10" t="n">
        <x:f>'Assumptions'!$AE$132*'Assumptions'!$D$11*(1+'Assumptions'!$D$13)^(16-1)</x:f>
        <x:v>0</x:v>
      </x:c>
      <x:c r="V2030" s="10" t="n">
        <x:f>0</x:f>
        <x:v>0</x:v>
      </x:c>
      <x:c r="W2030" s="10" t="n">
        <x:f>H2030*('Assumptions'!$P$132+'Assumptions'!$Y$132)</x:f>
        <x:v>51.630364329982356</x:v>
      </x:c>
      <x:c r="X2030" s="10" t="n">
        <x:f>N2030/12*'Assumptions'!$AF$132</x:f>
        <x:v>0</x:v>
      </x:c>
      <x:c r="Y2030" s="10" t="n">
        <x:f>P2030/12</x:f>
        <x:v>2010.9606333334725</x:v>
      </x:c>
      <x:c r="Z2030" s="10" t="n">
        <x:f>0</x:f>
        <x:v>0</x:v>
      </x:c>
      <x:c r="AA2030" s="10" t="n">
        <x:f>Z2030*'Assumptions'!$AC$132*'Assumptions'!$D$11*(1+'Assumptions'!$D$13)^(16-1)</x:f>
        <x:v>0</x:v>
      </x:c>
      <x:c r="AB2030" s="10" t="n">
        <x:f>F2030/1</x:f>
        <x:v>121.97465248374856</x:v>
      </x:c>
      <x:c r="AC2030" s="10" t="n">
        <x:f>AB2030/'Assumptions'!$AM$132</x:f>
        <x:v>4065.8217494582855</x:v>
      </x:c>
      <x:c r="AD2030" s="10" t="n">
        <x:f>IF(AB2030=0,0,T2030/AB2030)</x:f>
        <x:v>30.763230282492806</x:v>
      </x:c>
      <x:c r="AE2030" s="10" t="n">
        <x:f>AA2030*'Assumptions'!$D$21</x:f>
        <x:v>0</x:v>
      </x:c>
    </x:row>
    <x:row r="2031" ht="16" customHeight="1">
      <x:c r="A2031" s="1"/>
      <x:c r="B2031" s="1"/>
      <x:c r="C2031" s="1" t="str">
        <x:v>DOT-104</x:v>
      </x:c>
      <x:c r="D2031" s="10" t="str">
        <x:v>Sleepy Face</x:v>
      </x:c>
      <x:c r="E2031" s="10" t="n">
        <x:v>16</x:v>
      </x:c>
      <x:c r="F2031" s="21" t="n">
        <x:f>F1903*(1+'Assumptions'!$M$133)</x:f>
        <x:v>365.9239574512458</x:v>
      </x:c>
      <x:c r="G2031" s="21" t="n">
        <x:f>H1903*'Assumptions'!$K$133</x:f>
        <x:v>150.37968584857794</x:v>
      </x:c>
      <x:c r="H2031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2031+G2031,NA())</x:f>
        <x:v>516.3036432998238</x:v>
      </x:c>
      <x:c r="I2031" s="22" t="n">
        <x:f>'Assumptions'!$H$133*IF('Assumptions'!$O$133=1,1,'Assumptions'!$D$10)*(1+'Assumptions'!$N$133)^(16-1)</x:f>
        <x:v>127.85749214079235</x:v>
      </x:c>
      <x:c r="J2031" s="10" t="n">
        <x:f>H2031*I2031</x:f>
        <x:v>66013.28901546967</x:v>
      </x:c>
      <x:c r="K2031" s="10" t="n">
        <x:f>J2031*'Assumptions'!$T$133</x:f>
        <x:v>66013.28901546967</x:v>
      </x:c>
      <x:c r="L2031" s="10" t="n">
        <x:f>K2031*'Assumptions'!$U$133</x:f>
        <x:v>5281.063121237573</x:v>
      </x:c>
      <x:c r="M2031" s="10" t="n">
        <x:f>K2031*'Assumptions'!$V$133</x:f>
        <x:v>1320.2657803093932</x:v>
      </x:c>
      <x:c r="N2031" s="10" t="n">
        <x:f>K2031-L2031-M2031</x:f>
        <x:v>59411.9601139227</x:v>
      </x:c>
      <x:c r="O2031" s="10" t="n">
        <x:f>H2031*'Assumptions'!$P$133*'Assumptions'!$Q$133*'Assumptions'!$D$11*(1+'Assumptions'!$D$13)^(16-1)</x:f>
        <x:v>4223.017330000294</x:v>
      </x:c>
      <x:c r="P2031" s="10" t="n">
        <x:f>H2031*'Assumptions'!$R$133*'Assumptions'!$D$11*(1+'Assumptions'!$D$13)^(16-1)</x:f>
        <x:v>28153.448866668627</x:v>
      </x:c>
      <x:c r="Q2031" s="10" t="n">
        <x:f>J2031*'Assumptions'!$S$133</x:f>
        <x:v>0</x:v>
      </x:c>
      <x:c r="R2031" s="10" t="n">
        <x:f>H2031*'Assumptions'!$Y$133*'Assumptions'!$Z$133*'Assumptions'!$D$11*(1+'Assumptions'!$D$13)^(16-1)</x:f>
        <x:v>3619.729140000252</x:v>
      </x:c>
      <x:c r="S2031" s="10" t="n">
        <x:f>IF(I2031=0,0,J2031*'Assumptions'!$W$133+H2031*'Assumptions'!$X$133)</x:f>
        <x:v>2069.2764744385677</x:v>
      </x:c>
      <x:c r="T2031" s="10" t="n">
        <x:f>N2031*'Assumptions'!$AA$133</x:f>
        <x:v>4752.956809113816</x:v>
      </x:c>
      <x:c r="U2031" s="10" t="n">
        <x:f>'Assumptions'!$AE$133*'Assumptions'!$D$11*(1+'Assumptions'!$D$13)^(16-1)</x:f>
        <x:v>0</x:v>
      </x:c>
      <x:c r="V2031" s="10" t="n">
        <x:f>0</x:f>
        <x:v>0</x:v>
      </x:c>
      <x:c r="W2031" s="10" t="n">
        <x:f>H2031*('Assumptions'!$P$133+'Assumptions'!$Y$133)</x:f>
        <x:v>154.8910929899471</x:v>
      </x:c>
      <x:c r="X2031" s="10" t="n">
        <x:f>N2031/12*'Assumptions'!$AF$133</x:f>
        <x:v>0</x:v>
      </x:c>
      <x:c r="Y2031" s="10" t="n">
        <x:f>P2031/12</x:f>
        <x:v>2346.120738889052</x:v>
      </x:c>
      <x:c r="Z2031" s="10" t="n">
        <x:f>0</x:f>
        <x:v>0</x:v>
      </x:c>
      <x:c r="AA2031" s="10" t="n">
        <x:f>Z2031*'Assumptions'!$AC$133*'Assumptions'!$D$11*(1+'Assumptions'!$D$13)^(16-1)</x:f>
        <x:v>0</x:v>
      </x:c>
      <x:c r="AB2031" s="10" t="n">
        <x:f>F2031/1</x:f>
        <x:v>365.9239574512458</x:v>
      </x:c>
      <x:c r="AC2031" s="10" t="n">
        <x:f>AB2031/'Assumptions'!$AM$133</x:f>
        <x:v>12197.465248374861</x:v>
      </x:c>
      <x:c r="AD2031" s="10" t="n">
        <x:f>IF(AB2031=0,0,T2031/AB2031)</x:f>
        <x:v>12.988919452608075</x:v>
      </x:c>
      <x:c r="AE2031" s="10" t="n">
        <x:f>AA2031*'Assumptions'!$D$21</x:f>
        <x:v>0</x:v>
      </x:c>
    </x:row>
    <x:row r="2032" ht="16" customHeight="1">
      <x:c r="A2032" s="1"/>
      <x:c r="B2032" s="1"/>
      <x:c r="C2032" s="1" t="str">
        <x:v>DOT-105</x:v>
      </x:c>
      <x:c r="D2032" s="10" t="str">
        <x:v>Sleepy Face</x:v>
      </x:c>
      <x:c r="E2032" s="10" t="n">
        <x:v>16</x:v>
      </x:c>
      <x:c r="F2032" s="21" t="n">
        <x:f>F1904*(1+'Assumptions'!$M$134)</x:f>
        <x:v>182.9619787256229</x:v>
      </x:c>
      <x:c r="G2032" s="21" t="n">
        <x:f>H1904*'Assumptions'!$K$134</x:f>
        <x:v>75.18984292428897</x:v>
      </x:c>
      <x:c r="H2032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2032+G2032,NA())</x:f>
        <x:v>258.1518216499119</x:v>
      </x:c>
      <x:c r="I2032" s="22" t="n">
        <x:f>'Assumptions'!$H$134*IF('Assumptions'!$O$134=1,1,'Assumptions'!$D$10)*(1+'Assumptions'!$N$134)^(16-1)</x:f>
        <x:v>235.52695920672272</x:v>
      </x:c>
      <x:c r="J2032" s="10" t="n">
        <x:f>H2032*I2032</x:f>
        <x:v>60801.71356687995</x:v>
      </x:c>
      <x:c r="K2032" s="10" t="n">
        <x:f>J2032*'Assumptions'!$T$134</x:f>
        <x:v>60801.71356687995</x:v>
      </x:c>
      <x:c r="L2032" s="10" t="n">
        <x:f>K2032*'Assumptions'!$U$134</x:f>
        <x:v>4864.137085350397</x:v>
      </x:c>
      <x:c r="M2032" s="10" t="n">
        <x:f>K2032*'Assumptions'!$V$134</x:f>
        <x:v>1216.0342713375992</x:v>
      </x:c>
      <x:c r="N2032" s="10" t="n">
        <x:f>K2032-L2032-M2032</x:f>
        <x:v>54721.542210191954</x:v>
      </x:c>
      <x:c r="O2032" s="10" t="n">
        <x:f>H2032*'Assumptions'!$P$134*'Assumptions'!$Q$134*'Assumptions'!$D$11*(1+'Assumptions'!$D$13)^(16-1)</x:f>
        <x:v>2111.508665000147</x:v>
      </x:c>
      <x:c r="P2032" s="10" t="n">
        <x:f>H2032*'Assumptions'!$R$134*'Assumptions'!$D$11*(1+'Assumptions'!$D$13)^(16-1)</x:f>
        <x:v>26142.488233335156</x:v>
      </x:c>
      <x:c r="Q2032" s="10" t="n">
        <x:f>J2032*'Assumptions'!$S$134</x:f>
        <x:v>0</x:v>
      </x:c>
      <x:c r="R2032" s="10" t="n">
        <x:f>H2032*'Assumptions'!$Y$134*'Assumptions'!$Z$134*'Assumptions'!$D$11*(1+'Assumptions'!$D$13)^(16-1)</x:f>
        <x:v>1809.864570000126</x:v>
      </x:c>
      <x:c r="S2032" s="10" t="n">
        <x:f>IF(I2032=0,0,J2032*'Assumptions'!$W$134+H2032*'Assumptions'!$X$134)</x:f>
        <x:v>1840.6952399344923</x:v>
      </x:c>
      <x:c r="T2032" s="10" t="n">
        <x:f>N2032*'Assumptions'!$AA$134</x:f>
        <x:v>4377.7233768153565</x:v>
      </x:c>
      <x:c r="U2032" s="10" t="n">
        <x:f>'Assumptions'!$AE$134*'Assumptions'!$D$11*(1+'Assumptions'!$D$13)^(16-1)</x:f>
        <x:v>0</x:v>
      </x:c>
      <x:c r="V2032" s="10" t="n">
        <x:f>0</x:f>
        <x:v>0</x:v>
      </x:c>
      <x:c r="W2032" s="10" t="n">
        <x:f>H2032*('Assumptions'!$P$134+'Assumptions'!$Y$134)</x:f>
        <x:v>77.44554649497356</x:v>
      </x:c>
      <x:c r="X2032" s="10" t="n">
        <x:f>N2032/12*'Assumptions'!$AF$134</x:f>
        <x:v>0</x:v>
      </x:c>
      <x:c r="Y2032" s="10" t="n">
        <x:f>P2032/12</x:f>
        <x:v>2178.540686111263</x:v>
      </x:c>
      <x:c r="Z2032" s="10" t="n">
        <x:f>0</x:f>
        <x:v>0</x:v>
      </x:c>
      <x:c r="AA2032" s="10" t="n">
        <x:f>Z2032*'Assumptions'!$AC$134*'Assumptions'!$D$11*(1+'Assumptions'!$D$13)^(16-1)</x:f>
        <x:v>0</x:v>
      </x:c>
      <x:c r="AB2032" s="10" t="n">
        <x:f>F2032/1</x:f>
        <x:v>182.9619787256229</x:v>
      </x:c>
      <x:c r="AC2032" s="10" t="n">
        <x:f>AB2032/'Assumptions'!$AM$134</x:f>
        <x:v>6098.732624187431</x:v>
      </x:c>
      <x:c r="AD2032" s="10" t="n">
        <x:f>IF(AB2032=0,0,T2032/AB2032)</x:f>
        <x:v>23.92695688638329</x:v>
      </x:c>
      <x:c r="AE2032" s="10" t="n">
        <x:f>AA2032*'Assumptions'!$D$21</x:f>
        <x:v>0</x:v>
      </x:c>
    </x:row>
    <x:row r="2033" ht="16" customHeight="1">
      <x:c r="A2033" s="1"/>
      <x:c r="B2033" s="1"/>
      <x:c r="C2033" s="1" t="str">
        <x:v>DOT-106</x:v>
      </x:c>
      <x:c r="D2033" s="10" t="str">
        <x:v>QzoticMusic</x:v>
      </x:c>
      <x:c r="E2033" s="10" t="n">
        <x:v>16</x:v>
      </x:c>
      <x:c r="F2033" s="21" t="n">
        <x:f>F1905*(1+'Assumptions'!$M$135)</x:f>
        <x:v>1089.4651611114366</x:v>
      </x:c>
      <x:c r="G2033" s="21" t="n">
        <x:f>H1905*'Assumptions'!$K$135</x:f>
        <x:v>349.18754336302135</x:v>
      </x:c>
      <x:c r="H2033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2033+G2033,NA())</x:f>
        <x:v>1438.652704474458</x:v>
      </x:c>
      <x:c r="I2033" s="22" t="n">
        <x:f>'Assumptions'!$H$135*IF('Assumptions'!$O$135=1,1,'Assumptions'!$D$10)*(1+'Assumptions'!$N$135)^(16-1)</x:f>
        <x:v>6.729341691620649</x:v>
      </x:c>
      <x:c r="J2033" s="10" t="n">
        <x:f>H2033*I2033</x:f>
        <x:v>9681.185623982772</x:v>
      </x:c>
      <x:c r="K2033" s="10" t="n">
        <x:f>J2033*'Assumptions'!$T$135</x:f>
        <x:v>9681.185623982772</x:v>
      </x:c>
      <x:c r="L2033" s="10" t="n">
        <x:f>K2033*'Assumptions'!$U$135</x:f>
        <x:v>290.4355687194832</x:v>
      </x:c>
      <x:c r="M2033" s="10" t="n">
        <x:f>K2033*'Assumptions'!$V$135</x:f>
        <x:v>0</x:v>
      </x:c>
      <x:c r="N2033" s="10" t="n">
        <x:f>K2033-L2033-M2033</x:f>
        <x:v>9390.750055263288</x:v>
      </x:c>
      <x:c r="O2033" s="10" t="n">
        <x:f>H2033*'Assumptions'!$P$135*'Assumptions'!$Q$135*'Assumptions'!$D$11*(1+'Assumptions'!$D$13)^(16-1)</x:f>
        <x:v>1568.9618261630428</x:v>
      </x:c>
      <x:c r="P2033" s="10" t="n">
        <x:f>H2033*'Assumptions'!$R$135*'Assumptions'!$D$11*(1+'Assumptions'!$D$13)^(16-1)</x:f>
        <x:v>0</x:v>
      </x:c>
      <x:c r="Q2033" s="10" t="n">
        <x:f>J2033*'Assumptions'!$S$135</x:f>
        <x:v>0</x:v>
      </x:c>
      <x:c r="R2033" s="10" t="n">
        <x:f>H2033*'Assumptions'!$Y$135*'Assumptions'!$Z$135*'Assumptions'!$D$11*(1+'Assumptions'!$D$13)^(16-1)</x:f>
        <x:v>6724.122112127326</x:v>
      </x:c>
      <x:c r="S2033" s="10" t="n">
        <x:f>IF(I2033=0,0,J2033*'Assumptions'!$W$135+H2033*'Assumptions'!$X$135)</x:f>
        <x:v>712.3501944378379</x:v>
      </x:c>
      <x:c r="T2033" s="10" t="n">
        <x:f>N2033*'Assumptions'!$AA$135</x:f>
        <x:v>469.5375027631644</x:v>
      </x:c>
      <x:c r="U2033" s="10" t="n">
        <x:f>'Assumptions'!$AE$135*'Assumptions'!$D$11*(1+'Assumptions'!$D$13)^(16-1)</x:f>
        <x:v>0</x:v>
      </x:c>
      <x:c r="V2033" s="10" t="n">
        <x:f>0</x:f>
        <x:v>0</x:v>
      </x:c>
      <x:c r="W2033" s="10" t="n">
        <x:f>H2033*('Assumptions'!$P$135+'Assumptions'!$Y$135)</x:f>
        <x:v>172.638324536935</x:v>
      </x:c>
      <x:c r="X2033" s="10" t="n">
        <x:f>N2033/12*'Assumptions'!$AF$135</x:f>
        <x:v>0</x:v>
      </x:c>
      <x:c r="Y2033" s="10" t="n">
        <x:f>P2033/12</x:f>
        <x:v>0</x:v>
      </x:c>
      <x:c r="Z2033" s="10" t="n">
        <x:f>0</x:f>
        <x:v>0</x:v>
      </x:c>
      <x:c r="AA2033" s="10" t="n">
        <x:f>Z2033*'Assumptions'!$AC$135*'Assumptions'!$D$11*(1+'Assumptions'!$D$13)^(16-1)</x:f>
        <x:v>0</x:v>
      </x:c>
      <x:c r="AB2033" s="10" t="n">
        <x:f>F2033/12</x:f>
        <x:v>90.78876342595305</x:v>
      </x:c>
      <x:c r="AC2033" s="10" t="n">
        <x:f>AB2033/'Assumptions'!$AM$135</x:f>
        <x:v>1815.775268519061</x:v>
      </x:c>
      <x:c r="AD2033" s="10" t="n">
        <x:f>IF(AB2033=0,0,T2033/AB2033)</x:f>
        <x:v>5.1717578810963465</x:v>
      </x:c>
      <x:c r="AE2033" s="10" t="n">
        <x:f>AA2033*'Assumptions'!$D$21</x:f>
        <x:v>0</x:v>
      </x:c>
    </x:row>
    <x:row r="2034" ht="16" customHeight="1">
      <x:c r="A2034" s="1"/>
      <x:c r="B2034" s="1"/>
      <x:c r="C2034" s="1" t="str">
        <x:v>DOT-107</x:v>
      </x:c>
      <x:c r="D2034" s="10" t="str">
        <x:v>QzoticMusic</x:v>
      </x:c>
      <x:c r="E2034" s="10" t="n">
        <x:v>16</x:v>
      </x:c>
      <x:c r="F2034" s="21" t="n">
        <x:f>F1906*(1+'Assumptions'!$M$136)</x:f>
        <x:v>316.15846237991525</x:v>
      </x:c>
      <x:c r="G2034" s="21" t="n">
        <x:f>H1906*'Assumptions'!$K$136</x:f>
        <x:v>162.72849864415113</x:v>
      </x:c>
      <x:c r="H2034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2034+G2034,NA())</x:f>
        <x:v>478.8869610240664</x:v>
      </x:c>
      <x:c r="I2034" s="22" t="n">
        <x:f>'Assumptions'!$H$136*IF('Assumptions'!$O$136=1,1,'Assumptions'!$D$10)*(1+'Assumptions'!$N$136)^(16-1)</x:f>
        <x:v>33.64670845810325</x:v>
      </x:c>
      <x:c r="J2034" s="10" t="n">
        <x:f>H2034*I2034</x:f>
        <x:v>16112.969961963816</x:v>
      </x:c>
      <x:c r="K2034" s="10" t="n">
        <x:f>J2034*'Assumptions'!$T$136</x:f>
        <x:v>16112.969961963816</x:v>
      </x:c>
      <x:c r="L2034" s="10" t="n">
        <x:f>K2034*'Assumptions'!$U$136</x:f>
        <x:v>483.38909885891445</x:v>
      </x:c>
      <x:c r="M2034" s="10" t="n">
        <x:f>K2034*'Assumptions'!$V$136</x:f>
        <x:v>0</x:v>
      </x:c>
      <x:c r="N2034" s="10" t="n">
        <x:f>K2034-L2034-M2034</x:f>
        <x:v>15629.580863104902</x:v>
      </x:c>
      <x:c r="O2034" s="10" t="n">
        <x:f>H2034*'Assumptions'!$P$136*'Assumptions'!$Q$136*'Assumptions'!$D$11*(1+'Assumptions'!$D$13)^(16-1)</x:f>
        <x:v>3916.9739779298943</x:v>
      </x:c>
      <x:c r="P2034" s="10" t="n">
        <x:f>H2034*'Assumptions'!$R$136*'Assumptions'!$D$11*(1+'Assumptions'!$D$13)^(16-1)</x:f>
        <x:v>7460.9028151045595</x:v>
      </x:c>
      <x:c r="Q2034" s="10" t="n">
        <x:f>J2034*'Assumptions'!$S$136</x:f>
        <x:v>0</x:v>
      </x:c>
      <x:c r="R2034" s="10" t="n">
        <x:f>H2034*'Assumptions'!$Y$136*'Assumptions'!$Z$136*'Assumptions'!$D$11*(1+'Assumptions'!$D$13)^(16-1)</x:f>
        <x:v>11191.35422265684</x:v>
      </x:c>
      <x:c r="S2034" s="10" t="n">
        <x:f>IF(I2034=0,0,J2034*'Assumptions'!$W$136+H2034*'Assumptions'!$X$136)</x:f>
        <x:v>610.9422172041707</x:v>
      </x:c>
      <x:c r="T2034" s="10" t="n">
        <x:f>N2034*'Assumptions'!$AA$136</x:f>
        <x:v>1250.3664690483922</x:v>
      </x:c>
      <x:c r="U2034" s="10" t="n">
        <x:f>'Assumptions'!$AE$136*'Assumptions'!$D$11*(1+'Assumptions'!$D$13)^(16-1)</x:f>
        <x:v>0</x:v>
      </x:c>
      <x:c r="V2034" s="10" t="n">
        <x:f>0</x:f>
        <x:v>0</x:v>
      </x:c>
      <x:c r="W2034" s="10" t="n">
        <x:f>H2034*('Assumptions'!$P$136+'Assumptions'!$Y$136)</x:f>
        <x:v>311.2765246656432</x:v>
      </x:c>
      <x:c r="X2034" s="10" t="n">
        <x:f>N2034/12*'Assumptions'!$AF$136</x:f>
        <x:v>1302.4650719254084</x:v>
      </x:c>
      <x:c r="Y2034" s="10" t="n">
        <x:f>P2034/12</x:f>
        <x:v>621.7419012587133</x:v>
      </x:c>
      <x:c r="Z2034" s="10" t="n">
        <x:f>0</x:f>
        <x:v>0</x:v>
      </x:c>
      <x:c r="AA2034" s="10" t="n">
        <x:f>Z2034*'Assumptions'!$AC$136*'Assumptions'!$D$11*(1+'Assumptions'!$D$13)^(16-1)</x:f>
        <x:v>0</x:v>
      </x:c>
      <x:c r="AB2034" s="10" t="n">
        <x:f>F2034/1</x:f>
        <x:v>316.15846237991525</x:v>
      </x:c>
      <x:c r="AC2034" s="10" t="n">
        <x:f>AB2034/'Assumptions'!$AM$136</x:f>
        <x:v>3161.5846237991523</x:v>
      </x:c>
      <x:c r="AD2034" s="10" t="n">
        <x:f>IF(AB2034=0,0,T2034/AB2034)</x:f>
        <x:v>3.954872691485562</x:v>
      </x:c>
      <x:c r="AE2034" s="10" t="n">
        <x:f>AA2034*'Assumptions'!$D$21</x:f>
        <x:v>0</x:v>
      </x:c>
    </x:row>
    <x:row r="2035" ht="16" customHeight="1">
      <x:c r="A2035" s="1"/>
      <x:c r="B2035" s="1"/>
      <x:c r="C2035" s="1" t="str">
        <x:v>DOT-108</x:v>
      </x:c>
      <x:c r="D2035" s="10" t="str">
        <x:v>QzoticMusic</x:v>
      </x:c>
      <x:c r="E2035" s="10" t="n">
        <x:v>16</x:v>
      </x:c>
      <x:c r="F2035" s="21" t="n">
        <x:f>F1907*(1+'Assumptions'!$M$137)</x:f>
        <x:v>15.807923118995767</x:v>
      </x:c>
      <x:c r="G2035" s="21" t="n">
        <x:f>H1907*'Assumptions'!$K$137</x:f>
        <x:v>8.136424932207559</x:v>
      </x:c>
      <x:c r="H2035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2035+G2035,NA())</x:f>
        <x:v>23.944348051203328</x:v>
      </x:c>
      <x:c r="I2035" s="22" t="n">
        <x:f>'Assumptions'!$H$137*IF('Assumptions'!$O$137=1,1,'Assumptions'!$D$10)*(1+'Assumptions'!$N$137)^(16-1)</x:f>
        <x:v>336.46708458103245</x:v>
      </x:c>
      <x:c r="J2035" s="10" t="n">
        <x:f>H2035*I2035</x:f>
        <x:v>8056.48498098191</x:v>
      </x:c>
      <x:c r="K2035" s="10" t="n">
        <x:f>J2035*'Assumptions'!$T$137</x:f>
        <x:v>8056.48498098191</x:v>
      </x:c>
      <x:c r="L2035" s="10" t="n">
        <x:f>K2035*'Assumptions'!$U$137</x:f>
        <x:v>241.69454942945728</x:v>
      </x:c>
      <x:c r="M2035" s="10" t="n">
        <x:f>K2035*'Assumptions'!$V$137</x:f>
        <x:v>0</x:v>
      </x:c>
      <x:c r="N2035" s="10" t="n">
        <x:f>K2035-L2035-M2035</x:f>
        <x:v>7814.790431552453</x:v>
      </x:c>
      <x:c r="O2035" s="10" t="n">
        <x:f>H2035*'Assumptions'!$P$137*'Assumptions'!$Q$137*'Assumptions'!$D$11*(1+'Assumptions'!$D$13)^(16-1)</x:f>
        <x:v>2984.3611260418247</x:v>
      </x:c>
      <x:c r="P2035" s="10" t="n">
        <x:f>H2035*'Assumptions'!$R$137*'Assumptions'!$D$11*(1+'Assumptions'!$D$13)^(16-1)</x:f>
        <x:v>0</x:v>
      </x:c>
      <x:c r="Q2035" s="10" t="n">
        <x:f>J2035*'Assumptions'!$S$137</x:f>
        <x:v>0</x:v>
      </x:c>
      <x:c r="R2035" s="10" t="n">
        <x:f>H2035*'Assumptions'!$Y$137*'Assumptions'!$Z$137*'Assumptions'!$D$11*(1+'Assumptions'!$D$13)^(16-1)</x:f>
        <x:v>559.5677111328422</x:v>
      </x:c>
      <x:c r="S2035" s="10" t="n">
        <x:f>IF(I2035=0,0,J2035*'Assumptions'!$W$137+H2035*'Assumptions'!$X$137)</x:f>
        <x:v>240.8213688638364</x:v>
      </x:c>
      <x:c r="T2035" s="10" t="n">
        <x:f>N2035*'Assumptions'!$AA$137</x:f>
        <x:v>625.1832345241962</x:v>
      </x:c>
      <x:c r="U2035" s="10" t="n">
        <x:f>'Assumptions'!$AE$137*'Assumptions'!$D$11*(1+'Assumptions'!$D$13)^(16-1)</x:f>
        <x:v>0</x:v>
      </x:c>
      <x:c r="V2035" s="10" t="n">
        <x:f>0</x:f>
        <x:v>0</x:v>
      </x:c>
      <x:c r="W2035" s="10" t="n">
        <x:f>H2035*('Assumptions'!$P$137+'Assumptions'!$Y$137)</x:f>
        <x:v>59.860870128008315</x:v>
      </x:c>
      <x:c r="X2035" s="10" t="n">
        <x:f>N2035/12*'Assumptions'!$AF$137</x:f>
        <x:v>651.2325359627044</x:v>
      </x:c>
      <x:c r="Y2035" s="10" t="n">
        <x:f>P2035/12</x:f>
        <x:v>0</x:v>
      </x:c>
      <x:c r="Z2035" s="10" t="n">
        <x:f>0</x:f>
        <x:v>0</x:v>
      </x:c>
      <x:c r="AA2035" s="10" t="n">
        <x:f>Z2035*'Assumptions'!$AC$137*'Assumptions'!$D$11*(1+'Assumptions'!$D$13)^(16-1)</x:f>
        <x:v>0</x:v>
      </x:c>
      <x:c r="AB2035" s="10" t="n">
        <x:f>F2035/1</x:f>
        <x:v>15.807923118995767</x:v>
      </x:c>
      <x:c r="AC2035" s="10" t="n">
        <x:f>AB2035/'Assumptions'!$AM$137</x:f>
        <x:v>158.07923118995765</x:v>
      </x:c>
      <x:c r="AD2035" s="10" t="n">
        <x:f>IF(AB2035=0,0,T2035/AB2035)</x:f>
        <x:v>39.548726914855614</x:v>
      </x:c>
      <x:c r="AE2035" s="10" t="n">
        <x:f>AA2035*'Assumptions'!$D$21</x:f>
        <x:v>0</x:v>
      </x:c>
    </x:row>
    <x:row r="2036" ht="16" customHeight="1">
      <x:c r="A2036" s="1"/>
      <x:c r="B2036" s="1"/>
      <x:c r="C2036" s="1" t="str">
        <x:v>DOT-109</x:v>
      </x:c>
      <x:c r="D2036" s="10" t="str">
        <x:v>LesPetitFilms</x:v>
      </x:c>
      <x:c r="E2036" s="10" t="n">
        <x:v>16</x:v>
      </x:c>
      <x:c r="F2036" s="21" t="n">
        <x:f>F1908*(1+'Assumptions'!$M$138)</x:f>
        <x:v>10.538615412663843</x:v>
      </x:c>
      <x:c r="G2036" s="21" t="n">
        <x:f>H1908*'Assumptions'!$K$138</x:f>
        <x:v>5.424283288138373</x:v>
      </x:c>
      <x:c r="H2036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2036+G2036,NA())</x:f>
        <x:v>15.962898700802215</x:v>
      </x:c>
      <x:c r="I2036" s="22" t="n">
        <x:f>'Assumptions'!$H$138*IF('Assumptions'!$O$138=1,1,'Assumptions'!$D$10)*(1+'Assumptions'!$N$138)^(16-1)</x:f>
        <x:v>4710.539184134454</x:v>
      </x:c>
      <x:c r="J2036" s="10" t="n">
        <x:f>H2036*I2036</x:f>
        <x:v>75193.8598224978</x:v>
      </x:c>
      <x:c r="K2036" s="10" t="n">
        <x:f>J2036*'Assumptions'!$T$138</x:f>
        <x:v>75193.8598224978</x:v>
      </x:c>
      <x:c r="L2036" s="10" t="n">
        <x:f>K2036*'Assumptions'!$U$138</x:f>
        <x:v>2255.815794674934</x:v>
      </x:c>
      <x:c r="M2036" s="10" t="n">
        <x:f>K2036*'Assumptions'!$V$138</x:f>
        <x:v>0</x:v>
      </x:c>
      <x:c r="N2036" s="10" t="n">
        <x:f>K2036-L2036-M2036</x:f>
        <x:v>72938.04402782288</x:v>
      </x:c>
      <x:c r="O2036" s="10" t="n">
        <x:f>H2036*'Assumptions'!$P$138*'Assumptions'!$Q$138*'Assumptions'!$D$11*(1+'Assumptions'!$D$13)^(16-1)</x:f>
        <x:v>27978.385556642104</x:v>
      </x:c>
      <x:c r="P2036" s="10" t="n">
        <x:f>H2036*'Assumptions'!$R$138*'Assumptions'!$D$11*(1+'Assumptions'!$D$13)^(16-1)</x:f>
        <x:v>8704.386617621989</x:v>
      </x:c>
      <x:c r="Q2036" s="10" t="n">
        <x:f>J2036*'Assumptions'!$S$138</x:f>
        <x:v>0</x:v>
      </x:c>
      <x:c r="R2036" s="10" t="n">
        <x:f>H2036*'Assumptions'!$Y$138*'Assumptions'!$Z$138*'Assumptions'!$D$11*(1+'Assumptions'!$D$13)^(16-1)</x:f>
        <x:v>373.04514075522803</x:v>
      </x:c>
      <x:c r="S2036" s="10" t="n">
        <x:f>IF(I2036=0,0,J2036*'Assumptions'!$W$138+H2036*'Assumptions'!$X$138)</x:f>
        <x:v>2185.410804462677</x:v>
      </x:c>
      <x:c r="T2036" s="10" t="n">
        <x:f>N2036*'Assumptions'!$AA$138</x:f>
        <x:v>5835.04352222583</x:v>
      </x:c>
      <x:c r="U2036" s="10" t="n">
        <x:f>'Assumptions'!$AE$138*'Assumptions'!$D$11*(1+'Assumptions'!$D$13)^(16-1)</x:f>
        <x:v>0</x:v>
      </x:c>
      <x:c r="V2036" s="10" t="n">
        <x:f>0</x:f>
        <x:v>0</x:v>
      </x:c>
      <x:c r="W2036" s="10" t="n">
        <x:f>H2036*('Assumptions'!$P$138+'Assumptions'!$Y$138)</x:f>
        <x:v>407.0539168704565</x:v>
      </x:c>
      <x:c r="X2036" s="10" t="n">
        <x:f>N2036/12*'Assumptions'!$AF$138</x:f>
        <x:v>6078.1703356519065</x:v>
      </x:c>
      <x:c r="Y2036" s="10" t="n">
        <x:f>P2036/12</x:f>
        <x:v>725.3655514684991</x:v>
      </x:c>
      <x:c r="Z2036" s="10" t="n">
        <x:f>0</x:f>
        <x:v>0</x:v>
      </x:c>
      <x:c r="AA2036" s="10" t="n">
        <x:f>Z2036*'Assumptions'!$AC$138*'Assumptions'!$D$11*(1+'Assumptions'!$D$13)^(16-1)</x:f>
        <x:v>0</x:v>
      </x:c>
      <x:c r="AB2036" s="10" t="n">
        <x:f>F2036/1</x:f>
        <x:v>10.538615412663843</x:v>
      </x:c>
      <x:c r="AC2036" s="10" t="n">
        <x:f>AB2036/'Assumptions'!$AM$138</x:f>
        <x:v>105.38615412663842</x:v>
      </x:c>
      <x:c r="AD2036" s="10" t="n">
        <x:f>IF(AB2036=0,0,T2036/AB2036)</x:f>
        <x:v>553.6821768079786</x:v>
      </x:c>
      <x:c r="AE2036" s="10" t="n">
        <x:f>AA2036*'Assumptions'!$D$21</x:f>
        <x:v>0</x:v>
      </x:c>
    </x:row>
    <x:row r="2037" ht="16" customHeight="1">
      <x:c r="A2037" s="1"/>
      <x:c r="B2037" s="1"/>
      <x:c r="C2037" s="1" t="str">
        <x:v>DOT-110</x:v>
      </x:c>
      <x:c r="D2037" s="10" t="str">
        <x:v>LesPetitFilms</x:v>
      </x:c>
      <x:c r="E2037" s="10" t="n">
        <x:v>16</x:v>
      </x:c>
      <x:c r="F2037" s="21" t="n">
        <x:f>F1909*(1+'Assumptions'!$M$139)</x:f>
        <x:v>10.538615412663843</x:v>
      </x:c>
      <x:c r="G2037" s="21" t="n">
        <x:f>H1909*'Assumptions'!$K$139</x:f>
        <x:v>5.424283288138373</x:v>
      </x:c>
      <x:c r="H2037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2037+G2037,NA())</x:f>
        <x:v>15.962898700802215</x:v>
      </x:c>
      <x:c r="I2037" s="22" t="n">
        <x:f>'Assumptions'!$H$139*IF('Assumptions'!$O$139=1,1,'Assumptions'!$D$10)*(1+'Assumptions'!$N$139)^(16-1)</x:f>
        <x:v>2018.8025074861948</x:v>
      </x:c>
      <x:c r="J2037" s="10" t="n">
        <x:f>H2037*I2037</x:f>
        <x:v>32225.939923927635</x:v>
      </x:c>
      <x:c r="K2037" s="10" t="n">
        <x:f>J2037*'Assumptions'!$T$139</x:f>
        <x:v>32225.939923927635</x:v>
      </x:c>
      <x:c r="L2037" s="10" t="n">
        <x:f>K2037*'Assumptions'!$U$139</x:f>
        <x:v>966.778197717829</x:v>
      </x:c>
      <x:c r="M2037" s="10" t="n">
        <x:f>K2037*'Assumptions'!$V$139</x:f>
        <x:v>0</x:v>
      </x:c>
      <x:c r="N2037" s="10" t="n">
        <x:f>K2037-L2037-M2037</x:f>
        <x:v>31259.161726209808</x:v>
      </x:c>
      <x:c r="O2037" s="10" t="n">
        <x:f>H2037*'Assumptions'!$P$139*'Assumptions'!$Q$139*'Assumptions'!$D$11*(1+'Assumptions'!$D$13)^(16-1)</x:f>
        <x:v>11191.354222656842</x:v>
      </x:c>
      <x:c r="P2037" s="10" t="n">
        <x:f>H2037*'Assumptions'!$R$139*'Assumptions'!$D$11*(1+'Assumptions'!$D$13)^(16-1)</x:f>
        <x:v>4973.935210069708</x:v>
      </x:c>
      <x:c r="Q2037" s="10" t="n">
        <x:f>J2037*'Assumptions'!$S$139</x:f>
        <x:v>0</x:v>
      </x:c>
      <x:c r="R2037" s="10" t="n">
        <x:f>H2037*'Assumptions'!$Y$139*'Assumptions'!$Z$139*'Assumptions'!$D$11*(1+'Assumptions'!$D$13)^(16-1)</x:f>
        <x:v>373.04514075522803</x:v>
      </x:c>
      <x:c r="S2037" s="10" t="n">
        <x:f>IF(I2037=0,0,J2037*'Assumptions'!$W$139+H2037*'Assumptions'!$X$139)</x:f>
        <x:v>939.3411274041422</x:v>
      </x:c>
      <x:c r="T2037" s="10" t="n">
        <x:f>N2037*'Assumptions'!$AA$139</x:f>
        <x:v>2500.732938096785</x:v>
      </x:c>
      <x:c r="U2037" s="10" t="n">
        <x:f>'Assumptions'!$AE$139*'Assumptions'!$D$11*(1+'Assumptions'!$D$13)^(16-1)</x:f>
        <x:v>0</x:v>
      </x:c>
      <x:c r="V2037" s="10" t="n">
        <x:f>0</x:f>
        <x:v>0</x:v>
      </x:c>
      <x:c r="W2037" s="10" t="n">
        <x:f>H2037*('Assumptions'!$P$139+'Assumptions'!$Y$139)</x:f>
        <x:v>167.61043635842327</x:v>
      </x:c>
      <x:c r="X2037" s="10" t="n">
        <x:f>N2037/12*'Assumptions'!$AF$139</x:f>
        <x:v>2604.9301438508173</x:v>
      </x:c>
      <x:c r="Y2037" s="10" t="n">
        <x:f>P2037/12</x:f>
        <x:v>414.4946008391423</x:v>
      </x:c>
      <x:c r="Z2037" s="10" t="n">
        <x:f>0</x:f>
        <x:v>0</x:v>
      </x:c>
      <x:c r="AA2037" s="10" t="n">
        <x:f>Z2037*'Assumptions'!$AC$139*'Assumptions'!$D$11*(1+'Assumptions'!$D$13)^(16-1)</x:f>
        <x:v>0</x:v>
      </x:c>
      <x:c r="AB2037" s="10" t="n">
        <x:f>F2037/1</x:f>
        <x:v>10.538615412663843</x:v>
      </x:c>
      <x:c r="AC2037" s="10" t="n">
        <x:f>AB2037/'Assumptions'!$AM$139</x:f>
        <x:v>105.38615412663842</x:v>
      </x:c>
      <x:c r="AD2037" s="10" t="n">
        <x:f>IF(AB2037=0,0,T2037/AB2037)</x:f>
        <x:v>237.29236148913373</x:v>
      </x:c>
      <x:c r="AE2037" s="10" t="n">
        <x:f>AA2037*'Assumptions'!$D$21</x:f>
        <x:v>0</x:v>
      </x:c>
    </x:row>
    <x:row r="2038" ht="16" customHeight="1">
      <x:c r="A2038" s="1"/>
      <x:c r="B2038" s="1"/>
      <x:c r="C2038" s="1" t="str">
        <x:v>DOT-111</x:v>
      </x:c>
      <x:c r="D2038" s="10" t="str">
        <x:v>LesPetitFilms</x:v>
      </x:c>
      <x:c r="E2038" s="10" t="n">
        <x:v>16</x:v>
      </x:c>
      <x:c r="F2038" s="21" t="n">
        <x:f>F1910*(1+'Assumptions'!$M$140)</x:f>
        <x:v>15.807923118995767</x:v>
      </x:c>
      <x:c r="G2038" s="21" t="n">
        <x:f>H1910*'Assumptions'!$K$140</x:f>
        <x:v>8.136424932207559</x:v>
      </x:c>
      <x:c r="H2038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2038+G2038,NA())</x:f>
        <x:v>23.944348051203328</x:v>
      </x:c>
      <x:c r="I2038" s="22" t="n">
        <x:f>'Assumptions'!$H$140*IF('Assumptions'!$O$140=1,1,'Assumptions'!$D$10)*(1+'Assumptions'!$N$140)^(16-1)</x:f>
        <x:v>672.9341691620649</x:v>
      </x:c>
      <x:c r="J2038" s="10" t="n">
        <x:f>H2038*I2038</x:f>
        <x:v>16112.96996196382</x:v>
      </x:c>
      <x:c r="K2038" s="10" t="n">
        <x:f>J2038*'Assumptions'!$T$140</x:f>
        <x:v>16112.96996196382</x:v>
      </x:c>
      <x:c r="L2038" s="10" t="n">
        <x:f>K2038*'Assumptions'!$U$140</x:f>
        <x:v>483.38909885891456</x:v>
      </x:c>
      <x:c r="M2038" s="10" t="n">
        <x:f>K2038*'Assumptions'!$V$140</x:f>
        <x:v>0</x:v>
      </x:c>
      <x:c r="N2038" s="10" t="n">
        <x:f>K2038-L2038-M2038</x:f>
        <x:v>15629.580863104906</x:v>
      </x:c>
      <x:c r="O2038" s="10" t="n">
        <x:f>H2038*'Assumptions'!$P$140*'Assumptions'!$Q$140*'Assumptions'!$D$11*(1+'Assumptions'!$D$13)^(16-1)</x:f>
        <x:v>4476.5416890627375</x:v>
      </x:c>
      <x:c r="P2038" s="10" t="n">
        <x:f>H2038*'Assumptions'!$R$140*'Assumptions'!$D$11*(1+'Assumptions'!$D$13)^(16-1)</x:f>
        <x:v>1865.2257037761408</x:v>
      </x:c>
      <x:c r="Q2038" s="10" t="n">
        <x:f>J2038*'Assumptions'!$S$140</x:f>
        <x:v>0</x:v>
      </x:c>
      <x:c r="R2038" s="10" t="n">
        <x:f>H2038*'Assumptions'!$Y$140*'Assumptions'!$Z$140*'Assumptions'!$D$11*(1+'Assumptions'!$D$13)^(16-1)</x:f>
        <x:v>559.5677111328422</x:v>
      </x:c>
      <x:c r="S2038" s="10" t="n">
        <x:f>IF(I2038=0,0,J2038*'Assumptions'!$W$140+H2038*'Assumptions'!$X$140)</x:f>
        <x:v>474.45943331231183</x:v>
      </x:c>
      <x:c r="T2038" s="10" t="n">
        <x:f>N2038*'Assumptions'!$AA$140</x:f>
        <x:v>1250.3664690483924</x:v>
      </x:c>
      <x:c r="U2038" s="10" t="n">
        <x:f>'Assumptions'!$AE$140*'Assumptions'!$D$11*(1+'Assumptions'!$D$13)^(16-1)</x:f>
        <x:v>0</x:v>
      </x:c>
      <x:c r="V2038" s="10" t="n">
        <x:f>0</x:f>
        <x:v>0</x:v>
      </x:c>
      <x:c r="W2038" s="10" t="n">
        <x:f>H2038*('Assumptions'!$P$140+'Assumptions'!$Y$140)</x:f>
        <x:v>83.80521817921165</x:v>
      </x:c>
      <x:c r="X2038" s="10" t="n">
        <x:f>N2038/12*'Assumptions'!$AF$140</x:f>
        <x:v>1302.465071925409</x:v>
      </x:c>
      <x:c r="Y2038" s="10" t="n">
        <x:f>P2038/12</x:f>
        <x:v>155.4354753146784</x:v>
      </x:c>
      <x:c r="Z2038" s="10" t="n">
        <x:f>0</x:f>
        <x:v>0</x:v>
      </x:c>
      <x:c r="AA2038" s="10" t="n">
        <x:f>Z2038*'Assumptions'!$AC$140*'Assumptions'!$D$11*(1+'Assumptions'!$D$13)^(16-1)</x:f>
        <x:v>0</x:v>
      </x:c>
      <x:c r="AB2038" s="10" t="n">
        <x:f>F2038/1</x:f>
        <x:v>15.807923118995767</x:v>
      </x:c>
      <x:c r="AC2038" s="10" t="n">
        <x:f>AB2038/'Assumptions'!$AM$140</x:f>
        <x:v>158.07923118995765</x:v>
      </x:c>
      <x:c r="AD2038" s="10" t="n">
        <x:f>IF(AB2038=0,0,T2038/AB2038)</x:f>
        <x:v>79.09745382971123</x:v>
      </x:c>
      <x:c r="AE2038" s="10" t="n">
        <x:f>AA2038*'Assumptions'!$D$21</x:f>
        <x:v>0</x:v>
      </x:c>
    </x:row>
    <x:row r="2039" ht="16" customHeight="1">
      <x:c r="A2039" s="1"/>
      <x:c r="B2039" s="1"/>
      <x:c r="C2039" s="1" t="str">
        <x:v>DOT-112</x:v>
      </x:c>
      <x:c r="D2039" s="10" t="str">
        <x:v>Learn Anglais</x:v>
      </x:c>
      <x:c r="E2039" s="10" t="n">
        <x:v>16</x:v>
      </x:c>
      <x:c r="F2039" s="21" t="n">
        <x:f>F1911*(1+'Assumptions'!$M$141)</x:f>
        <x:v>516.6625237801582</x:v>
      </x:c>
      <x:c r="G2039" s="21" t="n">
        <x:f>H1911*'Assumptions'!$K$141</x:f>
        <x:v>1090.7134788524606</x:v>
      </x:c>
      <x:c r="H2039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2039+G2039,NA())</x:f>
        <x:v>1607.3760026326188</x:v>
      </x:c>
      <x:c r="I2039" s="22" t="n">
        <x:f>'Assumptions'!$H$141*IF('Assumptions'!$O$141=1,1,'Assumptions'!$D$10)*(1+'Assumptions'!$N$141)^(16-1)</x:f>
        <x:v>60.56407522458584</x:v>
      </x:c>
      <x:c r="J2039" s="10" t="n">
        <x:f>H2039*I2039</x:f>
        <x:v>97349.24113763601</x:v>
      </x:c>
      <x:c r="K2039" s="10" t="n">
        <x:f>J2039*'Assumptions'!$T$141</x:f>
        <x:v>32449.74704587867</x:v>
      </x:c>
      <x:c r="L2039" s="10" t="n">
        <x:f>K2039*'Assumptions'!$U$141</x:f>
        <x:v>973.4924113763601</x:v>
      </x:c>
      <x:c r="M2039" s="10" t="n">
        <x:f>K2039*'Assumptions'!$V$141</x:f>
        <x:v>0</x:v>
      </x:c>
      <x:c r="N2039" s="10" t="n">
        <x:f>K2039-L2039-M2039</x:f>
        <x:v>31476.25463450231</x:v>
      </x:c>
      <x:c r="O2039" s="10" t="n">
        <x:f>H2039*'Assumptions'!$P$141*'Assumptions'!$Q$141*'Assumptions'!$D$11*(1+'Assumptions'!$D$13)^(16-1)</x:f>
        <x:v>8764.83803414662</x:v>
      </x:c>
      <x:c r="P2039" s="10" t="n">
        <x:f>H2039*'Assumptions'!$R$141*'Assumptions'!$D$11*(1+'Assumptions'!$D$13)^(16-1)</x:f>
        <x:v>0</x:v>
      </x:c>
      <x:c r="Q2039" s="10" t="n">
        <x:f>J2039*'Assumptions'!$S$141</x:f>
        <x:v>0</x:v>
      </x:c>
      <x:c r="R2039" s="10" t="n">
        <x:f>H2039*'Assumptions'!$Y$141*'Assumptions'!$Z$141*'Assumptions'!$D$11*(1+'Assumptions'!$D$13)^(16-1)</x:f>
        <x:v>11269.077472474226</x:v>
      </x:c>
      <x:c r="S2039" s="10" t="n">
        <x:f>IF(I2039=0,0,J2039*'Assumptions'!$W$141+H2039*'Assumptions'!$X$141)</x:f>
        <x:v>3305.34079378123</x:v>
      </x:c>
      <x:c r="T2039" s="10" t="n">
        <x:f>N2039*'Assumptions'!$AA$141</x:f>
        <x:v>1573.8127317251156</x:v>
      </x:c>
      <x:c r="U2039" s="10" t="n">
        <x:f>'Assumptions'!$AE$141*'Assumptions'!$D$11*(1+'Assumptions'!$D$13)^(16-1)</x:f>
        <x:v>0</x:v>
      </x:c>
      <x:c r="V2039" s="10" t="n">
        <x:f>0</x:f>
        <x:v>0</x:v>
      </x:c>
      <x:c r="W2039" s="10" t="n">
        <x:f>H2039*('Assumptions'!$P$141+'Assumptions'!$Y$141)</x:f>
        <x:v>401.8440006581547</x:v>
      </x:c>
      <x:c r="X2039" s="10" t="n">
        <x:f>N2039/12*'Assumptions'!$AF$141</x:f>
        <x:v>0</x:v>
      </x:c>
      <x:c r="Y2039" s="10" t="n">
        <x:f>P2039/12</x:f>
        <x:v>0</x:v>
      </x:c>
      <x:c r="Z2039" s="10" t="n">
        <x:f>0</x:f>
        <x:v>0</x:v>
      </x:c>
      <x:c r="AA2039" s="10" t="n">
        <x:f>Z2039*'Assumptions'!$AC$141*'Assumptions'!$D$11*(1+'Assumptions'!$D$13)^(16-1)</x:f>
        <x:v>0</x:v>
      </x:c>
      <x:c r="AB2039" s="10" t="n">
        <x:f>F2039/1</x:f>
        <x:v>516.6625237801582</x:v>
      </x:c>
      <x:c r="AC2039" s="10" t="n">
        <x:f>AB2039/'Assumptions'!$AM$141</x:f>
        <x:v>10333.250475603163</x:v>
      </x:c>
      <x:c r="AD2039" s="10" t="n">
        <x:f>IF(AB2039=0,0,T2039/AB2039)</x:f>
        <x:v>3.0461135834090007</x:v>
      </x:c>
      <x:c r="AE2039" s="10" t="n">
        <x:f>AA2039*'Assumptions'!$D$21</x:f>
        <x:v>0</x:v>
      </x:c>
    </x:row>
    <x:row r="2040" ht="16" customHeight="1">
      <x:c r="A2040" s="1"/>
      <x:c r="B2040" s="1"/>
      <x:c r="C2040" s="1" t="str">
        <x:v>DOT-113</x:v>
      </x:c>
      <x:c r="D2040" s="10" t="str">
        <x:v>Learn Anglais</x:v>
      </x:c>
      <x:c r="E2040" s="10" t="n">
        <x:v>16</x:v>
      </x:c>
      <x:c r="F2040" s="21" t="n">
        <x:f>F1912*(1+'Assumptions'!$M$142)</x:f>
        <x:v>309.99751426809473</x:v>
      </x:c>
      <x:c r="G2040" s="21" t="n">
        <x:f>H1912*'Assumptions'!$K$142</x:f>
        <x:v>654.4280873114761</x:v>
      </x:c>
      <x:c r="H2040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2040+G2040,NA())</x:f>
        <x:v>964.4256015795709</x:v>
      </x:c>
      <x:c r="I2040" s="22" t="n">
        <x:f>'Assumptions'!$H$142*IF('Assumptions'!$O$142=1,1,'Assumptions'!$D$10)*(1+'Assumptions'!$N$142)^(16-1)</x:f>
        <x:v>114.39880875755104</x:v>
      </x:c>
      <x:c r="J2040" s="10" t="n">
        <x:f>H2040*I2040</x:f>
        <x:v>110329.13995598744</x:v>
      </x:c>
      <x:c r="K2040" s="10" t="n">
        <x:f>J2040*'Assumptions'!$T$142</x:f>
        <x:v>33098.74198679623</x:v>
      </x:c>
      <x:c r="L2040" s="10" t="n">
        <x:f>K2040*'Assumptions'!$U$142</x:f>
        <x:v>992.9622596038869</x:v>
      </x:c>
      <x:c r="M2040" s="10" t="n">
        <x:f>K2040*'Assumptions'!$V$142</x:f>
        <x:v>0</x:v>
      </x:c>
      <x:c r="N2040" s="10" t="n">
        <x:f>K2040-L2040-M2040</x:f>
        <x:v>32105.779727192345</x:v>
      </x:c>
      <x:c r="O2040" s="10" t="n">
        <x:f>H2040*'Assumptions'!$P$142*'Assumptions'!$Q$142*'Assumptions'!$D$11*(1+'Assumptions'!$D$13)^(16-1)</x:f>
        <x:v>5258.90282048797</x:v>
      </x:c>
      <x:c r="P2040" s="10" t="n">
        <x:f>H2040*'Assumptions'!$R$142*'Assumptions'!$D$11*(1+'Assumptions'!$D$13)^(16-1)</x:f>
        <x:v>0</x:v>
      </x:c>
      <x:c r="Q2040" s="10" t="n">
        <x:f>J2040*'Assumptions'!$S$142</x:f>
        <x:v>0</x:v>
      </x:c>
      <x:c r="R2040" s="10" t="n">
        <x:f>H2040*'Assumptions'!$Y$142*'Assumptions'!$Z$142*'Assumptions'!$D$11*(1+'Assumptions'!$D$13)^(16-1)</x:f>
        <x:v>6761.446483484531</x:v>
      </x:c>
      <x:c r="S2040" s="10" t="n">
        <x:f>IF(I2040=0,0,J2040*'Assumptions'!$W$142+H2040*'Assumptions'!$X$142)</x:f>
        <x:v>3488.872739197507</x:v>
      </x:c>
      <x:c r="T2040" s="10" t="n">
        <x:f>N2040*'Assumptions'!$AA$142</x:f>
        <x:v>1605.2889863596174</x:v>
      </x:c>
      <x:c r="U2040" s="10" t="n">
        <x:f>'Assumptions'!$AE$142*'Assumptions'!$D$11*(1+'Assumptions'!$D$13)^(16-1)</x:f>
        <x:v>0</x:v>
      </x:c>
      <x:c r="V2040" s="10" t="n">
        <x:f>0</x:f>
        <x:v>0</x:v>
      </x:c>
      <x:c r="W2040" s="10" t="n">
        <x:f>H2040*('Assumptions'!$P$142+'Assumptions'!$Y$142)</x:f>
        <x:v>241.10640039489272</x:v>
      </x:c>
      <x:c r="X2040" s="10" t="n">
        <x:f>N2040/12*'Assumptions'!$AF$142</x:f>
        <x:v>0</x:v>
      </x:c>
      <x:c r="Y2040" s="10" t="n">
        <x:f>P2040/12</x:f>
        <x:v>0</x:v>
      </x:c>
      <x:c r="Z2040" s="10" t="n">
        <x:f>0</x:f>
        <x:v>0</x:v>
      </x:c>
      <x:c r="AA2040" s="10" t="n">
        <x:f>Z2040*'Assumptions'!$AC$142*'Assumptions'!$D$11*(1+'Assumptions'!$D$13)^(16-1)</x:f>
        <x:v>0</x:v>
      </x:c>
      <x:c r="AB2040" s="10" t="n">
        <x:f>F2040/1</x:f>
        <x:v>309.99751426809473</x:v>
      </x:c>
      <x:c r="AC2040" s="10" t="n">
        <x:f>AB2040/'Assumptions'!$AM$142</x:f>
        <x:v>6199.950285361894</x:v>
      </x:c>
      <x:c r="AD2040" s="10" t="n">
        <x:f>IF(AB2040=0,0,T2040/AB2040)</x:f>
        <x:v>5.178393091795302</x:v>
      </x:c>
      <x:c r="AE2040" s="10" t="n">
        <x:f>AA2040*'Assumptions'!$D$21</x:f>
        <x:v>0</x:v>
      </x:c>
    </x:row>
    <x:row r="2041" ht="16" customHeight="1">
      <x:c r="A2041" s="1"/>
      <x:c r="B2041" s="1"/>
      <x:c r="C2041" s="1" t="str">
        <x:v>DOT-114</x:v>
      </x:c>
      <x:c r="D2041" s="10" t="str">
        <x:v>Learn Anglais</x:v>
      </x:c>
      <x:c r="E2041" s="10" t="n">
        <x:v>16</x:v>
      </x:c>
      <x:c r="F2041" s="21" t="n">
        <x:f>F1913*(1+'Assumptions'!$M$143)</x:f>
        <x:v>435.78606444457455</x:v>
      </x:c>
      <x:c r="G2041" s="21" t="n">
        <x:f>H1913*'Assumptions'!$K$143</x:f>
        <x:v>139.67501740108787</x:v>
      </x:c>
      <x:c r="H2041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2041+G2041,NA())</x:f>
        <x:v>575.4610818456624</x:v>
      </x:c>
      <x:c r="I2041" s="22" t="n">
        <x:f>'Assumptions'!$H$143*IF('Assumptions'!$O$143=1,1,'Assumptions'!$D$10)*(1+'Assumptions'!$N$143)^(16-1)</x:f>
        <x:v>39.030181811399764</x:v>
      </x:c>
      <x:c r="J2041" s="10" t="n">
        <x:f>H2041*I2041</x:f>
        <x:v>22460.350649821004</x:v>
      </x:c>
      <x:c r="K2041" s="10" t="n">
        <x:f>J2041*'Assumptions'!$T$143</x:f>
        <x:v>22460.350649821004</x:v>
      </x:c>
      <x:c r="L2041" s="10" t="n">
        <x:f>K2041*'Assumptions'!$U$143</x:f>
        <x:v>673.8105194946301</x:v>
      </x:c>
      <x:c r="M2041" s="10" t="n">
        <x:f>K2041*'Assumptions'!$V$143</x:f>
        <x:v>0</x:v>
      </x:c>
      <x:c r="N2041" s="10" t="n">
        <x:f>K2041-L2041-M2041</x:f>
        <x:v>21786.540130326375</x:v>
      </x:c>
      <x:c r="O2041" s="10" t="n">
        <x:f>H2041*'Assumptions'!$P$143*'Assumptions'!$Q$143*'Assumptions'!$D$11*(1+'Assumptions'!$D$13)^(16-1)</x:f>
        <x:v>4706.885478946182</x:v>
      </x:c>
      <x:c r="P2041" s="10" t="n">
        <x:f>H2041*'Assumptions'!$R$143*'Assumptions'!$D$11*(1+'Assumptions'!$D$13)^(16-1)</x:f>
        <x:v>0</x:v>
      </x:c>
      <x:c r="Q2041" s="10" t="n">
        <x:f>J2041*'Assumptions'!$S$143</x:f>
        <x:v>0</x:v>
      </x:c>
      <x:c r="R2041" s="10" t="n">
        <x:f>H2041*'Assumptions'!$Y$143*'Assumptions'!$Z$143*'Assumptions'!$D$11*(1+'Assumptions'!$D$13)^(16-1)</x:f>
        <x:v>2689.6488451121045</x:v>
      </x:c>
      <x:c r="S2041" s="10" t="n">
        <x:f>IF(I2041=0,0,J2041*'Assumptions'!$W$143+H2041*'Assumptions'!$X$143)</x:f>
        <x:v>823.9884933985079</x:v>
      </x:c>
      <x:c r="T2041" s="10" t="n">
        <x:f>N2041*'Assumptions'!$AA$143</x:f>
        <x:v>1089.3270065163188</x:v>
      </x:c>
      <x:c r="U2041" s="10" t="n">
        <x:f>'Assumptions'!$AE$143*'Assumptions'!$D$11*(1+'Assumptions'!$D$13)^(16-1)</x:f>
        <x:v>0</x:v>
      </x:c>
      <x:c r="V2041" s="10" t="n">
        <x:f>0</x:f>
        <x:v>0</x:v>
      </x:c>
      <x:c r="W2041" s="10" t="n">
        <x:f>H2041*('Assumptions'!$P$143+'Assumptions'!$Y$143)</x:f>
        <x:v>143.8652704614156</x:v>
      </x:c>
      <x:c r="X2041" s="10" t="n">
        <x:f>N2041/12*'Assumptions'!$AF$143</x:f>
        <x:v>0</x:v>
      </x:c>
      <x:c r="Y2041" s="10" t="n">
        <x:f>P2041/12</x:f>
        <x:v>0</x:v>
      </x:c>
      <x:c r="Z2041" s="10" t="n">
        <x:f>0</x:f>
        <x:v>0</x:v>
      </x:c>
      <x:c r="AA2041" s="10" t="n">
        <x:f>Z2041*'Assumptions'!$AC$143*'Assumptions'!$D$11*(1+'Assumptions'!$D$13)^(16-1)</x:f>
        <x:v>0</x:v>
      </x:c>
      <x:c r="AB2041" s="10" t="n">
        <x:f>F2041/1</x:f>
        <x:v>435.78606444457455</x:v>
      </x:c>
      <x:c r="AC2041" s="10" t="n">
        <x:f>AB2041/'Assumptions'!$AM$143</x:f>
        <x:v>8715.721288891491</x:v>
      </x:c>
      <x:c r="AD2041" s="10" t="n">
        <x:f>IF(AB2041=0,0,T2041/AB2041)</x:f>
        <x:v>2.4996829761059622</x:v>
      </x:c>
      <x:c r="AE2041" s="10" t="n">
        <x:f>AA2041*'Assumptions'!$D$21</x:f>
        <x:v>0</x:v>
      </x:c>
    </x:row>
    <x:row r="2042" ht="16" customHeight="1">
      <x:c r="A2042" s="1"/>
      <x:c r="B2042" s="1"/>
      <x:c r="C2042" s="1" t="str">
        <x:v>DOT-115</x:v>
      </x:c>
      <x:c r="D2042" s="10" t="str">
        <x:v>Learn Anglais</x:v>
      </x:c>
      <x:c r="E2042" s="10" t="n">
        <x:v>16</x:v>
      </x:c>
      <x:c r="F2042" s="21" t="n">
        <x:f>F1914*(1+'Assumptions'!$M$144)</x:f>
        <x:v>206.66500951206322</x:v>
      </x:c>
      <x:c r="G2042" s="21" t="n">
        <x:f>H1914*'Assumptions'!$K$144</x:f>
        <x:v>436.0005378503877</x:v>
      </x:c>
      <x:c r="H2042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2042+G2042,NA())</x:f>
        <x:v>642.6655473624509</x:v>
      </x:c>
      <x:c r="I2042" s="22" t="n">
        <x:f>'Assumptions'!$H$144*IF('Assumptions'!$O$144=1,1,'Assumptions'!$D$10)*(1+'Assumptions'!$N$144)^(16-1)</x:f>
        <x:v>60.56407522458584</x:v>
      </x:c>
      <x:c r="J2042" s="10" t="n">
        <x:f>H2042*I2042</x:f>
        <x:v>38922.44455470911</x:v>
      </x:c>
      <x:c r="K2042" s="10" t="n">
        <x:f>J2042*'Assumptions'!$T$144</x:f>
        <x:v>12974.148184903035</x:v>
      </x:c>
      <x:c r="L2042" s="10" t="n">
        <x:f>K2042*'Assumptions'!$U$144</x:f>
        <x:v>389.224445547091</x:v>
      </x:c>
      <x:c r="M2042" s="10" t="n">
        <x:f>K2042*'Assumptions'!$V$144</x:f>
        <x:v>0</x:v>
      </x:c>
      <x:c r="N2042" s="10" t="n">
        <x:f>K2042-L2042-M2042</x:f>
        <x:v>12584.923739355943</x:v>
      </x:c>
      <x:c r="O2042" s="10" t="n">
        <x:f>H2042*'Assumptions'!$P$144*'Assumptions'!$Q$144*'Assumptions'!$D$11*(1+'Assumptions'!$D$13)^(16-1)</x:f>
        <x:v>5256.57290845362</x:v>
      </x:c>
      <x:c r="P2042" s="10" t="n">
        <x:f>H2042*'Assumptions'!$R$144*'Assumptions'!$D$11*(1+'Assumptions'!$D$13)^(16-1)</x:f>
        <x:v>0</x:v>
      </x:c>
      <x:c r="Q2042" s="10" t="n">
        <x:f>J2042*'Assumptions'!$S$144</x:f>
        <x:v>0</x:v>
      </x:c>
      <x:c r="R2042" s="10" t="n">
        <x:f>H2042*'Assumptions'!$Y$144*'Assumptions'!$Z$144*'Assumptions'!$D$11*(1+'Assumptions'!$D$13)^(16-1)</x:f>
        <x:v>4505.633921531675</x:v>
      </x:c>
      <x:c r="S2042" s="10" t="n">
        <x:f>IF(I2042=0,0,J2042*'Assumptions'!$W$144+H2042*'Assumptions'!$X$144)</x:f>
        <x:v>1321.5505562952994</x:v>
      </x:c>
      <x:c r="T2042" s="10" t="n">
        <x:f>N2042*'Assumptions'!$AA$144</x:f>
        <x:v>629.2461869677973</x:v>
      </x:c>
      <x:c r="U2042" s="10" t="n">
        <x:f>'Assumptions'!$AE$144*'Assumptions'!$D$11*(1+'Assumptions'!$D$13)^(16-1)</x:f>
        <x:v>0</x:v>
      </x:c>
      <x:c r="V2042" s="10" t="n">
        <x:f>0</x:f>
        <x:v>0</x:v>
      </x:c>
      <x:c r="W2042" s="10" t="n">
        <x:f>H2042*('Assumptions'!$P$144+'Assumptions'!$Y$144)</x:f>
        <x:v>192.79966420873527</x:v>
      </x:c>
      <x:c r="X2042" s="10" t="n">
        <x:f>N2042/12*'Assumptions'!$AF$144</x:f>
        <x:v>0</x:v>
      </x:c>
      <x:c r="Y2042" s="10" t="n">
        <x:f>P2042/12</x:f>
        <x:v>0</x:v>
      </x:c>
      <x:c r="Z2042" s="10" t="n">
        <x:f>0</x:f>
        <x:v>0</x:v>
      </x:c>
      <x:c r="AA2042" s="10" t="n">
        <x:f>Z2042*'Assumptions'!$AC$144*'Assumptions'!$D$11*(1+'Assumptions'!$D$13)^(16-1)</x:f>
        <x:v>0</x:v>
      </x:c>
      <x:c r="AB2042" s="10" t="n">
        <x:f>F2042/1</x:f>
        <x:v>206.66500951206322</x:v>
      </x:c>
      <x:c r="AC2042" s="10" t="n">
        <x:f>AB2042/'Assumptions'!$AM$144</x:f>
        <x:v>4133.300190241264</x:v>
      </x:c>
      <x:c r="AD2042" s="10" t="n">
        <x:f>IF(AB2042=0,0,T2042/AB2042)</x:f>
        <x:v>3.044764028770277</x:v>
      </x:c>
      <x:c r="AE2042" s="10" t="n">
        <x:f>AA2042*'Assumptions'!$D$21</x:f>
        <x:v>0</x:v>
      </x:c>
    </x:row>
    <x:row r="2043" ht="16" customHeight="1">
      <x:c r="A2043" s="1"/>
      <x:c r="B2043" s="1"/>
      <x:c r="C2043" s="1" t="str">
        <x:v>DOT-116</x:v>
      </x:c>
      <x:c r="D2043" s="10" t="str">
        <x:v>Fiefé</x:v>
      </x:c>
      <x:c r="E2043" s="10" t="n">
        <x:v>16</x:v>
      </x:c>
      <x:c r="F2043" s="21" t="n">
        <x:f>F1915*(1+'Assumptions'!$M$145)</x:f>
        <x:v>73.18479149024915</x:v>
      </x:c>
      <x:c r="G2043" s="21" t="n">
        <x:f>H1915*'Assumptions'!$K$145</x:f>
        <x:v>30.075937169715576</x:v>
      </x:c>
      <x:c r="H2043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2043+G2043,NA())</x:f>
        <x:v>103.26072865996473</x:v>
      </x:c>
      <x:c r="I2043" s="22" t="n">
        <x:f>'Assumptions'!$H$145*IF('Assumptions'!$O$145=1,1,'Assumptions'!$D$10)*(1+'Assumptions'!$N$145)^(16-1)</x:f>
        <x:v>605.6407522458585</x:v>
      </x:c>
      <x:c r="J2043" s="10" t="n">
        <x:f>H2043*I2043</x:f>
        <x:v>62538.90538307652</x:v>
      </x:c>
      <x:c r="K2043" s="10" t="n">
        <x:f>J2043*'Assumptions'!$T$145</x:f>
        <x:v>62538.90538307652</x:v>
      </x:c>
      <x:c r="L2043" s="10" t="n">
        <x:f>K2043*'Assumptions'!$U$145</x:f>
        <x:v>1876.1671614922955</x:v>
      </x:c>
      <x:c r="M2043" s="10" t="n">
        <x:f>K2043*'Assumptions'!$V$145</x:f>
        <x:v>1250.7781076615304</x:v>
      </x:c>
      <x:c r="N2043" s="10" t="n">
        <x:f>K2043-L2043-M2043</x:f>
        <x:v>59411.960113922694</x:v>
      </x:c>
      <x:c r="O2043" s="10" t="n">
        <x:f>H2043*'Assumptions'!$P$145*'Assumptions'!$Q$145*'Assumptions'!$D$11*(1+'Assumptions'!$D$13)^(16-1)</x:f>
        <x:v>4021.921266666946</x:v>
      </x:c>
      <x:c r="P2043" s="10" t="n">
        <x:f>H2043*'Assumptions'!$R$145*'Assumptions'!$D$11*(1+'Assumptions'!$D$13)^(16-1)</x:f>
        <x:v>40219.21266666945</x:v>
      </x:c>
      <x:c r="Q2043" s="10" t="n">
        <x:f>J2043*'Assumptions'!$S$145</x:f>
        <x:v>0</x:v>
      </x:c>
      <x:c r="R2043" s="10" t="n">
        <x:f>H2043*'Assumptions'!$Y$145*'Assumptions'!$Z$145*'Assumptions'!$D$11*(1+'Assumptions'!$D$13)^(16-1)</x:f>
        <x:v>723.9458280000503</x:v>
      </x:c>
      <x:c r="S2043" s="10" t="n">
        <x:f>IF(I2043=0,0,J2043*'Assumptions'!$W$145+H2043*'Assumptions'!$X$145)</x:f>
        <x:v>1844.6064747072085</x:v>
      </x:c>
      <x:c r="T2043" s="10" t="n">
        <x:f>N2043*'Assumptions'!$AA$145</x:f>
        <x:v>4752.956809113815</x:v>
      </x:c>
      <x:c r="U2043" s="10" t="n">
        <x:f>'Assumptions'!$AE$145*'Assumptions'!$D$11*(1+'Assumptions'!$D$13)^(16-1)</x:f>
        <x:v>0</x:v>
      </x:c>
      <x:c r="V2043" s="10" t="n">
        <x:f>0</x:f>
        <x:v>0</x:v>
      </x:c>
      <x:c r="W2043" s="10" t="n">
        <x:f>H2043*('Assumptions'!$P$145+'Assumptions'!$Y$145)</x:f>
        <x:v>67.11947362897708</x:v>
      </x:c>
      <x:c r="X2043" s="10" t="n">
        <x:f>N2043/12*'Assumptions'!$AF$145</x:f>
        <x:v>0</x:v>
      </x:c>
      <x:c r="Y2043" s="10" t="n">
        <x:f>P2043/12</x:f>
        <x:v>3351.6010555557878</x:v>
      </x:c>
      <x:c r="Z2043" s="10" t="n">
        <x:f>0</x:f>
        <x:v>0</x:v>
      </x:c>
      <x:c r="AA2043" s="10" t="n">
        <x:f>Z2043*'Assumptions'!$AC$145*'Assumptions'!$D$11*(1+'Assumptions'!$D$13)^(16-1)</x:f>
        <x:v>0</x:v>
      </x:c>
      <x:c r="AB2043" s="10" t="n">
        <x:f>F2043/1</x:f>
        <x:v>73.18479149024915</x:v>
      </x:c>
      <x:c r="AC2043" s="10" t="n">
        <x:f>AB2043/'Assumptions'!$AM$145</x:f>
        <x:v>2439.493049674972</x:v>
      </x:c>
      <x:c r="AD2043" s="10" t="n">
        <x:f>IF(AB2043=0,0,T2043/AB2043)</x:f>
        <x:v>64.94459726304036</x:v>
      </x:c>
      <x:c r="AE2043" s="10" t="n">
        <x:f>AA2043*'Assumptions'!$D$21</x:f>
        <x:v>0</x:v>
      </x:c>
    </x:row>
    <x:row r="2044" ht="16" customHeight="1">
      <x:c r="A2044" s="1"/>
      <x:c r="B2044" s="1"/>
      <x:c r="C2044" s="1" t="str">
        <x:v>DOT-117</x:v>
      </x:c>
      <x:c r="D2044" s="10" t="str">
        <x:v>Fiefé</x:v>
      </x:c>
      <x:c r="E2044" s="10" t="n">
        <x:v>16</x:v>
      </x:c>
      <x:c r="F2044" s="21" t="n">
        <x:f>F1916*(1+'Assumptions'!$M$146)</x:f>
        <x:v>91.48098936281146</x:v>
      </x:c>
      <x:c r="G2044" s="21" t="n">
        <x:f>H1916*'Assumptions'!$K$146</x:f>
        <x:v>37.594921462144484</x:v>
      </x:c>
      <x:c r="H2044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2044+G2044,NA())</x:f>
        <x:v>129.07591082495594</x:v>
      </x:c>
      <x:c r="I2044" s="22" t="n">
        <x:f>'Assumptions'!$H$146*IF('Assumptions'!$O$146=1,1,'Assumptions'!$D$10)*(1+'Assumptions'!$N$146)^(16-1)</x:f>
        <x:v>235.52695920672272</x:v>
      </x:c>
      <x:c r="J2044" s="10" t="n">
        <x:f>H2044*I2044</x:f>
        <x:v>30400.856783439976</x:v>
      </x:c>
      <x:c r="K2044" s="10" t="n">
        <x:f>J2044*'Assumptions'!$T$146</x:f>
        <x:v>30400.856783439976</x:v>
      </x:c>
      <x:c r="L2044" s="10" t="n">
        <x:f>K2044*'Assumptions'!$U$146</x:f>
        <x:v>912.0257035031992</x:v>
      </x:c>
      <x:c r="M2044" s="10" t="n">
        <x:f>K2044*'Assumptions'!$V$146</x:f>
        <x:v>608.0171356687996</x:v>
      </x:c>
      <x:c r="N2044" s="10" t="n">
        <x:f>K2044-L2044-M2044</x:f>
        <x:v>28880.813944267975</x:v>
      </x:c>
      <x:c r="O2044" s="10" t="n">
        <x:f>H2044*'Assumptions'!$P$146*'Assumptions'!$Q$146*'Assumptions'!$D$11*(1+'Assumptions'!$D$13)^(16-1)</x:f>
        <x:v>2262.3307125001575</x:v>
      </x:c>
      <x:c r="P2044" s="10" t="n">
        <x:f>H2044*'Assumptions'!$R$146*'Assumptions'!$D$11*(1+'Assumptions'!$D$13)^(16-1)</x:f>
        <x:v>16087.685066667787</x:v>
      </x:c>
      <x:c r="Q2044" s="10" t="n">
        <x:f>J2044*'Assumptions'!$S$146</x:f>
        <x:v>0</x:v>
      </x:c>
      <x:c r="R2044" s="10" t="n">
        <x:f>H2044*'Assumptions'!$Y$146*'Assumptions'!$Z$146*'Assumptions'!$D$11*(1+'Assumptions'!$D$13)^(16-1)</x:f>
        <x:v>904.932285000063</x:v>
      </x:c>
      <x:c r="S2044" s="10" t="n">
        <x:f>IF(I2044=0,0,J2044*'Assumptions'!$W$146+H2044*'Assumptions'!$X$146)</x:f>
        <x:v>920.3476199672461</x:v>
      </x:c>
      <x:c r="T2044" s="10" t="n">
        <x:f>N2044*'Assumptions'!$AA$146</x:f>
        <x:v>2310.465115541438</x:v>
      </x:c>
      <x:c r="U2044" s="10" t="n">
        <x:f>'Assumptions'!$AE$146*'Assumptions'!$D$11*(1+'Assumptions'!$D$13)^(16-1)</x:f>
        <x:v>0</x:v>
      </x:c>
      <x:c r="V2044" s="10" t="n">
        <x:f>0</x:f>
        <x:v>0</x:v>
      </x:c>
      <x:c r="W2044" s="10" t="n">
        <x:f>H2044*('Assumptions'!$P$146+'Assumptions'!$Y$146)</x:f>
        <x:v>51.63036432998238</x:v>
      </x:c>
      <x:c r="X2044" s="10" t="n">
        <x:f>N2044/12*'Assumptions'!$AF$146</x:f>
        <x:v>0</x:v>
      </x:c>
      <x:c r="Y2044" s="10" t="n">
        <x:f>P2044/12</x:f>
        <x:v>1340.6404222223157</x:v>
      </x:c>
      <x:c r="Z2044" s="10" t="n">
        <x:f>0</x:f>
        <x:v>0</x:v>
      </x:c>
      <x:c r="AA2044" s="10" t="n">
        <x:f>Z2044*'Assumptions'!$AC$146*'Assumptions'!$D$11*(1+'Assumptions'!$D$13)^(16-1)</x:f>
        <x:v>0</x:v>
      </x:c>
      <x:c r="AB2044" s="10" t="n">
        <x:f>F2044/1</x:f>
        <x:v>91.48098936281146</x:v>
      </x:c>
      <x:c r="AC2044" s="10" t="n">
        <x:f>AB2044/'Assumptions'!$AM$146</x:f>
        <x:v>3049.3663120937154</x:v>
      </x:c>
      <x:c r="AD2044" s="10" t="n">
        <x:f>IF(AB2044=0,0,T2044/AB2044)</x:f>
        <x:v>25.25623226896014</x:v>
      </x:c>
      <x:c r="AE2044" s="10" t="n">
        <x:f>AA2044*'Assumptions'!$D$21</x:f>
        <x:v>0</x:v>
      </x:c>
    </x:row>
    <x:row r="2045" ht="16" customHeight="1">
      <x:c r="A2045" s="1"/>
      <x:c r="B2045" s="1"/>
      <x:c r="C2045" s="1" t="str">
        <x:v>DOT-118</x:v>
      </x:c>
      <x:c r="D2045" s="10" t="str">
        <x:v>Fiefé Design</x:v>
      </x:c>
      <x:c r="E2045" s="10" t="n">
        <x:v>16</x:v>
      </x:c>
      <x:c r="F2045" s="21" t="n">
        <x:f>F1917*(1+'Assumptions'!$M$147)</x:f>
        <x:v>12.197465248374861</x:v>
      </x:c>
      <x:c r="G2045" s="21" t="n">
        <x:f>H1917*'Assumptions'!$K$147</x:f>
        <x:v>5.012656194952597</x:v>
      </x:c>
      <x:c r="H2045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2045+G2045,NA())</x:f>
        <x:v>17.21012144332746</x:v>
      </x:c>
      <x:c r="I2045" s="22" t="n">
        <x:f>'Assumptions'!$H$147*IF('Assumptions'!$O$147=1,1,'Assumptions'!$D$10)*(1+'Assumptions'!$N$147)^(16-1)</x:f>
        <x:v>3364.670845810325</x:v>
      </x:c>
      <x:c r="J2045" s="10" t="n">
        <x:f>H2045*I2045</x:f>
        <x:v>57906.393873219014</x:v>
      </x:c>
      <x:c r="K2045" s="10" t="n">
        <x:f>J2045*'Assumptions'!$T$147</x:f>
        <x:v>57906.393873219014</x:v>
      </x:c>
      <x:c r="L2045" s="10" t="n">
        <x:f>K2045*'Assumptions'!$U$147</x:f>
        <x:v>1737.1918161965705</x:v>
      </x:c>
      <x:c r="M2045" s="10" t="n">
        <x:f>K2045*'Assumptions'!$V$147</x:f>
        <x:v>1158.1278774643804</x:v>
      </x:c>
      <x:c r="N2045" s="10" t="n">
        <x:f>K2045-L2045-M2045</x:f>
        <x:v>55011.07417955806</x:v>
      </x:c>
      <x:c r="O2045" s="10" t="n">
        <x:f>H2045*'Assumptions'!$P$147*'Assumptions'!$Q$147*'Assumptions'!$D$11*(1+'Assumptions'!$D$13)^(16-1)</x:f>
        <x:v>12870.14805333423</x:v>
      </x:c>
      <x:c r="P2045" s="10" t="n">
        <x:f>H2045*'Assumptions'!$R$147*'Assumptions'!$D$11*(1+'Assumptions'!$D$13)^(16-1)</x:f>
        <x:v>24131.527600001682</x:v>
      </x:c>
      <x:c r="Q2045" s="10" t="n">
        <x:f>J2045*'Assumptions'!$S$147</x:f>
        <x:v>0</x:v>
      </x:c>
      <x:c r="R2045" s="10" t="n">
        <x:f>H2045*'Assumptions'!$Y$147*'Assumptions'!$Z$147*'Assumptions'!$D$11*(1+'Assumptions'!$D$13)^(16-1)</x:f>
        <x:v>120.65763800000839</x:v>
      </x:c>
      <x:c r="S2045" s="10" t="n">
        <x:f>IF(I2045=0,0,J2045*'Assumptions'!$W$147+H2045*'Assumptions'!$X$147)</x:f>
        <x:v>1684.4484587563497</x:v>
      </x:c>
      <x:c r="T2045" s="10" t="n">
        <x:f>N2045*'Assumptions'!$AA$147</x:f>
        <x:v>4400.885934364645</x:v>
      </x:c>
      <x:c r="U2045" s="10" t="n">
        <x:f>'Assumptions'!$AE$147*'Assumptions'!$D$11*(1+'Assumptions'!$D$13)^(16-1)</x:f>
        <x:v>0</x:v>
      </x:c>
      <x:c r="V2045" s="10" t="n">
        <x:f>0</x:f>
        <x:v>0</x:v>
      </x:c>
      <x:c r="W2045" s="10" t="n">
        <x:f>H2045*('Assumptions'!$P$147+'Assumptions'!$Y$147)</x:f>
        <x:v>140.2624897631188</x:v>
      </x:c>
      <x:c r="X2045" s="10" t="n">
        <x:f>N2045/12*'Assumptions'!$AF$147</x:f>
        <x:v>0</x:v>
      </x:c>
      <x:c r="Y2045" s="10" t="n">
        <x:f>P2045/12</x:f>
        <x:v>2010.9606333334734</x:v>
      </x:c>
      <x:c r="Z2045" s="10" t="n">
        <x:f>0</x:f>
        <x:v>0</x:v>
      </x:c>
      <x:c r="AA2045" s="10" t="n">
        <x:f>Z2045*'Assumptions'!$AC$147*'Assumptions'!$D$11*(1+'Assumptions'!$D$13)^(16-1)</x:f>
        <x:v>0</x:v>
      </x:c>
      <x:c r="AB2045" s="10" t="n">
        <x:f>F2045/1</x:f>
        <x:v>12.197465248374861</x:v>
      </x:c>
      <x:c r="AC2045" s="10" t="n">
        <x:f>AB2045/'Assumptions'!$AM$147</x:f>
        <x:v>406.58217494582874</x:v>
      </x:c>
      <x:c r="AD2045" s="10" t="n">
        <x:f>IF(AB2045=0,0,T2045/AB2045)</x:f>
        <x:v>360.8033181280021</x:v>
      </x:c>
      <x:c r="AE2045" s="10" t="n">
        <x:f>AA2045*'Assumptions'!$D$21</x:f>
        <x:v>0</x:v>
      </x:c>
    </x:row>
    <x:row r="2046" ht="16" customHeight="1">
      <x:c r="A2046" s="1"/>
      <x:c r="B2046" s="1"/>
      <x:c r="C2046" s="1" t="str">
        <x:v>DOT-119</x:v>
      </x:c>
      <x:c r="D2046" s="10" t="str">
        <x:v>OsezArt</x:v>
      </x:c>
      <x:c r="E2046" s="10" t="n">
        <x:v>16</x:v>
      </x:c>
      <x:c r="F2046" s="21" t="n">
        <x:f>F1918*(1+'Assumptions'!$M$148)</x:f>
        <x:v>10.33325047560316</x:v>
      </x:c>
      <x:c r="G2046" s="21" t="n">
        <x:f>H1918*'Assumptions'!$K$148</x:f>
        <x:v>21.80002689251938</x:v>
      </x:c>
      <x:c r="H2046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2046+G2046,NA())</x:f>
        <x:v>32.13327736812254</x:v>
      </x:c>
      <x:c r="I2046" s="22" t="n">
        <x:f>'Assumptions'!$H$148*IF('Assumptions'!$O$148=1,1,'Assumptions'!$D$10)*(1+'Assumptions'!$N$148)^(16-1)</x:f>
        <x:v>6729.34169162065</x:v>
      </x:c>
      <x:c r="J2046" s="10" t="n">
        <x:f>H2046*I2046</x:f>
        <x:v>216235.80308171728</x:v>
      </x:c>
      <x:c r="K2046" s="10" t="n">
        <x:f>J2046*'Assumptions'!$T$148</x:f>
        <x:v>43247.16061634346</x:v>
      </x:c>
      <x:c r="L2046" s="10" t="n">
        <x:f>K2046*'Assumptions'!$U$148</x:f>
        <x:v>1297.4148184903038</x:v>
      </x:c>
      <x:c r="M2046" s="10" t="n">
        <x:f>K2046*'Assumptions'!$V$148</x:f>
        <x:v>0</x:v>
      </x:c>
      <x:c r="N2046" s="10" t="n">
        <x:f>K2046-L2046-M2046</x:f>
        <x:v>41949.74579785316</x:v>
      </x:c>
      <x:c r="O2046" s="10" t="n">
        <x:f>H2046*'Assumptions'!$P$148*'Assumptions'!$Q$148*'Assumptions'!$D$11*(1+'Assumptions'!$D$13)^(16-1)</x:f>
        <x:v>12015.02379075113</x:v>
      </x:c>
      <x:c r="P2046" s="10" t="n">
        <x:f>H2046*'Assumptions'!$R$148*'Assumptions'!$D$11*(1+'Assumptions'!$D$13)^(16-1)</x:f>
        <x:v>0</x:v>
      </x:c>
      <x:c r="Q2046" s="10" t="n">
        <x:f>J2046*'Assumptions'!$S$148</x:f>
        <x:v>0</x:v>
      </x:c>
      <x:c r="R2046" s="10" t="n">
        <x:f>H2046*'Assumptions'!$Y$148*'Assumptions'!$Z$148*'Assumptions'!$D$11*(1+'Assumptions'!$D$13)^(16-1)</x:f>
        <x:v>225.2816960765837</x:v>
      </x:c>
      <x:c r="S2046" s="10" t="n">
        <x:f>IF(I2046=0,0,J2046*'Assumptions'!$W$148+H2046*'Assumptions'!$X$148)</x:f>
        <x:v>6280.478272580239</x:v>
      </x:c>
      <x:c r="T2046" s="10" t="n">
        <x:f>N2046*'Assumptions'!$AA$148</x:f>
        <x:v>2097.4872898926583</x:v>
      </x:c>
      <x:c r="U2046" s="10" t="n">
        <x:f>'Assumptions'!$AE$148*'Assumptions'!$D$11*(1+'Assumptions'!$D$13)^(16-1)</x:f>
        <x:v>0</x:v>
      </x:c>
      <x:c r="V2046" s="10" t="n">
        <x:f>0</x:f>
        <x:v>0</x:v>
      </x:c>
      <x:c r="W2046" s="10" t="n">
        <x:f>H2046*('Assumptions'!$P$148+'Assumptions'!$Y$148)</x:f>
        <x:v>133.35310107770857</x:v>
      </x:c>
      <x:c r="X2046" s="10" t="n">
        <x:f>N2046/12*'Assumptions'!$AF$148</x:f>
        <x:v>0</x:v>
      </x:c>
      <x:c r="Y2046" s="10" t="n">
        <x:f>P2046/12</x:f>
        <x:v>0</x:v>
      </x:c>
      <x:c r="Z2046" s="10" t="n">
        <x:f>0</x:f>
        <x:v>0</x:v>
      </x:c>
      <x:c r="AA2046" s="10" t="n">
        <x:f>Z2046*'Assumptions'!$AC$148*'Assumptions'!$D$11*(1+'Assumptions'!$D$13)^(16-1)</x:f>
        <x:v>0</x:v>
      </x:c>
      <x:c r="AB2046" s="10" t="n">
        <x:f>F2046/1</x:f>
        <x:v>10.33325047560316</x:v>
      </x:c>
      <x:c r="AC2046" s="10" t="n">
        <x:f>AB2046/'Assumptions'!$AM$148</x:f>
        <x:v>206.6650095120632</x:v>
      </x:c>
      <x:c r="AD2046" s="10" t="n">
        <x:f>IF(AB2046=0,0,T2046/AB2046)</x:f>
        <x:v>202.98426858468522</x:v>
      </x:c>
      <x:c r="AE2046" s="10" t="n">
        <x:f>AA2046*'Assumptions'!$D$21</x:f>
        <x:v>0</x:v>
      </x:c>
    </x:row>
    <x:row r="2047" ht="16" customHeight="1">
      <x:c r="A2047" s="1"/>
      <x:c r="B2047" s="1"/>
      <x:c r="C2047" s="1" t="str">
        <x:v>DOT-120</x:v>
      </x:c>
      <x:c r="D2047" s="10" t="str">
        <x:v>OsezArt</x:v>
      </x:c>
      <x:c r="E2047" s="10" t="n">
        <x:v>16</x:v>
      </x:c>
      <x:c r="F2047" s="21" t="n">
        <x:f>F1919*(1+'Assumptions'!$M$149)</x:f>
        <x:v>6.0799704303829865</x:v>
      </x:c>
      <x:c r="G2047" s="21" t="n">
        <x:f>H1919*'Assumptions'!$K$149</x:f>
        <x:v>5.735554593724368</x:v>
      </x:c>
      <x:c r="H2047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2047+G2047,NA())</x:f>
        <x:v>11.815525024107355</x:v>
      </x:c>
      <x:c r="I2047" s="22" t="n">
        <x:f>'Assumptions'!$H$149*IF('Assumptions'!$O$149=1,1,'Assumptions'!$D$10)*(1+'Assumptions'!$N$149)^(16-1)</x:f>
        <x:v>6729.34169162065</x:v>
      </x:c>
      <x:c r="J2047" s="10" t="n">
        <x:f>H2047*I2047</x:f>
        <x:v>79510.7051531127</x:v>
      </x:c>
      <x:c r="K2047" s="10" t="n">
        <x:f>J2047*'Assumptions'!$T$149</x:f>
        <x:v>79510.7051531127</x:v>
      </x:c>
      <x:c r="L2047" s="10" t="n">
        <x:f>K2047*'Assumptions'!$U$149</x:f>
        <x:v>2385.321154593381</x:v>
      </x:c>
      <x:c r="M2047" s="10" t="n">
        <x:f>K2047*'Assumptions'!$V$149</x:f>
        <x:v>0</x:v>
      </x:c>
      <x:c r="N2047" s="10" t="n">
        <x:f>K2047-L2047-M2047</x:f>
        <x:v>77125.38399851933</x:v>
      </x:c>
      <x:c r="O2047" s="10" t="n">
        <x:f>H2047*'Assumptions'!$P$149*'Assumptions'!$Q$149*'Assumptions'!$D$11*(1+'Assumptions'!$D$13)^(16-1)</x:f>
        <x:v>35895.995845300946</x:v>
      </x:c>
      <x:c r="P2047" s="10" t="n">
        <x:f>H2047*'Assumptions'!$R$149*'Assumptions'!$D$11*(1+'Assumptions'!$D$13)^(16-1)</x:f>
        <x:v>4602.050749397557</x:v>
      </x:c>
      <x:c r="Q2047" s="10" t="n">
        <x:f>J2047*'Assumptions'!$S$149</x:f>
        <x:v>0</x:v>
      </x:c>
      <x:c r="R2047" s="10" t="n">
        <x:f>H2047*'Assumptions'!$Y$149*'Assumptions'!$Z$149*'Assumptions'!$D$11*(1+'Assumptions'!$D$13)^(16-1)</x:f>
        <x:v>138.06152248192672</x:v>
      </x:c>
      <x:c r="S2047" s="10" t="n">
        <x:f>IF(I2047=0,0,J2047*'Assumptions'!$W$149+H2047*'Assumptions'!$X$149)</x:f>
        <x:v>2309.355106947501</x:v>
      </x:c>
      <x:c r="T2047" s="10" t="n">
        <x:f>N2047*'Assumptions'!$AA$149</x:f>
        <x:v>3085.0153599407736</x:v>
      </x:c>
      <x:c r="U2047" s="10" t="n">
        <x:f>'Assumptions'!$AE$149*'Assumptions'!$D$11*(1+'Assumptions'!$D$13)^(16-1)</x:f>
        <x:v>0</x:v>
      </x:c>
      <x:c r="V2047" s="10" t="n">
        <x:f>0</x:f>
        <x:v>0</x:v>
      </x:c>
      <x:c r="W2047" s="10" t="n">
        <x:f>H2047*('Assumptions'!$P$149+'Assumptions'!$Y$149)</x:f>
        <x:v>357.41963197924747</x:v>
      </x:c>
      <x:c r="X2047" s="10" t="n">
        <x:f>N2047/12*'Assumptions'!$AF$149</x:f>
        <x:v>6427.115333209945</x:v>
      </x:c>
      <x:c r="Y2047" s="10" t="n">
        <x:f>P2047/12</x:f>
        <x:v>383.50422911646314</x:v>
      </x:c>
      <x:c r="Z2047" s="10" t="n">
        <x:f>0</x:f>
        <x:v>0</x:v>
      </x:c>
      <x:c r="AA2047" s="10" t="n">
        <x:f>Z2047*'Assumptions'!$AC$149*'Assumptions'!$D$11*(1+'Assumptions'!$D$13)^(16-1)</x:f>
        <x:v>0</x:v>
      </x:c>
      <x:c r="AB2047" s="10" t="n">
        <x:f>F2047/1</x:f>
        <x:v>6.0799704303829865</x:v>
      </x:c>
      <x:c r="AC2047" s="10" t="n">
        <x:f>AB2047/'Assumptions'!$AM$149</x:f>
        <x:v>30.39985215191493</x:v>
      </x:c>
      <x:c r="AD2047" s="10" t="n">
        <x:f>IF(AB2047=0,0,T2047/AB2047)</x:f>
        <x:v>507.40630982747126</x:v>
      </x:c>
      <x:c r="AE2047" s="10" t="n">
        <x:f>AA2047*'Assumptions'!$D$21</x:f>
        <x:v>0</x:v>
      </x:c>
    </x:row>
    <x:row r="2048" ht="16" customHeight="1">
      <x:c r="A2048" s="1"/>
      <x:c r="B2048" s="1"/>
      <x:c r="C2048" s="1" t="str">
        <x:v>DOT-121</x:v>
      </x:c>
      <x:c r="D2048" s="10" t="str">
        <x:v>OsezArt</x:v>
      </x:c>
      <x:c r="E2048" s="10" t="n">
        <x:v>16</x:v>
      </x:c>
      <x:c r="F2048" s="21" t="n">
        <x:f>F1920*(1+'Assumptions'!$M$150)</x:f>
        <x:v>6.0799704303829865</x:v>
      </x:c>
      <x:c r="G2048" s="21" t="n">
        <x:f>H1920*'Assumptions'!$K$150</x:f>
        <x:v>5.73550881735718</x:v>
      </x:c>
      <x:c r="H2048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2048+G2048,NA())</x:f>
        <x:v>11.815479247740168</x:v>
      </x:c>
      <x:c r="I2048" s="22" t="n">
        <x:f>'Assumptions'!$H$150*IF('Assumptions'!$O$150=1,1,'Assumptions'!$D$10)*(1+'Assumptions'!$N$150)^(16-1)</x:f>
        <x:v>4037.6050149723897</x:v>
      </x:c>
      <x:c r="J2048" s="10" t="n">
        <x:f>H2048*I2048</x:f>
        <x:v>47706.2382649779</x:v>
      </x:c>
      <x:c r="K2048" s="10" t="n">
        <x:f>J2048*'Assumptions'!$T$150</x:f>
        <x:v>47706.2382649779</x:v>
      </x:c>
      <x:c r="L2048" s="10" t="n">
        <x:f>K2048*'Assumptions'!$U$150</x:f>
        <x:v>1431.187147949337</x:v>
      </x:c>
      <x:c r="M2048" s="10" t="n">
        <x:f>K2048*'Assumptions'!$V$150</x:f>
        <x:v>0</x:v>
      </x:c>
      <x:c r="N2048" s="10" t="n">
        <x:f>K2048-L2048-M2048</x:f>
        <x:v>46275.05111702857</x:v>
      </x:c>
      <x:c r="O2048" s="10" t="n">
        <x:f>H2048*'Assumptions'!$P$150*'Assumptions'!$Q$150*'Assumptions'!$D$11*(1+'Assumptions'!$D$13)^(16-1)</x:f>
        <x:v>21537.51406501699</x:v>
      </x:c>
      <x:c r="P2048" s="10" t="n">
        <x:f>H2048*'Assumptions'!$R$150*'Assumptions'!$D$11*(1+'Assumptions'!$D$13)^(16-1)</x:f>
        <x:v>3681.62633590034</x:v>
      </x:c>
      <x:c r="Q2048" s="10" t="n">
        <x:f>J2048*'Assumptions'!$S$150</x:f>
        <x:v>0</x:v>
      </x:c>
      <x:c r="R2048" s="10" t="n">
        <x:f>H2048*'Assumptions'!$Y$150*'Assumptions'!$Z$150*'Assumptions'!$D$11*(1+'Assumptions'!$D$13)^(16-1)</x:f>
        <x:v>138.06098759626275</x:v>
      </x:c>
      <x:c r="S2048" s="10" t="n">
        <x:f>IF(I2048=0,0,J2048*'Assumptions'!$W$150+H2048*'Assumptions'!$X$150)</x:f>
        <x:v>1387.0255534586813</x:v>
      </x:c>
      <x:c r="T2048" s="10" t="n">
        <x:f>N2048*'Assumptions'!$AA$150</x:f>
        <x:v>1851.0020446811427</x:v>
      </x:c>
      <x:c r="U2048" s="10" t="n">
        <x:f>'Assumptions'!$AE$150*'Assumptions'!$D$11*(1+'Assumptions'!$D$13)^(16-1)</x:f>
        <x:v>0</x:v>
      </x:c>
      <x:c r="V2048" s="10" t="n">
        <x:f>0</x:f>
        <x:v>0</x:v>
      </x:c>
      <x:c r="W2048" s="10" t="n">
        <x:f>H2048*('Assumptions'!$P$150+'Assumptions'!$Y$150)</x:f>
        <x:v>215.63249627125805</x:v>
      </x:c>
      <x:c r="X2048" s="10" t="n">
        <x:f>N2048/12*'Assumptions'!$AF$150</x:f>
        <x:v>3856.2542597523807</x:v>
      </x:c>
      <x:c r="Y2048" s="10" t="n">
        <x:f>P2048/12</x:f>
        <x:v>306.80219465836166</x:v>
      </x:c>
      <x:c r="Z2048" s="10" t="n">
        <x:f>0</x:f>
        <x:v>0</x:v>
      </x:c>
      <x:c r="AA2048" s="10" t="n">
        <x:f>Z2048*'Assumptions'!$AC$150*'Assumptions'!$D$11*(1+'Assumptions'!$D$13)^(16-1)</x:f>
        <x:v>0</x:v>
      </x:c>
      <x:c r="AB2048" s="10" t="n">
        <x:f>F2048/1</x:f>
        <x:v>6.0799704303829865</x:v>
      </x:c>
      <x:c r="AC2048" s="10" t="n">
        <x:f>AB2048/'Assumptions'!$AM$150</x:f>
        <x:v>30.39985215191493</x:v>
      </x:c>
      <x:c r="AD2048" s="10" t="n">
        <x:f>IF(AB2048=0,0,T2048/AB2048)</x:f>
        <x:v>304.442606403358</x:v>
      </x:c>
      <x:c r="AE2048" s="10" t="n">
        <x:f>AA2048*'Assumptions'!$D$21</x:f>
        <x:v>0</x:v>
      </x:c>
    </x:row>
    <x:row r="2049" ht="16" customHeight="1">
      <x:c r="A2049" s="1"/>
      <x:c r="B2049" s="1"/>
      <x:c r="C2049" s="1" t="str">
        <x:v>DOT-122</x:v>
      </x:c>
      <x:c r="D2049" s="10" t="str">
        <x:v>OsezArt</x:v>
      </x:c>
      <x:c r="E2049" s="10" t="n">
        <x:v>16</x:v>
      </x:c>
      <x:c r="F2049" s="21" t="n">
        <x:f>F1921*(1+'Assumptions'!$M$151)</x:f>
        <x:v>2.0266568101276623</x:v>
      </x:c>
      <x:c r="G2049" s="21" t="n">
        <x:f>H1921*'Assumptions'!$K$151</x:f>
        <x:v>1.9118362724523936</x:v>
      </x:c>
      <x:c r="H2049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2049+G2049,NA())</x:f>
        <x:v>3.938493082580056</x:v>
      </x:c>
      <x:c r="I2049" s="22" t="n">
        <x:f>'Assumptions'!$H$151*IF('Assumptions'!$O$151=1,1,'Assumptions'!$D$10)*(1+'Assumptions'!$N$151)^(16-1)</x:f>
        <x:v>13458.6833832413</x:v>
      </x:c>
      <x:c r="J2049" s="10" t="n">
        <x:f>H2049*I2049</x:f>
        <x:v>53006.931405531</x:v>
      </x:c>
      <x:c r="K2049" s="10" t="n">
        <x:f>J2049*'Assumptions'!$T$151</x:f>
        <x:v>53006.931405531</x:v>
      </x:c>
      <x:c r="L2049" s="10" t="n">
        <x:f>K2049*'Assumptions'!$U$151</x:f>
        <x:v>1590.20794216593</x:v>
      </x:c>
      <x:c r="M2049" s="10" t="n">
        <x:f>K2049*'Assumptions'!$V$151</x:f>
        <x:v>0</x:v>
      </x:c>
      <x:c r="N2049" s="10" t="n">
        <x:f>K2049-L2049-M2049</x:f>
        <x:v>51416.72346336507</x:v>
      </x:c>
      <x:c r="O2049" s="10" t="n">
        <x:f>H2049*'Assumptions'!$P$151*'Assumptions'!$Q$151*'Assumptions'!$D$11*(1+'Assumptions'!$D$13)^(16-1)</x:f>
        <x:v>23930.57118335221</x:v>
      </x:c>
      <x:c r="P2049" s="10" t="n">
        <x:f>H2049*'Assumptions'!$R$151*'Assumptions'!$D$11*(1+'Assumptions'!$D$13)^(16-1)</x:f>
        <x:v>3068.021946583617</x:v>
      </x:c>
      <x:c r="Q2049" s="10" t="n">
        <x:f>J2049*'Assumptions'!$S$151</x:f>
        <x:v>0</x:v>
      </x:c>
      <x:c r="R2049" s="10" t="n">
        <x:f>H2049*'Assumptions'!$Y$151*'Assumptions'!$Z$151*'Assumptions'!$D$11*(1+'Assumptions'!$D$13)^(16-1)</x:f>
        <x:v>46.020329198754254</x:v>
      </x:c>
      <x:c r="S2049" s="10" t="n">
        <x:f>IF(I2049=0,0,J2049*'Assumptions'!$W$151+H2049*'Assumptions'!$X$151)</x:f>
        <x:v>1538.3825586851733</x:v>
      </x:c>
      <x:c r="T2049" s="10" t="n">
        <x:f>N2049*'Assumptions'!$AA$151</x:f>
        <x:v>2056.668938534603</x:v>
      </x:c>
      <x:c r="U2049" s="10" t="n">
        <x:f>'Assumptions'!$AE$151*'Assumptions'!$D$11*(1+'Assumptions'!$D$13)^(16-1)</x:f>
        <x:v>0</x:v>
      </x:c>
      <x:c r="V2049" s="10" t="n">
        <x:f>0</x:f>
        <x:v>0</x:v>
      </x:c>
      <x:c r="W2049" s="10" t="n">
        <x:f>H2049*('Assumptions'!$P$151+'Assumptions'!$Y$151)</x:f>
        <x:v>237.29420822544836</x:v>
      </x:c>
      <x:c r="X2049" s="10" t="n">
        <x:f>N2049/12*'Assumptions'!$AF$151</x:f>
        <x:v>4284.726955280423</x:v>
      </x:c>
      <x:c r="Y2049" s="10" t="n">
        <x:f>P2049/12</x:f>
        <x:v>255.66849554863475</x:v>
      </x:c>
      <x:c r="Z2049" s="10" t="n">
        <x:f>0</x:f>
        <x:v>0</x:v>
      </x:c>
      <x:c r="AA2049" s="10" t="n">
        <x:f>Z2049*'Assumptions'!$AC$151*'Assumptions'!$D$11*(1+'Assumptions'!$D$13)^(16-1)</x:f>
        <x:v>0</x:v>
      </x:c>
      <x:c r="AB2049" s="10" t="n">
        <x:f>F2049/1</x:f>
        <x:v>2.0266568101276623</x:v>
      </x:c>
      <x:c r="AC2049" s="10" t="n">
        <x:f>AB2049/'Assumptions'!$AM$151</x:f>
        <x:v>10.133284050638311</x:v>
      </x:c>
      <x:c r="AD2049" s="10" t="n">
        <x:f>IF(AB2049=0,0,T2049/AB2049)</x:f>
        <x:v>1014.8086880111933</x:v>
      </x:c>
      <x:c r="AE2049" s="10" t="n">
        <x:f>AA2049*'Assumptions'!$D$21</x:f>
        <x:v>0</x:v>
      </x:c>
    </x:row>
    <x:row r="2050" ht="16" customHeight="1">
      <x:c r="A2050" s="1"/>
      <x:c r="B2050" s="1"/>
      <x:c r="C2050" s="1" t="str">
        <x:v>DOT-123</x:v>
      </x:c>
      <x:c r="D2050" s="10" t="str">
        <x:v>FinBot research</x:v>
      </x:c>
      <x:c r="E2050" s="10" t="n">
        <x:v>16</x:v>
      </x:c>
      <x:c r="F2050" s="21" t="n">
        <x:f>F1922*(1+'Assumptions'!$M$152)</x:f>
        <x:v>217.89303222228727</x:v>
      </x:c>
      <x:c r="G2050" s="21" t="n">
        <x:f>H1922*'Assumptions'!$K$152</x:f>
        <x:v>69.83750867260426</x:v>
      </x:c>
      <x:c r="H2050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2050+G2050,NA())</x:f>
        <x:v>287.73054089489153</x:v>
      </x:c>
      <x:c r="I2050" s="22" t="n">
        <x:f>'Assumptions'!$H$152*IF('Assumptions'!$O$152=1,1,'Assumptions'!$D$10)*(1+'Assumptions'!$N$152)^(16-1)</x:f>
        <x:v>39.030181811399764</x:v>
      </x:c>
      <x:c r="J2050" s="10" t="n">
        <x:f>H2050*I2050</x:f>
        <x:v>11230.17532382001</x:v>
      </x:c>
      <x:c r="K2050" s="10" t="n">
        <x:f>J2050*'Assumptions'!$T$152</x:f>
        <x:v>11230.17532382001</x:v>
      </x:c>
      <x:c r="L2050" s="10" t="n">
        <x:f>K2050*'Assumptions'!$U$152</x:f>
        <x:v>336.90525971460033</x:v>
      </x:c>
      <x:c r="M2050" s="10" t="n">
        <x:f>K2050*'Assumptions'!$V$152</x:f>
        <x:v>0</x:v>
      </x:c>
      <x:c r="N2050" s="10" t="n">
        <x:f>K2050-L2050-M2050</x:f>
        <x:v>10893.27006410541</x:v>
      </x:c>
      <x:c r="O2050" s="10" t="n">
        <x:f>H2050*'Assumptions'!$P$152*'Assumptions'!$Q$152*'Assumptions'!$D$11*(1+'Assumptions'!$D$13)^(16-1)</x:f>
        <x:v>4034.4732672763944</x:v>
      </x:c>
      <x:c r="P2050" s="10" t="n">
        <x:f>H2050*'Assumptions'!$R$152*'Assumptions'!$D$11*(1+'Assumptions'!$D$13)^(16-1)</x:f>
        <x:v>0</x:v>
      </x:c>
      <x:c r="Q2050" s="10" t="n">
        <x:f>J2050*'Assumptions'!$S$152</x:f>
        <x:v>0</x:v>
      </x:c>
      <x:c r="R2050" s="10" t="n">
        <x:f>H2050*'Assumptions'!$Y$152*'Assumptions'!$Z$152*'Assumptions'!$D$11*(1+'Assumptions'!$D$13)^(16-1)</x:f>
        <x:v>1344.824422425465</x:v>
      </x:c>
      <x:c r="S2050" s="10" t="n">
        <x:f>IF(I2050=0,0,J2050*'Assumptions'!$W$152+H2050*'Assumptions'!$X$152)</x:f>
        <x:v>411.9942466592478</x:v>
      </x:c>
      <x:c r="T2050" s="10" t="n">
        <x:f>N2050*'Assumptions'!$AA$152</x:f>
        <x:v>544.6635032052706</x:v>
      </x:c>
      <x:c r="U2050" s="10" t="n">
        <x:f>'Assumptions'!$AE$152*'Assumptions'!$D$11*(1+'Assumptions'!$D$13)^(16-1)</x:f>
        <x:v>373.91217998418364</x:v>
      </x:c>
      <x:c r="V2050" s="10" t="n">
        <x:f>0</x:f>
        <x:v>0</x:v>
      </x:c>
      <x:c r="W2050" s="10" t="n">
        <x:f>H2050*('Assumptions'!$P$152+'Assumptions'!$Y$152)</x:f>
        <x:v>86.31916226846747</x:v>
      </x:c>
      <x:c r="X2050" s="10" t="n">
        <x:f>N2050/12*'Assumptions'!$AF$152</x:f>
        <x:v>0</x:v>
      </x:c>
      <x:c r="Y2050" s="10" t="n">
        <x:f>P2050/12</x:f>
        <x:v>0</x:v>
      </x:c>
      <x:c r="Z2050" s="10" t="n">
        <x:f>0</x:f>
        <x:v>0</x:v>
      </x:c>
      <x:c r="AA2050" s="10" t="n">
        <x:f>Z2050*'Assumptions'!$AC$152*'Assumptions'!$D$11*(1+'Assumptions'!$D$13)^(16-1)</x:f>
        <x:v>0</x:v>
      </x:c>
      <x:c r="AB2050" s="10" t="n">
        <x:f>F2050/12</x:f>
        <x:v>18.157752685190605</x:v>
      </x:c>
      <x:c r="AC2050" s="10" t="n">
        <x:f>AB2050/'Assumptions'!$AM$152</x:f>
        <x:v>363.1550537038121</x:v>
      </x:c>
      <x:c r="AD2050" s="10" t="n">
        <x:f>IF(AB2050=0,0,T2050/AB2050)</x:f>
        <x:v>29.99619571035881</x:v>
      </x:c>
      <x:c r="AE2050" s="10" t="n">
        <x:f>AA2050*'Assumptions'!$D$21</x:f>
        <x:v>0</x:v>
      </x:c>
    </x:row>
    <x:row r="2051" ht="16" customHeight="1">
      <x:c r="A2051" s="1"/>
      <x:c r="B2051" s="1"/>
      <x:c r="C2051" s="1" t="str">
        <x:v>DOT-124</x:v>
      </x:c>
      <x:c r="D2051" s="10" t="str">
        <x:v>Functional Analysis</x:v>
      </x:c>
      <x:c r="E2051" s="10" t="n">
        <x:v>16</x:v>
      </x:c>
      <x:c r="F2051" s="21" t="n">
        <x:f>F1923*(1+'Assumptions'!$M$153)</x:f>
        <x:v>435.78606444457455</x:v>
      </x:c>
      <x:c r="G2051" s="21" t="n">
        <x:f>H1923*'Assumptions'!$K$153</x:f>
        <x:v>139.67501734520852</x:v>
      </x:c>
      <x:c r="H2051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2051+G2051,NA())</x:f>
        <x:v>575.4610817897831</x:v>
      </x:c>
      <x:c r="I2051" s="22" t="n">
        <x:f>'Assumptions'!$H$153*IF('Assumptions'!$O$153=1,1,'Assumptions'!$D$10)*(1+'Assumptions'!$N$153)^(16-1)</x:f>
        <x:v>25.571498428158467</x:v>
      </x:c>
      <x:c r="J2051" s="10" t="n">
        <x:f>H2051*I2051</x:f>
        <x:v>14715.402148453808</x:v>
      </x:c>
      <x:c r="K2051" s="10" t="n">
        <x:f>J2051*'Assumptions'!$T$153</x:f>
        <x:v>14715.402148453808</x:v>
      </x:c>
      <x:c r="L2051" s="10" t="n">
        <x:f>K2051*'Assumptions'!$U$153</x:f>
        <x:v>441.46206445361423</x:v>
      </x:c>
      <x:c r="M2051" s="10" t="n">
        <x:f>K2051*'Assumptions'!$V$153</x:f>
        <x:v>0</x:v>
      </x:c>
      <x:c r="N2051" s="10" t="n">
        <x:f>K2051-L2051-M2051</x:f>
        <x:v>14273.940084000194</x:v>
      </x:c>
      <x:c r="O2051" s="10" t="n">
        <x:f>H2051*'Assumptions'!$P$153*'Assumptions'!$Q$153*'Assumptions'!$D$11*(1+'Assumptions'!$D$13)^(16-1)</x:f>
        <x:v>3137.9236523260847</x:v>
      </x:c>
      <x:c r="P2051" s="10" t="n">
        <x:f>H2051*'Assumptions'!$R$153*'Assumptions'!$D$11*(1+'Assumptions'!$D$13)^(16-1)</x:f>
        <x:v>0</x:v>
      </x:c>
      <x:c r="Q2051" s="10" t="n">
        <x:f>J2051*'Assumptions'!$S$153</x:f>
        <x:v>0</x:v>
      </x:c>
      <x:c r="R2051" s="10" t="n">
        <x:f>H2051*'Assumptions'!$Y$153*'Assumptions'!$Z$153*'Assumptions'!$D$11*(1+'Assumptions'!$D$13)^(16-1)</x:f>
        <x:v>2689.64884485093</x:v>
      </x:c>
      <x:c r="S2051" s="10" t="n">
        <x:f>IF(I2051=0,0,J2051*'Assumptions'!$W$153+H2051*'Assumptions'!$X$153)</x:f>
        <x:v>599.3849868420954</x:v>
      </x:c>
      <x:c r="T2051" s="10" t="n">
        <x:f>N2051*'Assumptions'!$AA$153</x:f>
        <x:v>713.6970042000098</x:v>
      </x:c>
      <x:c r="U2051" s="10" t="n">
        <x:f>'Assumptions'!$AE$153*'Assumptions'!$D$11*(1+'Assumptions'!$D$13)^(16-1)</x:f>
        <x:v>0</x:v>
      </x:c>
      <x:c r="V2051" s="10" t="n">
        <x:f>0</x:f>
        <x:v>0</x:v>
      </x:c>
      <x:c r="W2051" s="10" t="n">
        <x:f>H2051*('Assumptions'!$P$153+'Assumptions'!$Y$153)</x:f>
        <x:v>115.09221635795662</x:v>
      </x:c>
      <x:c r="X2051" s="10" t="n">
        <x:f>N2051/12*'Assumptions'!$AF$153</x:f>
        <x:v>0</x:v>
      </x:c>
      <x:c r="Y2051" s="10" t="n">
        <x:f>P2051/12</x:f>
        <x:v>0</x:v>
      </x:c>
      <x:c r="Z2051" s="10" t="n">
        <x:f>0</x:f>
        <x:v>0</x:v>
      </x:c>
      <x:c r="AA2051" s="10" t="n">
        <x:f>Z2051*'Assumptions'!$AC$153*'Assumptions'!$D$11*(1+'Assumptions'!$D$13)^(16-1)</x:f>
        <x:v>0</x:v>
      </x:c>
      <x:c r="AB2051" s="10" t="n">
        <x:f>F2051/1</x:f>
        <x:v>435.78606444457455</x:v>
      </x:c>
      <x:c r="AC2051" s="10" t="n">
        <x:f>AB2051/'Assumptions'!$AM$153</x:f>
        <x:v>8715.721288891491</x:v>
      </x:c>
      <x:c r="AD2051" s="10" t="n">
        <x:f>IF(AB2051=0,0,T2051/AB2051)</x:f>
        <x:v>1.637723329013843</x:v>
      </x:c>
      <x:c r="AE2051" s="10" t="n">
        <x:f>AA2051*'Assumptions'!$D$21</x:f>
        <x:v>0</x:v>
      </x:c>
    </x:row>
    <x:row r="2052" ht="16" customHeight="1">
      <x:c r="A2052" s="1"/>
      <x:c r="B2052" s="1"/>
      <x:c r="C2052" s="1" t="str">
        <x:v>DOT-125</x:v>
      </x:c>
      <x:c r="D2052" s="10" t="str">
        <x:v>Functional Analysis</x:v>
      </x:c>
      <x:c r="E2052" s="10" t="n">
        <x:v>16</x:v>
      </x:c>
      <x:c r="F2052" s="21" t="n">
        <x:f>F1924*(1+'Assumptions'!$M$154)</x:f>
        <x:v>36.4798225822979</x:v>
      </x:c>
      <x:c r="G2052" s="21" t="n">
        <x:f>H1924*'Assumptions'!$K$154</x:f>
        <x:v>34.413052904143065</x:v>
      </x:c>
      <x:c r="H2052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2052+G2052,NA())</x:f>
        <x:v>70.89287548644097</x:v>
      </x:c>
      <x:c r="I2052" s="22" t="n">
        <x:f>'Assumptions'!$H$154*IF('Assumptions'!$O$154=1,1,'Assumptions'!$D$10)*(1+'Assumptions'!$N$154)^(16-1)</x:f>
        <x:v>133.24096549408887</x:v>
      </x:c>
      <x:c r="J2052" s="10" t="n">
        <x:f>H2052*I2052</x:f>
        <x:v>9445.83517646562</x:v>
      </x:c>
      <x:c r="K2052" s="10" t="n">
        <x:f>J2052*'Assumptions'!$T$154</x:f>
        <x:v>9445.83517646562</x:v>
      </x:c>
      <x:c r="L2052" s="10" t="n">
        <x:f>K2052*'Assumptions'!$U$154</x:f>
        <x:v>283.3750552939686</x:v>
      </x:c>
      <x:c r="M2052" s="10" t="n">
        <x:f>K2052*'Assumptions'!$V$154</x:f>
        <x:v>0</x:v>
      </x:c>
      <x:c r="N2052" s="10" t="n">
        <x:f>K2052-L2052-M2052</x:f>
        <x:v>9162.46012117165</x:v>
      </x:c>
      <x:c r="O2052" s="10" t="n">
        <x:f>H2052*'Assumptions'!$P$154*'Assumptions'!$Q$154*'Assumptions'!$D$11*(1+'Assumptions'!$D$13)^(16-1)</x:f>
        <x:v>4417.951603080406</x:v>
      </x:c>
      <x:c r="P2052" s="10" t="n">
        <x:f>H2052*'Assumptions'!$R$154*'Assumptions'!$D$11*(1+'Assumptions'!$D$13)^(16-1)</x:f>
        <x:v>0</x:v>
      </x:c>
      <x:c r="Q2052" s="10" t="n">
        <x:f>J2052*'Assumptions'!$S$154</x:f>
        <x:v>0</x:v>
      </x:c>
      <x:c r="R2052" s="10" t="n">
        <x:f>H2052*'Assumptions'!$Y$154*'Assumptions'!$Z$154*'Assumptions'!$D$11*(1+'Assumptions'!$D$13)^(16-1)</x:f>
        <x:v>828.3659255775761</x:v>
      </x:c>
      <x:c r="S2052" s="10" t="n">
        <x:f>IF(I2052=0,0,J2052*'Assumptions'!$W$154+H2052*'Assumptions'!$X$154)</x:f>
        <x:v>295.1970827634353</x:v>
      </x:c>
      <x:c r="T2052" s="10" t="n">
        <x:f>N2052*'Assumptions'!$AA$154</x:f>
        <x:v>366.49840484686604</x:v>
      </x:c>
      <x:c r="U2052" s="10" t="n">
        <x:f>'Assumptions'!$AE$154*'Assumptions'!$D$11*(1+'Assumptions'!$D$13)^(16-1)</x:f>
        <x:v>0</x:v>
      </x:c>
      <x:c r="V2052" s="10" t="n">
        <x:f>0</x:f>
        <x:v>0</x:v>
      </x:c>
      <x:c r="W2052" s="10" t="n">
        <x:f>H2052*('Assumptions'!$P$154+'Assumptions'!$Y$154)</x:f>
        <x:v>88.61609435805121</x:v>
      </x:c>
      <x:c r="X2052" s="10" t="n">
        <x:f>N2052/12*'Assumptions'!$AF$154</x:f>
        <x:v>763.5383434309709</x:v>
      </x:c>
      <x:c r="Y2052" s="10" t="n">
        <x:f>P2052/12</x:f>
        <x:v>0</x:v>
      </x:c>
      <x:c r="Z2052" s="10" t="n">
        <x:f>0</x:f>
        <x:v>0</x:v>
      </x:c>
      <x:c r="AA2052" s="10" t="n">
        <x:f>Z2052*'Assumptions'!$AC$154*'Assumptions'!$D$11*(1+'Assumptions'!$D$13)^(16-1)</x:f>
        <x:v>0</x:v>
      </x:c>
      <x:c r="AB2052" s="10" t="n">
        <x:f>F2052/1</x:f>
        <x:v>36.4798225822979</x:v>
      </x:c>
      <x:c r="AC2052" s="10" t="n">
        <x:f>AB2052/'Assumptions'!$AM$154</x:f>
        <x:v>182.39911291148948</x:v>
      </x:c>
      <x:c r="AD2052" s="10" t="n">
        <x:f>IF(AB2052=0,0,T2052/AB2052)</x:f>
        <x:v>10.046606011310814</x:v>
      </x:c>
      <x:c r="AE2052" s="10" t="n">
        <x:f>AA2052*'Assumptions'!$D$21</x:f>
        <x:v>0</x:v>
      </x:c>
    </x:row>
    <x:row r="2053" ht="16" customHeight="1">
      <x:c r="A2053" s="1"/>
      <x:c r="B2053" s="1"/>
      <x:c r="C2053" s="1" t="str">
        <x:v>DOT-126</x:v>
      </x:c>
      <x:c r="D2053" s="10" t="str">
        <x:v>Independent candy game</x:v>
      </x:c>
      <x:c r="E2053" s="10" t="n">
        <x:v>16</x:v>
      </x:c>
      <x:c r="F2053" s="21" t="n">
        <x:f>F1925*(1+'Assumptions'!$M$155)</x:f>
        <x:v>1089.4651611114366</x:v>
      </x:c>
      <x:c r="G2053" s="21" t="n">
        <x:f>H1925*'Assumptions'!$K$155</x:f>
        <x:v>349.18754336302135</x:v>
      </x:c>
      <x:c r="H2053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2053+G2053,NA())</x:f>
        <x:v>1438.652704474458</x:v>
      </x:c>
      <x:c r="I2053" s="22" t="n">
        <x:f>'Assumptions'!$H$155*IF('Assumptions'!$O$155=1,1,'Assumptions'!$D$10)*(1+'Assumptions'!$N$155)^(16-1)</x:f>
        <x:v>6.715883008237409</x:v>
      </x:c>
      <x:c r="J2053" s="10" t="n">
        <x:f>H2053*I2053</x:f>
        <x:v>9661.823252734806</x:v>
      </x:c>
      <x:c r="K2053" s="10" t="n">
        <x:f>J2053*'Assumptions'!$T$155</x:f>
        <x:v>9661.823252734806</x:v>
      </x:c>
      <x:c r="L2053" s="10" t="n">
        <x:f>K2053*'Assumptions'!$U$155</x:f>
        <x:v>289.8546975820442</x:v>
      </x:c>
      <x:c r="M2053" s="10" t="n">
        <x:f>K2053*'Assumptions'!$V$155</x:f>
        <x:v>0</x:v>
      </x:c>
      <x:c r="N2053" s="10" t="n">
        <x:f>K2053-L2053-M2053</x:f>
        <x:v>9371.968555152762</x:v>
      </x:c>
      <x:c r="O2053" s="10" t="n">
        <x:f>H2053*'Assumptions'!$P$155*'Assumptions'!$Q$155*'Assumptions'!$D$11*(1+'Assumptions'!$D$13)^(16-1)</x:f>
        <x:v>1568.9618261630428</x:v>
      </x:c>
      <x:c r="P2053" s="10" t="n">
        <x:f>H2053*'Assumptions'!$R$155*'Assumptions'!$D$11*(1+'Assumptions'!$D$13)^(16-1)</x:f>
        <x:v>0</x:v>
      </x:c>
      <x:c r="Q2053" s="10" t="n">
        <x:f>J2053*'Assumptions'!$S$155</x:f>
        <x:v>0</x:v>
      </x:c>
      <x:c r="R2053" s="10" t="n">
        <x:f>H2053*'Assumptions'!$Y$155*'Assumptions'!$Z$155*'Assumptions'!$D$11*(1+'Assumptions'!$D$13)^(16-1)</x:f>
        <x:v>6724.122112127326</x:v>
      </x:c>
      <x:c r="S2053" s="10" t="n">
        <x:f>IF(I2053=0,0,J2053*'Assumptions'!$W$155+H2053*'Assumptions'!$X$155)</x:f>
        <x:v>711.7886856716468</x:v>
      </x:c>
      <x:c r="T2053" s="10" t="n">
        <x:f>N2053*'Assumptions'!$AA$155</x:f>
        <x:v>468.5984277576381</x:v>
      </x:c>
      <x:c r="U2053" s="10" t="n">
        <x:f>'Assumptions'!$AE$155*'Assumptions'!$D$11*(1+'Assumptions'!$D$13)^(16-1)</x:f>
        <x:v>0</x:v>
      </x:c>
      <x:c r="V2053" s="10" t="n">
        <x:f>0</x:f>
        <x:v>0</x:v>
      </x:c>
      <x:c r="W2053" s="10" t="n">
        <x:f>H2053*('Assumptions'!$P$155+'Assumptions'!$Y$155)</x:f>
        <x:v>172.638324536935</x:v>
      </x:c>
      <x:c r="X2053" s="10" t="n">
        <x:f>N2053/12*'Assumptions'!$AF$155</x:f>
        <x:v>0</x:v>
      </x:c>
      <x:c r="Y2053" s="10" t="n">
        <x:f>P2053/12</x:f>
        <x:v>0</x:v>
      </x:c>
      <x:c r="Z2053" s="10" t="n">
        <x:f>0</x:f>
        <x:v>0</x:v>
      </x:c>
      <x:c r="AA2053" s="10" t="n">
        <x:f>Z2053*'Assumptions'!$AC$155*'Assumptions'!$D$11*(1+'Assumptions'!$D$13)^(16-1)</x:f>
        <x:v>0</x:v>
      </x:c>
      <x:c r="AB2053" s="10" t="n">
        <x:f>F2053/1</x:f>
        <x:v>1089.4651611114366</x:v>
      </x:c>
      <x:c r="AC2053" s="10" t="n">
        <x:f>AB2053/'Assumptions'!$AM$155</x:f>
        <x:v>21789.30322222873</x:v>
      </x:c>
      <x:c r="AD2053" s="10" t="n">
        <x:f>IF(AB2053=0,0,T2053/AB2053)</x:f>
        <x:v>0.43011786377784617</x:v>
      </x:c>
      <x:c r="AE2053" s="10" t="n">
        <x:f>AA2053*'Assumptions'!$D$21</x:f>
        <x:v>0</x:v>
      </x:c>
    </x:row>
    <x:row r="2054" ht="16" customHeight="1">
      <x:c r="A2054" s="1"/>
      <x:c r="B2054" s="1"/>
      <x:c r="C2054" s="1" t="str">
        <x:v>DOT-127</x:v>
      </x:c>
      <x:c r="D2054" s="10" t="str">
        <x:v>Learn Anglais</x:v>
      </x:c>
      <x:c r="E2054" s="10" t="n">
        <x:v>16</x:v>
      </x:c>
      <x:c r="F2054" s="21" t="n">
        <x:f>F1926*(1+'Assumptions'!$M$156)</x:f>
        <x:v>258.3312618900791</x:v>
      </x:c>
      <x:c r="G2054" s="21" t="n">
        <x:f>H1926*'Assumptions'!$K$156</x:f>
        <x:v>545.3567394262303</x:v>
      </x:c>
      <x:c r="H2054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2054+G2054,NA())</x:f>
        <x:v>803.6880013163094</x:v>
      </x:c>
      <x:c r="I2054" s="22" t="n">
        <x:f>'Assumptions'!$H$156*IF('Assumptions'!$O$156=1,1,'Assumptions'!$D$10)*(1+'Assumptions'!$N$156)^(16-1)</x:f>
        <x:v>32.30084011977912</x:v>
      </x:c>
      <x:c r="J2054" s="10" t="n">
        <x:f>H2054*I2054</x:f>
        <x:v>25959.797636702937</x:v>
      </x:c>
      <x:c r="K2054" s="10" t="n">
        <x:f>J2054*'Assumptions'!$T$156</x:f>
        <x:v>8653.265878900978</x:v>
      </x:c>
      <x:c r="L2054" s="10" t="n">
        <x:f>K2054*'Assumptions'!$U$156</x:f>
        <x:v>259.59797636702933</x:v>
      </x:c>
      <x:c r="M2054" s="10" t="n">
        <x:f>K2054*'Assumptions'!$V$156</x:f>
        <x:v>0</x:v>
      </x:c>
      <x:c r="N2054" s="10" t="n">
        <x:f>K2054-L2054-M2054</x:f>
        <x:v>8393.667902533949</x:v>
      </x:c>
      <x:c r="O2054" s="10" t="n">
        <x:f>H2054*'Assumptions'!$P$156*'Assumptions'!$Q$156*'Assumptions'!$D$11*(1+'Assumptions'!$D$13)^(16-1)</x:f>
        <x:v>4382.41901707331</x:v>
      </x:c>
      <x:c r="P2054" s="10" t="n">
        <x:f>H2054*'Assumptions'!$R$156*'Assumptions'!$D$11*(1+'Assumptions'!$D$13)^(16-1)</x:f>
        <x:v>0</x:v>
      </x:c>
      <x:c r="Q2054" s="10" t="n">
        <x:f>J2054*'Assumptions'!$S$156</x:f>
        <x:v>0</x:v>
      </x:c>
      <x:c r="R2054" s="10" t="n">
        <x:f>H2054*'Assumptions'!$Y$156*'Assumptions'!$Z$156*'Assumptions'!$D$11*(1+'Assumptions'!$D$13)^(16-1)</x:f>
        <x:v>5634.538736237113</x:v>
      </x:c>
      <x:c r="S2054" s="10" t="n">
        <x:f>IF(I2054=0,0,J2054*'Assumptions'!$W$156+H2054*'Assumptions'!$X$156)</x:f>
        <x:v>993.940531859278</x:v>
      </x:c>
      <x:c r="T2054" s="10" t="n">
        <x:f>N2054*'Assumptions'!$AA$156</x:f>
        <x:v>419.68339512669746</x:v>
      </x:c>
      <x:c r="U2054" s="10" t="n">
        <x:f>'Assumptions'!$AE$156*'Assumptions'!$D$11*(1+'Assumptions'!$D$13)^(16-1)</x:f>
        <x:v>0</x:v>
      </x:c>
      <x:c r="V2054" s="10" t="n">
        <x:f>0</x:f>
        <x:v>0</x:v>
      </x:c>
      <x:c r="W2054" s="10" t="n">
        <x:f>H2054*('Assumptions'!$P$156+'Assumptions'!$Y$156)</x:f>
        <x:v>200.92200032907735</x:v>
      </x:c>
      <x:c r="X2054" s="10" t="n">
        <x:f>N2054/12*'Assumptions'!$AF$156</x:f>
        <x:v>0</x:v>
      </x:c>
      <x:c r="Y2054" s="10" t="n">
        <x:f>P2054/12</x:f>
        <x:v>0</x:v>
      </x:c>
      <x:c r="Z2054" s="10" t="n">
        <x:f>0</x:f>
        <x:v>0</x:v>
      </x:c>
      <x:c r="AA2054" s="10" t="n">
        <x:f>Z2054*'Assumptions'!$AC$156*'Assumptions'!$D$11*(1+'Assumptions'!$D$13)^(16-1)</x:f>
        <x:v>0</x:v>
      </x:c>
      <x:c r="AB2054" s="10" t="n">
        <x:f>F2054/1</x:f>
        <x:v>258.3312618900791</x:v>
      </x:c>
      <x:c r="AC2054" s="10" t="n">
        <x:f>AB2054/'Assumptions'!$AM$156</x:f>
        <x:v>5166.6252378015815</x:v>
      </x:c>
      <x:c r="AD2054" s="10" t="n">
        <x:f>IF(AB2054=0,0,T2054/AB2054)</x:f>
        <x:v>1.624593911151467</x:v>
      </x:c>
      <x:c r="AE2054" s="10" t="n">
        <x:f>AA2054*'Assumptions'!$D$21</x:f>
        <x:v>0</x:v>
      </x:c>
    </x:row>
    <x:row r="2055" ht="16" customHeight="1">
      <x:c r="A2055" s="1"/>
      <x:c r="B2055" s="1"/>
      <x:c r="C2055" s="1" t="str">
        <x:v>DOT-128</x:v>
      </x:c>
      <x:c r="D2055" s="10" t="str">
        <x:v>Learn Anglais</x:v>
      </x:c>
      <x:c r="E2055" s="10" t="n">
        <x:v>16</x:v>
      </x:c>
      <x:c r="F2055" s="21" t="n">
        <x:f>F1927*(1+'Assumptions'!$M$157)</x:f>
        <x:v>103.33250475603161</x:v>
      </x:c>
      <x:c r="G2055" s="21" t="n">
        <x:f>H1927*'Assumptions'!$K$157</x:f>
        <x:v>218.14269577049214</x:v>
      </x:c>
      <x:c r="H2055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2055+G2055,NA())</x:f>
        <x:v>321.47520052652374</x:v>
      </x:c>
      <x:c r="I2055" s="22" t="n">
        <x:f>'Assumptions'!$H$157*IF('Assumptions'!$O$157=1,1,'Assumptions'!$D$10)*(1+'Assumptions'!$N$157)^(16-1)</x:f>
        <x:v>222.06827582348143</x:v>
      </x:c>
      <x:c r="J2055" s="10" t="n">
        <x:f>H2055*I2055</x:f>
        <x:v>71389.44350093308</x:v>
      </x:c>
      <x:c r="K2055" s="10" t="n">
        <x:f>J2055*'Assumptions'!$T$157</x:f>
        <x:v>21416.83305027992</x:v>
      </x:c>
      <x:c r="L2055" s="10" t="n">
        <x:f>K2055*'Assumptions'!$U$157</x:f>
        <x:v>642.5049915083977</x:v>
      </x:c>
      <x:c r="M2055" s="10" t="n">
        <x:f>K2055*'Assumptions'!$V$157</x:f>
        <x:v>0</x:v>
      </x:c>
      <x:c r="N2055" s="10" t="n">
        <x:f>K2055-L2055-M2055</x:f>
        <x:v>20774.328058771524</x:v>
      </x:c>
      <x:c r="O2055" s="10" t="n">
        <x:f>H2055*'Assumptions'!$P$157*'Assumptions'!$Q$157*'Assumptions'!$D$11*(1+'Assumptions'!$D$13)^(16-1)</x:f>
        <x:v>1752.967606829324</x:v>
      </x:c>
      <x:c r="P2055" s="10" t="n">
        <x:f>H2055*'Assumptions'!$R$157*'Assumptions'!$D$11*(1+'Assumptions'!$D$13)^(16-1)</x:f>
        <x:v>0</x:v>
      </x:c>
      <x:c r="Q2055" s="10" t="n">
        <x:f>J2055*'Assumptions'!$S$157</x:f>
        <x:v>0</x:v>
      </x:c>
      <x:c r="R2055" s="10" t="n">
        <x:f>H2055*'Assumptions'!$Y$157*'Assumptions'!$Z$157*'Assumptions'!$D$11*(1+'Assumptions'!$D$13)^(16-1)</x:f>
        <x:v>2253.815494494845</x:v>
      </x:c>
      <x:c r="S2055" s="10" t="n">
        <x:f>IF(I2055=0,0,J2055*'Assumptions'!$W$157+H2055*'Assumptions'!$X$157)</x:f>
        <x:v>2166.7364216850165</x:v>
      </x:c>
      <x:c r="T2055" s="10" t="n">
        <x:f>N2055*'Assumptions'!$AA$157</x:f>
        <x:v>1038.7164029385763</x:v>
      </x:c>
      <x:c r="U2055" s="10" t="n">
        <x:f>'Assumptions'!$AE$157*'Assumptions'!$D$11*(1+'Assumptions'!$D$13)^(16-1)</x:f>
        <x:v>0</x:v>
      </x:c>
      <x:c r="V2055" s="10" t="n">
        <x:f>0</x:f>
        <x:v>0</x:v>
      </x:c>
      <x:c r="W2055" s="10" t="n">
        <x:f>H2055*('Assumptions'!$P$157+'Assumptions'!$Y$157)</x:f>
        <x:v>80.36880013163093</x:v>
      </x:c>
      <x:c r="X2055" s="10" t="n">
        <x:f>N2055/12*'Assumptions'!$AF$157</x:f>
        <x:v>0</x:v>
      </x:c>
      <x:c r="Y2055" s="10" t="n">
        <x:f>P2055/12</x:f>
        <x:v>0</x:v>
      </x:c>
      <x:c r="Z2055" s="10" t="n">
        <x:f>0</x:f>
        <x:v>0</x:v>
      </x:c>
      <x:c r="AA2055" s="10" t="n">
        <x:f>Z2055*'Assumptions'!$AC$157*'Assumptions'!$D$11*(1+'Assumptions'!$D$13)^(16-1)</x:f>
        <x:v>0</x:v>
      </x:c>
      <x:c r="AB2055" s="10" t="n">
        <x:f>F2055/1</x:f>
        <x:v>103.33250475603161</x:v>
      </x:c>
      <x:c r="AC2055" s="10" t="n">
        <x:f>AB2055/'Assumptions'!$AM$157</x:f>
        <x:v>2066.650095120632</x:v>
      </x:c>
      <x:c r="AD2055" s="10" t="n">
        <x:f>IF(AB2055=0,0,T2055/AB2055)</x:f>
        <x:v>10.052174825249704</x:v>
      </x:c>
      <x:c r="AE2055" s="10" t="n">
        <x:f>AA2055*'Assumptions'!$D$21</x:f>
        <x:v>0</x:v>
      </x:c>
    </x:row>
    <x:row r="2056" ht="16" customHeight="1">
      <x:c r="A2056" s="1"/>
      <x:c r="B2056" s="1"/>
      <x:c r="C2056" s="1" t="str">
        <x:v>DOT-001</x:v>
      </x:c>
      <x:c r="D2056" s="10" t="str">
        <x:v>ETV courses</x:v>
      </x:c>
      <x:c r="E2056" s="10" t="n">
        <x:v>17</x:v>
      </x:c>
      <x:c r="F2056" s="21" t="n">
        <x:f>F1928*(1+'Assumptions'!$M$30)</x:f>
        <x:v>448.8596463779118</x:v>
      </x:c>
      <x:c r="G2056" s="21" t="n">
        <x:f>H1928*'Assumptions'!$K$30</x:f>
        <x:v>143.86527047538544</x:v>
      </x:c>
      <x:c r="H2056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2056+G2056,NA())</x:f>
        <x:v>592.7249168532973</x:v>
      </x:c>
      <x:c r="I2056" s="22" t="n">
        <x:f>'Assumptions'!$H$30*IF('Assumptions'!$O$30=1,1,'Assumptions'!$D$10)*(1+'Assumptions'!$N$30)^(17-1)</x:f>
        <x:v>29</x:v>
      </x:c>
      <x:c r="J2056" s="10" t="n">
        <x:f>H2056*I2056</x:f>
        <x:v>17189.02258874562</x:v>
      </x:c>
      <x:c r="K2056" s="10" t="n">
        <x:f>J2056*'Assumptions'!$T$30</x:f>
        <x:v>17189.02258874562</x:v>
      </x:c>
      <x:c r="L2056" s="10" t="n">
        <x:f>K2056*'Assumptions'!$U$30</x:f>
        <x:v>515.6706776623687</x:v>
      </x:c>
      <x:c r="M2056" s="10" t="n">
        <x:f>K2056*'Assumptions'!$V$30</x:f>
        <x:v>0</x:v>
      </x:c>
      <x:c r="N2056" s="10" t="n">
        <x:f>K2056-L2056-M2056</x:f>
        <x:v>16673.351911083253</x:v>
      </x:c>
      <x:c r="O2056" s="10" t="n">
        <x:f>H2056*'Assumptions'!$P$30*'Assumptions'!$Q$30*'Assumptions'!$D$11*(1+'Assumptions'!$D$13)^(17-1)</x:f>
        <x:v>4993.534826116095</x:v>
      </x:c>
      <x:c r="P2056" s="10" t="n">
        <x:f>H2056*'Assumptions'!$R$30*'Assumptions'!$D$11*(1+'Assumptions'!$D$13)^(17-1)</x:f>
        <x:v>0</x:v>
      </x:c>
      <x:c r="Q2056" s="10" t="n">
        <x:f>J2056*'Assumptions'!$S$30</x:f>
        <x:v>0</x:v>
      </x:c>
      <x:c r="R2056" s="10" t="n">
        <x:f>H2056*'Assumptions'!$Y$30*'Assumptions'!$Z$30*'Assumptions'!$D$11*(1+'Assumptions'!$D$13)^(17-1)</x:f>
        <x:v>2853.44847206634</x:v>
      </x:c>
      <x:c r="S2056" s="10" t="n">
        <x:f>IF(I2056=0,0,J2056*'Assumptions'!$W$30+H2056*'Assumptions'!$X$30)</x:f>
        <x:v>676.2991301296122</x:v>
      </x:c>
      <x:c r="T2056" s="10" t="n">
        <x:f>N2056*'Assumptions'!$AA$30</x:f>
        <x:v>833.6675955541627</x:v>
      </x:c>
      <x:c r="U2056" s="10" t="n">
        <x:f>'Assumptions'!$AE$30*'Assumptions'!$D$11*(1+'Assumptions'!$D$13)^(17-1)</x:f>
        <x:v>0</x:v>
      </x:c>
      <x:c r="V2056" s="10" t="n">
        <x:f>0</x:f>
        <x:v>0</x:v>
      </x:c>
      <x:c r="W2056" s="10" t="n">
        <x:f>H2056*('Assumptions'!$P$30+'Assumptions'!$Y$30)</x:f>
        <x:v>148.18122921332431</x:v>
      </x:c>
      <x:c r="X2056" s="10" t="n">
        <x:f>N2056/12*'Assumptions'!$AF$30</x:f>
        <x:v>0</x:v>
      </x:c>
      <x:c r="Y2056" s="10" t="n">
        <x:f>P2056/12</x:f>
        <x:v>0</x:v>
      </x:c>
      <x:c r="Z2056" s="10" t="n">
        <x:f>0</x:f>
        <x:v>0</x:v>
      </x:c>
      <x:c r="AA2056" s="10" t="n">
        <x:f>Z2056*'Assumptions'!$AC$30*'Assumptions'!$D$11*(1+'Assumptions'!$D$13)^(17-1)</x:f>
        <x:v>0</x:v>
      </x:c>
      <x:c r="AB2056" s="10" t="n">
        <x:f>F2056/1</x:f>
        <x:v>448.8596463779118</x:v>
      </x:c>
      <x:c r="AC2056" s="10" t="n">
        <x:f>AB2056/'Assumptions'!$AM$30</x:f>
        <x:v>8977.192927558235</x:v>
      </x:c>
      <x:c r="AD2056" s="10" t="n">
        <x:f>IF(AB2056=0,0,T2056/AB2056)</x:f>
        <x:v>1.8573012795457817</x:v>
      </x:c>
      <x:c r="AE2056" s="10" t="n">
        <x:f>AA2056*'Assumptions'!$D$21</x:f>
        <x:v>0</x:v>
      </x:c>
    </x:row>
    <x:row r="2057" ht="16" customHeight="1">
      <x:c r="A2057" s="1"/>
      <x:c r="B2057" s="1"/>
      <x:c r="C2057" s="1" t="str">
        <x:v>DOT-002</x:v>
      </x:c>
      <x:c r="D2057" s="10" t="str">
        <x:v>ETV courses</x:v>
      </x:c>
      <x:c r="E2057" s="10" t="n">
        <x:v>17</x:v>
      </x:c>
      <x:c r="F2057" s="21" t="n">
        <x:f>F1929*(1+'Assumptions'!$M$31)</x:f>
        <x:v>710.6944400983605</x:v>
      </x:c>
      <x:c r="G2057" s="21" t="n">
        <x:f>H1929*'Assumptions'!$K$31</x:f>
        <x:v>227.78667825269366</x:v>
      </x:c>
      <x:c r="H2057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2057+G2057,NA())</x:f>
        <x:v>938.4811183510542</x:v>
      </x:c>
      <x:c r="I2057" s="22" t="n">
        <x:f>'Assumptions'!$H$31*IF('Assumptions'!$O$31=1,1,'Assumptions'!$D$10)*(1+'Assumptions'!$N$31)^(17-1)</x:f>
        <x:v>53.53864249853389</x:v>
      </x:c>
      <x:c r="J2057" s="10" t="n">
        <x:f>H2057*I2057</x:f>
        <x:v>50245.00508702136</x:v>
      </x:c>
      <x:c r="K2057" s="10" t="n">
        <x:f>J2057*'Assumptions'!$T$31</x:f>
        <x:v>50245.00508702136</x:v>
      </x:c>
      <x:c r="L2057" s="10" t="n">
        <x:f>K2057*'Assumptions'!$U$31</x:f>
        <x:v>1507.3501526106406</x:v>
      </x:c>
      <x:c r="M2057" s="10" t="n">
        <x:f>K2057*'Assumptions'!$V$31</x:f>
        <x:v>0</x:v>
      </x:c>
      <x:c r="N2057" s="10" t="n">
        <x:f>K2057-L2057-M2057</x:f>
        <x:v>48737.65493441072</x:v>
      </x:c>
      <x:c r="O2057" s="10" t="n">
        <x:f>H2057*'Assumptions'!$P$31*'Assumptions'!$Q$31*'Assumptions'!$D$11*(1+'Assumptions'!$D$13)^(17-1)</x:f>
        <x:v>7906.430141350485</x:v>
      </x:c>
      <x:c r="P2057" s="10" t="n">
        <x:f>H2057*'Assumptions'!$R$31*'Assumptions'!$D$11*(1+'Assumptions'!$D$13)^(17-1)</x:f>
        <x:v>0</x:v>
      </x:c>
      <x:c r="Q2057" s="10" t="n">
        <x:f>J2057*'Assumptions'!$S$31</x:f>
        <x:v>0</x:v>
      </x:c>
      <x:c r="R2057" s="10" t="n">
        <x:f>H2057*'Assumptions'!$Y$31*'Assumptions'!$Z$31*'Assumptions'!$D$11*(1+'Assumptions'!$D$13)^(17-1)</x:f>
        <x:v>4517.960080771706</x:v>
      </x:c>
      <x:c r="S2057" s="10" t="n">
        <x:f>IF(I2057=0,0,J2057*'Assumptions'!$W$31+H2057*'Assumptions'!$X$31)</x:f>
        <x:v>1738.6494830289357</x:v>
      </x:c>
      <x:c r="T2057" s="10" t="n">
        <x:f>N2057*'Assumptions'!$AA$31</x:f>
        <x:v>2436.882746720536</x:v>
      </x:c>
      <x:c r="U2057" s="10" t="n">
        <x:f>'Assumptions'!$AE$31*'Assumptions'!$D$11*(1+'Assumptions'!$D$13)^(17-1)</x:f>
        <x:v>0</x:v>
      </x:c>
      <x:c r="V2057" s="10" t="n">
        <x:f>0</x:f>
        <x:v>0</x:v>
      </x:c>
      <x:c r="W2057" s="10" t="n">
        <x:f>H2057*('Assumptions'!$P$31+'Assumptions'!$Y$31)</x:f>
        <x:v>234.62027958776355</x:v>
      </x:c>
      <x:c r="X2057" s="10" t="n">
        <x:f>N2057/12*'Assumptions'!$AF$31</x:f>
        <x:v>0</x:v>
      </x:c>
      <x:c r="Y2057" s="10" t="n">
        <x:f>P2057/12</x:f>
        <x:v>0</x:v>
      </x:c>
      <x:c r="Z2057" s="10" t="n">
        <x:f>0</x:f>
        <x:v>0</x:v>
      </x:c>
      <x:c r="AA2057" s="10" t="n">
        <x:f>Z2057*'Assumptions'!$AC$31*'Assumptions'!$D$11*(1+'Assumptions'!$D$13)^(17-1)</x:f>
        <x:v>0</x:v>
      </x:c>
      <x:c r="AB2057" s="10" t="n">
        <x:f>F2057/1</x:f>
        <x:v>710.6944400983605</x:v>
      </x:c>
      <x:c r="AC2057" s="10" t="n">
        <x:f>AB2057/'Assumptions'!$AM$31</x:f>
        <x:v>14213.888801967209</x:v>
      </x:c>
      <x:c r="AD2057" s="10" t="n">
        <x:f>IF(AB2057=0,0,T2057/AB2057)</x:f>
        <x:v>3.4288754902645224</x:v>
      </x:c>
      <x:c r="AE2057" s="10" t="n">
        <x:f>AA2057*'Assumptions'!$D$21</x:f>
        <x:v>0</x:v>
      </x:c>
    </x:row>
    <x:row r="2058" ht="16" customHeight="1">
      <x:c r="A2058" s="1"/>
      <x:c r="B2058" s="1"/>
      <x:c r="C2058" s="1" t="str">
        <x:v>DOT-003</x:v>
      </x:c>
      <x:c r="D2058" s="10" t="str">
        <x:v>ETV services</x:v>
      </x:c>
      <x:c r="E2058" s="10" t="n">
        <x:v>17</x:v>
      </x:c>
      <x:c r="F2058" s="21" t="n">
        <x:f>F1930*(1+'Assumptions'!$M$32)</x:f>
        <x:v>12.524739086588953</x:v>
      </x:c>
      <x:c r="G2058" s="21" t="n">
        <x:f>H1930*'Assumptions'!$K$32</x:f>
        <x:v>11.815570800474543</x:v>
      </x:c>
      <x:c r="H2058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2058+G2058,NA())</x:f>
        <x:v>24.340309887063498</x:v>
      </x:c>
      <x:c r="I2058" s="22" t="n">
        <x:f>'Assumptions'!$H$32*IF('Assumptions'!$O$32=1,1,'Assumptions'!$D$10)*(1+'Assumptions'!$N$32)^(17-1)</x:f>
        <x:v>2402.3749839085717</x:v>
      </x:c>
      <x:c r="J2058" s="10" t="n">
        <x:f>H2058*I2058</x:f>
        <x:v>58474.551573263816</x:v>
      </x:c>
      <x:c r="K2058" s="10" t="n">
        <x:f>J2058*'Assumptions'!$T$32</x:f>
        <x:v>58474.551573263816</x:v>
      </x:c>
      <x:c r="L2058" s="10" t="n">
        <x:f>K2058*'Assumptions'!$U$32</x:f>
        <x:v>1754.2365471979144</x:v>
      </x:c>
      <x:c r="M2058" s="10" t="n">
        <x:f>K2058*'Assumptions'!$V$32</x:f>
        <x:v>0</x:v>
      </x:c>
      <x:c r="N2058" s="10" t="n">
        <x:f>K2058-L2058-M2058</x:f>
        <x:v>56720.3150260659</x:v>
      </x:c>
      <x:c r="O2058" s="10" t="n">
        <x:f>H2058*'Assumptions'!$P$32*'Assumptions'!$Q$32*'Assumptions'!$D$11*(1+'Assumptions'!$D$13)^(17-1)</x:f>
        <x:v>35153.14680488763</x:v>
      </x:c>
      <x:c r="P2058" s="10" t="n">
        <x:f>H2058*'Assumptions'!$R$32*'Assumptions'!$D$11*(1+'Assumptions'!$D$13)^(17-1)</x:f>
        <x:v>976.4763001357674</x:v>
      </x:c>
      <x:c r="Q2058" s="10" t="n">
        <x:f>J2058*'Assumptions'!$S$32</x:f>
        <x:v>0</x:v>
      </x:c>
      <x:c r="R2058" s="10" t="n">
        <x:f>H2058*'Assumptions'!$Y$32*'Assumptions'!$Z$32*'Assumptions'!$D$11*(1+'Assumptions'!$D$13)^(17-1)</x:f>
        <x:v>292.9428900407302</x:v>
      </x:c>
      <x:c r="S2058" s="10" t="n">
        <x:f>IF(I2058=0,0,J2058*'Assumptions'!$W$32+H2058*'Assumptions'!$X$32)</x:f>
        <x:v>1703.0640885907699</x:v>
      </x:c>
      <x:c r="T2058" s="10" t="n">
        <x:f>N2058*'Assumptions'!$AA$32</x:f>
        <x:v>2268.8126010426363</x:v>
      </x:c>
      <x:c r="U2058" s="10" t="n">
        <x:f>'Assumptions'!$AE$32*'Assumptions'!$D$11*(1+'Assumptions'!$D$13)^(17-1)</x:f>
        <x:v>0</x:v>
      </x:c>
      <x:c r="V2058" s="10" t="n">
        <x:f>0</x:f>
        <x:v>0</x:v>
      </x:c>
      <x:c r="W2058" s="10" t="n">
        <x:f>H2058*('Assumptions'!$P$32+'Assumptions'!$Y$32)</x:f>
        <x:v>492.89127521303584</x:v>
      </x:c>
      <x:c r="X2058" s="10" t="n">
        <x:f>N2058/12*'Assumptions'!$AF$32</x:f>
        <x:v>4726.692918838825</x:v>
      </x:c>
      <x:c r="Y2058" s="10" t="n">
        <x:f>P2058/12</x:f>
        <x:v>81.37302501131394</x:v>
      </x:c>
      <x:c r="Z2058" s="10" t="n">
        <x:f>0</x:f>
        <x:v>0</x:v>
      </x:c>
      <x:c r="AA2058" s="10" t="n">
        <x:f>Z2058*'Assumptions'!$AC$32*'Assumptions'!$D$11*(1+'Assumptions'!$D$13)^(17-1)</x:f>
        <x:v>0</x:v>
      </x:c>
      <x:c r="AB2058" s="10" t="n">
        <x:f>F2058/1</x:f>
        <x:v>12.524739086588953</x:v>
      </x:c>
      <x:c r="AC2058" s="10" t="n">
        <x:f>AB2058/'Assumptions'!$AM$32</x:f>
        <x:v>62.623695432944764</x:v>
      </x:c>
      <x:c r="AD2058" s="10" t="n">
        <x:f>IF(AB2058=0,0,T2058/AB2058)</x:f>
        <x:v>181.14649617507806</x:v>
      </x:c>
      <x:c r="AE2058" s="10" t="n">
        <x:f>AA2058*'Assumptions'!$D$21</x:f>
        <x:v>0</x:v>
      </x:c>
    </x:row>
    <x:row r="2059" ht="16" customHeight="1">
      <x:c r="A2059" s="1"/>
      <x:c r="B2059" s="1"/>
      <x:c r="C2059" s="1" t="str">
        <x:v>DOT-004</x:v>
      </x:c>
      <x:c r="D2059" s="10" t="str">
        <x:v>ETV services</x:v>
      </x:c>
      <x:c r="E2059" s="10" t="n">
        <x:v>17</x:v>
      </x:c>
      <x:c r="F2059" s="21" t="n">
        <x:f>F1931*(1+'Assumptions'!$M$33)</x:f>
        <x:v>8.349826057725968</x:v>
      </x:c>
      <x:c r="G2059" s="21" t="n">
        <x:f>H1931*'Assumptions'!$K$33</x:f>
        <x:v>7.877047200316362</x:v>
      </x:c>
      <x:c r="H2059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2059+G2059,NA())</x:f>
        <x:v>16.226873258042332</x:v>
      </x:c>
      <x:c r="I2059" s="22" t="n">
        <x:f>'Assumptions'!$H$33*IF('Assumptions'!$O$33=1,1,'Assumptions'!$D$10)*(1+'Assumptions'!$N$33)^(17-1)</x:f>
        <x:v>3431.964262726531</x:v>
      </x:c>
      <x:c r="J2059" s="10" t="n">
        <x:f>H2059*I2059</x:f>
        <x:v>55690.04911739412</x:v>
      </x:c>
      <x:c r="K2059" s="10" t="n">
        <x:f>J2059*'Assumptions'!$T$33</x:f>
        <x:v>55690.04911739412</x:v>
      </x:c>
      <x:c r="L2059" s="10" t="n">
        <x:f>K2059*'Assumptions'!$U$33</x:f>
        <x:v>1670.7014735218236</x:v>
      </x:c>
      <x:c r="M2059" s="10" t="n">
        <x:f>K2059*'Assumptions'!$V$33</x:f>
        <x:v>0</x:v>
      </x:c>
      <x:c r="N2059" s="10" t="n">
        <x:f>K2059-L2059-M2059</x:f>
        <x:v>54019.347643872294</x:v>
      </x:c>
      <x:c r="O2059" s="10" t="n">
        <x:f>H2059*'Assumptions'!$P$33*'Assumptions'!$Q$33*'Assumptions'!$D$11*(1+'Assumptions'!$D$13)^(17-1)</x:f>
        <x:v>35153.14680488763</x:v>
      </x:c>
      <x:c r="P2059" s="10" t="n">
        <x:f>H2059*'Assumptions'!$R$33*'Assumptions'!$D$11*(1+'Assumptions'!$D$13)^(17-1)</x:f>
        <x:v>650.9842000905115</x:v>
      </x:c>
      <x:c r="Q2059" s="10" t="n">
        <x:f>J2059*'Assumptions'!$S$33</x:f>
        <x:v>0</x:v>
      </x:c>
      <x:c r="R2059" s="10" t="n">
        <x:f>H2059*'Assumptions'!$Y$33*'Assumptions'!$Z$33*'Assumptions'!$D$11*(1+'Assumptions'!$D$13)^(17-1)</x:f>
        <x:v>195.29526002715346</x:v>
      </x:c>
      <x:c r="S2059" s="10" t="n">
        <x:f>IF(I2059=0,0,J2059*'Assumptions'!$W$33+H2059*'Assumptions'!$X$33)</x:f>
        <x:v>1619.8794863818423</x:v>
      </x:c>
      <x:c r="T2059" s="10" t="n">
        <x:f>N2059*'Assumptions'!$AA$33</x:f>
        <x:v>2160.773905754892</x:v>
      </x:c>
      <x:c r="U2059" s="10" t="n">
        <x:f>'Assumptions'!$AE$33*'Assumptions'!$D$11*(1+'Assumptions'!$D$13)^(17-1)</x:f>
        <x:v>0</x:v>
      </x:c>
      <x:c r="V2059" s="10" t="n">
        <x:f>0</x:f>
        <x:v>0</x:v>
      </x:c>
      <x:c r="W2059" s="10" t="n">
        <x:f>H2059*('Assumptions'!$P$33+'Assumptions'!$Y$33)</x:f>
        <x:v>490.86291605578054</x:v>
      </x:c>
      <x:c r="X2059" s="10" t="n">
        <x:f>N2059/12*'Assumptions'!$AF$33</x:f>
        <x:v>4501.612303656025</x:v>
      </x:c>
      <x:c r="Y2059" s="10" t="n">
        <x:f>P2059/12</x:f>
        <x:v>54.248683340875964</x:v>
      </x:c>
      <x:c r="Z2059" s="10" t="n">
        <x:f>0</x:f>
        <x:v>0</x:v>
      </x:c>
      <x:c r="AA2059" s="10" t="n">
        <x:f>Z2059*'Assumptions'!$AC$33*'Assumptions'!$D$11*(1+'Assumptions'!$D$13)^(17-1)</x:f>
        <x:v>0</x:v>
      </x:c>
      <x:c r="AB2059" s="10" t="n">
        <x:f>F2059/1</x:f>
        <x:v>8.349826057725968</x:v>
      </x:c>
      <x:c r="AC2059" s="10" t="n">
        <x:f>AB2059/'Assumptions'!$AM$33</x:f>
        <x:v>41.749130288629836</x:v>
      </x:c>
      <x:c r="AD2059" s="10" t="n">
        <x:f>IF(AB2059=0,0,T2059/AB2059)</x:f>
        <x:v>258.7807088215401</x:v>
      </x:c>
      <x:c r="AE2059" s="10" t="n">
        <x:f>AA2059*'Assumptions'!$D$21</x:f>
        <x:v>0</x:v>
      </x:c>
    </x:row>
    <x:row r="2060" ht="16" customHeight="1">
      <x:c r="A2060" s="1"/>
      <x:c r="B2060" s="1"/>
      <x:c r="C2060" s="1" t="str">
        <x:v>DOT-005</x:v>
      </x:c>
      <x:c r="D2060" s="10" t="str">
        <x:v>ETV services</x:v>
      </x:c>
      <x:c r="E2060" s="10" t="n">
        <x:v>17</x:v>
      </x:c>
      <x:c r="F2060" s="21" t="n">
        <x:f>F1932*(1+'Assumptions'!$M$34)</x:f>
        <x:v>8.349826057725968</x:v>
      </x:c>
      <x:c r="G2060" s="21" t="n">
        <x:f>H1932*'Assumptions'!$K$34</x:f>
        <x:v>7.877047200316362</x:v>
      </x:c>
      <x:c r="H2060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2060+G2060,NA())</x:f>
        <x:v>16.226873258042332</x:v>
      </x:c>
      <x:c r="I2060" s="22" t="n">
        <x:f>'Assumptions'!$H$34*IF('Assumptions'!$O$34=1,1,'Assumptions'!$D$10)*(1+'Assumptions'!$N$34)^(17-1)</x:f>
        <x:v>2059.178557635919</x:v>
      </x:c>
      <x:c r="J2060" s="10" t="n">
        <x:f>H2060*I2060</x:f>
        <x:v>33414.02947043647</x:v>
      </x:c>
      <x:c r="K2060" s="10" t="n">
        <x:f>J2060*'Assumptions'!$T$34</x:f>
        <x:v>33414.02947043647</x:v>
      </x:c>
      <x:c r="L2060" s="10" t="n">
        <x:f>K2060*'Assumptions'!$U$34</x:f>
        <x:v>1002.4208841130941</x:v>
      </x:c>
      <x:c r="M2060" s="10" t="n">
        <x:f>K2060*'Assumptions'!$V$34</x:f>
        <x:v>0</x:v>
      </x:c>
      <x:c r="N2060" s="10" t="n">
        <x:f>K2060-L2060-M2060</x:f>
        <x:v>32411.60858632338</x:v>
      </x:c>
      <x:c r="O2060" s="10" t="n">
        <x:f>H2060*'Assumptions'!$P$34*'Assumptions'!$Q$34*'Assumptions'!$D$11*(1+'Assumptions'!$D$13)^(17-1)</x:f>
        <x:v>21091.88808293257</x:v>
      </x:c>
      <x:c r="P2060" s="10" t="n">
        <x:f>H2060*'Assumptions'!$R$34*'Assumptions'!$D$11*(1+'Assumptions'!$D$13)^(17-1)</x:f>
        <x:v>650.9842000905115</x:v>
      </x:c>
      <x:c r="Q2060" s="10" t="n">
        <x:f>J2060*'Assumptions'!$S$34</x:f>
        <x:v>0</x:v>
      </x:c>
      <x:c r="R2060" s="10" t="n">
        <x:f>H2060*'Assumptions'!$Y$34*'Assumptions'!$Z$34*'Assumptions'!$D$11*(1+'Assumptions'!$D$13)^(17-1)</x:f>
        <x:v>195.29526002715346</x:v>
      </x:c>
      <x:c r="S2060" s="10" t="n">
        <x:f>IF(I2060=0,0,J2060*'Assumptions'!$W$34+H2060*'Assumptions'!$X$34)</x:f>
        <x:v>973.8749166200704</x:v>
      </x:c>
      <x:c r="T2060" s="10" t="n">
        <x:f>N2060*'Assumptions'!$AA$34</x:f>
        <x:v>1296.464343452935</x:v>
      </x:c>
      <x:c r="U2060" s="10" t="n">
        <x:f>'Assumptions'!$AE$34*'Assumptions'!$D$11*(1+'Assumptions'!$D$13)^(17-1)</x:f>
        <x:v>0</x:v>
      </x:c>
      <x:c r="V2060" s="10" t="n">
        <x:f>0</x:f>
        <x:v>0</x:v>
      </x:c>
      <x:c r="W2060" s="10" t="n">
        <x:f>H2060*('Assumptions'!$P$34+'Assumptions'!$Y$34)</x:f>
        <x:v>296.14043695927256</x:v>
      </x:c>
      <x:c r="X2060" s="10" t="n">
        <x:f>N2060/12*'Assumptions'!$AF$34</x:f>
        <x:v>2700.967382193615</x:v>
      </x:c>
      <x:c r="Y2060" s="10" t="n">
        <x:f>P2060/12</x:f>
        <x:v>54.248683340875964</x:v>
      </x:c>
      <x:c r="Z2060" s="10" t="n">
        <x:f>0</x:f>
        <x:v>0</x:v>
      </x:c>
      <x:c r="AA2060" s="10" t="n">
        <x:f>Z2060*'Assumptions'!$AC$34*'Assumptions'!$D$11*(1+'Assumptions'!$D$13)^(17-1)</x:f>
        <x:v>0</x:v>
      </x:c>
      <x:c r="AB2060" s="10" t="n">
        <x:f>F2060/1</x:f>
        <x:v>8.349826057725968</x:v>
      </x:c>
      <x:c r="AC2060" s="10" t="n">
        <x:f>AB2060/'Assumptions'!$AM$34</x:f>
        <x:v>41.749130288629836</x:v>
      </x:c>
      <x:c r="AD2060" s="10" t="n">
        <x:f>IF(AB2060=0,0,T2060/AB2060)</x:f>
        <x:v>155.26842529292406</x:v>
      </x:c>
      <x:c r="AE2060" s="10" t="n">
        <x:f>AA2060*'Assumptions'!$D$21</x:f>
        <x:v>0</x:v>
      </x:c>
    </x:row>
    <x:row r="2061" ht="16" customHeight="1">
      <x:c r="A2061" s="1"/>
      <x:c r="B2061" s="1"/>
      <x:c r="C2061" s="1" t="str">
        <x:v>DOT-006</x:v>
      </x:c>
      <x:c r="D2061" s="10" t="str">
        <x:v>ETV services</x:v>
      </x:c>
      <x:c r="E2061" s="10" t="n">
        <x:v>17</x:v>
      </x:c>
      <x:c r="F2061" s="21" t="n">
        <x:f>F1933*(1+'Assumptions'!$M$35)</x:f>
        <x:v>12.524739086588953</x:v>
      </x:c>
      <x:c r="G2061" s="21" t="n">
        <x:f>H1933*'Assumptions'!$K$35</x:f>
        <x:v>11.815570800474543</x:v>
      </x:c>
      <x:c r="H2061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2061+G2061,NA())</x:f>
        <x:v>24.340309887063498</x:v>
      </x:c>
      <x:c r="I2061" s="22" t="n">
        <x:f>'Assumptions'!$H$35*IF('Assumptions'!$O$35=1,1,'Assumptions'!$D$10)*(1+'Assumptions'!$N$35)^(17-1)</x:f>
        <x:v>1029.5892788179594</x:v>
      </x:c>
      <x:c r="J2061" s="10" t="n">
        <x:f>H2061*I2061</x:f>
        <x:v>25060.522102827355</x:v>
      </x:c>
      <x:c r="K2061" s="10" t="n">
        <x:f>J2061*'Assumptions'!$T$35</x:f>
        <x:v>25060.522102827355</x:v>
      </x:c>
      <x:c r="L2061" s="10" t="n">
        <x:f>K2061*'Assumptions'!$U$35</x:f>
        <x:v>751.8156630848206</x:v>
      </x:c>
      <x:c r="M2061" s="10" t="n">
        <x:f>K2061*'Assumptions'!$V$35</x:f>
        <x:v>0</x:v>
      </x:c>
      <x:c r="N2061" s="10" t="n">
        <x:f>K2061-L2061-M2061</x:f>
        <x:v>24308.706439742535</x:v>
      </x:c>
      <x:c r="O2061" s="10" t="n">
        <x:f>H2061*'Assumptions'!$P$35*'Assumptions'!$Q$35*'Assumptions'!$D$11*(1+'Assumptions'!$D$13)^(17-1)</x:f>
        <x:v>14061.258721955051</x:v>
      </x:c>
      <x:c r="P2061" s="10" t="n">
        <x:f>H2061*'Assumptions'!$R$35*'Assumptions'!$D$11*(1+'Assumptions'!$D$13)^(17-1)</x:f>
        <x:v>976.4763001357674</x:v>
      </x:c>
      <x:c r="Q2061" s="10" t="n">
        <x:f>J2061*'Assumptions'!$S$35</x:f>
        <x:v>0</x:v>
      </x:c>
      <x:c r="R2061" s="10" t="n">
        <x:f>H2061*'Assumptions'!$Y$35*'Assumptions'!$Z$35*'Assumptions'!$D$11*(1+'Assumptions'!$D$13)^(17-1)</x:f>
        <x:v>292.9428900407302</x:v>
      </x:c>
      <x:c r="S2061" s="10" t="n">
        <x:f>IF(I2061=0,0,J2061*'Assumptions'!$W$35+H2061*'Assumptions'!$X$35)</x:f>
        <x:v>734.0572339481124</x:v>
      </x:c>
      <x:c r="T2061" s="10" t="n">
        <x:f>N2061*'Assumptions'!$AA$35</x:f>
        <x:v>972.3482575897015</x:v>
      </x:c>
      <x:c r="U2061" s="10" t="n">
        <x:f>'Assumptions'!$AE$35*'Assumptions'!$D$11*(1+'Assumptions'!$D$13)^(17-1)</x:f>
        <x:v>0</x:v>
      </x:c>
      <x:c r="V2061" s="10" t="n">
        <x:f>0</x:f>
        <x:v>0</x:v>
      </x:c>
      <x:c r="W2061" s="10" t="n">
        <x:f>H2061*('Assumptions'!$P$35+'Assumptions'!$Y$35)</x:f>
        <x:v>200.80755656827387</x:v>
      </x:c>
      <x:c r="X2061" s="10" t="n">
        <x:f>N2061/12*'Assumptions'!$AF$35</x:f>
        <x:v>2025.7255366452112</x:v>
      </x:c>
      <x:c r="Y2061" s="10" t="n">
        <x:f>P2061/12</x:f>
        <x:v>81.37302501131394</x:v>
      </x:c>
      <x:c r="Z2061" s="10" t="n">
        <x:f>0</x:f>
        <x:v>0</x:v>
      </x:c>
      <x:c r="AA2061" s="10" t="n">
        <x:f>Z2061*'Assumptions'!$AC$35*'Assumptions'!$D$11*(1+'Assumptions'!$D$13)^(17-1)</x:f>
        <x:v>0</x:v>
      </x:c>
      <x:c r="AB2061" s="10" t="n">
        <x:f>F2061/1</x:f>
        <x:v>12.524739086588953</x:v>
      </x:c>
      <x:c r="AC2061" s="10" t="n">
        <x:f>AB2061/'Assumptions'!$AM$35</x:f>
        <x:v>62.623695432944764</x:v>
      </x:c>
      <x:c r="AD2061" s="10" t="n">
        <x:f>IF(AB2061=0,0,T2061/AB2061)</x:f>
        <x:v>77.63421264646203</x:v>
      </x:c>
      <x:c r="AE2061" s="10" t="n">
        <x:f>AA2061*'Assumptions'!$D$21</x:f>
        <x:v>0</x:v>
      </x:c>
    </x:row>
    <x:row r="2062" ht="16" customHeight="1">
      <x:c r="A2062" s="1"/>
      <x:c r="B2062" s="1"/>
      <x:c r="C2062" s="1" t="str">
        <x:v>DOT-007</x:v>
      </x:c>
      <x:c r="D2062" s="10" t="str">
        <x:v>BPA professional services</x:v>
      </x:c>
      <x:c r="E2062" s="10" t="n">
        <x:v>17</x:v>
      </x:c>
      <x:c r="F2062" s="21" t="n">
        <x:f>F1934*(1+'Assumptions'!$M$36)</x:f>
        <x:v>50.09895634635581</x:v>
      </x:c>
      <x:c r="G2062" s="21" t="n">
        <x:f>H1934*'Assumptions'!$K$36</x:f>
        <x:v>47.26210009642942</x:v>
      </x:c>
      <x:c r="H2062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2062+G2062,NA())</x:f>
        <x:v>97.36105644278524</x:v>
      </x:c>
      <x:c r="I2062" s="22" t="n">
        <x:f>'Assumptions'!$H$36*IF('Assumptions'!$O$36=1,1,'Assumptions'!$D$10)*(1+'Assumptions'!$N$36)^(17-1)</x:f>
        <x:v>250</x:v>
      </x:c>
      <x:c r="J2062" s="10" t="n">
        <x:f>H2062*I2062</x:f>
        <x:v>24340.26411069631</x:v>
      </x:c>
      <x:c r="K2062" s="10" t="n">
        <x:f>J2062*'Assumptions'!$T$36</x:f>
        <x:v>24340.26411069631</x:v>
      </x:c>
      <x:c r="L2062" s="10" t="n">
        <x:f>K2062*'Assumptions'!$U$36</x:f>
        <x:v>730.2079233208892</x:v>
      </x:c>
      <x:c r="M2062" s="10" t="n">
        <x:f>K2062*'Assumptions'!$V$36</x:f>
        <x:v>0</x:v>
      </x:c>
      <x:c r="N2062" s="10" t="n">
        <x:f>K2062-L2062-M2062</x:f>
        <x:v>23610.05618737542</x:v>
      </x:c>
      <x:c r="O2062" s="10" t="n">
        <x:f>H2062*'Assumptions'!$P$36*'Assumptions'!$Q$36*'Assumptions'!$D$11*(1+'Assumptions'!$D$13)^(17-1)</x:f>
        <x:v>7808.670991276077</x:v>
      </x:c>
      <x:c r="P2062" s="10" t="n">
        <x:f>H2062*'Assumptions'!$R$36*'Assumptions'!$D$11*(1+'Assumptions'!$D$13)^(17-1)</x:f>
        <x:v>1562.3591419119803</x:v>
      </x:c>
      <x:c r="Q2062" s="10" t="n">
        <x:f>J2062*'Assumptions'!$S$36</x:f>
        <x:v>0</x:v>
      </x:c>
      <x:c r="R2062" s="10" t="n">
        <x:f>H2062*'Assumptions'!$Y$36*'Assumptions'!$Z$36*'Assumptions'!$D$11*(1+'Assumptions'!$D$13)^(17-1)</x:f>
        <x:v>1171.7693564339852</x:v>
      </x:c>
      <x:c r="S2062" s="10" t="n">
        <x:f>IF(I2062=0,0,J2062*'Assumptions'!$W$36+H2062*'Assumptions'!$X$36)</x:f>
        <x:v>735.0759761430286</x:v>
      </x:c>
      <x:c r="T2062" s="10" t="n">
        <x:f>N2062*'Assumptions'!$AA$36</x:f>
        <x:v>944.4022474950168</x:v>
      </x:c>
      <x:c r="U2062" s="10" t="n">
        <x:f>'Assumptions'!$AE$36*'Assumptions'!$D$11*(1+'Assumptions'!$D$13)^(17-1)</x:f>
        <x:v>0</x:v>
      </x:c>
      <x:c r="V2062" s="10" t="n">
        <x:f>0</x:f>
        <x:v>0</x:v>
      </x:c>
      <x:c r="W2062" s="10" t="n">
        <x:f>H2062*('Assumptions'!$P$36+'Assumptions'!$Y$36)</x:f>
        <x:v>105.44202412753641</x:v>
      </x:c>
      <x:c r="X2062" s="10" t="n">
        <x:f>N2062/12*'Assumptions'!$AF$36</x:f>
        <x:v>1967.5046822812849</x:v>
      </x:c>
      <x:c r="Y2062" s="10" t="n">
        <x:f>P2062/12</x:f>
        <x:v>130.19659515933168</x:v>
      </x:c>
      <x:c r="Z2062" s="10" t="n">
        <x:f>0</x:f>
        <x:v>0</x:v>
      </x:c>
      <x:c r="AA2062" s="10" t="n">
        <x:f>Z2062*'Assumptions'!$AC$36*'Assumptions'!$D$11*(1+'Assumptions'!$D$13)^(17-1)</x:f>
        <x:v>0</x:v>
      </x:c>
      <x:c r="AB2062" s="10" t="n">
        <x:f>F2062/1</x:f>
        <x:v>50.09895634635581</x:v>
      </x:c>
      <x:c r="AC2062" s="10" t="n">
        <x:f>AB2062/'Assumptions'!$AM$36</x:f>
        <x:v>250.49478173177906</x:v>
      </x:c>
      <x:c r="AD2062" s="10" t="n">
        <x:f>IF(AB2062=0,0,T2062/AB2062)</x:f>
        <x:v>18.85073694880896</x:v>
      </x:c>
      <x:c r="AE2062" s="10" t="n">
        <x:f>AA2062*'Assumptions'!$D$21</x:f>
        <x:v>0</x:v>
      </x:c>
    </x:row>
    <x:row r="2063" ht="16" customHeight="1">
      <x:c r="A2063" s="1"/>
      <x:c r="B2063" s="1"/>
      <x:c r="C2063" s="1" t="str">
        <x:v>DOT-008</x:v>
      </x:c>
      <x:c r="D2063" s="10" t="str">
        <x:v>BPA professional services</x:v>
      </x:c>
      <x:c r="E2063" s="10" t="n">
        <x:v>17</x:v>
      </x:c>
      <x:c r="F2063" s="21" t="n">
        <x:f>F1935*(1+'Assumptions'!$M$37)</x:f>
        <x:v>18.78710862988342</x:v>
      </x:c>
      <x:c r="G2063" s="21" t="n">
        <x:f>H1935*'Assumptions'!$K$37</x:f>
        <x:v>17.723287536161024</x:v>
      </x:c>
      <x:c r="H2063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2063+G2063,NA())</x:f>
        <x:v>36.510396166044444</x:v>
      </x:c>
      <x:c r="I2063" s="22" t="n">
        <x:f>'Assumptions'!$H$37*IF('Assumptions'!$O$37=1,1,'Assumptions'!$D$10)*(1+'Assumptions'!$N$37)^(17-1)</x:f>
        <x:v>600</x:v>
      </x:c>
      <x:c r="J2063" s="10" t="n">
        <x:f>H2063*I2063</x:f>
        <x:v>21906.237699626665</x:v>
      </x:c>
      <x:c r="K2063" s="10" t="n">
        <x:f>J2063*'Assumptions'!$T$37</x:f>
        <x:v>21906.237699626665</x:v>
      </x:c>
      <x:c r="L2063" s="10" t="n">
        <x:f>K2063*'Assumptions'!$U$37</x:f>
        <x:v>657.1871309887999</x:v>
      </x:c>
      <x:c r="M2063" s="10" t="n">
        <x:f>K2063*'Assumptions'!$V$37</x:f>
        <x:v>0</x:v>
      </x:c>
      <x:c r="N2063" s="10" t="n">
        <x:f>K2063-L2063-M2063</x:f>
        <x:v>21249.050568637864</x:v>
      </x:c>
      <x:c r="O2063" s="10" t="n">
        <x:f>H2063*'Assumptions'!$P$37*'Assumptions'!$Q$37*'Assumptions'!$D$11*(1+'Assumptions'!$D$13)^(17-1)</x:f>
        <x:v>14061.232277207815</x:v>
      </x:c>
      <x:c r="P2063" s="10" t="n">
        <x:f>H2063*'Assumptions'!$R$37*'Assumptions'!$D$11*(1+'Assumptions'!$D$13)^(17-1)</x:f>
        <x:v>585.8846782169923</x:v>
      </x:c>
      <x:c r="Q2063" s="10" t="n">
        <x:f>J2063*'Assumptions'!$S$37</x:f>
        <x:v>0</x:v>
      </x:c>
      <x:c r="R2063" s="10" t="n">
        <x:f>H2063*'Assumptions'!$Y$37*'Assumptions'!$Z$37*'Assumptions'!$D$11*(1+'Assumptions'!$D$13)^(17-1)</x:f>
        <x:v>439.4135086627442</x:v>
      </x:c>
      <x:c r="S2063" s="10" t="n">
        <x:f>IF(I2063=0,0,J2063*'Assumptions'!$W$37+H2063*'Assumptions'!$X$37)</x:f>
        <x:v>646.2340121389866</x:v>
      </x:c>
      <x:c r="T2063" s="10" t="n">
        <x:f>N2063*'Assumptions'!$AA$37</x:f>
        <x:v>849.9620227455146</x:v>
      </x:c>
      <x:c r="U2063" s="10" t="n">
        <x:f>'Assumptions'!$AE$37*'Assumptions'!$D$11*(1+'Assumptions'!$D$13)^(17-1)</x:f>
        <x:v>0</x:v>
      </x:c>
      <x:c r="V2063" s="10" t="n">
        <x:f>0</x:f>
        <x:v>0</x:v>
      </x:c>
      <x:c r="W2063" s="10" t="n">
        <x:f>H2063*('Assumptions'!$P$37+'Assumptions'!$Y$37)</x:f>
        <x:v>155.16918370568888</x:v>
      </x:c>
      <x:c r="X2063" s="10" t="n">
        <x:f>N2063/12*'Assumptions'!$AF$37</x:f>
        <x:v>1770.7542140531552</x:v>
      </x:c>
      <x:c r="Y2063" s="10" t="n">
        <x:f>P2063/12</x:f>
        <x:v>48.823723184749355</x:v>
      </x:c>
      <x:c r="Z2063" s="10" t="n">
        <x:f>0</x:f>
        <x:v>0</x:v>
      </x:c>
      <x:c r="AA2063" s="10" t="n">
        <x:f>Z2063*'Assumptions'!$AC$37*'Assumptions'!$D$11*(1+'Assumptions'!$D$13)^(17-1)</x:f>
        <x:v>0</x:v>
      </x:c>
      <x:c r="AB2063" s="10" t="n">
        <x:f>F2063/1</x:f>
        <x:v>18.78710862988342</x:v>
      </x:c>
      <x:c r="AC2063" s="10" t="n">
        <x:f>AB2063/'Assumptions'!$AM$37</x:f>
        <x:v>93.9355431494171</x:v>
      </x:c>
      <x:c r="AD2063" s="10" t="n">
        <x:f>IF(AB2063=0,0,T2063/AB2063)</x:f>
        <x:v>45.24176867714151</x:v>
      </x:c>
      <x:c r="AE2063" s="10" t="n">
        <x:f>AA2063*'Assumptions'!$D$21</x:f>
        <x:v>0</x:v>
      </x:c>
    </x:row>
    <x:row r="2064" ht="16" customHeight="1">
      <x:c r="A2064" s="1"/>
      <x:c r="B2064" s="1"/>
      <x:c r="C2064" s="1" t="str">
        <x:v>DOT-009</x:v>
      </x:c>
      <x:c r="D2064" s="10" t="str">
        <x:v>BPA professional services</x:v>
      </x:c>
      <x:c r="E2064" s="10" t="n">
        <x:v>17</x:v>
      </x:c>
      <x:c r="F2064" s="21" t="n">
        <x:f>F1936*(1+'Assumptions'!$M$38)</x:f>
        <x:v>12.524739086588953</x:v>
      </x:c>
      <x:c r="G2064" s="21" t="n">
        <x:f>H1936*'Assumptions'!$K$38</x:f>
        <x:v>11.815525024107355</x:v>
      </x:c>
      <x:c r="H2064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2064+G2064,NA())</x:f>
        <x:v>24.34026411069631</x:v>
      </x:c>
      <x:c r="I2064" s="22" t="n">
        <x:f>'Assumptions'!$H$38*IF('Assumptions'!$O$38=1,1,'Assumptions'!$D$10)*(1+'Assumptions'!$N$38)^(17-1)</x:f>
        <x:v>900</x:v>
      </x:c>
      <x:c r="J2064" s="10" t="n">
        <x:f>H2064*I2064</x:f>
        <x:v>21906.23769962668</x:v>
      </x:c>
      <x:c r="K2064" s="10" t="n">
        <x:f>J2064*'Assumptions'!$T$38</x:f>
        <x:v>21906.23769962668</x:v>
      </x:c>
      <x:c r="L2064" s="10" t="n">
        <x:f>K2064*'Assumptions'!$U$38</x:f>
        <x:v>657.1871309888004</x:v>
      </x:c>
      <x:c r="M2064" s="10" t="n">
        <x:f>K2064*'Assumptions'!$V$38</x:f>
        <x:v>0</x:v>
      </x:c>
      <x:c r="N2064" s="10" t="n">
        <x:f>K2064-L2064-M2064</x:f>
        <x:v>21249.05056863788</x:v>
      </x:c>
      <x:c r="O2064" s="10" t="n">
        <x:f>H2064*'Assumptions'!$P$38*'Assumptions'!$Q$38*'Assumptions'!$D$11*(1+'Assumptions'!$D$13)^(17-1)</x:f>
        <x:v>14061.232277207824</x:v>
      </x:c>
      <x:c r="P2064" s="10" t="n">
        <x:f>H2064*'Assumptions'!$R$38*'Assumptions'!$D$11*(1+'Assumptions'!$D$13)^(17-1)</x:f>
        <x:v>390.58978547799506</x:v>
      </x:c>
      <x:c r="Q2064" s="10" t="n">
        <x:f>J2064*'Assumptions'!$S$38</x:f>
        <x:v>0</x:v>
      </x:c>
      <x:c r="R2064" s="10" t="n">
        <x:f>H2064*'Assumptions'!$Y$38*'Assumptions'!$Z$38*'Assumptions'!$D$11*(1+'Assumptions'!$D$13)^(17-1)</x:f>
        <x:v>292.9423391084963</x:v>
      </x:c>
      <x:c r="S2064" s="10" t="n">
        <x:f>IF(I2064=0,0,J2064*'Assumptions'!$W$38+H2064*'Assumptions'!$X$38)</x:f>
        <x:v>642.5829725223826</x:v>
      </x:c>
      <x:c r="T2064" s="10" t="n">
        <x:f>N2064*'Assumptions'!$AA$38</x:f>
        <x:v>849.9620227455151</x:v>
      </x:c>
      <x:c r="U2064" s="10" t="n">
        <x:f>'Assumptions'!$AE$38*'Assumptions'!$D$11*(1+'Assumptions'!$D$13)^(17-1)</x:f>
        <x:v>0</x:v>
      </x:c>
      <x:c r="V2064" s="10" t="n">
        <x:f>0</x:f>
        <x:v>0</x:v>
      </x:c>
      <x:c r="W2064" s="10" t="n">
        <x:f>H2064*('Assumptions'!$P$38+'Assumptions'!$Y$38)</x:f>
        <x:v>152.12665069185195</x:v>
      </x:c>
      <x:c r="X2064" s="10" t="n">
        <x:f>N2064/12*'Assumptions'!$AF$38</x:f>
        <x:v>1770.7542140531566</x:v>
      </x:c>
      <x:c r="Y2064" s="10" t="n">
        <x:f>P2064/12</x:f>
        <x:v>32.54914878983292</x:v>
      </x:c>
      <x:c r="Z2064" s="10" t="n">
        <x:f>0</x:f>
        <x:v>0</x:v>
      </x:c>
      <x:c r="AA2064" s="10" t="n">
        <x:f>Z2064*'Assumptions'!$AC$38*'Assumptions'!$D$11*(1+'Assumptions'!$D$13)^(17-1)</x:f>
        <x:v>0</x:v>
      </x:c>
      <x:c r="AB2064" s="10" t="n">
        <x:f>F2064/1</x:f>
        <x:v>12.524739086588953</x:v>
      </x:c>
      <x:c r="AC2064" s="10" t="n">
        <x:f>AB2064/'Assumptions'!$AM$38</x:f>
        <x:v>62.623695432944764</x:v>
      </x:c>
      <x:c r="AD2064" s="10" t="n">
        <x:f>IF(AB2064=0,0,T2064/AB2064)</x:f>
        <x:v>67.86265301571227</x:v>
      </x:c>
      <x:c r="AE2064" s="10" t="n">
        <x:f>AA2064*'Assumptions'!$D$21</x:f>
        <x:v>0</x:v>
      </x:c>
    </x:row>
    <x:row r="2065" ht="16" customHeight="1">
      <x:c r="A2065" s="1"/>
      <x:c r="B2065" s="1"/>
      <x:c r="C2065" s="1" t="str">
        <x:v>DOT-010</x:v>
      </x:c>
      <x:c r="D2065" s="10" t="str">
        <x:v>BPA professional services</x:v>
      </x:c>
      <x:c r="E2065" s="10" t="n">
        <x:v>17</x:v>
      </x:c>
      <x:c r="F2065" s="21" t="n">
        <x:f>F1937*(1+'Assumptions'!$M$39)</x:f>
        <x:v>12.524739086588953</x:v>
      </x:c>
      <x:c r="G2065" s="21" t="n">
        <x:f>H1937*'Assumptions'!$K$39</x:f>
        <x:v>11.815525024107355</x:v>
      </x:c>
      <x:c r="H2065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2065+G2065,NA())</x:f>
        <x:v>24.34026411069631</x:v>
      </x:c>
      <x:c r="I2065" s="22" t="n">
        <x:f>'Assumptions'!$H$39*IF('Assumptions'!$O$39=1,1,'Assumptions'!$D$10)*(1+'Assumptions'!$N$39)^(17-1)</x:f>
        <x:v>1800</x:v>
      </x:c>
      <x:c r="J2065" s="10" t="n">
        <x:f>H2065*I2065</x:f>
        <x:v>43812.47539925336</x:v>
      </x:c>
      <x:c r="K2065" s="10" t="n">
        <x:f>J2065*'Assumptions'!$T$39</x:f>
        <x:v>43812.47539925336</x:v>
      </x:c>
      <x:c r="L2065" s="10" t="n">
        <x:f>K2065*'Assumptions'!$U$39</x:f>
        <x:v>1314.3742619776008</x:v>
      </x:c>
      <x:c r="M2065" s="10" t="n">
        <x:f>K2065*'Assumptions'!$V$39</x:f>
        <x:v>0</x:v>
      </x:c>
      <x:c r="N2065" s="10" t="n">
        <x:f>K2065-L2065-M2065</x:f>
        <x:v>42498.10113727576</x:v>
      </x:c>
      <x:c r="O2065" s="10" t="n">
        <x:f>H2065*'Assumptions'!$P$39*'Assumptions'!$Q$39*'Assumptions'!$D$11*(1+'Assumptions'!$D$13)^(17-1)</x:f>
        <x:v>28122.46455441565</x:v>
      </x:c>
      <x:c r="P2065" s="10" t="n">
        <x:f>H2065*'Assumptions'!$R$39*'Assumptions'!$D$11*(1+'Assumptions'!$D$13)^(17-1)</x:f>
        <x:v>390.58978547799506</x:v>
      </x:c>
      <x:c r="Q2065" s="10" t="n">
        <x:f>J2065*'Assumptions'!$S$39</x:f>
        <x:v>0</x:v>
      </x:c>
      <x:c r="R2065" s="10" t="n">
        <x:f>H2065*'Assumptions'!$Y$39*'Assumptions'!$Z$39*'Assumptions'!$D$11*(1+'Assumptions'!$D$13)^(17-1)</x:f>
        <x:v>292.9423391084963</x:v>
      </x:c>
      <x:c r="S2065" s="10" t="n">
        <x:f>IF(I2065=0,0,J2065*'Assumptions'!$W$39+H2065*'Assumptions'!$X$39)</x:f>
        <x:v>1277.8638658115563</x:v>
      </x:c>
      <x:c r="T2065" s="10" t="n">
        <x:f>N2065*'Assumptions'!$AA$39</x:f>
        <x:v>1699.9240454910303</x:v>
      </x:c>
      <x:c r="U2065" s="10" t="n">
        <x:f>'Assumptions'!$AE$39*'Assumptions'!$D$11*(1+'Assumptions'!$D$13)^(17-1)</x:f>
        <x:v>0</x:v>
      </x:c>
      <x:c r="V2065" s="10" t="n">
        <x:f>0</x:f>
        <x:v>0</x:v>
      </x:c>
      <x:c r="W2065" s="10" t="n">
        <x:f>H2065*('Assumptions'!$P$39+'Assumptions'!$Y$39)</x:f>
        <x:v>298.1682353560298</x:v>
      </x:c>
      <x:c r="X2065" s="10" t="n">
        <x:f>N2065/12*'Assumptions'!$AF$39</x:f>
        <x:v>3541.508428106313</x:v>
      </x:c>
      <x:c r="Y2065" s="10" t="n">
        <x:f>P2065/12</x:f>
        <x:v>32.54914878983292</x:v>
      </x:c>
      <x:c r="Z2065" s="10" t="n">
        <x:f>0</x:f>
        <x:v>0</x:v>
      </x:c>
      <x:c r="AA2065" s="10" t="n">
        <x:f>Z2065*'Assumptions'!$AC$39*'Assumptions'!$D$11*(1+'Assumptions'!$D$13)^(17-1)</x:f>
        <x:v>0</x:v>
      </x:c>
      <x:c r="AB2065" s="10" t="n">
        <x:f>F2065/1</x:f>
        <x:v>12.524739086588953</x:v>
      </x:c>
      <x:c r="AC2065" s="10" t="n">
        <x:f>AB2065/'Assumptions'!$AM$39</x:f>
        <x:v>62.623695432944764</x:v>
      </x:c>
      <x:c r="AD2065" s="10" t="n">
        <x:f>IF(AB2065=0,0,T2065/AB2065)</x:f>
        <x:v>135.72530603142454</x:v>
      </x:c>
      <x:c r="AE2065" s="10" t="n">
        <x:f>AA2065*'Assumptions'!$D$21</x:f>
        <x:v>0</x:v>
      </x:c>
    </x:row>
    <x:row r="2066" ht="16" customHeight="1">
      <x:c r="A2066" s="1"/>
      <x:c r="B2066" s="1"/>
      <x:c r="C2066" s="1" t="str">
        <x:v>DOT-011</x:v>
      </x:c>
      <x:c r="D2066" s="10" t="str">
        <x:v>BPA professional services</x:v>
      </x:c>
      <x:c r="E2066" s="10" t="n">
        <x:v>17</x:v>
      </x:c>
      <x:c r="F2066" s="21" t="n">
        <x:f>F1938*(1+'Assumptions'!$M$40)</x:f>
        <x:v>37.57421725976684</x:v>
      </x:c>
      <x:c r="G2066" s="21" t="n">
        <x:f>H1938*'Assumptions'!$K$40</x:f>
        <x:v>35.44657507232205</x:v>
      </x:c>
      <x:c r="H2066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2066+G2066,NA())</x:f>
        <x:v>73.02079233208889</x:v>
      </x:c>
      <x:c r="I2066" s="22" t="n">
        <x:f>'Assumptions'!$H$40*IF('Assumptions'!$O$40=1,1,'Assumptions'!$D$10)*(1+'Assumptions'!$N$40)^(17-1)</x:f>
        <x:v>600</x:v>
      </x:c>
      <x:c r="J2066" s="10" t="n">
        <x:f>H2066*I2066</x:f>
        <x:v>43812.47539925333</x:v>
      </x:c>
      <x:c r="K2066" s="10" t="n">
        <x:f>J2066*'Assumptions'!$T$40</x:f>
        <x:v>43812.47539925333</x:v>
      </x:c>
      <x:c r="L2066" s="10" t="n">
        <x:f>K2066*'Assumptions'!$U$40</x:f>
        <x:v>1314.3742619775999</x:v>
      </x:c>
      <x:c r="M2066" s="10" t="n">
        <x:f>K2066*'Assumptions'!$V$40</x:f>
        <x:v>0</x:v>
      </x:c>
      <x:c r="N2066" s="10" t="n">
        <x:f>K2066-L2066-M2066</x:f>
        <x:v>42498.10113727573</x:v>
      </x:c>
      <x:c r="O2066" s="10" t="n">
        <x:f>H2066*'Assumptions'!$P$40*'Assumptions'!$Q$40*'Assumptions'!$D$11*(1+'Assumptions'!$D$13)^(17-1)</x:f>
        <x:v>28122.46455441563</x:v>
      </x:c>
      <x:c r="P2066" s="10" t="n">
        <x:f>H2066*'Assumptions'!$R$40*'Assumptions'!$D$11*(1+'Assumptions'!$D$13)^(17-1)</x:f>
        <x:v>1171.7693564339845</x:v>
      </x:c>
      <x:c r="Q2066" s="10" t="n">
        <x:f>J2066*'Assumptions'!$S$40</x:f>
        <x:v>0</x:v>
      </x:c>
      <x:c r="R2066" s="10" t="n">
        <x:f>H2066*'Assumptions'!$Y$40*'Assumptions'!$Z$40*'Assumptions'!$D$11*(1+'Assumptions'!$D$13)^(17-1)</x:f>
        <x:v>878.8270173254884</x:v>
      </x:c>
      <x:c r="S2066" s="10" t="n">
        <x:f>IF(I2066=0,0,J2066*'Assumptions'!$W$40+H2066*'Assumptions'!$X$40)</x:f>
        <x:v>1292.4680242779732</x:v>
      </x:c>
      <x:c r="T2066" s="10" t="n">
        <x:f>N2066*'Assumptions'!$AA$40</x:f>
        <x:v>1699.9240454910291</x:v>
      </x:c>
      <x:c r="U2066" s="10" t="n">
        <x:f>'Assumptions'!$AE$40*'Assumptions'!$D$11*(1+'Assumptions'!$D$13)^(17-1)</x:f>
        <x:v>0</x:v>
      </x:c>
      <x:c r="V2066" s="10" t="n">
        <x:f>0</x:f>
        <x:v>0</x:v>
      </x:c>
      <x:c r="W2066" s="10" t="n">
        <x:f>H2066*('Assumptions'!$P$40+'Assumptions'!$Y$40)</x:f>
        <x:v>310.33836741137776</x:v>
      </x:c>
      <x:c r="X2066" s="10" t="n">
        <x:f>N2066/12*'Assumptions'!$AF$40</x:f>
        <x:v>3541.5084281063105</x:v>
      </x:c>
      <x:c r="Y2066" s="10" t="n">
        <x:f>P2066/12</x:f>
        <x:v>97.64744636949871</x:v>
      </x:c>
      <x:c r="Z2066" s="10" t="n">
        <x:f>0</x:f>
        <x:v>0</x:v>
      </x:c>
      <x:c r="AA2066" s="10" t="n">
        <x:f>Z2066*'Assumptions'!$AC$40*'Assumptions'!$D$11*(1+'Assumptions'!$D$13)^(17-1)</x:f>
        <x:v>0</x:v>
      </x:c>
      <x:c r="AB2066" s="10" t="n">
        <x:f>F2066/12</x:f>
        <x:v>3.1311847716472365</x:v>
      </x:c>
      <x:c r="AC2066" s="10" t="n">
        <x:f>AB2066/'Assumptions'!$AM$40</x:f>
        <x:v>15.655923858236182</x:v>
      </x:c>
      <x:c r="AD2066" s="10" t="n">
        <x:f>IF(AB2066=0,0,T2066/AB2066)</x:f>
        <x:v>542.901224125698</x:v>
      </x:c>
      <x:c r="AE2066" s="10" t="n">
        <x:f>AA2066*'Assumptions'!$D$21</x:f>
        <x:v>0</x:v>
      </x:c>
    </x:row>
    <x:row r="2067" ht="16" customHeight="1">
      <x:c r="A2067" s="1"/>
      <x:c r="B2067" s="1"/>
      <x:c r="C2067" s="1" t="str">
        <x:v>DOT-012</x:v>
      </x:c>
      <x:c r="D2067" s="10" t="str">
        <x:v>BPA professional services</x:v>
      </x:c>
      <x:c r="E2067" s="10" t="n">
        <x:v>17</x:v>
      </x:c>
      <x:c r="F2067" s="21" t="n">
        <x:f>F1939*(1+'Assumptions'!$M$41)</x:f>
        <x:v>25.049478173177906</x:v>
      </x:c>
      <x:c r="G2067" s="21" t="n">
        <x:f>H1939*'Assumptions'!$K$41</x:f>
        <x:v>23.63105004821471</x:v>
      </x:c>
      <x:c r="H2067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2067+G2067,NA())</x:f>
        <x:v>48.68052822139262</x:v>
      </x:c>
      <x:c r="I2067" s="22" t="n">
        <x:f>'Assumptions'!$H$41*IF('Assumptions'!$O$41=1,1,'Assumptions'!$D$10)*(1+'Assumptions'!$N$41)^(17-1)</x:f>
        <x:v>1080</x:v>
      </x:c>
      <x:c r="J2067" s="10" t="n">
        <x:f>H2067*I2067</x:f>
        <x:v>52574.97047910403</x:v>
      </x:c>
      <x:c r="K2067" s="10" t="n">
        <x:f>J2067*'Assumptions'!$T$41</x:f>
        <x:v>52574.97047910403</x:v>
      </x:c>
      <x:c r="L2067" s="10" t="n">
        <x:f>K2067*'Assumptions'!$U$41</x:f>
        <x:v>1577.2491143731208</x:v>
      </x:c>
      <x:c r="M2067" s="10" t="n">
        <x:f>K2067*'Assumptions'!$V$41</x:f>
        <x:v>0</x:v>
      </x:c>
      <x:c r="N2067" s="10" t="n">
        <x:f>K2067-L2067-M2067</x:f>
        <x:v>50997.7213647309</x:v>
      </x:c>
      <x:c r="O2067" s="10" t="n">
        <x:f>H2067*'Assumptions'!$P$41*'Assumptions'!$Q$41*'Assumptions'!$D$11*(1+'Assumptions'!$D$13)^(17-1)</x:f>
        <x:v>37496.619405887526</x:v>
      </x:c>
      <x:c r="P2067" s="10" t="n">
        <x:f>H2067*'Assumptions'!$R$41*'Assumptions'!$D$11*(1+'Assumptions'!$D$13)^(17-1)</x:f>
        <x:v>781.1795709559901</x:v>
      </x:c>
      <x:c r="Q2067" s="10" t="n">
        <x:f>J2067*'Assumptions'!$S$41</x:f>
        <x:v>0</x:v>
      </x:c>
      <x:c r="R2067" s="10" t="n">
        <x:f>H2067*'Assumptions'!$Y$41*'Assumptions'!$Z$41*'Assumptions'!$D$11*(1+'Assumptions'!$D$13)^(17-1)</x:f>
        <x:v>585.8846782169926</x:v>
      </x:c>
      <x:c r="S2067" s="10" t="n">
        <x:f>IF(I2067=0,0,J2067*'Assumptions'!$W$41+H2067*'Assumptions'!$X$41)</x:f>
        <x:v>1539.2783023604347</x:v>
      </x:c>
      <x:c r="T2067" s="10" t="n">
        <x:f>N2067*'Assumptions'!$AA$41</x:f>
        <x:v>2039.9088545892362</x:v>
      </x:c>
      <x:c r="U2067" s="10" t="n">
        <x:f>'Assumptions'!$AE$41*'Assumptions'!$D$11*(1+'Assumptions'!$D$13)^(17-1)</x:f>
        <x:v>0</x:v>
      </x:c>
      <x:c r="V2067" s="10" t="n">
        <x:f>0</x:f>
        <x:v>0</x:v>
      </x:c>
      <x:c r="W2067" s="10" t="n">
        <x:f>H2067*('Assumptions'!$P$41+'Assumptions'!$Y$41)</x:f>
        <x:v>401.61435782648914</x:v>
      </x:c>
      <x:c r="X2067" s="10" t="n">
        <x:f>N2067/12*'Assumptions'!$AF$41</x:f>
        <x:v>4249.810113727575</x:v>
      </x:c>
      <x:c r="Y2067" s="10" t="n">
        <x:f>P2067/12</x:f>
        <x:v>65.09829757966584</x:v>
      </x:c>
      <x:c r="Z2067" s="10" t="n">
        <x:f>0</x:f>
        <x:v>0</x:v>
      </x:c>
      <x:c r="AA2067" s="10" t="n">
        <x:f>Z2067*'Assumptions'!$AC$41*'Assumptions'!$D$11*(1+'Assumptions'!$D$13)^(17-1)</x:f>
        <x:v>0</x:v>
      </x:c>
      <x:c r="AB2067" s="10" t="n">
        <x:f>F2067/12</x:f>
        <x:v>2.087456514431492</x:v>
      </x:c>
      <x:c r="AC2067" s="10" t="n">
        <x:f>AB2067/'Assumptions'!$AM$41</x:f>
        <x:v>10.437282572157459</x:v>
      </x:c>
      <x:c r="AD2067" s="10" t="n">
        <x:f>IF(AB2067=0,0,T2067/AB2067)</x:f>
        <x:v>977.2222034262567</x:v>
      </x:c>
      <x:c r="AE2067" s="10" t="n">
        <x:f>AA2067*'Assumptions'!$D$21</x:f>
        <x:v>0</x:v>
      </x:c>
    </x:row>
    <x:row r="2068" ht="16" customHeight="1">
      <x:c r="A2068" s="1"/>
      <x:c r="B2068" s="1"/>
      <x:c r="C2068" s="1" t="str">
        <x:v>DOT-013</x:v>
      </x:c>
      <x:c r="D2068" s="10" t="str">
        <x:v>BPA professional services</x:v>
      </x:c>
      <x:c r="E2068" s="10" t="n">
        <x:v>17</x:v>
      </x:c>
      <x:c r="F2068" s="21" t="n">
        <x:f>F1940*(1+'Assumptions'!$M$42)</x:f>
        <x:v>18.78710862988342</x:v>
      </x:c>
      <x:c r="G2068" s="21" t="n">
        <x:f>H1940*'Assumptions'!$K$42</x:f>
        <x:v>17.723287536161024</x:v>
      </x:c>
      <x:c r="H2068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2068+G2068,NA())</x:f>
        <x:v>36.510396166044444</x:v>
      </x:c>
      <x:c r="I2068" s="22" t="n">
        <x:f>'Assumptions'!$H$42*IF('Assumptions'!$O$42=1,1,'Assumptions'!$D$10)*(1+'Assumptions'!$N$42)^(17-1)</x:f>
        <x:v>2160</x:v>
      </x:c>
      <x:c r="J2068" s="10" t="n">
        <x:f>H2068*I2068</x:f>
        <x:v>78862.455718656</x:v>
      </x:c>
      <x:c r="K2068" s="10" t="n">
        <x:f>J2068*'Assumptions'!$T$42</x:f>
        <x:v>78862.455718656</x:v>
      </x:c>
      <x:c r="L2068" s="10" t="n">
        <x:f>K2068*'Assumptions'!$U$42</x:f>
        <x:v>2365.8736715596797</x:v>
      </x:c>
      <x:c r="M2068" s="10" t="n">
        <x:f>K2068*'Assumptions'!$V$42</x:f>
        <x:v>0</x:v>
      </x:c>
      <x:c r="N2068" s="10" t="n">
        <x:f>K2068-L2068-M2068</x:f>
        <x:v>76496.58204709632</x:v>
      </x:c>
      <x:c r="O2068" s="10" t="n">
        <x:f>H2068*'Assumptions'!$P$42*'Assumptions'!$Q$42*'Assumptions'!$D$11*(1+'Assumptions'!$D$13)^(17-1)</x:f>
        <x:v>56244.92910883126</x:v>
      </x:c>
      <x:c r="P2068" s="10" t="n">
        <x:f>H2068*'Assumptions'!$R$42*'Assumptions'!$D$11*(1+'Assumptions'!$D$13)^(17-1)</x:f>
        <x:v>585.8846782169923</x:v>
      </x:c>
      <x:c r="Q2068" s="10" t="n">
        <x:f>J2068*'Assumptions'!$S$42</x:f>
        <x:v>0</x:v>
      </x:c>
      <x:c r="R2068" s="10" t="n">
        <x:f>H2068*'Assumptions'!$Y$42*'Assumptions'!$Z$42*'Assumptions'!$D$11*(1+'Assumptions'!$D$13)^(17-1)</x:f>
        <x:v>439.4135086627442</x:v>
      </x:c>
      <x:c r="S2068" s="10" t="n">
        <x:f>IF(I2068=0,0,J2068*'Assumptions'!$W$42+H2068*'Assumptions'!$X$42)</x:f>
        <x:v>2297.964334690837</x:v>
      </x:c>
      <x:c r="T2068" s="10" t="n">
        <x:f>N2068*'Assumptions'!$AA$42</x:f>
        <x:v>3059.863281883853</x:v>
      </x:c>
      <x:c r="U2068" s="10" t="n">
        <x:f>'Assumptions'!$AE$42*'Assumptions'!$D$11*(1+'Assumptions'!$D$13)^(17-1)</x:f>
        <x:v>0</x:v>
      </x:c>
      <x:c r="V2068" s="10" t="n">
        <x:f>0</x:f>
        <x:v>0</x:v>
      </x:c>
      <x:c r="W2068" s="10" t="n">
        <x:f>H2068*('Assumptions'!$P$42+'Assumptions'!$Y$42)</x:f>
        <x:v>593.2939376982222</x:v>
      </x:c>
      <x:c r="X2068" s="10" t="n">
        <x:f>N2068/12*'Assumptions'!$AF$42</x:f>
        <x:v>6374.71517059136</x:v>
      </x:c>
      <x:c r="Y2068" s="10" t="n">
        <x:f>P2068/12</x:f>
        <x:v>48.823723184749355</x:v>
      </x:c>
      <x:c r="Z2068" s="10" t="n">
        <x:f>0</x:f>
        <x:v>0</x:v>
      </x:c>
      <x:c r="AA2068" s="10" t="n">
        <x:f>Z2068*'Assumptions'!$AC$42*'Assumptions'!$D$11*(1+'Assumptions'!$D$13)^(17-1)</x:f>
        <x:v>0</x:v>
      </x:c>
      <x:c r="AB2068" s="10" t="n">
        <x:f>F2068/12</x:f>
        <x:v>1.5655923858236183</x:v>
      </x:c>
      <x:c r="AC2068" s="10" t="n">
        <x:f>AB2068/'Assumptions'!$AM$42</x:f>
        <x:v>7.827961929118091</x:v>
      </x:c>
      <x:c r="AD2068" s="10" t="n">
        <x:f>IF(AB2068=0,0,T2068/AB2068)</x:f>
        <x:v>1954.4444068525133</x:v>
      </x:c>
      <x:c r="AE2068" s="10" t="n">
        <x:f>AA2068*'Assumptions'!$D$21</x:f>
        <x:v>0</x:v>
      </x:c>
    </x:row>
    <x:row r="2069" ht="16" customHeight="1">
      <x:c r="A2069" s="1"/>
      <x:c r="B2069" s="1"/>
      <x:c r="C2069" s="1" t="str">
        <x:v>DOT-014</x:v>
      </x:c>
      <x:c r="D2069" s="10" t="str">
        <x:v>BPA professional services</x:v>
      </x:c>
      <x:c r="E2069" s="10" t="n">
        <x:v>17</x:v>
      </x:c>
      <x:c r="F2069" s="21" t="n">
        <x:f>F1941*(1+'Assumptions'!$M$43)</x:f>
        <x:v>12.524739086588953</x:v>
      </x:c>
      <x:c r="G2069" s="21" t="n">
        <x:f>H1941*'Assumptions'!$K$43</x:f>
        <x:v>11.815525024107355</x:v>
      </x:c>
      <x:c r="H2069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2069+G2069,NA())</x:f>
        <x:v>24.34026411069631</x:v>
      </x:c>
      <x:c r="I2069" s="22" t="n">
        <x:f>'Assumptions'!$H$43*IF('Assumptions'!$O$43=1,1,'Assumptions'!$D$10)*(1+'Assumptions'!$N$43)^(17-1)</x:f>
        <x:v>3000</x:v>
      </x:c>
      <x:c r="J2069" s="10" t="n">
        <x:f>H2069*I2069</x:f>
        <x:v>73020.79233208892</x:v>
      </x:c>
      <x:c r="K2069" s="10" t="n">
        <x:f>J2069*'Assumptions'!$T$43</x:f>
        <x:v>73020.79233208892</x:v>
      </x:c>
      <x:c r="L2069" s="10" t="n">
        <x:f>K2069*'Assumptions'!$U$43</x:f>
        <x:v>2190.6237699626677</x:v>
      </x:c>
      <x:c r="M2069" s="10" t="n">
        <x:f>K2069*'Assumptions'!$V$43</x:f>
        <x:v>0</x:v>
      </x:c>
      <x:c r="N2069" s="10" t="n">
        <x:f>K2069-L2069-M2069</x:f>
        <x:v>70830.16856212626</x:v>
      </x:c>
      <x:c r="O2069" s="10" t="n">
        <x:f>H2069*'Assumptions'!$P$43*'Assumptions'!$Q$43*'Assumptions'!$D$11*(1+'Assumptions'!$D$13)^(17-1)</x:f>
        <x:v>46870.77425735941</x:v>
      </x:c>
      <x:c r="P2069" s="10" t="n">
        <x:f>H2069*'Assumptions'!$R$43*'Assumptions'!$D$11*(1+'Assumptions'!$D$13)^(17-1)</x:f>
        <x:v>390.58978547799506</x:v>
      </x:c>
      <x:c r="Q2069" s="10" t="n">
        <x:f>J2069*'Assumptions'!$S$43</x:f>
        <x:v>0</x:v>
      </x:c>
      <x:c r="R2069" s="10" t="n">
        <x:f>H2069*'Assumptions'!$Y$43*'Assumptions'!$Z$43*'Assumptions'!$D$11*(1+'Assumptions'!$D$13)^(17-1)</x:f>
        <x:v>292.9423391084963</x:v>
      </x:c>
      <x:c r="S2069" s="10" t="n">
        <x:f>IF(I2069=0,0,J2069*'Assumptions'!$W$43+H2069*'Assumptions'!$X$43)</x:f>
        <x:v>2124.905056863788</x:v>
      </x:c>
      <x:c r="T2069" s="10" t="n">
        <x:f>N2069*'Assumptions'!$AA$43</x:f>
        <x:v>2833.20674248505</x:v>
      </x:c>
      <x:c r="U2069" s="10" t="n">
        <x:f>'Assumptions'!$AE$43*'Assumptions'!$D$11*(1+'Assumptions'!$D$13)^(17-1)</x:f>
        <x:v>0</x:v>
      </x:c>
      <x:c r="V2069" s="10" t="n">
        <x:f>0</x:f>
        <x:v>0</x:v>
      </x:c>
      <x:c r="W2069" s="10" t="n">
        <x:f>H2069*('Assumptions'!$P$43+'Assumptions'!$Y$43)</x:f>
        <x:v>492.8903482416003</x:v>
      </x:c>
      <x:c r="X2069" s="10" t="n">
        <x:f>N2069/12*'Assumptions'!$AF$43</x:f>
        <x:v>5902.514046843855</x:v>
      </x:c>
      <x:c r="Y2069" s="10" t="n">
        <x:f>P2069/12</x:f>
        <x:v>32.54914878983292</x:v>
      </x:c>
      <x:c r="Z2069" s="10" t="n">
        <x:f>0</x:f>
        <x:v>0</x:v>
      </x:c>
      <x:c r="AA2069" s="10" t="n">
        <x:f>Z2069*'Assumptions'!$AC$43*'Assumptions'!$D$11*(1+'Assumptions'!$D$13)^(17-1)</x:f>
        <x:v>0</x:v>
      </x:c>
      <x:c r="AB2069" s="10" t="n">
        <x:f>F2069/12</x:f>
        <x:v>1.043728257215746</x:v>
      </x:c>
      <x:c r="AC2069" s="10" t="n">
        <x:f>AB2069/'Assumptions'!$AM$43</x:f>
        <x:v>5.2186412860787295</x:v>
      </x:c>
      <x:c r="AD2069" s="10" t="n">
        <x:f>IF(AB2069=0,0,T2069/AB2069)</x:f>
        <x:v>2714.506120628491</x:v>
      </x:c>
      <x:c r="AE2069" s="10" t="n">
        <x:f>AA2069*'Assumptions'!$D$21</x:f>
        <x:v>0</x:v>
      </x:c>
    </x:row>
    <x:row r="2070" ht="16" customHeight="1">
      <x:c r="A2070" s="1"/>
      <x:c r="B2070" s="1"/>
      <x:c r="C2070" s="1" t="str">
        <x:v>DOT-015</x:v>
      </x:c>
      <x:c r="D2070" s="10" t="str">
        <x:v>BPA professional services</x:v>
      </x:c>
      <x:c r="E2070" s="10" t="n">
        <x:v>17</x:v>
      </x:c>
      <x:c r="F2070" s="21" t="n">
        <x:f>F1942*(1+'Assumptions'!$M$44)</x:f>
        <x:v>10.437282572157459</x:v>
      </x:c>
      <x:c r="G2070" s="21" t="n">
        <x:f>H1942*'Assumptions'!$K$44</x:f>
        <x:v>9.846270853422794</x:v>
      </x:c>
      <x:c r="H2070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2070+G2070,NA())</x:f>
        <x:v>20.28355342558025</x:v>
      </x:c>
      <x:c r="I2070" s="22" t="n">
        <x:f>'Assumptions'!$H$44*IF('Assumptions'!$O$44=1,1,'Assumptions'!$D$10)*(1+'Assumptions'!$N$44)^(17-1)</x:f>
        <x:v>1200</x:v>
      </x:c>
      <x:c r="J2070" s="10" t="n">
        <x:f>H2070*I2070</x:f>
        <x:v>24340.264110696302</x:v>
      </x:c>
      <x:c r="K2070" s="10" t="n">
        <x:f>J2070*'Assumptions'!$T$44</x:f>
        <x:v>24340.264110696302</x:v>
      </x:c>
      <x:c r="L2070" s="10" t="n">
        <x:f>K2070*'Assumptions'!$U$44</x:f>
        <x:v>730.207923320889</x:v>
      </x:c>
      <x:c r="M2070" s="10" t="n">
        <x:f>K2070*'Assumptions'!$V$44</x:f>
        <x:v>0</x:v>
      </x:c>
      <x:c r="N2070" s="10" t="n">
        <x:f>K2070-L2070-M2070</x:f>
        <x:v>23610.056187375412</x:v>
      </x:c>
      <x:c r="O2070" s="10" t="n">
        <x:f>H2070*'Assumptions'!$P$44*'Assumptions'!$Q$44*'Assumptions'!$D$11*(1+'Assumptions'!$D$13)^(17-1)</x:f>
        <x:v>19529.489273899748</x:v>
      </x:c>
      <x:c r="P2070" s="10" t="n">
        <x:f>H2070*'Assumptions'!$R$44*'Assumptions'!$D$11*(1+'Assumptions'!$D$13)^(17-1)</x:f>
        <x:v>325.4914878983291</x:v>
      </x:c>
      <x:c r="Q2070" s="10" t="n">
        <x:f>J2070*'Assumptions'!$S$44</x:f>
        <x:v>0</x:v>
      </x:c>
      <x:c r="R2070" s="10" t="n">
        <x:f>H2070*'Assumptions'!$Y$44*'Assumptions'!$Z$44*'Assumptions'!$D$11*(1+'Assumptions'!$D$13)^(17-1)</x:f>
        <x:v>244.11861592374686</x:v>
      </x:c>
      <x:c r="S2070" s="10" t="n">
        <x:f>IF(I2070=0,0,J2070*'Assumptions'!$W$44+H2070*'Assumptions'!$X$44)</x:f>
        <x:v>711.9527252378668</x:v>
      </x:c>
      <x:c r="T2070" s="10" t="n">
        <x:f>N2070*'Assumptions'!$AA$44</x:f>
        <x:v>944.4022474950165</x:v>
      </x:c>
      <x:c r="U2070" s="10" t="n">
        <x:f>'Assumptions'!$AE$44*'Assumptions'!$D$11*(1+'Assumptions'!$D$13)^(17-1)</x:f>
        <x:v>0</x:v>
      </x:c>
      <x:c r="V2070" s="10" t="n">
        <x:f>0</x:f>
        <x:v>0</x:v>
      </x:c>
      <x:c r="W2070" s="10" t="n">
        <x:f>H2070*('Assumptions'!$P$44+'Assumptions'!$Y$44)</x:f>
        <x:v>207.9064226121976</x:v>
      </x:c>
      <x:c r="X2070" s="10" t="n">
        <x:f>N2070/12*'Assumptions'!$AF$44</x:f>
        <x:v>1967.5046822812844</x:v>
      </x:c>
      <x:c r="Y2070" s="10" t="n">
        <x:f>P2070/12</x:f>
        <x:v>27.124290658194095</x:v>
      </x:c>
      <x:c r="Z2070" s="10" t="n">
        <x:f>0</x:f>
        <x:v>0</x:v>
      </x:c>
      <x:c r="AA2070" s="10" t="n">
        <x:f>Z2070*'Assumptions'!$AC$44*'Assumptions'!$D$11*(1+'Assumptions'!$D$13)^(17-1)</x:f>
        <x:v>0</x:v>
      </x:c>
      <x:c r="AB2070" s="10" t="n">
        <x:f>F2070/1</x:f>
        <x:v>10.437282572157459</x:v>
      </x:c>
      <x:c r="AC2070" s="10" t="n">
        <x:f>AB2070/'Assumptions'!$AM$44</x:f>
        <x:v>52.18641286078729</x:v>
      </x:c>
      <x:c r="AD2070" s="10" t="n">
        <x:f>IF(AB2070=0,0,T2070/AB2070)</x:f>
        <x:v>90.483537354283</x:v>
      </x:c>
      <x:c r="AE2070" s="10" t="n">
        <x:f>AA2070*'Assumptions'!$D$21</x:f>
        <x:v>0</x:v>
      </x:c>
    </x:row>
    <x:row r="2071" ht="16" customHeight="1">
      <x:c r="A2071" s="1"/>
      <x:c r="B2071" s="1"/>
      <x:c r="C2071" s="1" t="str">
        <x:v>DOT-016</x:v>
      </x:c>
      <x:c r="D2071" s="10" t="str">
        <x:v>BPA professional services</x:v>
      </x:c>
      <x:c r="E2071" s="10" t="n">
        <x:v>17</x:v>
      </x:c>
      <x:c r="F2071" s="21" t="n">
        <x:f>F1943*(1+'Assumptions'!$M$45)</x:f>
        <x:v>6.262369543294477</x:v>
      </x:c>
      <x:c r="G2071" s="21" t="n">
        <x:f>H1943*'Assumptions'!$K$45</x:f>
        <x:v>5.907762512053678</x:v>
      </x:c>
      <x:c r="H2071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2071+G2071,NA())</x:f>
        <x:v>12.170132055348155</x:v>
      </x:c>
      <x:c r="I2071" s="22" t="n">
        <x:f>'Assumptions'!$H$45*IF('Assumptions'!$O$45=1,1,'Assumptions'!$D$10)*(1+'Assumptions'!$N$45)^(17-1)</x:f>
        <x:v>1800</x:v>
      </x:c>
      <x:c r="J2071" s="10" t="n">
        <x:f>H2071*I2071</x:f>
        <x:v>21906.23769962668</x:v>
      </x:c>
      <x:c r="K2071" s="10" t="n">
        <x:f>J2071*'Assumptions'!$T$45</x:f>
        <x:v>21906.23769962668</x:v>
      </x:c>
      <x:c r="L2071" s="10" t="n">
        <x:f>K2071*'Assumptions'!$U$45</x:f>
        <x:v>657.1871309888004</x:v>
      </x:c>
      <x:c r="M2071" s="10" t="n">
        <x:f>K2071*'Assumptions'!$V$45</x:f>
        <x:v>0</x:v>
      </x:c>
      <x:c r="N2071" s="10" t="n">
        <x:f>K2071-L2071-M2071</x:f>
        <x:v>21249.05056863788</x:v>
      </x:c>
      <x:c r="O2071" s="10" t="n">
        <x:f>H2071*'Assumptions'!$P$45*'Assumptions'!$Q$45*'Assumptions'!$D$11*(1+'Assumptions'!$D$13)^(17-1)</x:f>
        <x:v>5858.846782169926</x:v>
      </x:c>
      <x:c r="P2071" s="10" t="n">
        <x:f>H2071*'Assumptions'!$R$45*'Assumptions'!$D$11*(1+'Assumptions'!$D$13)^(17-1)</x:f>
        <x:v>195.29489273899753</x:v>
      </x:c>
      <x:c r="Q2071" s="10" t="n">
        <x:f>J2071*'Assumptions'!$S$45</x:f>
        <x:v>0</x:v>
      </x:c>
      <x:c r="R2071" s="10" t="n">
        <x:f>H2071*'Assumptions'!$Y$45*'Assumptions'!$Z$45*'Assumptions'!$D$11*(1+'Assumptions'!$D$13)^(17-1)</x:f>
        <x:v>146.47116955424815</x:v>
      </x:c>
      <x:c r="S2071" s="10" t="n">
        <x:f>IF(I2071=0,0,J2071*'Assumptions'!$W$45+H2071*'Assumptions'!$X$45)</x:f>
        <x:v>638.9319329057781</x:v>
      </x:c>
      <x:c r="T2071" s="10" t="n">
        <x:f>N2071*'Assumptions'!$AA$45</x:f>
        <x:v>849.9620227455151</x:v>
      </x:c>
      <x:c r="U2071" s="10" t="n">
        <x:f>'Assumptions'!$AE$45*'Assumptions'!$D$11*(1+'Assumptions'!$D$13)^(17-1)</x:f>
        <x:v>0</x:v>
      </x:c>
      <x:c r="V2071" s="10" t="n">
        <x:f>0</x:f>
        <x:v>0</x:v>
      </x:c>
      <x:c r="W2071" s="10" t="n">
        <x:f>H2071*('Assumptions'!$P$45+'Assumptions'!$Y$45)</x:f>
        <x:v>63.89319329057781</x:v>
      </x:c>
      <x:c r="X2071" s="10" t="n">
        <x:f>N2071/12*'Assumptions'!$AF$45</x:f>
        <x:v>1770.7542140531566</x:v>
      </x:c>
      <x:c r="Y2071" s="10" t="n">
        <x:f>P2071/12</x:f>
        <x:v>16.27457439491646</x:v>
      </x:c>
      <x:c r="Z2071" s="10" t="n">
        <x:f>0</x:f>
        <x:v>0</x:v>
      </x:c>
      <x:c r="AA2071" s="10" t="n">
        <x:f>Z2071*'Assumptions'!$AC$45*'Assumptions'!$D$11*(1+'Assumptions'!$D$13)^(17-1)</x:f>
        <x:v>0</x:v>
      </x:c>
      <x:c r="AB2071" s="10" t="n">
        <x:f>F2071/1</x:f>
        <x:v>6.262369543294477</x:v>
      </x:c>
      <x:c r="AC2071" s="10" t="n">
        <x:f>AB2071/'Assumptions'!$AM$45</x:f>
        <x:v>31.311847716472382</x:v>
      </x:c>
      <x:c r="AD2071" s="10" t="n">
        <x:f>IF(AB2071=0,0,T2071/AB2071)</x:f>
        <x:v>135.72530603142454</x:v>
      </x:c>
      <x:c r="AE2071" s="10" t="n">
        <x:f>AA2071*'Assumptions'!$D$21</x:f>
        <x:v>0</x:v>
      </x:c>
    </x:row>
    <x:row r="2072" ht="16" customHeight="1">
      <x:c r="A2072" s="1"/>
      <x:c r="B2072" s="1"/>
      <x:c r="C2072" s="1" t="str">
        <x:v>DOT-017</x:v>
      </x:c>
      <x:c r="D2072" s="10" t="str">
        <x:v>BPA professional services</x:v>
      </x:c>
      <x:c r="E2072" s="10" t="n">
        <x:v>17</x:v>
      </x:c>
      <x:c r="F2072" s="21" t="n">
        <x:f>F1944*(1+'Assumptions'!$M$46)</x:f>
        <x:v>6.262369543294477</x:v>
      </x:c>
      <x:c r="G2072" s="21" t="n">
        <x:f>H1944*'Assumptions'!$K$46</x:f>
        <x:v>5.907762512053678</x:v>
      </x:c>
      <x:c r="H2072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2072+G2072,NA())</x:f>
        <x:v>12.170132055348155</x:v>
      </x:c>
      <x:c r="I2072" s="22" t="n">
        <x:f>'Assumptions'!$H$46*IF('Assumptions'!$O$46=1,1,'Assumptions'!$D$10)*(1+'Assumptions'!$N$46)^(17-1)</x:f>
        <x:v>1500</x:v>
      </x:c>
      <x:c r="J2072" s="10" t="n">
        <x:f>H2072*I2072</x:f>
        <x:v>18255.19808302223</x:v>
      </x:c>
      <x:c r="K2072" s="10" t="n">
        <x:f>J2072*'Assumptions'!$T$46</x:f>
        <x:v>18255.19808302223</x:v>
      </x:c>
      <x:c r="L2072" s="10" t="n">
        <x:f>K2072*'Assumptions'!$U$46</x:f>
        <x:v>547.6559424906669</x:v>
      </x:c>
      <x:c r="M2072" s="10" t="n">
        <x:f>K2072*'Assumptions'!$V$46</x:f>
        <x:v>0</x:v>
      </x:c>
      <x:c r="N2072" s="10" t="n">
        <x:f>K2072-L2072-M2072</x:f>
        <x:v>17707.542140531565</x:v>
      </x:c>
      <x:c r="O2072" s="10" t="n">
        <x:f>H2072*'Assumptions'!$P$46*'Assumptions'!$Q$46*'Assumptions'!$D$11*(1+'Assumptions'!$D$13)^(17-1)</x:f>
        <x:v>7030.616138603912</x:v>
      </x:c>
      <x:c r="P2072" s="10" t="n">
        <x:f>H2072*'Assumptions'!$R$46*'Assumptions'!$D$11*(1+'Assumptions'!$D$13)^(17-1)</x:f>
        <x:v>195.29489273899753</x:v>
      </x:c>
      <x:c r="Q2072" s="10" t="n">
        <x:f>J2072*'Assumptions'!$S$46</x:f>
        <x:v>0</x:v>
      </x:c>
      <x:c r="R2072" s="10" t="n">
        <x:f>H2072*'Assumptions'!$Y$46*'Assumptions'!$Z$46*'Assumptions'!$D$11*(1+'Assumptions'!$D$13)^(17-1)</x:f>
        <x:v>146.47116955424815</x:v>
      </x:c>
      <x:c r="S2072" s="10" t="n">
        <x:f>IF(I2072=0,0,J2072*'Assumptions'!$W$46+H2072*'Assumptions'!$X$46)</x:f>
        <x:v>533.0517840242492</x:v>
      </x:c>
      <x:c r="T2072" s="10" t="n">
        <x:f>N2072*'Assumptions'!$AA$46</x:f>
        <x:v>708.3016856212625</x:v>
      </x:c>
      <x:c r="U2072" s="10" t="n">
        <x:f>'Assumptions'!$AE$46*'Assumptions'!$D$11*(1+'Assumptions'!$D$13)^(17-1)</x:f>
        <x:v>0</x:v>
      </x:c>
      <x:c r="V2072" s="10" t="n">
        <x:f>0</x:f>
        <x:v>0</x:v>
      </x:c>
      <x:c r="W2072" s="10" t="n">
        <x:f>H2072*('Assumptions'!$P$46+'Assumptions'!$Y$46)</x:f>
        <x:v>76.06332534592597</x:v>
      </x:c>
      <x:c r="X2072" s="10" t="n">
        <x:f>N2072/12*'Assumptions'!$AF$46</x:f>
        <x:v>1475.6285117109637</x:v>
      </x:c>
      <x:c r="Y2072" s="10" t="n">
        <x:f>P2072/12</x:f>
        <x:v>16.27457439491646</x:v>
      </x:c>
      <x:c r="Z2072" s="10" t="n">
        <x:f>0</x:f>
        <x:v>0</x:v>
      </x:c>
      <x:c r="AA2072" s="10" t="n">
        <x:f>Z2072*'Assumptions'!$AC$46*'Assumptions'!$D$11*(1+'Assumptions'!$D$13)^(17-1)</x:f>
        <x:v>0</x:v>
      </x:c>
      <x:c r="AB2072" s="10" t="n">
        <x:f>F2072/1</x:f>
        <x:v>6.262369543294477</x:v>
      </x:c>
      <x:c r="AC2072" s="10" t="n">
        <x:f>AB2072/'Assumptions'!$AM$46</x:f>
        <x:v>31.311847716472382</x:v>
      </x:c>
      <x:c r="AD2072" s="10" t="n">
        <x:f>IF(AB2072=0,0,T2072/AB2072)</x:f>
        <x:v>113.10442169285376</x:v>
      </x:c>
      <x:c r="AE2072" s="10" t="n">
        <x:f>AA2072*'Assumptions'!$D$21</x:f>
        <x:v>0</x:v>
      </x:c>
    </x:row>
    <x:row r="2073" ht="16" customHeight="1">
      <x:c r="A2073" s="1"/>
      <x:c r="B2073" s="1"/>
      <x:c r="C2073" s="1" t="str">
        <x:v>DOT-018</x:v>
      </x:c>
      <x:c r="D2073" s="10" t="str">
        <x:v>BPA professional services</x:v>
      </x:c>
      <x:c r="E2073" s="10" t="n">
        <x:v>17</x:v>
      </x:c>
      <x:c r="F2073" s="21" t="n">
        <x:f>F1945*(1+'Assumptions'!$M$47)</x:f>
        <x:v>8.349826057725968</x:v>
      </x:c>
      <x:c r="G2073" s="21" t="n">
        <x:f>H1945*'Assumptions'!$K$47</x:f>
        <x:v>7.877016682738237</x:v>
      </x:c>
      <x:c r="H2073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2073+G2073,NA())</x:f>
        <x:v>16.226842740464207</x:v>
      </x:c>
      <x:c r="I2073" s="22" t="n">
        <x:f>'Assumptions'!$H$47*IF('Assumptions'!$O$47=1,1,'Assumptions'!$D$10)*(1+'Assumptions'!$N$47)^(17-1)</x:f>
        <x:v>1200</x:v>
      </x:c>
      <x:c r="J2073" s="10" t="n">
        <x:f>H2073*I2073</x:f>
        <x:v>19472.21128855705</x:v>
      </x:c>
      <x:c r="K2073" s="10" t="n">
        <x:f>J2073*'Assumptions'!$T$47</x:f>
        <x:v>19472.21128855705</x:v>
      </x:c>
      <x:c r="L2073" s="10" t="n">
        <x:f>K2073*'Assumptions'!$U$47</x:f>
        <x:v>584.1663386567114</x:v>
      </x:c>
      <x:c r="M2073" s="10" t="n">
        <x:f>K2073*'Assumptions'!$V$47</x:f>
        <x:v>0</x:v>
      </x:c>
      <x:c r="N2073" s="10" t="n">
        <x:f>K2073-L2073-M2073</x:f>
        <x:v>18888.044949900337</x:v>
      </x:c>
      <x:c r="O2073" s="10" t="n">
        <x:f>H2073*'Assumptions'!$P$47*'Assumptions'!$Q$47*'Assumptions'!$D$11*(1+'Assumptions'!$D$13)^(17-1)</x:f>
        <x:v>6249.436567647921</x:v>
      </x:c>
      <x:c r="P2073" s="10" t="n">
        <x:f>H2073*'Assumptions'!$R$47*'Assumptions'!$D$11*(1+'Assumptions'!$D$13)^(17-1)</x:f>
        <x:v>260.3931903186634</x:v>
      </x:c>
      <x:c r="Q2073" s="10" t="n">
        <x:f>J2073*'Assumptions'!$S$47</x:f>
        <x:v>0</x:v>
      </x:c>
      <x:c r="R2073" s="10" t="n">
        <x:f>H2073*'Assumptions'!$Y$47*'Assumptions'!$Z$47*'Assumptions'!$D$11*(1+'Assumptions'!$D$13)^(17-1)</x:f>
        <x:v>195.29489273899753</x:v>
      </x:c>
      <x:c r="S2073" s="10" t="n">
        <x:f>IF(I2073=0,0,J2073*'Assumptions'!$W$47+H2073*'Assumptions'!$X$47)</x:f>
        <x:v>569.5621801902937</x:v>
      </x:c>
      <x:c r="T2073" s="10" t="n">
        <x:f>N2073*'Assumptions'!$AA$47</x:f>
        <x:v>755.5217979960134</x:v>
      </x:c>
      <x:c r="U2073" s="10" t="n">
        <x:f>'Assumptions'!$AE$47*'Assumptions'!$D$11*(1+'Assumptions'!$D$13)^(17-1)</x:f>
        <x:v>0</x:v>
      </x:c>
      <x:c r="V2073" s="10" t="n">
        <x:f>0</x:f>
        <x:v>0</x:v>
      </x:c>
      <x:c r="W2073" s="10" t="n">
        <x:f>H2073*('Assumptions'!$P$47+'Assumptions'!$Y$47)</x:f>
        <x:v>68.96408164697289</x:v>
      </x:c>
      <x:c r="X2073" s="10" t="n">
        <x:f>N2073/12*'Assumptions'!$AF$47</x:f>
        <x:v>1574.003745825028</x:v>
      </x:c>
      <x:c r="Y2073" s="10" t="n">
        <x:f>P2073/12</x:f>
        <x:v>21.699432526555285</x:v>
      </x:c>
      <x:c r="Z2073" s="10" t="n">
        <x:f>0</x:f>
        <x:v>0</x:v>
      </x:c>
      <x:c r="AA2073" s="10" t="n">
        <x:f>Z2073*'Assumptions'!$AC$47*'Assumptions'!$D$11*(1+'Assumptions'!$D$13)^(17-1)</x:f>
        <x:v>0</x:v>
      </x:c>
      <x:c r="AB2073" s="10" t="n">
        <x:f>F2073/1</x:f>
        <x:v>8.349826057725968</x:v>
      </x:c>
      <x:c r="AC2073" s="10" t="n">
        <x:f>AB2073/'Assumptions'!$AM$47</x:f>
        <x:v>41.749130288629836</x:v>
      </x:c>
      <x:c r="AD2073" s="10" t="n">
        <x:f>IF(AB2073=0,0,T2073/AB2073)</x:f>
        <x:v>90.48353735428303</x:v>
      </x:c>
      <x:c r="AE2073" s="10" t="n">
        <x:f>AA2073*'Assumptions'!$D$21</x:f>
        <x:v>0</x:v>
      </x:c>
    </x:row>
    <x:row r="2074" ht="16" customHeight="1">
      <x:c r="A2074" s="1"/>
      <x:c r="B2074" s="1"/>
      <x:c r="C2074" s="1" t="str">
        <x:v>DOT-019</x:v>
      </x:c>
      <x:c r="D2074" s="10" t="str">
        <x:v>BPA professional services</x:v>
      </x:c>
      <x:c r="E2074" s="10" t="n">
        <x:v>17</x:v>
      </x:c>
      <x:c r="F2074" s="21" t="n">
        <x:f>F1946*(1+'Assumptions'!$M$48)</x:f>
        <x:v>4.174913028862984</x:v>
      </x:c>
      <x:c r="G2074" s="21" t="n">
        <x:f>H1946*'Assumptions'!$K$48</x:f>
        <x:v>3.9385083413691184</x:v>
      </x:c>
      <x:c r="H2074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2074+G2074,NA())</x:f>
        <x:v>8.113421370232103</x:v>
      </x:c>
      <x:c r="I2074" s="22" t="n">
        <x:f>'Assumptions'!$H$48*IF('Assumptions'!$O$48=1,1,'Assumptions'!$D$10)*(1+'Assumptions'!$N$48)^(17-1)</x:f>
        <x:v>3000</x:v>
      </x:c>
      <x:c r="J2074" s="10" t="n">
        <x:f>H2074*I2074</x:f>
        <x:v>24340.26411069631</x:v>
      </x:c>
      <x:c r="K2074" s="10" t="n">
        <x:f>J2074*'Assumptions'!$T$48</x:f>
        <x:v>24340.26411069631</x:v>
      </x:c>
      <x:c r="L2074" s="10" t="n">
        <x:f>K2074*'Assumptions'!$U$48</x:f>
        <x:v>730.2079233208892</x:v>
      </x:c>
      <x:c r="M2074" s="10" t="n">
        <x:f>K2074*'Assumptions'!$V$48</x:f>
        <x:v>0</x:v>
      </x:c>
      <x:c r="N2074" s="10" t="n">
        <x:f>K2074-L2074-M2074</x:f>
        <x:v>23610.05618737542</x:v>
      </x:c>
      <x:c r="O2074" s="10" t="n">
        <x:f>H2074*'Assumptions'!$P$48*'Assumptions'!$Q$48*'Assumptions'!$D$11*(1+'Assumptions'!$D$13)^(17-1)</x:f>
        <x:v>9374.154851471882</x:v>
      </x:c>
      <x:c r="P2074" s="10" t="n">
        <x:f>H2074*'Assumptions'!$R$48*'Assumptions'!$D$11*(1+'Assumptions'!$D$13)^(17-1)</x:f>
        <x:v>130.1965951593317</x:v>
      </x:c>
      <x:c r="Q2074" s="10" t="n">
        <x:f>J2074*'Assumptions'!$S$48</x:f>
        <x:v>0</x:v>
      </x:c>
      <x:c r="R2074" s="10" t="n">
        <x:f>H2074*'Assumptions'!$Y$48*'Assumptions'!$Z$48*'Assumptions'!$D$11*(1+'Assumptions'!$D$13)^(17-1)</x:f>
        <x:v>97.64744636949877</x:v>
      </x:c>
      <x:c r="S2074" s="10" t="n">
        <x:f>IF(I2074=0,0,J2074*'Assumptions'!$W$48+H2074*'Assumptions'!$X$48)</x:f>
        <x:v>708.3016856212627</x:v>
      </x:c>
      <x:c r="T2074" s="10" t="n">
        <x:f>N2074*'Assumptions'!$AA$48</x:f>
        <x:v>944.4022474950168</x:v>
      </x:c>
      <x:c r="U2074" s="10" t="n">
        <x:f>'Assumptions'!$AE$48*'Assumptions'!$D$11*(1+'Assumptions'!$D$13)^(17-1)</x:f>
        <x:v>0</x:v>
      </x:c>
      <x:c r="V2074" s="10" t="n">
        <x:f>0</x:f>
        <x:v>0</x:v>
      </x:c>
      <x:c r="W2074" s="10" t="n">
        <x:f>H2074*('Assumptions'!$P$48+'Assumptions'!$Y$48)</x:f>
        <x:v>99.38941178534327</x:v>
      </x:c>
      <x:c r="X2074" s="10" t="n">
        <x:f>N2074/12*'Assumptions'!$AF$48</x:f>
        <x:v>1967.5046822812849</x:v>
      </x:c>
      <x:c r="Y2074" s="10" t="n">
        <x:f>P2074/12</x:f>
        <x:v>10.849716263277642</x:v>
      </x:c>
      <x:c r="Z2074" s="10" t="n">
        <x:f>0</x:f>
        <x:v>0</x:v>
      </x:c>
      <x:c r="AA2074" s="10" t="n">
        <x:f>Z2074*'Assumptions'!$AC$48*'Assumptions'!$D$11*(1+'Assumptions'!$D$13)^(17-1)</x:f>
        <x:v>0</x:v>
      </x:c>
      <x:c r="AB2074" s="10" t="n">
        <x:f>F2074/1</x:f>
        <x:v>4.174913028862984</x:v>
      </x:c>
      <x:c r="AC2074" s="10" t="n">
        <x:f>AB2074/'Assumptions'!$AM$48</x:f>
        <x:v>20.874565144314918</x:v>
      </x:c>
      <x:c r="AD2074" s="10" t="n">
        <x:f>IF(AB2074=0,0,T2074/AB2074)</x:f>
        <x:v>226.20884338570758</x:v>
      </x:c>
      <x:c r="AE2074" s="10" t="n">
        <x:f>AA2074*'Assumptions'!$D$21</x:f>
        <x:v>0</x:v>
      </x:c>
    </x:row>
    <x:row r="2075" ht="16" customHeight="1">
      <x:c r="A2075" s="1"/>
      <x:c r="B2075" s="1"/>
      <x:c r="C2075" s="1" t="str">
        <x:v>DOT-020</x:v>
      </x:c>
      <x:c r="D2075" s="10" t="str">
        <x:v>BPA professional services</x:v>
      </x:c>
      <x:c r="E2075" s="10" t="n">
        <x:v>17</x:v>
      </x:c>
      <x:c r="F2075" s="21" t="n">
        <x:f>F1947*(1+'Assumptions'!$M$49)</x:f>
        <x:v>6.262369543294477</x:v>
      </x:c>
      <x:c r="G2075" s="21" t="n">
        <x:f>H1947*'Assumptions'!$K$49</x:f>
        <x:v>5.907762512053678</x:v>
      </x:c>
      <x:c r="H2075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2075+G2075,NA())</x:f>
        <x:v>12.170132055348155</x:v>
      </x:c>
      <x:c r="I2075" s="22" t="n">
        <x:f>'Assumptions'!$H$49*IF('Assumptions'!$O$49=1,1,'Assumptions'!$D$10)*(1+'Assumptions'!$N$49)^(17-1)</x:f>
        <x:v>1800</x:v>
      </x:c>
      <x:c r="J2075" s="10" t="n">
        <x:f>H2075*I2075</x:f>
        <x:v>21906.23769962668</x:v>
      </x:c>
      <x:c r="K2075" s="10" t="n">
        <x:f>J2075*'Assumptions'!$T$49</x:f>
        <x:v>21906.23769962668</x:v>
      </x:c>
      <x:c r="L2075" s="10" t="n">
        <x:f>K2075*'Assumptions'!$U$49</x:f>
        <x:v>657.1871309888004</x:v>
      </x:c>
      <x:c r="M2075" s="10" t="n">
        <x:f>K2075*'Assumptions'!$V$49</x:f>
        <x:v>0</x:v>
      </x:c>
      <x:c r="N2075" s="10" t="n">
        <x:f>K2075-L2075-M2075</x:f>
        <x:v>21249.05056863788</x:v>
      </x:c>
      <x:c r="O2075" s="10" t="n">
        <x:f>H2075*'Assumptions'!$P$49*'Assumptions'!$Q$49*'Assumptions'!$D$11*(1+'Assumptions'!$D$13)^(17-1)</x:f>
        <x:v>7030.616138603912</x:v>
      </x:c>
      <x:c r="P2075" s="10" t="n">
        <x:f>H2075*'Assumptions'!$R$49*'Assumptions'!$D$11*(1+'Assumptions'!$D$13)^(17-1)</x:f>
        <x:v>195.29489273899753</x:v>
      </x:c>
      <x:c r="Q2075" s="10" t="n">
        <x:f>J2075*'Assumptions'!$S$49</x:f>
        <x:v>0</x:v>
      </x:c>
      <x:c r="R2075" s="10" t="n">
        <x:f>H2075*'Assumptions'!$Y$49*'Assumptions'!$Z$49*'Assumptions'!$D$11*(1+'Assumptions'!$D$13)^(17-1)</x:f>
        <x:v>146.47116955424815</x:v>
      </x:c>
      <x:c r="S2075" s="10" t="n">
        <x:f>IF(I2075=0,0,J2075*'Assumptions'!$W$49+H2075*'Assumptions'!$X$49)</x:f>
        <x:v>638.9319329057781</x:v>
      </x:c>
      <x:c r="T2075" s="10" t="n">
        <x:f>N2075*'Assumptions'!$AA$49</x:f>
        <x:v>849.9620227455151</x:v>
      </x:c>
      <x:c r="U2075" s="10" t="n">
        <x:f>'Assumptions'!$AE$49*'Assumptions'!$D$11*(1+'Assumptions'!$D$13)^(17-1)</x:f>
        <x:v>0</x:v>
      </x:c>
      <x:c r="V2075" s="10" t="n">
        <x:f>0</x:f>
        <x:v>0</x:v>
      </x:c>
      <x:c r="W2075" s="10" t="n">
        <x:f>H2075*('Assumptions'!$P$49+'Assumptions'!$Y$49)</x:f>
        <x:v>76.06332534592597</x:v>
      </x:c>
      <x:c r="X2075" s="10" t="n">
        <x:f>N2075/12*'Assumptions'!$AF$49</x:f>
        <x:v>1770.7542140531566</x:v>
      </x:c>
      <x:c r="Y2075" s="10" t="n">
        <x:f>P2075/12</x:f>
        <x:v>16.27457439491646</x:v>
      </x:c>
      <x:c r="Z2075" s="10" t="n">
        <x:f>0</x:f>
        <x:v>0</x:v>
      </x:c>
      <x:c r="AA2075" s="10" t="n">
        <x:f>Z2075*'Assumptions'!$AC$49*'Assumptions'!$D$11*(1+'Assumptions'!$D$13)^(17-1)</x:f>
        <x:v>0</x:v>
      </x:c>
      <x:c r="AB2075" s="10" t="n">
        <x:f>F2075/1</x:f>
        <x:v>6.262369543294477</x:v>
      </x:c>
      <x:c r="AC2075" s="10" t="n">
        <x:f>AB2075/'Assumptions'!$AM$49</x:f>
        <x:v>31.311847716472382</x:v>
      </x:c>
      <x:c r="AD2075" s="10" t="n">
        <x:f>IF(AB2075=0,0,T2075/AB2075)</x:f>
        <x:v>135.72530603142454</x:v>
      </x:c>
      <x:c r="AE2075" s="10" t="n">
        <x:f>AA2075*'Assumptions'!$D$21</x:f>
        <x:v>0</x:v>
      </x:c>
    </x:row>
    <x:row r="2076" ht="16" customHeight="1">
      <x:c r="A2076" s="1"/>
      <x:c r="B2076" s="1"/>
      <x:c r="C2076" s="1" t="str">
        <x:v>DOT-021</x:v>
      </x:c>
      <x:c r="D2076" s="10" t="str">
        <x:v>BPA professional services</x:v>
      </x:c>
      <x:c r="E2076" s="10" t="n">
        <x:v>17</x:v>
      </x:c>
      <x:c r="F2076" s="21" t="n">
        <x:f>F1948*(1+'Assumptions'!$M$50)</x:f>
        <x:v>4.174913028862984</x:v>
      </x:c>
      <x:c r="G2076" s="21" t="n">
        <x:f>H1948*'Assumptions'!$K$50</x:f>
        <x:v>3.9385083413691184</x:v>
      </x:c>
      <x:c r="H2076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2076+G2076,NA())</x:f>
        <x:v>8.113421370232103</x:v>
      </x:c>
      <x:c r="I2076" s="22" t="n">
        <x:f>'Assumptions'!$H$50*IF('Assumptions'!$O$50=1,1,'Assumptions'!$D$10)*(1+'Assumptions'!$N$50)^(17-1)</x:f>
        <x:v>4200</x:v>
      </x:c>
      <x:c r="J2076" s="10" t="n">
        <x:f>H2076*I2076</x:f>
        <x:v>34076.36975497483</x:v>
      </x:c>
      <x:c r="K2076" s="10" t="n">
        <x:f>J2076*'Assumptions'!$T$50</x:f>
        <x:v>34076.36975497483</x:v>
      </x:c>
      <x:c r="L2076" s="10" t="n">
        <x:f>K2076*'Assumptions'!$U$50</x:f>
        <x:v>1022.2910926492449</x:v>
      </x:c>
      <x:c r="M2076" s="10" t="n">
        <x:f>K2076*'Assumptions'!$V$50</x:f>
        <x:v>0</x:v>
      </x:c>
      <x:c r="N2076" s="10" t="n">
        <x:f>K2076-L2076-M2076</x:f>
        <x:v>33054.078662325584</x:v>
      </x:c>
      <x:c r="O2076" s="10" t="n">
        <x:f>H2076*'Assumptions'!$P$50*'Assumptions'!$Q$50*'Assumptions'!$D$11*(1+'Assumptions'!$D$13)^(17-1)</x:f>
        <x:v>9374.154851471882</x:v>
      </x:c>
      <x:c r="P2076" s="10" t="n">
        <x:f>H2076*'Assumptions'!$R$50*'Assumptions'!$D$11*(1+'Assumptions'!$D$13)^(17-1)</x:f>
        <x:v>130.1965951593317</x:v>
      </x:c>
      <x:c r="Q2076" s="10" t="n">
        <x:f>J2076*'Assumptions'!$S$50</x:f>
        <x:v>0</x:v>
      </x:c>
      <x:c r="R2076" s="10" t="n">
        <x:f>H2076*'Assumptions'!$Y$50*'Assumptions'!$Z$50*'Assumptions'!$D$11*(1+'Assumptions'!$D$13)^(17-1)</x:f>
        <x:v>97.64744636949877</x:v>
      </x:c>
      <x:c r="S2076" s="10" t="n">
        <x:f>IF(I2076=0,0,J2076*'Assumptions'!$W$50+H2076*'Assumptions'!$X$50)</x:f>
        <x:v>990.6487493053398</x:v>
      </x:c>
      <x:c r="T2076" s="10" t="n">
        <x:f>N2076*'Assumptions'!$AA$50</x:f>
        <x:v>1322.1631464930233</x:v>
      </x:c>
      <x:c r="U2076" s="10" t="n">
        <x:f>'Assumptions'!$AE$50*'Assumptions'!$D$11*(1+'Assumptions'!$D$13)^(17-1)</x:f>
        <x:v>0</x:v>
      </x:c>
      <x:c r="V2076" s="10" t="n">
        <x:f>0</x:f>
        <x:v>0</x:v>
      </x:c>
      <x:c r="W2076" s="10" t="n">
        <x:f>H2076*('Assumptions'!$P$50+'Assumptions'!$Y$50)</x:f>
        <x:v>99.38941178534327</x:v>
      </x:c>
      <x:c r="X2076" s="10" t="n">
        <x:f>N2076/12*'Assumptions'!$AF$50</x:f>
        <x:v>2754.5065551937987</x:v>
      </x:c>
      <x:c r="Y2076" s="10" t="n">
        <x:f>P2076/12</x:f>
        <x:v>10.849716263277642</x:v>
      </x:c>
      <x:c r="Z2076" s="10" t="n">
        <x:f>0</x:f>
        <x:v>0</x:v>
      </x:c>
      <x:c r="AA2076" s="10" t="n">
        <x:f>Z2076*'Assumptions'!$AC$50*'Assumptions'!$D$11*(1+'Assumptions'!$D$13)^(17-1)</x:f>
        <x:v>0</x:v>
      </x:c>
      <x:c r="AB2076" s="10" t="n">
        <x:f>F2076/1</x:f>
        <x:v>4.174913028862984</x:v>
      </x:c>
      <x:c r="AC2076" s="10" t="n">
        <x:f>AB2076/'Assumptions'!$AM$50</x:f>
        <x:v>20.874565144314918</x:v>
      </x:c>
      <x:c r="AD2076" s="10" t="n">
        <x:f>IF(AB2076=0,0,T2076/AB2076)</x:f>
        <x:v>316.69238073999054</x:v>
      </x:c>
      <x:c r="AE2076" s="10" t="n">
        <x:f>AA2076*'Assumptions'!$D$21</x:f>
        <x:v>0</x:v>
      </x:c>
    </x:row>
    <x:row r="2077" ht="16" customHeight="1">
      <x:c r="A2077" s="1"/>
      <x:c r="B2077" s="1"/>
      <x:c r="C2077" s="1" t="str">
        <x:v>DOT-022</x:v>
      </x:c>
      <x:c r="D2077" s="10" t="str">
        <x:v>BPA professional services</x:v>
      </x:c>
      <x:c r="E2077" s="10" t="n">
        <x:v>17</x:v>
      </x:c>
      <x:c r="F2077" s="21" t="n">
        <x:f>F1949*(1+'Assumptions'!$M$51)</x:f>
        <x:v>16.699652115451936</x:v>
      </x:c>
      <x:c r="G2077" s="21" t="n">
        <x:f>H1949*'Assumptions'!$K$51</x:f>
        <x:v>15.754033365476474</x:v>
      </x:c>
      <x:c r="H2077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2077+G2077,NA())</x:f>
        <x:v>32.453685480928414</x:v>
      </x:c>
      <x:c r="I2077" s="22" t="n">
        <x:f>'Assumptions'!$H$51*IF('Assumptions'!$O$51=1,1,'Assumptions'!$D$10)*(1+'Assumptions'!$N$51)^(17-1)</x:f>
        <x:v>900</x:v>
      </x:c>
      <x:c r="J2077" s="10" t="n">
        <x:f>H2077*I2077</x:f>
        <x:v>29208.316932835573</x:v>
      </x:c>
      <x:c r="K2077" s="10" t="n">
        <x:f>J2077*'Assumptions'!$T$51</x:f>
        <x:v>29208.316932835573</x:v>
      </x:c>
      <x:c r="L2077" s="10" t="n">
        <x:f>K2077*'Assumptions'!$U$51</x:f>
        <x:v>876.2495079850671</x:v>
      </x:c>
      <x:c r="M2077" s="10" t="n">
        <x:f>K2077*'Assumptions'!$V$51</x:f>
        <x:v>0</x:v>
      </x:c>
      <x:c r="N2077" s="10" t="n">
        <x:f>K2077-L2077-M2077</x:f>
        <x:v>28332.067424850506</x:v>
      </x:c>
      <x:c r="O2077" s="10" t="n">
        <x:f>H2077*'Assumptions'!$P$51*'Assumptions'!$Q$51*'Assumptions'!$D$11*(1+'Assumptions'!$D$13)^(17-1)</x:f>
        <x:v>9374.154851471882</x:v>
      </x:c>
      <x:c r="P2077" s="10" t="n">
        <x:f>H2077*'Assumptions'!$R$51*'Assumptions'!$D$11*(1+'Assumptions'!$D$13)^(17-1)</x:f>
        <x:v>520.7863806373268</x:v>
      </x:c>
      <x:c r="Q2077" s="10" t="n">
        <x:f>J2077*'Assumptions'!$S$51</x:f>
        <x:v>0</x:v>
      </x:c>
      <x:c r="R2077" s="10" t="n">
        <x:f>H2077*'Assumptions'!$Y$51*'Assumptions'!$Z$51*'Assumptions'!$D$11*(1+'Assumptions'!$D$13)^(17-1)</x:f>
        <x:v>390.58978547799506</x:v>
      </x:c>
      <x:c r="S2077" s="10" t="n">
        <x:f>IF(I2077=0,0,J2077*'Assumptions'!$W$51+H2077*'Assumptions'!$X$51)</x:f>
        <x:v>856.7772966965101</x:v>
      </x:c>
      <x:c r="T2077" s="10" t="n">
        <x:f>N2077*'Assumptions'!$AA$51</x:f>
        <x:v>1133.2826969940202</x:v>
      </x:c>
      <x:c r="U2077" s="10" t="n">
        <x:f>'Assumptions'!$AE$51*'Assumptions'!$D$11*(1+'Assumptions'!$D$13)^(17-1)</x:f>
        <x:v>0</x:v>
      </x:c>
      <x:c r="V2077" s="10" t="n">
        <x:f>0</x:f>
        <x:v>0</x:v>
      </x:c>
      <x:c r="W2077" s="10" t="n">
        <x:f>H2077*('Assumptions'!$P$51+'Assumptions'!$Y$51)</x:f>
        <x:v>105.47447781301734</x:v>
      </x:c>
      <x:c r="X2077" s="10" t="n">
        <x:f>N2077/12*'Assumptions'!$AF$51</x:f>
        <x:v>2361.005618737542</x:v>
      </x:c>
      <x:c r="Y2077" s="10" t="n">
        <x:f>P2077/12</x:f>
        <x:v>43.39886505311057</x:v>
      </x:c>
      <x:c r="Z2077" s="10" t="n">
        <x:f>0</x:f>
        <x:v>0</x:v>
      </x:c>
      <x:c r="AA2077" s="10" t="n">
        <x:f>Z2077*'Assumptions'!$AC$51*'Assumptions'!$D$11*(1+'Assumptions'!$D$13)^(17-1)</x:f>
        <x:v>0</x:v>
      </x:c>
      <x:c r="AB2077" s="10" t="n">
        <x:f>F2077/1</x:f>
        <x:v>16.699652115451936</x:v>
      </x:c>
      <x:c r="AC2077" s="10" t="n">
        <x:f>AB2077/'Assumptions'!$AM$51</x:f>
        <x:v>83.49826057725967</x:v>
      </x:c>
      <x:c r="AD2077" s="10" t="n">
        <x:f>IF(AB2077=0,0,T2077/AB2077)</x:f>
        <x:v>67.86265301571227</x:v>
      </x:c>
      <x:c r="AE2077" s="10" t="n">
        <x:f>AA2077*'Assumptions'!$D$21</x:f>
        <x:v>0</x:v>
      </x:c>
    </x:row>
    <x:row r="2078" ht="16" customHeight="1">
      <x:c r="A2078" s="1"/>
      <x:c r="B2078" s="1"/>
      <x:c r="C2078" s="1" t="str">
        <x:v>DOT-023</x:v>
      </x:c>
      <x:c r="D2078" s="10" t="str">
        <x:v>BPA professional services</x:v>
      </x:c>
      <x:c r="E2078" s="10" t="n">
        <x:v>17</x:v>
      </x:c>
      <x:c r="F2078" s="21" t="n">
        <x:f>F1950*(1+'Assumptions'!$M$52)</x:f>
        <x:v>10.437282572157459</x:v>
      </x:c>
      <x:c r="G2078" s="21" t="n">
        <x:f>H1950*'Assumptions'!$K$52</x:f>
        <x:v>9.846270853422794</x:v>
      </x:c>
      <x:c r="H2078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2078+G2078,NA())</x:f>
        <x:v>20.28355342558025</x:v>
      </x:c>
      <x:c r="I2078" s="22" t="n">
        <x:f>'Assumptions'!$H$52*IF('Assumptions'!$O$52=1,1,'Assumptions'!$D$10)*(1+'Assumptions'!$N$52)^(17-1)</x:f>
        <x:v>1800</x:v>
      </x:c>
      <x:c r="J2078" s="10" t="n">
        <x:f>H2078*I2078</x:f>
        <x:v>36510.396166044455</x:v>
      </x:c>
      <x:c r="K2078" s="10" t="n">
        <x:f>J2078*'Assumptions'!$T$52</x:f>
        <x:v>36510.396166044455</x:v>
      </x:c>
      <x:c r="L2078" s="10" t="n">
        <x:f>K2078*'Assumptions'!$U$52</x:f>
        <x:v>1095.3118849813336</x:v>
      </x:c>
      <x:c r="M2078" s="10" t="n">
        <x:f>K2078*'Assumptions'!$V$52</x:f>
        <x:v>0</x:v>
      </x:c>
      <x:c r="N2078" s="10" t="n">
        <x:f>K2078-L2078-M2078</x:f>
        <x:v>35415.08428106312</x:v>
      </x:c>
      <x:c r="O2078" s="10" t="n">
        <x:f>H2078*'Assumptions'!$P$52*'Assumptions'!$Q$52*'Assumptions'!$D$11*(1+'Assumptions'!$D$13)^(17-1)</x:f>
        <x:v>11717.693564339848</x:v>
      </x:c>
      <x:c r="P2078" s="10" t="n">
        <x:f>H2078*'Assumptions'!$R$52*'Assumptions'!$D$11*(1+'Assumptions'!$D$13)^(17-1)</x:f>
        <x:v>325.4914878983291</x:v>
      </x:c>
      <x:c r="Q2078" s="10" t="n">
        <x:f>J2078*'Assumptions'!$S$52</x:f>
        <x:v>0</x:v>
      </x:c>
      <x:c r="R2078" s="10" t="n">
        <x:f>H2078*'Assumptions'!$Y$52*'Assumptions'!$Z$52*'Assumptions'!$D$11*(1+'Assumptions'!$D$13)^(17-1)</x:f>
        <x:v>244.11861592374686</x:v>
      </x:c>
      <x:c r="S2078" s="10" t="n">
        <x:f>IF(I2078=0,0,J2078*'Assumptions'!$W$52+H2078*'Assumptions'!$X$52)</x:f>
        <x:v>1064.8865548429633</x:v>
      </x:c>
      <x:c r="T2078" s="10" t="n">
        <x:f>N2078*'Assumptions'!$AA$52</x:f>
        <x:v>1416.6033712425249</x:v>
      </x:c>
      <x:c r="U2078" s="10" t="n">
        <x:f>'Assumptions'!$AE$52*'Assumptions'!$D$11*(1+'Assumptions'!$D$13)^(17-1)</x:f>
        <x:v>0</x:v>
      </x:c>
      <x:c r="V2078" s="10" t="n">
        <x:f>0</x:f>
        <x:v>0</x:v>
      </x:c>
      <x:c r="W2078" s="10" t="n">
        <x:f>H2078*('Assumptions'!$P$52+'Assumptions'!$Y$52)</x:f>
        <x:v>126.77220890987657</x:v>
      </x:c>
      <x:c r="X2078" s="10" t="n">
        <x:f>N2078/12*'Assumptions'!$AF$52</x:f>
        <x:v>2951.257023421927</x:v>
      </x:c>
      <x:c r="Y2078" s="10" t="n">
        <x:f>P2078/12</x:f>
        <x:v>27.124290658194095</x:v>
      </x:c>
      <x:c r="Z2078" s="10" t="n">
        <x:f>0</x:f>
        <x:v>0</x:v>
      </x:c>
      <x:c r="AA2078" s="10" t="n">
        <x:f>Z2078*'Assumptions'!$AC$52*'Assumptions'!$D$11*(1+'Assumptions'!$D$13)^(17-1)</x:f>
        <x:v>0</x:v>
      </x:c>
      <x:c r="AB2078" s="10" t="n">
        <x:f>F2078/1</x:f>
        <x:v>10.437282572157459</x:v>
      </x:c>
      <x:c r="AC2078" s="10" t="n">
        <x:f>AB2078/'Assumptions'!$AM$52</x:f>
        <x:v>52.18641286078729</x:v>
      </x:c>
      <x:c r="AD2078" s="10" t="n">
        <x:f>IF(AB2078=0,0,T2078/AB2078)</x:f>
        <x:v>135.72530603142454</x:v>
      </x:c>
      <x:c r="AE2078" s="10" t="n">
        <x:f>AA2078*'Assumptions'!$D$21</x:f>
        <x:v>0</x:v>
      </x:c>
    </x:row>
    <x:row r="2079" ht="16" customHeight="1">
      <x:c r="A2079" s="1"/>
      <x:c r="B2079" s="1"/>
      <x:c r="C2079" s="1" t="str">
        <x:v>DOT-024</x:v>
      </x:c>
      <x:c r="D2079" s="10" t="str">
        <x:v>BPA professional services</x:v>
      </x:c>
      <x:c r="E2079" s="10" t="n">
        <x:v>17</x:v>
      </x:c>
      <x:c r="F2079" s="21" t="n">
        <x:f>F1951*(1+'Assumptions'!$M$53)</x:f>
        <x:v>52.18641286078731</x:v>
      </x:c>
      <x:c r="G2079" s="21" t="n">
        <x:f>H1951*'Assumptions'!$K$53</x:f>
        <x:v>49.231163532250704</x:v>
      </x:c>
      <x:c r="H2079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2079+G2079,NA())</x:f>
        <x:v>101.41757639303802</x:v>
      </x:c>
      <x:c r="I2079" s="22" t="n">
        <x:f>'Assumptions'!$H$53*IF('Assumptions'!$O$53=1,1,'Assumptions'!$D$10)*(1+'Assumptions'!$N$53)^(17-1)</x:f>
        <x:v>540</x:v>
      </x:c>
      <x:c r="J2079" s="10" t="n">
        <x:f>H2079*I2079</x:f>
        <x:v>54765.49125224053</x:v>
      </x:c>
      <x:c r="K2079" s="10" t="n">
        <x:f>J2079*'Assumptions'!$T$53</x:f>
        <x:v>54765.49125224053</x:v>
      </x:c>
      <x:c r="L2079" s="10" t="n">
        <x:f>K2079*'Assumptions'!$U$53</x:f>
        <x:v>1642.9647375672157</x:v>
      </x:c>
      <x:c r="M2079" s="10" t="n">
        <x:f>K2079*'Assumptions'!$V$53</x:f>
        <x:v>0</x:v>
      </x:c>
      <x:c r="N2079" s="10" t="n">
        <x:f>K2079-L2079-M2079</x:f>
        <x:v>53122.526514673315</x:v>
      </x:c>
      <x:c r="O2079" s="10" t="n">
        <x:f>H2079*'Assumptions'!$P$53*'Assumptions'!$Q$53*'Assumptions'!$D$11*(1+'Assumptions'!$D$13)^(17-1)</x:f>
        <x:v>19529.452545084165</x:v>
      </x:c>
      <x:c r="P2079" s="10" t="n">
        <x:f>H2079*'Assumptions'!$R$53*'Assumptions'!$D$11*(1+'Assumptions'!$D$13)^(17-1)</x:f>
        <x:v>1627.4543787570135</x:v>
      </x:c>
      <x:c r="Q2079" s="10" t="n">
        <x:f>J2079*'Assumptions'!$S$53</x:f>
        <x:v>0</x:v>
      </x:c>
      <x:c r="R2079" s="10" t="n">
        <x:f>H2079*'Assumptions'!$Y$53*'Assumptions'!$Z$53*'Assumptions'!$D$11*(1+'Assumptions'!$D$13)^(17-1)</x:f>
        <x:v>1220.5907840677603</x:v>
      </x:c>
      <x:c r="S2079" s="10" t="n">
        <x:f>IF(I2079=0,0,J2079*'Assumptions'!$W$53+H2079*'Assumptions'!$X$53)</x:f>
        <x:v>1618.6245192328868</x:v>
      </x:c>
      <x:c r="T2079" s="10" t="n">
        <x:f>N2079*'Assumptions'!$AA$53</x:f>
        <x:v>2124.9010605869325</x:v>
      </x:c>
      <x:c r="U2079" s="10" t="n">
        <x:f>'Assumptions'!$AE$53*'Assumptions'!$D$11*(1+'Assumptions'!$D$13)^(17-1)</x:f>
        <x:v>0</x:v>
      </x:c>
      <x:c r="V2079" s="10" t="n">
        <x:f>0</x:f>
        <x:v>0</x:v>
      </x:c>
      <x:c r="W2079" s="10" t="n">
        <x:f>H2079*('Assumptions'!$P$53+'Assumptions'!$Y$53)</x:f>
        <x:v>228.18954688433553</x:v>
      </x:c>
      <x:c r="X2079" s="10" t="n">
        <x:f>N2079/12*'Assumptions'!$AF$53</x:f>
        <x:v>4426.87720955611</x:v>
      </x:c>
      <x:c r="Y2079" s="10" t="n">
        <x:f>P2079/12</x:f>
        <x:v>135.62119822975112</x:v>
      </x:c>
      <x:c r="Z2079" s="10" t="n">
        <x:f>0</x:f>
        <x:v>0</x:v>
      </x:c>
      <x:c r="AA2079" s="10" t="n">
        <x:f>Z2079*'Assumptions'!$AC$53*'Assumptions'!$D$11*(1+'Assumptions'!$D$13)^(17-1)</x:f>
        <x:v>0</x:v>
      </x:c>
      <x:c r="AB2079" s="10" t="n">
        <x:f>F2079/1</x:f>
        <x:v>52.18641286078731</x:v>
      </x:c>
      <x:c r="AC2079" s="10" t="n">
        <x:f>AB2079/'Assumptions'!$AM$53</x:f>
        <x:v>260.9320643039365</x:v>
      </x:c>
      <x:c r="AD2079" s="10" t="n">
        <x:f>IF(AB2079=0,0,T2079/AB2079)</x:f>
        <x:v>40.717515232467264</x:v>
      </x:c>
      <x:c r="AE2079" s="10" t="n">
        <x:f>AA2079*'Assumptions'!$D$21</x:f>
        <x:v>0</x:v>
      </x:c>
    </x:row>
    <x:row r="2080" ht="16" customHeight="1">
      <x:c r="A2080" s="1"/>
      <x:c r="B2080" s="1"/>
      <x:c r="C2080" s="1" t="str">
        <x:v>DOT-025</x:v>
      </x:c>
      <x:c r="D2080" s="10" t="str">
        <x:v>BPA professional services</x:v>
      </x:c>
      <x:c r="E2080" s="10" t="n">
        <x:v>17</x:v>
      </x:c>
      <x:c r="F2080" s="21" t="n">
        <x:f>F1952*(1+'Assumptions'!$M$54)</x:f>
        <x:v>20.874565144314918</x:v>
      </x:c>
      <x:c r="G2080" s="21" t="n">
        <x:f>H1952*'Assumptions'!$K$54</x:f>
        <x:v>19.692465412900276</x:v>
      </x:c>
      <x:c r="H2080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2080+G2080,NA())</x:f>
        <x:v>40.56703055721519</x:v>
      </x:c>
      <x:c r="I2080" s="22" t="n">
        <x:f>'Assumptions'!$H$54*IF('Assumptions'!$O$54=1,1,'Assumptions'!$D$10)*(1+'Assumptions'!$N$54)^(17-1)</x:f>
        <x:v>1020</x:v>
      </x:c>
      <x:c r="J2080" s="10" t="n">
        <x:f>H2080*I2080</x:f>
        <x:v>41378.371168359496</x:v>
      </x:c>
      <x:c r="K2080" s="10" t="n">
        <x:f>J2080*'Assumptions'!$T$54</x:f>
        <x:v>41378.371168359496</x:v>
      </x:c>
      <x:c r="L2080" s="10" t="n">
        <x:f>K2080*'Assumptions'!$U$54</x:f>
        <x:v>1241.351135050785</x:v>
      </x:c>
      <x:c r="M2080" s="10" t="n">
        <x:f>K2080*'Assumptions'!$V$54</x:f>
        <x:v>0</x:v>
      </x:c>
      <x:c r="N2080" s="10" t="n">
        <x:f>K2080-L2080-M2080</x:f>
        <x:v>40137.02003330871</x:v>
      </x:c>
      <x:c r="O2080" s="10" t="n">
        <x:f>H2080*'Assumptions'!$P$54*'Assumptions'!$Q$54*'Assumptions'!$D$11*(1+'Assumptions'!$D$13)^(17-1)</x:f>
        <x:v>19529.452545084154</x:v>
      </x:c>
      <x:c r="P2080" s="10" t="n">
        <x:f>H2080*'Assumptions'!$R$54*'Assumptions'!$D$11*(1+'Assumptions'!$D$13)^(17-1)</x:f>
        <x:v>650.9817515028052</x:v>
      </x:c>
      <x:c r="Q2080" s="10" t="n">
        <x:f>J2080*'Assumptions'!$S$54</x:f>
        <x:v>0</x:v>
      </x:c>
      <x:c r="R2080" s="10" t="n">
        <x:f>H2080*'Assumptions'!$Y$54*'Assumptions'!$Z$54*'Assumptions'!$D$11*(1+'Assumptions'!$D$13)^(17-1)</x:f>
        <x:v>488.2363136271039</x:v>
      </x:c>
      <x:c r="S2080" s="10" t="n">
        <x:f>IF(I2080=0,0,J2080*'Assumptions'!$W$54+H2080*'Assumptions'!$X$54)</x:f>
        <x:v>1212.14287304959</x:v>
      </x:c>
      <x:c r="T2080" s="10" t="n">
        <x:f>N2080*'Assumptions'!$AA$54</x:f>
        <x:v>1605.4808013323486</x:v>
      </x:c>
      <x:c r="U2080" s="10" t="n">
        <x:f>'Assumptions'!$AE$54*'Assumptions'!$D$11*(1+'Assumptions'!$D$13)^(17-1)</x:f>
        <x:v>0</x:v>
      </x:c>
      <x:c r="V2080" s="10" t="n">
        <x:f>0</x:f>
        <x:v>0</x:v>
      </x:c>
      <x:c r="W2080" s="10" t="n">
        <x:f>H2080*('Assumptions'!$P$54+'Assumptions'!$Y$54)</x:f>
        <x:v>212.97691042537974</x:v>
      </x:c>
      <x:c r="X2080" s="10" t="n">
        <x:f>N2080/12*'Assumptions'!$AF$54</x:f>
        <x:v>3344.7516694423925</x:v>
      </x:c>
      <x:c r="Y2080" s="10" t="n">
        <x:f>P2080/12</x:f>
        <x:v>54.24847929190043</x:v>
      </x:c>
      <x:c r="Z2080" s="10" t="n">
        <x:f>0</x:f>
        <x:v>0</x:v>
      </x:c>
      <x:c r="AA2080" s="10" t="n">
        <x:f>Z2080*'Assumptions'!$AC$54*'Assumptions'!$D$11*(1+'Assumptions'!$D$13)^(17-1)</x:f>
        <x:v>0</x:v>
      </x:c>
      <x:c r="AB2080" s="10" t="n">
        <x:f>F2080/1</x:f>
        <x:v>20.874565144314918</x:v>
      </x:c>
      <x:c r="AC2080" s="10" t="n">
        <x:f>AB2080/'Assumptions'!$AM$54</x:f>
        <x:v>104.37282572157459</x:v>
      </x:c>
      <x:c r="AD2080" s="10" t="n">
        <x:f>IF(AB2080=0,0,T2080/AB2080)</x:f>
        <x:v>76.91086210577149</x:v>
      </x:c>
      <x:c r="AE2080" s="10" t="n">
        <x:f>AA2080*'Assumptions'!$D$21</x:f>
        <x:v>0</x:v>
      </x:c>
    </x:row>
    <x:row r="2081" ht="16" customHeight="1">
      <x:c r="A2081" s="1"/>
      <x:c r="B2081" s="1"/>
      <x:c r="C2081" s="1" t="str">
        <x:v>DOT-026</x:v>
      </x:c>
      <x:c r="D2081" s="10" t="str">
        <x:v>BPA professional services</x:v>
      </x:c>
      <x:c r="E2081" s="10" t="n">
        <x:v>17</x:v>
      </x:c>
      <x:c r="F2081" s="21" t="n">
        <x:f>F1953*(1+'Assumptions'!$M$55)</x:f>
        <x:v>8.349826057725968</x:v>
      </x:c>
      <x:c r="G2081" s="21" t="n">
        <x:f>H1953*'Assumptions'!$K$55</x:f>
        <x:v>7.876986165160112</x:v>
      </x:c>
      <x:c r="H2081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2081+G2081,NA())</x:f>
        <x:v>16.226812222886082</x:v>
      </x:c>
      <x:c r="I2081" s="22" t="n">
        <x:f>'Assumptions'!$H$55*IF('Assumptions'!$O$55=1,1,'Assumptions'!$D$10)*(1+'Assumptions'!$N$55)^(17-1)</x:f>
        <x:v>1800</x:v>
      </x:c>
      <x:c r="J2081" s="10" t="n">
        <x:f>H2081*I2081</x:f>
        <x:v>29208.262001194948</x:v>
      </x:c>
      <x:c r="K2081" s="10" t="n">
        <x:f>J2081*'Assumptions'!$T$55</x:f>
        <x:v>29208.262001194948</x:v>
      </x:c>
      <x:c r="L2081" s="10" t="n">
        <x:f>K2081*'Assumptions'!$U$55</x:f>
        <x:v>876.2478600358484</x:v>
      </x:c>
      <x:c r="M2081" s="10" t="n">
        <x:f>K2081*'Assumptions'!$V$55</x:f>
        <x:v>0</x:v>
      </x:c>
      <x:c r="N2081" s="10" t="n">
        <x:f>K2081-L2081-M2081</x:f>
        <x:v>28332.0141411591</x:v>
      </x:c>
      <x:c r="O2081" s="10" t="n">
        <x:f>H2081*'Assumptions'!$P$55*'Assumptions'!$Q$55*'Assumptions'!$D$11*(1+'Assumptions'!$D$13)^(17-1)</x:f>
        <x:v>15623.562036067331</x:v>
      </x:c>
      <x:c r="P2081" s="10" t="n">
        <x:f>H2081*'Assumptions'!$R$55*'Assumptions'!$D$11*(1+'Assumptions'!$D$13)^(17-1)</x:f>
        <x:v>260.39270060112216</x:v>
      </x:c>
      <x:c r="Q2081" s="10" t="n">
        <x:f>J2081*'Assumptions'!$S$55</x:f>
        <x:v>0</x:v>
      </x:c>
      <x:c r="R2081" s="10" t="n">
        <x:f>H2081*'Assumptions'!$Y$55*'Assumptions'!$Z$55*'Assumptions'!$D$11*(1+'Assumptions'!$D$13)^(17-1)</x:f>
        <x:v>195.29452545084163</x:v>
      </x:c>
      <x:c r="S2081" s="10" t="n">
        <x:f>IF(I2081=0,0,J2081*'Assumptions'!$W$55+H2081*'Assumptions'!$X$55)</x:f>
        <x:v>851.9076417015193</x:v>
      </x:c>
      <x:c r="T2081" s="10" t="n">
        <x:f>N2081*'Assumptions'!$AA$55</x:f>
        <x:v>1133.280565646364</x:v>
      </x:c>
      <x:c r="U2081" s="10" t="n">
        <x:f>'Assumptions'!$AE$55*'Assumptions'!$D$11*(1+'Assumptions'!$D$13)^(17-1)</x:f>
        <x:v>0</x:v>
      </x:c>
      <x:c r="V2081" s="10" t="n">
        <x:f>0</x:f>
        <x:v>0</x:v>
      </x:c>
      <x:c r="W2081" s="10" t="n">
        <x:f>H2081*('Assumptions'!$P$55+'Assumptions'!$Y$55)</x:f>
        <x:v>166.32482528458235</x:v>
      </x:c>
      <x:c r="X2081" s="10" t="n">
        <x:f>N2081/12*'Assumptions'!$AF$55</x:f>
        <x:v>2361.001178429925</x:v>
      </x:c>
      <x:c r="Y2081" s="10" t="n">
        <x:f>P2081/12</x:f>
        <x:v>21.69939171676018</x:v>
      </x:c>
      <x:c r="Z2081" s="10" t="n">
        <x:f>0</x:f>
        <x:v>0</x:v>
      </x:c>
      <x:c r="AA2081" s="10" t="n">
        <x:f>Z2081*'Assumptions'!$AC$55*'Assumptions'!$D$11*(1+'Assumptions'!$D$13)^(17-1)</x:f>
        <x:v>0</x:v>
      </x:c>
      <x:c r="AB2081" s="10" t="n">
        <x:f>F2081/1</x:f>
        <x:v>8.349826057725968</x:v>
      </x:c>
      <x:c r="AC2081" s="10" t="n">
        <x:f>AB2081/'Assumptions'!$AM$55</x:f>
        <x:v>41.749130288629836</x:v>
      </x:c>
      <x:c r="AD2081" s="10" t="n">
        <x:f>IF(AB2081=0,0,T2081/AB2081)</x:f>
        <x:v>135.7250507748909</x:v>
      </x:c>
      <x:c r="AE2081" s="10" t="n">
        <x:f>AA2081*'Assumptions'!$D$21</x:f>
        <x:v>0</x:v>
      </x:c>
    </x:row>
    <x:row r="2082" ht="16" customHeight="1">
      <x:c r="A2082" s="1"/>
      <x:c r="B2082" s="1"/>
      <x:c r="C2082" s="1" t="str">
        <x:v>DOT-027</x:v>
      </x:c>
      <x:c r="D2082" s="10" t="str">
        <x:v>BPA professional services</x:v>
      </x:c>
      <x:c r="E2082" s="10" t="n">
        <x:v>17</x:v>
      </x:c>
      <x:c r="F2082" s="21" t="n">
        <x:f>F1954*(1+'Assumptions'!$M$56)</x:f>
        <x:v>8.349826057725968</x:v>
      </x:c>
      <x:c r="G2082" s="21" t="n">
        <x:f>H1954*'Assumptions'!$K$56</x:f>
        <x:v>7.876986165160112</x:v>
      </x:c>
      <x:c r="H2082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2082+G2082,NA())</x:f>
        <x:v>16.226812222886082</x:v>
      </x:c>
      <x:c r="I2082" s="22" t="n">
        <x:f>'Assumptions'!$H$56*IF('Assumptions'!$O$56=1,1,'Assumptions'!$D$10)*(1+'Assumptions'!$N$56)^(17-1)</x:f>
        <x:v>1800</x:v>
      </x:c>
      <x:c r="J2082" s="10" t="n">
        <x:f>H2082*I2082</x:f>
        <x:v>29208.262001194948</x:v>
      </x:c>
      <x:c r="K2082" s="10" t="n">
        <x:f>J2082*'Assumptions'!$T$56</x:f>
        <x:v>29208.262001194948</x:v>
      </x:c>
      <x:c r="L2082" s="10" t="n">
        <x:f>K2082*'Assumptions'!$U$56</x:f>
        <x:v>876.2478600358484</x:v>
      </x:c>
      <x:c r="M2082" s="10" t="n">
        <x:f>K2082*'Assumptions'!$V$56</x:f>
        <x:v>0</x:v>
      </x:c>
      <x:c r="N2082" s="10" t="n">
        <x:f>K2082-L2082-M2082</x:f>
        <x:v>28332.0141411591</x:v>
      </x:c>
      <x:c r="O2082" s="10" t="n">
        <x:f>H2082*'Assumptions'!$P$56*'Assumptions'!$Q$56*'Assumptions'!$D$11*(1+'Assumptions'!$D$13)^(17-1)</x:f>
        <x:v>15623.562036067331</x:v>
      </x:c>
      <x:c r="P2082" s="10" t="n">
        <x:f>H2082*'Assumptions'!$R$56*'Assumptions'!$D$11*(1+'Assumptions'!$D$13)^(17-1)</x:f>
        <x:v>260.39270060112216</x:v>
      </x:c>
      <x:c r="Q2082" s="10" t="n">
        <x:f>J2082*'Assumptions'!$S$56</x:f>
        <x:v>0</x:v>
      </x:c>
      <x:c r="R2082" s="10" t="n">
        <x:f>H2082*'Assumptions'!$Y$56*'Assumptions'!$Z$56*'Assumptions'!$D$11*(1+'Assumptions'!$D$13)^(17-1)</x:f>
        <x:v>195.29452545084163</x:v>
      </x:c>
      <x:c r="S2082" s="10" t="n">
        <x:f>IF(I2082=0,0,J2082*'Assumptions'!$W$56+H2082*'Assumptions'!$X$56)</x:f>
        <x:v>851.9076417015193</x:v>
      </x:c>
      <x:c r="T2082" s="10" t="n">
        <x:f>N2082*'Assumptions'!$AA$56</x:f>
        <x:v>1133.280565646364</x:v>
      </x:c>
      <x:c r="U2082" s="10" t="n">
        <x:f>'Assumptions'!$AE$56*'Assumptions'!$D$11*(1+'Assumptions'!$D$13)^(17-1)</x:f>
        <x:v>0</x:v>
      </x:c>
      <x:c r="V2082" s="10" t="n">
        <x:f>0</x:f>
        <x:v>0</x:v>
      </x:c>
      <x:c r="W2082" s="10" t="n">
        <x:f>H2082*('Assumptions'!$P$56+'Assumptions'!$Y$56)</x:f>
        <x:v>166.32482528458235</x:v>
      </x:c>
      <x:c r="X2082" s="10" t="n">
        <x:f>N2082/12*'Assumptions'!$AF$56</x:f>
        <x:v>2361.001178429925</x:v>
      </x:c>
      <x:c r="Y2082" s="10" t="n">
        <x:f>P2082/12</x:f>
        <x:v>21.69939171676018</x:v>
      </x:c>
      <x:c r="Z2082" s="10" t="n">
        <x:f>0</x:f>
        <x:v>0</x:v>
      </x:c>
      <x:c r="AA2082" s="10" t="n">
        <x:f>Z2082*'Assumptions'!$AC$56*'Assumptions'!$D$11*(1+'Assumptions'!$D$13)^(17-1)</x:f>
        <x:v>0</x:v>
      </x:c>
      <x:c r="AB2082" s="10" t="n">
        <x:f>F2082/1</x:f>
        <x:v>8.349826057725968</x:v>
      </x:c>
      <x:c r="AC2082" s="10" t="n">
        <x:f>AB2082/'Assumptions'!$AM$56</x:f>
        <x:v>41.749130288629836</x:v>
      </x:c>
      <x:c r="AD2082" s="10" t="n">
        <x:f>IF(AB2082=0,0,T2082/AB2082)</x:f>
        <x:v>135.7250507748909</x:v>
      </x:c>
      <x:c r="AE2082" s="10" t="n">
        <x:f>AA2082*'Assumptions'!$D$21</x:f>
        <x:v>0</x:v>
      </x:c>
    </x:row>
    <x:row r="2083" ht="16" customHeight="1">
      <x:c r="A2083" s="1"/>
      <x:c r="B2083" s="1"/>
      <x:c r="C2083" s="1" t="str">
        <x:v>DOT-028</x:v>
      </x:c>
      <x:c r="D2083" s="10" t="str">
        <x:v>BPA professional services</x:v>
      </x:c>
      <x:c r="E2083" s="10" t="n">
        <x:v>17</x:v>
      </x:c>
      <x:c r="F2083" s="21" t="n">
        <x:f>F1955*(1+'Assumptions'!$M$57)</x:f>
        <x:v>4.174913028862984</x:v>
      </x:c>
      <x:c r="G2083" s="21" t="n">
        <x:f>H1955*'Assumptions'!$K$57</x:f>
        <x:v>3.938493082580056</x:v>
      </x:c>
      <x:c r="H2083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2083+G2083,NA())</x:f>
        <x:v>8.113406111443041</x:v>
      </x:c>
      <x:c r="I2083" s="22" t="n">
        <x:f>'Assumptions'!$H$57*IF('Assumptions'!$O$57=1,1,'Assumptions'!$D$10)*(1+'Assumptions'!$N$57)^(17-1)</x:f>
        <x:v>1800</x:v>
      </x:c>
      <x:c r="J2083" s="10" t="n">
        <x:f>H2083*I2083</x:f>
        <x:v>14604.131000597474</x:v>
      </x:c>
      <x:c r="K2083" s="10" t="n">
        <x:f>J2083*'Assumptions'!$T$57</x:f>
        <x:v>14604.131000597474</x:v>
      </x:c>
      <x:c r="L2083" s="10" t="n">
        <x:f>K2083*'Assumptions'!$U$57</x:f>
        <x:v>438.1239300179242</x:v>
      </x:c>
      <x:c r="M2083" s="10" t="n">
        <x:f>K2083*'Assumptions'!$V$57</x:f>
        <x:v>0</x:v>
      </x:c>
      <x:c r="N2083" s="10" t="n">
        <x:f>K2083-L2083-M2083</x:f>
        <x:v>14166.00707057955</x:v>
      </x:c>
      <x:c r="O2083" s="10" t="n">
        <x:f>H2083*'Assumptions'!$P$57*'Assumptions'!$Q$57*'Assumptions'!$D$11*(1+'Assumptions'!$D$13)^(17-1)</x:f>
        <x:v>9374.137221640398</x:v>
      </x:c>
      <x:c r="P2083" s="10" t="n">
        <x:f>H2083*'Assumptions'!$R$57*'Assumptions'!$D$11*(1+'Assumptions'!$D$13)^(17-1)</x:f>
        <x:v>130.19635030056108</x:v>
      </x:c>
      <x:c r="Q2083" s="10" t="n">
        <x:f>J2083*'Assumptions'!$S$57</x:f>
        <x:v>0</x:v>
      </x:c>
      <x:c r="R2083" s="10" t="n">
        <x:f>H2083*'Assumptions'!$Y$57*'Assumptions'!$Z$57*'Assumptions'!$D$11*(1+'Assumptions'!$D$13)^(17-1)</x:f>
        <x:v>97.64726272542082</x:v>
      </x:c>
      <x:c r="S2083" s="10" t="n">
        <x:f>IF(I2083=0,0,J2083*'Assumptions'!$W$57+H2083*'Assumptions'!$X$57)</x:f>
        <x:v>425.95382085075966</x:v>
      </x:c>
      <x:c r="T2083" s="10" t="n">
        <x:f>N2083*'Assumptions'!$AA$57</x:f>
        <x:v>566.640282823182</x:v>
      </x:c>
      <x:c r="U2083" s="10" t="n">
        <x:f>'Assumptions'!$AE$57*'Assumptions'!$D$11*(1+'Assumptions'!$D$13)^(17-1)</x:f>
        <x:v>0</x:v>
      </x:c>
      <x:c r="V2083" s="10" t="n">
        <x:f>0</x:f>
        <x:v>0</x:v>
      </x:c>
      <x:c r="W2083" s="10" t="n">
        <x:f>H2083*('Assumptions'!$P$57+'Assumptions'!$Y$57)</x:f>
        <x:v>99.38922486517725</x:v>
      </x:c>
      <x:c r="X2083" s="10" t="n">
        <x:f>N2083/12*'Assumptions'!$AF$57</x:f>
        <x:v>1180.5005892149625</x:v>
      </x:c>
      <x:c r="Y2083" s="10" t="n">
        <x:f>P2083/12</x:f>
        <x:v>10.84969585838009</x:v>
      </x:c>
      <x:c r="Z2083" s="10" t="n">
        <x:f>0</x:f>
        <x:v>0</x:v>
      </x:c>
      <x:c r="AA2083" s="10" t="n">
        <x:f>Z2083*'Assumptions'!$AC$57*'Assumptions'!$D$11*(1+'Assumptions'!$D$13)^(17-1)</x:f>
        <x:v>0</x:v>
      </x:c>
      <x:c r="AB2083" s="10" t="n">
        <x:f>F2083/1</x:f>
        <x:v>4.174913028862984</x:v>
      </x:c>
      <x:c r="AC2083" s="10" t="n">
        <x:f>AB2083/'Assumptions'!$AM$57</x:f>
        <x:v>20.874565144314918</x:v>
      </x:c>
      <x:c r="AD2083" s="10" t="n">
        <x:f>IF(AB2083=0,0,T2083/AB2083)</x:f>
        <x:v>135.7250507748909</x:v>
      </x:c>
      <x:c r="AE2083" s="10" t="n">
        <x:f>AA2083*'Assumptions'!$D$21</x:f>
        <x:v>0</x:v>
      </x:c>
    </x:row>
    <x:row r="2084" ht="16" customHeight="1">
      <x:c r="A2084" s="1"/>
      <x:c r="B2084" s="1"/>
      <x:c r="C2084" s="1" t="str">
        <x:v>DOT-029</x:v>
      </x:c>
      <x:c r="D2084" s="10" t="str">
        <x:v>BPA professional services</x:v>
      </x:c>
      <x:c r="E2084" s="10" t="n">
        <x:v>17</x:v>
      </x:c>
      <x:c r="F2084" s="21" t="n">
        <x:f>F1956*(1+'Assumptions'!$M$58)</x:f>
        <x:v>41.749130288629836</x:v>
      </x:c>
      <x:c r="G2084" s="21" t="n">
        <x:f>H1956*'Assumptions'!$K$58</x:f>
        <x:v>39.38493082580055</x:v>
      </x:c>
      <x:c r="H2084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2084+G2084,NA())</x:f>
        <x:v>81.13406111443038</x:v>
      </x:c>
      <x:c r="I2084" s="22" t="n">
        <x:f>'Assumptions'!$H$58*IF('Assumptions'!$O$58=1,1,'Assumptions'!$D$10)*(1+'Assumptions'!$N$58)^(17-1)</x:f>
        <x:v>180</x:v>
      </x:c>
      <x:c r="J2084" s="10" t="n">
        <x:f>H2084*I2084</x:f>
        <x:v>14604.131000597468</x:v>
      </x:c>
      <x:c r="K2084" s="10" t="n">
        <x:f>J2084*'Assumptions'!$T$58</x:f>
        <x:v>14604.131000597468</x:v>
      </x:c>
      <x:c r="L2084" s="10" t="n">
        <x:f>K2084*'Assumptions'!$U$58</x:f>
        <x:v>438.123930017924</x:v>
      </x:c>
      <x:c r="M2084" s="10" t="n">
        <x:f>K2084*'Assumptions'!$V$58</x:f>
        <x:v>0</x:v>
      </x:c>
      <x:c r="N2084" s="10" t="n">
        <x:f>K2084-L2084-M2084</x:f>
        <x:v>14166.007070579544</x:v>
      </x:c>
      <x:c r="O2084" s="10" t="n">
        <x:f>H2084*'Assumptions'!$P$58*'Assumptions'!$Q$58*'Assumptions'!$D$11*(1+'Assumptions'!$D$13)^(17-1)</x:f>
        <x:v>7811.781018033663</x:v>
      </x:c>
      <x:c r="P2084" s="10" t="n">
        <x:f>H2084*'Assumptions'!$R$58*'Assumptions'!$D$11*(1+'Assumptions'!$D$13)^(17-1)</x:f>
        <x:v>1301.9635030056104</x:v>
      </x:c>
      <x:c r="Q2084" s="10" t="n">
        <x:f>J2084*'Assumptions'!$S$58</x:f>
        <x:v>0</x:v>
      </x:c>
      <x:c r="R2084" s="10" t="n">
        <x:f>H2084*'Assumptions'!$Y$58*'Assumptions'!$Z$58*'Assumptions'!$D$11*(1+'Assumptions'!$D$13)^(17-1)</x:f>
        <x:v>976.4726272542079</x:v>
      </x:c>
      <x:c r="S2084" s="10" t="n">
        <x:f>IF(I2084=0,0,J2084*'Assumptions'!$W$58+H2084*'Assumptions'!$X$58)</x:f>
        <x:v>447.8600173516557</x:v>
      </x:c>
      <x:c r="T2084" s="10" t="n">
        <x:f>N2084*'Assumptions'!$AA$58</x:f>
        <x:v>566.6402828231818</x:v>
      </x:c>
      <x:c r="U2084" s="10" t="n">
        <x:f>'Assumptions'!$AE$58*'Assumptions'!$D$11*(1+'Assumptions'!$D$13)^(17-1)</x:f>
        <x:v>0</x:v>
      </x:c>
      <x:c r="V2084" s="10" t="n">
        <x:f>0</x:f>
        <x:v>0</x:v>
      </x:c>
      <x:c r="W2084" s="10" t="n">
        <x:f>H2084*('Assumptions'!$P$58+'Assumptions'!$Y$58)</x:f>
        <x:v>101.41757639303798</x:v>
      </x:c>
      <x:c r="X2084" s="10" t="n">
        <x:f>N2084/12*'Assumptions'!$AF$58</x:f>
        <x:v>1180.500589214962</x:v>
      </x:c>
      <x:c r="Y2084" s="10" t="n">
        <x:f>P2084/12</x:f>
        <x:v>108.49695858380086</x:v>
      </x:c>
      <x:c r="Z2084" s="10" t="n">
        <x:f>0</x:f>
        <x:v>0</x:v>
      </x:c>
      <x:c r="AA2084" s="10" t="n">
        <x:f>Z2084*'Assumptions'!$AC$58*'Assumptions'!$D$11*(1+'Assumptions'!$D$13)^(17-1)</x:f>
        <x:v>0</x:v>
      </x:c>
      <x:c r="AB2084" s="10" t="n">
        <x:f>F2084/1</x:f>
        <x:v>41.749130288629836</x:v>
      </x:c>
      <x:c r="AC2084" s="10" t="n">
        <x:f>AB2084/'Assumptions'!$AM$58</x:f>
        <x:v>208.74565144314917</x:v>
      </x:c>
      <x:c r="AD2084" s="10" t="n">
        <x:f>IF(AB2084=0,0,T2084/AB2084)</x:f>
        <x:v>13.572505077489085</x:v>
      </x:c>
      <x:c r="AE2084" s="10" t="n">
        <x:f>AA2084*'Assumptions'!$D$21</x:f>
        <x:v>0</x:v>
      </x:c>
    </x:row>
    <x:row r="2085" ht="16" customHeight="1">
      <x:c r="A2085" s="1"/>
      <x:c r="B2085" s="1"/>
      <x:c r="C2085" s="1" t="str">
        <x:v>DOT-030</x:v>
      </x:c>
      <x:c r="D2085" s="10" t="str">
        <x:v>BPA professional services</x:v>
      </x:c>
      <x:c r="E2085" s="10" t="n">
        <x:v>17</x:v>
      </x:c>
      <x:c r="F2085" s="21" t="n">
        <x:f>F1957*(1+'Assumptions'!$M$59)</x:f>
        <x:v>8.349826057725968</x:v>
      </x:c>
      <x:c r="G2085" s="21" t="n">
        <x:f>H1957*'Assumptions'!$K$59</x:f>
        <x:v>7.876986165160112</x:v>
      </x:c>
      <x:c r="H2085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2085+G2085,NA())</x:f>
        <x:v>16.226812222886082</x:v>
      </x:c>
      <x:c r="I2085" s="22" t="n">
        <x:f>'Assumptions'!$H$59*IF('Assumptions'!$O$59=1,1,'Assumptions'!$D$10)*(1+'Assumptions'!$N$59)^(17-1)</x:f>
        <x:v>686.3928525453063</x:v>
      </x:c>
      <x:c r="J2085" s="10" t="n">
        <x:f>H2085*I2085</x:f>
        <x:v>11137.96792938382</x:v>
      </x:c>
      <x:c r="K2085" s="10" t="n">
        <x:f>J2085*'Assumptions'!$T$59</x:f>
        <x:v>11137.96792938382</x:v>
      </x:c>
      <x:c r="L2085" s="10" t="n">
        <x:f>K2085*'Assumptions'!$U$59</x:f>
        <x:v>334.1390378815146</x:v>
      </x:c>
      <x:c r="M2085" s="10" t="n">
        <x:f>K2085*'Assumptions'!$V$59</x:f>
        <x:v>0</x:v>
      </x:c>
      <x:c r="N2085" s="10" t="n">
        <x:f>K2085-L2085-M2085</x:f>
        <x:v>10803.828891502306</x:v>
      </x:c>
      <x:c r="O2085" s="10" t="n">
        <x:f>H2085*'Assumptions'!$P$59*'Assumptions'!$Q$59*'Assumptions'!$D$11*(1+'Assumptions'!$D$13)^(17-1)</x:f>
        <x:v>4687.068610820199</x:v>
      </x:c>
      <x:c r="P2085" s="10" t="n">
        <x:f>H2085*'Assumptions'!$R$59*'Assumptions'!$D$11*(1+'Assumptions'!$D$13)^(17-1)</x:f>
        <x:v>260.39270060112216</x:v>
      </x:c>
      <x:c r="Q2085" s="10" t="n">
        <x:f>J2085*'Assumptions'!$S$59</x:f>
        <x:v>0</x:v>
      </x:c>
      <x:c r="R2085" s="10" t="n">
        <x:f>H2085*'Assumptions'!$Y$59*'Assumptions'!$Z$59*'Assumptions'!$D$11*(1+'Assumptions'!$D$13)^(17-1)</x:f>
        <x:v>195.29452545084163</x:v>
      </x:c>
      <x:c r="S2085" s="10" t="n">
        <x:f>IF(I2085=0,0,J2085*'Assumptions'!$W$59+H2085*'Assumptions'!$X$59)</x:f>
        <x:v>327.86911361899666</x:v>
      </x:c>
      <x:c r="T2085" s="10" t="n">
        <x:f>N2085*'Assumptions'!$AA$59</x:f>
        <x:v>432.15315566009224</x:v>
      </x:c>
      <x:c r="U2085" s="10" t="n">
        <x:f>'Assumptions'!$AE$59*'Assumptions'!$D$11*(1+'Assumptions'!$D$13)^(17-1)</x:f>
        <x:v>0</x:v>
      </x:c>
      <x:c r="V2085" s="10" t="n">
        <x:f>0</x:f>
        <x:v>0</x:v>
      </x:c>
      <x:c r="W2085" s="10" t="n">
        <x:f>H2085*('Assumptions'!$P$59+'Assumptions'!$Y$59)</x:f>
        <x:v>52.737139724379766</x:v>
      </x:c>
      <x:c r="X2085" s="10" t="n">
        <x:f>N2085/12*'Assumptions'!$AF$59</x:f>
        <x:v>900.3190742918588</x:v>
      </x:c>
      <x:c r="Y2085" s="10" t="n">
        <x:f>P2085/12</x:f>
        <x:v>21.69939171676018</x:v>
      </x:c>
      <x:c r="Z2085" s="10" t="n">
        <x:f>0</x:f>
        <x:v>0</x:v>
      </x:c>
      <x:c r="AA2085" s="10" t="n">
        <x:f>Z2085*'Assumptions'!$AC$59*'Assumptions'!$D$11*(1+'Assumptions'!$D$13)^(17-1)</x:f>
        <x:v>0</x:v>
      </x:c>
      <x:c r="AB2085" s="10" t="n">
        <x:f>F2085/1</x:f>
        <x:v>8.349826057725968</x:v>
      </x:c>
      <x:c r="AC2085" s="10" t="n">
        <x:f>AB2085/'Assumptions'!$AM$59</x:f>
        <x:v>41.749130288629836</x:v>
      </x:c>
      <x:c r="AD2085" s="10" t="n">
        <x:f>IF(AB2085=0,0,T2085/AB2085)</x:f>
        <x:v>51.755947090685495</x:v>
      </x:c>
      <x:c r="AE2085" s="10" t="n">
        <x:f>AA2085*'Assumptions'!$D$21</x:f>
        <x:v>0</x:v>
      </x:c>
    </x:row>
    <x:row r="2086" ht="16" customHeight="1">
      <x:c r="A2086" s="1"/>
      <x:c r="B2086" s="1"/>
      <x:c r="C2086" s="1" t="str">
        <x:v>DOT-031</x:v>
      </x:c>
      <x:c r="D2086" s="10" t="str">
        <x:v>BPA professional services</x:v>
      </x:c>
      <x:c r="E2086" s="10" t="n">
        <x:v>17</x:v>
      </x:c>
      <x:c r="F2086" s="21" t="n">
        <x:f>F1958*(1+'Assumptions'!$M$60)</x:f>
        <x:v>4.174913028862984</x:v>
      </x:c>
      <x:c r="G2086" s="21" t="n">
        <x:f>H1958*'Assumptions'!$K$60</x:f>
        <x:v>3.9385083413691184</x:v>
      </x:c>
      <x:c r="H2086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2086+G2086,NA())</x:f>
        <x:v>8.113421370232103</x:v>
      </x:c>
      <x:c r="I2086" s="22" t="n">
        <x:f>'Assumptions'!$H$60*IF('Assumptions'!$O$60=1,1,'Assumptions'!$D$10)*(1+'Assumptions'!$N$60)^(17-1)</x:f>
        <x:v>6863.928525453062</x:v>
      </x:c>
      <x:c r="J2086" s="10" t="n">
        <x:f>H2086*I2086</x:f>
        <x:v>55689.94438215661</x:v>
      </x:c>
      <x:c r="K2086" s="10" t="n">
        <x:f>J2086*'Assumptions'!$T$60</x:f>
        <x:v>55689.94438215661</x:v>
      </x:c>
      <x:c r="L2086" s="10" t="n">
        <x:f>K2086*'Assumptions'!$U$60</x:f>
        <x:v>1670.6983314646982</x:v>
      </x:c>
      <x:c r="M2086" s="10" t="n">
        <x:f>K2086*'Assumptions'!$V$60</x:f>
        <x:v>0</x:v>
      </x:c>
      <x:c r="N2086" s="10" t="n">
        <x:f>K2086-L2086-M2086</x:f>
        <x:v>54019.24605069191</x:v>
      </x:c>
      <x:c r="O2086" s="10" t="n">
        <x:f>H2086*'Assumptions'!$P$60*'Assumptions'!$Q$60*'Assumptions'!$D$11*(1+'Assumptions'!$D$13)^(17-1)</x:f>
        <x:v>31247.18283823961</x:v>
      </x:c>
      <x:c r="P2086" s="10" t="n">
        <x:f>H2086*'Assumptions'!$R$60*'Assumptions'!$D$11*(1+'Assumptions'!$D$13)^(17-1)</x:f>
        <x:v>130.1965951593317</x:v>
      </x:c>
      <x:c r="Q2086" s="10" t="n">
        <x:f>J2086*'Assumptions'!$S$60</x:f>
        <x:v>0</x:v>
      </x:c>
      <x:c r="R2086" s="10" t="n">
        <x:f>H2086*'Assumptions'!$Y$60*'Assumptions'!$Z$60*'Assumptions'!$D$11*(1+'Assumptions'!$D$13)^(17-1)</x:f>
        <x:v>97.64744636949877</x:v>
      </x:c>
      <x:c r="S2086" s="10" t="n">
        <x:f>IF(I2086=0,0,J2086*'Assumptions'!$W$60+H2086*'Assumptions'!$X$60)</x:f>
        <x:v>1617.4424134936114</x:v>
      </x:c>
      <x:c r="T2086" s="10" t="n">
        <x:f>N2086*'Assumptions'!$AA$60</x:f>
        <x:v>2160.7698420276765</x:v>
      </x:c>
      <x:c r="U2086" s="10" t="n">
        <x:f>'Assumptions'!$AE$60*'Assumptions'!$D$11*(1+'Assumptions'!$D$13)^(17-1)</x:f>
        <x:v>0</x:v>
      </x:c>
      <x:c r="V2086" s="10" t="n">
        <x:f>0</x:f>
        <x:v>0</x:v>
      </x:c>
      <x:c r="W2086" s="10" t="n">
        <x:f>H2086*('Assumptions'!$P$60+'Assumptions'!$Y$60)</x:f>
        <x:v>326.56521015184217</x:v>
      </x:c>
      <x:c r="X2086" s="10" t="n">
        <x:f>N2086/12*'Assumptions'!$AF$60</x:f>
        <x:v>4501.603837557659</x:v>
      </x:c>
      <x:c r="Y2086" s="10" t="n">
        <x:f>P2086/12</x:f>
        <x:v>10.849716263277642</x:v>
      </x:c>
      <x:c r="Z2086" s="10" t="n">
        <x:f>0</x:f>
        <x:v>0</x:v>
      </x:c>
      <x:c r="AA2086" s="10" t="n">
        <x:f>Z2086*'Assumptions'!$AC$60*'Assumptions'!$D$11*(1+'Assumptions'!$D$13)^(17-1)</x:f>
        <x:v>0</x:v>
      </x:c>
      <x:c r="AB2086" s="10" t="n">
        <x:f>F2086/1</x:f>
        <x:v>4.174913028862984</x:v>
      </x:c>
      <x:c r="AC2086" s="10" t="n">
        <x:f>AB2086/'Assumptions'!$AM$60</x:f>
        <x:v>20.874565144314918</x:v>
      </x:c>
      <x:c r="AD2086" s="10" t="n">
        <x:f>IF(AB2086=0,0,T2086/AB2086)</x:f>
        <x:v>517.5604442749676</x:v>
      </x:c>
      <x:c r="AE2086" s="10" t="n">
        <x:f>AA2086*'Assumptions'!$D$21</x:f>
        <x:v>0</x:v>
      </x:c>
    </x:row>
    <x:row r="2087" ht="16" customHeight="1">
      <x:c r="A2087" s="1"/>
      <x:c r="B2087" s="1"/>
      <x:c r="C2087" s="1" t="str">
        <x:v>DOT-032</x:v>
      </x:c>
      <x:c r="D2087" s="10" t="str">
        <x:v>BPA professional services</x:v>
      </x:c>
      <x:c r="E2087" s="10" t="n">
        <x:v>17</x:v>
      </x:c>
      <x:c r="F2087" s="21" t="n">
        <x:f>F1959*(1+'Assumptions'!$M$61)</x:f>
        <x:v>2.087456514431492</x:v>
      </x:c>
      <x:c r="G2087" s="21" t="n">
        <x:f>H1959*'Assumptions'!$K$61</x:f>
        <x:v>1.9692541706845592</x:v>
      </x:c>
      <x:c r="H2087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2087+G2087,NA())</x:f>
        <x:v>4.056710685116052</x:v>
      </x:c>
      <x:c r="I2087" s="22" t="n">
        <x:f>'Assumptions'!$H$61*IF('Assumptions'!$O$61=1,1,'Assumptions'!$D$10)*(1+'Assumptions'!$N$61)^(17-1)</x:f>
        <x:v>10295.892788179593</x:v>
      </x:c>
      <x:c r="J2087" s="10" t="n">
        <x:f>H2087*I2087</x:f>
        <x:v>41767.45828661745</x:v>
      </x:c>
      <x:c r="K2087" s="10" t="n">
        <x:f>J2087*'Assumptions'!$T$61</x:f>
        <x:v>41767.45828661745</x:v>
      </x:c>
      <x:c r="L2087" s="10" t="n">
        <x:f>K2087*'Assumptions'!$U$61</x:f>
        <x:v>1253.0237485985235</x:v>
      </x:c>
      <x:c r="M2087" s="10" t="n">
        <x:f>K2087*'Assumptions'!$V$61</x:f>
        <x:v>0</x:v>
      </x:c>
      <x:c r="N2087" s="10" t="n">
        <x:f>K2087-L2087-M2087</x:f>
        <x:v>40514.43453801893</x:v>
      </x:c>
      <x:c r="O2087" s="10" t="n">
        <x:f>H2087*'Assumptions'!$P$61*'Assumptions'!$Q$61*'Assumptions'!$D$11*(1+'Assumptions'!$D$13)^(17-1)</x:f>
        <x:v>23435.387128679704</x:v>
      </x:c>
      <x:c r="P2087" s="10" t="n">
        <x:f>H2087*'Assumptions'!$R$61*'Assumptions'!$D$11*(1+'Assumptions'!$D$13)^(17-1)</x:f>
        <x:v>65.09829757966585</x:v>
      </x:c>
      <x:c r="Q2087" s="10" t="n">
        <x:f>J2087*'Assumptions'!$S$61</x:f>
        <x:v>0</x:v>
      </x:c>
      <x:c r="R2087" s="10" t="n">
        <x:f>H2087*'Assumptions'!$Y$61*'Assumptions'!$Z$61*'Assumptions'!$D$11*(1+'Assumptions'!$D$13)^(17-1)</x:f>
        <x:v>48.82372318474938</x:v>
      </x:c>
      <x:c r="S2087" s="10" t="n">
        <x:f>IF(I2087=0,0,J2087*'Assumptions'!$W$61+H2087*'Assumptions'!$X$61)</x:f>
        <x:v>1212.473303517441</x:v>
      </x:c>
      <x:c r="T2087" s="10" t="n">
        <x:f>N2087*'Assumptions'!$AA$61</x:f>
        <x:v>1620.5773815207574</x:v>
      </x:c>
      <x:c r="U2087" s="10" t="n">
        <x:f>'Assumptions'!$AE$61*'Assumptions'!$D$11*(1+'Assumptions'!$D$13)^(17-1)</x:f>
        <x:v>0</x:v>
      </x:c>
      <x:c r="V2087" s="10" t="n">
        <x:f>0</x:f>
        <x:v>0</x:v>
      </x:c>
      <x:c r="W2087" s="10" t="n">
        <x:f>H2087*('Assumptions'!$P$61+'Assumptions'!$Y$61)</x:f>
        <x:v>244.41681877824212</x:v>
      </x:c>
      <x:c r="X2087" s="10" t="n">
        <x:f>N2087/12*'Assumptions'!$AF$61</x:f>
        <x:v>3376.2028781682443</x:v>
      </x:c>
      <x:c r="Y2087" s="10" t="n">
        <x:f>P2087/12</x:f>
        <x:v>5.424858131638821</x:v>
      </x:c>
      <x:c r="Z2087" s="10" t="n">
        <x:f>0</x:f>
        <x:v>0</x:v>
      </x:c>
      <x:c r="AA2087" s="10" t="n">
        <x:f>Z2087*'Assumptions'!$AC$61*'Assumptions'!$D$11*(1+'Assumptions'!$D$13)^(17-1)</x:f>
        <x:v>0</x:v>
      </x:c>
      <x:c r="AB2087" s="10" t="n">
        <x:f>F2087/1</x:f>
        <x:v>2.087456514431492</x:v>
      </x:c>
      <x:c r="AC2087" s="10" t="n">
        <x:f>AB2087/'Assumptions'!$AM$61</x:f>
        <x:v>10.437282572157459</x:v>
      </x:c>
      <x:c r="AD2087" s="10" t="n">
        <x:f>IF(AB2087=0,0,T2087/AB2087)</x:f>
        <x:v>776.3406664124514</x:v>
      </x:c>
      <x:c r="AE2087" s="10" t="n">
        <x:f>AA2087*'Assumptions'!$D$21</x:f>
        <x:v>0</x:v>
      </x:c>
    </x:row>
    <x:row r="2088" ht="16" customHeight="1">
      <x:c r="A2088" s="1"/>
      <x:c r="B2088" s="1"/>
      <x:c r="C2088" s="1" t="str">
        <x:v>DOT-033</x:v>
      </x:c>
      <x:c r="D2088" s="10" t="str">
        <x:v>CornerFlow</x:v>
      </x:c>
      <x:c r="E2088" s="10" t="n">
        <x:v>17</x:v>
      </x:c>
      <x:c r="F2088" s="21" t="n">
        <x:f>F1960*(1+'Assumptions'!$M$62)</x:f>
        <x:v>106.43247989871256</x:v>
      </x:c>
      <x:c r="G2088" s="21" t="n">
        <x:f>H1960*'Assumptions'!$K$62</x:f>
        <x:v>224.9329415768578</x:v>
      </x:c>
      <x:c r="H2088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2088+G2088,NA())</x:f>
        <x:v>331.3654214755703</x:v>
      </x:c>
      <x:c r="I2088" s="22" t="n">
        <x:f>'Assumptions'!$H$62*IF('Assumptions'!$O$62=1,1,'Assumptions'!$D$10)*(1+'Assumptions'!$N$62)^(17-1)</x:f>
        <x:v>67.26649954944001</x:v>
      </x:c>
      <x:c r="J2088" s="10" t="n">
        <x:f>H2088*I2088</x:f>
        <x:v>22289.79197438645</x:v>
      </x:c>
      <x:c r="K2088" s="10" t="n">
        <x:f>J2088*'Assumptions'!$T$62</x:f>
        <x:v>22289.79197438645</x:v>
      </x:c>
      <x:c r="L2088" s="10" t="n">
        <x:f>K2088*'Assumptions'!$U$62</x:f>
        <x:v>668.6937592315935</x:v>
      </x:c>
      <x:c r="M2088" s="10" t="n">
        <x:f>K2088*'Assumptions'!$V$62</x:f>
        <x:v>0</x:v>
      </x:c>
      <x:c r="N2088" s="10" t="n">
        <x:f>K2088-L2088-M2088</x:f>
        <x:v>21621.09821515486</x:v>
      </x:c>
      <x:c r="O2088" s="10" t="n">
        <x:f>H2088*'Assumptions'!$P$62*'Assumptions'!$Q$62*'Assumptions'!$D$11*(1+'Assumptions'!$D$13)^(17-1)</x:f>
        <x:v>2791.6571840667907</x:v>
      </x:c>
      <x:c r="P2088" s="10" t="n">
        <x:f>H2088*'Assumptions'!$R$62*'Assumptions'!$D$11*(1+'Assumptions'!$D$13)^(17-1)</x:f>
        <x:v>0</x:v>
      </x:c>
      <x:c r="Q2088" s="10" t="n">
        <x:f>J2088*'Assumptions'!$S$62</x:f>
        <x:v>0</x:v>
      </x:c>
      <x:c r="R2088" s="10" t="n">
        <x:f>H2088*'Assumptions'!$Y$62*'Assumptions'!$Z$62*'Assumptions'!$D$11*(1+'Assumptions'!$D$13)^(17-1)</x:f>
        <x:v>2392.849014914392</x:v>
      </x:c>
      <x:c r="S2088" s="10" t="n">
        <x:f>IF(I2088=0,0,J2088*'Assumptions'!$W$62+H2088*'Assumptions'!$X$62)</x:f>
        <x:v>745.8135936998782</x:v>
      </x:c>
      <x:c r="T2088" s="10" t="n">
        <x:f>N2088*'Assumptions'!$AA$62</x:f>
        <x:v>1081.054910757743</x:v>
      </x:c>
      <x:c r="U2088" s="10" t="n">
        <x:f>'Assumptions'!$AE$62*'Assumptions'!$D$11*(1+'Assumptions'!$D$13)^(17-1)</x:f>
        <x:v>192.56477269185459</x:v>
      </x:c>
      <x:c r="V2088" s="10" t="n">
        <x:f>0</x:f>
        <x:v>0</x:v>
      </x:c>
      <x:c r="W2088" s="10" t="n">
        <x:f>H2088*('Assumptions'!$P$62+'Assumptions'!$Y$62)</x:f>
        <x:v>99.4096264426711</x:v>
      </x:c>
      <x:c r="X2088" s="10" t="n">
        <x:f>N2088/12*'Assumptions'!$AF$62</x:f>
        <x:v>0</x:v>
      </x:c>
      <x:c r="Y2088" s="10" t="n">
        <x:f>P2088/12</x:f>
        <x:v>0</x:v>
      </x:c>
      <x:c r="Z2088" s="10" t="n">
        <x:f>0</x:f>
        <x:v>0</x:v>
      </x:c>
      <x:c r="AA2088" s="10" t="n">
        <x:f>Z2088*'Assumptions'!$AC$62*'Assumptions'!$D$11*(1+'Assumptions'!$D$13)^(17-1)</x:f>
        <x:v>0</x:v>
      </x:c>
      <x:c r="AB2088" s="10" t="n">
        <x:f>F2088/12</x:f>
        <x:v>8.869373324892713</x:v>
      </x:c>
      <x:c r="AC2088" s="10" t="n">
        <x:f>AB2088/'Assumptions'!$AM$62</x:f>
        <x:v>177.38746649785426</x:v>
      </x:c>
      <x:c r="AD2088" s="10" t="n">
        <x:f>IF(AB2088=0,0,T2088/AB2088)</x:f>
        <x:v>121.88627890131346</x:v>
      </x:c>
      <x:c r="AE2088" s="10" t="n">
        <x:f>AA2088*'Assumptions'!$D$21</x:f>
        <x:v>0</x:v>
      </x:c>
    </x:row>
    <x:row r="2089" ht="16" customHeight="1">
      <x:c r="A2089" s="1"/>
      <x:c r="B2089" s="1"/>
      <x:c r="C2089" s="1" t="str">
        <x:v>DOT-034</x:v>
      </x:c>
      <x:c r="D2089" s="10" t="str">
        <x:v>CornerFlow</x:v>
      </x:c>
      <x:c r="E2089" s="10" t="n">
        <x:v>17</x:v>
      </x:c>
      <x:c r="F2089" s="21" t="n">
        <x:f>F1961*(1+'Assumptions'!$M$63)</x:f>
        <x:v>20.874565144314918</x:v>
      </x:c>
      <x:c r="G2089" s="21" t="n">
        <x:f>H1961*'Assumptions'!$K$63</x:f>
        <x:v>19.692465412900276</x:v>
      </x:c>
      <x:c r="H2089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2089+G2089,NA())</x:f>
        <x:v>40.56703055721519</x:v>
      </x:c>
      <x:c r="I2089" s="22" t="n">
        <x:f>'Assumptions'!$H$63*IF('Assumptions'!$O$63=1,1,'Assumptions'!$D$10)*(1+'Assumptions'!$N$63)^(17-1)</x:f>
        <x:v>273.18435531303186</x:v>
      </x:c>
      <x:c r="J2089" s="10" t="n">
        <x:f>H2089*I2089</x:f>
        <x:v>11082.278089736896</x:v>
      </x:c>
      <x:c r="K2089" s="10" t="n">
        <x:f>J2089*'Assumptions'!$T$63</x:f>
        <x:v>11082.278089736896</x:v>
      </x:c>
      <x:c r="L2089" s="10" t="n">
        <x:f>K2089*'Assumptions'!$U$63</x:f>
        <x:v>332.4683426921069</x:v>
      </x:c>
      <x:c r="M2089" s="10" t="n">
        <x:f>K2089*'Assumptions'!$V$63</x:f>
        <x:v>0</x:v>
      </x:c>
      <x:c r="N2089" s="10" t="n">
        <x:f>K2089-L2089-M2089</x:f>
        <x:v>10749.809747044788</x:v>
      </x:c>
      <x:c r="O2089" s="10" t="n">
        <x:f>H2089*'Assumptions'!$P$63*'Assumptions'!$Q$63*'Assumptions'!$D$11*(1+'Assumptions'!$D$13)^(17-1)</x:f>
        <x:v>5207.854012022442</x:v>
      </x:c>
      <x:c r="P2089" s="10" t="n">
        <x:f>H2089*'Assumptions'!$R$63*'Assumptions'!$D$11*(1+'Assumptions'!$D$13)^(17-1)</x:f>
        <x:v>0</x:v>
      </x:c>
      <x:c r="Q2089" s="10" t="n">
        <x:f>J2089*'Assumptions'!$S$63</x:f>
        <x:v>0</x:v>
      </x:c>
      <x:c r="R2089" s="10" t="n">
        <x:f>H2089*'Assumptions'!$Y$63*'Assumptions'!$Z$63*'Assumptions'!$D$11*(1+'Assumptions'!$D$13)^(17-1)</x:f>
        <x:v>488.2363136271039</x:v>
      </x:c>
      <x:c r="S2089" s="10" t="n">
        <x:f>IF(I2089=0,0,J2089*'Assumptions'!$W$63+H2089*'Assumptions'!$X$63)</x:f>
        <x:v>333.55617376953455</x:v>
      </x:c>
      <x:c r="T2089" s="10" t="n">
        <x:f>N2089*'Assumptions'!$AA$63</x:f>
        <x:v>429.99238988179155</x:v>
      </x:c>
      <x:c r="U2089" s="10" t="n">
        <x:f>'Assumptions'!$AE$63*'Assumptions'!$D$11*(1+'Assumptions'!$D$13)^(17-1)</x:f>
        <x:v>0</x:v>
      </x:c>
      <x:c r="V2089" s="10" t="n">
        <x:f>0</x:f>
        <x:v>0</x:v>
      </x:c>
      <x:c r="W2089" s="10" t="n">
        <x:f>H2089*('Assumptions'!$P$63+'Assumptions'!$Y$63)</x:f>
        <x:v>91.27581875373417</x:v>
      </x:c>
      <x:c r="X2089" s="10" t="n">
        <x:f>N2089/12*'Assumptions'!$AF$63</x:f>
        <x:v>895.817478920399</x:v>
      </x:c>
      <x:c r="Y2089" s="10" t="n">
        <x:f>P2089/12</x:f>
        <x:v>0</x:v>
      </x:c>
      <x:c r="Z2089" s="10" t="n">
        <x:f>0</x:f>
        <x:v>0</x:v>
      </x:c>
      <x:c r="AA2089" s="10" t="n">
        <x:f>Z2089*'Assumptions'!$AC$63*'Assumptions'!$D$11*(1+'Assumptions'!$D$13)^(17-1)</x:f>
        <x:v>0</x:v>
      </x:c>
      <x:c r="AB2089" s="10" t="n">
        <x:f>F2089/1</x:f>
        <x:v>20.874565144314918</x:v>
      </x:c>
      <x:c r="AC2089" s="10" t="n">
        <x:f>AB2089/'Assumptions'!$AM$63</x:f>
        <x:v>104.37282572157459</x:v>
      </x:c>
      <x:c r="AD2089" s="10" t="n">
        <x:f>IF(AB2089=0,0,T2089/AB2089)</x:f>
        <x:v>20.59886694209282</x:v>
      </x:c>
      <x:c r="AE2089" s="10" t="n">
        <x:f>AA2089*'Assumptions'!$D$21</x:f>
        <x:v>0</x:v>
      </x:c>
    </x:row>
    <x:row r="2090" ht="16" customHeight="1">
      <x:c r="A2090" s="1"/>
      <x:c r="B2090" s="1"/>
      <x:c r="C2090" s="1" t="str">
        <x:v>DOT-035</x:v>
      </x:c>
      <x:c r="D2090" s="10" t="str">
        <x:v>Spindle</x:v>
      </x:c>
      <x:c r="E2090" s="10" t="n">
        <x:v>17</x:v>
      </x:c>
      <x:c r="F2090" s="21" t="n">
        <x:f>F1962*(1+'Assumptions'!$M$64)</x:f>
        <x:v>106.43247989871256</x:v>
      </x:c>
      <x:c r="G2090" s="21" t="n">
        <x:f>H1962*'Assumptions'!$K$64</x:f>
        <x:v>224.9329415768578</x:v>
      </x:c>
      <x:c r="H2090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2090+G2090,NA())</x:f>
        <x:v>331.3654214755703</x:v>
      </x:c>
      <x:c r="I2090" s="22" t="n">
        <x:f>'Assumptions'!$H$64*IF('Assumptions'!$O$64=1,1,'Assumptions'!$D$10)*(1+'Assumptions'!$N$64)^(17-1)</x:f>
        <x:v>67.26649954944001</x:v>
      </x:c>
      <x:c r="J2090" s="10" t="n">
        <x:f>H2090*I2090</x:f>
        <x:v>22289.79197438645</x:v>
      </x:c>
      <x:c r="K2090" s="10" t="n">
        <x:f>J2090*'Assumptions'!$T$64</x:f>
        <x:v>22289.79197438645</x:v>
      </x:c>
      <x:c r="L2090" s="10" t="n">
        <x:f>K2090*'Assumptions'!$U$64</x:f>
        <x:v>668.6937592315935</x:v>
      </x:c>
      <x:c r="M2090" s="10" t="n">
        <x:f>K2090*'Assumptions'!$V$64</x:f>
        <x:v>0</x:v>
      </x:c>
      <x:c r="N2090" s="10" t="n">
        <x:f>K2090-L2090-M2090</x:f>
        <x:v>21621.09821515486</x:v>
      </x:c>
      <x:c r="O2090" s="10" t="n">
        <x:f>H2090*'Assumptions'!$P$64*'Assumptions'!$Q$64*'Assumptions'!$D$11*(1+'Assumptions'!$D$13)^(17-1)</x:f>
        <x:v>2791.6571840667907</x:v>
      </x:c>
      <x:c r="P2090" s="10" t="n">
        <x:f>H2090*'Assumptions'!$R$64*'Assumptions'!$D$11*(1+'Assumptions'!$D$13)^(17-1)</x:f>
        <x:v>0</x:v>
      </x:c>
      <x:c r="Q2090" s="10" t="n">
        <x:f>J2090*'Assumptions'!$S$64</x:f>
        <x:v>0</x:v>
      </x:c>
      <x:c r="R2090" s="10" t="n">
        <x:f>H2090*'Assumptions'!$Y$64*'Assumptions'!$Z$64*'Assumptions'!$D$11*(1+'Assumptions'!$D$13)^(17-1)</x:f>
        <x:v>2392.849014914392</x:v>
      </x:c>
      <x:c r="S2090" s="10" t="n">
        <x:f>IF(I2090=0,0,J2090*'Assumptions'!$W$64+H2090*'Assumptions'!$X$64)</x:f>
        <x:v>745.8135936998782</x:v>
      </x:c>
      <x:c r="T2090" s="10" t="n">
        <x:f>N2090*'Assumptions'!$AA$64</x:f>
        <x:v>1081.054910757743</x:v>
      </x:c>
      <x:c r="U2090" s="10" t="n">
        <x:f>'Assumptions'!$AE$64*'Assumptions'!$D$11*(1+'Assumptions'!$D$13)^(17-1)</x:f>
        <x:v>192.56477269185459</x:v>
      </x:c>
      <x:c r="V2090" s="10" t="n">
        <x:f>0</x:f>
        <x:v>0</x:v>
      </x:c>
      <x:c r="W2090" s="10" t="n">
        <x:f>H2090*('Assumptions'!$P$64+'Assumptions'!$Y$64)</x:f>
        <x:v>99.4096264426711</x:v>
      </x:c>
      <x:c r="X2090" s="10" t="n">
        <x:f>N2090/12*'Assumptions'!$AF$64</x:f>
        <x:v>0</x:v>
      </x:c>
      <x:c r="Y2090" s="10" t="n">
        <x:f>P2090/12</x:f>
        <x:v>0</x:v>
      </x:c>
      <x:c r="Z2090" s="10" t="n">
        <x:f>0</x:f>
        <x:v>0</x:v>
      </x:c>
      <x:c r="AA2090" s="10" t="n">
        <x:f>Z2090*'Assumptions'!$AC$64*'Assumptions'!$D$11*(1+'Assumptions'!$D$13)^(17-1)</x:f>
        <x:v>0</x:v>
      </x:c>
      <x:c r="AB2090" s="10" t="n">
        <x:f>F2090/12</x:f>
        <x:v>8.869373324892713</x:v>
      </x:c>
      <x:c r="AC2090" s="10" t="n">
        <x:f>AB2090/'Assumptions'!$AM$64</x:f>
        <x:v>177.38746649785426</x:v>
      </x:c>
      <x:c r="AD2090" s="10" t="n">
        <x:f>IF(AB2090=0,0,T2090/AB2090)</x:f>
        <x:v>121.88627890131346</x:v>
      </x:c>
      <x:c r="AE2090" s="10" t="n">
        <x:f>AA2090*'Assumptions'!$D$21</x:f>
        <x:v>0</x:v>
      </x:c>
    </x:row>
    <x:row r="2091" ht="16" customHeight="1">
      <x:c r="A2091" s="1"/>
      <x:c r="B2091" s="1"/>
      <x:c r="C2091" s="1" t="str">
        <x:v>DOT-036</x:v>
      </x:c>
      <x:c r="D2091" s="10" t="str">
        <x:v>Spindle</x:v>
      </x:c>
      <x:c r="E2091" s="10" t="n">
        <x:v>17</x:v>
      </x:c>
      <x:c r="F2091" s="21" t="n">
        <x:f>F1963*(1+'Assumptions'!$M$65)</x:f>
        <x:v>20.874565144314918</x:v>
      </x:c>
      <x:c r="G2091" s="21" t="n">
        <x:f>H1963*'Assumptions'!$K$65</x:f>
        <x:v>19.692465412900276</x:v>
      </x:c>
      <x:c r="H2091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2091+G2091,NA())</x:f>
        <x:v>40.56703055721519</x:v>
      </x:c>
      <x:c r="I2091" s="22" t="n">
        <x:f>'Assumptions'!$H$65*IF('Assumptions'!$O$65=1,1,'Assumptions'!$D$10)*(1+'Assumptions'!$N$65)^(17-1)</x:f>
        <x:v>273.18435531303186</x:v>
      </x:c>
      <x:c r="J2091" s="10" t="n">
        <x:f>H2091*I2091</x:f>
        <x:v>11082.278089736896</x:v>
      </x:c>
      <x:c r="K2091" s="10" t="n">
        <x:f>J2091*'Assumptions'!$T$65</x:f>
        <x:v>11082.278089736896</x:v>
      </x:c>
      <x:c r="L2091" s="10" t="n">
        <x:f>K2091*'Assumptions'!$U$65</x:f>
        <x:v>332.4683426921069</x:v>
      </x:c>
      <x:c r="M2091" s="10" t="n">
        <x:f>K2091*'Assumptions'!$V$65</x:f>
        <x:v>0</x:v>
      </x:c>
      <x:c r="N2091" s="10" t="n">
        <x:f>K2091-L2091-M2091</x:f>
        <x:v>10749.809747044788</x:v>
      </x:c>
      <x:c r="O2091" s="10" t="n">
        <x:f>H2091*'Assumptions'!$P$65*'Assumptions'!$Q$65*'Assumptions'!$D$11*(1+'Assumptions'!$D$13)^(17-1)</x:f>
        <x:v>5207.854012022442</x:v>
      </x:c>
      <x:c r="P2091" s="10" t="n">
        <x:f>H2091*'Assumptions'!$R$65*'Assumptions'!$D$11*(1+'Assumptions'!$D$13)^(17-1)</x:f>
        <x:v>0</x:v>
      </x:c>
      <x:c r="Q2091" s="10" t="n">
        <x:f>J2091*'Assumptions'!$S$65</x:f>
        <x:v>0</x:v>
      </x:c>
      <x:c r="R2091" s="10" t="n">
        <x:f>H2091*'Assumptions'!$Y$65*'Assumptions'!$Z$65*'Assumptions'!$D$11*(1+'Assumptions'!$D$13)^(17-1)</x:f>
        <x:v>488.2363136271039</x:v>
      </x:c>
      <x:c r="S2091" s="10" t="n">
        <x:f>IF(I2091=0,0,J2091*'Assumptions'!$W$65+H2091*'Assumptions'!$X$65)</x:f>
        <x:v>333.55617376953455</x:v>
      </x:c>
      <x:c r="T2091" s="10" t="n">
        <x:f>N2091*'Assumptions'!$AA$65</x:f>
        <x:v>429.99238988179155</x:v>
      </x:c>
      <x:c r="U2091" s="10" t="n">
        <x:f>'Assumptions'!$AE$65*'Assumptions'!$D$11*(1+'Assumptions'!$D$13)^(17-1)</x:f>
        <x:v>0</x:v>
      </x:c>
      <x:c r="V2091" s="10" t="n">
        <x:f>0</x:f>
        <x:v>0</x:v>
      </x:c>
      <x:c r="W2091" s="10" t="n">
        <x:f>H2091*('Assumptions'!$P$65+'Assumptions'!$Y$65)</x:f>
        <x:v>91.27581875373417</x:v>
      </x:c>
      <x:c r="X2091" s="10" t="n">
        <x:f>N2091/12*'Assumptions'!$AF$65</x:f>
        <x:v>895.817478920399</x:v>
      </x:c>
      <x:c r="Y2091" s="10" t="n">
        <x:f>P2091/12</x:f>
        <x:v>0</x:v>
      </x:c>
      <x:c r="Z2091" s="10" t="n">
        <x:f>0</x:f>
        <x:v>0</x:v>
      </x:c>
      <x:c r="AA2091" s="10" t="n">
        <x:f>Z2091*'Assumptions'!$AC$65*'Assumptions'!$D$11*(1+'Assumptions'!$D$13)^(17-1)</x:f>
        <x:v>0</x:v>
      </x:c>
      <x:c r="AB2091" s="10" t="n">
        <x:f>F2091/1</x:f>
        <x:v>20.874565144314918</x:v>
      </x:c>
      <x:c r="AC2091" s="10" t="n">
        <x:f>AB2091/'Assumptions'!$AM$65</x:f>
        <x:v>104.37282572157459</x:v>
      </x:c>
      <x:c r="AD2091" s="10" t="n">
        <x:f>IF(AB2091=0,0,T2091/AB2091)</x:f>
        <x:v>20.59886694209282</x:v>
      </x:c>
      <x:c r="AE2091" s="10" t="n">
        <x:f>AA2091*'Assumptions'!$D$21</x:f>
        <x:v>0</x:v>
      </x:c>
    </x:row>
    <x:row r="2092" ht="16" customHeight="1">
      <x:c r="A2092" s="1"/>
      <x:c r="B2092" s="1"/>
      <x:c r="C2092" s="1" t="str">
        <x:v>DOT-037</x:v>
      </x:c>
      <x:c r="D2092" s="10" t="str">
        <x:v>Maison Contour</x:v>
      </x:c>
      <x:c r="E2092" s="10" t="n">
        <x:v>17</x:v>
      </x:c>
      <x:c r="F2092" s="21" t="n">
        <x:f>F1964*(1+'Assumptions'!$M$66)</x:f>
        <x:v>106.43247989871256</x:v>
      </x:c>
      <x:c r="G2092" s="21" t="n">
        <x:f>H1964*'Assumptions'!$K$66</x:f>
        <x:v>224.9329415768578</x:v>
      </x:c>
      <x:c r="H2092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2092+G2092,NA())</x:f>
        <x:v>331.3654214755703</x:v>
      </x:c>
      <x:c r="I2092" s="22" t="n">
        <x:f>'Assumptions'!$H$66*IF('Assumptions'!$O$66=1,1,'Assumptions'!$D$10)*(1+'Assumptions'!$N$66)^(17-1)</x:f>
        <x:v>108.45007070215838</x:v>
      </x:c>
      <x:c r="J2092" s="10" t="n">
        <x:f>H2092*I2092</x:f>
        <x:v>35936.60338727611</x:v>
      </x:c>
      <x:c r="K2092" s="10" t="n">
        <x:f>J2092*'Assumptions'!$T$66</x:f>
        <x:v>35936.60338727611</x:v>
      </x:c>
      <x:c r="L2092" s="10" t="n">
        <x:f>K2092*'Assumptions'!$U$66</x:f>
        <x:v>1078.0981016182832</x:v>
      </x:c>
      <x:c r="M2092" s="10" t="n">
        <x:f>K2092*'Assumptions'!$V$66</x:f>
        <x:v>0</x:v>
      </x:c>
      <x:c r="N2092" s="10" t="n">
        <x:f>K2092-L2092-M2092</x:f>
        <x:v>34858.505285657826</x:v>
      </x:c>
      <x:c r="O2092" s="10" t="n">
        <x:f>H2092*'Assumptions'!$P$66*'Assumptions'!$Q$66*'Assumptions'!$D$11*(1+'Assumptions'!$D$13)^(17-1)</x:f>
        <x:v>2791.6571840667907</x:v>
      </x:c>
      <x:c r="P2092" s="10" t="n">
        <x:f>H2092*'Assumptions'!$R$66*'Assumptions'!$D$11*(1+'Assumptions'!$D$13)^(17-1)</x:f>
        <x:v>0</x:v>
      </x:c>
      <x:c r="Q2092" s="10" t="n">
        <x:f>J2092*'Assumptions'!$S$66</x:f>
        <x:v>0</x:v>
      </x:c>
      <x:c r="R2092" s="10" t="n">
        <x:f>H2092*'Assumptions'!$Y$66*'Assumptions'!$Z$66*'Assumptions'!$D$11*(1+'Assumptions'!$D$13)^(17-1)</x:f>
        <x:v>2392.849014914392</x:v>
      </x:c>
      <x:c r="S2092" s="10" t="n">
        <x:f>IF(I2092=0,0,J2092*'Assumptions'!$W$66+H2092*'Assumptions'!$X$66)</x:f>
        <x:v>1141.5711246736785</x:v>
      </x:c>
      <x:c r="T2092" s="10" t="n">
        <x:f>N2092*'Assumptions'!$AA$66</x:f>
        <x:v>1742.9252642828915</x:v>
      </x:c>
      <x:c r="U2092" s="10" t="n">
        <x:f>'Assumptions'!$AE$66*'Assumptions'!$D$11*(1+'Assumptions'!$D$13)^(17-1)</x:f>
        <x:v>192.56477269185459</x:v>
      </x:c>
      <x:c r="V2092" s="10" t="n">
        <x:f>0</x:f>
        <x:v>0</x:v>
      </x:c>
      <x:c r="W2092" s="10" t="n">
        <x:f>H2092*('Assumptions'!$P$66+'Assumptions'!$Y$66)</x:f>
        <x:v>99.4096264426711</x:v>
      </x:c>
      <x:c r="X2092" s="10" t="n">
        <x:f>N2092/12*'Assumptions'!$AF$66</x:f>
        <x:v>0</x:v>
      </x:c>
      <x:c r="Y2092" s="10" t="n">
        <x:f>P2092/12</x:f>
        <x:v>0</x:v>
      </x:c>
      <x:c r="Z2092" s="10" t="n">
        <x:f>0</x:f>
        <x:v>0</x:v>
      </x:c>
      <x:c r="AA2092" s="10" t="n">
        <x:f>Z2092*'Assumptions'!$AC$66*'Assumptions'!$D$11*(1+'Assumptions'!$D$13)^(17-1)</x:f>
        <x:v>0</x:v>
      </x:c>
      <x:c r="AB2092" s="10" t="n">
        <x:f>F2092/12</x:f>
        <x:v>8.869373324892713</x:v>
      </x:c>
      <x:c r="AC2092" s="10" t="n">
        <x:f>AB2092/'Assumptions'!$AM$66</x:f>
        <x:v>177.38746649785426</x:v>
      </x:c>
      <x:c r="AD2092" s="10" t="n">
        <x:f>IF(AB2092=0,0,T2092/AB2092)</x:f>
        <x:v>196.51053128987266</x:v>
      </x:c>
      <x:c r="AE2092" s="10" t="n">
        <x:f>AA2092*'Assumptions'!$D$21</x:f>
        <x:v>0</x:v>
      </x:c>
    </x:row>
    <x:row r="2093" ht="16" customHeight="1">
      <x:c r="A2093" s="1"/>
      <x:c r="B2093" s="1"/>
      <x:c r="C2093" s="1" t="str">
        <x:v>DOT-038</x:v>
      </x:c>
      <x:c r="D2093" s="10" t="str">
        <x:v>Maison Contour</x:v>
      </x:c>
      <x:c r="E2093" s="10" t="n">
        <x:v>17</x:v>
      </x:c>
      <x:c r="F2093" s="21" t="n">
        <x:f>F1965*(1+'Assumptions'!$M$67)</x:f>
        <x:v>20.874565144314918</x:v>
      </x:c>
      <x:c r="G2093" s="21" t="n">
        <x:f>H1965*'Assumptions'!$K$67</x:f>
        <x:v>19.692465412900276</x:v>
      </x:c>
      <x:c r="H2093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2093+G2093,NA())</x:f>
        <x:v>40.56703055721519</x:v>
      </x:c>
      <x:c r="I2093" s="22" t="n">
        <x:f>'Assumptions'!$H$67*IF('Assumptions'!$O$67=1,1,'Assumptions'!$D$10)*(1+'Assumptions'!$N$67)^(17-1)</x:f>
        <x:v>273.18435531303186</x:v>
      </x:c>
      <x:c r="J2093" s="10" t="n">
        <x:f>H2093*I2093</x:f>
        <x:v>11082.278089736896</x:v>
      </x:c>
      <x:c r="K2093" s="10" t="n">
        <x:f>J2093*'Assumptions'!$T$67</x:f>
        <x:v>11082.278089736896</x:v>
      </x:c>
      <x:c r="L2093" s="10" t="n">
        <x:f>K2093*'Assumptions'!$U$67</x:f>
        <x:v>332.4683426921069</x:v>
      </x:c>
      <x:c r="M2093" s="10" t="n">
        <x:f>K2093*'Assumptions'!$V$67</x:f>
        <x:v>0</x:v>
      </x:c>
      <x:c r="N2093" s="10" t="n">
        <x:f>K2093-L2093-M2093</x:f>
        <x:v>10749.809747044788</x:v>
      </x:c>
      <x:c r="O2093" s="10" t="n">
        <x:f>H2093*'Assumptions'!$P$67*'Assumptions'!$Q$67*'Assumptions'!$D$11*(1+'Assumptions'!$D$13)^(17-1)</x:f>
        <x:v>5207.854012022442</x:v>
      </x:c>
      <x:c r="P2093" s="10" t="n">
        <x:f>H2093*'Assumptions'!$R$67*'Assumptions'!$D$11*(1+'Assumptions'!$D$13)^(17-1)</x:f>
        <x:v>0</x:v>
      </x:c>
      <x:c r="Q2093" s="10" t="n">
        <x:f>J2093*'Assumptions'!$S$67</x:f>
        <x:v>0</x:v>
      </x:c>
      <x:c r="R2093" s="10" t="n">
        <x:f>H2093*'Assumptions'!$Y$67*'Assumptions'!$Z$67*'Assumptions'!$D$11*(1+'Assumptions'!$D$13)^(17-1)</x:f>
        <x:v>488.2363136271039</x:v>
      </x:c>
      <x:c r="S2093" s="10" t="n">
        <x:f>IF(I2093=0,0,J2093*'Assumptions'!$W$67+H2093*'Assumptions'!$X$67)</x:f>
        <x:v>333.55617376953455</x:v>
      </x:c>
      <x:c r="T2093" s="10" t="n">
        <x:f>N2093*'Assumptions'!$AA$67</x:f>
        <x:v>429.99238988179155</x:v>
      </x:c>
      <x:c r="U2093" s="10" t="n">
        <x:f>'Assumptions'!$AE$67*'Assumptions'!$D$11*(1+'Assumptions'!$D$13)^(17-1)</x:f>
        <x:v>0</x:v>
      </x:c>
      <x:c r="V2093" s="10" t="n">
        <x:f>0</x:f>
        <x:v>0</x:v>
      </x:c>
      <x:c r="W2093" s="10" t="n">
        <x:f>H2093*('Assumptions'!$P$67+'Assumptions'!$Y$67)</x:f>
        <x:v>91.27581875373417</x:v>
      </x:c>
      <x:c r="X2093" s="10" t="n">
        <x:f>N2093/12*'Assumptions'!$AF$67</x:f>
        <x:v>895.817478920399</x:v>
      </x:c>
      <x:c r="Y2093" s="10" t="n">
        <x:f>P2093/12</x:f>
        <x:v>0</x:v>
      </x:c>
      <x:c r="Z2093" s="10" t="n">
        <x:f>0</x:f>
        <x:v>0</x:v>
      </x:c>
      <x:c r="AA2093" s="10" t="n">
        <x:f>Z2093*'Assumptions'!$AC$67*'Assumptions'!$D$11*(1+'Assumptions'!$D$13)^(17-1)</x:f>
        <x:v>0</x:v>
      </x:c>
      <x:c r="AB2093" s="10" t="n">
        <x:f>F2093/1</x:f>
        <x:v>20.874565144314918</x:v>
      </x:c>
      <x:c r="AC2093" s="10" t="n">
        <x:f>AB2093/'Assumptions'!$AM$67</x:f>
        <x:v>104.37282572157459</x:v>
      </x:c>
      <x:c r="AD2093" s="10" t="n">
        <x:f>IF(AB2093=0,0,T2093/AB2093)</x:f>
        <x:v>20.59886694209282</x:v>
      </x:c>
      <x:c r="AE2093" s="10" t="n">
        <x:f>AA2093*'Assumptions'!$D$21</x:f>
        <x:v>0</x:v>
      </x:c>
    </x:row>
    <x:row r="2094" ht="16" customHeight="1">
      <x:c r="A2094" s="1"/>
      <x:c r="B2094" s="1"/>
      <x:c r="C2094" s="1" t="str">
        <x:v>DOT-039</x:v>
      </x:c>
      <x:c r="D2094" s="10" t="str">
        <x:v>DishLoom US</x:v>
      </x:c>
      <x:c r="E2094" s="10" t="n">
        <x:v>17</x:v>
      </x:c>
      <x:c r="F2094" s="21" t="n">
        <x:f>F1966*(1+'Assumptions'!$M$68)</x:f>
        <x:v>106.43247989871256</x:v>
      </x:c>
      <x:c r="G2094" s="21" t="n">
        <x:f>H1966*'Assumptions'!$K$68</x:f>
        <x:v>224.9329415768578</x:v>
      </x:c>
      <x:c r="H2094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2094+G2094,NA())</x:f>
        <x:v>331.3654214755703</x:v>
      </x:c>
      <x:c r="I2094" s="22" t="n">
        <x:f>'Assumptions'!$H$68*IF('Assumptions'!$O$68=1,1,'Assumptions'!$D$10)*(1+'Assumptions'!$N$68)^(17-1)</x:f>
        <x:v>53.53864249853389</x:v>
      </x:c>
      <x:c r="J2094" s="10" t="n">
        <x:f>H2094*I2094</x:f>
        <x:v>17740.854836756564</x:v>
      </x:c>
      <x:c r="K2094" s="10" t="n">
        <x:f>J2094*'Assumptions'!$T$68</x:f>
        <x:v>17740.854836756564</x:v>
      </x:c>
      <x:c r="L2094" s="10" t="n">
        <x:f>K2094*'Assumptions'!$U$68</x:f>
        <x:v>532.225645102697</x:v>
      </x:c>
      <x:c r="M2094" s="10" t="n">
        <x:f>K2094*'Assumptions'!$V$68</x:f>
        <x:v>0</x:v>
      </x:c>
      <x:c r="N2094" s="10" t="n">
        <x:f>K2094-L2094-M2094</x:f>
        <x:v>17208.62919165387</x:v>
      </x:c>
      <x:c r="O2094" s="10" t="n">
        <x:f>H2094*'Assumptions'!$P$68*'Assumptions'!$Q$68*'Assumptions'!$D$11*(1+'Assumptions'!$D$13)^(17-1)</x:f>
        <x:v>2791.6571840667907</x:v>
      </x:c>
      <x:c r="P2094" s="10" t="n">
        <x:f>H2094*'Assumptions'!$R$68*'Assumptions'!$D$11*(1+'Assumptions'!$D$13)^(17-1)</x:f>
        <x:v>0</x:v>
      </x:c>
      <x:c r="Q2094" s="10" t="n">
        <x:f>J2094*'Assumptions'!$S$68</x:f>
        <x:v>0</x:v>
      </x:c>
      <x:c r="R2094" s="10" t="n">
        <x:f>H2094*'Assumptions'!$Y$68*'Assumptions'!$Z$68*'Assumptions'!$D$11*(1+'Assumptions'!$D$13)^(17-1)</x:f>
        <x:v>2392.849014914392</x:v>
      </x:c>
      <x:c r="S2094" s="10" t="n">
        <x:f>IF(I2094=0,0,J2094*'Assumptions'!$W$68+H2094*'Assumptions'!$X$68)</x:f>
        <x:v>613.8944167086114</x:v>
      </x:c>
      <x:c r="T2094" s="10" t="n">
        <x:f>N2094*'Assumptions'!$AA$68</x:f>
        <x:v>860.4314595826935</x:v>
      </x:c>
      <x:c r="U2094" s="10" t="n">
        <x:f>'Assumptions'!$AE$68*'Assumptions'!$D$11*(1+'Assumptions'!$D$13)^(17-1)</x:f>
        <x:v>192.56477269185459</x:v>
      </x:c>
      <x:c r="V2094" s="10" t="n">
        <x:f>0</x:f>
        <x:v>0</x:v>
      </x:c>
      <x:c r="W2094" s="10" t="n">
        <x:f>H2094*('Assumptions'!$P$68+'Assumptions'!$Y$68)</x:f>
        <x:v>99.4096264426711</x:v>
      </x:c>
      <x:c r="X2094" s="10" t="n">
        <x:f>N2094/12*'Assumptions'!$AF$68</x:f>
        <x:v>0</x:v>
      </x:c>
      <x:c r="Y2094" s="10" t="n">
        <x:f>P2094/12</x:f>
        <x:v>0</x:v>
      </x:c>
      <x:c r="Z2094" s="10" t="n">
        <x:f>0</x:f>
        <x:v>0</x:v>
      </x:c>
      <x:c r="AA2094" s="10" t="n">
        <x:f>Z2094*'Assumptions'!$AC$68*'Assumptions'!$D$11*(1+'Assumptions'!$D$13)^(17-1)</x:f>
        <x:v>0</x:v>
      </x:c>
      <x:c r="AB2094" s="10" t="n">
        <x:f>F2094/12</x:f>
        <x:v>8.869373324892713</x:v>
      </x:c>
      <x:c r="AC2094" s="10" t="n">
        <x:f>AB2094/'Assumptions'!$AM$68</x:f>
        <x:v>177.38746649785426</x:v>
      </x:c>
      <x:c r="AD2094" s="10" t="n">
        <x:f>IF(AB2094=0,0,T2094/AB2094)</x:f>
        <x:v>97.01152810512704</x:v>
      </x:c>
      <x:c r="AE2094" s="10" t="n">
        <x:f>AA2094*'Assumptions'!$D$21</x:f>
        <x:v>0</x:v>
      </x:c>
    </x:row>
    <x:row r="2095" ht="16" customHeight="1">
      <x:c r="A2095" s="1"/>
      <x:c r="B2095" s="1"/>
      <x:c r="C2095" s="1" t="str">
        <x:v>DOT-040</x:v>
      </x:c>
      <x:c r="D2095" s="10" t="str">
        <x:v>DishLoom US</x:v>
      </x:c>
      <x:c r="E2095" s="10" t="n">
        <x:v>17</x:v>
      </x:c>
      <x:c r="F2095" s="21" t="n">
        <x:f>F1967*(1+'Assumptions'!$M$69)</x:f>
        <x:v>212.86495979742512</x:v>
      </x:c>
      <x:c r="G2095" s="21" t="n">
        <x:f>H1967*'Assumptions'!$K$69</x:f>
        <x:v>449.8658831537156</x:v>
      </x:c>
      <x:c r="H2095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2095+G2095,NA())</x:f>
        <x:v>662.7308429511406</x:v>
      </x:c>
      <x:c r="I2095" s="22" t="n">
        <x:f>'Assumptions'!$H$69*IF('Assumptions'!$O$69=1,1,'Assumptions'!$D$10)*(1+'Assumptions'!$N$69)^(17-1)</x:f>
        <x:v>12.355071345815512</x:v>
      </x:c>
      <x:c r="J2095" s="10" t="n">
        <x:f>H2095*I2095</x:f>
        <x:v>8188.086847733798</x:v>
      </x:c>
      <x:c r="K2095" s="10" t="n">
        <x:f>J2095*'Assumptions'!$T$69</x:f>
        <x:v>8188.086847733798</x:v>
      </x:c>
      <x:c r="L2095" s="10" t="n">
        <x:f>K2095*'Assumptions'!$U$69</x:f>
        <x:v>245.64260543201394</x:v>
      </x:c>
      <x:c r="M2095" s="10" t="n">
        <x:f>K2095*'Assumptions'!$V$69</x:f>
        <x:v>0</x:v>
      </x:c>
      <x:c r="N2095" s="10" t="n">
        <x:f>K2095-L2095-M2095</x:f>
        <x:v>7942.4442423017845</x:v>
      </x:c>
      <x:c r="O2095" s="10" t="n">
        <x:f>H2095*'Assumptions'!$P$69*'Assumptions'!$Q$69*'Assumptions'!$D$11*(1+'Assumptions'!$D$13)^(17-1)</x:f>
        <x:v>1861.1047893778605</x:v>
      </x:c>
      <x:c r="P2095" s="10" t="n">
        <x:f>H2095*'Assumptions'!$R$69*'Assumptions'!$D$11*(1+'Assumptions'!$D$13)^(17-1)</x:f>
        <x:v>0</x:v>
      </x:c>
      <x:c r="Q2095" s="10" t="n">
        <x:f>J2095*'Assumptions'!$S$69</x:f>
        <x:v>0</x:v>
      </x:c>
      <x:c r="R2095" s="10" t="n">
        <x:f>H2095*'Assumptions'!$Y$69*'Assumptions'!$Z$69*'Assumptions'!$D$11*(1+'Assumptions'!$D$13)^(17-1)</x:f>
        <x:v>4785.698029828784</x:v>
      </x:c>
      <x:c r="S2095" s="10" t="n">
        <x:f>IF(I2095=0,0,J2095*'Assumptions'!$W$69+H2095*'Assumptions'!$X$69)</x:f>
        <x:v>436.2737714696224</x:v>
      </x:c>
      <x:c r="T2095" s="10" t="n">
        <x:f>N2095*'Assumptions'!$AA$69</x:f>
        <x:v>397.12221211508927</x:v>
      </x:c>
      <x:c r="U2095" s="10" t="n">
        <x:f>'Assumptions'!$AE$69*'Assumptions'!$D$11*(1+'Assumptions'!$D$13)^(17-1)</x:f>
        <x:v>0</x:v>
      </x:c>
      <x:c r="V2095" s="10" t="n">
        <x:f>0</x:f>
        <x:v>0</x:v>
      </x:c>
      <x:c r="W2095" s="10" t="n">
        <x:f>H2095*('Assumptions'!$P$69+'Assumptions'!$Y$69)</x:f>
        <x:v>132.54616859022812</x:v>
      </x:c>
      <x:c r="X2095" s="10" t="n">
        <x:f>N2095/12*'Assumptions'!$AF$69</x:f>
        <x:v>0</x:v>
      </x:c>
      <x:c r="Y2095" s="10" t="n">
        <x:f>P2095/12</x:f>
        <x:v>0</x:v>
      </x:c>
      <x:c r="Z2095" s="10" t="n">
        <x:f>0</x:f>
        <x:v>0</x:v>
      </x:c>
      <x:c r="AA2095" s="10" t="n">
        <x:f>Z2095*'Assumptions'!$AC$69*'Assumptions'!$D$11*(1+'Assumptions'!$D$13)^(17-1)</x:f>
        <x:v>0</x:v>
      </x:c>
      <x:c r="AB2095" s="10" t="n">
        <x:f>F2095/1</x:f>
        <x:v>212.86495979742512</x:v>
      </x:c>
      <x:c r="AC2095" s="10" t="n">
        <x:f>AB2095/'Assumptions'!$AM$69</x:f>
        <x:v>4257.299195948502</x:v>
      </x:c>
      <x:c r="AD2095" s="10" t="n">
        <x:f>IF(AB2095=0,0,T2095/AB2095)</x:f>
        <x:v>1.8656063097139814</x:v>
      </x:c>
      <x:c r="AE2095" s="10" t="n">
        <x:f>AA2095*'Assumptions'!$D$21</x:f>
        <x:v>0</x:v>
      </x:c>
    </x:row>
    <x:row r="2096" ht="16" customHeight="1">
      <x:c r="A2096" s="1"/>
      <x:c r="B2096" s="1"/>
      <x:c r="C2096" s="1" t="str">
        <x:v>DOT-041</x:v>
      </x:c>
      <x:c r="D2096" s="10" t="str">
        <x:v>DishLoom US</x:v>
      </x:c>
      <x:c r="E2096" s="10" t="n">
        <x:v>17</x:v>
      </x:c>
      <x:c r="F2096" s="21" t="n">
        <x:f>F1968*(1+'Assumptions'!$M$70)</x:f>
        <x:v>266.08119974678146</x:v>
      </x:c>
      <x:c r="G2096" s="21" t="n">
        <x:f>H1968*'Assumptions'!$K$70</x:f>
        <x:v>562.3323539421446</x:v>
      </x:c>
      <x:c r="H2096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2096+G2096,NA())</x:f>
        <x:v>828.413553688926</x:v>
      </x:c>
      <x:c r="I2096" s="22" t="n">
        <x:f>'Assumptions'!$H$70*IF('Assumptions'!$O$70=1,1,'Assumptions'!$D$10)*(1+'Assumptions'!$N$70)^(17-1)</x:f>
        <x:v>137.27857050906124</x:v>
      </x:c>
      <x:c r="J2096" s="10" t="n">
        <x:f>H2096*I2096</x:f>
        <x:v>113723.42844074722</x:v>
      </x:c>
      <x:c r="K2096" s="10" t="n">
        <x:f>J2096*'Assumptions'!$T$70</x:f>
        <x:v>17058.51426611208</x:v>
      </x:c>
      <x:c r="L2096" s="10" t="n">
        <x:f>K2096*'Assumptions'!$U$70</x:f>
        <x:v>511.7554279833624</x:v>
      </x:c>
      <x:c r="M2096" s="10" t="n">
        <x:f>K2096*'Assumptions'!$V$70</x:f>
        <x:v>0</x:v>
      </x:c>
      <x:c r="N2096" s="10" t="n">
        <x:f>K2096-L2096-M2096</x:f>
        <x:v>16546.758838128717</x:v>
      </x:c>
      <x:c r="O2096" s="10" t="n">
        <x:f>H2096*'Assumptions'!$P$70*'Assumptions'!$Q$70*'Assumptions'!$D$11*(1+'Assumptions'!$D$13)^(17-1)</x:f>
        <x:v>4652.7619734446525</x:v>
      </x:c>
      <x:c r="P2096" s="10" t="n">
        <x:f>H2096*'Assumptions'!$R$70*'Assumptions'!$D$11*(1+'Assumptions'!$D$13)^(17-1)</x:f>
        <x:v>0</x:v>
      </x:c>
      <x:c r="Q2096" s="10" t="n">
        <x:f>J2096*'Assumptions'!$S$70</x:f>
        <x:v>0</x:v>
      </x:c>
      <x:c r="R2096" s="10" t="n">
        <x:f>H2096*'Assumptions'!$Y$70*'Assumptions'!$Z$70*'Assumptions'!$D$11*(1+'Assumptions'!$D$13)^(17-1)</x:f>
        <x:v>5982.122537285981</x:v>
      </x:c>
      <x:c r="S2096" s="10" t="n">
        <x:f>IF(I2096=0,0,J2096*'Assumptions'!$W$70+H2096*'Assumptions'!$X$70)</x:f>
        <x:v>3546.503490888347</x:v>
      </x:c>
      <x:c r="T2096" s="10" t="n">
        <x:f>N2096*'Assumptions'!$AA$70</x:f>
        <x:v>827.3379419064358</x:v>
      </x:c>
      <x:c r="U2096" s="10" t="n">
        <x:f>'Assumptions'!$AE$70*'Assumptions'!$D$11*(1+'Assumptions'!$D$13)^(17-1)</x:f>
        <x:v>0</x:v>
      </x:c>
      <x:c r="V2096" s="10" t="n">
        <x:f>0</x:f>
        <x:v>0</x:v>
      </x:c>
      <x:c r="W2096" s="10" t="n">
        <x:f>H2096*('Assumptions'!$P$70+'Assumptions'!$Y$70)</x:f>
        <x:v>207.1033884222315</x:v>
      </x:c>
      <x:c r="X2096" s="10" t="n">
        <x:f>N2096/12*'Assumptions'!$AF$70</x:f>
        <x:v>0</x:v>
      </x:c>
      <x:c r="Y2096" s="10" t="n">
        <x:f>P2096/12</x:f>
        <x:v>0</x:v>
      </x:c>
      <x:c r="Z2096" s="10" t="n">
        <x:f>0</x:f>
        <x:v>0</x:v>
      </x:c>
      <x:c r="AA2096" s="10" t="n">
        <x:f>Z2096*'Assumptions'!$AC$70*'Assumptions'!$D$11*(1+'Assumptions'!$D$13)^(17-1)</x:f>
        <x:v>0</x:v>
      </x:c>
      <x:c r="AB2096" s="10" t="n">
        <x:f>F2096/1</x:f>
        <x:v>266.08119974678146</x:v>
      </x:c>
      <x:c r="AC2096" s="10" t="n">
        <x:f>AB2096/'Assumptions'!$AM$70</x:f>
        <x:v>5321.623994935629</x:v>
      </x:c>
      <x:c r="AD2096" s="10" t="n">
        <x:f>IF(AB2096=0,0,T2096/AB2096)</x:f>
        <x:v>3.109343849523301</x:v>
      </x:c>
      <x:c r="AE2096" s="10" t="n">
        <x:f>AA2096*'Assumptions'!$D$21</x:f>
        <x:v>0</x:v>
      </x:c>
    </x:row>
    <x:row r="2097" ht="16" customHeight="1">
      <x:c r="A2097" s="1"/>
      <x:c r="B2097" s="1"/>
      <x:c r="C2097" s="1" t="str">
        <x:v>DOT-042</x:v>
      </x:c>
      <x:c r="D2097" s="10" t="str">
        <x:v>Is Makes Travel Easy</x:v>
      </x:c>
      <x:c r="E2097" s="10" t="n">
        <x:v>17</x:v>
      </x:c>
      <x:c r="F2097" s="21" t="n">
        <x:f>F1969*(1+'Assumptions'!$M$71)</x:f>
        <x:v>319.2974396961376</x:v>
      </x:c>
      <x:c r="G2097" s="21" t="n">
        <x:f>H1969*'Assumptions'!$K$71</x:f>
        <x:v>675.0979211056996</x:v>
      </x:c>
      <x:c r="H2097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2097+G2097,NA())</x:f>
        <x:v>994.3953608018371</x:v>
      </x:c>
      <x:c r="I2097" s="22" t="n">
        <x:f>'Assumptions'!$H$71*IF('Assumptions'!$O$71=1,1,'Assumptions'!$D$10)*(1+'Assumptions'!$N$71)^(17-1)</x:f>
        <x:v>39.810785447627765</x:v>
      </x:c>
      <x:c r="J2097" s="10" t="n">
        <x:f>H2097*I2097</x:f>
        <x:v>39587.660358998335</x:v>
      </x:c>
      <x:c r="K2097" s="10" t="n">
        <x:f>J2097*'Assumptions'!$T$71</x:f>
        <x:v>39587.660358998335</x:v>
      </x:c>
      <x:c r="L2097" s="10" t="n">
        <x:f>K2097*'Assumptions'!$U$71</x:f>
        <x:v>1187.62981076995</x:v>
      </x:c>
      <x:c r="M2097" s="10" t="n">
        <x:f>K2097*'Assumptions'!$V$71</x:f>
        <x:v>0</x:v>
      </x:c>
      <x:c r="N2097" s="10" t="n">
        <x:f>K2097-L2097-M2097</x:f>
        <x:v>38400.03054822839</x:v>
      </x:c>
      <x:c r="O2097" s="10" t="n">
        <x:f>H2097*'Assumptions'!$P$71*'Assumptions'!$Q$71*'Assumptions'!$D$11*(1+'Assumptions'!$D$13)^(17-1)</x:f>
        <x:v>5584.994234710347</x:v>
      </x:c>
      <x:c r="P2097" s="10" t="n">
        <x:f>H2097*'Assumptions'!$R$71*'Assumptions'!$D$11*(1+'Assumptions'!$D$13)^(17-1)</x:f>
        <x:v>0</x:v>
      </x:c>
      <x:c r="Q2097" s="10" t="n">
        <x:f>J2097*'Assumptions'!$S$71</x:f>
        <x:v>0</x:v>
      </x:c>
      <x:c r="R2097" s="10" t="n">
        <x:f>H2097*'Assumptions'!$Y$71*'Assumptions'!$Z$71*'Assumptions'!$D$11*(1+'Assumptions'!$D$13)^(17-1)</x:f>
        <x:v>7180.7068731990175</x:v>
      </x:c>
      <x:c r="S2097" s="10" t="n">
        <x:f>IF(I2097=0,0,J2097*'Assumptions'!$W$71+H2097*'Assumptions'!$X$71)</x:f>
        <x:v>1446.360758651503</x:v>
      </x:c>
      <x:c r="T2097" s="10" t="n">
        <x:f>N2097*'Assumptions'!$AA$71</x:f>
        <x:v>1920.0015274114194</x:v>
      </x:c>
      <x:c r="U2097" s="10" t="n">
        <x:f>'Assumptions'!$AE$71*'Assumptions'!$D$11*(1+'Assumptions'!$D$13)^(17-1)</x:f>
        <x:v>385.12954538370917</x:v>
      </x:c>
      <x:c r="V2097" s="10" t="n">
        <x:f>0</x:f>
        <x:v>0</x:v>
      </x:c>
      <x:c r="W2097" s="10" t="n">
        <x:f>H2097*('Assumptions'!$P$71+'Assumptions'!$Y$71)</x:f>
        <x:v>248.59884020045928</x:v>
      </x:c>
      <x:c r="X2097" s="10" t="n">
        <x:f>N2097/12*'Assumptions'!$AF$71</x:f>
        <x:v>0</x:v>
      </x:c>
      <x:c r="Y2097" s="10" t="n">
        <x:f>P2097/12</x:f>
        <x:v>0</x:v>
      </x:c>
      <x:c r="Z2097" s="10" t="n">
        <x:f>0</x:f>
        <x:v>0</x:v>
      </x:c>
      <x:c r="AA2097" s="10" t="n">
        <x:f>Z2097*'Assumptions'!$AC$71*'Assumptions'!$D$11*(1+'Assumptions'!$D$13)^(17-1)</x:f>
        <x:v>0</x:v>
      </x:c>
      <x:c r="AB2097" s="10" t="n">
        <x:f>F2097/1</x:f>
        <x:v>319.2974396961376</x:v>
      </x:c>
      <x:c r="AC2097" s="10" t="n">
        <x:f>AB2097/'Assumptions'!$AM$71</x:f>
        <x:v>6385.948793922751</x:v>
      </x:c>
      <x:c r="AD2097" s="10" t="n">
        <x:f>IF(AB2097=0,0,T2097/AB2097)</x:f>
        <x:v>6.013206774343718</x:v>
      </x:c>
      <x:c r="AE2097" s="10" t="n">
        <x:f>AA2097*'Assumptions'!$D$21</x:f>
        <x:v>0</x:v>
      </x:c>
    </x:row>
    <x:row r="2098" ht="16" customHeight="1">
      <x:c r="A2098" s="1"/>
      <x:c r="B2098" s="1"/>
      <x:c r="C2098" s="1" t="str">
        <x:v>DOT-043</x:v>
      </x:c>
      <x:c r="D2098" s="10" t="str">
        <x:v>Is Makes Travel Easy</x:v>
      </x:c>
      <x:c r="E2098" s="10" t="n">
        <x:v>17</x:v>
      </x:c>
      <x:c r="F2098" s="21" t="n">
        <x:f>F1970*(1+'Assumptions'!$M$72)</x:f>
        <x:v>159.6487198480688</x:v>
      </x:c>
      <x:c r="G2098" s="21" t="n">
        <x:f>H1970*'Assumptions'!$K$72</x:f>
        <x:v>337.5489605528498</x:v>
      </x:c>
      <x:c r="H2098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2098+G2098,NA())</x:f>
        <x:v>497.19768040091856</x:v>
      </x:c>
      <x:c r="I2098" s="22" t="n">
        <x:f>'Assumptions'!$H$72*IF('Assumptions'!$O$72=1,1,'Assumptions'!$D$10)*(1+'Assumptions'!$N$72)^(17-1)</x:f>
        <x:v>26.082928396721638</x:v>
      </x:c>
      <x:c r="J2098" s="10" t="n">
        <x:f>H2098*I2098</x:f>
        <x:v>12968.371496913247</x:v>
      </x:c>
      <x:c r="K2098" s="10" t="n">
        <x:f>J2098*'Assumptions'!$T$72</x:f>
        <x:v>12968.371496913247</x:v>
      </x:c>
      <x:c r="L2098" s="10" t="n">
        <x:f>K2098*'Assumptions'!$U$72</x:f>
        <x:v>389.0511449073974</x:v>
      </x:c>
      <x:c r="M2098" s="10" t="n">
        <x:f>K2098*'Assumptions'!$V$72</x:f>
        <x:v>0</x:v>
      </x:c>
      <x:c r="N2098" s="10" t="n">
        <x:f>K2098-L2098-M2098</x:f>
        <x:v>12579.32035200585</x:v>
      </x:c>
      <x:c r="O2098" s="10" t="n">
        <x:f>H2098*'Assumptions'!$P$72*'Assumptions'!$Q$72*'Assumptions'!$D$11*(1+'Assumptions'!$D$13)^(17-1)</x:f>
        <x:v>2792.4971173551735</x:v>
      </x:c>
      <x:c r="P2098" s="10" t="n">
        <x:f>H2098*'Assumptions'!$R$72*'Assumptions'!$D$11*(1+'Assumptions'!$D$13)^(17-1)</x:f>
        <x:v>0</x:v>
      </x:c>
      <x:c r="Q2098" s="10" t="n">
        <x:f>J2098*'Assumptions'!$S$72</x:f>
        <x:v>0</x:v>
      </x:c>
      <x:c r="R2098" s="10" t="n">
        <x:f>H2098*'Assumptions'!$Y$72*'Assumptions'!$Z$72*'Assumptions'!$D$11*(1+'Assumptions'!$D$13)^(17-1)</x:f>
        <x:v>3590.3534365995088</x:v>
      </x:c>
      <x:c r="S2098" s="10" t="n">
        <x:f>IF(I2098=0,0,J2098*'Assumptions'!$W$72+H2098*'Assumptions'!$X$72)</x:f>
        <x:v>525.2420775307597</x:v>
      </x:c>
      <x:c r="T2098" s="10" t="n">
        <x:f>N2098*'Assumptions'!$AA$72</x:f>
        <x:v>628.9660176002926</x:v>
      </x:c>
      <x:c r="U2098" s="10" t="n">
        <x:f>'Assumptions'!$AE$72*'Assumptions'!$D$11*(1+'Assumptions'!$D$13)^(17-1)</x:f>
        <x:v>0</x:v>
      </x:c>
      <x:c r="V2098" s="10" t="n">
        <x:f>0</x:f>
        <x:v>0</x:v>
      </x:c>
      <x:c r="W2098" s="10" t="n">
        <x:f>H2098*('Assumptions'!$P$72+'Assumptions'!$Y$72)</x:f>
        <x:v>124.29942010022964</x:v>
      </x:c>
      <x:c r="X2098" s="10" t="n">
        <x:f>N2098/12*'Assumptions'!$AF$72</x:f>
        <x:v>0</x:v>
      </x:c>
      <x:c r="Y2098" s="10" t="n">
        <x:f>P2098/12</x:f>
        <x:v>0</x:v>
      </x:c>
      <x:c r="Z2098" s="10" t="n">
        <x:f>0</x:f>
        <x:v>0</x:v>
      </x:c>
      <x:c r="AA2098" s="10" t="n">
        <x:f>Z2098*'Assumptions'!$AC$72*'Assumptions'!$D$11*(1+'Assumptions'!$D$13)^(17-1)</x:f>
        <x:v>0</x:v>
      </x:c>
      <x:c r="AB2098" s="10" t="n">
        <x:f>F2098/12</x:f>
        <x:v>13.304059987339066</x:v>
      </x:c>
      <x:c r="AC2098" s="10" t="n">
        <x:f>AB2098/'Assumptions'!$AM$72</x:f>
        <x:v>266.0811997467813</x:v>
      </x:c>
      <x:c r="AD2098" s="10" t="n">
        <x:f>IF(AB2098=0,0,T2098/AB2098)</x:f>
        <x:v>47.27624636380579</x:v>
      </x:c>
      <x:c r="AE2098" s="10" t="n">
        <x:f>AA2098*'Assumptions'!$D$21</x:f>
        <x:v>0</x:v>
      </x:c>
    </x:row>
    <x:row r="2099" ht="16" customHeight="1">
      <x:c r="A2099" s="1"/>
      <x:c r="B2099" s="1"/>
      <x:c r="C2099" s="1" t="str">
        <x:v>DOT-044</x:v>
      </x:c>
      <x:c r="D2099" s="10" t="str">
        <x:v>Is Makes Travel Easy</x:v>
      </x:c>
      <x:c r="E2099" s="10" t="n">
        <x:v>17</x:v>
      </x:c>
      <x:c r="F2099" s="21" t="n">
        <x:f>F1971*(1+'Assumptions'!$M$73)</x:f>
        <x:v>65.12864325026256</x:v>
      </x:c>
      <x:c r="G2099" s="21" t="n">
        <x:f>H1971*'Assumptions'!$K$73</x:f>
        <x:v>33.52208788019779</x:v>
      </x:c>
      <x:c r="H2099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2099+G2099,NA())</x:f>
        <x:v>98.65073113046034</x:v>
      </x:c>
      <x:c r="I2099" s="22" t="n">
        <x:f>'Assumptions'!$H$73*IF('Assumptions'!$O$73=1,1,'Assumptions'!$D$10)*(1+'Assumptions'!$N$73)^(17-1)</x:f>
        <x:v>67.26649954944001</x:v>
      </x:c>
      <x:c r="J2099" s="10" t="n">
        <x:f>H2099*I2099</x:f>
        <x:v>6635.889361139039</x:v>
      </x:c>
      <x:c r="K2099" s="10" t="n">
        <x:f>J2099*'Assumptions'!$T$73</x:f>
        <x:v>6635.889361139039</x:v>
      </x:c>
      <x:c r="L2099" s="10" t="n">
        <x:f>K2099*'Assumptions'!$U$73</x:f>
        <x:v>199.07668083417116</x:v>
      </x:c>
      <x:c r="M2099" s="10" t="n">
        <x:f>K2099*'Assumptions'!$V$73</x:f>
        <x:v>0</x:v>
      </x:c>
      <x:c r="N2099" s="10" t="n">
        <x:f>K2099-L2099-M2099</x:f>
        <x:v>6436.812680304867</x:v>
      </x:c>
      <x:c r="O2099" s="10" t="n">
        <x:f>H2099*'Assumptions'!$P$73*'Assumptions'!$Q$73*'Assumptions'!$D$11*(1+'Assumptions'!$D$13)^(17-1)</x:f>
        <x:v>1385.1728053349636</x:v>
      </x:c>
      <x:c r="P2099" s="10" t="n">
        <x:f>H2099*'Assumptions'!$R$73*'Assumptions'!$D$11*(1+'Assumptions'!$D$13)^(17-1)</x:f>
        <x:v>0</x:v>
      </x:c>
      <x:c r="Q2099" s="10" t="n">
        <x:f>J2099*'Assumptions'!$S$73</x:f>
        <x:v>0</x:v>
      </x:c>
      <x:c r="R2099" s="10" t="n">
        <x:f>H2099*'Assumptions'!$Y$73*'Assumptions'!$Z$73*'Assumptions'!$D$11*(1+'Assumptions'!$D$13)^(17-1)</x:f>
        <x:v>2374.581952002795</x:v>
      </x:c>
      <x:c r="S2099" s="10" t="n">
        <x:f>IF(I2099=0,0,J2099*'Assumptions'!$W$73+H2099*'Assumptions'!$X$73)</x:f>
        <x:v>222.03601081217025</x:v>
      </x:c>
      <x:c r="T2099" s="10" t="n">
        <x:f>N2099*'Assumptions'!$AA$73</x:f>
        <x:v>514.9450144243893</x:v>
      </x:c>
      <x:c r="U2099" s="10" t="n">
        <x:f>'Assumptions'!$AE$73*'Assumptions'!$D$11*(1+'Assumptions'!$D$13)^(17-1)</x:f>
        <x:v>0</x:v>
      </x:c>
      <x:c r="V2099" s="10" t="n">
        <x:f>0</x:f>
        <x:v>0</x:v>
      </x:c>
      <x:c r="W2099" s="10" t="n">
        <x:f>H2099*('Assumptions'!$P$73+'Assumptions'!$Y$73)</x:f>
        <x:v>73.98804834784525</x:v>
      </x:c>
      <x:c r="X2099" s="10" t="n">
        <x:f>N2099/12*'Assumptions'!$AF$73</x:f>
        <x:v>536.4010566920723</x:v>
      </x:c>
      <x:c r="Y2099" s="10" t="n">
        <x:f>P2099/12</x:f>
        <x:v>0</x:v>
      </x:c>
      <x:c r="Z2099" s="10" t="n">
        <x:f>0</x:f>
        <x:v>0</x:v>
      </x:c>
      <x:c r="AA2099" s="10" t="n">
        <x:f>Z2099*'Assumptions'!$AC$73*'Assumptions'!$D$11*(1+'Assumptions'!$D$13)^(17-1)</x:f>
        <x:v>0</x:v>
      </x:c>
      <x:c r="AB2099" s="10" t="n">
        <x:f>F2099/1</x:f>
        <x:v>65.12864325026256</x:v>
      </x:c>
      <x:c r="AC2099" s="10" t="n">
        <x:f>AB2099/'Assumptions'!$AM$73</x:f>
        <x:v>651.2864325026255</x:v>
      </x:c>
      <x:c r="AD2099" s="10" t="n">
        <x:f>IF(AB2099=0,0,T2099/AB2099)</x:f>
        <x:v>7.9065828601045425</x:v>
      </x:c>
      <x:c r="AE2099" s="10" t="n">
        <x:f>AA2099*'Assumptions'!$D$21</x:f>
        <x:v>0</x:v>
      </x:c>
    </x:row>
    <x:row r="2100" ht="16" customHeight="1">
      <x:c r="A2100" s="1"/>
      <x:c r="B2100" s="1"/>
      <x:c r="C2100" s="1" t="str">
        <x:v>DOT-045</x:v>
      </x:c>
      <x:c r="D2100" s="10" t="str">
        <x:v>Is Makes Travel Easy</x:v>
      </x:c>
      <x:c r="E2100" s="10" t="n">
        <x:v>17</x:v>
      </x:c>
      <x:c r="F2100" s="21" t="n">
        <x:f>F1972*(1+'Assumptions'!$M$74)</x:f>
        <x:v>212.86495979742512</x:v>
      </x:c>
      <x:c r="G2100" s="21" t="n">
        <x:f>H1972*'Assumptions'!$K$74</x:f>
        <x:v>450.0652807371332</x:v>
      </x:c>
      <x:c r="H2100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2100+G2100,NA())</x:f>
        <x:v>662.9302405345584</x:v>
      </x:c>
      <x:c r="I2100" s="22" t="n">
        <x:f>'Assumptions'!$H$74*IF('Assumptions'!$O$74=1,1,'Assumptions'!$D$10)*(1+'Assumptions'!$N$74)^(17-1)</x:f>
        <x:v>205.91785576359186</x:v>
      </x:c>
      <x:c r="J2100" s="10" t="n">
        <x:f>H2100*I2100</x:f>
        <x:v>136509.17365171845</x:v>
      </x:c>
      <x:c r="K2100" s="10" t="n">
        <x:f>J2100*'Assumptions'!$T$74</x:f>
        <x:v>13650.917365171845</x:v>
      </x:c>
      <x:c r="L2100" s="10" t="n">
        <x:f>K2100*'Assumptions'!$U$74</x:f>
        <x:v>409.52752095515535</x:v>
      </x:c>
      <x:c r="M2100" s="10" t="n">
        <x:f>K2100*'Assumptions'!$V$74</x:f>
        <x:v>0</x:v>
      </x:c>
      <x:c r="N2100" s="10" t="n">
        <x:f>K2100-L2100-M2100</x:f>
        <x:v>13241.38984421669</x:v>
      </x:c>
      <x:c r="O2100" s="10" t="n">
        <x:f>H2100*'Assumptions'!$P$74*'Assumptions'!$Q$74*'Assumptions'!$D$11*(1+'Assumptions'!$D$13)^(17-1)</x:f>
        <x:v>3723.3294898069</x:v>
      </x:c>
      <x:c r="P2100" s="10" t="n">
        <x:f>H2100*'Assumptions'!$R$74*'Assumptions'!$D$11*(1+'Assumptions'!$D$13)^(17-1)</x:f>
        <x:v>0</x:v>
      </x:c>
      <x:c r="Q2100" s="10" t="n">
        <x:f>J2100*'Assumptions'!$S$74</x:f>
        <x:v>0</x:v>
      </x:c>
      <x:c r="R2100" s="10" t="n">
        <x:f>H2100*'Assumptions'!$Y$74*'Assumptions'!$Z$74*'Assumptions'!$D$11*(1+'Assumptions'!$D$13)^(17-1)</x:f>
        <x:v>4787.137915466014</x:v>
      </x:c>
      <x:c r="S2100" s="10" t="n">
        <x:f>IF(I2100=0,0,J2100*'Assumptions'!$W$74+H2100*'Assumptions'!$X$74)</x:f>
        <x:v>4157.645108060203</x:v>
      </x:c>
      <x:c r="T2100" s="10" t="n">
        <x:f>N2100*'Assumptions'!$AA$74</x:f>
        <x:v>662.0694922108346</x:v>
      </x:c>
      <x:c r="U2100" s="10" t="n">
        <x:f>'Assumptions'!$AE$74*'Assumptions'!$D$11*(1+'Assumptions'!$D$13)^(17-1)</x:f>
        <x:v>0</x:v>
      </x:c>
      <x:c r="V2100" s="10" t="n">
        <x:f>0</x:f>
        <x:v>0</x:v>
      </x:c>
      <x:c r="W2100" s="10" t="n">
        <x:f>H2100*('Assumptions'!$P$74+'Assumptions'!$Y$74)</x:f>
        <x:v>165.7325601336396</x:v>
      </x:c>
      <x:c r="X2100" s="10" t="n">
        <x:f>N2100/12*'Assumptions'!$AF$74</x:f>
        <x:v>0</x:v>
      </x:c>
      <x:c r="Y2100" s="10" t="n">
        <x:f>P2100/12</x:f>
        <x:v>0</x:v>
      </x:c>
      <x:c r="Z2100" s="10" t="n">
        <x:f>0</x:f>
        <x:v>0</x:v>
      </x:c>
      <x:c r="AA2100" s="10" t="n">
        <x:f>Z2100*'Assumptions'!$AC$74*'Assumptions'!$D$11*(1+'Assumptions'!$D$13)^(17-1)</x:f>
        <x:v>0</x:v>
      </x:c>
      <x:c r="AB2100" s="10" t="n">
        <x:f>F2100/1</x:f>
        <x:v>212.86495979742512</x:v>
      </x:c>
      <x:c r="AC2100" s="10" t="n">
        <x:f>AB2100/'Assumptions'!$AM$74</x:f>
        <x:v>4257.299195948502</x:v>
      </x:c>
      <x:c r="AD2100" s="10" t="n">
        <x:f>IF(AB2100=0,0,T2100/AB2100)</x:f>
        <x:v>3.110279366039855</x:v>
      </x:c>
      <x:c r="AE2100" s="10" t="n">
        <x:f>AA2100*'Assumptions'!$D$21</x:f>
        <x:v>0</x:v>
      </x:c>
    </x:row>
    <x:row r="2101" ht="16" customHeight="1">
      <x:c r="A2101" s="1"/>
      <x:c r="B2101" s="1"/>
      <x:c r="C2101" s="1" t="str">
        <x:v>DOT-046</x:v>
      </x:c>
      <x:c r="D2101" s="10" t="str">
        <x:v>Turbo Tax - Made Easy!</x:v>
      </x:c>
      <x:c r="E2101" s="10" t="n">
        <x:v>17</x:v>
      </x:c>
      <x:c r="F2101" s="21" t="n">
        <x:f>F1973*(1+'Assumptions'!$M$75)</x:f>
        <x:v>561.0745579723898</x:v>
      </x:c>
      <x:c r="G2101" s="21" t="n">
        <x:f>H1973*'Assumptions'!$K$75</x:f>
        <x:v>179.83158808259032</x:v>
      </x:c>
      <x:c r="H2101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2101+G2101,NA())</x:f>
        <x:v>740.9061460549801</x:v>
      </x:c>
      <x:c r="I2101" s="22" t="n">
        <x:f>'Assumptions'!$H$75*IF('Assumptions'!$O$75=1,1,'Assumptions'!$D$10)*(1+'Assumptions'!$N$75)^(17-1)</x:f>
        <x:v>149</x:v>
      </x:c>
      <x:c r="J2101" s="10" t="n">
        <x:f>H2101*I2101</x:f>
        <x:v>110395.01576219204</x:v>
      </x:c>
      <x:c r="K2101" s="10" t="n">
        <x:f>J2101*'Assumptions'!$T$75</x:f>
        <x:v>110395.01576219204</x:v>
      </x:c>
      <x:c r="L2101" s="10" t="n">
        <x:f>K2101*'Assumptions'!$U$75</x:f>
        <x:v>3311.850472865761</x:v>
      </x:c>
      <x:c r="M2101" s="10" t="n">
        <x:f>K2101*'Assumptions'!$V$75</x:f>
        <x:v>0</x:v>
      </x:c>
      <x:c r="N2101" s="10" t="n">
        <x:f>K2101-L2101-M2101</x:f>
        <x:v>107083.16528932628</x:v>
      </x:c>
      <x:c r="O2101" s="10" t="n">
        <x:f>H2101*'Assumptions'!$P$75*'Assumptions'!$Q$75*'Assumptions'!$D$11*(1+'Assumptions'!$D$13)^(17-1)</x:f>
        <x:v>6241.918532547043</x:v>
      </x:c>
      <x:c r="P2101" s="10" t="n">
        <x:f>H2101*'Assumptions'!$R$75*'Assumptions'!$D$11*(1+'Assumptions'!$D$13)^(17-1)</x:f>
        <x:v>0</x:v>
      </x:c>
      <x:c r="Q2101" s="10" t="n">
        <x:f>J2101*'Assumptions'!$S$75</x:f>
        <x:v>0</x:v>
      </x:c>
      <x:c r="R2101" s="10" t="n">
        <x:f>H2101*'Assumptions'!$Y$75*'Assumptions'!$Z$75*'Assumptions'!$D$11*(1+'Assumptions'!$D$13)^(17-1)</x:f>
        <x:v>3566.8105900268815</x:v>
      </x:c>
      <x:c r="S2101" s="10" t="n">
        <x:f>IF(I2101=0,0,J2101*'Assumptions'!$W$75+H2101*'Assumptions'!$X$75)</x:f>
        <x:v>3423.727300920063</x:v>
      </x:c>
      <x:c r="T2101" s="10" t="n">
        <x:f>N2101*'Assumptions'!$AA$75</x:f>
        <x:v>5354.158264466314</x:v>
      </x:c>
      <x:c r="U2101" s="10" t="n">
        <x:f>'Assumptions'!$AE$75*'Assumptions'!$D$11*(1+'Assumptions'!$D$13)^(17-1)</x:f>
        <x:v>0</x:v>
      </x:c>
      <x:c r="V2101" s="10" t="n">
        <x:f>0</x:f>
        <x:v>0</x:v>
      </x:c>
      <x:c r="W2101" s="10" t="n">
        <x:f>H2101*('Assumptions'!$P$75+'Assumptions'!$Y$75)</x:f>
        <x:v>185.22653651374503</x:v>
      </x:c>
      <x:c r="X2101" s="10" t="n">
        <x:f>N2101/12*'Assumptions'!$AF$75</x:f>
        <x:v>0</x:v>
      </x:c>
      <x:c r="Y2101" s="10" t="n">
        <x:f>P2101/12</x:f>
        <x:v>0</x:v>
      </x:c>
      <x:c r="Z2101" s="10" t="n">
        <x:f>0</x:f>
        <x:v>0</x:v>
      </x:c>
      <x:c r="AA2101" s="10" t="n">
        <x:f>Z2101*'Assumptions'!$AC$75*'Assumptions'!$D$11*(1+'Assumptions'!$D$13)^(17-1)</x:f>
        <x:v>0</x:v>
      </x:c>
      <x:c r="AB2101" s="10" t="n">
        <x:f>F2101/1</x:f>
        <x:v>561.0745579723898</x:v>
      </x:c>
      <x:c r="AC2101" s="10" t="n">
        <x:f>AB2101/'Assumptions'!$AM$75</x:f>
        <x:v>11221.491159447796</x:v>
      </x:c>
      <x:c r="AD2101" s="10" t="n">
        <x:f>IF(AB2101=0,0,T2101/AB2101)</x:f>
        <x:v>9.542685884412869</x:v>
      </x:c>
      <x:c r="AE2101" s="10" t="n">
        <x:f>AA2101*'Assumptions'!$D$21</x:f>
        <x:v>0</x:v>
      </x:c>
    </x:row>
    <x:row r="2102" ht="16" customHeight="1">
      <x:c r="A2102" s="1"/>
      <x:c r="B2102" s="1"/>
      <x:c r="C2102" s="1" t="str">
        <x:v>DOT-047</x:v>
      </x:c>
      <x:c r="D2102" s="10" t="str">
        <x:v>LavaLearning adult</x:v>
      </x:c>
      <x:c r="E2102" s="10" t="n">
        <x:v>17</x:v>
      </x:c>
      <x:c r="F2102" s="21" t="n">
        <x:f>F1974*(1+'Assumptions'!$M$76)</x:f>
        <x:v>374.0497053149265</x:v>
      </x:c>
      <x:c r="G2102" s="21" t="n">
        <x:f>H1974*'Assumptions'!$K$76</x:f>
        <x:v>119.88772538451299</x:v>
      </x:c>
      <x:c r="H2102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2102+G2102,NA())</x:f>
        <x:v>493.93743069943946</x:v>
      </x:c>
      <x:c r="I2102" s="22" t="n">
        <x:f>'Assumptions'!$H$76*IF('Assumptions'!$O$76=1,1,'Assumptions'!$D$10)*(1+'Assumptions'!$N$76)^(17-1)</x:f>
        <x:v>79</x:v>
      </x:c>
      <x:c r="J2102" s="10" t="n">
        <x:f>H2102*I2102</x:f>
        <x:v>39021.057025255715</x:v>
      </x:c>
      <x:c r="K2102" s="10" t="n">
        <x:f>J2102*'Assumptions'!$T$76</x:f>
        <x:v>39021.057025255715</x:v>
      </x:c>
      <x:c r="L2102" s="10" t="n">
        <x:f>K2102*'Assumptions'!$U$76</x:f>
        <x:v>1170.6317107576715</x:v>
      </x:c>
      <x:c r="M2102" s="10" t="n">
        <x:f>K2102*'Assumptions'!$V$76</x:f>
        <x:v>0</x:v>
      </x:c>
      <x:c r="N2102" s="10" t="n">
        <x:f>K2102-L2102-M2102</x:f>
        <x:v>37850.42531449805</x:v>
      </x:c>
      <x:c r="O2102" s="10" t="n">
        <x:f>H2102*'Assumptions'!$P$76*'Assumptions'!$Q$76*'Assumptions'!$D$11*(1+'Assumptions'!$D$13)^(17-1)</x:f>
        <x:v>4161.279021665335</x:v>
      </x:c>
      <x:c r="P2102" s="10" t="n">
        <x:f>H2102*'Assumptions'!$R$76*'Assumptions'!$D$11*(1+'Assumptions'!$D$13)^(17-1)</x:f>
        <x:v>0</x:v>
      </x:c>
      <x:c r="Q2102" s="10" t="n">
        <x:f>J2102*'Assumptions'!$S$76</x:f>
        <x:v>0</x:v>
      </x:c>
      <x:c r="R2102" s="10" t="n">
        <x:f>H2102*'Assumptions'!$Y$76*'Assumptions'!$Z$76*'Assumptions'!$D$11*(1+'Assumptions'!$D$13)^(17-1)</x:f>
        <x:v>2377.873726665906</x:v>
      </x:c>
      <x:c r="S2102" s="10" t="n">
        <x:f>IF(I2102=0,0,J2102*'Assumptions'!$W$76+H2102*'Assumptions'!$X$76)</x:f>
        <x:v>1279.7918829422476</x:v>
      </x:c>
      <x:c r="T2102" s="10" t="n">
        <x:f>N2102*'Assumptions'!$AA$76</x:f>
        <x:v>1892.5212657249024</x:v>
      </x:c>
      <x:c r="U2102" s="10" t="n">
        <x:f>'Assumptions'!$AE$76*'Assumptions'!$D$11*(1+'Assumptions'!$D$13)^(17-1)</x:f>
        <x:v>0</x:v>
      </x:c>
      <x:c r="V2102" s="10" t="n">
        <x:f>0</x:f>
        <x:v>0</x:v>
      </x:c>
      <x:c r="W2102" s="10" t="n">
        <x:f>H2102*('Assumptions'!$P$76+'Assumptions'!$Y$76)</x:f>
        <x:v>123.48435767485987</x:v>
      </x:c>
      <x:c r="X2102" s="10" t="n">
        <x:f>N2102/12*'Assumptions'!$AF$76</x:f>
        <x:v>0</x:v>
      </x:c>
      <x:c r="Y2102" s="10" t="n">
        <x:f>P2102/12</x:f>
        <x:v>0</x:v>
      </x:c>
      <x:c r="Z2102" s="10" t="n">
        <x:f>0</x:f>
        <x:v>0</x:v>
      </x:c>
      <x:c r="AA2102" s="10" t="n">
        <x:f>Z2102*'Assumptions'!$AC$76*'Assumptions'!$D$11*(1+'Assumptions'!$D$13)^(17-1)</x:f>
        <x:v>0</x:v>
      </x:c>
      <x:c r="AB2102" s="10" t="n">
        <x:f>F2102/1</x:f>
        <x:v>374.0497053149265</x:v>
      </x:c>
      <x:c r="AC2102" s="10" t="n">
        <x:f>AB2102/'Assumptions'!$AM$76</x:f>
        <x:v>7480.994106298529</x:v>
      </x:c>
      <x:c r="AD2102" s="10" t="n">
        <x:f>IF(AB2102=0,0,T2102/AB2102)</x:f>
        <x:v>5.059544864850295</x:v>
      </x:c>
      <x:c r="AE2102" s="10" t="n">
        <x:f>AA2102*'Assumptions'!$D$21</x:f>
        <x:v>0</x:v>
      </x:c>
    </x:row>
    <x:row r="2103" ht="16" customHeight="1">
      <x:c r="A2103" s="1"/>
      <x:c r="B2103" s="1"/>
      <x:c r="C2103" s="1" t="str">
        <x:v>DOT-048</x:v>
      </x:c>
      <x:c r="D2103" s="10" t="str">
        <x:v>Turbo Tax - Made Easy!</x:v>
      </x:c>
      <x:c r="E2103" s="10" t="n">
        <x:v>17</x:v>
      </x:c>
      <x:c r="F2103" s="21" t="n">
        <x:f>F1975*(1+'Assumptions'!$M$77)</x:f>
        <x:v>1122.1491159447796</x:v>
      </x:c>
      <x:c r="G2103" s="21" t="n">
        <x:f>H1975*'Assumptions'!$K$77</x:f>
        <x:v>359.66317616518063</x:v>
      </x:c>
      <x:c r="H2103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2103+G2103,NA())</x:f>
        <x:v>1481.8122921099603</x:v>
      </x:c>
      <x:c r="I2103" s="22" t="n">
        <x:f>'Assumptions'!$H$77*IF('Assumptions'!$O$77=1,1,'Assumptions'!$D$10)*(1+'Assumptions'!$N$77)^(17-1)</x:f>
        <x:v>26.082928396721638</x:v>
      </x:c>
      <x:c r="J2103" s="10" t="n">
        <x:f>H2103*I2103</x:f>
        <x:v>38650.00391248606</x:v>
      </x:c>
      <x:c r="K2103" s="10" t="n">
        <x:f>J2103*'Assumptions'!$T$77</x:f>
        <x:v>38650.00391248606</x:v>
      </x:c>
      <x:c r="L2103" s="10" t="n">
        <x:f>K2103*'Assumptions'!$U$77</x:f>
        <x:v>1159.5001173745818</x:v>
      </x:c>
      <x:c r="M2103" s="10" t="n">
        <x:f>K2103*'Assumptions'!$V$77</x:f>
        <x:v>0</x:v>
      </x:c>
      <x:c r="N2103" s="10" t="n">
        <x:f>K2103-L2103-M2103</x:f>
        <x:v>37490.50379511148</x:v>
      </x:c>
      <x:c r="O2103" s="10" t="n">
        <x:f>H2103*'Assumptions'!$P$77*'Assumptions'!$Q$77*'Assumptions'!$D$11*(1+'Assumptions'!$D$13)^(17-1)</x:f>
        <x:v>12483.837065094085</x:v>
      </x:c>
      <x:c r="P2103" s="10" t="n">
        <x:f>H2103*'Assumptions'!$R$77*'Assumptions'!$D$11*(1+'Assumptions'!$D$13)^(17-1)</x:f>
        <x:v>0</x:v>
      </x:c>
      <x:c r="Q2103" s="10" t="n">
        <x:f>J2103*'Assumptions'!$S$77</x:f>
        <x:v>0</x:v>
      </x:c>
      <x:c r="R2103" s="10" t="n">
        <x:f>H2103*'Assumptions'!$Y$77*'Assumptions'!$Z$77*'Assumptions'!$D$11*(1+'Assumptions'!$D$13)^(17-1)</x:f>
        <x:v>7133.621180053763</x:v>
      </x:c>
      <x:c r="S2103" s="10" t="n">
        <x:f>IF(I2103=0,0,J2103*'Assumptions'!$W$77+H2103*'Assumptions'!$X$77)</x:f>
        <x:v>1565.3938010950837</x:v>
      </x:c>
      <x:c r="T2103" s="10" t="n">
        <x:f>N2103*'Assumptions'!$AA$77</x:f>
        <x:v>1874.525189755574</x:v>
      </x:c>
      <x:c r="U2103" s="10" t="n">
        <x:f>'Assumptions'!$AE$77*'Assumptions'!$D$11*(1+'Assumptions'!$D$13)^(17-1)</x:f>
        <x:v>0</x:v>
      </x:c>
      <x:c r="V2103" s="10" t="n">
        <x:f>0</x:f>
        <x:v>0</x:v>
      </x:c>
      <x:c r="W2103" s="10" t="n">
        <x:f>H2103*('Assumptions'!$P$77+'Assumptions'!$Y$77)</x:f>
        <x:v>370.45307302749006</x:v>
      </x:c>
      <x:c r="X2103" s="10" t="n">
        <x:f>N2103/12*'Assumptions'!$AF$77</x:f>
        <x:v>0</x:v>
      </x:c>
      <x:c r="Y2103" s="10" t="n">
        <x:f>P2103/12</x:f>
        <x:v>0</x:v>
      </x:c>
      <x:c r="Z2103" s="10" t="n">
        <x:f>0</x:f>
        <x:v>0</x:v>
      </x:c>
      <x:c r="AA2103" s="10" t="n">
        <x:f>Z2103*'Assumptions'!$AC$77*'Assumptions'!$D$11*(1+'Assumptions'!$D$13)^(17-1)</x:f>
        <x:v>0</x:v>
      </x:c>
      <x:c r="AB2103" s="10" t="n">
        <x:f>F2103/1</x:f>
        <x:v>1122.1491159447796</x:v>
      </x:c>
      <x:c r="AC2103" s="10" t="n">
        <x:f>AB2103/'Assumptions'!$AM$77</x:f>
        <x:v>22442.982318895592</x:v>
      </x:c>
      <x:c r="AD2103" s="10" t="n">
        <x:f>IF(AB2103=0,0,T2103/AB2103)</x:f>
        <x:v>1.6704778029231353</x:v>
      </x:c>
      <x:c r="AE2103" s="10" t="n">
        <x:f>AA2103*'Assumptions'!$D$21</x:f>
        <x:v>0</x:v>
      </x:c>
    </x:row>
    <x:row r="2104" ht="16" customHeight="1">
      <x:c r="A2104" s="1"/>
      <x:c r="B2104" s="1"/>
      <x:c r="C2104" s="1" t="str">
        <x:v>DOT-049</x:v>
      </x:c>
      <x:c r="D2104" s="10" t="str">
        <x:v>Turbo Tax - Made Easy!</x:v>
      </x:c>
      <x:c r="E2104" s="10" t="n">
        <x:v>17</x:v>
      </x:c>
      <x:c r="F2104" s="21" t="n">
        <x:f>F1976*(1+'Assumptions'!$M$78)</x:f>
        <x:v>374.0497053149265</x:v>
      </x:c>
      <x:c r="G2104" s="21" t="n">
        <x:f>H1976*'Assumptions'!$K$78</x:f>
        <x:v>119.88772537287146</x:v>
      </x:c>
      <x:c r="H2104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2104+G2104,NA())</x:f>
        <x:v>493.9374306877979</x:v>
      </x:c>
      <x:c r="I2104" s="22" t="n">
        <x:f>'Assumptions'!$H$78*IF('Assumptions'!$O$78=1,1,'Assumptions'!$D$10)*(1+'Assumptions'!$N$78)^(17-1)</x:f>
        <x:v>26.082928396721638</x:v>
      </x:c>
      <x:c r="J2104" s="10" t="n">
        <x:f>H2104*I2104</x:f>
        <x:v>12883.334637090491</x:v>
      </x:c>
      <x:c r="K2104" s="10" t="n">
        <x:f>J2104*'Assumptions'!$T$78</x:f>
        <x:v>12883.334637090491</x:v>
      </x:c>
      <x:c r="L2104" s="10" t="n">
        <x:f>K2104*'Assumptions'!$U$78</x:f>
        <x:v>386.5000391127147</x:v>
      </x:c>
      <x:c r="M2104" s="10" t="n">
        <x:f>K2104*'Assumptions'!$V$78</x:f>
        <x:v>0</x:v>
      </x:c>
      <x:c r="N2104" s="10" t="n">
        <x:f>K2104-L2104-M2104</x:f>
        <x:v>12496.834597977777</x:v>
      </x:c>
      <x:c r="O2104" s="10" t="n">
        <x:f>H2104*'Assumptions'!$P$78*'Assumptions'!$Q$78*'Assumptions'!$D$11*(1+'Assumptions'!$D$13)^(17-1)</x:f>
        <x:v>4161.2790215672585</x:v>
      </x:c>
      <x:c r="P2104" s="10" t="n">
        <x:f>H2104*'Assumptions'!$R$78*'Assumptions'!$D$11*(1+'Assumptions'!$D$13)^(17-1)</x:f>
        <x:v>0</x:v>
      </x:c>
      <x:c r="Q2104" s="10" t="n">
        <x:f>J2104*'Assumptions'!$S$78</x:f>
        <x:v>0</x:v>
      </x:c>
      <x:c r="R2104" s="10" t="n">
        <x:f>H2104*'Assumptions'!$Y$78*'Assumptions'!$Z$78*'Assumptions'!$D$11*(1+'Assumptions'!$D$13)^(17-1)</x:f>
        <x:v>2377.8737266098624</x:v>
      </x:c>
      <x:c r="S2104" s="10" t="n">
        <x:f>IF(I2104=0,0,J2104*'Assumptions'!$W$78+H2104*'Assumptions'!$X$78)</x:f>
        <x:v>521.7979336819636</x:v>
      </x:c>
      <x:c r="T2104" s="10" t="n">
        <x:f>N2104*'Assumptions'!$AA$78</x:f>
        <x:v>624.8417298988888</x:v>
      </x:c>
      <x:c r="U2104" s="10" t="n">
        <x:f>'Assumptions'!$AE$78*'Assumptions'!$D$11*(1+'Assumptions'!$D$13)^(17-1)</x:f>
        <x:v>0</x:v>
      </x:c>
      <x:c r="V2104" s="10" t="n">
        <x:f>0</x:f>
        <x:v>0</x:v>
      </x:c>
      <x:c r="W2104" s="10" t="n">
        <x:f>H2104*('Assumptions'!$P$78+'Assumptions'!$Y$78)</x:f>
        <x:v>123.48435767194948</x:v>
      </x:c>
      <x:c r="X2104" s="10" t="n">
        <x:f>N2104/12*'Assumptions'!$AF$78</x:f>
        <x:v>0</x:v>
      </x:c>
      <x:c r="Y2104" s="10" t="n">
        <x:f>P2104/12</x:f>
        <x:v>0</x:v>
      </x:c>
      <x:c r="Z2104" s="10" t="n">
        <x:f>0</x:f>
        <x:v>0</x:v>
      </x:c>
      <x:c r="AA2104" s="10" t="n">
        <x:f>Z2104*'Assumptions'!$AC$78*'Assumptions'!$D$11*(1+'Assumptions'!$D$13)^(17-1)</x:f>
        <x:v>0</x:v>
      </x:c>
      <x:c r="AB2104" s="10" t="n">
        <x:f>F2104/1</x:f>
        <x:v>374.0497053149265</x:v>
      </x:c>
      <x:c r="AC2104" s="10" t="n">
        <x:f>AB2104/'Assumptions'!$AM$78</x:f>
        <x:v>7480.994106298529</x:v>
      </x:c>
      <x:c r="AD2104" s="10" t="n">
        <x:f>IF(AB2104=0,0,T2104/AB2104)</x:f>
        <x:v>1.6704778028706402</x:v>
      </x:c>
      <x:c r="AE2104" s="10" t="n">
        <x:f>AA2104*'Assumptions'!$D$21</x:f>
        <x:v>0</x:v>
      </x:c>
    </x:row>
    <x:row r="2105" ht="16" customHeight="1">
      <x:c r="A2105" s="1"/>
      <x:c r="B2105" s="1"/>
      <x:c r="C2105" s="1" t="str">
        <x:v>DOT-050</x:v>
      </x:c>
      <x:c r="D2105" s="10" t="str">
        <x:v>LavaLearning adult</x:v>
      </x:c>
      <x:c r="E2105" s="10" t="n">
        <x:v>17</x:v>
      </x:c>
      <x:c r="F2105" s="21" t="n">
        <x:f>F1977*(1+'Assumptions'!$M$79)</x:f>
        <x:v>1122.1491159447796</x:v>
      </x:c>
      <x:c r="G2105" s="21" t="n">
        <x:f>H1977*'Assumptions'!$K$79</x:f>
        <x:v>359.6631761535391</x:v>
      </x:c>
      <x:c r="H2105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2105+G2105,NA())</x:f>
        <x:v>1481.8122920983187</x:v>
      </x:c>
      <x:c r="I2105" s="22" t="n">
        <x:f>'Assumptions'!$H$79*IF('Assumptions'!$O$79=1,1,'Assumptions'!$D$10)*(1+'Assumptions'!$N$79)^(17-1)</x:f>
        <x:v>26.082928396721638</x:v>
      </x:c>
      <x:c r="J2105" s="10" t="n">
        <x:f>H2105*I2105</x:f>
        <x:v>38650.003912182416</x:v>
      </x:c>
      <x:c r="K2105" s="10" t="n">
        <x:f>J2105*'Assumptions'!$T$79</x:f>
        <x:v>38650.003912182416</x:v>
      </x:c>
      <x:c r="L2105" s="10" t="n">
        <x:f>K2105*'Assumptions'!$U$79</x:f>
        <x:v>1159.5001173654725</x:v>
      </x:c>
      <x:c r="M2105" s="10" t="n">
        <x:f>K2105*'Assumptions'!$V$79</x:f>
        <x:v>0</x:v>
      </x:c>
      <x:c r="N2105" s="10" t="n">
        <x:f>K2105-L2105-M2105</x:f>
        <x:v>37490.50379481694</x:v>
      </x:c>
      <x:c r="O2105" s="10" t="n">
        <x:f>H2105*'Assumptions'!$P$79*'Assumptions'!$Q$79*'Assumptions'!$D$11*(1+'Assumptions'!$D$13)^(17-1)</x:f>
        <x:v>12483.837064996009</x:v>
      </x:c>
      <x:c r="P2105" s="10" t="n">
        <x:f>H2105*'Assumptions'!$R$79*'Assumptions'!$D$11*(1+'Assumptions'!$D$13)^(17-1)</x:f>
        <x:v>0</x:v>
      </x:c>
      <x:c r="Q2105" s="10" t="n">
        <x:f>J2105*'Assumptions'!$S$79</x:f>
        <x:v>0</x:v>
      </x:c>
      <x:c r="R2105" s="10" t="n">
        <x:f>H2105*'Assumptions'!$Y$79*'Assumptions'!$Z$79*'Assumptions'!$D$11*(1+'Assumptions'!$D$13)^(17-1)</x:f>
        <x:v>7133.621179997719</x:v>
      </x:c>
      <x:c r="S2105" s="10" t="n">
        <x:f>IF(I2105=0,0,J2105*'Assumptions'!$W$79+H2105*'Assumptions'!$X$79)</x:f>
        <x:v>1565.3938010827856</x:v>
      </x:c>
      <x:c r="T2105" s="10" t="n">
        <x:f>N2105*'Assumptions'!$AA$79</x:f>
        <x:v>1874.525189740847</x:v>
      </x:c>
      <x:c r="U2105" s="10" t="n">
        <x:f>'Assumptions'!$AE$79*'Assumptions'!$D$11*(1+'Assumptions'!$D$13)^(17-1)</x:f>
        <x:v>0</x:v>
      </x:c>
      <x:c r="V2105" s="10" t="n">
        <x:f>0</x:f>
        <x:v>0</x:v>
      </x:c>
      <x:c r="W2105" s="10" t="n">
        <x:f>H2105*('Assumptions'!$P$79+'Assumptions'!$Y$79)</x:f>
        <x:v>370.4530730245797</x:v>
      </x:c>
      <x:c r="X2105" s="10" t="n">
        <x:f>N2105/12*'Assumptions'!$AF$79</x:f>
        <x:v>0</x:v>
      </x:c>
      <x:c r="Y2105" s="10" t="n">
        <x:f>P2105/12</x:f>
        <x:v>0</x:v>
      </x:c>
      <x:c r="Z2105" s="10" t="n">
        <x:f>0</x:f>
        <x:v>0</x:v>
      </x:c>
      <x:c r="AA2105" s="10" t="n">
        <x:f>Z2105*'Assumptions'!$AC$79*'Assumptions'!$D$11*(1+'Assumptions'!$D$13)^(17-1)</x:f>
        <x:v>0</x:v>
      </x:c>
      <x:c r="AB2105" s="10" t="n">
        <x:f>F2105/1</x:f>
        <x:v>1122.1491159447796</x:v>
      </x:c>
      <x:c r="AC2105" s="10" t="n">
        <x:f>AB2105/'Assumptions'!$AM$79</x:f>
        <x:v>22442.982318895592</x:v>
      </x:c>
      <x:c r="AD2105" s="10" t="n">
        <x:f>IF(AB2105=0,0,T2105/AB2105)</x:f>
        <x:v>1.6704778029100114</x:v>
      </x:c>
      <x:c r="AE2105" s="10" t="n">
        <x:f>AA2105*'Assumptions'!$D$21</x:f>
        <x:v>0</x:v>
      </x:c>
    </x:row>
    <x:row r="2106" ht="16" customHeight="1">
      <x:c r="A2106" s="1"/>
      <x:c r="B2106" s="1"/>
      <x:c r="C2106" s="1" t="str">
        <x:v>DOT-051</x:v>
      </x:c>
      <x:c r="D2106" s="10" t="str">
        <x:v>LavaLearning adult</x:v>
      </x:c>
      <x:c r="E2106" s="10" t="n">
        <x:v>17</x:v>
      </x:c>
      <x:c r="F2106" s="21" t="n">
        <x:f>F1978*(1+'Assumptions'!$M$80)</x:f>
        <x:v>224.4298231889559</x:v>
      </x:c>
      <x:c r="G2106" s="21" t="n">
        <x:f>H1978*'Assumptions'!$K$80</x:f>
        <x:v>71.93263522372288</x:v>
      </x:c>
      <x:c r="H2106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2106+G2106,NA())</x:f>
        <x:v>296.3624584126788</x:v>
      </x:c>
      <x:c r="I2106" s="22" t="n">
        <x:f>'Assumptions'!$H$80*IF('Assumptions'!$O$80=1,1,'Assumptions'!$D$10)*(1+'Assumptions'!$N$80)^(17-1)</x:f>
        <x:v>39.810785447627765</x:v>
      </x:c>
      <x:c r="J2106" s="10" t="n">
        <x:f>H2106*I2106</x:f>
        <x:v>11798.422246598662</x:v>
      </x:c>
      <x:c r="K2106" s="10" t="n">
        <x:f>J2106*'Assumptions'!$T$80</x:f>
        <x:v>11798.422246598662</x:v>
      </x:c>
      <x:c r="L2106" s="10" t="n">
        <x:f>K2106*'Assumptions'!$U$80</x:f>
        <x:v>353.95266739795983</x:v>
      </x:c>
      <x:c r="M2106" s="10" t="n">
        <x:f>K2106*'Assumptions'!$V$80</x:f>
        <x:v>0</x:v>
      </x:c>
      <x:c r="N2106" s="10" t="n">
        <x:f>K2106-L2106-M2106</x:f>
        <x:v>11444.469579200702</x:v>
      </x:c>
      <x:c r="O2106" s="10" t="n">
        <x:f>H2106*'Assumptions'!$P$80*'Assumptions'!$Q$80*'Assumptions'!$D$11*(1+'Assumptions'!$D$13)^(17-1)</x:f>
        <x:v>2496.767412940356</x:v>
      </x:c>
      <x:c r="P2106" s="10" t="n">
        <x:f>H2106*'Assumptions'!$R$80*'Assumptions'!$D$11*(1+'Assumptions'!$D$13)^(17-1)</x:f>
        <x:v>0</x:v>
      </x:c>
      <x:c r="Q2106" s="10" t="n">
        <x:f>J2106*'Assumptions'!$S$80</x:f>
        <x:v>0</x:v>
      </x:c>
      <x:c r="R2106" s="10" t="n">
        <x:f>H2106*'Assumptions'!$Y$80*'Assumptions'!$Z$80*'Assumptions'!$D$11*(1+'Assumptions'!$D$13)^(17-1)</x:f>
        <x:v>1426.7242359659176</x:v>
      </x:c>
      <x:c r="S2106" s="10" t="n">
        <x:f>IF(I2106=0,0,J2106*'Assumptions'!$W$80+H2106*'Assumptions'!$X$80)</x:f>
        <x:v>431.0629826751649</x:v>
      </x:c>
      <x:c r="T2106" s="10" t="n">
        <x:f>N2106*'Assumptions'!$AA$80</x:f>
        <x:v>572.2234789600351</x:v>
      </x:c>
      <x:c r="U2106" s="10" t="n">
        <x:f>'Assumptions'!$AE$80*'Assumptions'!$D$11*(1+'Assumptions'!$D$13)^(17-1)</x:f>
        <x:v>0</x:v>
      </x:c>
      <x:c r="V2106" s="10" t="n">
        <x:f>0</x:f>
        <x:v>0</x:v>
      </x:c>
      <x:c r="W2106" s="10" t="n">
        <x:f>H2106*('Assumptions'!$P$80+'Assumptions'!$Y$80)</x:f>
        <x:v>74.0906146031697</x:v>
      </x:c>
      <x:c r="X2106" s="10" t="n">
        <x:f>N2106/12*'Assumptions'!$AF$80</x:f>
        <x:v>0</x:v>
      </x:c>
      <x:c r="Y2106" s="10" t="n">
        <x:f>P2106/12</x:f>
        <x:v>0</x:v>
      </x:c>
      <x:c r="Z2106" s="10" t="n">
        <x:f>0</x:f>
        <x:v>0</x:v>
      </x:c>
      <x:c r="AA2106" s="10" t="n">
        <x:f>Z2106*'Assumptions'!$AC$80*'Assumptions'!$D$11*(1+'Assumptions'!$D$13)^(17-1)</x:f>
        <x:v>0</x:v>
      </x:c>
      <x:c r="AB2106" s="10" t="n">
        <x:f>F2106/1</x:f>
        <x:v>224.4298231889559</x:v>
      </x:c>
      <x:c r="AC2106" s="10" t="n">
        <x:f>AB2106/'Assumptions'!$AM$80</x:f>
        <x:v>4488.596463779118</x:v>
      </x:c>
      <x:c r="AD2106" s="10" t="n">
        <x:f>IF(AB2106=0,0,T2106/AB2106)</x:f>
        <x:v>2.5496766464867666</x:v>
      </x:c>
      <x:c r="AE2106" s="10" t="n">
        <x:f>AA2106*'Assumptions'!$D$21</x:f>
        <x:v>0</x:v>
      </x:c>
    </x:row>
    <x:row r="2107" ht="16" customHeight="1">
      <x:c r="A2107" s="1"/>
      <x:c r="B2107" s="1"/>
      <x:c r="C2107" s="1" t="str">
        <x:v>DOT-052</x:v>
      </x:c>
      <x:c r="D2107" s="10" t="str">
        <x:v>LavaLearning Model Life</x:v>
      </x:c>
      <x:c r="E2107" s="10" t="n">
        <x:v>17</x:v>
      </x:c>
      <x:c r="F2107" s="21" t="n">
        <x:f>F1979*(1+'Assumptions'!$M$81)</x:f>
        <x:v>0</x:v>
      </x:c>
      <x:c r="G2107" s="21" t="n">
        <x:f>H1979*'Assumptions'!$K$81</x:f>
        <x:v>0</x:v>
      </x:c>
      <x:c r="H2107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2107+G2107,NA())</x:f>
        <x:v>0</x:v>
      </x:c>
      <x:c r="I2107" s="22" t="n">
        <x:f>'Assumptions'!$H$81*IF('Assumptions'!$O$81=1,1,'Assumptions'!$D$10)*(1+'Assumptions'!$N$81)^(17-1)</x:f>
        <x:v>0</x:v>
      </x:c>
      <x:c r="J2107" s="10" t="n">
        <x:f>H2107*I2107</x:f>
        <x:v>0</x:v>
      </x:c>
      <x:c r="K2107" s="10" t="n">
        <x:f>J2107*'Assumptions'!$T$81</x:f>
        <x:v>0</x:v>
      </x:c>
      <x:c r="L2107" s="10" t="n">
        <x:f>K2107*'Assumptions'!$U$81</x:f>
        <x:v>0</x:v>
      </x:c>
      <x:c r="M2107" s="10" t="n">
        <x:f>K2107*'Assumptions'!$V$81</x:f>
        <x:v>0</x:v>
      </x:c>
      <x:c r="N2107" s="10" t="n">
        <x:f>K2107-L2107-M2107</x:f>
        <x:v>0</x:v>
      </x:c>
      <x:c r="O2107" s="10" t="n">
        <x:f>H2107*'Assumptions'!$P$81*'Assumptions'!$Q$81*'Assumptions'!$D$11*(1+'Assumptions'!$D$13)^(17-1)</x:f>
        <x:v>0</x:v>
      </x:c>
      <x:c r="P2107" s="10" t="n">
        <x:f>H2107*'Assumptions'!$R$81*'Assumptions'!$D$11*(1+'Assumptions'!$D$13)^(17-1)</x:f>
        <x:v>0</x:v>
      </x:c>
      <x:c r="Q2107" s="10" t="n">
        <x:f>J2107*'Assumptions'!$S$81</x:f>
        <x:v>0</x:v>
      </x:c>
      <x:c r="R2107" s="10" t="n">
        <x:f>H2107*'Assumptions'!$Y$81*'Assumptions'!$Z$81*'Assumptions'!$D$11*(1+'Assumptions'!$D$13)^(17-1)</x:f>
        <x:v>0</x:v>
      </x:c>
      <x:c r="S2107" s="10" t="n">
        <x:f>IF(I2107=0,0,J2107*'Assumptions'!$W$81+H2107*'Assumptions'!$X$81)</x:f>
        <x:v>0</x:v>
      </x:c>
      <x:c r="T2107" s="10" t="n">
        <x:f>N2107*'Assumptions'!$AA$81</x:f>
        <x:v>0</x:v>
      </x:c>
      <x:c r="U2107" s="10" t="n">
        <x:f>'Assumptions'!$AE$81*'Assumptions'!$D$11*(1+'Assumptions'!$D$13)^(17-1)</x:f>
        <x:v>0</x:v>
      </x:c>
      <x:c r="V2107" s="10" t="n">
        <x:f>0</x:f>
        <x:v>0</x:v>
      </x:c>
      <x:c r="W2107" s="10" t="n">
        <x:f>H2107*('Assumptions'!$P$81+'Assumptions'!$Y$81)</x:f>
        <x:v>0</x:v>
      </x:c>
      <x:c r="X2107" s="10" t="n">
        <x:f>N2107/12*'Assumptions'!$AF$81</x:f>
        <x:v>0</x:v>
      </x:c>
      <x:c r="Y2107" s="10" t="n">
        <x:f>P2107/12</x:f>
        <x:v>0</x:v>
      </x:c>
      <x:c r="Z2107" s="10" t="n">
        <x:f>0</x:f>
        <x:v>0</x:v>
      </x:c>
      <x:c r="AA2107" s="10" t="n">
        <x:f>Z2107*'Assumptions'!$AC$81*'Assumptions'!$D$11*(1+'Assumptions'!$D$13)^(17-1)</x:f>
        <x:v>0</x:v>
      </x:c>
      <x:c r="AB2107" s="10" t="n">
        <x:f>F2107/1</x:f>
        <x:v>0</x:v>
      </x:c>
      <x:c r="AC2107" s="10" t="n">
        <x:f>AB2107/'Assumptions'!$AM$81</x:f>
        <x:v>0</x:v>
      </x:c>
      <x:c r="AD2107" s="10" t="n">
        <x:f>IF(AB2107=0,0,T2107/AB2107)</x:f>
        <x:v>0</x:v>
      </x:c>
      <x:c r="AE2107" s="10" t="n">
        <x:f>AA2107*'Assumptions'!$D$21</x:f>
        <x:v>0</x:v>
      </x:c>
    </x:row>
    <x:row r="2108" ht="16" customHeight="1">
      <x:c r="A2108" s="1"/>
      <x:c r="B2108" s="1"/>
      <x:c r="C2108" s="1" t="str">
        <x:v>DOT-053</x:v>
      </x:c>
      <x:c r="D2108" s="10" t="str">
        <x:v>LavaLearning Kids</x:v>
      </x:c>
      <x:c r="E2108" s="10" t="n">
        <x:v>17</x:v>
      </x:c>
      <x:c r="F2108" s="21" t="n">
        <x:f>F1980*(1+'Assumptions'!$M$82)</x:f>
        <x:v>1122.1491159447796</x:v>
      </x:c>
      <x:c r="G2108" s="21" t="n">
        <x:f>H1980*'Assumptions'!$K$82</x:f>
        <x:v>359.6631761186145</x:v>
      </x:c>
      <x:c r="H2108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2108+G2108,NA())</x:f>
        <x:v>1481.8122920633941</x:v>
      </x:c>
      <x:c r="I2108" s="22" t="n">
        <x:f>'Assumptions'!$H$82*IF('Assumptions'!$O$82=1,1,'Assumptions'!$D$10)*(1+'Assumptions'!$N$82)^(17-1)</x:f>
        <x:v>26.082928396721638</x:v>
      </x:c>
      <x:c r="J2108" s="10" t="n">
        <x:f>H2108*I2108</x:f>
        <x:v>38650.00391127148</x:v>
      </x:c>
      <x:c r="K2108" s="10" t="n">
        <x:f>J2108*'Assumptions'!$T$82</x:f>
        <x:v>38650.00391127148</x:v>
      </x:c>
      <x:c r="L2108" s="10" t="n">
        <x:f>K2108*'Assumptions'!$U$82</x:f>
        <x:v>1159.5001173381443</x:v>
      </x:c>
      <x:c r="M2108" s="10" t="n">
        <x:f>K2108*'Assumptions'!$V$82</x:f>
        <x:v>0</x:v>
      </x:c>
      <x:c r="N2108" s="10" t="n">
        <x:f>K2108-L2108-M2108</x:f>
        <x:v>37490.503793933334</x:v>
      </x:c>
      <x:c r="O2108" s="10" t="n">
        <x:f>H2108*'Assumptions'!$P$82*'Assumptions'!$Q$82*'Assumptions'!$D$11*(1+'Assumptions'!$D$13)^(17-1)</x:f>
        <x:v>12483.83706470178</x:v>
      </x:c>
      <x:c r="P2108" s="10" t="n">
        <x:f>H2108*'Assumptions'!$R$82*'Assumptions'!$D$11*(1+'Assumptions'!$D$13)^(17-1)</x:f>
        <x:v>0</x:v>
      </x:c>
      <x:c r="Q2108" s="10" t="n">
        <x:f>J2108*'Assumptions'!$S$82</x:f>
        <x:v>0</x:v>
      </x:c>
      <x:c r="R2108" s="10" t="n">
        <x:f>H2108*'Assumptions'!$Y$82*'Assumptions'!$Z$82*'Assumptions'!$D$11*(1+'Assumptions'!$D$13)^(17-1)</x:f>
        <x:v>7133.621179829588</x:v>
      </x:c>
      <x:c r="S2108" s="10" t="n">
        <x:f>IF(I2108=0,0,J2108*'Assumptions'!$W$82+H2108*'Assumptions'!$X$82)</x:f>
        <x:v>1565.393801045891</x:v>
      </x:c>
      <x:c r="T2108" s="10" t="n">
        <x:f>N2108*'Assumptions'!$AA$82</x:f>
        <x:v>1874.5251896966668</x:v>
      </x:c>
      <x:c r="U2108" s="10" t="n">
        <x:f>'Assumptions'!$AE$82*'Assumptions'!$D$11*(1+'Assumptions'!$D$13)^(17-1)</x:f>
        <x:v>385.12954538370917</x:v>
      </x:c>
      <x:c r="V2108" s="10" t="n">
        <x:f>0</x:f>
        <x:v>0</x:v>
      </x:c>
      <x:c r="W2108" s="10" t="n">
        <x:f>H2108*('Assumptions'!$P$82+'Assumptions'!$Y$82)</x:f>
        <x:v>370.45307301584853</x:v>
      </x:c>
      <x:c r="X2108" s="10" t="n">
        <x:f>N2108/12*'Assumptions'!$AF$82</x:f>
        <x:v>0</x:v>
      </x:c>
      <x:c r="Y2108" s="10" t="n">
        <x:f>P2108/12</x:f>
        <x:v>0</x:v>
      </x:c>
      <x:c r="Z2108" s="10" t="n">
        <x:f>0</x:f>
        <x:v>0</x:v>
      </x:c>
      <x:c r="AA2108" s="10" t="n">
        <x:f>Z2108*'Assumptions'!$AC$82*'Assumptions'!$D$11*(1+'Assumptions'!$D$13)^(17-1)</x:f>
        <x:v>0</x:v>
      </x:c>
      <x:c r="AB2108" s="10" t="n">
        <x:f>F2108/1</x:f>
        <x:v>1122.1491159447796</x:v>
      </x:c>
      <x:c r="AC2108" s="10" t="n">
        <x:f>AB2108/'Assumptions'!$AM$82</x:f>
        <x:v>22442.982318895592</x:v>
      </x:c>
      <x:c r="AD2108" s="10" t="n">
        <x:f>IF(AB2108=0,0,T2108/AB2108)</x:f>
        <x:v>1.6704778028706402</x:v>
      </x:c>
      <x:c r="AE2108" s="10" t="n">
        <x:f>AA2108*'Assumptions'!$D$21</x:f>
        <x:v>0</x:v>
      </x:c>
    </x:row>
    <x:row r="2109" ht="16" customHeight="1">
      <x:c r="A2109" s="1"/>
      <x:c r="B2109" s="1"/>
      <x:c r="C2109" s="1" t="str">
        <x:v>DOT-054</x:v>
      </x:c>
      <x:c r="D2109" s="10" t="str">
        <x:v>VraiSkill adult</x:v>
      </x:c>
      <x:c r="E2109" s="10" t="n">
        <x:v>17</x:v>
      </x:c>
      <x:c r="F2109" s="21" t="n">
        <x:f>F1981*(1+'Assumptions'!$M$83)</x:f>
        <x:v>2244.2982318895592</x:v>
      </x:c>
      <x:c r="G2109" s="21" t="n">
        <x:f>H1981*'Assumptions'!$K$83</x:f>
        <x:v>719.3263523070782</x:v>
      </x:c>
      <x:c r="H2109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2109+G2109,NA())</x:f>
        <x:v>2963.6245841966374</x:v>
      </x:c>
      <x:c r="I2109" s="22" t="n">
        <x:f>'Assumptions'!$H$83*IF('Assumptions'!$O$83=1,1,'Assumptions'!$D$10)*(1+'Assumptions'!$N$83)^(17-1)</x:f>
        <x:v>13.71412919385522</x:v>
      </x:c>
      <x:c r="J2109" s="10" t="n">
        <x:f>H2109*I2109</x:f>
        <x:v>40643.53042975814</x:v>
      </x:c>
      <x:c r="K2109" s="10" t="n">
        <x:f>J2109*'Assumptions'!$T$83</x:f>
        <x:v>40643.53042975814</x:v>
      </x:c>
      <x:c r="L2109" s="10" t="n">
        <x:f>K2109*'Assumptions'!$U$83</x:f>
        <x:v>1219.3059128927441</x:v>
      </x:c>
      <x:c r="M2109" s="10" t="n">
        <x:f>K2109*'Assumptions'!$V$83</x:f>
        <x:v>0</x:v>
      </x:c>
      <x:c r="N2109" s="10" t="n">
        <x:f>K2109-L2109-M2109</x:f>
        <x:v>39424.2245168654</x:v>
      </x:c>
      <x:c r="O2109" s="10" t="n">
        <x:f>H2109*'Assumptions'!$P$83*'Assumptions'!$Q$83*'Assumptions'!$D$11*(1+'Assumptions'!$D$13)^(17-1)</x:f>
        <x:v>24967.674129992018</x:v>
      </x:c>
      <x:c r="P2109" s="10" t="n">
        <x:f>H2109*'Assumptions'!$R$83*'Assumptions'!$D$11*(1+'Assumptions'!$D$13)^(17-1)</x:f>
        <x:v>0</x:v>
      </x:c>
      <x:c r="Q2109" s="10" t="n">
        <x:f>J2109*'Assumptions'!$S$83</x:f>
        <x:v>0</x:v>
      </x:c>
      <x:c r="R2109" s="10" t="n">
        <x:f>H2109*'Assumptions'!$Y$83*'Assumptions'!$Z$83*'Assumptions'!$D$11*(1+'Assumptions'!$D$13)^(17-1)</x:f>
        <x:v>14267.242359995438</x:v>
      </x:c>
      <x:c r="S2109" s="10" t="n">
        <x:f>IF(I2109=0,0,J2109*'Assumptions'!$W$83+H2109*'Assumptions'!$X$83)</x:f>
        <x:v>2067.7497577219774</x:v>
      </x:c>
      <x:c r="T2109" s="10" t="n">
        <x:f>N2109*'Assumptions'!$AA$83</x:f>
        <x:v>1971.2112258432699</x:v>
      </x:c>
      <x:c r="U2109" s="10" t="n">
        <x:f>'Assumptions'!$AE$83*'Assumptions'!$D$11*(1+'Assumptions'!$D$13)^(17-1)</x:f>
        <x:v>385.12954538370917</x:v>
      </x:c>
      <x:c r="V2109" s="10" t="n">
        <x:f>0</x:f>
        <x:v>0</x:v>
      </x:c>
      <x:c r="W2109" s="10" t="n">
        <x:f>H2109*('Assumptions'!$P$83+'Assumptions'!$Y$83)</x:f>
        <x:v>740.9061460491594</x:v>
      </x:c>
      <x:c r="X2109" s="10" t="n">
        <x:f>N2109/12*'Assumptions'!$AF$83</x:f>
        <x:v>0</x:v>
      </x:c>
      <x:c r="Y2109" s="10" t="n">
        <x:f>P2109/12</x:f>
        <x:v>0</x:v>
      </x:c>
      <x:c r="Z2109" s="10" t="n">
        <x:f>0</x:f>
        <x:v>0</x:v>
      </x:c>
      <x:c r="AA2109" s="10" t="n">
        <x:f>Z2109*'Assumptions'!$AC$83*'Assumptions'!$D$11*(1+'Assumptions'!$D$13)^(17-1)</x:f>
        <x:v>0</x:v>
      </x:c>
      <x:c r="AB2109" s="10" t="n">
        <x:f>F2109/1</x:f>
        <x:v>2244.2982318895592</x:v>
      </x:c>
      <x:c r="AC2109" s="10" t="n">
        <x:f>AB2109/'Assumptions'!$AM$83</x:f>
        <x:v>44885.964637791185</x:v>
      </x:c>
      <x:c r="AD2109" s="10" t="n">
        <x:f>IF(AB2109=0,0,T2109/AB2109)</x:f>
        <x:v>0.8783196447932113</x:v>
      </x:c>
      <x:c r="AE2109" s="10" t="n">
        <x:f>AA2109*'Assumptions'!$D$21</x:f>
        <x:v>0</x:v>
      </x:c>
    </x:row>
    <x:row r="2110" ht="16" customHeight="1">
      <x:c r="A2110" s="1"/>
      <x:c r="B2110" s="1"/>
      <x:c r="C2110" s="1" t="str">
        <x:v>DOT-055</x:v>
      </x:c>
      <x:c r="D2110" s="10" t="str">
        <x:v>VraiSkill adult</x:v>
      </x:c>
      <x:c r="E2110" s="10" t="n">
        <x:v>17</x:v>
      </x:c>
      <x:c r="F2110" s="21" t="n">
        <x:f>F1982*(1+'Assumptions'!$M$84)</x:f>
        <x:v>748.099410629853</x:v>
      </x:c>
      <x:c r="G2110" s="21" t="n">
        <x:f>H1982*'Assumptions'!$K$84</x:f>
        <x:v>239.77545076902598</x:v>
      </x:c>
      <x:c r="H2110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2110+G2110,NA())</x:f>
        <x:v>987.8748613988789</x:v>
      </x:c>
      <x:c r="I2110" s="22" t="n">
        <x:f>'Assumptions'!$H$84*IF('Assumptions'!$O$84=1,1,'Assumptions'!$D$10)*(1+'Assumptions'!$N$84)^(17-1)</x:f>
        <x:v>32.9468569221747</x:v>
      </x:c>
      <x:c r="J2110" s="10" t="n">
        <x:f>H2110*I2110</x:f>
        <x:v>32547.37171552203</x:v>
      </x:c>
      <x:c r="K2110" s="10" t="n">
        <x:f>J2110*'Assumptions'!$T$84</x:f>
        <x:v>32547.37171552203</x:v>
      </x:c>
      <x:c r="L2110" s="10" t="n">
        <x:f>K2110*'Assumptions'!$U$84</x:f>
        <x:v>976.4211514656608</x:v>
      </x:c>
      <x:c r="M2110" s="10" t="n">
        <x:f>K2110*'Assumptions'!$V$84</x:f>
        <x:v>0</x:v>
      </x:c>
      <x:c r="N2110" s="10" t="n">
        <x:f>K2110-L2110-M2110</x:f>
        <x:v>31570.95056405637</x:v>
      </x:c>
      <x:c r="O2110" s="10" t="n">
        <x:f>H2110*'Assumptions'!$P$84*'Assumptions'!$Q$84*'Assumptions'!$D$11*(1+'Assumptions'!$D$13)^(17-1)</x:f>
        <x:v>8322.55804333067</x:v>
      </x:c>
      <x:c r="P2110" s="10" t="n">
        <x:f>H2110*'Assumptions'!$R$84*'Assumptions'!$D$11*(1+'Assumptions'!$D$13)^(17-1)</x:f>
        <x:v>0</x:v>
      </x:c>
      <x:c r="Q2110" s="10" t="n">
        <x:f>J2110*'Assumptions'!$S$84</x:f>
        <x:v>0</x:v>
      </x:c>
      <x:c r="R2110" s="10" t="n">
        <x:f>H2110*'Assumptions'!$Y$84*'Assumptions'!$Z$84*'Assumptions'!$D$11*(1+'Assumptions'!$D$13)^(17-1)</x:f>
        <x:v>4755.747453331812</x:v>
      </x:c>
      <x:c r="S2110" s="10" t="n">
        <x:f>IF(I2110=0,0,J2110*'Assumptions'!$W$84+H2110*'Assumptions'!$X$84)</x:f>
        <x:v>1240.2362381698026</x:v>
      </x:c>
      <x:c r="T2110" s="10" t="n">
        <x:f>N2110*'Assumptions'!$AA$84</x:f>
        <x:v>1578.5475282028185</x:v>
      </x:c>
      <x:c r="U2110" s="10" t="n">
        <x:f>'Assumptions'!$AE$84*'Assumptions'!$D$11*(1+'Assumptions'!$D$13)^(17-1)</x:f>
        <x:v>0</x:v>
      </x:c>
      <x:c r="V2110" s="10" t="n">
        <x:f>0</x:f>
        <x:v>0</x:v>
      </x:c>
      <x:c r="W2110" s="10" t="n">
        <x:f>H2110*('Assumptions'!$P$84+'Assumptions'!$Y$84)</x:f>
        <x:v>246.96871534971973</x:v>
      </x:c>
      <x:c r="X2110" s="10" t="n">
        <x:f>N2110/12*'Assumptions'!$AF$84</x:f>
        <x:v>0</x:v>
      </x:c>
      <x:c r="Y2110" s="10" t="n">
        <x:f>P2110/12</x:f>
        <x:v>0</x:v>
      </x:c>
      <x:c r="Z2110" s="10" t="n">
        <x:f>0</x:f>
        <x:v>0</x:v>
      </x:c>
      <x:c r="AA2110" s="10" t="n">
        <x:f>Z2110*'Assumptions'!$AC$84*'Assumptions'!$D$11*(1+'Assumptions'!$D$13)^(17-1)</x:f>
        <x:v>0</x:v>
      </x:c>
      <x:c r="AB2110" s="10" t="n">
        <x:f>F2110/1</x:f>
        <x:v>748.099410629853</x:v>
      </x:c>
      <x:c r="AC2110" s="10" t="n">
        <x:f>AB2110/'Assumptions'!$AM$84</x:f>
        <x:v>14961.988212597058</x:v>
      </x:c>
      <x:c r="AD2110" s="10" t="n">
        <x:f>IF(AB2110=0,0,T2110/AB2110)</x:f>
        <x:v>2.110077224728436</x:v>
      </x:c>
      <x:c r="AE2110" s="10" t="n">
        <x:f>AA2110*'Assumptions'!$D$21</x:f>
        <x:v>0</x:v>
      </x:c>
    </x:row>
    <x:row r="2111" ht="16" customHeight="1">
      <x:c r="A2111" s="1"/>
      <x:c r="B2111" s="1"/>
      <x:c r="C2111" s="1" t="str">
        <x:v>DOT-056</x:v>
      </x:c>
      <x:c r="D2111" s="10" t="str">
        <x:v>VraiSkill teen</x:v>
      </x:c>
      <x:c r="E2111" s="10" t="n">
        <x:v>17</x:v>
      </x:c>
      <x:c r="F2111" s="21" t="n">
        <x:f>F1983*(1+'Assumptions'!$M$85)</x:f>
        <x:v>748.099410629853</x:v>
      </x:c>
      <x:c r="G2111" s="21" t="n">
        <x:f>H1983*'Assumptions'!$K$85</x:f>
        <x:v>239.77545074574292</x:v>
      </x:c>
      <x:c r="H2111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2111+G2111,NA())</x:f>
        <x:v>987.8748613755959</x:v>
      </x:c>
      <x:c r="I2111" s="22" t="n">
        <x:f>'Assumptions'!$H$85*IF('Assumptions'!$O$85=1,1,'Assumptions'!$D$10)*(1+'Assumptions'!$N$85)^(17-1)</x:f>
        <x:v>32.9468569221747</x:v>
      </x:c>
      <x:c r="J2111" s="10" t="n">
        <x:f>H2111*I2111</x:f>
        <x:v>32547.371714754925</x:v>
      </x:c>
      <x:c r="K2111" s="10" t="n">
        <x:f>J2111*'Assumptions'!$T$85</x:f>
        <x:v>32547.371714754925</x:v>
      </x:c>
      <x:c r="L2111" s="10" t="n">
        <x:f>K2111*'Assumptions'!$U$85</x:f>
        <x:v>976.4211514426477</x:v>
      </x:c>
      <x:c r="M2111" s="10" t="n">
        <x:f>K2111*'Assumptions'!$V$85</x:f>
        <x:v>0</x:v>
      </x:c>
      <x:c r="N2111" s="10" t="n">
        <x:f>K2111-L2111-M2111</x:f>
        <x:v>31570.95056331228</x:v>
      </x:c>
      <x:c r="O2111" s="10" t="n">
        <x:f>H2111*'Assumptions'!$P$85*'Assumptions'!$Q$85*'Assumptions'!$D$11*(1+'Assumptions'!$D$13)^(17-1)</x:f>
        <x:v>8322.558043134517</x:v>
      </x:c>
      <x:c r="P2111" s="10" t="n">
        <x:f>H2111*'Assumptions'!$R$85*'Assumptions'!$D$11*(1+'Assumptions'!$D$13)^(17-1)</x:f>
        <x:v>0</x:v>
      </x:c>
      <x:c r="Q2111" s="10" t="n">
        <x:f>J2111*'Assumptions'!$S$85</x:f>
        <x:v>0</x:v>
      </x:c>
      <x:c r="R2111" s="10" t="n">
        <x:f>H2111*'Assumptions'!$Y$85*'Assumptions'!$Z$85*'Assumptions'!$D$11*(1+'Assumptions'!$D$13)^(17-1)</x:f>
        <x:v>4755.747453219725</x:v>
      </x:c>
      <x:c r="S2111" s="10" t="n">
        <x:f>IF(I2111=0,0,J2111*'Assumptions'!$W$85+H2111*'Assumptions'!$X$85)</x:f>
        <x:v>1240.2362381405715</x:v>
      </x:c>
      <x:c r="T2111" s="10" t="n">
        <x:f>N2111*'Assumptions'!$AA$85</x:f>
        <x:v>1578.547528165614</x:v>
      </x:c>
      <x:c r="U2111" s="10" t="n">
        <x:f>'Assumptions'!$AE$85*'Assumptions'!$D$11*(1+'Assumptions'!$D$13)^(17-1)</x:f>
        <x:v>385.12954538370917</x:v>
      </x:c>
      <x:c r="V2111" s="10" t="n">
        <x:f>0</x:f>
        <x:v>0</x:v>
      </x:c>
      <x:c r="W2111" s="10" t="n">
        <x:f>H2111*('Assumptions'!$P$85+'Assumptions'!$Y$85)</x:f>
        <x:v>246.96871534389896</x:v>
      </x:c>
      <x:c r="X2111" s="10" t="n">
        <x:f>N2111/12*'Assumptions'!$AF$85</x:f>
        <x:v>0</x:v>
      </x:c>
      <x:c r="Y2111" s="10" t="n">
        <x:f>P2111/12</x:f>
        <x:v>0</x:v>
      </x:c>
      <x:c r="Z2111" s="10" t="n">
        <x:f>0</x:f>
        <x:v>0</x:v>
      </x:c>
      <x:c r="AA2111" s="10" t="n">
        <x:f>Z2111*'Assumptions'!$AC$85*'Assumptions'!$D$11*(1+'Assumptions'!$D$13)^(17-1)</x:f>
        <x:v>0</x:v>
      </x:c>
      <x:c r="AB2111" s="10" t="n">
        <x:f>F2111/1</x:f>
        <x:v>748.099410629853</x:v>
      </x:c>
      <x:c r="AC2111" s="10" t="n">
        <x:f>AB2111/'Assumptions'!$AM$85</x:f>
        <x:v>14961.988212597058</x:v>
      </x:c>
      <x:c r="AD2111" s="10" t="n">
        <x:f>IF(AB2111=0,0,T2111/AB2111)</x:f>
        <x:v>2.1100772246787036</x:v>
      </x:c>
      <x:c r="AE2111" s="10" t="n">
        <x:f>AA2111*'Assumptions'!$D$21</x:f>
        <x:v>0</x:v>
      </x:c>
    </x:row>
    <x:row r="2112" ht="16" customHeight="1">
      <x:c r="A2112" s="1"/>
      <x:c r="B2112" s="1"/>
      <x:c r="C2112" s="1" t="str">
        <x:v>DOT-057</x:v>
      </x:c>
      <x:c r="D2112" s="10" t="str">
        <x:v>VraiSkill Model Life</x:v>
      </x:c>
      <x:c r="E2112" s="10" t="n">
        <x:v>17</x:v>
      </x:c>
      <x:c r="F2112" s="21" t="n">
        <x:f>F1984*(1+'Assumptions'!$M$86)</x:f>
        <x:v>0</x:v>
      </x:c>
      <x:c r="G2112" s="21" t="n">
        <x:f>H1984*'Assumptions'!$K$86</x:f>
        <x:v>0</x:v>
      </x:c>
      <x:c r="H2112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2112+G2112,NA())</x:f>
        <x:v>0</x:v>
      </x:c>
      <x:c r="I2112" s="22" t="n">
        <x:f>'Assumptions'!$H$86*IF('Assumptions'!$O$86=1,1,'Assumptions'!$D$10)*(1+'Assumptions'!$N$86)^(17-1)</x:f>
        <x:v>0</x:v>
      </x:c>
      <x:c r="J2112" s="10" t="n">
        <x:f>H2112*I2112</x:f>
        <x:v>0</x:v>
      </x:c>
      <x:c r="K2112" s="10" t="n">
        <x:f>J2112*'Assumptions'!$T$86</x:f>
        <x:v>0</x:v>
      </x:c>
      <x:c r="L2112" s="10" t="n">
        <x:f>K2112*'Assumptions'!$U$86</x:f>
        <x:v>0</x:v>
      </x:c>
      <x:c r="M2112" s="10" t="n">
        <x:f>K2112*'Assumptions'!$V$86</x:f>
        <x:v>0</x:v>
      </x:c>
      <x:c r="N2112" s="10" t="n">
        <x:f>K2112-L2112-M2112</x:f>
        <x:v>0</x:v>
      </x:c>
      <x:c r="O2112" s="10" t="n">
        <x:f>H2112*'Assumptions'!$P$86*'Assumptions'!$Q$86*'Assumptions'!$D$11*(1+'Assumptions'!$D$13)^(17-1)</x:f>
        <x:v>0</x:v>
      </x:c>
      <x:c r="P2112" s="10" t="n">
        <x:f>H2112*'Assumptions'!$R$86*'Assumptions'!$D$11*(1+'Assumptions'!$D$13)^(17-1)</x:f>
        <x:v>0</x:v>
      </x:c>
      <x:c r="Q2112" s="10" t="n">
        <x:f>J2112*'Assumptions'!$S$86</x:f>
        <x:v>0</x:v>
      </x:c>
      <x:c r="R2112" s="10" t="n">
        <x:f>H2112*'Assumptions'!$Y$86*'Assumptions'!$Z$86*'Assumptions'!$D$11*(1+'Assumptions'!$D$13)^(17-1)</x:f>
        <x:v>0</x:v>
      </x:c>
      <x:c r="S2112" s="10" t="n">
        <x:f>IF(I2112=0,0,J2112*'Assumptions'!$W$86+H2112*'Assumptions'!$X$86)</x:f>
        <x:v>0</x:v>
      </x:c>
      <x:c r="T2112" s="10" t="n">
        <x:f>N2112*'Assumptions'!$AA$86</x:f>
        <x:v>0</x:v>
      </x:c>
      <x:c r="U2112" s="10" t="n">
        <x:f>'Assumptions'!$AE$86*'Assumptions'!$D$11*(1+'Assumptions'!$D$13)^(17-1)</x:f>
        <x:v>0</x:v>
      </x:c>
      <x:c r="V2112" s="10" t="n">
        <x:f>0</x:f>
        <x:v>0</x:v>
      </x:c>
      <x:c r="W2112" s="10" t="n">
        <x:f>H2112*('Assumptions'!$P$86+'Assumptions'!$Y$86)</x:f>
        <x:v>0</x:v>
      </x:c>
      <x:c r="X2112" s="10" t="n">
        <x:f>N2112/12*'Assumptions'!$AF$86</x:f>
        <x:v>0</x:v>
      </x:c>
      <x:c r="Y2112" s="10" t="n">
        <x:f>P2112/12</x:f>
        <x:v>0</x:v>
      </x:c>
      <x:c r="Z2112" s="10" t="n">
        <x:f>0</x:f>
        <x:v>0</x:v>
      </x:c>
      <x:c r="AA2112" s="10" t="n">
        <x:f>Z2112*'Assumptions'!$AC$86*'Assumptions'!$D$11*(1+'Assumptions'!$D$13)^(17-1)</x:f>
        <x:v>0</x:v>
      </x:c>
      <x:c r="AB2112" s="10" t="n">
        <x:f>F2112/1</x:f>
        <x:v>0</x:v>
      </x:c>
      <x:c r="AC2112" s="10" t="n">
        <x:f>AB2112/'Assumptions'!$AM$86</x:f>
        <x:v>0</x:v>
      </x:c>
      <x:c r="AD2112" s="10" t="n">
        <x:f>IF(AB2112=0,0,T2112/AB2112)</x:f>
        <x:v>0</x:v>
      </x:c>
      <x:c r="AE2112" s="10" t="n">
        <x:f>AA2112*'Assumptions'!$D$21</x:f>
        <x:v>0</x:v>
      </x:c>
    </x:row>
    <x:row r="2113" ht="16" customHeight="1">
      <x:c r="A2113" s="1"/>
      <x:c r="B2113" s="1"/>
      <x:c r="C2113" s="1" t="str">
        <x:v>DOT-058</x:v>
      </x:c>
      <x:c r="D2113" s="10" t="str">
        <x:v>Model Life</x:v>
      </x:c>
      <x:c r="E2113" s="10" t="n">
        <x:v>17</x:v>
      </x:c>
      <x:c r="F2113" s="21" t="n">
        <x:f>F1985*(1+'Assumptions'!$M$87)</x:f>
        <x:v>425.72991959485023</x:v>
      </x:c>
      <x:c r="G2113" s="21" t="n">
        <x:f>H1985*'Assumptions'!$K$87</x:f>
        <x:v>899.7317663074311</x:v>
      </x:c>
      <x:c r="H2113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2113+G2113,NA())</x:f>
        <x:v>1325.4616859022813</x:v>
      </x:c>
      <x:c r="I2113" s="22" t="n">
        <x:f>'Assumptions'!$H$87*IF('Assumptions'!$O$87=1,1,'Assumptions'!$D$10)*(1+'Assumptions'!$N$87)^(17-1)</x:f>
        <x:v>20.591785576359186</x:v>
      </x:c>
      <x:c r="J2113" s="10" t="n">
        <x:f>H2113*I2113</x:f>
        <x:v>27293.622825779326</x:v>
      </x:c>
      <x:c r="K2113" s="10" t="n">
        <x:f>J2113*'Assumptions'!$T$87</x:f>
        <x:v>27293.622825779326</x:v>
      </x:c>
      <x:c r="L2113" s="10" t="n">
        <x:f>K2113*'Assumptions'!$U$87</x:f>
        <x:v>818.8086847733798</x:v>
      </x:c>
      <x:c r="M2113" s="10" t="n">
        <x:f>K2113*'Assumptions'!$V$87</x:f>
        <x:v>0</x:v>
      </x:c>
      <x:c r="N2113" s="10" t="n">
        <x:f>K2113-L2113-M2113</x:f>
        <x:v>26474.814141005947</x:v>
      </x:c>
      <x:c r="O2113" s="10" t="n">
        <x:f>H2113*'Assumptions'!$P$87*'Assumptions'!$Q$87*'Assumptions'!$D$11*(1+'Assumptions'!$D$13)^(17-1)</x:f>
        <x:v>7444.419157511442</x:v>
      </x:c>
      <x:c r="P2113" s="10" t="n">
        <x:f>H2113*'Assumptions'!$R$87*'Assumptions'!$D$11*(1+'Assumptions'!$D$13)^(17-1)</x:f>
        <x:v>0</x:v>
      </x:c>
      <x:c r="Q2113" s="10" t="n">
        <x:f>J2113*'Assumptions'!$S$87</x:f>
        <x:v>0</x:v>
      </x:c>
      <x:c r="R2113" s="10" t="n">
        <x:f>H2113*'Assumptions'!$Y$87*'Assumptions'!$Z$87*'Assumptions'!$D$11*(1+'Assumptions'!$D$13)^(17-1)</x:f>
        <x:v>9571.396059657567</x:v>
      </x:c>
      <x:c r="S2113" s="10" t="n">
        <x:f>IF(I2113=0,0,J2113*'Assumptions'!$W$87+H2113*'Assumptions'!$X$87)</x:f>
        <x:v>1189.1535677182849</x:v>
      </x:c>
      <x:c r="T2113" s="10" t="n">
        <x:f>N2113*'Assumptions'!$AA$87</x:f>
        <x:v>1323.7407070502975</x:v>
      </x:c>
      <x:c r="U2113" s="10" t="n">
        <x:f>'Assumptions'!$AE$87*'Assumptions'!$D$11*(1+'Assumptions'!$D$13)^(17-1)</x:f>
        <x:v>96.28238634592729</x:v>
      </x:c>
      <x:c r="V2113" s="10" t="n">
        <x:f>0</x:f>
        <x:v>0</x:v>
      </x:c>
      <x:c r="W2113" s="10" t="n">
        <x:f>H2113*('Assumptions'!$P$87+'Assumptions'!$Y$87)</x:f>
        <x:v>331.3654214755703</x:v>
      </x:c>
      <x:c r="X2113" s="10" t="n">
        <x:f>N2113/12*'Assumptions'!$AF$87</x:f>
        <x:v>0</x:v>
      </x:c>
      <x:c r="Y2113" s="10" t="n">
        <x:f>P2113/12</x:f>
        <x:v>0</x:v>
      </x:c>
      <x:c r="Z2113" s="10" t="n">
        <x:f>0</x:f>
        <x:v>0</x:v>
      </x:c>
      <x:c r="AA2113" s="10" t="n">
        <x:f>Z2113*'Assumptions'!$AC$87*'Assumptions'!$D$11*(1+'Assumptions'!$D$13)^(17-1)</x:f>
        <x:v>0</x:v>
      </x:c>
      <x:c r="AB2113" s="10" t="n">
        <x:f>F2113/12</x:f>
        <x:v>35.47749329957085</x:v>
      </x:c>
      <x:c r="AC2113" s="10" t="n">
        <x:f>AB2113/'Assumptions'!$AM$87</x:f>
        <x:v>709.549865991417</x:v>
      </x:c>
      <x:c r="AD2113" s="10" t="n">
        <x:f>IF(AB2113=0,0,T2113/AB2113)</x:f>
        <x:v>37.31212619427963</x:v>
      </x:c>
      <x:c r="AE2113" s="10" t="n">
        <x:f>AA2113*'Assumptions'!$D$21</x:f>
        <x:v>0</x:v>
      </x:c>
    </x:row>
    <x:row r="2114" ht="16" customHeight="1">
      <x:c r="A2114" s="1"/>
      <x:c r="B2114" s="1"/>
      <x:c r="C2114" s="1" t="str">
        <x:v>DOT-059</x:v>
      </x:c>
      <x:c r="D2114" s="10" t="str">
        <x:v>Model Life</x:v>
      </x:c>
      <x:c r="E2114" s="10" t="n">
        <x:v>17</x:v>
      </x:c>
      <x:c r="F2114" s="21" t="n">
        <x:f>F1986*(1+'Assumptions'!$M$88)</x:f>
        <x:v>106.43247989871256</x:v>
      </x:c>
      <x:c r="G2114" s="21" t="n">
        <x:f>H1986*'Assumptions'!$K$88</x:f>
        <x:v>224.9329415768578</x:v>
      </x:c>
      <x:c r="H2114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2114+G2114,NA())</x:f>
        <x:v>331.3654214755703</x:v>
      </x:c>
      <x:c r="I2114" s="22" t="n">
        <x:f>'Assumptions'!$H$88*IF('Assumptions'!$O$88=1,1,'Assumptions'!$D$10)*(1+'Assumptions'!$N$88)^(17-1)</x:f>
        <x:v>108.45007070215838</x:v>
      </x:c>
      <x:c r="J2114" s="10" t="n">
        <x:f>H2114*I2114</x:f>
        <x:v>35936.60338727611</x:v>
      </x:c>
      <x:c r="K2114" s="10" t="n">
        <x:f>J2114*'Assumptions'!$T$88</x:f>
        <x:v>35936.60338727611</x:v>
      </x:c>
      <x:c r="L2114" s="10" t="n">
        <x:f>K2114*'Assumptions'!$U$88</x:f>
        <x:v>1078.0981016182832</x:v>
      </x:c>
      <x:c r="M2114" s="10" t="n">
        <x:f>K2114*'Assumptions'!$V$88</x:f>
        <x:v>0</x:v>
      </x:c>
      <x:c r="N2114" s="10" t="n">
        <x:f>K2114-L2114-M2114</x:f>
        <x:v>34858.505285657826</x:v>
      </x:c>
      <x:c r="O2114" s="10" t="n">
        <x:f>H2114*'Assumptions'!$P$88*'Assumptions'!$Q$88*'Assumptions'!$D$11*(1+'Assumptions'!$D$13)^(17-1)</x:f>
        <x:v>1861.1047893778605</x:v>
      </x:c>
      <x:c r="P2114" s="10" t="n">
        <x:f>H2114*'Assumptions'!$R$88*'Assumptions'!$D$11*(1+'Assumptions'!$D$13)^(17-1)</x:f>
        <x:v>0</x:v>
      </x:c>
      <x:c r="Q2114" s="10" t="n">
        <x:f>J2114*'Assumptions'!$S$88</x:f>
        <x:v>0</x:v>
      </x:c>
      <x:c r="R2114" s="10" t="n">
        <x:f>H2114*'Assumptions'!$Y$88*'Assumptions'!$Z$88*'Assumptions'!$D$11*(1+'Assumptions'!$D$13)^(17-1)</x:f>
        <x:v>2392.849014914392</x:v>
      </x:c>
      <x:c r="S2114" s="10" t="n">
        <x:f>IF(I2114=0,0,J2114*'Assumptions'!$W$88+H2114*'Assumptions'!$X$88)</x:f>
        <x:v>1141.5711246736785</x:v>
      </x:c>
      <x:c r="T2114" s="10" t="n">
        <x:f>N2114*'Assumptions'!$AA$88</x:f>
        <x:v>1742.9252642828915</x:v>
      </x:c>
      <x:c r="U2114" s="10" t="n">
        <x:f>'Assumptions'!$AE$88*'Assumptions'!$D$11*(1+'Assumptions'!$D$13)^(17-1)</x:f>
        <x:v>96.28238634592729</x:v>
      </x:c>
      <x:c r="V2114" s="10" t="n">
        <x:f>0</x:f>
        <x:v>0</x:v>
      </x:c>
      <x:c r="W2114" s="10" t="n">
        <x:f>H2114*('Assumptions'!$P$88+'Assumptions'!$Y$88)</x:f>
        <x:v>82.84135536889258</x:v>
      </x:c>
      <x:c r="X2114" s="10" t="n">
        <x:f>N2114/12*'Assumptions'!$AF$88</x:f>
        <x:v>0</x:v>
      </x:c>
      <x:c r="Y2114" s="10" t="n">
        <x:f>P2114/12</x:f>
        <x:v>0</x:v>
      </x:c>
      <x:c r="Z2114" s="10" t="n">
        <x:f>0</x:f>
        <x:v>0</x:v>
      </x:c>
      <x:c r="AA2114" s="10" t="n">
        <x:f>Z2114*'Assumptions'!$AC$88*'Assumptions'!$D$11*(1+'Assumptions'!$D$13)^(17-1)</x:f>
        <x:v>0</x:v>
      </x:c>
      <x:c r="AB2114" s="10" t="n">
        <x:f>F2114/12</x:f>
        <x:v>8.869373324892713</x:v>
      </x:c>
      <x:c r="AC2114" s="10" t="n">
        <x:f>AB2114/'Assumptions'!$AM$88</x:f>
        <x:v>177.38746649785426</x:v>
      </x:c>
      <x:c r="AD2114" s="10" t="n">
        <x:f>IF(AB2114=0,0,T2114/AB2114)</x:f>
        <x:v>196.51053128987266</x:v>
      </x:c>
      <x:c r="AE2114" s="10" t="n">
        <x:f>AA2114*'Assumptions'!$D$21</x:f>
        <x:v>0</x:v>
      </x:c>
    </x:row>
    <x:row r="2115" ht="16" customHeight="1">
      <x:c r="A2115" s="1"/>
      <x:c r="B2115" s="1"/>
      <x:c r="C2115" s="1" t="str">
        <x:v>DOT-060</x:v>
      </x:c>
      <x:c r="D2115" s="10" t="str">
        <x:v>Model Life</x:v>
      </x:c>
      <x:c r="E2115" s="10" t="n">
        <x:v>17</x:v>
      </x:c>
      <x:c r="F2115" s="21" t="n">
        <x:f>F1987*(1+'Assumptions'!$M$89)</x:f>
        <x:v>106.43247989871256</x:v>
      </x:c>
      <x:c r="G2115" s="21" t="n">
        <x:f>H1987*'Assumptions'!$K$89</x:f>
        <x:v>224.9329415768578</x:v>
      </x:c>
      <x:c r="H2115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2115+G2115,NA())</x:f>
        <x:v>331.3654214755703</x:v>
      </x:c>
      <x:c r="I2115" s="22" t="n">
        <x:f>'Assumptions'!$H$89*IF('Assumptions'!$O$89=1,1,'Assumptions'!$D$10)*(1+'Assumptions'!$N$89)^(17-1)</x:f>
        <x:v>80.99435660034614</x:v>
      </x:c>
      <x:c r="J2115" s="10" t="n">
        <x:f>H2115*I2115</x:f>
        <x:v>26838.72911201634</x:v>
      </x:c>
      <x:c r="K2115" s="10" t="n">
        <x:f>J2115*'Assumptions'!$T$89</x:f>
        <x:v>26838.72911201634</x:v>
      </x:c>
      <x:c r="L2115" s="10" t="n">
        <x:f>K2115*'Assumptions'!$U$89</x:f>
        <x:v>805.1618733604902</x:v>
      </x:c>
      <x:c r="M2115" s="10" t="n">
        <x:f>K2115*'Assumptions'!$V$89</x:f>
        <x:v>0</x:v>
      </x:c>
      <x:c r="N2115" s="10" t="n">
        <x:f>K2115-L2115-M2115</x:f>
        <x:v>26033.567238655847</x:v>
      </x:c>
      <x:c r="O2115" s="10" t="n">
        <x:f>H2115*'Assumptions'!$P$89*'Assumptions'!$Q$89*'Assumptions'!$D$11*(1+'Assumptions'!$D$13)^(17-1)</x:f>
        <x:v>1861.1047893778605</x:v>
      </x:c>
      <x:c r="P2115" s="10" t="n">
        <x:f>H2115*'Assumptions'!$R$89*'Assumptions'!$D$11*(1+'Assumptions'!$D$13)^(17-1)</x:f>
        <x:v>0</x:v>
      </x:c>
      <x:c r="Q2115" s="10" t="n">
        <x:f>J2115*'Assumptions'!$S$89</x:f>
        <x:v>0</x:v>
      </x:c>
      <x:c r="R2115" s="10" t="n">
        <x:f>H2115*'Assumptions'!$Y$89*'Assumptions'!$Z$89*'Assumptions'!$D$11*(1+'Assumptions'!$D$13)^(17-1)</x:f>
        <x:v>2392.849014914392</x:v>
      </x:c>
      <x:c r="S2115" s="10" t="n">
        <x:f>IF(I2115=0,0,J2115*'Assumptions'!$W$89+H2115*'Assumptions'!$X$89)</x:f>
        <x:v>877.732770691145</x:v>
      </x:c>
      <x:c r="T2115" s="10" t="n">
        <x:f>N2115*'Assumptions'!$AA$89</x:f>
        <x:v>1301.6783619327925</x:v>
      </x:c>
      <x:c r="U2115" s="10" t="n">
        <x:f>'Assumptions'!$AE$89*'Assumptions'!$D$11*(1+'Assumptions'!$D$13)^(17-1)</x:f>
        <x:v>96.28238634592729</x:v>
      </x:c>
      <x:c r="V2115" s="10" t="n">
        <x:f>0</x:f>
        <x:v>0</x:v>
      </x:c>
      <x:c r="W2115" s="10" t="n">
        <x:f>H2115*('Assumptions'!$P$89+'Assumptions'!$Y$89)</x:f>
        <x:v>82.84135536889258</x:v>
      </x:c>
      <x:c r="X2115" s="10" t="n">
        <x:f>N2115/12*'Assumptions'!$AF$89</x:f>
        <x:v>0</x:v>
      </x:c>
      <x:c r="Y2115" s="10" t="n">
        <x:f>P2115/12</x:f>
        <x:v>0</x:v>
      </x:c>
      <x:c r="Z2115" s="10" t="n">
        <x:f>0</x:f>
        <x:v>0</x:v>
      </x:c>
      <x:c r="AA2115" s="10" t="n">
        <x:f>Z2115*'Assumptions'!$AC$89*'Assumptions'!$D$11*(1+'Assumptions'!$D$13)^(17-1)</x:f>
        <x:v>0</x:v>
      </x:c>
      <x:c r="AB2115" s="10" t="n">
        <x:f>F2115/12</x:f>
        <x:v>8.869373324892713</x:v>
      </x:c>
      <x:c r="AC2115" s="10" t="n">
        <x:f>AB2115/'Assumptions'!$AM$89</x:f>
        <x:v>177.38746649785426</x:v>
      </x:c>
      <x:c r="AD2115" s="10" t="n">
        <x:f>IF(AB2115=0,0,T2115/AB2115)</x:f>
        <x:v>146.76102969749985</x:v>
      </x:c>
      <x:c r="AE2115" s="10" t="n">
        <x:f>AA2115*'Assumptions'!$D$21</x:f>
        <x:v>0</x:v>
      </x:c>
    </x:row>
    <x:row r="2116" ht="16" customHeight="1">
      <x:c r="A2116" s="1"/>
      <x:c r="B2116" s="1"/>
      <x:c r="C2116" s="1" t="str">
        <x:v>DOT-061</x:v>
      </x:c>
      <x:c r="D2116" s="10" t="str">
        <x:v>Model Life</x:v>
      </x:c>
      <x:c r="E2116" s="10" t="n">
        <x:v>17</x:v>
      </x:c>
      <x:c r="F2116" s="21" t="n">
        <x:f>F1988*(1+'Assumptions'!$M$90)</x:f>
        <x:v>53.21623994935628</x:v>
      </x:c>
      <x:c r="G2116" s="21" t="n">
        <x:f>H1988*'Assumptions'!$K$90</x:f>
        <x:v>112.4664707884289</x:v>
      </x:c>
      <x:c r="H2116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2116+G2116,NA())</x:f>
        <x:v>165.68271073778516</x:v>
      </x:c>
      <x:c r="I2116" s="22" t="n">
        <x:f>'Assumptions'!$H$90*IF('Assumptions'!$O$90=1,1,'Assumptions'!$D$10)*(1+'Assumptions'!$N$90)^(17-1)</x:f>
        <x:v>135.90578480397065</x:v>
      </x:c>
      <x:c r="J2116" s="10" t="n">
        <x:f>H2116*I2116</x:f>
        <x:v>22517.238831267947</x:v>
      </x:c>
      <x:c r="K2116" s="10" t="n">
        <x:f>J2116*'Assumptions'!$T$90</x:f>
        <x:v>22517.238831267947</x:v>
      </x:c>
      <x:c r="L2116" s="10" t="n">
        <x:f>K2116*'Assumptions'!$U$90</x:f>
        <x:v>675.5171649380384</x:v>
      </x:c>
      <x:c r="M2116" s="10" t="n">
        <x:f>K2116*'Assumptions'!$V$90</x:f>
        <x:v>0</x:v>
      </x:c>
      <x:c r="N2116" s="10" t="n">
        <x:f>K2116-L2116-M2116</x:f>
        <x:v>21841.721666329908</x:v>
      </x:c>
      <x:c r="O2116" s="10" t="n">
        <x:f>H2116*'Assumptions'!$P$90*'Assumptions'!$Q$90*'Assumptions'!$D$11*(1+'Assumptions'!$D$13)^(17-1)</x:f>
        <x:v>930.5523946889302</x:v>
      </x:c>
      <x:c r="P2116" s="10" t="n">
        <x:f>H2116*'Assumptions'!$R$90*'Assumptions'!$D$11*(1+'Assumptions'!$D$13)^(17-1)</x:f>
        <x:v>0</x:v>
      </x:c>
      <x:c r="Q2116" s="10" t="n">
        <x:f>J2116*'Assumptions'!$S$90</x:f>
        <x:v>0</x:v>
      </x:c>
      <x:c r="R2116" s="10" t="n">
        <x:f>H2116*'Assumptions'!$Y$90*'Assumptions'!$Z$90*'Assumptions'!$D$11*(1+'Assumptions'!$D$13)^(17-1)</x:f>
        <x:v>1196.424507457196</x:v>
      </x:c>
      <x:c r="S2116" s="10" t="n">
        <x:f>IF(I2116=0,0,J2116*'Assumptions'!$W$90+H2116*'Assumptions'!$X$90)</x:f>
        <x:v>702.7047393281061</x:v>
      </x:c>
      <x:c r="T2116" s="10" t="n">
        <x:f>N2116*'Assumptions'!$AA$90</x:f>
        <x:v>1092.0860833164954</x:v>
      </x:c>
      <x:c r="U2116" s="10" t="n">
        <x:f>'Assumptions'!$AE$90*'Assumptions'!$D$11*(1+'Assumptions'!$D$13)^(17-1)</x:f>
        <x:v>96.28238634592729</x:v>
      </x:c>
      <x:c r="V2116" s="10" t="n">
        <x:f>0</x:f>
        <x:v>0</x:v>
      </x:c>
      <x:c r="W2116" s="10" t="n">
        <x:f>H2116*('Assumptions'!$P$90+'Assumptions'!$Y$90)</x:f>
        <x:v>41.42067768444629</x:v>
      </x:c>
      <x:c r="X2116" s="10" t="n">
        <x:f>N2116/12*'Assumptions'!$AF$90</x:f>
        <x:v>0</x:v>
      </x:c>
      <x:c r="Y2116" s="10" t="n">
        <x:f>P2116/12</x:f>
        <x:v>0</x:v>
      </x:c>
      <x:c r="Z2116" s="10" t="n">
        <x:f>0</x:f>
        <x:v>0</x:v>
      </x:c>
      <x:c r="AA2116" s="10" t="n">
        <x:f>Z2116*'Assumptions'!$AC$90*'Assumptions'!$D$11*(1+'Assumptions'!$D$13)^(17-1)</x:f>
        <x:v>0</x:v>
      </x:c>
      <x:c r="AB2116" s="10" t="n">
        <x:f>F2116/12</x:f>
        <x:v>4.434686662446357</x:v>
      </x:c>
      <x:c r="AC2116" s="10" t="n">
        <x:f>AB2116/'Assumptions'!$AM$90</x:f>
        <x:v>88.69373324892713</x:v>
      </x:c>
      <x:c r="AD2116" s="10" t="n">
        <x:f>IF(AB2116=0,0,T2116/AB2116)</x:f>
        <x:v>246.26003288224553</x:v>
      </x:c>
      <x:c r="AE2116" s="10" t="n">
        <x:f>AA2116*'Assumptions'!$D$21</x:f>
        <x:v>0</x:v>
      </x:c>
    </x:row>
    <x:row r="2117" ht="16" customHeight="1">
      <x:c r="A2117" s="1"/>
      <x:c r="B2117" s="1"/>
      <x:c r="C2117" s="1" t="str">
        <x:v>DOT-062</x:v>
      </x:c>
      <x:c r="D2117" s="10" t="str">
        <x:v>Model Life</x:v>
      </x:c>
      <x:c r="E2117" s="10" t="n">
        <x:v>17</x:v>
      </x:c>
      <x:c r="F2117" s="21" t="n">
        <x:f>F1989*(1+'Assumptions'!$M$91)</x:f>
        <x:v>53.21623994935628</x:v>
      </x:c>
      <x:c r="G2117" s="21" t="n">
        <x:f>H1989*'Assumptions'!$K$91</x:f>
        <x:v>112.4664707884289</x:v>
      </x:c>
      <x:c r="H2117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2117+G2117,NA())</x:f>
        <x:v>165.68271073778516</x:v>
      </x:c>
      <x:c r="I2117" s="22" t="n">
        <x:f>'Assumptions'!$H$91*IF('Assumptions'!$O$91=1,1,'Assumptions'!$D$10)*(1+'Assumptions'!$N$91)^(17-1)</x:f>
        <x:v>67.26649954944001</x:v>
      </x:c>
      <x:c r="J2117" s="10" t="n">
        <x:f>H2117*I2117</x:f>
        <x:v>11144.895987193226</x:v>
      </x:c>
      <x:c r="K2117" s="10" t="n">
        <x:f>J2117*'Assumptions'!$T$91</x:f>
        <x:v>11144.895987193226</x:v>
      </x:c>
      <x:c r="L2117" s="10" t="n">
        <x:f>K2117*'Assumptions'!$U$91</x:f>
        <x:v>334.34687961579675</x:v>
      </x:c>
      <x:c r="M2117" s="10" t="n">
        <x:f>K2117*'Assumptions'!$V$91</x:f>
        <x:v>0</x:v>
      </x:c>
      <x:c r="N2117" s="10" t="n">
        <x:f>K2117-L2117-M2117</x:f>
        <x:v>10810.54910757743</x:v>
      </x:c>
      <x:c r="O2117" s="10" t="n">
        <x:f>H2117*'Assumptions'!$P$91*'Assumptions'!$Q$91*'Assumptions'!$D$11*(1+'Assumptions'!$D$13)^(17-1)</x:f>
        <x:v>930.5523946889302</x:v>
      </x:c>
      <x:c r="P2117" s="10" t="n">
        <x:f>H2117*'Assumptions'!$R$91*'Assumptions'!$D$11*(1+'Assumptions'!$D$13)^(17-1)</x:f>
        <x:v>0</x:v>
      </x:c>
      <x:c r="Q2117" s="10" t="n">
        <x:f>J2117*'Assumptions'!$S$91</x:f>
        <x:v>0</x:v>
      </x:c>
      <x:c r="R2117" s="10" t="n">
        <x:f>H2117*'Assumptions'!$Y$91*'Assumptions'!$Z$91*'Assumptions'!$D$11*(1+'Assumptions'!$D$13)^(17-1)</x:f>
        <x:v>1196.424507457196</x:v>
      </x:c>
      <x:c r="S2117" s="10" t="n">
        <x:f>IF(I2117=0,0,J2117*'Assumptions'!$W$91+H2117*'Assumptions'!$X$91)</x:f>
        <x:v>372.9067968499391</x:v>
      </x:c>
      <x:c r="T2117" s="10" t="n">
        <x:f>N2117*'Assumptions'!$AA$91</x:f>
        <x:v>540.5274553788715</x:v>
      </x:c>
      <x:c r="U2117" s="10" t="n">
        <x:f>'Assumptions'!$AE$91*'Assumptions'!$D$11*(1+'Assumptions'!$D$13)^(17-1)</x:f>
        <x:v>96.28238634592729</x:v>
      </x:c>
      <x:c r="V2117" s="10" t="n">
        <x:f>0</x:f>
        <x:v>0</x:v>
      </x:c>
      <x:c r="W2117" s="10" t="n">
        <x:f>H2117*('Assumptions'!$P$91+'Assumptions'!$Y$91)</x:f>
        <x:v>41.42067768444629</x:v>
      </x:c>
      <x:c r="X2117" s="10" t="n">
        <x:f>N2117/12*'Assumptions'!$AF$91</x:f>
        <x:v>0</x:v>
      </x:c>
      <x:c r="Y2117" s="10" t="n">
        <x:f>P2117/12</x:f>
        <x:v>0</x:v>
      </x:c>
      <x:c r="Z2117" s="10" t="n">
        <x:f>0</x:f>
        <x:v>0</x:v>
      </x:c>
      <x:c r="AA2117" s="10" t="n">
        <x:f>Z2117*'Assumptions'!$AC$91*'Assumptions'!$D$11*(1+'Assumptions'!$D$13)^(17-1)</x:f>
        <x:v>0</x:v>
      </x:c>
      <x:c r="AB2117" s="10" t="n">
        <x:f>F2117/12</x:f>
        <x:v>4.434686662446357</x:v>
      </x:c>
      <x:c r="AC2117" s="10" t="n">
        <x:f>AB2117/'Assumptions'!$AM$91</x:f>
        <x:v>88.69373324892713</x:v>
      </x:c>
      <x:c r="AD2117" s="10" t="n">
        <x:f>IF(AB2117=0,0,T2117/AB2117)</x:f>
        <x:v>121.88627890131346</x:v>
      </x:c>
      <x:c r="AE2117" s="10" t="n">
        <x:f>AA2117*'Assumptions'!$D$21</x:f>
        <x:v>0</x:v>
      </x:c>
    </x:row>
    <x:row r="2118" ht="16" customHeight="1">
      <x:c r="A2118" s="1"/>
      <x:c r="B2118" s="1"/>
      <x:c r="C2118" s="1" t="str">
        <x:v>DOT-063</x:v>
      </x:c>
      <x:c r="D2118" s="10" t="str">
        <x:v>S’otality cleaning</x:v>
      </x:c>
      <x:c r="E2118" s="10" t="n">
        <x:v>17</x:v>
      </x:c>
      <x:c r="F2118" s="21" t="n">
        <x:f>F1990*(1+'Assumptions'!$M$92)</x:f>
        <x:v>100.19791269271163</x:v>
      </x:c>
      <x:c r="G2118" s="21" t="n">
        <x:f>H1990*'Assumptions'!$K$92</x:f>
        <x:v>139.77675609805559</x:v>
      </x:c>
      <x:c r="H2118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2118+G2118,NA())</x:f>
        <x:v>239.97466879076723</x:v>
      </x:c>
      <x:c r="I2118" s="22" t="n">
        <x:f>'Assumptions'!$H$92*IF('Assumptions'!$O$92=1,1,'Assumptions'!$D$10)*(1+'Assumptions'!$N$92)^(17-1)</x:f>
        <x:v>204.54507005850127</x:v>
      </x:c>
      <x:c r="J2118" s="10" t="n">
        <x:f>H2118*I2118</x:f>
        <x:v>49085.63544007312</x:v>
      </x:c>
      <x:c r="K2118" s="10" t="n">
        <x:f>J2118*'Assumptions'!$T$92</x:f>
        <x:v>49085.63544007312</x:v>
      </x:c>
      <x:c r="L2118" s="10" t="n">
        <x:f>K2118*'Assumptions'!$U$92</x:f>
        <x:v>1472.5690632021935</x:v>
      </x:c>
      <x:c r="M2118" s="10" t="n">
        <x:f>K2118*'Assumptions'!$V$92</x:f>
        <x:v>0</x:v>
      </x:c>
      <x:c r="N2118" s="10" t="n">
        <x:f>K2118-L2118-M2118</x:f>
        <x:v>47613.06637687093</x:v>
      </x:c>
      <x:c r="O2118" s="10" t="n">
        <x:f>H2118*'Assumptions'!$P$92*'Assumptions'!$Q$92*'Assumptions'!$D$11*(1+'Assumptions'!$D$13)^(17-1)</x:f>
        <x:v>1347.8111368020013</x:v>
      </x:c>
      <x:c r="P2118" s="10" t="n">
        <x:f>H2118*'Assumptions'!$R$92*'Assumptions'!$D$11*(1+'Assumptions'!$D$13)^(17-1)</x:f>
        <x:v>3080.7111698331455</x:v>
      </x:c>
      <x:c r="Q2118" s="10" t="n">
        <x:f>J2118*'Assumptions'!$S$92</x:f>
        <x:v>31905.66303604753</x:v>
      </x:c>
      <x:c r="R2118" s="10" t="n">
        <x:f>H2118*'Assumptions'!$Y$92*'Assumptions'!$Z$92*'Assumptions'!$D$11*(1+'Assumptions'!$D$13)^(17-1)</x:f>
        <x:v>2310.5333773748594</x:v>
      </x:c>
      <x:c r="S2118" s="10" t="n">
        <x:f>IF(I2118=0,0,J2118*'Assumptions'!$W$92+H2118*'Assumptions'!$X$92)</x:f>
        <x:v>1495.4758283993506</x:v>
      </x:c>
      <x:c r="T2118" s="10" t="n">
        <x:f>N2118*'Assumptions'!$AA$92</x:f>
        <x:v>1904.522655074837</x:v>
      </x:c>
      <x:c r="U2118" s="10" t="n">
        <x:f>'Assumptions'!$AE$92*'Assumptions'!$D$11*(1+'Assumptions'!$D$13)^(17-1)</x:f>
        <x:v>0</x:v>
      </x:c>
      <x:c r="V2118" s="10" t="n">
        <x:f>0</x:f>
        <x:v>0</x:v>
      </x:c>
      <x:c r="W2118" s="10" t="n">
        <x:f>H2118*('Assumptions'!$P$92+'Assumptions'!$Y$92)</x:f>
        <x:v>71.99240063723018</x:v>
      </x:c>
      <x:c r="X2118" s="10" t="n">
        <x:f>N2118/12*'Assumptions'!$AF$92</x:f>
        <x:v>0</x:v>
      </x:c>
      <x:c r="Y2118" s="10" t="n">
        <x:f>P2118/12</x:f>
        <x:v>256.7259308194288</x:v>
      </x:c>
      <x:c r="Z2118" s="10" t="n">
        <x:f>0</x:f>
        <x:v>0</x:v>
      </x:c>
      <x:c r="AA2118" s="10" t="n">
        <x:f>Z2118*'Assumptions'!$AC$92*'Assumptions'!$D$11*(1+'Assumptions'!$D$13)^(17-1)</x:f>
        <x:v>0</x:v>
      </x:c>
      <x:c r="AB2118" s="10" t="n">
        <x:f>F2118/1</x:f>
        <x:v>100.19791269271163</x:v>
      </x:c>
      <x:c r="AC2118" s="10" t="n">
        <x:f>AB2118/'Assumptions'!$AM$92</x:f>
        <x:v>667.9860846180775</x:v>
      </x:c>
      <x:c r="AD2118" s="10" t="n">
        <x:f>IF(AB2118=0,0,T2118/AB2118)</x:f>
        <x:v>19.00760808177366</x:v>
      </x:c>
      <x:c r="AE2118" s="10" t="n">
        <x:f>AA2118*'Assumptions'!$D$21</x:f>
        <x:v>0</x:v>
      </x:c>
    </x:row>
    <x:row r="2119" ht="16" customHeight="1">
      <x:c r="A2119" s="1"/>
      <x:c r="B2119" s="1"/>
      <x:c r="C2119" s="1" t="str">
        <x:v>DOT-064</x:v>
      </x:c>
      <x:c r="D2119" s="10" t="str">
        <x:v>S’otality cleaning</x:v>
      </x:c>
      <x:c r="E2119" s="10" t="n">
        <x:v>17</x:v>
      </x:c>
      <x:c r="F2119" s="21" t="n">
        <x:f>F1991*(1+'Assumptions'!$M$93)</x:f>
        <x:v>150.29686903906736</x:v>
      </x:c>
      <x:c r="G2119" s="21" t="n">
        <x:f>H1991*'Assumptions'!$K$93</x:f>
        <x:v>209.66513414708325</x:v>
      </x:c>
      <x:c r="H2119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2119+G2119,NA())</x:f>
        <x:v>359.9620031861506</x:v>
      </x:c>
      <x:c r="I2119" s="22" t="n">
        <x:f>'Assumptions'!$H$93*IF('Assumptions'!$O$93=1,1,'Assumptions'!$D$10)*(1+'Assumptions'!$N$93)^(17-1)</x:f>
        <x:v>190.81721300759514</x:v>
      </x:c>
      <x:c r="J2119" s="10" t="n">
        <x:f>H2119*I2119</x:f>
        <x:v>68686.94623661233</x:v>
      </x:c>
      <x:c r="K2119" s="10" t="n">
        <x:f>J2119*'Assumptions'!$T$93</x:f>
        <x:v>68686.94623661233</x:v>
      </x:c>
      <x:c r="L2119" s="10" t="n">
        <x:f>K2119*'Assumptions'!$U$93</x:f>
        <x:v>2060.60838709837</x:v>
      </x:c>
      <x:c r="M2119" s="10" t="n">
        <x:f>K2119*'Assumptions'!$V$93</x:f>
        <x:v>0</x:v>
      </x:c>
      <x:c r="N2119" s="10" t="n">
        <x:f>K2119-L2119-M2119</x:f>
        <x:v>66626.33784951396</x:v>
      </x:c>
      <x:c r="O2119" s="10" t="n">
        <x:f>H2119*'Assumptions'!$P$93*'Assumptions'!$Q$93*'Assumptions'!$D$11*(1+'Assumptions'!$D$13)^(17-1)</x:f>
        <x:v>2021.7167052030004</x:v>
      </x:c>
      <x:c r="P2119" s="10" t="n">
        <x:f>H2119*'Assumptions'!$R$93*'Assumptions'!$D$11*(1+'Assumptions'!$D$13)^(17-1)</x:f>
        <x:v>4621.066754749715</x:v>
      </x:c>
      <x:c r="Q2119" s="10" t="n">
        <x:f>J2119*'Assumptions'!$S$93</x:f>
        <x:v>44646.515053798015</x:v>
      </x:c>
      <x:c r="R2119" s="10" t="n">
        <x:f>H2119*'Assumptions'!$Y$93*'Assumptions'!$Z$93*'Assumptions'!$D$11*(1+'Assumptions'!$D$13)^(17-1)</x:f>
        <x:v>3465.8000660622865</x:v>
      </x:c>
      <x:c r="S2119" s="10" t="n">
        <x:f>IF(I2119=0,0,J2119*'Assumptions'!$W$93+H2119*'Assumptions'!$X$93)</x:f>
        <x:v>2099.9100418176026</x:v>
      </x:c>
      <x:c r="T2119" s="10" t="n">
        <x:f>N2119*'Assumptions'!$AA$93</x:f>
        <x:v>2665.0535139805584</x:v>
      </x:c>
      <x:c r="U2119" s="10" t="n">
        <x:f>'Assumptions'!$AE$93*'Assumptions'!$D$11*(1+'Assumptions'!$D$13)^(17-1)</x:f>
        <x:v>0</x:v>
      </x:c>
      <x:c r="V2119" s="10" t="n">
        <x:f>0</x:f>
        <x:v>0</x:v>
      </x:c>
      <x:c r="W2119" s="10" t="n">
        <x:f>H2119*('Assumptions'!$P$93+'Assumptions'!$Y$93)</x:f>
        <x:v>107.98860095584519</x:v>
      </x:c>
      <x:c r="X2119" s="10" t="n">
        <x:f>N2119/12*'Assumptions'!$AF$93</x:f>
        <x:v>0</x:v>
      </x:c>
      <x:c r="Y2119" s="10" t="n">
        <x:f>P2119/12</x:f>
        <x:v>385.0888962291429</x:v>
      </x:c>
      <x:c r="Z2119" s="10" t="n">
        <x:f>0</x:f>
        <x:v>0</x:v>
      </x:c>
      <x:c r="AA2119" s="10" t="n">
        <x:f>Z2119*'Assumptions'!$AC$93*'Assumptions'!$D$11*(1+'Assumptions'!$D$13)^(17-1)</x:f>
        <x:v>0</x:v>
      </x:c>
      <x:c r="AB2119" s="10" t="n">
        <x:f>F2119/1</x:f>
        <x:v>150.29686903906736</x:v>
      </x:c>
      <x:c r="AC2119" s="10" t="n">
        <x:f>AB2119/'Assumptions'!$AM$93</x:f>
        <x:v>1001.9791269271158</x:v>
      </x:c>
      <x:c r="AD2119" s="10" t="n">
        <x:f>IF(AB2119=0,0,T2119/AB2119)</x:f>
        <x:v>17.731929687023744</x:v>
      </x:c>
      <x:c r="AE2119" s="10" t="n">
        <x:f>AA2119*'Assumptions'!$D$21</x:f>
        <x:v>0</x:v>
      </x:c>
    </x:row>
    <x:row r="2120" ht="16" customHeight="1">
      <x:c r="A2120" s="1"/>
      <x:c r="B2120" s="1"/>
      <x:c r="C2120" s="1" t="str">
        <x:v>DOT-065</x:v>
      </x:c>
      <x:c r="D2120" s="10" t="str">
        <x:v>S’otality cleaning</x:v>
      </x:c>
      <x:c r="E2120" s="10" t="n">
        <x:v>17</x:v>
      </x:c>
      <x:c r="F2120" s="21" t="n">
        <x:f>F1992*(1+'Assumptions'!$M$94)</x:f>
        <x:v>100.19791269271163</x:v>
      </x:c>
      <x:c r="G2120" s="21" t="n">
        <x:f>H1992*'Assumptions'!$K$94</x:f>
        <x:v>139.77675609805559</x:v>
      </x:c>
      <x:c r="H2120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2120+G2120,NA())</x:f>
        <x:v>239.97466879076723</x:v>
      </x:c>
      <x:c r="I2120" s="22" t="n">
        <x:f>'Assumptions'!$H$94*IF('Assumptions'!$O$94=1,1,'Assumptions'!$D$10)*(1+'Assumptions'!$N$94)^(17-1)</x:f>
        <x:v>218.2729271094074</x:v>
      </x:c>
      <x:c r="J2120" s="10" t="n">
        <x:f>H2120*I2120</x:f>
        <x:v>52379.97338907132</x:v>
      </x:c>
      <x:c r="K2120" s="10" t="n">
        <x:f>J2120*'Assumptions'!$T$94</x:f>
        <x:v>52379.97338907132</x:v>
      </x:c>
      <x:c r="L2120" s="10" t="n">
        <x:f>K2120*'Assumptions'!$U$94</x:f>
        <x:v>1571.3992016721395</x:v>
      </x:c>
      <x:c r="M2120" s="10" t="n">
        <x:f>K2120*'Assumptions'!$V$94</x:f>
        <x:v>0</x:v>
      </x:c>
      <x:c r="N2120" s="10" t="n">
        <x:f>K2120-L2120-M2120</x:f>
        <x:v>50808.57418739918</x:v>
      </x:c>
      <x:c r="O2120" s="10" t="n">
        <x:f>H2120*'Assumptions'!$P$94*'Assumptions'!$Q$94*'Assumptions'!$D$11*(1+'Assumptions'!$D$13)^(17-1)</x:f>
        <x:v>1347.8111368020013</x:v>
      </x:c>
      <x:c r="P2120" s="10" t="n">
        <x:f>H2120*'Assumptions'!$R$94*'Assumptions'!$D$11*(1+'Assumptions'!$D$13)^(17-1)</x:f>
        <x:v>3080.7111698331455</x:v>
      </x:c>
      <x:c r="Q2120" s="10" t="n">
        <x:f>J2120*'Assumptions'!$S$94</x:f>
        <x:v>34046.982702896355</x:v>
      </x:c>
      <x:c r="R2120" s="10" t="n">
        <x:f>H2120*'Assumptions'!$Y$94*'Assumptions'!$Z$94*'Assumptions'!$D$11*(1+'Assumptions'!$D$13)^(17-1)</x:f>
        <x:v>2310.5333773748594</x:v>
      </x:c>
      <x:c r="S2120" s="10" t="n">
        <x:f>IF(I2120=0,0,J2120*'Assumptions'!$W$94+H2120*'Assumptions'!$X$94)</x:f>
        <x:v>1591.0116289202983</x:v>
      </x:c>
      <x:c r="T2120" s="10" t="n">
        <x:f>N2120*'Assumptions'!$AA$94</x:f>
        <x:v>2032.3429674959673</x:v>
      </x:c>
      <x:c r="U2120" s="10" t="n">
        <x:f>'Assumptions'!$AE$94*'Assumptions'!$D$11*(1+'Assumptions'!$D$13)^(17-1)</x:f>
        <x:v>0</x:v>
      </x:c>
      <x:c r="V2120" s="10" t="n">
        <x:f>0</x:f>
        <x:v>0</x:v>
      </x:c>
      <x:c r="W2120" s="10" t="n">
        <x:f>H2120*('Assumptions'!$P$94+'Assumptions'!$Y$94)</x:f>
        <x:v>71.99240063723018</x:v>
      </x:c>
      <x:c r="X2120" s="10" t="n">
        <x:f>N2120/12*'Assumptions'!$AF$94</x:f>
        <x:v>0</x:v>
      </x:c>
      <x:c r="Y2120" s="10" t="n">
        <x:f>P2120/12</x:f>
        <x:v>256.7259308194288</x:v>
      </x:c>
      <x:c r="Z2120" s="10" t="n">
        <x:f>0</x:f>
        <x:v>0</x:v>
      </x:c>
      <x:c r="AA2120" s="10" t="n">
        <x:f>Z2120*'Assumptions'!$AC$94*'Assumptions'!$D$11*(1+'Assumptions'!$D$13)^(17-1)</x:f>
        <x:v>0</x:v>
      </x:c>
      <x:c r="AB2120" s="10" t="n">
        <x:f>F2120/1</x:f>
        <x:v>100.19791269271163</x:v>
      </x:c>
      <x:c r="AC2120" s="10" t="n">
        <x:f>AB2120/'Assumptions'!$AM$94</x:f>
        <x:v>667.9860846180775</x:v>
      </x:c>
      <x:c r="AD2120" s="10" t="n">
        <x:f>IF(AB2120=0,0,T2120/AB2120)</x:f>
        <x:v>20.28328647652357</x:v>
      </x:c>
      <x:c r="AE2120" s="10" t="n">
        <x:f>AA2120*'Assumptions'!$D$21</x:f>
        <x:v>0</x:v>
      </x:c>
    </x:row>
    <x:row r="2121" ht="16" customHeight="1">
      <x:c r="A2121" s="1"/>
      <x:c r="B2121" s="1"/>
      <x:c r="C2121" s="1" t="str">
        <x:v>DOT-066</x:v>
      </x:c>
      <x:c r="D2121" s="10" t="str">
        <x:v>S’otality cleaning</x:v>
      </x:c>
      <x:c r="E2121" s="10" t="n">
        <x:v>17</x:v>
      </x:c>
      <x:c r="F2121" s="21" t="n">
        <x:f>F1993*(1+'Assumptions'!$M$95)</x:f>
        <x:v>150.29686903906736</x:v>
      </x:c>
      <x:c r="G2121" s="21" t="n">
        <x:f>H1993*'Assumptions'!$K$95</x:f>
        <x:v>209.66513414708325</x:v>
      </x:c>
      <x:c r="H2121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2121+G2121,NA())</x:f>
        <x:v>359.9620031861506</x:v>
      </x:c>
      <x:c r="I2121" s="22" t="n">
        <x:f>'Assumptions'!$H$95*IF('Assumptions'!$O$95=1,1,'Assumptions'!$D$10)*(1+'Assumptions'!$N$95)^(17-1)</x:f>
        <x:v>204.54507005850127</x:v>
      </x:c>
      <x:c r="J2121" s="10" t="n">
        <x:f>H2121*I2121</x:f>
        <x:v>73628.45316010962</x:v>
      </x:c>
      <x:c r="K2121" s="10" t="n">
        <x:f>J2121*'Assumptions'!$T$95</x:f>
        <x:v>73628.45316010962</x:v>
      </x:c>
      <x:c r="L2121" s="10" t="n">
        <x:f>K2121*'Assumptions'!$U$95</x:f>
        <x:v>2208.8535948032886</x:v>
      </x:c>
      <x:c r="M2121" s="10" t="n">
        <x:f>K2121*'Assumptions'!$V$95</x:f>
        <x:v>0</x:v>
      </x:c>
      <x:c r="N2121" s="10" t="n">
        <x:f>K2121-L2121-M2121</x:f>
        <x:v>71419.59956530633</x:v>
      </x:c>
      <x:c r="O2121" s="10" t="n">
        <x:f>H2121*'Assumptions'!$P$95*'Assumptions'!$Q$95*'Assumptions'!$D$11*(1+'Assumptions'!$D$13)^(17-1)</x:f>
        <x:v>2021.7167052030004</x:v>
      </x:c>
      <x:c r="P2121" s="10" t="n">
        <x:f>H2121*'Assumptions'!$R$95*'Assumptions'!$D$11*(1+'Assumptions'!$D$13)^(17-1)</x:f>
        <x:v>4621.066754749715</x:v>
      </x:c>
      <x:c r="Q2121" s="10" t="n">
        <x:f>J2121*'Assumptions'!$S$95</x:f>
        <x:v>47858.49455407126</x:v>
      </x:c>
      <x:c r="R2121" s="10" t="n">
        <x:f>H2121*'Assumptions'!$Y$95*'Assumptions'!$Z$95*'Assumptions'!$D$11*(1+'Assumptions'!$D$13)^(17-1)</x:f>
        <x:v>3465.8000660622865</x:v>
      </x:c>
      <x:c r="S2121" s="10" t="n">
        <x:f>IF(I2121=0,0,J2121*'Assumptions'!$W$95+H2121*'Assumptions'!$X$95)</x:f>
        <x:v>2243.213742599024</x:v>
      </x:c>
      <x:c r="T2121" s="10" t="n">
        <x:f>N2121*'Assumptions'!$AA$95</x:f>
        <x:v>2856.783982612253</x:v>
      </x:c>
      <x:c r="U2121" s="10" t="n">
        <x:f>'Assumptions'!$AE$95*'Assumptions'!$D$11*(1+'Assumptions'!$D$13)^(17-1)</x:f>
        <x:v>0</x:v>
      </x:c>
      <x:c r="V2121" s="10" t="n">
        <x:f>0</x:f>
        <x:v>0</x:v>
      </x:c>
      <x:c r="W2121" s="10" t="n">
        <x:f>H2121*('Assumptions'!$P$95+'Assumptions'!$Y$95)</x:f>
        <x:v>107.98860095584519</x:v>
      </x:c>
      <x:c r="X2121" s="10" t="n">
        <x:f>N2121/12*'Assumptions'!$AF$95</x:f>
        <x:v>0</x:v>
      </x:c>
      <x:c r="Y2121" s="10" t="n">
        <x:f>P2121/12</x:f>
        <x:v>385.0888962291429</x:v>
      </x:c>
      <x:c r="Z2121" s="10" t="n">
        <x:f>0</x:f>
        <x:v>0</x:v>
      </x:c>
      <x:c r="AA2121" s="10" t="n">
        <x:f>Z2121*'Assumptions'!$AC$95*'Assumptions'!$D$11*(1+'Assumptions'!$D$13)^(17-1)</x:f>
        <x:v>0</x:v>
      </x:c>
      <x:c r="AB2121" s="10" t="n">
        <x:f>F2121/1</x:f>
        <x:v>150.29686903906736</x:v>
      </x:c>
      <x:c r="AC2121" s="10" t="n">
        <x:f>AB2121/'Assumptions'!$AM$95</x:f>
        <x:v>1001.9791269271158</x:v>
      </x:c>
      <x:c r="AD2121" s="10" t="n">
        <x:f>IF(AB2121=0,0,T2121/AB2121)</x:f>
        <x:v>19.007608081773654</x:v>
      </x:c>
      <x:c r="AE2121" s="10" t="n">
        <x:f>AA2121*'Assumptions'!$D$21</x:f>
        <x:v>0</x:v>
      </x:c>
    </x:row>
    <x:row r="2122" ht="16" customHeight="1">
      <x:c r="A2122" s="1"/>
      <x:c r="B2122" s="1"/>
      <x:c r="C2122" s="1" t="str">
        <x:v>DOT-067</x:v>
      </x:c>
      <x:c r="D2122" s="10" t="str">
        <x:v>S’otality cleaning</x:v>
      </x:c>
      <x:c r="E2122" s="10" t="n">
        <x:v>17</x:v>
      </x:c>
      <x:c r="F2122" s="21" t="n">
        <x:f>F1994*(1+'Assumptions'!$M$96)</x:f>
        <x:v>66.79860846180775</x:v>
      </x:c>
      <x:c r="G2122" s="21" t="n">
        <x:f>H1994*'Assumptions'!$K$96</x:f>
        <x:v>93.18450406537043</x:v>
      </x:c>
      <x:c r="H2122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2122+G2122,NA())</x:f>
        <x:v>159.98311252717818</x:v>
      </x:c>
      <x:c r="I2122" s="22" t="n">
        <x:f>'Assumptions'!$H$96*IF('Assumptions'!$O$96=1,1,'Assumptions'!$D$10)*(1+'Assumptions'!$N$96)^(17-1)</x:f>
        <x:v>273.18435531303186</x:v>
      </x:c>
      <x:c r="J2122" s="10" t="n">
        <x:f>H2122*I2122</x:f>
        <x:v>43704.8834567094</x:v>
      </x:c>
      <x:c r="K2122" s="10" t="n">
        <x:f>J2122*'Assumptions'!$T$96</x:f>
        <x:v>43704.8834567094</x:v>
      </x:c>
      <x:c r="L2122" s="10" t="n">
        <x:f>K2122*'Assumptions'!$U$96</x:f>
        <x:v>1311.146503701282</x:v>
      </x:c>
      <x:c r="M2122" s="10" t="n">
        <x:f>K2122*'Assumptions'!$V$96</x:f>
        <x:v>0</x:v>
      </x:c>
      <x:c r="N2122" s="10" t="n">
        <x:f>K2122-L2122-M2122</x:f>
        <x:v>42393.73695300812</x:v>
      </x:c>
      <x:c r="O2122" s="10" t="n">
        <x:f>H2122*'Assumptions'!$P$96*'Assumptions'!$Q$96*'Assumptions'!$D$11*(1+'Assumptions'!$D$13)^(17-1)</x:f>
        <x:v>898.540757868001</x:v>
      </x:c>
      <x:c r="P2122" s="10" t="n">
        <x:f>H2122*'Assumptions'!$R$96*'Assumptions'!$D$11*(1+'Assumptions'!$D$13)^(17-1)</x:f>
        <x:v>2053.8074465554305</x:v>
      </x:c>
      <x:c r="Q2122" s="10" t="n">
        <x:f>J2122*'Assumptions'!$S$96</x:f>
        <x:v>28408.174246861112</x:v>
      </x:c>
      <x:c r="R2122" s="10" t="n">
        <x:f>H2122*'Assumptions'!$Y$96*'Assumptions'!$Z$96*'Assumptions'!$D$11*(1+'Assumptions'!$D$13)^(17-1)</x:f>
        <x:v>1540.355584916573</x:v>
      </x:c>
      <x:c r="S2122" s="10" t="n">
        <x:f>IF(I2122=0,0,J2122*'Assumptions'!$W$96+H2122*'Assumptions'!$X$96)</x:f>
        <x:v>1315.436554002726</x:v>
      </x:c>
      <x:c r="T2122" s="10" t="n">
        <x:f>N2122*'Assumptions'!$AA$96</x:f>
        <x:v>1695.7494781203247</x:v>
      </x:c>
      <x:c r="U2122" s="10" t="n">
        <x:f>'Assumptions'!$AE$96*'Assumptions'!$D$11*(1+'Assumptions'!$D$13)^(17-1)</x:f>
        <x:v>0</x:v>
      </x:c>
      <x:c r="V2122" s="10" t="n">
        <x:f>0</x:f>
        <x:v>0</x:v>
      </x:c>
      <x:c r="W2122" s="10" t="n">
        <x:f>H2122*('Assumptions'!$P$96+'Assumptions'!$Y$96)</x:f>
        <x:v>47.99493375815346</x:v>
      </x:c>
      <x:c r="X2122" s="10" t="n">
        <x:f>N2122/12*'Assumptions'!$AF$96</x:f>
        <x:v>0</x:v>
      </x:c>
      <x:c r="Y2122" s="10" t="n">
        <x:f>P2122/12</x:f>
        <x:v>171.15062054628586</x:v>
      </x:c>
      <x:c r="Z2122" s="10" t="n">
        <x:f>0</x:f>
        <x:v>0</x:v>
      </x:c>
      <x:c r="AA2122" s="10" t="n">
        <x:f>Z2122*'Assumptions'!$AC$96*'Assumptions'!$D$11*(1+'Assumptions'!$D$13)^(17-1)</x:f>
        <x:v>0</x:v>
      </x:c>
      <x:c r="AB2122" s="10" t="n">
        <x:f>F2122/1</x:f>
        <x:v>66.79860846180775</x:v>
      </x:c>
      <x:c r="AC2122" s="10" t="n">
        <x:f>AB2122/'Assumptions'!$AM$96</x:f>
        <x:v>445.3240564120517</x:v>
      </x:c>
      <x:c r="AD2122" s="10" t="n">
        <x:f>IF(AB2122=0,0,T2122/AB2122)</x:f>
        <x:v>25.386000055523212</x:v>
      </x:c>
      <x:c r="AE2122" s="10" t="n">
        <x:f>AA2122*'Assumptions'!$D$21</x:f>
        <x:v>0</x:v>
      </x:c>
    </x:row>
    <x:row r="2123" ht="16" customHeight="1">
      <x:c r="A2123" s="1"/>
      <x:c r="B2123" s="1"/>
      <x:c r="C2123" s="1" t="str">
        <x:v>DOT-068</x:v>
      </x:c>
      <x:c r="D2123" s="10" t="str">
        <x:v>S’otality cleaning</x:v>
      </x:c>
      <x:c r="E2123" s="10" t="n">
        <x:v>17</x:v>
      </x:c>
      <x:c r="F2123" s="21" t="n">
        <x:f>F1995*(1+'Assumptions'!$M$97)</x:f>
        <x:v>100.19791269271163</x:v>
      </x:c>
      <x:c r="G2123" s="21" t="n">
        <x:f>H1995*'Assumptions'!$K$97</x:f>
        <x:v>139.77675609805559</x:v>
      </x:c>
      <x:c r="H2123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2123+G2123,NA())</x:f>
        <x:v>239.97466879076723</x:v>
      </x:c>
      <x:c r="I2123" s="22" t="n">
        <x:f>'Assumptions'!$H$97*IF('Assumptions'!$O$97=1,1,'Assumptions'!$D$10)*(1+'Assumptions'!$N$97)^(17-1)</x:f>
        <x:v>259.45649826212576</x:v>
      </x:c>
      <x:c r="J2123" s="10" t="n">
        <x:f>H2123*I2123</x:f>
        <x:v>62262.9872360659</x:v>
      </x:c>
      <x:c r="K2123" s="10" t="n">
        <x:f>J2123*'Assumptions'!$T$97</x:f>
        <x:v>62262.9872360659</x:v>
      </x:c>
      <x:c r="L2123" s="10" t="n">
        <x:f>K2123*'Assumptions'!$U$97</x:f>
        <x:v>1867.889617081977</x:v>
      </x:c>
      <x:c r="M2123" s="10" t="n">
        <x:f>K2123*'Assumptions'!$V$97</x:f>
        <x:v>0</x:v>
      </x:c>
      <x:c r="N2123" s="10" t="n">
        <x:f>K2123-L2123-M2123</x:f>
        <x:v>60395.09761898392</x:v>
      </x:c>
      <x:c r="O2123" s="10" t="n">
        <x:f>H2123*'Assumptions'!$P$97*'Assumptions'!$Q$97*'Assumptions'!$D$11*(1+'Assumptions'!$D$13)^(17-1)</x:f>
        <x:v>1347.8111368020013</x:v>
      </x:c>
      <x:c r="P2123" s="10" t="n">
        <x:f>H2123*'Assumptions'!$R$97*'Assumptions'!$D$11*(1+'Assumptions'!$D$13)^(17-1)</x:f>
        <x:v>3080.7111698331455</x:v>
      </x:c>
      <x:c r="Q2123" s="10" t="n">
        <x:f>J2123*'Assumptions'!$S$97</x:f>
        <x:v>40470.94170344283</x:v>
      </x:c>
      <x:c r="R2123" s="10" t="n">
        <x:f>H2123*'Assumptions'!$Y$97*'Assumptions'!$Z$97*'Assumptions'!$D$11*(1+'Assumptions'!$D$13)^(17-1)</x:f>
        <x:v>2310.5333773748594</x:v>
      </x:c>
      <x:c r="S2123" s="10" t="n">
        <x:f>IF(I2123=0,0,J2123*'Assumptions'!$W$97+H2123*'Assumptions'!$X$97)</x:f>
        <x:v>1877.6190304831412</x:v>
      </x:c>
      <x:c r="T2123" s="10" t="n">
        <x:f>N2123*'Assumptions'!$AA$97</x:f>
        <x:v>2415.803904759357</x:v>
      </x:c>
      <x:c r="U2123" s="10" t="n">
        <x:f>'Assumptions'!$AE$97*'Assumptions'!$D$11*(1+'Assumptions'!$D$13)^(17-1)</x:f>
        <x:v>0</x:v>
      </x:c>
      <x:c r="V2123" s="10" t="n">
        <x:f>0</x:f>
        <x:v>0</x:v>
      </x:c>
      <x:c r="W2123" s="10" t="n">
        <x:f>H2123*('Assumptions'!$P$97+'Assumptions'!$Y$97)</x:f>
        <x:v>71.99240063723018</x:v>
      </x:c>
      <x:c r="X2123" s="10" t="n">
        <x:f>N2123/12*'Assumptions'!$AF$97</x:f>
        <x:v>0</x:v>
      </x:c>
      <x:c r="Y2123" s="10" t="n">
        <x:f>P2123/12</x:f>
        <x:v>256.7259308194288</x:v>
      </x:c>
      <x:c r="Z2123" s="10" t="n">
        <x:f>0</x:f>
        <x:v>0</x:v>
      </x:c>
      <x:c r="AA2123" s="10" t="n">
        <x:f>Z2123*'Assumptions'!$AC$97*'Assumptions'!$D$11*(1+'Assumptions'!$D$13)^(17-1)</x:f>
        <x:v>0</x:v>
      </x:c>
      <x:c r="AB2123" s="10" t="n">
        <x:f>F2123/1</x:f>
        <x:v>100.19791269271163</x:v>
      </x:c>
      <x:c r="AC2123" s="10" t="n">
        <x:f>AB2123/'Assumptions'!$AM$97</x:f>
        <x:v>667.9860846180775</x:v>
      </x:c>
      <x:c r="AD2123" s="10" t="n">
        <x:f>IF(AB2123=0,0,T2123/AB2123)</x:f>
        <x:v>24.110321660773298</x:v>
      </x:c>
      <x:c r="AE2123" s="10" t="n">
        <x:f>AA2123*'Assumptions'!$D$21</x:f>
        <x:v>0</x:v>
      </x:c>
    </x:row>
    <x:row r="2124" ht="16" customHeight="1">
      <x:c r="A2124" s="1"/>
      <x:c r="B2124" s="1"/>
      <x:c r="C2124" s="1" t="str">
        <x:v>DOT-069</x:v>
      </x:c>
      <x:c r="D2124" s="10" t="str">
        <x:v>S’otality cleaning</x:v>
      </x:c>
      <x:c r="E2124" s="10" t="n">
        <x:v>17</x:v>
      </x:c>
      <x:c r="F2124" s="21" t="n">
        <x:f>F1996*(1+'Assumptions'!$M$98)</x:f>
        <x:v>33.39930423090387</x:v>
      </x:c>
      <x:c r="G2124" s="21" t="n">
        <x:f>H1996*'Assumptions'!$K$98</x:f>
        <x:v>46.59225203268522</x:v>
      </x:c>
      <x:c r="H2124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2124+G2124,NA())</x:f>
        <x:v>79.99155626358909</x:v>
      </x:c>
      <x:c r="I2124" s="22" t="n">
        <x:f>'Assumptions'!$H$98*IF('Assumptions'!$O$98=1,1,'Assumptions'!$D$10)*(1+'Assumptions'!$N$98)^(17-1)</x:f>
        <x:v>410.46292582209315</x:v>
      </x:c>
      <x:c r="J2124" s="10" t="n">
        <x:f>H2124*I2124</x:f>
        <x:v>32833.56822501536</x:v>
      </x:c>
      <x:c r="K2124" s="10" t="n">
        <x:f>J2124*'Assumptions'!$T$98</x:f>
        <x:v>32833.56822501536</x:v>
      </x:c>
      <x:c r="L2124" s="10" t="n">
        <x:f>K2124*'Assumptions'!$U$98</x:f>
        <x:v>985.0070467504609</x:v>
      </x:c>
      <x:c r="M2124" s="10" t="n">
        <x:f>K2124*'Assumptions'!$V$98</x:f>
        <x:v>0</x:v>
      </x:c>
      <x:c r="N2124" s="10" t="n">
        <x:f>K2124-L2124-M2124</x:f>
        <x:v>31848.561178264903</x:v>
      </x:c>
      <x:c r="O2124" s="10" t="n">
        <x:f>H2124*'Assumptions'!$P$98*'Assumptions'!$Q$98*'Assumptions'!$D$11*(1+'Assumptions'!$D$13)^(17-1)</x:f>
        <x:v>449.2703789340005</x:v>
      </x:c>
      <x:c r="P2124" s="10" t="n">
        <x:f>H2124*'Assumptions'!$R$98*'Assumptions'!$D$11*(1+'Assumptions'!$D$13)^(17-1)</x:f>
        <x:v>1026.9037232777152</x:v>
      </x:c>
      <x:c r="Q2124" s="10" t="n">
        <x:f>J2124*'Assumptions'!$S$98</x:f>
        <x:v>21341.819346259985</x:v>
      </x:c>
      <x:c r="R2124" s="10" t="n">
        <x:f>H2124*'Assumptions'!$Y$98*'Assumptions'!$Z$98*'Assumptions'!$D$11*(1+'Assumptions'!$D$13)^(17-1)</x:f>
        <x:v>770.1777924582865</x:v>
      </x:c>
      <x:c r="S2124" s="10" t="n">
        <x:f>IF(I2124=0,0,J2124*'Assumptions'!$W$98+H2124*'Assumptions'!$X$98)</x:f>
        <x:v>976.1709454045223</x:v>
      </x:c>
      <x:c r="T2124" s="10" t="n">
        <x:f>N2124*'Assumptions'!$AA$98</x:f>
        <x:v>1273.942447130596</x:v>
      </x:c>
      <x:c r="U2124" s="10" t="n">
        <x:f>'Assumptions'!$AE$98*'Assumptions'!$D$11*(1+'Assumptions'!$D$13)^(17-1)</x:f>
        <x:v>0</x:v>
      </x:c>
      <x:c r="V2124" s="10" t="n">
        <x:f>0</x:f>
        <x:v>0</x:v>
      </x:c>
      <x:c r="W2124" s="10" t="n">
        <x:f>H2124*('Assumptions'!$P$98+'Assumptions'!$Y$98)</x:f>
        <x:v>23.99746687907673</x:v>
      </x:c>
      <x:c r="X2124" s="10" t="n">
        <x:f>N2124/12*'Assumptions'!$AF$98</x:f>
        <x:v>0</x:v>
      </x:c>
      <x:c r="Y2124" s="10" t="n">
        <x:f>P2124/12</x:f>
        <x:v>85.57531027314293</x:v>
      </x:c>
      <x:c r="Z2124" s="10" t="n">
        <x:f>0</x:f>
        <x:v>0</x:v>
      </x:c>
      <x:c r="AA2124" s="10" t="n">
        <x:f>Z2124*'Assumptions'!$AC$98*'Assumptions'!$D$11*(1+'Assumptions'!$D$13)^(17-1)</x:f>
        <x:v>0</x:v>
      </x:c>
      <x:c r="AB2124" s="10" t="n">
        <x:f>F2124/1</x:f>
        <x:v>33.39930423090387</x:v>
      </x:c>
      <x:c r="AC2124" s="10" t="n">
        <x:f>AB2124/'Assumptions'!$AM$98</x:f>
        <x:v>222.66202820602584</x:v>
      </x:c>
      <x:c r="AD2124" s="10" t="n">
        <x:f>IF(AB2124=0,0,T2124/AB2124)</x:f>
        <x:v>38.14278400302232</x:v>
      </x:c>
      <x:c r="AE2124" s="10" t="n">
        <x:f>AA2124*'Assumptions'!$D$21</x:f>
        <x:v>0</x:v>
      </x:c>
    </x:row>
    <x:row r="2125" ht="16" customHeight="1">
      <x:c r="A2125" s="1"/>
      <x:c r="B2125" s="1"/>
      <x:c r="C2125" s="1" t="str">
        <x:v>DOT-070</x:v>
      </x:c>
      <x:c r="D2125" s="10" t="str">
        <x:v>S’otality laundry</x:v>
      </x:c>
      <x:c r="E2125" s="10" t="n">
        <x:v>17</x:v>
      </x:c>
      <x:c r="F2125" s="21" t="n">
        <x:f>F1997*(1+'Assumptions'!$M$99)</x:f>
        <x:v>300.5937380781347</x:v>
      </x:c>
      <x:c r="G2125" s="21" t="n">
        <x:f>H1997*'Assumptions'!$K$99</x:f>
        <x:v>419.3302682941665</x:v>
      </x:c>
      <x:c r="H2125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2125+G2125,NA())</x:f>
        <x:v>719.9240063723012</x:v>
      </x:c>
      <x:c r="I2125" s="22" t="n">
        <x:f>'Assumptions'!$H$99*IF('Assumptions'!$O$99=1,1,'Assumptions'!$D$10)*(1+'Assumptions'!$N$99)^(17-1)</x:f>
        <x:v>82.36714230543674</x:v>
      </x:c>
      <x:c r="J2125" s="10" t="n">
        <x:f>H2125*I2125</x:f>
        <x:v>59298.08308196748</x:v>
      </x:c>
      <x:c r="K2125" s="10" t="n">
        <x:f>J2125*'Assumptions'!$T$99</x:f>
        <x:v>59298.08308196748</x:v>
      </x:c>
      <x:c r="L2125" s="10" t="n">
        <x:f>K2125*'Assumptions'!$U$99</x:f>
        <x:v>1778.9424924590244</x:v>
      </x:c>
      <x:c r="M2125" s="10" t="n">
        <x:f>K2125*'Assumptions'!$V$99</x:f>
        <x:v>0</x:v>
      </x:c>
      <x:c r="N2125" s="10" t="n">
        <x:f>K2125-L2125-M2125</x:f>
        <x:v>57519.14058950845</x:v>
      </x:c>
      <x:c r="O2125" s="10" t="n">
        <x:f>H2125*'Assumptions'!$P$99*'Assumptions'!$Q$99*'Assumptions'!$D$11*(1+'Assumptions'!$D$13)^(17-1)</x:f>
        <x:v>4043.433410406001</x:v>
      </x:c>
      <x:c r="P2125" s="10" t="n">
        <x:f>H2125*'Assumptions'!$R$99*'Assumptions'!$D$11*(1+'Assumptions'!$D$13)^(17-1)</x:f>
        <x:v>0</x:v>
      </x:c>
      <x:c r="Q2125" s="10" t="n">
        <x:f>J2125*'Assumptions'!$S$99</x:f>
        <x:v>38543.75400327887</x:v>
      </x:c>
      <x:c r="R2125" s="10" t="n">
        <x:f>H2125*'Assumptions'!$Y$99*'Assumptions'!$Z$99*'Assumptions'!$D$11*(1+'Assumptions'!$D$13)^(17-1)</x:f>
        <x:v>6931.600132124573</x:v>
      </x:c>
      <x:c r="S2125" s="10" t="n">
        <x:f>IF(I2125=0,0,J2125*'Assumptions'!$W$99+H2125*'Assumptions'!$X$99)</x:f>
        <x:v>1935.6216112887473</x:v>
      </x:c>
      <x:c r="T2125" s="10" t="n">
        <x:f>N2125*'Assumptions'!$AA$99</x:f>
        <x:v>2300.7656235803383</x:v>
      </x:c>
      <x:c r="U2125" s="10" t="n">
        <x:f>'Assumptions'!$AE$99*'Assumptions'!$D$11*(1+'Assumptions'!$D$13)^(17-1)</x:f>
        <x:v>0</x:v>
      </x:c>
      <x:c r="V2125" s="10" t="n">
        <x:f>0</x:f>
        <x:v>0</x:v>
      </x:c>
      <x:c r="W2125" s="10" t="n">
        <x:f>H2125*('Assumptions'!$P$99+'Assumptions'!$Y$99)</x:f>
        <x:v>215.97720191169037</x:v>
      </x:c>
      <x:c r="X2125" s="10" t="n">
        <x:f>N2125/12*'Assumptions'!$AF$99</x:f>
        <x:v>0</x:v>
      </x:c>
      <x:c r="Y2125" s="10" t="n">
        <x:f>P2125/12</x:f>
        <x:v>0</x:v>
      </x:c>
      <x:c r="Z2125" s="10" t="n">
        <x:f>0</x:f>
        <x:v>0</x:v>
      </x:c>
      <x:c r="AA2125" s="10" t="n">
        <x:f>Z2125*'Assumptions'!$AC$99*'Assumptions'!$D$11*(1+'Assumptions'!$D$13)^(17-1)</x:f>
        <x:v>0</x:v>
      </x:c>
      <x:c r="AB2125" s="10" t="n">
        <x:f>F2125/1</x:f>
        <x:v>300.5937380781347</x:v>
      </x:c>
      <x:c r="AC2125" s="10" t="n">
        <x:f>AB2125/'Assumptions'!$AM$99</x:f>
        <x:v>2003.9582538542315</x:v>
      </x:c>
      <x:c r="AD2125" s="10" t="n">
        <x:f>IF(AB2125=0,0,T2125/AB2125)</x:f>
        <x:v>7.654070368499458</x:v>
      </x:c>
      <x:c r="AE2125" s="10" t="n">
        <x:f>AA2125*'Assumptions'!$D$21</x:f>
        <x:v>0</x:v>
      </x:c>
    </x:row>
    <x:row r="2126" ht="16" customHeight="1">
      <x:c r="A2126" s="1"/>
      <x:c r="B2126" s="1"/>
      <x:c r="C2126" s="1" t="str">
        <x:v>DOT-071</x:v>
      </x:c>
      <x:c r="D2126" s="10" t="str">
        <x:v>S’otality Personal Chef</x:v>
      </x:c>
      <x:c r="E2126" s="10" t="n">
        <x:v>17</x:v>
      </x:c>
      <x:c r="F2126" s="21" t="n">
        <x:f>F1998*(1+'Assumptions'!$M$100)</x:f>
        <x:v>50.09895634635581</x:v>
      </x:c>
      <x:c r="G2126" s="21" t="n">
        <x:f>H1998*'Assumptions'!$K$100</x:f>
        <x:v>69.88414638416663</x:v>
      </x:c>
      <x:c r="H2126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2126+G2126,NA())</x:f>
        <x:v>119.98310273052243</x:v>
      </x:c>
      <x:c r="I2126" s="22" t="n">
        <x:f>'Assumptions'!$H$100*IF('Assumptions'!$O$100=1,1,'Assumptions'!$D$10)*(1+'Assumptions'!$N$100)^(17-1)</x:f>
        <x:v>892.3107083088981</x:v>
      </x:c>
      <x:c r="J2126" s="10" t="n">
        <x:f>H2126*I2126</x:f>
        <x:v>107062.20738257177</x:v>
      </x:c>
      <x:c r="K2126" s="10" t="n">
        <x:f>J2126*'Assumptions'!$T$100</x:f>
        <x:v>107062.20738257177</x:v>
      </x:c>
      <x:c r="L2126" s="10" t="n">
        <x:f>K2126*'Assumptions'!$U$100</x:f>
        <x:v>3211.866221477153</x:v>
      </x:c>
      <x:c r="M2126" s="10" t="n">
        <x:f>K2126*'Assumptions'!$V$100</x:f>
        <x:v>0</x:v>
      </x:c>
      <x:c r="N2126" s="10" t="n">
        <x:f>K2126-L2126-M2126</x:f>
        <x:v>103850.34116109462</x:v>
      </x:c>
      <x:c r="O2126" s="10" t="n">
        <x:f>H2126*'Assumptions'!$P$100*'Assumptions'!$Q$100*'Assumptions'!$D$11*(1+'Assumptions'!$D$13)^(17-1)</x:f>
        <x:v>3850.7531506944147</x:v>
      </x:c>
      <x:c r="P2126" s="10" t="n">
        <x:f>H2126*'Assumptions'!$R$100*'Assumptions'!$D$11*(1+'Assumptions'!$D$13)^(17-1)</x:f>
        <x:v>19253.765753472075</x:v>
      </x:c>
      <x:c r="Q2126" s="10" t="n">
        <x:f>J2126*'Assumptions'!$S$100</x:f>
        <x:v>53531.10369128588</x:v>
      </x:c>
      <x:c r="R2126" s="10" t="n">
        <x:f>H2126*'Assumptions'!$Y$100*'Assumptions'!$Z$100*'Assumptions'!$D$11*(1+'Assumptions'!$D$13)^(17-1)</x:f>
        <x:v>1155.2259452083244</x:v>
      </x:c>
      <x:c r="S2126" s="10" t="n">
        <x:f>IF(I2126=0,0,J2126*'Assumptions'!$W$100+H2126*'Assumptions'!$X$100)</x:f>
        <x:v>3140.798944913738</x:v>
      </x:c>
      <x:c r="T2126" s="10" t="n">
        <x:f>N2126*'Assumptions'!$AA$100</x:f>
        <x:v>4154.013646443785</x:v>
      </x:c>
      <x:c r="U2126" s="10" t="n">
        <x:f>'Assumptions'!$AE$100*'Assumptions'!$D$11*(1+'Assumptions'!$D$13)^(17-1)</x:f>
        <x:v>0</x:v>
      </x:c>
      <x:c r="V2126" s="10" t="n">
        <x:f>0</x:f>
        <x:v>0</x:v>
      </x:c>
      <x:c r="W2126" s="10" t="n">
        <x:f>H2126*('Assumptions'!$P$100+'Assumptions'!$Y$100)</x:f>
        <x:v>83.9881719113657</x:v>
      </x:c>
      <x:c r="X2126" s="10" t="n">
        <x:f>N2126/12*'Assumptions'!$AF$100</x:f>
        <x:v>0</x:v>
      </x:c>
      <x:c r="Y2126" s="10" t="n">
        <x:f>P2126/12</x:f>
        <x:v>1604.4804794560062</x:v>
      </x:c>
      <x:c r="Z2126" s="10" t="n">
        <x:f>0</x:f>
        <x:v>0</x:v>
      </x:c>
      <x:c r="AA2126" s="10" t="n">
        <x:f>Z2126*'Assumptions'!$AC$100*'Assumptions'!$D$11*(1+'Assumptions'!$D$13)^(17-1)</x:f>
        <x:v>0</x:v>
      </x:c>
      <x:c r="AB2126" s="10" t="n">
        <x:f>F2126/1</x:f>
        <x:v>50.09895634635581</x:v>
      </x:c>
      <x:c r="AC2126" s="10" t="n">
        <x:f>AB2126/'Assumptions'!$AM$100</x:f>
        <x:v>333.99304230903874</x:v>
      </x:c>
      <x:c r="AD2126" s="10" t="n">
        <x:f>IF(AB2126=0,0,T2126/AB2126)</x:f>
        <x:v>82.91617130155939</x:v>
      </x:c>
      <x:c r="AE2126" s="10" t="n">
        <x:f>AA2126*'Assumptions'!$D$21</x:f>
        <x:v>0</x:v>
      </x:c>
    </x:row>
    <x:row r="2127" ht="16" customHeight="1">
      <x:c r="A2127" s="1"/>
      <x:c r="B2127" s="1"/>
      <x:c r="C2127" s="1" t="str">
        <x:v>DOT-072</x:v>
      </x:c>
      <x:c r="D2127" s="10" t="str">
        <x:v>S’otality interiors</x:v>
      </x:c>
      <x:c r="E2127" s="10" t="n">
        <x:v>17</x:v>
      </x:c>
      <x:c r="F2127" s="21" t="n">
        <x:f>F1999*(1+'Assumptions'!$M$101)</x:f>
        <x:v>18.78710862988342</x:v>
      </x:c>
      <x:c r="G2127" s="21" t="n">
        <x:f>H1999*'Assumptions'!$K$101</x:f>
        <x:v>17.723287536161024</x:v>
      </x:c>
      <x:c r="H2127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2127+G2127,NA())</x:f>
        <x:v>36.510396166044444</x:v>
      </x:c>
      <x:c r="I2127" s="22" t="n">
        <x:f>'Assumptions'!$H$101*IF('Assumptions'!$O$101=1,1,'Assumptions'!$D$10)*(1+'Assumptions'!$N$101)^(17-1)</x:f>
        <x:v>2059.178557635919</x:v>
      </x:c>
      <x:c r="J2127" s="10" t="n">
        <x:f>H2127*I2127</x:f>
        <x:v>75181.42491591138</x:v>
      </x:c>
      <x:c r="K2127" s="10" t="n">
        <x:f>J2127*'Assumptions'!$T$101</x:f>
        <x:v>75181.42491591138</x:v>
      </x:c>
      <x:c r="L2127" s="10" t="n">
        <x:f>K2127*'Assumptions'!$U$101</x:f>
        <x:v>2255.4427474773415</x:v>
      </x:c>
      <x:c r="M2127" s="10" t="n">
        <x:f>K2127*'Assumptions'!$V$101</x:f>
        <x:v>0</x:v>
      </x:c>
      <x:c r="N2127" s="10" t="n">
        <x:f>K2127-L2127-M2127</x:f>
        <x:v>72925.98216843404</x:v>
      </x:c>
      <x:c r="O2127" s="10" t="n">
        <x:f>H2127*'Assumptions'!$P$101*'Assumptions'!$Q$101*'Assumptions'!$D$11*(1+'Assumptions'!$D$13)^(17-1)</x:f>
        <x:v>32223.657301934574</x:v>
      </x:c>
      <x:c r="P2127" s="10" t="n">
        <x:f>H2127*'Assumptions'!$R$101*'Assumptions'!$D$11*(1+'Assumptions'!$D$13)^(17-1)</x:f>
        <x:v>2929.423391084961</x:v>
      </x:c>
      <x:c r="Q2127" s="10" t="n">
        <x:f>J2127*'Assumptions'!$S$101</x:f>
        <x:v>0</x:v>
      </x:c>
      <x:c r="R2127" s="10" t="n">
        <x:f>H2127*'Assumptions'!$Y$101*'Assumptions'!$Z$101*'Assumptions'!$D$11*(1+'Assumptions'!$D$13)^(17-1)</x:f>
        <x:v>439.4135086627442</x:v>
      </x:c>
      <x:c r="S2127" s="10" t="n">
        <x:f>IF(I2127=0,0,J2127*'Assumptions'!$W$101+H2127*'Assumptions'!$X$101)</x:f>
        <x:v>2191.214441411243</x:v>
      </x:c>
      <x:c r="T2127" s="10" t="n">
        <x:f>N2127*'Assumptions'!$AA$101</x:f>
        <x:v>2917.0392867373616</x:v>
      </x:c>
      <x:c r="U2127" s="10" t="n">
        <x:f>'Assumptions'!$AE$101*'Assumptions'!$D$11*(1+'Assumptions'!$D$13)^(17-1)</x:f>
        <x:v>0</x:v>
      </x:c>
      <x:c r="V2127" s="10" t="n">
        <x:f>0</x:f>
        <x:v>0</x:v>
      </x:c>
      <x:c r="W2127" s="10" t="n">
        <x:f>H2127*('Assumptions'!$P$101+'Assumptions'!$Y$101)</x:f>
        <x:v>374.2315607019556</x:v>
      </x:c>
      <x:c r="X2127" s="10" t="n">
        <x:f>N2127/12*'Assumptions'!$AF$101</x:f>
        <x:v>6077.165180702837</x:v>
      </x:c>
      <x:c r="Y2127" s="10" t="n">
        <x:f>P2127/12</x:f>
        <x:v>244.11861592374677</x:v>
      </x:c>
      <x:c r="Z2127" s="10" t="n">
        <x:f>0</x:f>
        <x:v>0</x:v>
      </x:c>
      <x:c r="AA2127" s="10" t="n">
        <x:f>Z2127*'Assumptions'!$AC$101*'Assumptions'!$D$11*(1+'Assumptions'!$D$13)^(17-1)</x:f>
        <x:v>0</x:v>
      </x:c>
      <x:c r="AB2127" s="10" t="n">
        <x:f>F2127/1</x:f>
        <x:v>18.78710862988342</x:v>
      </x:c>
      <x:c r="AC2127" s="10" t="n">
        <x:f>AB2127/'Assumptions'!$AM$101</x:f>
        <x:v>93.9355431494171</x:v>
      </x:c>
      <x:c r="AD2127" s="10" t="n">
        <x:f>IF(AB2127=0,0,T2127/AB2127)</x:f>
        <x:v>155.26813328249025</x:v>
      </x:c>
      <x:c r="AE2127" s="10" t="n">
        <x:f>AA2127*'Assumptions'!$D$21</x:f>
        <x:v>0</x:v>
      </x:c>
    </x:row>
    <x:row r="2128" ht="16" customHeight="1">
      <x:c r="A2128" s="1"/>
      <x:c r="B2128" s="1"/>
      <x:c r="C2128" s="1" t="str">
        <x:v>DOT-073</x:v>
      </x:c>
      <x:c r="D2128" s="10" t="str">
        <x:v>S’otality interiors</x:v>
      </x:c>
      <x:c r="E2128" s="10" t="n">
        <x:v>17</x:v>
      </x:c>
      <x:c r="F2128" s="21" t="n">
        <x:f>F2000*(1+'Assumptions'!$M$102)</x:f>
        <x:v>50.09895634635581</x:v>
      </x:c>
      <x:c r="G2128" s="21" t="n">
        <x:f>H2000*'Assumptions'!$K$102</x:f>
        <x:v>69.88837804902779</x:v>
      </x:c>
      <x:c r="H2128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2128+G2128,NA())</x:f>
        <x:v>119.98733439538361</x:v>
      </x:c>
      <x:c r="I2128" s="22" t="n">
        <x:f>'Assumptions'!$H$102*IF('Assumptions'!$O$102=1,1,'Assumptions'!$D$10)*(1+'Assumptions'!$N$102)^(17-1)</x:f>
        <x:v>411.8357115271837</x:v>
      </x:c>
      <x:c r="J2128" s="10" t="n">
        <x:f>H2128*I2128</x:f>
        <x:v>49415.069234972936</x:v>
      </x:c>
      <x:c r="K2128" s="10" t="n">
        <x:f>J2128*'Assumptions'!$T$102</x:f>
        <x:v>49415.069234972936</x:v>
      </x:c>
      <x:c r="L2128" s="10" t="n">
        <x:f>K2128*'Assumptions'!$U$102</x:f>
        <x:v>1482.4520770491881</x:v>
      </x:c>
      <x:c r="M2128" s="10" t="n">
        <x:f>K2128*'Assumptions'!$V$102</x:f>
        <x:v>0</x:v>
      </x:c>
      <x:c r="N2128" s="10" t="n">
        <x:f>K2128-L2128-M2128</x:f>
        <x:v>47932.61715792375</x:v>
      </x:c>
      <x:c r="O2128" s="10" t="n">
        <x:f>H2128*'Assumptions'!$P$102*'Assumptions'!$Q$102*'Assumptions'!$D$11*(1+'Assumptions'!$D$13)^(17-1)</x:f>
        <x:v>1684.7639210025013</x:v>
      </x:c>
      <x:c r="P2128" s="10" t="n">
        <x:f>H2128*'Assumptions'!$R$102*'Assumptions'!$D$11*(1+'Assumptions'!$D$13)^(17-1)</x:f>
        <x:v>0</x:v>
      </x:c>
      <x:c r="Q2128" s="10" t="n">
        <x:f>J2128*'Assumptions'!$S$102</x:f>
        <x:v>29649.04154098376</x:v>
      </x:c>
      <x:c r="R2128" s="10" t="n">
        <x:f>H2128*'Assumptions'!$Y$102*'Assumptions'!$Z$102*'Assumptions'!$D$11*(1+'Assumptions'!$D$13)^(17-1)</x:f>
        <x:v>1155.2666886874297</x:v>
      </x:c>
      <x:c r="S2128" s="10" t="n">
        <x:f>IF(I2128=0,0,J2128*'Assumptions'!$W$102+H2128*'Assumptions'!$X$102)</x:f>
        <x:v>1469.0332081328304</x:v>
      </x:c>
      <x:c r="T2128" s="10" t="n">
        <x:f>N2128*'Assumptions'!$AA$102</x:f>
        <x:v>1917.30468631695</x:v>
      </x:c>
      <x:c r="U2128" s="10" t="n">
        <x:f>'Assumptions'!$AE$102*'Assumptions'!$D$11*(1+'Assumptions'!$D$13)^(17-1)</x:f>
        <x:v>0</x:v>
      </x:c>
      <x:c r="V2128" s="10" t="n">
        <x:f>0</x:f>
        <x:v>0</x:v>
      </x:c>
      <x:c r="W2128" s="10" t="n">
        <x:f>H2128*('Assumptions'!$P$102+'Assumptions'!$Y$102)</x:f>
        <x:v>53.99430047792263</x:v>
      </x:c>
      <x:c r="X2128" s="10" t="n">
        <x:f>N2128/12*'Assumptions'!$AF$102</x:f>
        <x:v>0</x:v>
      </x:c>
      <x:c r="Y2128" s="10" t="n">
        <x:f>P2128/12</x:f>
        <x:v>0</x:v>
      </x:c>
      <x:c r="Z2128" s="10" t="n">
        <x:f>0</x:f>
        <x:v>0</x:v>
      </x:c>
      <x:c r="AA2128" s="10" t="n">
        <x:f>Z2128*'Assumptions'!$AC$102*'Assumptions'!$D$11*(1+'Assumptions'!$D$13)^(17-1)</x:f>
        <x:v>0</x:v>
      </x:c>
      <x:c r="AB2128" s="10" t="n">
        <x:f>F2128/1</x:f>
        <x:v>50.09895634635581</x:v>
      </x:c>
      <x:c r="AC2128" s="10" t="n">
        <x:f>AB2128/'Assumptions'!$AM$102</x:f>
        <x:v>333.99304230903874</x:v>
      </x:c>
      <x:c r="AD2128" s="10" t="n">
        <x:f>IF(AB2128=0,0,T2128/AB2128)</x:f>
        <x:v>38.2703518424973</x:v>
      </x:c>
      <x:c r="AE2128" s="10" t="n">
        <x:f>AA2128*'Assumptions'!$D$21</x:f>
        <x:v>0</x:v>
      </x:c>
    </x:row>
    <x:row r="2129" ht="16" customHeight="1">
      <x:c r="A2129" s="1"/>
      <x:c r="B2129" s="1"/>
      <x:c r="C2129" s="1" t="str">
        <x:v>DOT-074</x:v>
      </x:c>
      <x:c r="D2129" s="10" t="str">
        <x:v>S’otality interiors</x:v>
      </x:c>
      <x:c r="E2129" s="10" t="n">
        <x:v>17</x:v>
      </x:c>
      <x:c r="F2129" s="21" t="n">
        <x:f>F2001*(1+'Assumptions'!$M$103)</x:f>
        <x:v>21.28649597974251</x:v>
      </x:c>
      <x:c r="G2129" s="21" t="n">
        <x:f>H2001*'Assumptions'!$K$103</x:f>
        <x:v>45.00652807371331</x:v>
      </x:c>
      <x:c r="H2129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2129+G2129,NA())</x:f>
        <x:v>66.29302405345582</x:v>
      </x:c>
      <x:c r="I2129" s="22" t="n">
        <x:f>'Assumptions'!$H$103*IF('Assumptions'!$O$103=1,1,'Assumptions'!$D$10)*(1+'Assumptions'!$N$103)^(17-1)</x:f>
        <x:v>2059.178557635919</x:v>
      </x:c>
      <x:c r="J2129" s="10" t="n">
        <x:f>H2129*I2129</x:f>
        <x:v>136509.17365171845</x:v>
      </x:c>
      <x:c r="K2129" s="10" t="n">
        <x:f>J2129*'Assumptions'!$T$103</x:f>
        <x:v>13650.917365171845</x:v>
      </x:c>
      <x:c r="L2129" s="10" t="n">
        <x:f>K2129*'Assumptions'!$U$103</x:f>
        <x:v>409.52752095515535</x:v>
      </x:c>
      <x:c r="M2129" s="10" t="n">
        <x:f>K2129*'Assumptions'!$V$103</x:f>
        <x:v>0</x:v>
      </x:c>
      <x:c r="N2129" s="10" t="n">
        <x:f>K2129-L2129-M2129</x:f>
        <x:v>13241.38984421669</x:v>
      </x:c>
      <x:c r="O2129" s="10" t="n">
        <x:f>H2129*'Assumptions'!$P$103*'Assumptions'!$Q$103*'Assumptions'!$D$11*(1+'Assumptions'!$D$13)^(17-1)</x:f>
        <x:v>4255.233702636457</x:v>
      </x:c>
      <x:c r="P2129" s="10" t="n">
        <x:f>H2129*'Assumptions'!$R$103*'Assumptions'!$D$11*(1+'Assumptions'!$D$13)^(17-1)</x:f>
        <x:v>0</x:v>
      </x:c>
      <x:c r="Q2129" s="10" t="n">
        <x:f>J2129*'Assumptions'!$S$103</x:f>
        <x:v>0</x:v>
      </x:c>
      <x:c r="R2129" s="10" t="n">
        <x:f>H2129*'Assumptions'!$Y$103*'Assumptions'!$Z$103*'Assumptions'!$D$11*(1+'Assumptions'!$D$13)^(17-1)</x:f>
        <x:v>478.7137915466013</x:v>
      </x:c>
      <x:c r="S2129" s="10" t="n">
        <x:f>IF(I2129=0,0,J2129*'Assumptions'!$W$103+H2129*'Assumptions'!$X$103)</x:f>
        <x:v>3978.6539431158717</x:v>
      </x:c>
      <x:c r="T2129" s="10" t="n">
        <x:f>N2129*'Assumptions'!$AA$103</x:f>
        <x:v>662.0694922108346</x:v>
      </x:c>
      <x:c r="U2129" s="10" t="n">
        <x:f>'Assumptions'!$AE$103*'Assumptions'!$D$11*(1+'Assumptions'!$D$13)^(17-1)</x:f>
        <x:v>0</x:v>
      </x:c>
      <x:c r="V2129" s="10" t="n">
        <x:f>0</x:f>
        <x:v>0</x:v>
      </x:c>
      <x:c r="W2129" s="10" t="n">
        <x:f>H2129*('Assumptions'!$P$103+'Assumptions'!$Y$103)</x:f>
        <x:v>76.23697766147419</x:v>
      </x:c>
      <x:c r="X2129" s="10" t="n">
        <x:f>N2129/12*'Assumptions'!$AF$103</x:f>
        <x:v>0</x:v>
      </x:c>
      <x:c r="Y2129" s="10" t="n">
        <x:f>P2129/12</x:f>
        <x:v>0</x:v>
      </x:c>
      <x:c r="Z2129" s="10" t="n">
        <x:f>0</x:f>
        <x:v>0</x:v>
      </x:c>
      <x:c r="AA2129" s="10" t="n">
        <x:f>Z2129*'Assumptions'!$AC$103*'Assumptions'!$D$11*(1+'Assumptions'!$D$13)^(17-1)</x:f>
        <x:v>0</x:v>
      </x:c>
      <x:c r="AB2129" s="10" t="n">
        <x:f>F2129/1</x:f>
        <x:v>21.28649597974251</x:v>
      </x:c>
      <x:c r="AC2129" s="10" t="n">
        <x:f>AB2129/'Assumptions'!$AM$103</x:f>
        <x:v>425.72991959485023</x:v>
      </x:c>
      <x:c r="AD2129" s="10" t="n">
        <x:f>IF(AB2129=0,0,T2129/AB2129)</x:f>
        <x:v>31.10279366039855</x:v>
      </x:c>
      <x:c r="AE2129" s="10" t="n">
        <x:f>AA2129*'Assumptions'!$D$21</x:f>
        <x:v>0</x:v>
      </x:c>
    </x:row>
    <x:row r="2130" ht="16" customHeight="1">
      <x:c r="A2130" s="1"/>
      <x:c r="B2130" s="1"/>
      <x:c r="C2130" s="1" t="str">
        <x:v>DOT-075</x:v>
      </x:c>
      <x:c r="D2130" s="10" t="str">
        <x:v>S’otality concierge</x:v>
      </x:c>
      <x:c r="E2130" s="10" t="n">
        <x:v>17</x:v>
      </x:c>
      <x:c r="F2130" s="21" t="n">
        <x:f>F2002*(1+'Assumptions'!$M$104)</x:f>
        <x:v>250.494781731779</x:v>
      </x:c>
      <x:c r="G2130" s="21" t="n">
        <x:f>H2002*'Assumptions'!$K$104</x:f>
        <x:v>236.31050048214706</x:v>
      </x:c>
      <x:c r="H2130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2130+G2130,NA())</x:f>
        <x:v>486.80528221392603</x:v>
      </x:c>
      <x:c r="I2130" s="22" t="n">
        <x:f>'Assumptions'!$H$104*IF('Assumptions'!$O$104=1,1,'Assumptions'!$D$10)*(1+'Assumptions'!$N$104)^(17-1)</x:f>
        <x:v>102.95892788179593</x:v>
      </x:c>
      <x:c r="J2130" s="10" t="n">
        <x:f>H2130*I2130</x:f>
        <x:v>50120.94994394093</x:v>
      </x:c>
      <x:c r="K2130" s="10" t="n">
        <x:f>J2130*'Assumptions'!$T$104</x:f>
        <x:v>50120.94994394093</x:v>
      </x:c>
      <x:c r="L2130" s="10" t="n">
        <x:f>K2130*'Assumptions'!$U$104</x:f>
        <x:v>1503.6284983182277</x:v>
      </x:c>
      <x:c r="M2130" s="10" t="n">
        <x:f>K2130*'Assumptions'!$V$104</x:f>
        <x:v>0</x:v>
      </x:c>
      <x:c r="N2130" s="10" t="n">
        <x:f>K2130-L2130-M2130</x:f>
        <x:v>48617.3214456227</x:v>
      </x:c>
      <x:c r="O2130" s="10" t="n">
        <x:f>H2130*'Assumptions'!$P$104*'Assumptions'!$Q$104*'Assumptions'!$D$11*(1+'Assumptions'!$D$13)^(17-1)</x:f>
        <x:v>20505.96373759473</x:v>
      </x:c>
      <x:c r="P2130" s="10" t="n">
        <x:f>H2130*'Assumptions'!$R$104*'Assumptions'!$D$11*(1+'Assumptions'!$D$13)^(17-1)</x:f>
        <x:v>0</x:v>
      </x:c>
      <x:c r="Q2130" s="10" t="n">
        <x:f>J2130*'Assumptions'!$S$104</x:f>
        <x:v>0</x:v>
      </x:c>
      <x:c r="R2130" s="10" t="n">
        <x:f>H2130*'Assumptions'!$Y$104*'Assumptions'!$Z$104*'Assumptions'!$D$11*(1+'Assumptions'!$D$13)^(17-1)</x:f>
        <x:v>5858.846782169924</x:v>
      </x:c>
      <x:c r="S2130" s="10" t="n">
        <x:f>IF(I2130=0,0,J2130*'Assumptions'!$W$104+H2130*'Assumptions'!$X$104)</x:f>
        <x:v>1599.5491330384648</x:v>
      </x:c>
      <x:c r="T2130" s="10" t="n">
        <x:f>N2130*'Assumptions'!$AA$104</x:f>
        <x:v>1944.692857824908</x:v>
      </x:c>
      <x:c r="U2130" s="10" t="n">
        <x:f>'Assumptions'!$AE$104*'Assumptions'!$D$11*(1+'Assumptions'!$D$13)^(17-1)</x:f>
        <x:v>0</x:v>
      </x:c>
      <x:c r="V2130" s="10" t="n">
        <x:f>0</x:f>
        <x:v>0</x:v>
      </x:c>
      <x:c r="W2130" s="10" t="n">
        <x:f>H2130*('Assumptions'!$P$104+'Assumptions'!$Y$104)</x:f>
        <x:v>486.80528221392603</x:v>
      </x:c>
      <x:c r="X2130" s="10" t="n">
        <x:f>N2130/12*'Assumptions'!$AF$104</x:f>
        <x:v>4051.443453801892</x:v>
      </x:c>
      <x:c r="Y2130" s="10" t="n">
        <x:f>P2130/12</x:f>
        <x:v>0</x:v>
      </x:c>
      <x:c r="Z2130" s="10" t="n">
        <x:f>0</x:f>
        <x:v>0</x:v>
      </x:c>
      <x:c r="AA2130" s="10" t="n">
        <x:f>Z2130*'Assumptions'!$AC$104*'Assumptions'!$D$11*(1+'Assumptions'!$D$13)^(17-1)</x:f>
        <x:v>0</x:v>
      </x:c>
      <x:c r="AB2130" s="10" t="n">
        <x:f>F2130/1</x:f>
        <x:v>250.494781731779</x:v>
      </x:c>
      <x:c r="AC2130" s="10" t="n">
        <x:f>AB2130/'Assumptions'!$AM$104</x:f>
        <x:v>1252.473908658895</x:v>
      </x:c>
      <x:c r="AD2130" s="10" t="n">
        <x:f>IF(AB2130=0,0,T2130/AB2130)</x:f>
        <x:v>7.763406664124512</x:v>
      </x:c>
      <x:c r="AE2130" s="10" t="n">
        <x:f>AA2130*'Assumptions'!$D$21</x:f>
        <x:v>0</x:v>
      </x:c>
    </x:row>
    <x:row r="2131" ht="16" customHeight="1">
      <x:c r="A2131" s="1"/>
      <x:c r="B2131" s="1"/>
      <x:c r="C2131" s="1" t="str">
        <x:v>DOT-076</x:v>
      </x:c>
      <x:c r="D2131" s="10" t="str">
        <x:v>S’otality administration</x:v>
      </x:c>
      <x:c r="E2131" s="10" t="n">
        <x:v>17</x:v>
      </x:c>
      <x:c r="F2131" s="21" t="n">
        <x:f>F2003*(1+'Assumptions'!$M$105)</x:f>
        <x:v>500.989563463558</x:v>
      </x:c>
      <x:c r="G2131" s="21" t="n">
        <x:f>H2003*'Assumptions'!$K$105</x:f>
        <x:v>472.6210009642941</x:v>
      </x:c>
      <x:c r="H2131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2131+G2131,NA())</x:f>
        <x:v>973.6105644278521</x:v>
      </x:c>
      <x:c r="I2131" s="22" t="n">
        <x:f>'Assumptions'!$H$105*IF('Assumptions'!$O$105=1,1,'Assumptions'!$D$10)*(1+'Assumptions'!$N$105)^(17-1)</x:f>
        <x:v>82.36714230543674</x:v>
      </x:c>
      <x:c r="J2131" s="10" t="n">
        <x:f>H2131*I2131</x:f>
        <x:v>80193.51991030548</x:v>
      </x:c>
      <x:c r="K2131" s="10" t="n">
        <x:f>J2131*'Assumptions'!$T$105</x:f>
        <x:v>80193.51991030548</x:v>
      </x:c>
      <x:c r="L2131" s="10" t="n">
        <x:f>K2131*'Assumptions'!$U$105</x:f>
        <x:v>2405.805597309164</x:v>
      </x:c>
      <x:c r="M2131" s="10" t="n">
        <x:f>K2131*'Assumptions'!$V$105</x:f>
        <x:v>0</x:v>
      </x:c>
      <x:c r="N2131" s="10" t="n">
        <x:f>K2131-L2131-M2131</x:f>
        <x:v>77787.71431299631</x:v>
      </x:c>
      <x:c r="O2131" s="10" t="n">
        <x:f>H2131*'Assumptions'!$P$105*'Assumptions'!$Q$105*'Assumptions'!$D$11*(1+'Assumptions'!$D$13)^(17-1)</x:f>
        <x:v>46870.77425735939</x:v>
      </x:c>
      <x:c r="P2131" s="10" t="n">
        <x:f>H2131*'Assumptions'!$R$105*'Assumptions'!$D$11*(1+'Assumptions'!$D$13)^(17-1)</x:f>
        <x:v>0</x:v>
      </x:c>
      <x:c r="Q2131" s="10" t="n">
        <x:f>J2131*'Assumptions'!$S$105</x:f>
        <x:v>0</x:v>
      </x:c>
      <x:c r="R2131" s="10" t="n">
        <x:f>H2131*'Assumptions'!$Y$105*'Assumptions'!$Z$105*'Assumptions'!$D$11*(1+'Assumptions'!$D$13)^(17-1)</x:f>
        <x:v>11717.693564339848</x:v>
      </x:c>
      <x:c r="S2131" s="10" t="n">
        <x:f>IF(I2131=0,0,J2131*'Assumptions'!$W$105+H2131*'Assumptions'!$X$105)</x:f>
        <x:v>2617.695246727215</x:v>
      </x:c>
      <x:c r="T2131" s="10" t="n">
        <x:f>N2131*'Assumptions'!$AA$105</x:f>
        <x:v>3111.5085725198524</x:v>
      </x:c>
      <x:c r="U2131" s="10" t="n">
        <x:f>'Assumptions'!$AE$105*'Assumptions'!$D$11*(1+'Assumptions'!$D$13)^(17-1)</x:f>
        <x:v>0</x:v>
      </x:c>
      <x:c r="V2131" s="10" t="n">
        <x:f>0</x:f>
        <x:v>0</x:v>
      </x:c>
      <x:c r="W2131" s="10" t="n">
        <x:f>H2131*('Assumptions'!$P$105+'Assumptions'!$Y$105)</x:f>
        <x:v>1217.0132055348151</x:v>
      </x:c>
      <x:c r="X2131" s="10" t="n">
        <x:f>N2131/12*'Assumptions'!$AF$105</x:f>
        <x:v>6482.309526083026</x:v>
      </x:c>
      <x:c r="Y2131" s="10" t="n">
        <x:f>P2131/12</x:f>
        <x:v>0</x:v>
      </x:c>
      <x:c r="Z2131" s="10" t="n">
        <x:f>0</x:f>
        <x:v>0</x:v>
      </x:c>
      <x:c r="AA2131" s="10" t="n">
        <x:f>Z2131*'Assumptions'!$AC$105*'Assumptions'!$D$11*(1+'Assumptions'!$D$13)^(17-1)</x:f>
        <x:v>0</x:v>
      </x:c>
      <x:c r="AB2131" s="10" t="n">
        <x:f>F2131/1</x:f>
        <x:v>500.989563463558</x:v>
      </x:c>
      <x:c r="AC2131" s="10" t="n">
        <x:f>AB2131/'Assumptions'!$AM$105</x:f>
        <x:v>2504.94781731779</x:v>
      </x:c>
      <x:c r="AD2131" s="10" t="n">
        <x:f>IF(AB2131=0,0,T2131/AB2131)</x:f>
        <x:v>6.210725331299608</x:v>
      </x:c>
      <x:c r="AE2131" s="10" t="n">
        <x:f>AA2131*'Assumptions'!$D$21</x:f>
        <x:v>0</x:v>
      </x:c>
    </x:row>
    <x:row r="2132" ht="16" customHeight="1">
      <x:c r="A2132" s="1"/>
      <x:c r="B2132" s="1"/>
      <x:c r="C2132" s="1" t="str">
        <x:v>DOT-077</x:v>
      </x:c>
      <x:c r="D2132" s="10" t="str">
        <x:v>S’otality bike tours</x:v>
      </x:c>
      <x:c r="E2132" s="10" t="n">
        <x:v>17</x:v>
      </x:c>
      <x:c r="F2132" s="21" t="n">
        <x:f>F2004*(1+'Assumptions'!$M$106)</x:f>
        <x:v>200.39582538542325</x:v>
      </x:c>
      <x:c r="G2132" s="21" t="n">
        <x:f>H2004*'Assumptions'!$K$106</x:f>
        <x:v>279.5365855366665</x:v>
      </x:c>
      <x:c r="H2132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2132+G2132,NA())</x:f>
        <x:v>479.93241092208973</x:v>
      </x:c>
      <x:c r="I2132" s="22" t="n">
        <x:f>'Assumptions'!$H$106*IF('Assumptions'!$O$106=1,1,'Assumptions'!$D$10)*(1+'Assumptions'!$N$106)^(17-1)</x:f>
        <x:v>89.2310708308898</x:v>
      </x:c>
      <x:c r="J2132" s="10" t="n">
        <x:f>H2132*I2132</x:f>
        <x:v>42824.882953028704</x:v>
      </x:c>
      <x:c r="K2132" s="10" t="n">
        <x:f>J2132*'Assumptions'!$T$106</x:f>
        <x:v>42824.882953028704</x:v>
      </x:c>
      <x:c r="L2132" s="10" t="n">
        <x:f>K2132*'Assumptions'!$U$106</x:f>
        <x:v>1284.746488590861</x:v>
      </x:c>
      <x:c r="M2132" s="10" t="n">
        <x:f>K2132*'Assumptions'!$V$106</x:f>
        <x:v>0</x:v>
      </x:c>
      <x:c r="N2132" s="10" t="n">
        <x:f>K2132-L2132-M2132</x:f>
        <x:v>41540.13646443784</x:v>
      </x:c>
      <x:c r="O2132" s="10" t="n">
        <x:f>H2132*'Assumptions'!$P$106*'Assumptions'!$Q$106*'Assumptions'!$D$11*(1+'Assumptions'!$D$13)^(17-1)</x:f>
        <x:v>4043.290808229135</x:v>
      </x:c>
      <x:c r="P2132" s="10" t="n">
        <x:f>H2132*'Assumptions'!$R$106*'Assumptions'!$D$11*(1+'Assumptions'!$D$13)^(17-1)</x:f>
        <x:v>3850.7531506944147</x:v>
      </x:c>
      <x:c r="Q2132" s="10" t="n">
        <x:f>J2132*'Assumptions'!$S$106</x:f>
        <x:v>19271.197328862916</x:v>
      </x:c>
      <x:c r="R2132" s="10" t="n">
        <x:f>H2132*'Assumptions'!$Y$106*'Assumptions'!$Z$106*'Assumptions'!$D$11*(1+'Assumptions'!$D$13)^(17-1)</x:f>
        <x:v>4620.903780833298</x:v>
      </x:c>
      <x:c r="S2132" s="10" t="n">
        <x:f>IF(I2132=0,0,J2132*'Assumptions'!$W$106+H2132*'Assumptions'!$X$106)</x:f>
        <x:v>1385.9013289144593</x:v>
      </x:c>
      <x:c r="T2132" s="10" t="n">
        <x:f>N2132*'Assumptions'!$AA$106</x:f>
        <x:v>1661.6054585775137</x:v>
      </x:c>
      <x:c r="U2132" s="10" t="n">
        <x:f>'Assumptions'!$AE$106*'Assumptions'!$D$11*(1+'Assumptions'!$D$13)^(17-1)</x:f>
        <x:v>0</x:v>
      </x:c>
      <x:c r="V2132" s="10" t="n">
        <x:f>0</x:f>
        <x:v>0</x:v>
      </x:c>
      <x:c r="W2132" s="10" t="n">
        <x:f>H2132*('Assumptions'!$P$106+'Assumptions'!$Y$106)</x:f>
        <x:v>167.9763438227314</x:v>
      </x:c>
      <x:c r="X2132" s="10" t="n">
        <x:f>N2132/12*'Assumptions'!$AF$106</x:f>
        <x:v>0</x:v>
      </x:c>
      <x:c r="Y2132" s="10" t="n">
        <x:f>P2132/12</x:f>
        <x:v>320.89609589120124</x:v>
      </x:c>
      <x:c r="Z2132" s="10" t="n">
        <x:f>0</x:f>
        <x:v>0</x:v>
      </x:c>
      <x:c r="AA2132" s="10" t="n">
        <x:f>Z2132*'Assumptions'!$AC$106*'Assumptions'!$D$11*(1+'Assumptions'!$D$13)^(17-1)</x:f>
        <x:v>0</x:v>
      </x:c>
      <x:c r="AB2132" s="10" t="n">
        <x:f>F2132/1</x:f>
        <x:v>200.39582538542325</x:v>
      </x:c>
      <x:c r="AC2132" s="10" t="n">
        <x:f>AB2132/'Assumptions'!$AM$106</x:f>
        <x:v>1335.972169236155</x:v>
      </x:c>
      <x:c r="AD2132" s="10" t="n">
        <x:f>IF(AB2132=0,0,T2132/AB2132)</x:f>
        <x:v>8.291617130155938</x:v>
      </x:c>
      <x:c r="AE2132" s="10" t="n">
        <x:f>AA2132*'Assumptions'!$D$21</x:f>
        <x:v>0</x:v>
      </x:c>
    </x:row>
    <x:row r="2133" ht="16" customHeight="1">
      <x:c r="A2133" s="1"/>
      <x:c r="B2133" s="1"/>
      <x:c r="C2133" s="1" t="str">
        <x:v>DOT-078</x:v>
      </x:c>
      <x:c r="D2133" s="10" t="str">
        <x:v>S’otality editorial</x:v>
      </x:c>
      <x:c r="E2133" s="10" t="n">
        <x:v>17</x:v>
      </x:c>
      <x:c r="F2133" s="21" t="n">
        <x:f>F2005*(1+'Assumptions'!$M$107)</x:f>
        <x:v>16.28216081256564</x:v>
      </x:c>
      <x:c r="G2133" s="21" t="n">
        <x:f>H2005*'Assumptions'!$K$107</x:f>
        <x:v>8.380521817921164</x:v>
      </x:c>
      <x:c r="H2133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2133+G2133,NA())</x:f>
        <x:v>24.662682630486803</x:v>
      </x:c>
      <x:c r="I2133" s="22" t="n">
        <x:f>'Assumptions'!$H$107*IF('Assumptions'!$O$107=1,1,'Assumptions'!$D$10)*(1+'Assumptions'!$N$107)^(17-1)</x:f>
        <x:v>343.1964262726531</x:v>
      </x:c>
      <x:c r="J2133" s="10" t="n">
        <x:f>H2133*I2133</x:f>
        <x:v>8464.144541079706</x:v>
      </x:c>
      <x:c r="K2133" s="10" t="n">
        <x:f>J2133*'Assumptions'!$T$107</x:f>
        <x:v>8464.144541079706</x:v>
      </x:c>
      <x:c r="L2133" s="10" t="n">
        <x:f>K2133*'Assumptions'!$U$107</x:f>
        <x:v>253.92433623239117</x:v>
      </x:c>
      <x:c r="M2133" s="10" t="n">
        <x:f>K2133*'Assumptions'!$V$107</x:f>
        <x:v>0</x:v>
      </x:c>
      <x:c r="N2133" s="10" t="n">
        <x:f>K2133-L2133-M2133</x:f>
        <x:v>8210.220204847315</x:v>
      </x:c>
      <x:c r="O2133" s="10" t="n">
        <x:f>H2133*'Assumptions'!$P$107*'Assumptions'!$Q$107*'Assumptions'!$D$11*(1+'Assumptions'!$D$13)^(17-1)</x:f>
        <x:v>3166.109249807361</x:v>
      </x:c>
      <x:c r="P2133" s="10" t="n">
        <x:f>H2133*'Assumptions'!$R$107*'Assumptions'!$D$11*(1+'Assumptions'!$D$13)^(17-1)</x:f>
        <x:v>0</x:v>
      </x:c>
      <x:c r="Q2133" s="10" t="n">
        <x:f>J2133*'Assumptions'!$S$107</x:f>
        <x:v>0</x:v>
      </x:c>
      <x:c r="R2133" s="10" t="n">
        <x:f>H2133*'Assumptions'!$Y$107*'Assumptions'!$Z$107*'Assumptions'!$D$11*(1+'Assumptions'!$D$13)^(17-1)</x:f>
        <x:v>593.6454843388801</x:v>
      </x:c>
      <x:c r="S2133" s="10" t="n">
        <x:f>IF(I2133=0,0,J2133*'Assumptions'!$W$107+H2133*'Assumptions'!$X$107)</x:f>
        <x:v>252.8589964804575</x:v>
      </x:c>
      <x:c r="T2133" s="10" t="n">
        <x:f>N2133*'Assumptions'!$AA$107</x:f>
        <x:v>656.8176163877853</x:v>
      </x:c>
      <x:c r="U2133" s="10" t="n">
        <x:f>'Assumptions'!$AE$107*'Assumptions'!$D$11*(1+'Assumptions'!$D$13)^(17-1)</x:f>
        <x:v>0</x:v>
      </x:c>
      <x:c r="V2133" s="10" t="n">
        <x:f>0</x:f>
        <x:v>0</x:v>
      </x:c>
      <x:c r="W2133" s="10" t="n">
        <x:f>H2133*('Assumptions'!$P$107+'Assumptions'!$Y$107)</x:f>
        <x:v>61.656706576217005</x:v>
      </x:c>
      <x:c r="X2133" s="10" t="n">
        <x:f>N2133/12*'Assumptions'!$AF$107</x:f>
        <x:v>684.1850170706097</x:v>
      </x:c>
      <x:c r="Y2133" s="10" t="n">
        <x:f>P2133/12</x:f>
        <x:v>0</x:v>
      </x:c>
      <x:c r="Z2133" s="10" t="n">
        <x:f>0</x:f>
        <x:v>0</x:v>
      </x:c>
      <x:c r="AA2133" s="10" t="n">
        <x:f>Z2133*'Assumptions'!$AC$107*'Assumptions'!$D$11*(1+'Assumptions'!$D$13)^(17-1)</x:f>
        <x:v>0</x:v>
      </x:c>
      <x:c r="AB2133" s="10" t="n">
        <x:f>F2133/1</x:f>
        <x:v>16.28216081256564</x:v>
      </x:c>
      <x:c r="AC2133" s="10" t="n">
        <x:f>AB2133/'Assumptions'!$AM$107</x:f>
        <x:v>162.82160812565638</x:v>
      </x:c>
      <x:c r="AD2133" s="10" t="n">
        <x:f>IF(AB2133=0,0,T2133/AB2133)</x:f>
        <x:v>40.339708221091335</x:v>
      </x:c>
      <x:c r="AE2133" s="10" t="n">
        <x:f>AA2133*'Assumptions'!$D$21</x:f>
        <x:v>0</x:v>
      </x:c>
    </x:row>
    <x:row r="2134" ht="16" customHeight="1">
      <x:c r="A2134" s="1"/>
      <x:c r="B2134" s="1"/>
      <x:c r="C2134" s="1" t="str">
        <x:v>DOT-079</x:v>
      </x:c>
      <x:c r="D2134" s="10" t="str">
        <x:v>S’otality editorial</x:v>
      </x:c>
      <x:c r="E2134" s="10" t="n">
        <x:v>17</x:v>
      </x:c>
      <x:c r="F2134" s="21" t="n">
        <x:f>F2006*(1+'Assumptions'!$M$108)</x:f>
        <x:v>5.427386937521879</x:v>
      </x:c>
      <x:c r="G2134" s="21" t="n">
        <x:f>H2006*'Assumptions'!$K$108</x:f>
        <x:v>2.7935072726403876</x:v>
      </x:c>
      <x:c r="H2134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2134+G2134,NA())</x:f>
        <x:v>8.220894210162268</x:v>
      </x:c>
      <x:c r="I2134" s="22" t="n">
        <x:f>'Assumptions'!$H$108*IF('Assumptions'!$O$108=1,1,'Assumptions'!$D$10)*(1+'Assumptions'!$N$108)^(17-1)</x:f>
        <x:v>1372.7857050906125</x:v>
      </x:c>
      <x:c r="J2134" s="10" t="n">
        <x:f>H2134*I2134</x:f>
        <x:v>11285.526054772943</x:v>
      </x:c>
      <x:c r="K2134" s="10" t="n">
        <x:f>J2134*'Assumptions'!$T$108</x:f>
        <x:v>11285.526054772943</x:v>
      </x:c>
      <x:c r="L2134" s="10" t="n">
        <x:f>K2134*'Assumptions'!$U$108</x:f>
        <x:v>338.5657816431883</x:v>
      </x:c>
      <x:c r="M2134" s="10" t="n">
        <x:f>K2134*'Assumptions'!$V$108</x:f>
        <x:v>0</x:v>
      </x:c>
      <x:c r="N2134" s="10" t="n">
        <x:f>K2134-L2134-M2134</x:f>
        <x:v>10946.960273129755</x:v>
      </x:c>
      <x:c r="O2134" s="10" t="n">
        <x:f>H2134*'Assumptions'!$P$108*'Assumptions'!$Q$108*'Assumptions'!$D$11*(1+'Assumptions'!$D$13)^(17-1)</x:f>
        <x:v>4221.478999743148</x:v>
      </x:c>
      <x:c r="P2134" s="10" t="n">
        <x:f>H2134*'Assumptions'!$R$108*'Assumptions'!$D$11*(1+'Assumptions'!$D$13)^(17-1)</x:f>
        <x:v>1319.2121874197337</x:v>
      </x:c>
      <x:c r="Q2134" s="10" t="n">
        <x:f>J2134*'Assumptions'!$S$108</x:f>
        <x:v>0</x:v>
      </x:c>
      <x:c r="R2134" s="10" t="n">
        <x:f>H2134*'Assumptions'!$Y$108*'Assumptions'!$Z$108*'Assumptions'!$D$11*(1+'Assumptions'!$D$13)^(17-1)</x:f>
        <x:v>197.88182811296005</x:v>
      </x:c>
      <x:c r="S2134" s="10" t="n">
        <x:f>IF(I2134=0,0,J2134*'Assumptions'!$W$108+H2134*'Assumptions'!$X$108)</x:f>
        <x:v>329.746523851464</x:v>
      </x:c>
      <x:c r="T2134" s="10" t="n">
        <x:f>N2134*'Assumptions'!$AA$108</x:f>
        <x:v>875.7568218503803</x:v>
      </x:c>
      <x:c r="U2134" s="10" t="n">
        <x:f>'Assumptions'!$AE$108*'Assumptions'!$D$11*(1+'Assumptions'!$D$13)^(17-1)</x:f>
        <x:v>0</x:v>
      </x:c>
      <x:c r="V2134" s="10" t="n">
        <x:f>0</x:f>
        <x:v>0</x:v>
      </x:c>
      <x:c r="W2134" s="10" t="n">
        <x:f>H2134*('Assumptions'!$P$108+'Assumptions'!$Y$108)</x:f>
        <x:v>69.87760078637928</x:v>
      </x:c>
      <x:c r="X2134" s="10" t="n">
        <x:f>N2134/12*'Assumptions'!$AF$108</x:f>
        <x:v>912.2466894274795</x:v>
      </x:c>
      <x:c r="Y2134" s="10" t="n">
        <x:f>P2134/12</x:f>
        <x:v>109.93434895164448</x:v>
      </x:c>
      <x:c r="Z2134" s="10" t="n">
        <x:f>0</x:f>
        <x:v>0</x:v>
      </x:c>
      <x:c r="AA2134" s="10" t="n">
        <x:f>Z2134*'Assumptions'!$AC$108*'Assumptions'!$D$11*(1+'Assumptions'!$D$13)^(17-1)</x:f>
        <x:v>0</x:v>
      </x:c>
      <x:c r="AB2134" s="10" t="n">
        <x:f>F2134/1</x:f>
        <x:v>5.427386937521879</x:v>
      </x:c>
      <x:c r="AC2134" s="10" t="n">
        <x:f>AB2134/'Assumptions'!$AM$108</x:f>
        <x:v>54.27386937521879</x:v>
      </x:c>
      <x:c r="AD2134" s="10" t="n">
        <x:f>IF(AB2134=0,0,T2134/AB2134)</x:f>
        <x:v>161.35883288436534</x:v>
      </x:c>
      <x:c r="AE2134" s="10" t="n">
        <x:f>AA2134*'Assumptions'!$D$21</x:f>
        <x:v>0</x:v>
      </x:c>
    </x:row>
    <x:row r="2135" ht="16" customHeight="1">
      <x:c r="A2135" s="1"/>
      <x:c r="B2135" s="1"/>
      <x:c r="C2135" s="1" t="str">
        <x:v>DOT-080</x:v>
      </x:c>
      <x:c r="D2135" s="10" t="str">
        <x:v>Tomato Odyssey</x:v>
      </x:c>
      <x:c r="E2135" s="10" t="n">
        <x:v>17</x:v>
      </x:c>
      <x:c r="F2135" s="21" t="n">
        <x:f>F2007*(1+'Assumptions'!$M$109)</x:f>
        <x:v>16.28216081256564</x:v>
      </x:c>
      <x:c r="G2135" s="21" t="n">
        <x:f>H2007*'Assumptions'!$K$109</x:f>
        <x:v>8.380521817921164</x:v>
      </x:c>
      <x:c r="H2135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2135+G2135,NA())</x:f>
        <x:v>24.662682630486803</x:v>
      </x:c>
      <x:c r="I2135" s="22" t="n">
        <x:f>'Assumptions'!$H$109*IF('Assumptions'!$O$109=1,1,'Assumptions'!$D$10)*(1+'Assumptions'!$N$109)^(17-1)</x:f>
        <x:v>343.1964262726531</x:v>
      </x:c>
      <x:c r="J2135" s="10" t="n">
        <x:f>H2135*I2135</x:f>
        <x:v>8464.144541079706</x:v>
      </x:c>
      <x:c r="K2135" s="10" t="n">
        <x:f>J2135*'Assumptions'!$T$109</x:f>
        <x:v>8464.144541079706</x:v>
      </x:c>
      <x:c r="L2135" s="10" t="n">
        <x:f>K2135*'Assumptions'!$U$109</x:f>
        <x:v>253.92433623239117</x:v>
      </x:c>
      <x:c r="M2135" s="10" t="n">
        <x:f>K2135*'Assumptions'!$V$109</x:f>
        <x:v>0</x:v>
      </x:c>
      <x:c r="N2135" s="10" t="n">
        <x:f>K2135-L2135-M2135</x:f>
        <x:v>8210.220204847315</x:v>
      </x:c>
      <x:c r="O2135" s="10" t="n">
        <x:f>H2135*'Assumptions'!$P$109*'Assumptions'!$Q$109*'Assumptions'!$D$11*(1+'Assumptions'!$D$13)^(17-1)</x:f>
        <x:v>3166.109249807361</x:v>
      </x:c>
      <x:c r="P2135" s="10" t="n">
        <x:f>H2135*'Assumptions'!$R$109*'Assumptions'!$D$11*(1+'Assumptions'!$D$13)^(17-1)</x:f>
        <x:v>0</x:v>
      </x:c>
      <x:c r="Q2135" s="10" t="n">
        <x:f>J2135*'Assumptions'!$S$109</x:f>
        <x:v>0</x:v>
      </x:c>
      <x:c r="R2135" s="10" t="n">
        <x:f>H2135*'Assumptions'!$Y$109*'Assumptions'!$Z$109*'Assumptions'!$D$11*(1+'Assumptions'!$D$13)^(17-1)</x:f>
        <x:v>593.6454843388801</x:v>
      </x:c>
      <x:c r="S2135" s="10" t="n">
        <x:f>IF(I2135=0,0,J2135*'Assumptions'!$W$109+H2135*'Assumptions'!$X$109)</x:f>
        <x:v>252.8589964804575</x:v>
      </x:c>
      <x:c r="T2135" s="10" t="n">
        <x:f>N2135*'Assumptions'!$AA$109</x:f>
        <x:v>656.8176163877853</x:v>
      </x:c>
      <x:c r="U2135" s="10" t="n">
        <x:f>'Assumptions'!$AE$109*'Assumptions'!$D$11*(1+'Assumptions'!$D$13)^(17-1)</x:f>
        <x:v>0</x:v>
      </x:c>
      <x:c r="V2135" s="10" t="n">
        <x:f>0</x:f>
        <x:v>0</x:v>
      </x:c>
      <x:c r="W2135" s="10" t="n">
        <x:f>H2135*('Assumptions'!$P$109+'Assumptions'!$Y$109)</x:f>
        <x:v>61.656706576217005</x:v>
      </x:c>
      <x:c r="X2135" s="10" t="n">
        <x:f>N2135/12*'Assumptions'!$AF$109</x:f>
        <x:v>684.1850170706097</x:v>
      </x:c>
      <x:c r="Y2135" s="10" t="n">
        <x:f>P2135/12</x:f>
        <x:v>0</x:v>
      </x:c>
      <x:c r="Z2135" s="10" t="n">
        <x:f>0</x:f>
        <x:v>0</x:v>
      </x:c>
      <x:c r="AA2135" s="10" t="n">
        <x:f>Z2135*'Assumptions'!$AC$109*'Assumptions'!$D$11*(1+'Assumptions'!$D$13)^(17-1)</x:f>
        <x:v>0</x:v>
      </x:c>
      <x:c r="AB2135" s="10" t="n">
        <x:f>F2135/1</x:f>
        <x:v>16.28216081256564</x:v>
      </x:c>
      <x:c r="AC2135" s="10" t="n">
        <x:f>AB2135/'Assumptions'!$AM$109</x:f>
        <x:v>162.82160812565638</x:v>
      </x:c>
      <x:c r="AD2135" s="10" t="n">
        <x:f>IF(AB2135=0,0,T2135/AB2135)</x:f>
        <x:v>40.339708221091335</x:v>
      </x:c>
      <x:c r="AE2135" s="10" t="n">
        <x:f>AA2135*'Assumptions'!$D$21</x:f>
        <x:v>0</x:v>
      </x:c>
    </x:row>
    <x:row r="2136" ht="16" customHeight="1">
      <x:c r="A2136" s="1"/>
      <x:c r="B2136" s="1"/>
      <x:c r="C2136" s="1" t="str">
        <x:v>DOT-081</x:v>
      </x:c>
      <x:c r="D2136" s="10" t="str">
        <x:v>Tomato Odyssey</x:v>
      </x:c>
      <x:c r="E2136" s="10" t="n">
        <x:v>17</x:v>
      </x:c>
      <x:c r="F2136" s="21" t="n">
        <x:f>F2008*(1+'Assumptions'!$M$110)</x:f>
        <x:v>5.427386937521879</x:v>
      </x:c>
      <x:c r="G2136" s="21" t="n">
        <x:f>H2008*'Assumptions'!$K$110</x:f>
        <x:v>2.7935072726403876</x:v>
      </x:c>
      <x:c r="H2136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2136+G2136,NA())</x:f>
        <x:v>8.220894210162268</x:v>
      </x:c>
      <x:c r="I2136" s="22" t="n">
        <x:f>'Assumptions'!$H$110*IF('Assumptions'!$O$110=1,1,'Assumptions'!$D$10)*(1+'Assumptions'!$N$110)^(17-1)</x:f>
        <x:v>1372.7857050906125</x:v>
      </x:c>
      <x:c r="J2136" s="10" t="n">
        <x:f>H2136*I2136</x:f>
        <x:v>11285.526054772943</x:v>
      </x:c>
      <x:c r="K2136" s="10" t="n">
        <x:f>J2136*'Assumptions'!$T$110</x:f>
        <x:v>11285.526054772943</x:v>
      </x:c>
      <x:c r="L2136" s="10" t="n">
        <x:f>K2136*'Assumptions'!$U$110</x:f>
        <x:v>338.5657816431883</x:v>
      </x:c>
      <x:c r="M2136" s="10" t="n">
        <x:f>K2136*'Assumptions'!$V$110</x:f>
        <x:v>0</x:v>
      </x:c>
      <x:c r="N2136" s="10" t="n">
        <x:f>K2136-L2136-M2136</x:f>
        <x:v>10946.960273129755</x:v>
      </x:c>
      <x:c r="O2136" s="10" t="n">
        <x:f>H2136*'Assumptions'!$P$110*'Assumptions'!$Q$110*'Assumptions'!$D$11*(1+'Assumptions'!$D$13)^(17-1)</x:f>
        <x:v>4221.478999743148</x:v>
      </x:c>
      <x:c r="P2136" s="10" t="n">
        <x:f>H2136*'Assumptions'!$R$110*'Assumptions'!$D$11*(1+'Assumptions'!$D$13)^(17-1)</x:f>
        <x:v>1319.2121874197337</x:v>
      </x:c>
      <x:c r="Q2136" s="10" t="n">
        <x:f>J2136*'Assumptions'!$S$110</x:f>
        <x:v>0</x:v>
      </x:c>
      <x:c r="R2136" s="10" t="n">
        <x:f>H2136*'Assumptions'!$Y$110*'Assumptions'!$Z$110*'Assumptions'!$D$11*(1+'Assumptions'!$D$13)^(17-1)</x:f>
        <x:v>197.88182811296005</x:v>
      </x:c>
      <x:c r="S2136" s="10" t="n">
        <x:f>IF(I2136=0,0,J2136*'Assumptions'!$W$110+H2136*'Assumptions'!$X$110)</x:f>
        <x:v>329.746523851464</x:v>
      </x:c>
      <x:c r="T2136" s="10" t="n">
        <x:f>N2136*'Assumptions'!$AA$110</x:f>
        <x:v>875.7568218503803</x:v>
      </x:c>
      <x:c r="U2136" s="10" t="n">
        <x:f>'Assumptions'!$AE$110*'Assumptions'!$D$11*(1+'Assumptions'!$D$13)^(17-1)</x:f>
        <x:v>0</x:v>
      </x:c>
      <x:c r="V2136" s="10" t="n">
        <x:f>0</x:f>
        <x:v>0</x:v>
      </x:c>
      <x:c r="W2136" s="10" t="n">
        <x:f>H2136*('Assumptions'!$P$110+'Assumptions'!$Y$110)</x:f>
        <x:v>69.87760078637928</x:v>
      </x:c>
      <x:c r="X2136" s="10" t="n">
        <x:f>N2136/12*'Assumptions'!$AF$110</x:f>
        <x:v>912.2466894274795</x:v>
      </x:c>
      <x:c r="Y2136" s="10" t="n">
        <x:f>P2136/12</x:f>
        <x:v>109.93434895164448</x:v>
      </x:c>
      <x:c r="Z2136" s="10" t="n">
        <x:f>0</x:f>
        <x:v>0</x:v>
      </x:c>
      <x:c r="AA2136" s="10" t="n">
        <x:f>Z2136*'Assumptions'!$AC$110*'Assumptions'!$D$11*(1+'Assumptions'!$D$13)^(17-1)</x:f>
        <x:v>0</x:v>
      </x:c>
      <x:c r="AB2136" s="10" t="n">
        <x:f>F2136/1</x:f>
        <x:v>5.427386937521879</x:v>
      </x:c>
      <x:c r="AC2136" s="10" t="n">
        <x:f>AB2136/'Assumptions'!$AM$110</x:f>
        <x:v>54.27386937521879</x:v>
      </x:c>
      <x:c r="AD2136" s="10" t="n">
        <x:f>IF(AB2136=0,0,T2136/AB2136)</x:f>
        <x:v>161.35883288436534</x:v>
      </x:c>
      <x:c r="AE2136" s="10" t="n">
        <x:f>AA2136*'Assumptions'!$D$21</x:f>
        <x:v>0</x:v>
      </x:c>
    </x:row>
    <x:row r="2137" ht="16" customHeight="1">
      <x:c r="A2137" s="1"/>
      <x:c r="B2137" s="1"/>
      <x:c r="C2137" s="1" t="str">
        <x:v>DOT-082</x:v>
      </x:c>
      <x:c r="D2137" s="10" t="str">
        <x:v>Semajes Studio</x:v>
      </x:c>
      <x:c r="E2137" s="10" t="n">
        <x:v>17</x:v>
      </x:c>
      <x:c r="F2137" s="21" t="n">
        <x:f>F2009*(1+'Assumptions'!$M$111)</x:f>
        <x:v>37.57421725976684</x:v>
      </x:c>
      <x:c r="G2137" s="21" t="n">
        <x:f>H2009*'Assumptions'!$K$111</x:f>
        <x:v>35.44657507232205</x:v>
      </x:c>
      <x:c r="H2137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2137+G2137,NA())</x:f>
        <x:v>73.02079233208889</x:v>
      </x:c>
      <x:c r="I2137" s="22" t="n">
        <x:f>'Assumptions'!$H$111*IF('Assumptions'!$O$111=1,1,'Assumptions'!$D$10)*(1+'Assumptions'!$N$111)^(17-1)</x:f>
        <x:v>755.0321377998368</x:v>
      </x:c>
      <x:c r="J2137" s="10" t="n">
        <x:f>H2137*I2137</x:f>
        <x:v>55133.044938335006</x:v>
      </x:c>
      <x:c r="K2137" s="10" t="n">
        <x:f>J2137*'Assumptions'!$T$111</x:f>
        <x:v>55133.044938335006</x:v>
      </x:c>
      <x:c r="L2137" s="10" t="n">
        <x:f>K2137*'Assumptions'!$U$111</x:f>
        <x:v>1653.99134815005</x:v>
      </x:c>
      <x:c r="M2137" s="10" t="n">
        <x:f>K2137*'Assumptions'!$V$111</x:f>
        <x:v>0</x:v>
      </x:c>
      <x:c r="N2137" s="10" t="n">
        <x:f>K2137-L2137-M2137</x:f>
        <x:v>53479.05359018496</x:v>
      </x:c>
      <x:c r="O2137" s="10" t="n">
        <x:f>H2137*'Assumptions'!$P$111*'Assumptions'!$Q$111*'Assumptions'!$D$11*(1+'Assumptions'!$D$13)^(17-1)</x:f>
        <x:v>35153.08069301953</x:v>
      </x:c>
      <x:c r="P2137" s="10" t="n">
        <x:f>H2137*'Assumptions'!$R$111*'Assumptions'!$D$11*(1+'Assumptions'!$D$13)^(17-1)</x:f>
        <x:v>9374.154851471876</x:v>
      </x:c>
      <x:c r="Q2137" s="10" t="n">
        <x:f>J2137*'Assumptions'!$S$111</x:f>
        <x:v>0</x:v>
      </x:c>
      <x:c r="R2137" s="10" t="n">
        <x:f>H2137*'Assumptions'!$Y$111*'Assumptions'!$Z$111*'Assumptions'!$D$11*(1+'Assumptions'!$D$13)^(17-1)</x:f>
        <x:v>878.8270173254884</x:v>
      </x:c>
      <x:c r="S2137" s="10" t="n">
        <x:f>IF(I2137=0,0,J2137*'Assumptions'!$W$111+H2137*'Assumptions'!$X$111)</x:f>
        <x:v>1620.764540911342</x:v>
      </x:c>
      <x:c r="T2137" s="10" t="n">
        <x:f>N2137*'Assumptions'!$AA$111</x:f>
        <x:v>2139.1621436073983</x:v>
      </x:c>
      <x:c r="U2137" s="10" t="n">
        <x:f>'Assumptions'!$AE$111*'Assumptions'!$D$11*(1+'Assumptions'!$D$13)^(17-1)</x:f>
        <x:v>0</x:v>
      </x:c>
      <x:c r="V2137" s="10" t="n">
        <x:f>0</x:f>
        <x:v>0</x:v>
      </x:c>
      <x:c r="W2137" s="10" t="n">
        <x:f>H2137*('Assumptions'!$P$111+'Assumptions'!$Y$111)</x:f>
        <x:v>456.37995207555554</x:v>
      </x:c>
      <x:c r="X2137" s="10" t="n">
        <x:f>N2137/12*'Assumptions'!$AF$111</x:f>
        <x:v>4456.58779918208</x:v>
      </x:c>
      <x:c r="Y2137" s="10" t="n">
        <x:f>P2137/12</x:f>
        <x:v>781.1795709559897</x:v>
      </x:c>
      <x:c r="Z2137" s="10" t="n">
        <x:f>0</x:f>
        <x:v>0</x:v>
      </x:c>
      <x:c r="AA2137" s="10" t="n">
        <x:f>Z2137*'Assumptions'!$AC$111*'Assumptions'!$D$11*(1+'Assumptions'!$D$13)^(17-1)</x:f>
        <x:v>0</x:v>
      </x:c>
      <x:c r="AB2137" s="10" t="n">
        <x:f>F2137/1</x:f>
        <x:v>37.57421725976684</x:v>
      </x:c>
      <x:c r="AC2137" s="10" t="n">
        <x:f>AB2137/'Assumptions'!$AM$111</x:f>
        <x:v>187.8710862988342</x:v>
      </x:c>
      <x:c r="AD2137" s="10" t="n">
        <x:f>IF(AB2137=0,0,T2137/AB2137)</x:f>
        <x:v>56.93164887024642</x:v>
      </x:c>
      <x:c r="AE2137" s="10" t="n">
        <x:f>AA2137*'Assumptions'!$D$21</x:f>
        <x:v>0</x:v>
      </x:c>
    </x:row>
    <x:row r="2138" ht="16" customHeight="1">
      <x:c r="A2138" s="1"/>
      <x:c r="B2138" s="1"/>
      <x:c r="C2138" s="1" t="str">
        <x:v>DOT-083</x:v>
      </x:c>
      <x:c r="D2138" s="10" t="str">
        <x:v>Semajes Studio</x:v>
      </x:c>
      <x:c r="E2138" s="10" t="n">
        <x:v>17</x:v>
      </x:c>
      <x:c r="F2138" s="21" t="n">
        <x:f>F2010*(1+'Assumptions'!$M$112)</x:f>
        <x:v>18.78710862988342</x:v>
      </x:c>
      <x:c r="G2138" s="21" t="n">
        <x:f>H2010*'Assumptions'!$K$112</x:f>
        <x:v>17.723287536161024</x:v>
      </x:c>
      <x:c r="H2138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2138+G2138,NA())</x:f>
        <x:v>36.510396166044444</x:v>
      </x:c>
      <x:c r="I2138" s="22" t="n">
        <x:f>'Assumptions'!$H$112*IF('Assumptions'!$O$112=1,1,'Assumptions'!$D$10)*(1+'Assumptions'!$N$112)^(17-1)</x:f>
        <x:v>1647.3428461087349</x:v>
      </x:c>
      <x:c r="J2138" s="10" t="n">
        <x:f>H2138*I2138</x:f>
        <x:v>60145.13993272909</x:v>
      </x:c>
      <x:c r="K2138" s="10" t="n">
        <x:f>J2138*'Assumptions'!$T$112</x:f>
        <x:v>60145.13993272909</x:v>
      </x:c>
      <x:c r="L2138" s="10" t="n">
        <x:f>K2138*'Assumptions'!$U$112</x:f>
        <x:v>1804.3541979818726</x:v>
      </x:c>
      <x:c r="M2138" s="10" t="n">
        <x:f>K2138*'Assumptions'!$V$112</x:f>
        <x:v>0</x:v>
      </x:c>
      <x:c r="N2138" s="10" t="n">
        <x:f>K2138-L2138-M2138</x:f>
        <x:v>58340.78573474722</x:v>
      </x:c>
      <x:c r="O2138" s="10" t="n">
        <x:f>H2138*'Assumptions'!$P$112*'Assumptions'!$Q$112*'Assumptions'!$D$11*(1+'Assumptions'!$D$13)^(17-1)</x:f>
        <x:v>29294.233910849616</x:v>
      </x:c>
      <x:c r="P2138" s="10" t="n">
        <x:f>H2138*'Assumptions'!$R$112*'Assumptions'!$D$11*(1+'Assumptions'!$D$13)^(17-1)</x:f>
        <x:v>8788.270173254883</x:v>
      </x:c>
      <x:c r="Q2138" s="10" t="n">
        <x:f>J2138*'Assumptions'!$S$112</x:f>
        <x:v>0</x:v>
      </x:c>
      <x:c r="R2138" s="10" t="n">
        <x:f>H2138*'Assumptions'!$Y$112*'Assumptions'!$Z$112*'Assumptions'!$D$11*(1+'Assumptions'!$D$13)^(17-1)</x:f>
        <x:v>439.4135086627442</x:v>
      </x:c>
      <x:c r="S2138" s="10" t="n">
        <x:f>IF(I2138=0,0,J2138*'Assumptions'!$W$112+H2138*'Assumptions'!$X$112)</x:f>
        <x:v>1755.1621768989571</x:v>
      </x:c>
      <x:c r="T2138" s="10" t="n">
        <x:f>N2138*'Assumptions'!$AA$112</x:f>
        <x:v>2333.631429389889</x:v>
      </x:c>
      <x:c r="U2138" s="10" t="n">
        <x:f>'Assumptions'!$AE$112*'Assumptions'!$D$11*(1+'Assumptions'!$D$13)^(17-1)</x:f>
        <x:v>0</x:v>
      </x:c>
      <x:c r="V2138" s="10" t="n">
        <x:f>0</x:f>
        <x:v>0</x:v>
      </x:c>
      <x:c r="W2138" s="10" t="n">
        <x:f>H2138*('Assumptions'!$P$112+'Assumptions'!$Y$112)</x:f>
        <x:v>374.2315607019556</x:v>
      </x:c>
      <x:c r="X2138" s="10" t="n">
        <x:f>N2138/12*'Assumptions'!$AF$112</x:f>
        <x:v>4861.732144562268</x:v>
      </x:c>
      <x:c r="Y2138" s="10" t="n">
        <x:f>P2138/12</x:f>
        <x:v>732.3558477712403</x:v>
      </x:c>
      <x:c r="Z2138" s="10" t="n">
        <x:f>0</x:f>
        <x:v>0</x:v>
      </x:c>
      <x:c r="AA2138" s="10" t="n">
        <x:f>Z2138*'Assumptions'!$AC$112*'Assumptions'!$D$11*(1+'Assumptions'!$D$13)^(17-1)</x:f>
        <x:v>0</x:v>
      </x:c>
      <x:c r="AB2138" s="10" t="n">
        <x:f>F2138/1</x:f>
        <x:v>18.78710862988342</x:v>
      </x:c>
      <x:c r="AC2138" s="10" t="n">
        <x:f>AB2138/'Assumptions'!$AM$112</x:f>
        <x:v>93.9355431494171</x:v>
      </x:c>
      <x:c r="AD2138" s="10" t="n">
        <x:f>IF(AB2138=0,0,T2138/AB2138)</x:f>
        <x:v>124.21450662599219</x:v>
      </x:c>
      <x:c r="AE2138" s="10" t="n">
        <x:f>AA2138*'Assumptions'!$D$21</x:f>
        <x:v>0</x:v>
      </x:c>
    </x:row>
    <x:row r="2139" ht="16" customHeight="1">
      <x:c r="A2139" s="1"/>
      <x:c r="B2139" s="1"/>
      <x:c r="C2139" s="1" t="str">
        <x:v>DOT-084</x:v>
      </x:c>
      <x:c r="D2139" s="10" t="str">
        <x:v>Semajes Studio</x:v>
      </x:c>
      <x:c r="E2139" s="10" t="n">
        <x:v>17</x:v>
      </x:c>
      <x:c r="F2139" s="21" t="n">
        <x:f>F2011*(1+'Assumptions'!$M$113)</x:f>
        <x:v>125.2473908658895</x:v>
      </x:c>
      <x:c r="G2139" s="21" t="n">
        <x:f>H2011*'Assumptions'!$K$113</x:f>
        <x:v>118.15525024107353</x:v>
      </x:c>
      <x:c r="H2139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2139+G2139,NA())</x:f>
        <x:v>243.40264110696302</x:v>
      </x:c>
      <x:c r="I2139" s="22" t="n">
        <x:f>'Assumptions'!$H$113*IF('Assumptions'!$O$113=1,1,'Assumptions'!$D$10)*(1+'Assumptions'!$N$113)^(17-1)</x:f>
        <x:v>48.047499678171434</x:v>
      </x:c>
      <x:c r="J2139" s="10" t="n">
        <x:f>H2139*I2139</x:f>
        <x:v>11694.888320252883</x:v>
      </x:c>
      <x:c r="K2139" s="10" t="n">
        <x:f>J2139*'Assumptions'!$T$113</x:f>
        <x:v>11694.888320252883</x:v>
      </x:c>
      <x:c r="L2139" s="10" t="n">
        <x:f>K2139*'Assumptions'!$U$113</x:f>
        <x:v>350.84664960758647</x:v>
      </x:c>
      <x:c r="M2139" s="10" t="n">
        <x:f>K2139*'Assumptions'!$V$113</x:f>
        <x:v>0</x:v>
      </x:c>
      <x:c r="N2139" s="10" t="n">
        <x:f>K2139-L2139-M2139</x:f>
        <x:v>11344.041670645296</x:v>
      </x:c>
      <x:c r="O2139" s="10" t="n">
        <x:f>H2139*'Assumptions'!$P$113*'Assumptions'!$Q$113*'Assumptions'!$D$11*(1+'Assumptions'!$D$13)^(17-1)</x:f>
        <x:v>1952.9489273899749</x:v>
      </x:c>
      <x:c r="P2139" s="10" t="n">
        <x:f>H2139*'Assumptions'!$R$113*'Assumptions'!$D$11*(1+'Assumptions'!$D$13)^(17-1)</x:f>
        <x:v>0</x:v>
      </x:c>
      <x:c r="Q2139" s="10" t="n">
        <x:f>J2139*'Assumptions'!$S$113</x:f>
        <x:v>0</x:v>
      </x:c>
      <x:c r="R2139" s="10" t="n">
        <x:f>H2139*'Assumptions'!$Y$113*'Assumptions'!$Z$113*'Assumptions'!$D$11*(1+'Assumptions'!$D$13)^(17-1)</x:f>
        <x:v>2929.423391084962</x:v>
      </x:c>
      <x:c r="S2139" s="10" t="n">
        <x:f>IF(I2139=0,0,J2139*'Assumptions'!$W$113+H2139*'Assumptions'!$X$113)</x:f>
        <x:v>412.1725536194225</x:v>
      </x:c>
      <x:c r="T2139" s="10" t="n">
        <x:f>N2139*'Assumptions'!$AA$113</x:f>
        <x:v>453.76166682581186</x:v>
      </x:c>
      <x:c r="U2139" s="10" t="n">
        <x:f>'Assumptions'!$AE$113*'Assumptions'!$D$11*(1+'Assumptions'!$D$13)^(17-1)</x:f>
        <x:v>0</x:v>
      </x:c>
      <x:c r="V2139" s="10" t="n">
        <x:f>0</x:f>
        <x:v>0</x:v>
      </x:c>
      <x:c r="W2139" s="10" t="n">
        <x:f>H2139*('Assumptions'!$P$113+'Assumptions'!$Y$113)</x:f>
        <x:v>85.19092438743705</x:v>
      </x:c>
      <x:c r="X2139" s="10" t="n">
        <x:f>N2139/12*'Assumptions'!$AF$113</x:f>
        <x:v>945.336805887108</x:v>
      </x:c>
      <x:c r="Y2139" s="10" t="n">
        <x:f>P2139/12</x:f>
        <x:v>0</x:v>
      </x:c>
      <x:c r="Z2139" s="10" t="n">
        <x:f>0</x:f>
        <x:v>0</x:v>
      </x:c>
      <x:c r="AA2139" s="10" t="n">
        <x:f>Z2139*'Assumptions'!$AC$113*'Assumptions'!$D$11*(1+'Assumptions'!$D$13)^(17-1)</x:f>
        <x:v>0</x:v>
      </x:c>
      <x:c r="AB2139" s="10" t="n">
        <x:f>F2139/1</x:f>
        <x:v>125.2473908658895</x:v>
      </x:c>
      <x:c r="AC2139" s="10" t="n">
        <x:f>AB2139/'Assumptions'!$AM$113</x:f>
        <x:v>626.2369543294475</x:v>
      </x:c>
      <x:c r="AD2139" s="10" t="n">
        <x:f>IF(AB2139=0,0,T2139/AB2139)</x:f>
        <x:v>3.622923109924772</x:v>
      </x:c>
      <x:c r="AE2139" s="10" t="n">
        <x:f>AA2139*'Assumptions'!$D$21</x:f>
        <x:v>0</x:v>
      </x:c>
    </x:row>
    <x:row r="2140" ht="16" customHeight="1">
      <x:c r="A2140" s="1"/>
      <x:c r="B2140" s="1"/>
      <x:c r="C2140" s="1" t="str">
        <x:v>DOT-085</x:v>
      </x:c>
      <x:c r="D2140" s="10" t="str">
        <x:v>Semajes Studio</x:v>
      </x:c>
      <x:c r="E2140" s="10" t="n">
        <x:v>17</x:v>
      </x:c>
      <x:c r="F2140" s="21" t="n">
        <x:f>F2012*(1+'Assumptions'!$M$114)</x:f>
        <x:v>37.57421725976684</x:v>
      </x:c>
      <x:c r="G2140" s="21" t="n">
        <x:f>H2012*'Assumptions'!$K$114</x:f>
        <x:v>35.44657507232205</x:v>
      </x:c>
      <x:c r="H2140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2140+G2140,NA())</x:f>
        <x:v>73.02079233208889</x:v>
      </x:c>
      <x:c r="I2140" s="22" t="n">
        <x:f>'Assumptions'!$H$114*IF('Assumptions'!$O$114=1,1,'Assumptions'!$D$10)*(1+'Assumptions'!$N$114)^(17-1)</x:f>
        <x:v>205.91785576359186</x:v>
      </x:c>
      <x:c r="J2140" s="10" t="n">
        <x:f>H2140*I2140</x:f>
        <x:v>15036.284983182273</x:v>
      </x:c>
      <x:c r="K2140" s="10" t="n">
        <x:f>J2140*'Assumptions'!$T$114</x:f>
        <x:v>15036.284983182273</x:v>
      </x:c>
      <x:c r="L2140" s="10" t="n">
        <x:f>K2140*'Assumptions'!$U$114</x:f>
        <x:v>451.08854949546816</x:v>
      </x:c>
      <x:c r="M2140" s="10" t="n">
        <x:f>K2140*'Assumptions'!$V$114</x:f>
        <x:v>0</x:v>
      </x:c>
      <x:c r="N2140" s="10" t="n">
        <x:f>K2140-L2140-M2140</x:f>
        <x:v>14585.196433686806</x:v>
      </x:c>
      <x:c r="O2140" s="10" t="n">
        <x:f>H2140*'Assumptions'!$P$114*'Assumptions'!$Q$114*'Assumptions'!$D$11*(1+'Assumptions'!$D$13)^(17-1)</x:f>
        <x:v>1464.7116955424806</x:v>
      </x:c>
      <x:c r="P2140" s="10" t="n">
        <x:f>H2140*'Assumptions'!$R$114*'Assumptions'!$D$11*(1+'Assumptions'!$D$13)^(17-1)</x:f>
        <x:v>0</x:v>
      </x:c>
      <x:c r="Q2140" s="10" t="n">
        <x:f>J2140*'Assumptions'!$S$114</x:f>
        <x:v>0</x:v>
      </x:c>
      <x:c r="R2140" s="10" t="n">
        <x:f>H2140*'Assumptions'!$Y$114*'Assumptions'!$Z$114*'Assumptions'!$D$11*(1+'Assumptions'!$D$13)^(17-1)</x:f>
        <x:v>878.8270173254884</x:v>
      </x:c>
      <x:c r="S2140" s="10" t="n">
        <x:f>IF(I2140=0,0,J2140*'Assumptions'!$W$114+H2140*'Assumptions'!$X$114)</x:f>
        <x:v>457.9585022119126</x:v>
      </x:c>
      <x:c r="T2140" s="10" t="n">
        <x:f>N2140*'Assumptions'!$AA$114</x:f>
        <x:v>583.4078573474723</x:v>
      </x:c>
      <x:c r="U2140" s="10" t="n">
        <x:f>'Assumptions'!$AE$114*'Assumptions'!$D$11*(1+'Assumptions'!$D$13)^(17-1)</x:f>
        <x:v>0</x:v>
      </x:c>
      <x:c r="V2140" s="10" t="n">
        <x:f>0</x:f>
        <x:v>0</x:v>
      </x:c>
      <x:c r="W2140" s="10" t="n">
        <x:f>H2140*('Assumptions'!$P$114+'Assumptions'!$Y$114)</x:f>
        <x:v>36.510396166044444</x:v>
      </x:c>
      <x:c r="X2140" s="10" t="n">
        <x:f>N2140/12*'Assumptions'!$AF$114</x:f>
        <x:v>1215.433036140567</x:v>
      </x:c>
      <x:c r="Y2140" s="10" t="n">
        <x:f>P2140/12</x:f>
        <x:v>0</x:v>
      </x:c>
      <x:c r="Z2140" s="10" t="n">
        <x:f>0</x:f>
        <x:v>0</x:v>
      </x:c>
      <x:c r="AA2140" s="10" t="n">
        <x:f>Z2140*'Assumptions'!$AC$114*'Assumptions'!$D$11*(1+'Assumptions'!$D$13)^(17-1)</x:f>
        <x:v>0</x:v>
      </x:c>
      <x:c r="AB2140" s="10" t="n">
        <x:f>F2140/1</x:f>
        <x:v>37.57421725976684</x:v>
      </x:c>
      <x:c r="AC2140" s="10" t="n">
        <x:f>AB2140/'Assumptions'!$AM$114</x:f>
        <x:v>187.8710862988342</x:v>
      </x:c>
      <x:c r="AD2140" s="10" t="n">
        <x:f>IF(AB2140=0,0,T2140/AB2140)</x:f>
        <x:v>15.526813328249023</x:v>
      </x:c>
      <x:c r="AE2140" s="10" t="n">
        <x:f>AA2140*'Assumptions'!$D$21</x:f>
        <x:v>0</x:v>
      </x:c>
    </x:row>
    <x:row r="2141" ht="16" customHeight="1">
      <x:c r="A2141" s="1"/>
      <x:c r="B2141" s="1"/>
      <x:c r="C2141" s="1" t="str">
        <x:v>DOT-086</x:v>
      </x:c>
      <x:c r="D2141" s="10" t="str">
        <x:v>Semajes Studio</x:v>
      </x:c>
      <x:c r="E2141" s="10" t="n">
        <x:v>17</x:v>
      </x:c>
      <x:c r="F2141" s="21" t="n">
        <x:f>F2013*(1+'Assumptions'!$M$115)</x:f>
        <x:v>18.78710862988342</x:v>
      </x:c>
      <x:c r="G2141" s="21" t="n">
        <x:f>H2013*'Assumptions'!$K$115</x:f>
        <x:v>17.723287536161024</x:v>
      </x:c>
      <x:c r="H2141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2141+G2141,NA())</x:f>
        <x:v>36.510396166044444</x:v>
      </x:c>
      <x:c r="I2141" s="22" t="n">
        <x:f>'Assumptions'!$H$115*IF('Assumptions'!$O$115=1,1,'Assumptions'!$D$10)*(1+'Assumptions'!$N$115)^(17-1)</x:f>
        <x:v>686.3928525453063</x:v>
      </x:c>
      <x:c r="J2141" s="10" t="n">
        <x:f>H2141*I2141</x:f>
        <x:v>25060.47497197046</x:v>
      </x:c>
      <x:c r="K2141" s="10" t="n">
        <x:f>J2141*'Assumptions'!$T$115</x:f>
        <x:v>25060.47497197046</x:v>
      </x:c>
      <x:c r="L2141" s="10" t="n">
        <x:f>K2141*'Assumptions'!$U$115</x:f>
        <x:v>751.8142491591137</x:v>
      </x:c>
      <x:c r="M2141" s="10" t="n">
        <x:f>K2141*'Assumptions'!$V$115</x:f>
        <x:v>0</x:v>
      </x:c>
      <x:c r="N2141" s="10" t="n">
        <x:f>K2141-L2141-M2141</x:f>
        <x:v>24308.660722811346</x:v>
      </x:c>
      <x:c r="O2141" s="10" t="n">
        <x:f>H2141*'Assumptions'!$P$115*'Assumptions'!$Q$115*'Assumptions'!$D$11*(1+'Assumptions'!$D$13)^(17-1)</x:f>
        <x:v>2929.423391084961</x:v>
      </x:c>
      <x:c r="P2141" s="10" t="n">
        <x:f>H2141*'Assumptions'!$R$115*'Assumptions'!$D$11*(1+'Assumptions'!$D$13)^(17-1)</x:f>
        <x:v>0</x:v>
      </x:c>
      <x:c r="Q2141" s="10" t="n">
        <x:f>J2141*'Assumptions'!$S$115</x:f>
        <x:v>0</x:v>
      </x:c>
      <x:c r="R2141" s="10" t="n">
        <x:f>H2141*'Assumptions'!$Y$115*'Assumptions'!$Z$115*'Assumptions'!$D$11*(1+'Assumptions'!$D$13)^(17-1)</x:f>
        <x:v>439.4135086627442</x:v>
      </x:c>
      <x:c r="S2141" s="10" t="n">
        <x:f>IF(I2141=0,0,J2141*'Assumptions'!$W$115+H2141*'Assumptions'!$X$115)</x:f>
        <x:v>737.7068930369567</x:v>
      </x:c>
      <x:c r="T2141" s="10" t="n">
        <x:f>N2141*'Assumptions'!$AA$115</x:f>
        <x:v>972.3464289124539</x:v>
      </x:c>
      <x:c r="U2141" s="10" t="n">
        <x:f>'Assumptions'!$AE$115*'Assumptions'!$D$11*(1+'Assumptions'!$D$13)^(17-1)</x:f>
        <x:v>0</x:v>
      </x:c>
      <x:c r="V2141" s="10" t="n">
        <x:f>0</x:f>
        <x:v>0</x:v>
      </x:c>
      <x:c r="W2141" s="10" t="n">
        <x:f>H2141*('Assumptions'!$P$115+'Assumptions'!$Y$115)</x:f>
        <x:v>45.637995207555555</x:v>
      </x:c>
      <x:c r="X2141" s="10" t="n">
        <x:f>N2141/12*'Assumptions'!$AF$115</x:f>
        <x:v>2025.7217269009454</x:v>
      </x:c>
      <x:c r="Y2141" s="10" t="n">
        <x:f>P2141/12</x:f>
        <x:v>0</x:v>
      </x:c>
      <x:c r="Z2141" s="10" t="n">
        <x:f>0</x:f>
        <x:v>0</x:v>
      </x:c>
      <x:c r="AA2141" s="10" t="n">
        <x:f>Z2141*'Assumptions'!$AC$115*'Assumptions'!$D$11*(1+'Assumptions'!$D$13)^(17-1)</x:f>
        <x:v>0</x:v>
      </x:c>
      <x:c r="AB2141" s="10" t="n">
        <x:f>F2141/1</x:f>
        <x:v>18.78710862988342</x:v>
      </x:c>
      <x:c r="AC2141" s="10" t="n">
        <x:f>AB2141/'Assumptions'!$AM$115</x:f>
        <x:v>93.9355431494171</x:v>
      </x:c>
      <x:c r="AD2141" s="10" t="n">
        <x:f>IF(AB2141=0,0,T2141/AB2141)</x:f>
        <x:v>51.756044427496754</x:v>
      </x:c>
      <x:c r="AE2141" s="10" t="n">
        <x:f>AA2141*'Assumptions'!$D$21</x:f>
        <x:v>0</x:v>
      </x:c>
    </x:row>
    <x:row r="2142" ht="16" customHeight="1">
      <x:c r="A2142" s="1"/>
      <x:c r="B2142" s="1"/>
      <x:c r="C2142" s="1" t="str">
        <x:v>DOT-087</x:v>
      </x:c>
      <x:c r="D2142" s="10" t="str">
        <x:v>Semajes Studio</x:v>
      </x:c>
      <x:c r="E2142" s="10" t="n">
        <x:v>17</x:v>
      </x:c>
      <x:c r="F2142" s="21" t="n">
        <x:f>F2014*(1+'Assumptions'!$M$116)</x:f>
        <x:v>188.45083808739162</x:v>
      </x:c>
      <x:c r="G2142" s="21" t="n">
        <x:f>H2014*'Assumptions'!$K$116</x:f>
        <x:v>77.44554662411372</x:v>
      </x:c>
      <x:c r="H2142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2142+G2142,NA())</x:f>
        <x:v>265.89638471150533</x:v>
      </x:c>
      <x:c r="I2142" s="22" t="n">
        <x:f>'Assumptions'!$H$116*IF('Assumptions'!$O$116=1,1,'Assumptions'!$D$10)*(1+'Assumptions'!$N$116)^(17-1)</x:f>
        <x:v>130.4146419836082</x:v>
      </x:c>
      <x:c r="J2142" s="10" t="n">
        <x:f>H2142*I2142</x:f>
        <x:v>34676.781816886716</x:v>
      </x:c>
      <x:c r="K2142" s="10" t="n">
        <x:f>J2142*'Assumptions'!$T$116</x:f>
        <x:v>34676.781816886716</x:v>
      </x:c>
      <x:c r="L2142" s="10" t="n">
        <x:f>K2142*'Assumptions'!$U$116</x:f>
        <x:v>1040.3034545066014</x:v>
      </x:c>
      <x:c r="M2142" s="10" t="n">
        <x:f>K2142*'Assumptions'!$V$116</x:f>
        <x:v>693.5356363377343</x:v>
      </x:c>
      <x:c r="N2142" s="10" t="n">
        <x:f>K2142-L2142-M2142</x:f>
        <x:v>32942.942726042376</x:v>
      </x:c>
      <x:c r="O2142" s="10" t="n">
        <x:f>H2142*'Assumptions'!$P$116*'Assumptions'!$Q$116*'Assumptions'!$D$11*(1+'Assumptions'!$D$13)^(17-1)</x:f>
        <x:v>3200.1423050973085</x:v>
      </x:c>
      <x:c r="P2142" s="10" t="n">
        <x:f>H2142*'Assumptions'!$R$116*'Assumptions'!$D$11*(1+'Assumptions'!$D$13)^(17-1)</x:f>
        <x:v>14933.997423787441</x:v>
      </x:c>
      <x:c r="Q2142" s="10" t="n">
        <x:f>J2142*'Assumptions'!$S$116</x:f>
        <x:v>0</x:v>
      </x:c>
      <x:c r="R2142" s="10" t="n">
        <x:f>H2142*'Assumptions'!$Y$116*'Assumptions'!$Z$116*'Assumptions'!$D$11*(1+'Assumptions'!$D$13)^(17-1)</x:f>
        <x:v>1920.085383058385</x:v>
      </x:c>
      <x:c r="S2142" s="10" t="n">
        <x:f>IF(I2142=0,0,J2142*'Assumptions'!$W$116+H2142*'Assumptions'!$X$116)</x:f>
        <x:v>1085.3955881031663</x:v>
      </x:c>
      <x:c r="T2142" s="10" t="n">
        <x:f>N2142*'Assumptions'!$AA$116</x:f>
        <x:v>2635.4354180833902</x:v>
      </x:c>
      <x:c r="U2142" s="10" t="n">
        <x:f>'Assumptions'!$AE$116*'Assumptions'!$D$11*(1+'Assumptions'!$D$13)^(17-1)</x:f>
        <x:v>0</x:v>
      </x:c>
      <x:c r="V2142" s="10" t="n">
        <x:f>0</x:f>
        <x:v>0</x:v>
      </x:c>
      <x:c r="W2142" s="10" t="n">
        <x:f>H2142*('Assumptions'!$P$116+'Assumptions'!$Y$116)</x:f>
        <x:v>79.7689154134516</x:v>
      </x:c>
      <x:c r="X2142" s="10" t="n">
        <x:f>N2142/12*'Assumptions'!$AF$116</x:f>
        <x:v>0</x:v>
      </x:c>
      <x:c r="Y2142" s="10" t="n">
        <x:f>P2142/12</x:f>
        <x:v>1244.49978531562</x:v>
      </x:c>
      <x:c r="Z2142" s="10" t="n">
        <x:f>0</x:f>
        <x:v>0</x:v>
      </x:c>
      <x:c r="AA2142" s="10" t="n">
        <x:f>Z2142*'Assumptions'!$AC$116*'Assumptions'!$D$11*(1+'Assumptions'!$D$13)^(17-1)</x:f>
        <x:v>0</x:v>
      </x:c>
      <x:c r="AB2142" s="10" t="n">
        <x:f>F2142/1</x:f>
        <x:v>188.45083808739162</x:v>
      </x:c>
      <x:c r="AC2142" s="10" t="n">
        <x:f>AB2142/'Assumptions'!$AM$116</x:f>
        <x:v>6281.694602913054</x:v>
      </x:c>
      <x:c r="AD2142" s="10" t="n">
        <x:f>IF(AB2142=0,0,T2142/AB2142)</x:f>
        <x:v>13.984737053072916</x:v>
      </x:c>
      <x:c r="AE2142" s="10" t="n">
        <x:f>AA2142*'Assumptions'!$D$21</x:f>
        <x:v>0</x:v>
      </x:c>
    </x:row>
    <x:row r="2143" ht="16" customHeight="1">
      <x:c r="A2143" s="1"/>
      <x:c r="B2143" s="1"/>
      <x:c r="C2143" s="1" t="str">
        <x:v>DOT-088</x:v>
      </x:c>
      <x:c r="D2143" s="10" t="str">
        <x:v>Semajes Studio</x:v>
      </x:c>
      <x:c r="E2143" s="10" t="n">
        <x:v>17</x:v>
      </x:c>
      <x:c r="F2143" s="21" t="n">
        <x:f>F2015*(1+'Assumptions'!$M$117)</x:f>
        <x:v>94.22541904369581</x:v>
      </x:c>
      <x:c r="G2143" s="21" t="n">
        <x:f>H2015*'Assumptions'!$K$117</x:f>
        <x:v>38.72277331205686</x:v>
      </x:c>
      <x:c r="H2143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2143+G2143,NA())</x:f>
        <x:v>132.94819235575267</x:v>
      </x:c>
      <x:c r="I2143" s="22" t="n">
        <x:f>'Assumptions'!$H$117*IF('Assumptions'!$O$117=1,1,'Assumptions'!$D$10)*(1+'Assumptions'!$N$117)^(17-1)</x:f>
        <x:v>343.1964262726531</x:v>
      </x:c>
      <x:c r="J2143" s="10" t="n">
        <x:f>H2143*I2143</x:f>
        <x:v>45627.34449590358</x:v>
      </x:c>
      <x:c r="K2143" s="10" t="n">
        <x:f>J2143*'Assumptions'!$T$117</x:f>
        <x:v>45627.34449590358</x:v>
      </x:c>
      <x:c r="L2143" s="10" t="n">
        <x:f>K2143*'Assumptions'!$U$117</x:f>
        <x:v>1368.8203348771071</x:v>
      </x:c>
      <x:c r="M2143" s="10" t="n">
        <x:f>K2143*'Assumptions'!$V$117</x:f>
        <x:v>912.5468899180715</x:v>
      </x:c>
      <x:c r="N2143" s="10" t="n">
        <x:f>K2143-L2143-M2143</x:f>
        <x:v>43345.9772711084</x:v>
      </x:c>
      <x:c r="O2143" s="10" t="n">
        <x:f>H2143*'Assumptions'!$P$117*'Assumptions'!$Q$117*'Assumptions'!$D$11*(1+'Assumptions'!$D$13)^(17-1)</x:f>
        <x:v>2666.7852542477576</x:v>
      </x:c>
      <x:c r="P2143" s="10" t="n">
        <x:f>H2143*'Assumptions'!$R$117*'Assumptions'!$D$11*(1+'Assumptions'!$D$13)^(17-1)</x:f>
        <x:v>23467.710237380266</x:v>
      </x:c>
      <x:c r="Q2143" s="10" t="n">
        <x:f>J2143*'Assumptions'!$S$117</x:f>
        <x:v>0</x:v>
      </x:c>
      <x:c r="R2143" s="10" t="n">
        <x:f>H2143*'Assumptions'!$Y$117*'Assumptions'!$Z$117*'Assumptions'!$D$11*(1+'Assumptions'!$D$13)^(17-1)</x:f>
        <x:v>960.0426915291926</x:v>
      </x:c>
      <x:c r="S2143" s="10" t="n">
        <x:f>IF(I2143=0,0,J2143*'Assumptions'!$W$117+H2143*'Assumptions'!$X$117)</x:f>
        <x:v>1363.0774480879295</x:v>
      </x:c>
      <x:c r="T2143" s="10" t="n">
        <x:f>N2143*'Assumptions'!$AA$117</x:f>
        <x:v>3467.6781816886723</x:v>
      </x:c>
      <x:c r="U2143" s="10" t="n">
        <x:f>'Assumptions'!$AE$117*'Assumptions'!$D$11*(1+'Assumptions'!$D$13)^(17-1)</x:f>
        <x:v>0</x:v>
      </x:c>
      <x:c r="V2143" s="10" t="n">
        <x:f>0</x:f>
        <x:v>0</x:v>
      </x:c>
      <x:c r="W2143" s="10" t="n">
        <x:f>H2143*('Assumptions'!$P$117+'Assumptions'!$Y$117)</x:f>
        <x:v>53.17927694230107</x:v>
      </x:c>
      <x:c r="X2143" s="10" t="n">
        <x:f>N2143/12*'Assumptions'!$AF$117</x:f>
        <x:v>0</x:v>
      </x:c>
      <x:c r="Y2143" s="10" t="n">
        <x:f>P2143/12</x:f>
        <x:v>1955.6425197816889</x:v>
      </x:c>
      <x:c r="Z2143" s="10" t="n">
        <x:f>0</x:f>
        <x:v>0</x:v>
      </x:c>
      <x:c r="AA2143" s="10" t="n">
        <x:f>Z2143*'Assumptions'!$AC$117*'Assumptions'!$D$11*(1+'Assumptions'!$D$13)^(17-1)</x:f>
        <x:v>0</x:v>
      </x:c>
      <x:c r="AB2143" s="10" t="n">
        <x:f>F2143/1</x:f>
        <x:v>94.22541904369581</x:v>
      </x:c>
      <x:c r="AC2143" s="10" t="n">
        <x:f>AB2143/'Assumptions'!$AM$117</x:f>
        <x:v>3140.847301456527</x:v>
      </x:c>
      <x:c r="AD2143" s="10" t="n">
        <x:f>IF(AB2143=0,0,T2143/AB2143)</x:f>
        <x:v>36.80193961334979</x:v>
      </x:c>
      <x:c r="AE2143" s="10" t="n">
        <x:f>AA2143*'Assumptions'!$D$21</x:f>
        <x:v>0</x:v>
      </x:c>
    </x:row>
    <x:row r="2144" ht="16" customHeight="1">
      <x:c r="A2144" s="1"/>
      <x:c r="B2144" s="1"/>
      <x:c r="C2144" s="1" t="str">
        <x:v>DOT-089</x:v>
      </x:c>
      <x:c r="D2144" s="10" t="str">
        <x:v>Semajes Studio</x:v>
      </x:c>
      <x:c r="E2144" s="10" t="n">
        <x:v>17</x:v>
      </x:c>
      <x:c r="F2144" s="21" t="n">
        <x:f>F2016*(1+'Assumptions'!$M$118)</x:f>
        <x:v>37.690167617478316</x:v>
      </x:c>
      <x:c r="G2144" s="21" t="n">
        <x:f>H2016*'Assumptions'!$K$118</x:f>
        <x:v>15.489109324822742</x:v>
      </x:c>
      <x:c r="H2144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2144+G2144,NA())</x:f>
        <x:v>53.17927694230106</x:v>
      </x:c>
      <x:c r="I2144" s="22" t="n">
        <x:f>'Assumptions'!$H$118*IF('Assumptions'!$O$118=1,1,'Assumptions'!$D$10)*(1+'Assumptions'!$N$118)^(17-1)</x:f>
        <x:v>240.23749839085718</x:v>
      </x:c>
      <x:c r="J2144" s="10" t="n">
        <x:f>H2144*I2144</x:f>
        <x:v>12775.656458852998</x:v>
      </x:c>
      <x:c r="K2144" s="10" t="n">
        <x:f>J2144*'Assumptions'!$T$118</x:f>
        <x:v>12775.656458852998</x:v>
      </x:c>
      <x:c r="L2144" s="10" t="n">
        <x:f>K2144*'Assumptions'!$U$118</x:f>
        <x:v>383.2696937655899</x:v>
      </x:c>
      <x:c r="M2144" s="10" t="n">
        <x:f>K2144*'Assumptions'!$V$118</x:f>
        <x:v>255.51312917705997</x:v>
      </x:c>
      <x:c r="N2144" s="10" t="n">
        <x:f>K2144-L2144-M2144</x:f>
        <x:v>12136.87363591035</x:v>
      </x:c>
      <x:c r="O2144" s="10" t="n">
        <x:f>H2144*'Assumptions'!$P$118*'Assumptions'!$Q$118*'Assumptions'!$D$11*(1+'Assumptions'!$D$13)^(17-1)</x:f>
        <x:v>2133.4282033982054</x:v>
      </x:c>
      <x:c r="P2144" s="10" t="n">
        <x:f>H2144*'Assumptions'!$R$118*'Assumptions'!$D$11*(1+'Assumptions'!$D$13)^(17-1)</x:f>
        <x:v>7680.34153223354</x:v>
      </x:c>
      <x:c r="Q2144" s="10" t="n">
        <x:f>J2144*'Assumptions'!$S$118</x:f>
        <x:v>0</x:v>
      </x:c>
      <x:c r="R2144" s="10" t="n">
        <x:f>H2144*'Assumptions'!$Y$118*'Assumptions'!$Z$118*'Assumptions'!$D$11*(1+'Assumptions'!$D$13)^(17-1)</x:f>
        <x:v>384.017076611677</x:v>
      </x:c>
      <x:c r="S2144" s="10" t="n">
        <x:f>IF(I2144=0,0,J2144*'Assumptions'!$W$118+H2144*'Assumptions'!$X$118)</x:f>
        <x:v>386.4478203894273</x:v>
      </x:c>
      <x:c r="T2144" s="10" t="n">
        <x:f>N2144*'Assumptions'!$AA$118</x:f>
        <x:v>970.949890872828</x:v>
      </x:c>
      <x:c r="U2144" s="10" t="n">
        <x:f>'Assumptions'!$AE$118*'Assumptions'!$D$11*(1+'Assumptions'!$D$13)^(17-1)</x:f>
        <x:v>0</x:v>
      </x:c>
      <x:c r="V2144" s="10" t="n">
        <x:f>0</x:f>
        <x:v>0</x:v>
      </x:c>
      <x:c r="W2144" s="10" t="n">
        <x:f>H2144*('Assumptions'!$P$118+'Assumptions'!$Y$118)</x:f>
        <x:v>34.56653001249569</x:v>
      </x:c>
      <x:c r="X2144" s="10" t="n">
        <x:f>N2144/12*'Assumptions'!$AF$118</x:f>
        <x:v>0</x:v>
      </x:c>
      <x:c r="Y2144" s="10" t="n">
        <x:f>P2144/12</x:f>
        <x:v>640.0284610194617</x:v>
      </x:c>
      <x:c r="Z2144" s="10" t="n">
        <x:f>0</x:f>
        <x:v>0</x:v>
      </x:c>
      <x:c r="AA2144" s="10" t="n">
        <x:f>Z2144*'Assumptions'!$AC$118*'Assumptions'!$D$11*(1+'Assumptions'!$D$13)^(17-1)</x:f>
        <x:v>0</x:v>
      </x:c>
      <x:c r="AB2144" s="10" t="n">
        <x:f>F2144/1</x:f>
        <x:v>37.690167617478316</x:v>
      </x:c>
      <x:c r="AC2144" s="10" t="n">
        <x:f>AB2144/'Assumptions'!$AM$118</x:f>
        <x:v>1256.3389205826106</x:v>
      </x:c>
      <x:c r="AD2144" s="10" t="n">
        <x:f>IF(AB2144=0,0,T2144/AB2144)</x:f>
        <x:v>25.761357729344848</x:v>
      </x:c>
      <x:c r="AE2144" s="10" t="n">
        <x:f>AA2144*'Assumptions'!$D$21</x:f>
        <x:v>0</x:v>
      </x:c>
    </x:row>
    <x:row r="2145" ht="16" customHeight="1">
      <x:c r="A2145" s="1"/>
      <x:c r="B2145" s="1"/>
      <x:c r="C2145" s="1" t="str">
        <x:v>DOT-090</x:v>
      </x:c>
      <x:c r="D2145" s="10" t="str">
        <x:v>Semajes Marketplace</x:v>
      </x:c>
      <x:c r="E2145" s="10" t="n">
        <x:v>17</x:v>
      </x:c>
      <x:c r="F2145" s="21" t="n">
        <x:f>F2017*(1+'Assumptions'!$M$119)</x:f>
        <x:v>106.43247989871256</x:v>
      </x:c>
      <x:c r="G2145" s="21" t="n">
        <x:f>H2017*'Assumptions'!$K$119</x:f>
        <x:v>224.9329415768578</x:v>
      </x:c>
      <x:c r="H2145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2145+G2145,NA())</x:f>
        <x:v>331.3654214755703</x:v>
      </x:c>
      <x:c r="I2145" s="22" t="n">
        <x:f>'Assumptions'!$H$119*IF('Assumptions'!$O$119=1,1,'Assumptions'!$D$10)*(1+'Assumptions'!$N$119)^(17-1)</x:f>
        <x:v>823.6714230543674</x:v>
      </x:c>
      <x:c r="J2145" s="10" t="n">
        <x:f>H2145*I2145</x:f>
        <x:v>272936.22825779323</x:v>
      </x:c>
      <x:c r="K2145" s="10" t="n">
        <x:f>J2145*'Assumptions'!$T$119</x:f>
        <x:v>40940.43423866898</x:v>
      </x:c>
      <x:c r="L2145" s="10" t="n">
        <x:f>K2145*'Assumptions'!$U$119</x:f>
        <x:v>1228.2130271600695</x:v>
      </x:c>
      <x:c r="M2145" s="10" t="n">
        <x:f>K2145*'Assumptions'!$V$119</x:f>
        <x:v>0</x:v>
      </x:c>
      <x:c r="N2145" s="10" t="n">
        <x:f>K2145-L2145-M2145</x:f>
        <x:v>39712.22121150891</x:v>
      </x:c>
      <x:c r="O2145" s="10" t="n">
        <x:f>H2145*'Assumptions'!$P$119*'Assumptions'!$Q$119*'Assumptions'!$D$11*(1+'Assumptions'!$D$13)^(17-1)</x:f>
        <x:v>4652.761973444651</x:v>
      </x:c>
      <x:c r="P2145" s="10" t="n">
        <x:f>H2145*'Assumptions'!$R$119*'Assumptions'!$D$11*(1+'Assumptions'!$D$13)^(17-1)</x:f>
        <x:v>0</x:v>
      </x:c>
      <x:c r="Q2145" s="10" t="n">
        <x:f>J2145*'Assumptions'!$S$119</x:f>
        <x:v>0</x:v>
      </x:c>
      <x:c r="R2145" s="10" t="n">
        <x:f>H2145*'Assumptions'!$Y$119*'Assumptions'!$Z$119*'Assumptions'!$D$11*(1+'Assumptions'!$D$13)^(17-1)</x:f>
        <x:v>2392.849014914392</x:v>
      </x:c>
      <x:c r="S2145" s="10" t="n">
        <x:f>IF(I2145=0,0,J2145*'Assumptions'!$W$119+H2145*'Assumptions'!$X$119)</x:f>
        <x:v>8014.560245918675</x:v>
      </x:c>
      <x:c r="T2145" s="10" t="n">
        <x:f>N2145*'Assumptions'!$AA$119</x:f>
        <x:v>1985.6110605754457</x:v>
      </x:c>
      <x:c r="U2145" s="10" t="n">
        <x:f>'Assumptions'!$AE$119*'Assumptions'!$D$11*(1+'Assumptions'!$D$13)^(17-1)</x:f>
        <x:v>385.12954538370917</x:v>
      </x:c>
      <x:c r="V2145" s="10" t="n">
        <x:f>0</x:f>
        <x:v>0</x:v>
      </x:c>
      <x:c r="W2145" s="10" t="n">
        <x:f>H2145*('Assumptions'!$P$119+'Assumptions'!$Y$119)</x:f>
        <x:v>132.54616859022812</x:v>
      </x:c>
      <x:c r="X2145" s="10" t="n">
        <x:f>N2145/12*'Assumptions'!$AF$119</x:f>
        <x:v>0</x:v>
      </x:c>
      <x:c r="Y2145" s="10" t="n">
        <x:f>P2145/12</x:f>
        <x:v>0</x:v>
      </x:c>
      <x:c r="Z2145" s="10" t="n">
        <x:f>0</x:f>
        <x:v>0</x:v>
      </x:c>
      <x:c r="AA2145" s="10" t="n">
        <x:f>Z2145*'Assumptions'!$AC$119*'Assumptions'!$D$11*(1+'Assumptions'!$D$13)^(17-1)</x:f>
        <x:v>0</x:v>
      </x:c>
      <x:c r="AB2145" s="10" t="n">
        <x:f>F2145/1</x:f>
        <x:v>106.43247989871256</x:v>
      </x:c>
      <x:c r="AC2145" s="10" t="n">
        <x:f>AB2145/'Assumptions'!$AM$119</x:f>
        <x:v>2128.649597974251</x:v>
      </x:c>
      <x:c r="AD2145" s="10" t="n">
        <x:f>IF(AB2145=0,0,T2145/AB2145)</x:f>
        <x:v>18.656063097139807</x:v>
      </x:c>
      <x:c r="AE2145" s="10" t="n">
        <x:f>AA2145*'Assumptions'!$D$21</x:f>
        <x:v>0</x:v>
      </x:c>
    </x:row>
    <x:row r="2146" ht="16" customHeight="1">
      <x:c r="A2146" s="1"/>
      <x:c r="B2146" s="1"/>
      <x:c r="C2146" s="1" t="str">
        <x:v>DOT-091</x:v>
      </x:c>
      <x:c r="D2146" s="10" t="str">
        <x:v>Semajes Marketplace</x:v>
      </x:c>
      <x:c r="E2146" s="10" t="n">
        <x:v>17</x:v>
      </x:c>
      <x:c r="F2146" s="21" t="n">
        <x:f>F2018*(1+'Assumptions'!$M$120)</x:f>
        <x:v>212.86495979742512</x:v>
      </x:c>
      <x:c r="G2146" s="21" t="n">
        <x:f>H2018*'Assumptions'!$K$120</x:f>
        <x:v>449.8658831537156</x:v>
      </x:c>
      <x:c r="H2146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2146+G2146,NA())</x:f>
        <x:v>662.7308429511406</x:v>
      </x:c>
      <x:c r="I2146" s="22" t="n">
        <x:f>'Assumptions'!$H$120*IF('Assumptions'!$O$120=1,1,'Assumptions'!$D$10)*(1+'Assumptions'!$N$120)^(17-1)</x:f>
        <x:v>102.95892788179593</x:v>
      </x:c>
      <x:c r="J2146" s="10" t="n">
        <x:f>H2146*I2146</x:f>
        <x:v>68234.05706444831</x:v>
      </x:c>
      <x:c r="K2146" s="10" t="n">
        <x:f>J2146*'Assumptions'!$T$120</x:f>
        <x:v>13646.811412889663</x:v>
      </x:c>
      <x:c r="L2146" s="10" t="n">
        <x:f>K2146*'Assumptions'!$U$120</x:f>
        <x:v>409.4043423866899</x:v>
      </x:c>
      <x:c r="M2146" s="10" t="n">
        <x:f>K2146*'Assumptions'!$V$120</x:f>
        <x:v>0</x:v>
      </x:c>
      <x:c r="N2146" s="10" t="n">
        <x:f>K2146-L2146-M2146</x:f>
        <x:v>13237.407070502974</x:v>
      </x:c>
      <x:c r="O2146" s="10" t="n">
        <x:f>H2146*'Assumptions'!$P$120*'Assumptions'!$Q$120*'Assumptions'!$D$11*(1+'Assumptions'!$D$13)^(17-1)</x:f>
        <x:v>3722.209578755721</x:v>
      </x:c>
      <x:c r="P2146" s="10" t="n">
        <x:f>H2146*'Assumptions'!$R$120*'Assumptions'!$D$11*(1+'Assumptions'!$D$13)^(17-1)</x:f>
        <x:v>0</x:v>
      </x:c>
      <x:c r="Q2146" s="10" t="n">
        <x:f>J2146*'Assumptions'!$S$120</x:f>
        <x:v>0</x:v>
      </x:c>
      <x:c r="R2146" s="10" t="n">
        <x:f>H2146*'Assumptions'!$Y$120*'Assumptions'!$Z$120*'Assumptions'!$D$11*(1+'Assumptions'!$D$13)^(17-1)</x:f>
        <x:v>4785.698029828784</x:v>
      </x:c>
      <x:c r="S2146" s="10" t="n">
        <x:f>IF(I2146=0,0,J2146*'Assumptions'!$W$120+H2146*'Assumptions'!$X$120)</x:f>
        <x:v>2177.6069077543434</x:v>
      </x:c>
      <x:c r="T2146" s="10" t="n">
        <x:f>N2146*'Assumptions'!$AA$120</x:f>
        <x:v>661.8703535251487</x:v>
      </x:c>
      <x:c r="U2146" s="10" t="n">
        <x:f>'Assumptions'!$AE$120*'Assumptions'!$D$11*(1+'Assumptions'!$D$13)^(17-1)</x:f>
        <x:v>0</x:v>
      </x:c>
      <x:c r="V2146" s="10" t="n">
        <x:f>0</x:f>
        <x:v>0</x:v>
      </x:c>
      <x:c r="W2146" s="10" t="n">
        <x:f>H2146*('Assumptions'!$P$120+'Assumptions'!$Y$120)</x:f>
        <x:v>165.68271073778516</x:v>
      </x:c>
      <x:c r="X2146" s="10" t="n">
        <x:f>N2146/12*'Assumptions'!$AF$120</x:f>
        <x:v>0</x:v>
      </x:c>
      <x:c r="Y2146" s="10" t="n">
        <x:f>P2146/12</x:f>
        <x:v>0</x:v>
      </x:c>
      <x:c r="Z2146" s="10" t="n">
        <x:f>0</x:f>
        <x:v>0</x:v>
      </x:c>
      <x:c r="AA2146" s="10" t="n">
        <x:f>Z2146*'Assumptions'!$AC$120*'Assumptions'!$D$11*(1+'Assumptions'!$D$13)^(17-1)</x:f>
        <x:v>0</x:v>
      </x:c>
      <x:c r="AB2146" s="10" t="n">
        <x:f>F2146/1</x:f>
        <x:v>212.86495979742512</x:v>
      </x:c>
      <x:c r="AC2146" s="10" t="n">
        <x:f>AB2146/'Assumptions'!$AM$120</x:f>
        <x:v>4257.299195948502</x:v>
      </x:c>
      <x:c r="AD2146" s="10" t="n">
        <x:f>IF(AB2146=0,0,T2146/AB2146)</x:f>
        <x:v>3.109343849523302</x:v>
      </x:c>
      <x:c r="AE2146" s="10" t="n">
        <x:f>AA2146*'Assumptions'!$D$21</x:f>
        <x:v>0</x:v>
      </x:c>
    </x:row>
    <x:row r="2147" ht="16" customHeight="1">
      <x:c r="A2147" s="1"/>
      <x:c r="B2147" s="1"/>
      <x:c r="C2147" s="1" t="str">
        <x:v>DOT-092</x:v>
      </x:c>
      <x:c r="D2147" s="10" t="str">
        <x:v>Semajes Marketplace</x:v>
      </x:c>
      <x:c r="E2147" s="10" t="n">
        <x:v>17</x:v>
      </x:c>
      <x:c r="F2147" s="21" t="n">
        <x:f>F2019*(1+'Assumptions'!$M$121)</x:f>
        <x:v>106.43247989871256</x:v>
      </x:c>
      <x:c r="G2147" s="21" t="n">
        <x:f>H2019*'Assumptions'!$K$121</x:f>
        <x:v>224.9329415768578</x:v>
      </x:c>
      <x:c r="H2147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2147+G2147,NA())</x:f>
        <x:v>331.3654214755703</x:v>
      </x:c>
      <x:c r="I2147" s="22" t="n">
        <x:f>'Assumptions'!$H$121*IF('Assumptions'!$O$121=1,1,'Assumptions'!$D$10)*(1+'Assumptions'!$N$121)^(17-1)</x:f>
        <x:v>343.1964262726531</x:v>
      </x:c>
      <x:c r="J2147" s="10" t="n">
        <x:f>H2147*I2147</x:f>
        <x:v>113723.4284407472</x:v>
      </x:c>
      <x:c r="K2147" s="10" t="n">
        <x:f>J2147*'Assumptions'!$T$121</x:f>
        <x:v>22744.685688149442</x:v>
      </x:c>
      <x:c r="L2147" s="10" t="n">
        <x:f>K2147*'Assumptions'!$U$121</x:f>
        <x:v>682.3405706444833</x:v>
      </x:c>
      <x:c r="M2147" s="10" t="n">
        <x:f>K2147*'Assumptions'!$V$121</x:f>
        <x:v>0</x:v>
      </x:c>
      <x:c r="N2147" s="10" t="n">
        <x:f>K2147-L2147-M2147</x:f>
        <x:v>22062.34511750496</x:v>
      </x:c>
      <x:c r="O2147" s="10" t="n">
        <x:f>H2147*'Assumptions'!$P$121*'Assumptions'!$Q$121*'Assumptions'!$D$11*(1+'Assumptions'!$D$13)^(17-1)</x:f>
        <x:v>2791.6571840667907</x:v>
      </x:c>
      <x:c r="P2147" s="10" t="n">
        <x:f>H2147*'Assumptions'!$R$121*'Assumptions'!$D$11*(1+'Assumptions'!$D$13)^(17-1)</x:f>
        <x:v>0</x:v>
      </x:c>
      <x:c r="Q2147" s="10" t="n">
        <x:f>J2147*'Assumptions'!$S$121</x:f>
        <x:v>0</x:v>
      </x:c>
      <x:c r="R2147" s="10" t="n">
        <x:f>H2147*'Assumptions'!$Y$121*'Assumptions'!$Z$121*'Assumptions'!$D$11*(1+'Assumptions'!$D$13)^(17-1)</x:f>
        <x:v>2392.849014914392</x:v>
      </x:c>
      <x:c r="S2147" s="10" t="n">
        <x:f>IF(I2147=0,0,J2147*'Assumptions'!$W$121+H2147*'Assumptions'!$X$121)</x:f>
        <x:v>3397.38905122434</x:v>
      </x:c>
      <x:c r="T2147" s="10" t="n">
        <x:f>N2147*'Assumptions'!$AA$121</x:f>
        <x:v>1103.117255875248</x:v>
      </x:c>
      <x:c r="U2147" s="10" t="n">
        <x:f>'Assumptions'!$AE$121*'Assumptions'!$D$11*(1+'Assumptions'!$D$13)^(17-1)</x:f>
        <x:v>0</x:v>
      </x:c>
      <x:c r="V2147" s="10" t="n">
        <x:f>0</x:f>
        <x:v>0</x:v>
      </x:c>
      <x:c r="W2147" s="10" t="n">
        <x:f>H2147*('Assumptions'!$P$121+'Assumptions'!$Y$121)</x:f>
        <x:v>99.4096264426711</x:v>
      </x:c>
      <x:c r="X2147" s="10" t="n">
        <x:f>N2147/12*'Assumptions'!$AF$121</x:f>
        <x:v>0</x:v>
      </x:c>
      <x:c r="Y2147" s="10" t="n">
        <x:f>P2147/12</x:f>
        <x:v>0</x:v>
      </x:c>
      <x:c r="Z2147" s="10" t="n">
        <x:f>0</x:f>
        <x:v>0</x:v>
      </x:c>
      <x:c r="AA2147" s="10" t="n">
        <x:f>Z2147*'Assumptions'!$AC$121*'Assumptions'!$D$11*(1+'Assumptions'!$D$13)^(17-1)</x:f>
        <x:v>0</x:v>
      </x:c>
      <x:c r="AB2147" s="10" t="n">
        <x:f>F2147/1</x:f>
        <x:v>106.43247989871256</x:v>
      </x:c>
      <x:c r="AC2147" s="10" t="n">
        <x:f>AB2147/'Assumptions'!$AM$121</x:f>
        <x:v>2128.649597974251</x:v>
      </x:c>
      <x:c r="AD2147" s="10" t="n">
        <x:f>IF(AB2147=0,0,T2147/AB2147)</x:f>
        <x:v>10.364479498411008</x:v>
      </x:c>
      <x:c r="AE2147" s="10" t="n">
        <x:f>AA2147*'Assumptions'!$D$21</x:f>
        <x:v>0</x:v>
      </x:c>
    </x:row>
    <x:row r="2148" ht="16" customHeight="1">
      <x:c r="A2148" s="1"/>
      <x:c r="B2148" s="1"/>
      <x:c r="C2148" s="1" t="str">
        <x:v>DOT-093</x:v>
      </x:c>
      <x:c r="D2148" s="10" t="str">
        <x:v>Semajes Marketplace</x:v>
      </x:c>
      <x:c r="E2148" s="10" t="n">
        <x:v>17</x:v>
      </x:c>
      <x:c r="F2148" s="21" t="n">
        <x:f>F2020*(1+'Assumptions'!$M$122)</x:f>
        <x:v>21.28649597974251</x:v>
      </x:c>
      <x:c r="G2148" s="21" t="n">
        <x:f>H2020*'Assumptions'!$K$122</x:f>
        <x:v>44.986588315371556</x:v>
      </x:c>
      <x:c r="H2148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2148+G2148,NA())</x:f>
        <x:v>66.27308429511407</x:v>
      </x:c>
      <x:c r="I2148" s="22" t="n">
        <x:f>'Assumptions'!$H$122*IF('Assumptions'!$O$122=1,1,'Assumptions'!$D$10)*(1+'Assumptions'!$N$122)^(17-1)</x:f>
        <x:v>686.3928525453063</x:v>
      </x:c>
      <x:c r="J2148" s="10" t="n">
        <x:f>H2148*I2148</x:f>
        <x:v>45489.371376298885</x:v>
      </x:c>
      <x:c r="K2148" s="10" t="n">
        <x:f>J2148*'Assumptions'!$T$122</x:f>
        <x:v>6823.4057064448325</x:v>
      </x:c>
      <x:c r="L2148" s="10" t="n">
        <x:f>K2148*'Assumptions'!$U$122</x:f>
        <x:v>204.70217119334498</x:v>
      </x:c>
      <x:c r="M2148" s="10" t="n">
        <x:f>K2148*'Assumptions'!$V$122</x:f>
        <x:v>0</x:v>
      </x:c>
      <x:c r="N2148" s="10" t="n">
        <x:f>K2148-L2148-M2148</x:f>
        <x:v>6618.703535251488</x:v>
      </x:c>
      <x:c r="O2148" s="10" t="n">
        <x:f>H2148*'Assumptions'!$P$122*'Assumptions'!$Q$122*'Assumptions'!$D$11*(1+'Assumptions'!$D$13)^(17-1)</x:f>
        <x:v>930.5523946889305</x:v>
      </x:c>
      <x:c r="P2148" s="10" t="n">
        <x:f>H2148*'Assumptions'!$R$122*'Assumptions'!$D$11*(1+'Assumptions'!$D$13)^(17-1)</x:f>
        <x:v>0</x:v>
      </x:c>
      <x:c r="Q2148" s="10" t="n">
        <x:f>J2148*'Assumptions'!$S$122</x:f>
        <x:v>0</x:v>
      </x:c>
      <x:c r="R2148" s="10" t="n">
        <x:f>H2148*'Assumptions'!$Y$122*'Assumptions'!$Z$122*'Assumptions'!$D$11*(1+'Assumptions'!$D$13)^(17-1)</x:f>
        <x:v>478.5698029828785</x:v>
      </x:c>
      <x:c r="S2148" s="10" t="n">
        <x:f>IF(I2148=0,0,J2148*'Assumptions'!$W$122+H2148*'Assumptions'!$X$122)</x:f>
        <x:v>1339.0736952012019</x:v>
      </x:c>
      <x:c r="T2148" s="10" t="n">
        <x:f>N2148*'Assumptions'!$AA$122</x:f>
        <x:v>330.93517676257443</x:v>
      </x:c>
      <x:c r="U2148" s="10" t="n">
        <x:f>'Assumptions'!$AE$122*'Assumptions'!$D$11*(1+'Assumptions'!$D$13)^(17-1)</x:f>
        <x:v>0</x:v>
      </x:c>
      <x:c r="V2148" s="10" t="n">
        <x:f>0</x:f>
        <x:v>0</x:v>
      </x:c>
      <x:c r="W2148" s="10" t="n">
        <x:f>H2148*('Assumptions'!$P$122+'Assumptions'!$Y$122)</x:f>
        <x:v>26.509233718045632</x:v>
      </x:c>
      <x:c r="X2148" s="10" t="n">
        <x:f>N2148/12*'Assumptions'!$AF$122</x:f>
        <x:v>0</x:v>
      </x:c>
      <x:c r="Y2148" s="10" t="n">
        <x:f>P2148/12</x:f>
        <x:v>0</x:v>
      </x:c>
      <x:c r="Z2148" s="10" t="n">
        <x:f>0</x:f>
        <x:v>0</x:v>
      </x:c>
      <x:c r="AA2148" s="10" t="n">
        <x:f>Z2148*'Assumptions'!$AC$122*'Assumptions'!$D$11*(1+'Assumptions'!$D$13)^(17-1)</x:f>
        <x:v>0</x:v>
      </x:c>
      <x:c r="AB2148" s="10" t="n">
        <x:f>F2148/1</x:f>
        <x:v>21.28649597974251</x:v>
      </x:c>
      <x:c r="AC2148" s="10" t="n">
        <x:f>AB2148/'Assumptions'!$AM$122</x:f>
        <x:v>425.72991959485023</x:v>
      </x:c>
      <x:c r="AD2148" s="10" t="n">
        <x:f>IF(AB2148=0,0,T2148/AB2148)</x:f>
        <x:v>15.546719247616513</x:v>
      </x:c>
      <x:c r="AE2148" s="10" t="n">
        <x:f>AA2148*'Assumptions'!$D$21</x:f>
        <x:v>0</x:v>
      </x:c>
    </x:row>
    <x:row r="2149" ht="16" customHeight="1">
      <x:c r="A2149" s="1"/>
      <x:c r="B2149" s="1"/>
      <x:c r="C2149" s="1" t="str">
        <x:v>DOT-094</x:v>
      </x:c>
      <x:c r="D2149" s="10" t="str">
        <x:v>Semajes premium and media</x:v>
      </x:c>
      <x:c r="E2149" s="10" t="n">
        <x:v>17</x:v>
      </x:c>
      <x:c r="F2149" s="21" t="n">
        <x:f>F2021*(1+'Assumptions'!$M$123)</x:f>
        <x:v>106.43247989871256</x:v>
      </x:c>
      <x:c r="G2149" s="21" t="n">
        <x:f>H2021*'Assumptions'!$K$123</x:f>
        <x:v>224.9329415768578</x:v>
      </x:c>
      <x:c r="H2149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2149+G2149,NA())</x:f>
        <x:v>331.3654214755703</x:v>
      </x:c>
      <x:c r="I2149" s="22" t="n">
        <x:f>'Assumptions'!$H$123*IF('Assumptions'!$O$123=1,1,'Assumptions'!$D$10)*(1+'Assumptions'!$N$123)^(17-1)</x:f>
        <x:v>12.355071345815512</x:v>
      </x:c>
      <x:c r="J2149" s="10" t="n">
        <x:f>H2149*I2149</x:f>
        <x:v>4094.043423866899</x:v>
      </x:c>
      <x:c r="K2149" s="10" t="n">
        <x:f>J2149*'Assumptions'!$T$123</x:f>
        <x:v>4094.043423866899</x:v>
      </x:c>
      <x:c r="L2149" s="10" t="n">
        <x:f>K2149*'Assumptions'!$U$123</x:f>
        <x:v>122.82130271600697</x:v>
      </x:c>
      <x:c r="M2149" s="10" t="n">
        <x:f>K2149*'Assumptions'!$V$123</x:f>
        <x:v>0</x:v>
      </x:c>
      <x:c r="N2149" s="10" t="n">
        <x:f>K2149-L2149-M2149</x:f>
        <x:v>3971.2221211508922</x:v>
      </x:c>
      <x:c r="O2149" s="10" t="n">
        <x:f>H2149*'Assumptions'!$P$123*'Assumptions'!$Q$123*'Assumptions'!$D$11*(1+'Assumptions'!$D$13)^(17-1)</x:f>
        <x:v>930.5523946889302</x:v>
      </x:c>
      <x:c r="P2149" s="10" t="n">
        <x:f>H2149*'Assumptions'!$R$123*'Assumptions'!$D$11*(1+'Assumptions'!$D$13)^(17-1)</x:f>
        <x:v>0</x:v>
      </x:c>
      <x:c r="Q2149" s="10" t="n">
        <x:f>J2149*'Assumptions'!$S$123</x:f>
        <x:v>0</x:v>
      </x:c>
      <x:c r="R2149" s="10" t="n">
        <x:f>H2149*'Assumptions'!$Y$123*'Assumptions'!$Z$123*'Assumptions'!$D$11*(1+'Assumptions'!$D$13)^(17-1)</x:f>
        <x:v>2392.849014914392</x:v>
      </x:c>
      <x:c r="S2149" s="10" t="n">
        <x:f>IF(I2149=0,0,J2149*'Assumptions'!$W$123+H2149*'Assumptions'!$X$123)</x:f>
        <x:v>218.1368857348112</x:v>
      </x:c>
      <x:c r="T2149" s="10" t="n">
        <x:f>N2149*'Assumptions'!$AA$123</x:f>
        <x:v>198.56110605754463</x:v>
      </x:c>
      <x:c r="U2149" s="10" t="n">
        <x:f>'Assumptions'!$AE$123*'Assumptions'!$D$11*(1+'Assumptions'!$D$13)^(17-1)</x:f>
        <x:v>0</x:v>
      </x:c>
      <x:c r="V2149" s="10" t="n">
        <x:f>0</x:f>
        <x:v>0</x:v>
      </x:c>
      <x:c r="W2149" s="10" t="n">
        <x:f>H2149*('Assumptions'!$P$123+'Assumptions'!$Y$123)</x:f>
        <x:v>66.27308429511406</x:v>
      </x:c>
      <x:c r="X2149" s="10" t="n">
        <x:f>N2149/12*'Assumptions'!$AF$123</x:f>
        <x:v>0</x:v>
      </x:c>
      <x:c r="Y2149" s="10" t="n">
        <x:f>P2149/12</x:f>
        <x:v>0</x:v>
      </x:c>
      <x:c r="Z2149" s="10" t="n">
        <x:f>0</x:f>
        <x:v>0</x:v>
      </x:c>
      <x:c r="AA2149" s="10" t="n">
        <x:f>Z2149*'Assumptions'!$AC$123*'Assumptions'!$D$11*(1+'Assumptions'!$D$13)^(17-1)</x:f>
        <x:v>0</x:v>
      </x:c>
      <x:c r="AB2149" s="10" t="n">
        <x:f>F2149/12</x:f>
        <x:v>8.869373324892713</x:v>
      </x:c>
      <x:c r="AC2149" s="10" t="n">
        <x:f>AB2149/'Assumptions'!$AM$123</x:f>
        <x:v>177.38746649785426</x:v>
      </x:c>
      <x:c r="AD2149" s="10" t="n">
        <x:f>IF(AB2149=0,0,T2149/AB2149)</x:f>
        <x:v>22.387275716567775</x:v>
      </x:c>
      <x:c r="AE2149" s="10" t="n">
        <x:f>AA2149*'Assumptions'!$D$21</x:f>
        <x:v>0</x:v>
      </x:c>
    </x:row>
    <x:row r="2150" ht="16" customHeight="1">
      <x:c r="A2150" s="1"/>
      <x:c r="B2150" s="1"/>
      <x:c r="C2150" s="1" t="str">
        <x:v>DOT-095</x:v>
      </x:c>
      <x:c r="D2150" s="10" t="str">
        <x:v>Semajes premium and media</x:v>
      </x:c>
      <x:c r="E2150" s="10" t="n">
        <x:v>17</x:v>
      </x:c>
      <x:c r="F2150" s="21" t="n">
        <x:f>F2022*(1+'Assumptions'!$M$124)</x:f>
        <x:v>106.43247989871256</x:v>
      </x:c>
      <x:c r="G2150" s="21" t="n">
        <x:f>H2022*'Assumptions'!$K$124</x:f>
        <x:v>224.9329415768578</x:v>
      </x:c>
      <x:c r="H2150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2150+G2150,NA())</x:f>
        <x:v>331.3654214755703</x:v>
      </x:c>
      <x:c r="I2150" s="22" t="n">
        <x:f>'Assumptions'!$H$124*IF('Assumptions'!$O$124=1,1,'Assumptions'!$D$10)*(1+'Assumptions'!$N$124)^(17-1)</x:f>
        <x:v>26.082928396721638</x:v>
      </x:c>
      <x:c r="J2150" s="10" t="n">
        <x:f>H2150*I2150</x:f>
        <x:v>8642.980561496786</x:v>
      </x:c>
      <x:c r="K2150" s="10" t="n">
        <x:f>J2150*'Assumptions'!$T$124</x:f>
        <x:v>8642.980561496786</x:v>
      </x:c>
      <x:c r="L2150" s="10" t="n">
        <x:f>K2150*'Assumptions'!$U$124</x:f>
        <x:v>259.2894168449036</x:v>
      </x:c>
      <x:c r="M2150" s="10" t="n">
        <x:f>K2150*'Assumptions'!$V$124</x:f>
        <x:v>0</x:v>
      </x:c>
      <x:c r="N2150" s="10" t="n">
        <x:f>K2150-L2150-M2150</x:f>
        <x:v>8383.691144651882</x:v>
      </x:c>
      <x:c r="O2150" s="10" t="n">
        <x:f>H2150*'Assumptions'!$P$124*'Assumptions'!$Q$124*'Assumptions'!$D$11*(1+'Assumptions'!$D$13)^(17-1)</x:f>
        <x:v>1861.1047893778605</x:v>
      </x:c>
      <x:c r="P2150" s="10" t="n">
        <x:f>H2150*'Assumptions'!$R$124*'Assumptions'!$D$11*(1+'Assumptions'!$D$13)^(17-1)</x:f>
        <x:v>0</x:v>
      </x:c>
      <x:c r="Q2150" s="10" t="n">
        <x:f>J2150*'Assumptions'!$S$124</x:f>
        <x:v>0</x:v>
      </x:c>
      <x:c r="R2150" s="10" t="n">
        <x:f>H2150*'Assumptions'!$Y$124*'Assumptions'!$Z$124*'Assumptions'!$D$11*(1+'Assumptions'!$D$13)^(17-1)</x:f>
        <x:v>2392.849014914392</x:v>
      </x:c>
      <x:c r="S2150" s="10" t="n">
        <x:f>IF(I2150=0,0,J2150*'Assumptions'!$W$124+H2150*'Assumptions'!$X$124)</x:f>
        <x:v>350.0560627260779</x:v>
      </x:c>
      <x:c r="T2150" s="10" t="n">
        <x:f>N2150*'Assumptions'!$AA$124</x:f>
        <x:v>419.18455723259416</x:v>
      </x:c>
      <x:c r="U2150" s="10" t="n">
        <x:f>'Assumptions'!$AE$124*'Assumptions'!$D$11*(1+'Assumptions'!$D$13)^(17-1)</x:f>
        <x:v>0</x:v>
      </x:c>
      <x:c r="V2150" s="10" t="n">
        <x:f>0</x:f>
        <x:v>0</x:v>
      </x:c>
      <x:c r="W2150" s="10" t="n">
        <x:f>H2150*('Assumptions'!$P$124+'Assumptions'!$Y$124)</x:f>
        <x:v>82.84135536889258</x:v>
      </x:c>
      <x:c r="X2150" s="10" t="n">
        <x:f>N2150/12*'Assumptions'!$AF$124</x:f>
        <x:v>0</x:v>
      </x:c>
      <x:c r="Y2150" s="10" t="n">
        <x:f>P2150/12</x:f>
        <x:v>0</x:v>
      </x:c>
      <x:c r="Z2150" s="10" t="n">
        <x:f>0</x:f>
        <x:v>0</x:v>
      </x:c>
      <x:c r="AA2150" s="10" t="n">
        <x:f>Z2150*'Assumptions'!$AC$124*'Assumptions'!$D$11*(1+'Assumptions'!$D$13)^(17-1)</x:f>
        <x:v>0</x:v>
      </x:c>
      <x:c r="AB2150" s="10" t="n">
        <x:f>F2150/12</x:f>
        <x:v>8.869373324892713</x:v>
      </x:c>
      <x:c r="AC2150" s="10" t="n">
        <x:f>AB2150/'Assumptions'!$AM$124</x:f>
        <x:v>177.38746649785426</x:v>
      </x:c>
      <x:c r="AD2150" s="10" t="n">
        <x:f>IF(AB2150=0,0,T2150/AB2150)</x:f>
        <x:v>47.26202651275419</x:v>
      </x:c>
      <x:c r="AE2150" s="10" t="n">
        <x:f>AA2150*'Assumptions'!$D$21</x:f>
        <x:v>0</x:v>
      </x:c>
    </x:row>
    <x:row r="2151" ht="16" customHeight="1">
      <x:c r="A2151" s="1"/>
      <x:c r="B2151" s="1"/>
      <x:c r="C2151" s="1" t="str">
        <x:v>DOT-096</x:v>
      </x:c>
      <x:c r="D2151" s="10" t="str">
        <x:v>Semajes premium and media</x:v>
      </x:c>
      <x:c r="E2151" s="10" t="n">
        <x:v>17</x:v>
      </x:c>
      <x:c r="F2151" s="21" t="n">
        <x:f>F2023*(1+'Assumptions'!$M$125)</x:f>
        <x:v>53.21623994935628</x:v>
      </x:c>
      <x:c r="G2151" s="21" t="n">
        <x:f>H2023*'Assumptions'!$K$125</x:f>
        <x:v>112.4664707884289</x:v>
      </x:c>
      <x:c r="H2151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2151+G2151,NA())</x:f>
        <x:v>165.68271073778516</x:v>
      </x:c>
      <x:c r="I2151" s="22" t="n">
        <x:f>'Assumptions'!$H$125*IF('Assumptions'!$O$125=1,1,'Assumptions'!$D$10)*(1+'Assumptions'!$N$125)^(17-1)</x:f>
        <x:v>53.53864249853389</x:v>
      </x:c>
      <x:c r="J2151" s="10" t="n">
        <x:f>H2151*I2151</x:f>
        <x:v>8870.427418378282</x:v>
      </x:c>
      <x:c r="K2151" s="10" t="n">
        <x:f>J2151*'Assumptions'!$T$125</x:f>
        <x:v>8870.427418378282</x:v>
      </x:c>
      <x:c r="L2151" s="10" t="n">
        <x:f>K2151*'Assumptions'!$U$125</x:f>
        <x:v>266.1128225513485</x:v>
      </x:c>
      <x:c r="M2151" s="10" t="n">
        <x:f>K2151*'Assumptions'!$V$125</x:f>
        <x:v>0</x:v>
      </x:c>
      <x:c r="N2151" s="10" t="n">
        <x:f>K2151-L2151-M2151</x:f>
        <x:v>8604.314595826934</x:v>
      </x:c>
      <x:c r="O2151" s="10" t="n">
        <x:f>H2151*'Assumptions'!$P$125*'Assumptions'!$Q$125*'Assumptions'!$D$11*(1+'Assumptions'!$D$13)^(17-1)</x:f>
        <x:v>1861.1047893778605</x:v>
      </x:c>
      <x:c r="P2151" s="10" t="n">
        <x:f>H2151*'Assumptions'!$R$125*'Assumptions'!$D$11*(1+'Assumptions'!$D$13)^(17-1)</x:f>
        <x:v>0</x:v>
      </x:c>
      <x:c r="Q2151" s="10" t="n">
        <x:f>J2151*'Assumptions'!$S$125</x:f>
        <x:v>0</x:v>
      </x:c>
      <x:c r="R2151" s="10" t="n">
        <x:f>H2151*'Assumptions'!$Y$125*'Assumptions'!$Z$125*'Assumptions'!$D$11*(1+'Assumptions'!$D$13)^(17-1)</x:f>
        <x:v>1196.424507457196</x:v>
      </x:c>
      <x:c r="S2151" s="10" t="n">
        <x:f>IF(I2151=0,0,J2151*'Assumptions'!$W$125+H2151*'Assumptions'!$X$125)</x:f>
        <x:v>306.9472083543057</x:v>
      </x:c>
      <x:c r="T2151" s="10" t="n">
        <x:f>N2151*'Assumptions'!$AA$125</x:f>
        <x:v>430.21572979134675</x:v>
      </x:c>
      <x:c r="U2151" s="10" t="n">
        <x:f>'Assumptions'!$AE$125*'Assumptions'!$D$11*(1+'Assumptions'!$D$13)^(17-1)</x:f>
        <x:v>0</x:v>
      </x:c>
      <x:c r="V2151" s="10" t="n">
        <x:f>0</x:f>
        <x:v>0</x:v>
      </x:c>
      <x:c r="W2151" s="10" t="n">
        <x:f>H2151*('Assumptions'!$P$125+'Assumptions'!$Y$125)</x:f>
        <x:v>57.9889487582248</x:v>
      </x:c>
      <x:c r="X2151" s="10" t="n">
        <x:f>N2151/12*'Assumptions'!$AF$125</x:f>
        <x:v>0</x:v>
      </x:c>
      <x:c r="Y2151" s="10" t="n">
        <x:f>P2151/12</x:f>
        <x:v>0</x:v>
      </x:c>
      <x:c r="Z2151" s="10" t="n">
        <x:f>0</x:f>
        <x:v>0</x:v>
      </x:c>
      <x:c r="AA2151" s="10" t="n">
        <x:f>Z2151*'Assumptions'!$AC$125*'Assumptions'!$D$11*(1+'Assumptions'!$D$13)^(17-1)</x:f>
        <x:v>0</x:v>
      </x:c>
      <x:c r="AB2151" s="10" t="n">
        <x:f>F2151/12</x:f>
        <x:v>4.434686662446357</x:v>
      </x:c>
      <x:c r="AC2151" s="10" t="n">
        <x:f>AB2151/'Assumptions'!$AM$125</x:f>
        <x:v>88.69373324892713</x:v>
      </x:c>
      <x:c r="AD2151" s="10" t="n">
        <x:f>IF(AB2151=0,0,T2151/AB2151)</x:f>
        <x:v>97.01152810512704</x:v>
      </x:c>
      <x:c r="AE2151" s="10" t="n">
        <x:f>AA2151*'Assumptions'!$D$21</x:f>
        <x:v>0</x:v>
      </x:c>
    </x:row>
    <x:row r="2152" ht="16" customHeight="1">
      <x:c r="A2152" s="1"/>
      <x:c r="B2152" s="1"/>
      <x:c r="C2152" s="1" t="str">
        <x:v>DOT-097</x:v>
      </x:c>
      <x:c r="D2152" s="10" t="str">
        <x:v>Semajes premium and media</x:v>
      </x:c>
      <x:c r="E2152" s="10" t="n">
        <x:v>17</x:v>
      </x:c>
      <x:c r="F2152" s="21" t="n">
        <x:f>F2024*(1+'Assumptions'!$M$126)</x:f>
        <x:v>31.92974396961376</x:v>
      </x:c>
      <x:c r="G2152" s="21" t="n">
        <x:f>H2024*'Assumptions'!$K$126</x:f>
        <x:v>67.4798824730573</x:v>
      </x:c>
      <x:c r="H2152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2152+G2152,NA())</x:f>
        <x:v>99.40962644267105</x:v>
      </x:c>
      <x:c r="I2152" s="22" t="n">
        <x:f>'Assumptions'!$H$126*IF('Assumptions'!$O$126=1,1,'Assumptions'!$D$10)*(1+'Assumptions'!$N$126)^(17-1)</x:f>
        <x:v>135.90578480397065</x:v>
      </x:c>
      <x:c r="J2152" s="10" t="n">
        <x:f>H2152*I2152</x:f>
        <x:v>13510.343298760763</x:v>
      </x:c>
      <x:c r="K2152" s="10" t="n">
        <x:f>J2152*'Assumptions'!$T$126</x:f>
        <x:v>13510.343298760763</x:v>
      </x:c>
      <x:c r="L2152" s="10" t="n">
        <x:f>K2152*'Assumptions'!$U$126</x:f>
        <x:v>405.31029896282286</x:v>
      </x:c>
      <x:c r="M2152" s="10" t="n">
        <x:f>K2152*'Assumptions'!$V$126</x:f>
        <x:v>0</x:v>
      </x:c>
      <x:c r="N2152" s="10" t="n">
        <x:f>K2152-L2152-M2152</x:f>
        <x:v>13105.03299979794</x:v>
      </x:c>
      <x:c r="O2152" s="10" t="n">
        <x:f>H2152*'Assumptions'!$P$126*'Assumptions'!$Q$126*'Assumptions'!$D$11*(1+'Assumptions'!$D$13)^(17-1)</x:f>
        <x:v>5583.314368133579</x:v>
      </x:c>
      <x:c r="P2152" s="10" t="n">
        <x:f>H2152*'Assumptions'!$R$126*'Assumptions'!$D$11*(1+'Assumptions'!$D$13)^(17-1)</x:f>
        <x:v>0</x:v>
      </x:c>
      <x:c r="Q2152" s="10" t="n">
        <x:f>J2152*'Assumptions'!$S$126</x:f>
        <x:v>0</x:v>
      </x:c>
      <x:c r="R2152" s="10" t="n">
        <x:f>H2152*'Assumptions'!$Y$126*'Assumptions'!$Z$126*'Assumptions'!$D$11*(1+'Assumptions'!$D$13)^(17-1)</x:f>
        <x:v>717.8547044743173</x:v>
      </x:c>
      <x:c r="S2152" s="10" t="n">
        <x:f>IF(I2152=0,0,J2152*'Assumptions'!$W$126+H2152*'Assumptions'!$X$126)</x:f>
        <x:v>421.6228435968635</x:v>
      </x:c>
      <x:c r="T2152" s="10" t="n">
        <x:f>N2152*'Assumptions'!$AA$126</x:f>
        <x:v>655.251649989897</x:v>
      </x:c>
      <x:c r="U2152" s="10" t="n">
        <x:f>'Assumptions'!$AE$126*'Assumptions'!$D$11*(1+'Assumptions'!$D$13)^(17-1)</x:f>
        <x:v>0</x:v>
      </x:c>
      <x:c r="V2152" s="10" t="n">
        <x:f>0</x:f>
        <x:v>0</x:v>
      </x:c>
      <x:c r="W2152" s="10" t="n">
        <x:f>H2152*('Assumptions'!$P$126+'Assumptions'!$Y$126)</x:f>
        <x:v>114.32107040907171</x:v>
      </x:c>
      <x:c r="X2152" s="10" t="n">
        <x:f>N2152/12*'Assumptions'!$AF$126</x:f>
        <x:v>0</x:v>
      </x:c>
      <x:c r="Y2152" s="10" t="n">
        <x:f>P2152/12</x:f>
        <x:v>0</x:v>
      </x:c>
      <x:c r="Z2152" s="10" t="n">
        <x:f>0</x:f>
        <x:v>0</x:v>
      </x:c>
      <x:c r="AA2152" s="10" t="n">
        <x:f>Z2152*'Assumptions'!$AC$126*'Assumptions'!$D$11*(1+'Assumptions'!$D$13)^(17-1)</x:f>
        <x:v>0</x:v>
      </x:c>
      <x:c r="AB2152" s="10" t="n">
        <x:f>F2152/1</x:f>
        <x:v>31.92974396961376</x:v>
      </x:c>
      <x:c r="AC2152" s="10" t="n">
        <x:f>AB2152/'Assumptions'!$AM$126</x:f>
        <x:v>638.5948793922752</x:v>
      </x:c>
      <x:c r="AD2152" s="10" t="n">
        <x:f>IF(AB2152=0,0,T2152/AB2152)</x:f>
        <x:v>20.521669406853793</x:v>
      </x:c>
      <x:c r="AE2152" s="10" t="n">
        <x:f>AA2152*'Assumptions'!$D$21</x:f>
        <x:v>0</x:v>
      </x:c>
    </x:row>
    <x:row r="2153" ht="16" customHeight="1">
      <x:c r="A2153" s="1"/>
      <x:c r="B2153" s="1"/>
      <x:c r="C2153" s="1" t="str">
        <x:v>DOT-098</x:v>
      </x:c>
      <x:c r="D2153" s="10" t="str">
        <x:v>Semajes premium and media</x:v>
      </x:c>
      <x:c r="E2153" s="10" t="n">
        <x:v>17</x:v>
      </x:c>
      <x:c r="F2153" s="21" t="n">
        <x:f>F2025*(1+'Assumptions'!$M$127)</x:f>
        <x:v>15.96487198480688</x:v>
      </x:c>
      <x:c r="G2153" s="21" t="n">
        <x:f>H2025*'Assumptions'!$K$127</x:f>
        <x:v>33.73994123652865</x:v>
      </x:c>
      <x:c r="H2153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2153+G2153,NA())</x:f>
        <x:v>49.70481322133553</x:v>
      </x:c>
      <x:c r="I2153" s="22" t="n">
        <x:f>'Assumptions'!$H$127*IF('Assumptions'!$O$127=1,1,'Assumptions'!$D$10)*(1+'Assumptions'!$N$127)^(17-1)</x:f>
        <x:v>341.8236405675625</x:v>
      </x:c>
      <x:c r="J2153" s="10" t="n">
        <x:f>H2153*I2153</x:f>
        <x:v>16990.280209047625</x:v>
      </x:c>
      <x:c r="K2153" s="10" t="n">
        <x:f>J2153*'Assumptions'!$T$127</x:f>
        <x:v>16990.280209047625</x:v>
      </x:c>
      <x:c r="L2153" s="10" t="n">
        <x:f>K2153*'Assumptions'!$U$127</x:f>
        <x:v>509.7084062714287</x:v>
      </x:c>
      <x:c r="M2153" s="10" t="n">
        <x:f>K2153*'Assumptions'!$V$127</x:f>
        <x:v>0</x:v>
      </x:c>
      <x:c r="N2153" s="10" t="n">
        <x:f>K2153-L2153-M2153</x:f>
        <x:v>16480.571802776198</x:v>
      </x:c>
      <x:c r="O2153" s="10" t="n">
        <x:f>H2153*'Assumptions'!$P$127*'Assumptions'!$Q$127*'Assumptions'!$D$11*(1+'Assumptions'!$D$13)^(17-1)</x:f>
        <x:v>8374.971552200368</x:v>
      </x:c>
      <x:c r="P2153" s="10" t="n">
        <x:f>H2153*'Assumptions'!$R$127*'Assumptions'!$D$11*(1+'Assumptions'!$D$13)^(17-1)</x:f>
        <x:v>0</x:v>
      </x:c>
      <x:c r="Q2153" s="10" t="n">
        <x:f>J2153*'Assumptions'!$S$127</x:f>
        <x:v>0</x:v>
      </x:c>
      <x:c r="R2153" s="10" t="n">
        <x:f>H2153*'Assumptions'!$Y$127*'Assumptions'!$Z$127*'Assumptions'!$D$11*(1+'Assumptions'!$D$13)^(17-1)</x:f>
        <x:v>358.92735223715863</x:v>
      </x:c>
      <x:c r="S2153" s="10" t="n">
        <x:f>IF(I2153=0,0,J2153*'Assumptions'!$W$127+H2153*'Assumptions'!$X$127)</x:f>
        <x:v>507.6295700287818</x:v>
      </x:c>
      <x:c r="T2153" s="10" t="n">
        <x:f>N2153*'Assumptions'!$AA$127</x:f>
        <x:v>824.0285901388099</x:v>
      </x:c>
      <x:c r="U2153" s="10" t="n">
        <x:f>'Assumptions'!$AE$127*'Assumptions'!$D$11*(1+'Assumptions'!$D$13)^(17-1)</x:f>
        <x:v>0</x:v>
      </x:c>
      <x:c r="V2153" s="10" t="n">
        <x:f>0</x:f>
        <x:v>0</x:v>
      </x:c>
      <x:c r="W2153" s="10" t="n">
        <x:f>H2153*('Assumptions'!$P$127+'Assumptions'!$Y$127)</x:f>
        <x:v>156.5701616472069</x:v>
      </x:c>
      <x:c r="X2153" s="10" t="n">
        <x:f>N2153/12*'Assumptions'!$AF$127</x:f>
        <x:v>0</x:v>
      </x:c>
      <x:c r="Y2153" s="10" t="n">
        <x:f>P2153/12</x:f>
        <x:v>0</x:v>
      </x:c>
      <x:c r="Z2153" s="10" t="n">
        <x:f>0</x:f>
        <x:v>0</x:v>
      </x:c>
      <x:c r="AA2153" s="10" t="n">
        <x:f>Z2153*'Assumptions'!$AC$127*'Assumptions'!$D$11*(1+'Assumptions'!$D$13)^(17-1)</x:f>
        <x:v>0</x:v>
      </x:c>
      <x:c r="AB2153" s="10" t="n">
        <x:f>F2153/1</x:f>
        <x:v>15.96487198480688</x:v>
      </x:c>
      <x:c r="AC2153" s="10" t="n">
        <x:f>AB2153/'Assumptions'!$AM$127</x:f>
        <x:v>319.2974396961376</x:v>
      </x:c>
      <x:c r="AD2153" s="10" t="n">
        <x:f>IF(AB2153=0,0,T2153/AB2153)</x:f>
        <x:v>51.61510790208681</x:v>
      </x:c>
      <x:c r="AE2153" s="10" t="n">
        <x:f>AA2153*'Assumptions'!$D$21</x:f>
        <x:v>0</x:v>
      </x:c>
    </x:row>
    <x:row r="2154" ht="16" customHeight="1">
      <x:c r="A2154" s="1"/>
      <x:c r="B2154" s="1"/>
      <x:c r="C2154" s="1" t="str">
        <x:v>DOT-099</x:v>
      </x:c>
      <x:c r="D2154" s="10" t="str">
        <x:v>Semajes premium and media</x:v>
      </x:c>
      <x:c r="E2154" s="10" t="n">
        <x:v>17</x:v>
      </x:c>
      <x:c r="F2154" s="21" t="n">
        <x:f>F2026*(1+'Assumptions'!$M$128)</x:f>
        <x:v>53.21623994935628</x:v>
      </x:c>
      <x:c r="G2154" s="21" t="n">
        <x:f>H2026*'Assumptions'!$K$128</x:f>
        <x:v>112.4664707884289</x:v>
      </x:c>
      <x:c r="H2154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2154+G2154,NA())</x:f>
        <x:v>165.68271073778516</x:v>
      </x:c>
      <x:c r="I2154" s="22" t="n">
        <x:f>'Assumptions'!$H$128*IF('Assumptions'!$O$128=1,1,'Assumptions'!$D$10)*(1+'Assumptions'!$N$128)^(17-1)</x:f>
        <x:v>39.810785447627765</x:v>
      </x:c>
      <x:c r="J2154" s="10" t="n">
        <x:f>H2154*I2154</x:f>
        <x:v>6595.958849563338</x:v>
      </x:c>
      <x:c r="K2154" s="10" t="n">
        <x:f>J2154*'Assumptions'!$T$128</x:f>
        <x:v>6595.958849563338</x:v>
      </x:c>
      <x:c r="L2154" s="10" t="n">
        <x:f>K2154*'Assumptions'!$U$128</x:f>
        <x:v>197.87876548690014</x:v>
      </x:c>
      <x:c r="M2154" s="10" t="n">
        <x:f>K2154*'Assumptions'!$V$128</x:f>
        <x:v>0</x:v>
      </x:c>
      <x:c r="N2154" s="10" t="n">
        <x:f>K2154-L2154-M2154</x:f>
        <x:v>6398.080084076438</x:v>
      </x:c>
      <x:c r="O2154" s="10" t="n">
        <x:f>H2154*'Assumptions'!$P$128*'Assumptions'!$Q$128*'Assumptions'!$D$11*(1+'Assumptions'!$D$13)^(17-1)</x:f>
        <x:v>1395.8285920333954</x:v>
      </x:c>
      <x:c r="P2154" s="10" t="n">
        <x:f>H2154*'Assumptions'!$R$128*'Assumptions'!$D$11*(1+'Assumptions'!$D$13)^(17-1)</x:f>
        <x:v>0</x:v>
      </x:c>
      <x:c r="Q2154" s="10" t="n">
        <x:f>J2154*'Assumptions'!$S$128</x:f>
        <x:v>0</x:v>
      </x:c>
      <x:c r="R2154" s="10" t="n">
        <x:f>H2154*'Assumptions'!$Y$128*'Assumptions'!$Z$128*'Assumptions'!$D$11*(1+'Assumptions'!$D$13)^(17-1)</x:f>
        <x:v>1196.424507457196</x:v>
      </x:c>
      <x:c r="S2154" s="10" t="n">
        <x:f>IF(I2154=0,0,J2154*'Assumptions'!$W$128+H2154*'Assumptions'!$X$128)</x:f>
        <x:v>240.98761985867236</x:v>
      </x:c>
      <x:c r="T2154" s="10" t="n">
        <x:f>N2154*'Assumptions'!$AA$128</x:f>
        <x:v>319.9040042038219</x:v>
      </x:c>
      <x:c r="U2154" s="10" t="n">
        <x:f>'Assumptions'!$AE$128*'Assumptions'!$D$11*(1+'Assumptions'!$D$13)^(17-1)</x:f>
        <x:v>0</x:v>
      </x:c>
      <x:c r="V2154" s="10" t="n">
        <x:f>0</x:f>
        <x:v>0</x:v>
      </x:c>
      <x:c r="W2154" s="10" t="n">
        <x:f>H2154*('Assumptions'!$P$128+'Assumptions'!$Y$128)</x:f>
        <x:v>49.70481322133555</x:v>
      </x:c>
      <x:c r="X2154" s="10" t="n">
        <x:f>N2154/12*'Assumptions'!$AF$128</x:f>
        <x:v>0</x:v>
      </x:c>
      <x:c r="Y2154" s="10" t="n">
        <x:f>P2154/12</x:f>
        <x:v>0</x:v>
      </x:c>
      <x:c r="Z2154" s="10" t="n">
        <x:f>0</x:f>
        <x:v>0</x:v>
      </x:c>
      <x:c r="AA2154" s="10" t="n">
        <x:f>Z2154*'Assumptions'!$AC$128*'Assumptions'!$D$11*(1+'Assumptions'!$D$13)^(17-1)</x:f>
        <x:v>0</x:v>
      </x:c>
      <x:c r="AB2154" s="10" t="n">
        <x:f>F2154/1</x:f>
        <x:v>53.21623994935628</x:v>
      </x:c>
      <x:c r="AC2154" s="10" t="n">
        <x:f>AB2154/'Assumptions'!$AM$128</x:f>
        <x:v>1064.3247989871254</x:v>
      </x:c>
      <x:c r="AD2154" s="10" t="n">
        <x:f>IF(AB2154=0,0,T2154/AB2154)</x:f>
        <x:v>6.011398109078384</x:v>
      </x:c>
      <x:c r="AE2154" s="10" t="n">
        <x:f>AA2154*'Assumptions'!$D$21</x:f>
        <x:v>0</x:v>
      </x:c>
    </x:row>
    <x:row r="2155" ht="16" customHeight="1">
      <x:c r="A2155" s="1"/>
      <x:c r="B2155" s="1"/>
      <x:c r="C2155" s="1" t="str">
        <x:v>DOT-100</x:v>
      </x:c>
      <x:c r="D2155" s="10" t="str">
        <x:v>Semajes courses</x:v>
      </x:c>
      <x:c r="E2155" s="10" t="n">
        <x:v>17</x:v>
      </x:c>
      <x:c r="F2155" s="21" t="n">
        <x:f>F2027*(1+'Assumptions'!$M$129)</x:f>
        <x:v>448.8596463779118</x:v>
      </x:c>
      <x:c r="G2155" s="21" t="n">
        <x:f>H2027*'Assumptions'!$K$129</x:f>
        <x:v>143.8652704614156</x:v>
      </x:c>
      <x:c r="H2155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2155+G2155,NA())</x:f>
        <x:v>592.7249168393274</x:v>
      </x:c>
      <x:c r="I2155" s="22" t="n">
        <x:f>'Assumptions'!$H$129*IF('Assumptions'!$O$129=1,1,'Assumptions'!$D$10)*(1+'Assumptions'!$N$129)^(17-1)</x:f>
        <x:v>53.53864249853389</x:v>
      </x:c>
      <x:c r="J2155" s="10" t="n">
        <x:f>H2155*I2155</x:f>
        <x:v>31733.68742263398</x:v>
      </x:c>
      <x:c r="K2155" s="10" t="n">
        <x:f>J2155*'Assumptions'!$T$129</x:f>
        <x:v>31733.68742263398</x:v>
      </x:c>
      <x:c r="L2155" s="10" t="n">
        <x:f>K2155*'Assumptions'!$U$129</x:f>
        <x:v>952.0106226790193</x:v>
      </x:c>
      <x:c r="M2155" s="10" t="n">
        <x:f>K2155*'Assumptions'!$V$129</x:f>
        <x:v>0</x:v>
      </x:c>
      <x:c r="N2155" s="10" t="n">
        <x:f>K2155-L2155-M2155</x:f>
        <x:v>30781.67679995496</x:v>
      </x:c>
      <x:c r="O2155" s="10" t="n">
        <x:f>H2155*'Assumptions'!$P$129*'Assumptions'!$Q$129*'Assumptions'!$D$11*(1+'Assumptions'!$D$13)^(17-1)</x:f>
        <x:v>4993.534825998403</x:v>
      </x:c>
      <x:c r="P2155" s="10" t="n">
        <x:f>H2155*'Assumptions'!$R$129*'Assumptions'!$D$11*(1+'Assumptions'!$D$13)^(17-1)</x:f>
        <x:v>0</x:v>
      </x:c>
      <x:c r="Q2155" s="10" t="n">
        <x:f>J2155*'Assumptions'!$S$129</x:f>
        <x:v>0</x:v>
      </x:c>
      <x:c r="R2155" s="10" t="n">
        <x:f>H2155*'Assumptions'!$Y$129*'Assumptions'!$Z$129*'Assumptions'!$D$11*(1+'Assumptions'!$D$13)^(17-1)</x:f>
        <x:v>2853.4484719990874</x:v>
      </x:c>
      <x:c r="S2155" s="10" t="n">
        <x:f>IF(I2155=0,0,J2155*'Assumptions'!$W$129+H2155*'Assumptions'!$X$129)</x:f>
        <x:v>1098.0944103081836</x:v>
      </x:c>
      <x:c r="T2155" s="10" t="n">
        <x:f>N2155*'Assumptions'!$AA$129</x:f>
        <x:v>1539.083839997748</x:v>
      </x:c>
      <x:c r="U2155" s="10" t="n">
        <x:f>'Assumptions'!$AE$129*'Assumptions'!$D$11*(1+'Assumptions'!$D$13)^(17-1)</x:f>
        <x:v>0</x:v>
      </x:c>
      <x:c r="V2155" s="10" t="n">
        <x:f>0</x:f>
        <x:v>0</x:v>
      </x:c>
      <x:c r="W2155" s="10" t="n">
        <x:f>H2155*('Assumptions'!$P$129+'Assumptions'!$Y$129)</x:f>
        <x:v>148.18122920983186</x:v>
      </x:c>
      <x:c r="X2155" s="10" t="n">
        <x:f>N2155/12*'Assumptions'!$AF$129</x:f>
        <x:v>0</x:v>
      </x:c>
      <x:c r="Y2155" s="10" t="n">
        <x:f>P2155/12</x:f>
        <x:v>0</x:v>
      </x:c>
      <x:c r="Z2155" s="10" t="n">
        <x:f>0</x:f>
        <x:v>0</x:v>
      </x:c>
      <x:c r="AA2155" s="10" t="n">
        <x:f>Z2155*'Assumptions'!$AC$129*'Assumptions'!$D$11*(1+'Assumptions'!$D$13)^(17-1)</x:f>
        <x:v>0</x:v>
      </x:c>
      <x:c r="AB2155" s="10" t="n">
        <x:f>F2155/1</x:f>
        <x:v>448.8596463779118</x:v>
      </x:c>
      <x:c r="AC2155" s="10" t="n">
        <x:f>AB2155/'Assumptions'!$AM$129</x:f>
        <x:v>8977.192927558235</x:v>
      </x:c>
      <x:c r="AD2155" s="10" t="n">
        <x:f>IF(AB2155=0,0,T2155/AB2155)</x:f>
        <x:v>3.428875490183708</x:v>
      </x:c>
      <x:c r="AE2155" s="10" t="n">
        <x:f>AA2155*'Assumptions'!$D$21</x:f>
        <x:v>0</x:v>
      </x:c>
    </x:row>
    <x:row r="2156" ht="16" customHeight="1">
      <x:c r="A2156" s="1"/>
      <x:c r="B2156" s="1"/>
      <x:c r="C2156" s="1" t="str">
        <x:v>DOT-101</x:v>
      </x:c>
      <x:c r="D2156" s="10" t="str">
        <x:v>Sleepy Face</x:v>
      </x:c>
      <x:c r="E2156" s="10" t="n">
        <x:v>17</x:v>
      </x:c>
      <x:c r="F2156" s="21" t="n">
        <x:f>F2028*(1+'Assumptions'!$M$130)</x:f>
        <x:v>376.90167617478323</x:v>
      </x:c>
      <x:c r="G2156" s="21" t="n">
        <x:f>H2028*'Assumptions'!$K$130</x:f>
        <x:v>154.8910929899471</x:v>
      </x:c>
      <x:c r="H2156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2156+G2156,NA())</x:f>
        <x:v>531.7927691647303</x:v>
      </x:c>
      <x:c r="I2156" s="22" t="n">
        <x:f>'Assumptions'!$H$130*IF('Assumptions'!$O$130=1,1,'Assumptions'!$D$10)*(1+'Assumptions'!$N$130)^(17-1)</x:f>
        <x:v>130.4146419836082</x:v>
      </x:c>
      <x:c r="J2156" s="10" t="n">
        <x:f>H2156*I2156</x:f>
        <x:v>69353.5636000899</x:v>
      </x:c>
      <x:c r="K2156" s="10" t="n">
        <x:f>J2156*'Assumptions'!$T$130</x:f>
        <x:v>69353.5636000899</x:v>
      </x:c>
      <x:c r="L2156" s="10" t="n">
        <x:f>K2156*'Assumptions'!$U$130</x:f>
        <x:v>5548.285088007192</x:v>
      </x:c>
      <x:c r="M2156" s="10" t="n">
        <x:f>K2156*'Assumptions'!$V$130</x:f>
        <x:v>1387.071272001798</x:v>
      </x:c>
      <x:c r="N2156" s="10" t="n">
        <x:f>K2156-L2156-M2156</x:f>
        <x:v>62418.207240080905</x:v>
      </x:c>
      <x:c r="O2156" s="10" t="n">
        <x:f>H2156*'Assumptions'!$P$130*'Assumptions'!$Q$130*'Assumptions'!$D$11*(1+'Assumptions'!$D$13)^(17-1)</x:f>
        <x:v>4480.199224960295</x:v>
      </x:c>
      <x:c r="P2156" s="10" t="n">
        <x:f>H2156*'Assumptions'!$R$130*'Assumptions'!$D$11*(1+'Assumptions'!$D$13)^(17-1)</x:f>
        <x:v>25601.138428344548</x:v>
      </x:c>
      <x:c r="Q2156" s="10" t="n">
        <x:f>J2156*'Assumptions'!$S$130</x:f>
        <x:v>0</x:v>
      </x:c>
      <x:c r="R2156" s="10" t="n">
        <x:f>H2156*'Assumptions'!$Y$130*'Assumptions'!$Z$130*'Assumptions'!$D$11*(1+'Assumptions'!$D$13)^(17-1)</x:f>
        <x:v>3840.1707642516817</x:v>
      </x:c>
      <x:c r="S2156" s="10" t="n">
        <x:f>IF(I2156=0,0,J2156*'Assumptions'!$W$130+H2156*'Assumptions'!$X$130)</x:f>
        <x:v>2170.7911751520264</x:v>
      </x:c>
      <x:c r="T2156" s="10" t="n">
        <x:f>N2156*'Assumptions'!$AA$130</x:f>
        <x:v>4993.456579206472</x:v>
      </x:c>
      <x:c r="U2156" s="10" t="n">
        <x:f>'Assumptions'!$AE$130*'Assumptions'!$D$11*(1+'Assumptions'!$D$13)^(17-1)</x:f>
        <x:v>0</x:v>
      </x:c>
      <x:c r="V2156" s="10" t="n">
        <x:f>0</x:f>
        <x:v>0</x:v>
      </x:c>
      <x:c r="W2156" s="10" t="n">
        <x:f>H2156*('Assumptions'!$P$130+'Assumptions'!$Y$130)</x:f>
        <x:v>159.5378307494191</x:v>
      </x:c>
      <x:c r="X2156" s="10" t="n">
        <x:f>N2156/12*'Assumptions'!$AF$130</x:f>
        <x:v>0</x:v>
      </x:c>
      <x:c r="Y2156" s="10" t="n">
        <x:f>P2156/12</x:f>
        <x:v>2133.428202362046</x:v>
      </x:c>
      <x:c r="Z2156" s="10" t="n">
        <x:f>0</x:f>
        <x:v>0</x:v>
      </x:c>
      <x:c r="AA2156" s="10" t="n">
        <x:f>Z2156*'Assumptions'!$AC$130*'Assumptions'!$D$11*(1+'Assumptions'!$D$13)^(17-1)</x:f>
        <x:v>0</x:v>
      </x:c>
      <x:c r="AB2156" s="10" t="n">
        <x:f>F2156/1</x:f>
        <x:v>376.90167617478323</x:v>
      </x:c>
      <x:c r="AC2156" s="10" t="n">
        <x:f>AB2156/'Assumptions'!$AM$130</x:f>
        <x:v>12563.389205826108</x:v>
      </x:c>
      <x:c r="AD2156" s="10" t="n">
        <x:f>IF(AB2156=0,0,T2156/AB2156)</x:f>
        <x:v>13.248698254371313</x:v>
      </x:c>
      <x:c r="AE2156" s="10" t="n">
        <x:f>AA2156*'Assumptions'!$D$21</x:f>
        <x:v>0</x:v>
      </x:c>
    </x:row>
    <x:row r="2157" ht="16" customHeight="1">
      <x:c r="A2157" s="1"/>
      <x:c r="B2157" s="1"/>
      <x:c r="C2157" s="1" t="str">
        <x:v>DOT-102</x:v>
      </x:c>
      <x:c r="D2157" s="10" t="str">
        <x:v>Sleepy Face</x:v>
      </x:c>
      <x:c r="E2157" s="10" t="n">
        <x:v>17</x:v>
      </x:c>
      <x:c r="F2157" s="21" t="n">
        <x:f>F2029*(1+'Assumptions'!$M$131)</x:f>
        <x:v>565.3525142621746</x:v>
      </x:c>
      <x:c r="G2157" s="21" t="n">
        <x:f>H2029*'Assumptions'!$K$131</x:f>
        <x:v>232.33663948492062</x:v>
      </x:c>
      <x:c r="H2157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2157+G2157,NA())</x:f>
        <x:v>797.6891537470952</x:v>
      </x:c>
      <x:c r="I2157" s="22" t="n">
        <x:f>'Assumptions'!$H$131*IF('Assumptions'!$O$131=1,1,'Assumptions'!$D$10)*(1+'Assumptions'!$N$131)^(17-1)</x:f>
        <x:v>226.50964133995106</x:v>
      </x:c>
      <x:c r="J2157" s="10" t="n">
        <x:f>H2157*I2157</x:f>
        <x:v>180684.28411602363</x:v>
      </x:c>
      <x:c r="K2157" s="10" t="n">
        <x:f>J2157*'Assumptions'!$T$131</x:f>
        <x:v>180684.28411602363</x:v>
      </x:c>
      <x:c r="L2157" s="10" t="n">
        <x:f>K2157*'Assumptions'!$U$131</x:f>
        <x:v>14454.74272928189</x:v>
      </x:c>
      <x:c r="M2157" s="10" t="n">
        <x:f>K2157*'Assumptions'!$V$131</x:f>
        <x:v>3613.6856823204726</x:v>
      </x:c>
      <x:c r="N2157" s="10" t="n">
        <x:f>K2157-L2157-M2157</x:f>
        <x:v>162615.85570442126</x:v>
      </x:c>
      <x:c r="O2157" s="10" t="n">
        <x:f>H2157*'Assumptions'!$P$131*'Assumptions'!$Q$131*'Assumptions'!$D$11*(1+'Assumptions'!$D$13)^(17-1)</x:f>
        <x:v>6720.298837440441</x:v>
      </x:c>
      <x:c r="P2157" s="10" t="n">
        <x:f>H2157*'Assumptions'!$R$131*'Assumptions'!$D$11*(1+'Assumptions'!$D$13)^(17-1)</x:f>
        <x:v>76803.41528503362</x:v>
      </x:c>
      <x:c r="Q2157" s="10" t="n">
        <x:f>J2157*'Assumptions'!$S$131</x:f>
        <x:v>0</x:v>
      </x:c>
      <x:c r="R2157" s="10" t="n">
        <x:f>H2157*'Assumptions'!$Y$131*'Assumptions'!$Z$131*'Assumptions'!$D$11*(1+'Assumptions'!$D$13)^(17-1)</x:f>
        <x:v>5760.256146377521</x:v>
      </x:c>
      <x:c r="S2157" s="10" t="n">
        <x:f>IF(I2157=0,0,J2157*'Assumptions'!$W$131+H2157*'Assumptions'!$X$131)</x:f>
        <x:v>5479.1509854888145</x:v>
      </x:c>
      <x:c r="T2157" s="10" t="n">
        <x:f>N2157*'Assumptions'!$AA$131</x:f>
        <x:v>13009.268456353702</x:v>
      </x:c>
      <x:c r="U2157" s="10" t="n">
        <x:f>'Assumptions'!$AE$131*'Assumptions'!$D$11*(1+'Assumptions'!$D$13)^(17-1)</x:f>
        <x:v>0</x:v>
      </x:c>
      <x:c r="V2157" s="10" t="n">
        <x:f>0</x:f>
        <x:v>0</x:v>
      </x:c>
      <x:c r="W2157" s="10" t="n">
        <x:f>H2157*('Assumptions'!$P$131+'Assumptions'!$Y$131)</x:f>
        <x:v>239.30674612412855</x:v>
      </x:c>
      <x:c r="X2157" s="10" t="n">
        <x:f>N2157/12*'Assumptions'!$AF$131</x:f>
        <x:v>0</x:v>
      </x:c>
      <x:c r="Y2157" s="10" t="n">
        <x:f>P2157/12</x:f>
        <x:v>6400.284607086135</x:v>
      </x:c>
      <x:c r="Z2157" s="10" t="n">
        <x:f>0</x:f>
        <x:v>0</x:v>
      </x:c>
      <x:c r="AA2157" s="10" t="n">
        <x:f>Z2157*'Assumptions'!$AC$131*'Assumptions'!$D$11*(1+'Assumptions'!$D$13)^(17-1)</x:f>
        <x:v>0</x:v>
      </x:c>
      <x:c r="AB2157" s="10" t="n">
        <x:f>F2157/1</x:f>
        <x:v>565.3525142621746</x:v>
      </x:c>
      <x:c r="AC2157" s="10" t="n">
        <x:f>AB2157/'Assumptions'!$AM$131</x:f>
        <x:v>18845.083808739153</x:v>
      </x:c>
      <x:c r="AD2157" s="10" t="n">
        <x:f>IF(AB2157=0,0,T2157/AB2157)</x:f>
        <x:v>23.0108969681186</x:v>
      </x:c>
      <x:c r="AE2157" s="10" t="n">
        <x:f>AA2157*'Assumptions'!$D$21</x:f>
        <x:v>0</x:v>
      </x:c>
    </x:row>
    <x:row r="2158" ht="16" customHeight="1">
      <x:c r="A2158" s="1"/>
      <x:c r="B2158" s="1"/>
      <x:c r="C2158" s="1" t="str">
        <x:v>DOT-103</x:v>
      </x:c>
      <x:c r="D2158" s="10" t="str">
        <x:v>Sleepy Face</x:v>
      </x:c>
      <x:c r="E2158" s="10" t="n">
        <x:v>17</x:v>
      </x:c>
      <x:c r="F2158" s="21" t="n">
        <x:f>F2030*(1+'Assumptions'!$M$132)</x:f>
        <x:v>125.63389205826101</x:v>
      </x:c>
      <x:c r="G2158" s="21" t="n">
        <x:f>H2030*'Assumptions'!$K$132</x:f>
        <x:v>51.630364329982356</x:v>
      </x:c>
      <x:c r="H2158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2158+G2158,NA())</x:f>
        <x:v>177.26425638824338</x:v>
      </x:c>
      <x:c r="I2158" s="22" t="n">
        <x:f>'Assumptions'!$H$132*IF('Assumptions'!$O$132=1,1,'Assumptions'!$D$10)*(1+'Assumptions'!$N$132)^(17-1)</x:f>
        <x:v>308.87678364538783</x:v>
      </x:c>
      <x:c r="J2158" s="10" t="n">
        <x:f>H2158*I2158</x:f>
        <x:v>54752.81336849201</x:v>
      </x:c>
      <x:c r="K2158" s="10" t="n">
        <x:f>J2158*'Assumptions'!$T$132</x:f>
        <x:v>54752.81336849201</x:v>
      </x:c>
      <x:c r="L2158" s="10" t="n">
        <x:f>K2158*'Assumptions'!$U$132</x:f>
        <x:v>4380.225069479361</x:v>
      </x:c>
      <x:c r="M2158" s="10" t="n">
        <x:f>K2158*'Assumptions'!$V$132</x:f>
        <x:v>1095.0562673698403</x:v>
      </x:c>
      <x:c r="N2158" s="10" t="n">
        <x:f>K2158-L2158-M2158</x:f>
        <x:v>49277.53203164281</x:v>
      </x:c>
      <x:c r="O2158" s="10" t="n">
        <x:f>H2158*'Assumptions'!$P$132*'Assumptions'!$Q$132*'Assumptions'!$D$11*(1+'Assumptions'!$D$13)^(17-1)</x:f>
        <x:v>1493.3997416534314</x:v>
      </x:c>
      <x:c r="P2158" s="10" t="n">
        <x:f>H2158*'Assumptions'!$R$132*'Assumptions'!$D$11*(1+'Assumptions'!$D$13)^(17-1)</x:f>
        <x:v>25601.13842834454</x:v>
      </x:c>
      <x:c r="Q2158" s="10" t="n">
        <x:f>J2158*'Assumptions'!$S$132</x:f>
        <x:v>0</x:v>
      </x:c>
      <x:c r="R2158" s="10" t="n">
        <x:f>H2158*'Assumptions'!$Y$132*'Assumptions'!$Z$132*'Assumptions'!$D$11*(1+'Assumptions'!$D$13)^(17-1)</x:f>
        <x:v>1280.056921417227</x:v>
      </x:c>
      <x:c r="S2158" s="10" t="n">
        <x:f>IF(I2158=0,0,J2158*'Assumptions'!$W$132+H2158*'Assumptions'!$X$132)</x:f>
        <x:v>1641.0108646027415</x:v>
      </x:c>
      <x:c r="T2158" s="10" t="n">
        <x:f>N2158*'Assumptions'!$AA$132</x:f>
        <x:v>3942.202562531425</x:v>
      </x:c>
      <x:c r="U2158" s="10" t="n">
        <x:f>'Assumptions'!$AE$132*'Assumptions'!$D$11*(1+'Assumptions'!$D$13)^(17-1)</x:f>
        <x:v>0</x:v>
      </x:c>
      <x:c r="V2158" s="10" t="n">
        <x:f>0</x:f>
        <x:v>0</x:v>
      </x:c>
      <x:c r="W2158" s="10" t="n">
        <x:f>H2158*('Assumptions'!$P$132+'Assumptions'!$Y$132)</x:f>
        <x:v>53.179276916473015</x:v>
      </x:c>
      <x:c r="X2158" s="10" t="n">
        <x:f>N2158/12*'Assumptions'!$AF$132</x:f>
        <x:v>0</x:v>
      </x:c>
      <x:c r="Y2158" s="10" t="n">
        <x:f>P2158/12</x:f>
        <x:v>2133.428202362045</x:v>
      </x:c>
      <x:c r="Z2158" s="10" t="n">
        <x:f>0</x:f>
        <x:v>0</x:v>
      </x:c>
      <x:c r="AA2158" s="10" t="n">
        <x:f>Z2158*'Assumptions'!$AC$132*'Assumptions'!$D$11*(1+'Assumptions'!$D$13)^(17-1)</x:f>
        <x:v>0</x:v>
      </x:c>
      <x:c r="AB2158" s="10" t="n">
        <x:f>F2158/1</x:f>
        <x:v>125.63389205826101</x:v>
      </x:c>
      <x:c r="AC2158" s="10" t="n">
        <x:f>AB2158/'Assumptions'!$AM$132</x:f>
        <x:v>4187.796401942034</x:v>
      </x:c>
      <x:c r="AD2158" s="10" t="n">
        <x:f>IF(AB2158=0,0,T2158/AB2158)</x:f>
        <x:v>31.37849586561628</x:v>
      </x:c>
      <x:c r="AE2158" s="10" t="n">
        <x:f>AA2158*'Assumptions'!$D$21</x:f>
        <x:v>0</x:v>
      </x:c>
    </x:row>
    <x:row r="2159" ht="16" customHeight="1">
      <x:c r="A2159" s="1"/>
      <x:c r="B2159" s="1"/>
      <x:c r="C2159" s="1" t="str">
        <x:v>DOT-104</x:v>
      </x:c>
      <x:c r="D2159" s="10" t="str">
        <x:v>Sleepy Face</x:v>
      </x:c>
      <x:c r="E2159" s="10" t="n">
        <x:v>17</x:v>
      </x:c>
      <x:c r="F2159" s="21" t="n">
        <x:f>F2031*(1+'Assumptions'!$M$133)</x:f>
        <x:v>376.90167617478323</x:v>
      </x:c>
      <x:c r="G2159" s="21" t="n">
        <x:f>H2031*'Assumptions'!$K$133</x:f>
        <x:v>154.8910929899471</x:v>
      </x:c>
      <x:c r="H2159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2159+G2159,NA())</x:f>
        <x:v>531.7927691647303</x:v>
      </x:c>
      <x:c r="I2159" s="22" t="n">
        <x:f>'Assumptions'!$H$133*IF('Assumptions'!$O$133=1,1,'Assumptions'!$D$10)*(1+'Assumptions'!$N$133)^(17-1)</x:f>
        <x:v>130.4146419836082</x:v>
      </x:c>
      <x:c r="J2159" s="10" t="n">
        <x:f>H2159*I2159</x:f>
        <x:v>69353.5636000899</x:v>
      </x:c>
      <x:c r="K2159" s="10" t="n">
        <x:f>J2159*'Assumptions'!$T$133</x:f>
        <x:v>69353.5636000899</x:v>
      </x:c>
      <x:c r="L2159" s="10" t="n">
        <x:f>K2159*'Assumptions'!$U$133</x:f>
        <x:v>5548.285088007192</x:v>
      </x:c>
      <x:c r="M2159" s="10" t="n">
        <x:f>K2159*'Assumptions'!$V$133</x:f>
        <x:v>1387.071272001798</x:v>
      </x:c>
      <x:c r="N2159" s="10" t="n">
        <x:f>K2159-L2159-M2159</x:f>
        <x:v>62418.207240080905</x:v>
      </x:c>
      <x:c r="O2159" s="10" t="n">
        <x:f>H2159*'Assumptions'!$P$133*'Assumptions'!$Q$133*'Assumptions'!$D$11*(1+'Assumptions'!$D$13)^(17-1)</x:f>
        <x:v>4480.199224960295</x:v>
      </x:c>
      <x:c r="P2159" s="10" t="n">
        <x:f>H2159*'Assumptions'!$R$133*'Assumptions'!$D$11*(1+'Assumptions'!$D$13)^(17-1)</x:f>
        <x:v>29867.994833068635</x:v>
      </x:c>
      <x:c r="Q2159" s="10" t="n">
        <x:f>J2159*'Assumptions'!$S$133</x:f>
        <x:v>0</x:v>
      </x:c>
      <x:c r="R2159" s="10" t="n">
        <x:f>H2159*'Assumptions'!$Y$133*'Assumptions'!$Z$133*'Assumptions'!$D$11*(1+'Assumptions'!$D$13)^(17-1)</x:f>
        <x:v>3840.1707642516817</x:v>
      </x:c>
      <x:c r="S2159" s="10" t="n">
        <x:f>IF(I2159=0,0,J2159*'Assumptions'!$W$133+H2159*'Assumptions'!$X$133)</x:f>
        <x:v>2170.7911751520264</x:v>
      </x:c>
      <x:c r="T2159" s="10" t="n">
        <x:f>N2159*'Assumptions'!$AA$133</x:f>
        <x:v>4993.456579206472</x:v>
      </x:c>
      <x:c r="U2159" s="10" t="n">
        <x:f>'Assumptions'!$AE$133*'Assumptions'!$D$11*(1+'Assumptions'!$D$13)^(17-1)</x:f>
        <x:v>0</x:v>
      </x:c>
      <x:c r="V2159" s="10" t="n">
        <x:f>0</x:f>
        <x:v>0</x:v>
      </x:c>
      <x:c r="W2159" s="10" t="n">
        <x:f>H2159*('Assumptions'!$P$133+'Assumptions'!$Y$133)</x:f>
        <x:v>159.5378307494191</x:v>
      </x:c>
      <x:c r="X2159" s="10" t="n">
        <x:f>N2159/12*'Assumptions'!$AF$133</x:f>
        <x:v>0</x:v>
      </x:c>
      <x:c r="Y2159" s="10" t="n">
        <x:f>P2159/12</x:f>
        <x:v>2488.9995694223862</x:v>
      </x:c>
      <x:c r="Z2159" s="10" t="n">
        <x:f>0</x:f>
        <x:v>0</x:v>
      </x:c>
      <x:c r="AA2159" s="10" t="n">
        <x:f>Z2159*'Assumptions'!$AC$133*'Assumptions'!$D$11*(1+'Assumptions'!$D$13)^(17-1)</x:f>
        <x:v>0</x:v>
      </x:c>
      <x:c r="AB2159" s="10" t="n">
        <x:f>F2159/1</x:f>
        <x:v>376.90167617478323</x:v>
      </x:c>
      <x:c r="AC2159" s="10" t="n">
        <x:f>AB2159/'Assumptions'!$AM$133</x:f>
        <x:v>12563.389205826108</x:v>
      </x:c>
      <x:c r="AD2159" s="10" t="n">
        <x:f>IF(AB2159=0,0,T2159/AB2159)</x:f>
        <x:v>13.248698254371313</x:v>
      </x:c>
      <x:c r="AE2159" s="10" t="n">
        <x:f>AA2159*'Assumptions'!$D$21</x:f>
        <x:v>0</x:v>
      </x:c>
    </x:row>
    <x:row r="2160" ht="16" customHeight="1">
      <x:c r="A2160" s="1"/>
      <x:c r="B2160" s="1"/>
      <x:c r="C2160" s="1" t="str">
        <x:v>DOT-105</x:v>
      </x:c>
      <x:c r="D2160" s="10" t="str">
        <x:v>Sleepy Face</x:v>
      </x:c>
      <x:c r="E2160" s="10" t="n">
        <x:v>17</x:v>
      </x:c>
      <x:c r="F2160" s="21" t="n">
        <x:f>F2032*(1+'Assumptions'!$M$134)</x:f>
        <x:v>188.45083808739162</x:v>
      </x:c>
      <x:c r="G2160" s="21" t="n">
        <x:f>H2032*'Assumptions'!$K$134</x:f>
        <x:v>77.44554649497356</x:v>
      </x:c>
      <x:c r="H2160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2160+G2160,NA())</x:f>
        <x:v>265.89638458236516</x:v>
      </x:c>
      <x:c r="I2160" s="22" t="n">
        <x:f>'Assumptions'!$H$134*IF('Assumptions'!$O$134=1,1,'Assumptions'!$D$10)*(1+'Assumptions'!$N$134)^(17-1)</x:f>
        <x:v>240.23749839085718</x:v>
      </x:c>
      <x:c r="J2160" s="10" t="n">
        <x:f>H2160*I2160</x:f>
        <x:v>63878.28226324069</x:v>
      </x:c>
      <x:c r="K2160" s="10" t="n">
        <x:f>J2160*'Assumptions'!$T$134</x:f>
        <x:v>63878.28226324069</x:v>
      </x:c>
      <x:c r="L2160" s="10" t="n">
        <x:f>K2160*'Assumptions'!$U$134</x:f>
        <x:v>5110.262581059255</x:v>
      </x:c>
      <x:c r="M2160" s="10" t="n">
        <x:f>K2160*'Assumptions'!$V$134</x:f>
        <x:v>1277.5656452648138</x:v>
      </x:c>
      <x:c r="N2160" s="10" t="n">
        <x:f>K2160-L2160-M2160</x:f>
        <x:v>57490.45403691662</x:v>
      </x:c>
      <x:c r="O2160" s="10" t="n">
        <x:f>H2160*'Assumptions'!$P$134*'Assumptions'!$Q$134*'Assumptions'!$D$11*(1+'Assumptions'!$D$13)^(17-1)</x:f>
        <x:v>2240.0996124801477</x:v>
      </x:c>
      <x:c r="P2160" s="10" t="n">
        <x:f>H2160*'Assumptions'!$R$134*'Assumptions'!$D$11*(1+'Assumptions'!$D$13)^(17-1)</x:f>
        <x:v>27734.56663070659</x:v>
      </x:c>
      <x:c r="Q2160" s="10" t="n">
        <x:f>J2160*'Assumptions'!$S$134</x:f>
        <x:v>0</x:v>
      </x:c>
      <x:c r="R2160" s="10" t="n">
        <x:f>H2160*'Assumptions'!$Y$134*'Assumptions'!$Z$134*'Assumptions'!$D$11*(1+'Assumptions'!$D$13)^(17-1)</x:f>
        <x:v>1920.0853821258409</x:v>
      </x:c>
      <x:c r="S2160" s="10" t="n">
        <x:f>IF(I2160=0,0,J2160*'Assumptions'!$W$134+H2160*'Assumptions'!$X$134)</x:f>
        <x:v>1932.2391010086897</x:v>
      </x:c>
      <x:c r="T2160" s="10" t="n">
        <x:f>N2160*'Assumptions'!$AA$134</x:f>
        <x:v>4599.236322953329</x:v>
      </x:c>
      <x:c r="U2160" s="10" t="n">
        <x:f>'Assumptions'!$AE$134*'Assumptions'!$D$11*(1+'Assumptions'!$D$13)^(17-1)</x:f>
        <x:v>0</x:v>
      </x:c>
      <x:c r="V2160" s="10" t="n">
        <x:f>0</x:f>
        <x:v>0</x:v>
      </x:c>
      <x:c r="W2160" s="10" t="n">
        <x:f>H2160*('Assumptions'!$P$134+'Assumptions'!$Y$134)</x:f>
        <x:v>79.76891537470955</x:v>
      </x:c>
      <x:c r="X2160" s="10" t="n">
        <x:f>N2160/12*'Assumptions'!$AF$134</x:f>
        <x:v>0</x:v>
      </x:c>
      <x:c r="Y2160" s="10" t="n">
        <x:f>P2160/12</x:f>
        <x:v>2311.213885892216</x:v>
      </x:c>
      <x:c r="Z2160" s="10" t="n">
        <x:f>0</x:f>
        <x:v>0</x:v>
      </x:c>
      <x:c r="AA2160" s="10" t="n">
        <x:f>Z2160*'Assumptions'!$AC$134*'Assumptions'!$D$11*(1+'Assumptions'!$D$13)^(17-1)</x:f>
        <x:v>0</x:v>
      </x:c>
      <x:c r="AB2160" s="10" t="n">
        <x:f>F2160/1</x:f>
        <x:v>188.45083808739162</x:v>
      </x:c>
      <x:c r="AC2160" s="10" t="n">
        <x:f>AB2160/'Assumptions'!$AM$134</x:f>
        <x:v>6281.694602913054</x:v>
      </x:c>
      <x:c r="AD2160" s="10" t="n">
        <x:f>IF(AB2160=0,0,T2160/AB2160)</x:f>
        <x:v>24.405496784368204</x:v>
      </x:c>
      <x:c r="AE2160" s="10" t="n">
        <x:f>AA2160*'Assumptions'!$D$21</x:f>
        <x:v>0</x:v>
      </x:c>
    </x:row>
    <x:row r="2161" ht="16" customHeight="1">
      <x:c r="A2161" s="1"/>
      <x:c r="B2161" s="1"/>
      <x:c r="C2161" s="1" t="str">
        <x:v>DOT-106</x:v>
      </x:c>
      <x:c r="D2161" s="10" t="str">
        <x:v>QzoticMusic</x:v>
      </x:c>
      <x:c r="E2161" s="10" t="n">
        <x:v>17</x:v>
      </x:c>
      <x:c r="F2161" s="21" t="n">
        <x:f>F2033*(1+'Assumptions'!$M$135)</x:f>
        <x:v>1122.1491159447796</x:v>
      </x:c>
      <x:c r="G2161" s="21" t="n">
        <x:f>H2033*'Assumptions'!$K$135</x:f>
        <x:v>359.6631761186145</x:v>
      </x:c>
      <x:c r="H2161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2161+G2161,NA())</x:f>
        <x:v>1481.8122920633941</x:v>
      </x:c>
      <x:c r="I2161" s="22" t="n">
        <x:f>'Assumptions'!$H$135*IF('Assumptions'!$O$135=1,1,'Assumptions'!$D$10)*(1+'Assumptions'!$N$135)^(17-1)</x:f>
        <x:v>6.863928525453062</x:v>
      </x:c>
      <x:c r="J2161" s="10" t="n">
        <x:f>H2161*I2161</x:f>
        <x:v>10171.053660860915</x:v>
      </x:c>
      <x:c r="K2161" s="10" t="n">
        <x:f>J2161*'Assumptions'!$T$135</x:f>
        <x:v>10171.053660860915</x:v>
      </x:c>
      <x:c r="L2161" s="10" t="n">
        <x:f>K2161*'Assumptions'!$U$135</x:f>
        <x:v>305.1316098258274</x:v>
      </x:c>
      <x:c r="M2161" s="10" t="n">
        <x:f>K2161*'Assumptions'!$V$135</x:f>
        <x:v>0</x:v>
      </x:c>
      <x:c r="N2161" s="10" t="n">
        <x:f>K2161-L2161-M2161</x:f>
        <x:v>9865.922051035088</x:v>
      </x:c>
      <x:c r="O2161" s="10" t="n">
        <x:f>H2161*'Assumptions'!$P$135*'Assumptions'!$Q$135*'Assumptions'!$D$11*(1+'Assumptions'!$D$13)^(17-1)</x:f>
        <x:v>1664.5116086269038</x:v>
      </x:c>
      <x:c r="P2161" s="10" t="n">
        <x:f>H2161*'Assumptions'!$R$135*'Assumptions'!$D$11*(1+'Assumptions'!$D$13)^(17-1)</x:f>
        <x:v>0</x:v>
      </x:c>
      <x:c r="Q2161" s="10" t="n">
        <x:f>J2161*'Assumptions'!$S$135</x:f>
        <x:v>0</x:v>
      </x:c>
      <x:c r="R2161" s="10" t="n">
        <x:f>H2161*'Assumptions'!$Y$135*'Assumptions'!$Z$135*'Assumptions'!$D$11*(1+'Assumptions'!$D$13)^(17-1)</x:f>
        <x:v>7133.621179829588</x:v>
      </x:c>
      <x:c r="S2161" s="10" t="n">
        <x:f>IF(I2161=0,0,J2161*'Assumptions'!$W$135+H2161*'Assumptions'!$X$135)</x:f>
        <x:v>739.5042437839847</x:v>
      </x:c>
      <x:c r="T2161" s="10" t="n">
        <x:f>N2161*'Assumptions'!$AA$135</x:f>
        <x:v>493.2961025517544</x:v>
      </x:c>
      <x:c r="U2161" s="10" t="n">
        <x:f>'Assumptions'!$AE$135*'Assumptions'!$D$11*(1+'Assumptions'!$D$13)^(17-1)</x:f>
        <x:v>0</x:v>
      </x:c>
      <x:c r="V2161" s="10" t="n">
        <x:f>0</x:f>
        <x:v>0</x:v>
      </x:c>
      <x:c r="W2161" s="10" t="n">
        <x:f>H2161*('Assumptions'!$P$135+'Assumptions'!$Y$135)</x:f>
        <x:v>177.8174750476073</x:v>
      </x:c>
      <x:c r="X2161" s="10" t="n">
        <x:f>N2161/12*'Assumptions'!$AF$135</x:f>
        <x:v>0</x:v>
      </x:c>
      <x:c r="Y2161" s="10" t="n">
        <x:f>P2161/12</x:f>
        <x:v>0</x:v>
      </x:c>
      <x:c r="Z2161" s="10" t="n">
        <x:f>0</x:f>
        <x:v>0</x:v>
      </x:c>
      <x:c r="AA2161" s="10" t="n">
        <x:f>Z2161*'Assumptions'!$AC$135*'Assumptions'!$D$11*(1+'Assumptions'!$D$13)^(17-1)</x:f>
        <x:v>0</x:v>
      </x:c>
      <x:c r="AB2161" s="10" t="n">
        <x:f>F2161/12</x:f>
        <x:v>93.51242632873164</x:v>
      </x:c>
      <x:c r="AC2161" s="10" t="n">
        <x:f>AB2161/'Assumptions'!$AM$135</x:f>
        <x:v>1870.2485265746327</x:v>
      </x:c>
      <x:c r="AD2161" s="10" t="n">
        <x:f>IF(AB2161=0,0,T2161/AB2161)</x:f>
        <x:v>5.275193061696759</x:v>
      </x:c>
      <x:c r="AE2161" s="10" t="n">
        <x:f>AA2161*'Assumptions'!$D$21</x:f>
        <x:v>0</x:v>
      </x:c>
    </x:row>
    <x:row r="2162" ht="16" customHeight="1">
      <x:c r="A2162" s="1"/>
      <x:c r="B2162" s="1"/>
      <x:c r="C2162" s="1" t="str">
        <x:v>DOT-107</x:v>
      </x:c>
      <x:c r="D2162" s="10" t="str">
        <x:v>QzoticMusic</x:v>
      </x:c>
      <x:c r="E2162" s="10" t="n">
        <x:v>17</x:v>
      </x:c>
      <x:c r="F2162" s="21" t="n">
        <x:f>F2034*(1+'Assumptions'!$M$136)</x:f>
        <x:v>325.6432162513127</x:v>
      </x:c>
      <x:c r="G2162" s="21" t="n">
        <x:f>H2034*'Assumptions'!$K$136</x:f>
        <x:v>167.61043635842324</x:v>
      </x:c>
      <x:c r="H2162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2162+G2162,NA())</x:f>
        <x:v>493.2536526097359</x:v>
      </x:c>
      <x:c r="I2162" s="22" t="n">
        <x:f>'Assumptions'!$H$136*IF('Assumptions'!$O$136=1,1,'Assumptions'!$D$10)*(1+'Assumptions'!$N$136)^(17-1)</x:f>
        <x:v>34.31964262726531</x:v>
      </x:c>
      <x:c r="J2162" s="10" t="n">
        <x:f>H2162*I2162</x:f>
        <x:v>16928.28908215941</x:v>
      </x:c>
      <x:c r="K2162" s="10" t="n">
        <x:f>J2162*'Assumptions'!$T$136</x:f>
        <x:v>16928.28908215941</x:v>
      </x:c>
      <x:c r="L2162" s="10" t="n">
        <x:f>K2162*'Assumptions'!$U$136</x:f>
        <x:v>507.8486724647822</x:v>
      </x:c>
      <x:c r="M2162" s="10" t="n">
        <x:f>K2162*'Assumptions'!$V$136</x:f>
        <x:v>0</x:v>
      </x:c>
      <x:c r="N2162" s="10" t="n">
        <x:f>K2162-L2162-M2162</x:f>
        <x:v>16420.440409694627</x:v>
      </x:c>
      <x:c r="O2162" s="10" t="n">
        <x:f>H2162*'Assumptions'!$P$136*'Assumptions'!$Q$136*'Assumptions'!$D$11*(1+'Assumptions'!$D$13)^(17-1)</x:f>
        <x:v>4155.51839037216</x:v>
      </x:c>
      <x:c r="P2162" s="10" t="n">
        <x:f>H2162*'Assumptions'!$R$136*'Assumptions'!$D$11*(1+'Assumptions'!$D$13)^(17-1)</x:f>
        <x:v>7915.2731245184</x:v>
      </x:c>
      <x:c r="Q2162" s="10" t="n">
        <x:f>J2162*'Assumptions'!$S$136</x:f>
        <x:v>0</x:v>
      </x:c>
      <x:c r="R2162" s="10" t="n">
        <x:f>H2162*'Assumptions'!$Y$136*'Assumptions'!$Z$136*'Assumptions'!$D$11*(1+'Assumptions'!$D$13)^(17-1)</x:f>
        <x:v>11872.9096867776</x:v>
      </x:c>
      <x:c r="S2162" s="10" t="n">
        <x:f>IF(I2162=0,0,J2162*'Assumptions'!$W$136+H2162*'Assumptions'!$X$136)</x:f>
        <x:v>638.8964791655436</x:v>
      </x:c>
      <x:c r="T2162" s="10" t="n">
        <x:f>N2162*'Assumptions'!$AA$136</x:f>
        <x:v>1313.63523277557</x:v>
      </x:c>
      <x:c r="U2162" s="10" t="n">
        <x:f>'Assumptions'!$AE$136*'Assumptions'!$D$11*(1+'Assumptions'!$D$13)^(17-1)</x:f>
        <x:v>0</x:v>
      </x:c>
      <x:c r="V2162" s="10" t="n">
        <x:f>0</x:f>
        <x:v>0</x:v>
      </x:c>
      <x:c r="W2162" s="10" t="n">
        <x:f>H2162*('Assumptions'!$P$136+'Assumptions'!$Y$136)</x:f>
        <x:v>320.61487419632834</x:v>
      </x:c>
      <x:c r="X2162" s="10" t="n">
        <x:f>N2162/12*'Assumptions'!$AF$136</x:f>
        <x:v>1368.3700341412189</x:v>
      </x:c>
      <x:c r="Y2162" s="10" t="n">
        <x:f>P2162/12</x:f>
        <x:v>659.6060937098667</x:v>
      </x:c>
      <x:c r="Z2162" s="10" t="n">
        <x:f>0</x:f>
        <x:v>0</x:v>
      </x:c>
      <x:c r="AA2162" s="10" t="n">
        <x:f>Z2162*'Assumptions'!$AC$136*'Assumptions'!$D$11*(1+'Assumptions'!$D$13)^(17-1)</x:f>
        <x:v>0</x:v>
      </x:c>
      <x:c r="AB2162" s="10" t="n">
        <x:f>F2162/1</x:f>
        <x:v>325.6432162513127</x:v>
      </x:c>
      <x:c r="AC2162" s="10" t="n">
        <x:f>AB2162/'Assumptions'!$AM$136</x:f>
        <x:v>3256.432162513127</x:v>
      </x:c>
      <x:c r="AD2162" s="10" t="n">
        <x:f>IF(AB2162=0,0,T2162/AB2162)</x:f>
        <x:v>4.033970822109133</x:v>
      </x:c>
      <x:c r="AE2162" s="10" t="n">
        <x:f>AA2162*'Assumptions'!$D$21</x:f>
        <x:v>0</x:v>
      </x:c>
    </x:row>
    <x:row r="2163" ht="16" customHeight="1">
      <x:c r="A2163" s="1"/>
      <x:c r="B2163" s="1"/>
      <x:c r="C2163" s="1" t="str">
        <x:v>DOT-108</x:v>
      </x:c>
      <x:c r="D2163" s="10" t="str">
        <x:v>QzoticMusic</x:v>
      </x:c>
      <x:c r="E2163" s="10" t="n">
        <x:v>17</x:v>
      </x:c>
      <x:c r="F2163" s="21" t="n">
        <x:f>F2035*(1+'Assumptions'!$M$137)</x:f>
        <x:v>16.28216081256564</x:v>
      </x:c>
      <x:c r="G2163" s="21" t="n">
        <x:f>H2035*'Assumptions'!$K$137</x:f>
        <x:v>8.380521817921164</x:v>
      </x:c>
      <x:c r="H2163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2163+G2163,NA())</x:f>
        <x:v>24.662682630486803</x:v>
      </x:c>
      <x:c r="I2163" s="22" t="n">
        <x:f>'Assumptions'!$H$137*IF('Assumptions'!$O$137=1,1,'Assumptions'!$D$10)*(1+'Assumptions'!$N$137)^(17-1)</x:f>
        <x:v>343.1964262726531</x:v>
      </x:c>
      <x:c r="J2163" s="10" t="n">
        <x:f>H2163*I2163</x:f>
        <x:v>8464.144541079706</x:v>
      </x:c>
      <x:c r="K2163" s="10" t="n">
        <x:f>J2163*'Assumptions'!$T$137</x:f>
        <x:v>8464.144541079706</x:v>
      </x:c>
      <x:c r="L2163" s="10" t="n">
        <x:f>K2163*'Assumptions'!$U$137</x:f>
        <x:v>253.92433623239117</x:v>
      </x:c>
      <x:c r="M2163" s="10" t="n">
        <x:f>K2163*'Assumptions'!$V$137</x:f>
        <x:v>0</x:v>
      </x:c>
      <x:c r="N2163" s="10" t="n">
        <x:f>K2163-L2163-M2163</x:f>
        <x:v>8210.220204847315</x:v>
      </x:c>
      <x:c r="O2163" s="10" t="n">
        <x:f>H2163*'Assumptions'!$P$137*'Assumptions'!$Q$137*'Assumptions'!$D$11*(1+'Assumptions'!$D$13)^(17-1)</x:f>
        <x:v>3166.109249807361</x:v>
      </x:c>
      <x:c r="P2163" s="10" t="n">
        <x:f>H2163*'Assumptions'!$R$137*'Assumptions'!$D$11*(1+'Assumptions'!$D$13)^(17-1)</x:f>
        <x:v>0</x:v>
      </x:c>
      <x:c r="Q2163" s="10" t="n">
        <x:f>J2163*'Assumptions'!$S$137</x:f>
        <x:v>0</x:v>
      </x:c>
      <x:c r="R2163" s="10" t="n">
        <x:f>H2163*'Assumptions'!$Y$137*'Assumptions'!$Z$137*'Assumptions'!$D$11*(1+'Assumptions'!$D$13)^(17-1)</x:f>
        <x:v>593.6454843388801</x:v>
      </x:c>
      <x:c r="S2163" s="10" t="n">
        <x:f>IF(I2163=0,0,J2163*'Assumptions'!$W$137+H2163*'Assumptions'!$X$137)</x:f>
        <x:v>252.8589964804575</x:v>
      </x:c>
      <x:c r="T2163" s="10" t="n">
        <x:f>N2163*'Assumptions'!$AA$137</x:f>
        <x:v>656.8176163877853</x:v>
      </x:c>
      <x:c r="U2163" s="10" t="n">
        <x:f>'Assumptions'!$AE$137*'Assumptions'!$D$11*(1+'Assumptions'!$D$13)^(17-1)</x:f>
        <x:v>0</x:v>
      </x:c>
      <x:c r="V2163" s="10" t="n">
        <x:f>0</x:f>
        <x:v>0</x:v>
      </x:c>
      <x:c r="W2163" s="10" t="n">
        <x:f>H2163*('Assumptions'!$P$137+'Assumptions'!$Y$137)</x:f>
        <x:v>61.656706576217005</x:v>
      </x:c>
      <x:c r="X2163" s="10" t="n">
        <x:f>N2163/12*'Assumptions'!$AF$137</x:f>
        <x:v>684.1850170706097</x:v>
      </x:c>
      <x:c r="Y2163" s="10" t="n">
        <x:f>P2163/12</x:f>
        <x:v>0</x:v>
      </x:c>
      <x:c r="Z2163" s="10" t="n">
        <x:f>0</x:f>
        <x:v>0</x:v>
      </x:c>
      <x:c r="AA2163" s="10" t="n">
        <x:f>Z2163*'Assumptions'!$AC$137*'Assumptions'!$D$11*(1+'Assumptions'!$D$13)^(17-1)</x:f>
        <x:v>0</x:v>
      </x:c>
      <x:c r="AB2163" s="10" t="n">
        <x:f>F2163/1</x:f>
        <x:v>16.28216081256564</x:v>
      </x:c>
      <x:c r="AC2163" s="10" t="n">
        <x:f>AB2163/'Assumptions'!$AM$137</x:f>
        <x:v>162.82160812565638</x:v>
      </x:c>
      <x:c r="AD2163" s="10" t="n">
        <x:f>IF(AB2163=0,0,T2163/AB2163)</x:f>
        <x:v>40.339708221091335</x:v>
      </x:c>
      <x:c r="AE2163" s="10" t="n">
        <x:f>AA2163*'Assumptions'!$D$21</x:f>
        <x:v>0</x:v>
      </x:c>
    </x:row>
    <x:row r="2164" ht="16" customHeight="1">
      <x:c r="A2164" s="1"/>
      <x:c r="B2164" s="1"/>
      <x:c r="C2164" s="1" t="str">
        <x:v>DOT-109</x:v>
      </x:c>
      <x:c r="D2164" s="10" t="str">
        <x:v>LesPetitFilms</x:v>
      </x:c>
      <x:c r="E2164" s="10" t="n">
        <x:v>17</x:v>
      </x:c>
      <x:c r="F2164" s="21" t="n">
        <x:f>F2036*(1+'Assumptions'!$M$138)</x:f>
        <x:v>10.854773875043758</x:v>
      </x:c>
      <x:c r="G2164" s="21" t="n">
        <x:f>H2036*'Assumptions'!$K$138</x:f>
        <x:v>5.587014545280775</x:v>
      </x:c>
      <x:c r="H2164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2164+G2164,NA())</x:f>
        <x:v>16.441788420324535</x:v>
      </x:c>
      <x:c r="I2164" s="22" t="n">
        <x:f>'Assumptions'!$H$138*IF('Assumptions'!$O$138=1,1,'Assumptions'!$D$10)*(1+'Assumptions'!$N$138)^(17-1)</x:f>
        <x:v>4804.749967817143</x:v>
      </x:c>
      <x:c r="J2164" s="10" t="n">
        <x:f>H2164*I2164</x:f>
        <x:v>78998.68238341059</x:v>
      </x:c>
      <x:c r="K2164" s="10" t="n">
        <x:f>J2164*'Assumptions'!$T$138</x:f>
        <x:v>78998.68238341059</x:v>
      </x:c>
      <x:c r="L2164" s="10" t="n">
        <x:f>K2164*'Assumptions'!$U$138</x:f>
        <x:v>2369.9604715023174</x:v>
      </x:c>
      <x:c r="M2164" s="10" t="n">
        <x:f>K2164*'Assumptions'!$V$138</x:f>
        <x:v>0</x:v>
      </x:c>
      <x:c r="N2164" s="10" t="n">
        <x:f>K2164-L2164-M2164</x:f>
        <x:v>76628.72191190827</x:v>
      </x:c>
      <x:c r="O2164" s="10" t="n">
        <x:f>H2164*'Assumptions'!$P$138*'Assumptions'!$Q$138*'Assumptions'!$D$11*(1+'Assumptions'!$D$13)^(17-1)</x:f>
        <x:v>29682.274216944006</x:v>
      </x:c>
      <x:c r="P2164" s="10" t="n">
        <x:f>H2164*'Assumptions'!$R$138*'Assumptions'!$D$11*(1+'Assumptions'!$D$13)^(17-1)</x:f>
        <x:v>9234.485311938135</x:v>
      </x:c>
      <x:c r="Q2164" s="10" t="n">
        <x:f>J2164*'Assumptions'!$S$138</x:f>
        <x:v>0</x:v>
      </x:c>
      <x:c r="R2164" s="10" t="n">
        <x:f>H2164*'Assumptions'!$Y$138*'Assumptions'!$Z$138*'Assumptions'!$D$11*(1+'Assumptions'!$D$13)^(17-1)</x:f>
        <x:v>395.7636562259201</x:v>
      </x:c>
      <x:c r="S2164" s="10" t="n">
        <x:f>IF(I2164=0,0,J2164*'Assumptions'!$W$138+H2164*'Assumptions'!$X$138)</x:f>
        <x:v>2295.8943256450048</x:v>
      </x:c>
      <x:c r="T2164" s="10" t="n">
        <x:f>N2164*'Assumptions'!$AA$138</x:f>
        <x:v>6130.2977529526615</x:v>
      </x:c>
      <x:c r="U2164" s="10" t="n">
        <x:f>'Assumptions'!$AE$138*'Assumptions'!$D$11*(1+'Assumptions'!$D$13)^(17-1)</x:f>
        <x:v>0</x:v>
      </x:c>
      <x:c r="V2164" s="10" t="n">
        <x:f>0</x:f>
        <x:v>0</x:v>
      </x:c>
      <x:c r="W2164" s="10" t="n">
        <x:f>H2164*('Assumptions'!$P$138+'Assumptions'!$Y$138)</x:f>
        <x:v>419.26560471827565</x:v>
      </x:c>
      <x:c r="X2164" s="10" t="n">
        <x:f>N2164/12*'Assumptions'!$AF$138</x:f>
        <x:v>6385.726825992356</x:v>
      </x:c>
      <x:c r="Y2164" s="10" t="n">
        <x:f>P2164/12</x:f>
        <x:v>769.5404426615113</x:v>
      </x:c>
      <x:c r="Z2164" s="10" t="n">
        <x:f>0</x:f>
        <x:v>0</x:v>
      </x:c>
      <x:c r="AA2164" s="10" t="n">
        <x:f>Z2164*'Assumptions'!$AC$138*'Assumptions'!$D$11*(1+'Assumptions'!$D$13)^(17-1)</x:f>
        <x:v>0</x:v>
      </x:c>
      <x:c r="AB2164" s="10" t="n">
        <x:f>F2164/1</x:f>
        <x:v>10.854773875043758</x:v>
      </x:c>
      <x:c r="AC2164" s="10" t="n">
        <x:f>AB2164/'Assumptions'!$AM$138</x:f>
        <x:v>108.54773875043757</x:v>
      </x:c>
      <x:c r="AD2164" s="10" t="n">
        <x:f>IF(AB2164=0,0,T2164/AB2164)</x:f>
        <x:v>564.7559150952786</x:v>
      </x:c>
      <x:c r="AE2164" s="10" t="n">
        <x:f>AA2164*'Assumptions'!$D$21</x:f>
        <x:v>0</x:v>
      </x:c>
    </x:row>
    <x:row r="2165" ht="16" customHeight="1">
      <x:c r="A2165" s="1"/>
      <x:c r="B2165" s="1"/>
      <x:c r="C2165" s="1" t="str">
        <x:v>DOT-110</x:v>
      </x:c>
      <x:c r="D2165" s="10" t="str">
        <x:v>LesPetitFilms</x:v>
      </x:c>
      <x:c r="E2165" s="10" t="n">
        <x:v>17</x:v>
      </x:c>
      <x:c r="F2165" s="21" t="n">
        <x:f>F2037*(1+'Assumptions'!$M$139)</x:f>
        <x:v>10.854773875043758</x:v>
      </x:c>
      <x:c r="G2165" s="21" t="n">
        <x:f>H2037*'Assumptions'!$K$139</x:f>
        <x:v>5.587014545280775</x:v>
      </x:c>
      <x:c r="H2165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2165+G2165,NA())</x:f>
        <x:v>16.441788420324535</x:v>
      </x:c>
      <x:c r="I2165" s="22" t="n">
        <x:f>'Assumptions'!$H$139*IF('Assumptions'!$O$139=1,1,'Assumptions'!$D$10)*(1+'Assumptions'!$N$139)^(17-1)</x:f>
        <x:v>2059.178557635919</x:v>
      </x:c>
      <x:c r="J2165" s="10" t="n">
        <x:f>H2165*I2165</x:f>
        <x:v>33856.57816431883</x:v>
      </x:c>
      <x:c r="K2165" s="10" t="n">
        <x:f>J2165*'Assumptions'!$T$139</x:f>
        <x:v>33856.57816431883</x:v>
      </x:c>
      <x:c r="L2165" s="10" t="n">
        <x:f>K2165*'Assumptions'!$U$139</x:f>
        <x:v>1015.6973449295649</x:v>
      </x:c>
      <x:c r="M2165" s="10" t="n">
        <x:f>K2165*'Assumptions'!$V$139</x:f>
        <x:v>0</x:v>
      </x:c>
      <x:c r="N2165" s="10" t="n">
        <x:f>K2165-L2165-M2165</x:f>
        <x:v>32840.88081938927</x:v>
      </x:c>
      <x:c r="O2165" s="10" t="n">
        <x:f>H2165*'Assumptions'!$P$139*'Assumptions'!$Q$139*'Assumptions'!$D$11*(1+'Assumptions'!$D$13)^(17-1)</x:f>
        <x:v>11872.909686777604</x:v>
      </x:c>
      <x:c r="P2165" s="10" t="n">
        <x:f>H2165*'Assumptions'!$R$139*'Assumptions'!$D$11*(1+'Assumptions'!$D$13)^(17-1)</x:f>
        <x:v>5276.848749678935</x:v>
      </x:c>
      <x:c r="Q2165" s="10" t="n">
        <x:f>J2165*'Assumptions'!$S$139</x:f>
        <x:v>0</x:v>
      </x:c>
      <x:c r="R2165" s="10" t="n">
        <x:f>H2165*'Assumptions'!$Y$139*'Assumptions'!$Z$139*'Assumptions'!$D$11*(1+'Assumptions'!$D$13)^(17-1)</x:f>
        <x:v>395.7636562259201</x:v>
      </x:c>
      <x:c r="S2165" s="10" t="n">
        <x:f>IF(I2165=0,0,J2165*'Assumptions'!$W$139+H2165*'Assumptions'!$X$139)</x:f>
        <x:v>986.7733032913435</x:v>
      </x:c>
      <x:c r="T2165" s="10" t="n">
        <x:f>N2165*'Assumptions'!$AA$139</x:f>
        <x:v>2627.2704655511416</x:v>
      </x:c>
      <x:c r="U2165" s="10" t="n">
        <x:f>'Assumptions'!$AE$139*'Assumptions'!$D$11*(1+'Assumptions'!$D$13)^(17-1)</x:f>
        <x:v>0</x:v>
      </x:c>
      <x:c r="V2165" s="10" t="n">
        <x:f>0</x:f>
        <x:v>0</x:v>
      </x:c>
      <x:c r="W2165" s="10" t="n">
        <x:f>H2165*('Assumptions'!$P$139+'Assumptions'!$Y$139)</x:f>
        <x:v>172.6387784134076</x:v>
      </x:c>
      <x:c r="X2165" s="10" t="n">
        <x:f>N2165/12*'Assumptions'!$AF$139</x:f>
        <x:v>2736.740068282439</x:v>
      </x:c>
      <x:c r="Y2165" s="10" t="n">
        <x:f>P2165/12</x:f>
        <x:v>439.7373958065779</x:v>
      </x:c>
      <x:c r="Z2165" s="10" t="n">
        <x:f>0</x:f>
        <x:v>0</x:v>
      </x:c>
      <x:c r="AA2165" s="10" t="n">
        <x:f>Z2165*'Assumptions'!$AC$139*'Assumptions'!$D$11*(1+'Assumptions'!$D$13)^(17-1)</x:f>
        <x:v>0</x:v>
      </x:c>
      <x:c r="AB2165" s="10" t="n">
        <x:f>F2165/1</x:f>
        <x:v>10.854773875043758</x:v>
      </x:c>
      <x:c r="AC2165" s="10" t="n">
        <x:f>AB2165/'Assumptions'!$AM$139</x:f>
        <x:v>108.54773875043757</x:v>
      </x:c>
      <x:c r="AD2165" s="10" t="n">
        <x:f>IF(AB2165=0,0,T2165/AB2165)</x:f>
        <x:v>242.03824932654808</x:v>
      </x:c>
      <x:c r="AE2165" s="10" t="n">
        <x:f>AA2165*'Assumptions'!$D$21</x:f>
        <x:v>0</x:v>
      </x:c>
    </x:row>
    <x:row r="2166" ht="16" customHeight="1">
      <x:c r="A2166" s="1"/>
      <x:c r="B2166" s="1"/>
      <x:c r="C2166" s="1" t="str">
        <x:v>DOT-111</x:v>
      </x:c>
      <x:c r="D2166" s="10" t="str">
        <x:v>LesPetitFilms</x:v>
      </x:c>
      <x:c r="E2166" s="10" t="n">
        <x:v>17</x:v>
      </x:c>
      <x:c r="F2166" s="21" t="n">
        <x:f>F2038*(1+'Assumptions'!$M$140)</x:f>
        <x:v>16.28216081256564</x:v>
      </x:c>
      <x:c r="G2166" s="21" t="n">
        <x:f>H2038*'Assumptions'!$K$140</x:f>
        <x:v>8.380521817921164</x:v>
      </x:c>
      <x:c r="H2166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2166+G2166,NA())</x:f>
        <x:v>24.662682630486803</x:v>
      </x:c>
      <x:c r="I2166" s="22" t="n">
        <x:f>'Assumptions'!$H$140*IF('Assumptions'!$O$140=1,1,'Assumptions'!$D$10)*(1+'Assumptions'!$N$140)^(17-1)</x:f>
        <x:v>686.3928525453063</x:v>
      </x:c>
      <x:c r="J2166" s="10" t="n">
        <x:f>H2166*I2166</x:f>
        <x:v>16928.289082159412</x:v>
      </x:c>
      <x:c r="K2166" s="10" t="n">
        <x:f>J2166*'Assumptions'!$T$140</x:f>
        <x:v>16928.289082159412</x:v>
      </x:c>
      <x:c r="L2166" s="10" t="n">
        <x:f>K2166*'Assumptions'!$U$140</x:f>
        <x:v>507.84867246478234</x:v>
      </x:c>
      <x:c r="M2166" s="10" t="n">
        <x:f>K2166*'Assumptions'!$V$140</x:f>
        <x:v>0</x:v>
      </x:c>
      <x:c r="N2166" s="10" t="n">
        <x:f>K2166-L2166-M2166</x:f>
        <x:v>16420.44040969463</x:v>
      </x:c>
      <x:c r="O2166" s="10" t="n">
        <x:f>H2166*'Assumptions'!$P$140*'Assumptions'!$Q$140*'Assumptions'!$D$11*(1+'Assumptions'!$D$13)^(17-1)</x:f>
        <x:v>4749.163874711041</x:v>
      </x:c>
      <x:c r="P2166" s="10" t="n">
        <x:f>H2166*'Assumptions'!$R$140*'Assumptions'!$D$11*(1+'Assumptions'!$D$13)^(17-1)</x:f>
        <x:v>1978.8182811296006</x:v>
      </x:c>
      <x:c r="Q2166" s="10" t="n">
        <x:f>J2166*'Assumptions'!$S$140</x:f>
        <x:v>0</x:v>
      </x:c>
      <x:c r="R2166" s="10" t="n">
        <x:f>H2166*'Assumptions'!$Y$140*'Assumptions'!$Z$140*'Assumptions'!$D$11*(1+'Assumptions'!$D$13)^(17-1)</x:f>
        <x:v>593.6454843388801</x:v>
      </x:c>
      <x:c r="S2166" s="10" t="n">
        <x:f>IF(I2166=0,0,J2166*'Assumptions'!$W$140+H2166*'Assumptions'!$X$140)</x:f>
        <x:v>498.319188171769</x:v>
      </x:c>
      <x:c r="T2166" s="10" t="n">
        <x:f>N2166*'Assumptions'!$AA$140</x:f>
        <x:v>1313.6352327755706</x:v>
      </x:c>
      <x:c r="U2166" s="10" t="n">
        <x:f>'Assumptions'!$AE$140*'Assumptions'!$D$11*(1+'Assumptions'!$D$13)^(17-1)</x:f>
        <x:v>0</x:v>
      </x:c>
      <x:c r="V2166" s="10" t="n">
        <x:f>0</x:f>
        <x:v>0</x:v>
      </x:c>
      <x:c r="W2166" s="10" t="n">
        <x:f>H2166*('Assumptions'!$P$140+'Assumptions'!$Y$140)</x:f>
        <x:v>86.3193892067038</x:v>
      </x:c>
      <x:c r="X2166" s="10" t="n">
        <x:f>N2166/12*'Assumptions'!$AF$140</x:f>
        <x:v>1368.3700341412193</x:v>
      </x:c>
      <x:c r="Y2166" s="10" t="n">
        <x:f>P2166/12</x:f>
        <x:v>164.9015234274667</x:v>
      </x:c>
      <x:c r="Z2166" s="10" t="n">
        <x:f>0</x:f>
        <x:v>0</x:v>
      </x:c>
      <x:c r="AA2166" s="10" t="n">
        <x:f>Z2166*'Assumptions'!$AC$140*'Assumptions'!$D$11*(1+'Assumptions'!$D$13)^(17-1)</x:f>
        <x:v>0</x:v>
      </x:c>
      <x:c r="AB2166" s="10" t="n">
        <x:f>F2166/1</x:f>
        <x:v>16.28216081256564</x:v>
      </x:c>
      <x:c r="AC2166" s="10" t="n">
        <x:f>AB2166/'Assumptions'!$AM$140</x:f>
        <x:v>162.82160812565638</x:v>
      </x:c>
      <x:c r="AD2166" s="10" t="n">
        <x:f>IF(AB2166=0,0,T2166/AB2166)</x:f>
        <x:v>80.67941644218267</x:v>
      </x:c>
      <x:c r="AE2166" s="10" t="n">
        <x:f>AA2166*'Assumptions'!$D$21</x:f>
        <x:v>0</x:v>
      </x:c>
    </x:row>
    <x:row r="2167" ht="16" customHeight="1">
      <x:c r="A2167" s="1"/>
      <x:c r="B2167" s="1"/>
      <x:c r="C2167" s="1" t="str">
        <x:v>DOT-112</x:v>
      </x:c>
      <x:c r="D2167" s="10" t="str">
        <x:v>Learn Anglais</x:v>
      </x:c>
      <x:c r="E2167" s="10" t="n">
        <x:v>17</x:v>
      </x:c>
      <x:c r="F2167" s="21" t="n">
        <x:f>F2039*(1+'Assumptions'!$M$141)</x:f>
        <x:v>532.1623994935629</x:v>
      </x:c>
      <x:c r="G2167" s="21" t="n">
        <x:f>H2039*'Assumptions'!$K$141</x:f>
        <x:v>1125.1632018428331</x:v>
      </x:c>
      <x:c r="H2167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2167+G2167,NA())</x:f>
        <x:v>1657.3256013363962</x:v>
      </x:c>
      <x:c r="I2167" s="22" t="n">
        <x:f>'Assumptions'!$H$141*IF('Assumptions'!$O$141=1,1,'Assumptions'!$D$10)*(1+'Assumptions'!$N$141)^(17-1)</x:f>
        <x:v>61.775356729077565</x:v>
      </x:c>
      <x:c r="J2167" s="10" t="n">
        <x:f>H2167*I2167</x:f>
        <x:v>102381.88023878886</x:v>
      </x:c>
      <x:c r="K2167" s="10" t="n">
        <x:f>J2167*'Assumptions'!$T$141</x:f>
        <x:v>34127.29341292962</x:v>
      </x:c>
      <x:c r="L2167" s="10" t="n">
        <x:f>K2167*'Assumptions'!$U$141</x:f>
        <x:v>1023.8188023878886</x:v>
      </x:c>
      <x:c r="M2167" s="10" t="n">
        <x:f>K2167*'Assumptions'!$V$141</x:f>
        <x:v>0</x:v>
      </x:c>
      <x:c r="N2167" s="10" t="n">
        <x:f>K2167-L2167-M2167</x:f>
        <x:v>33103.47461054173</x:v>
      </x:c>
      <x:c r="O2167" s="10" t="n">
        <x:f>H2167*'Assumptions'!$P$141*'Assumptions'!$Q$141*'Assumptions'!$D$11*(1+'Assumptions'!$D$13)^(17-1)</x:f>
        <x:v>9308.323724517251</x:v>
      </x:c>
      <x:c r="P2167" s="10" t="n">
        <x:f>H2167*'Assumptions'!$R$141*'Assumptions'!$D$11*(1+'Assumptions'!$D$13)^(17-1)</x:f>
        <x:v>0</x:v>
      </x:c>
      <x:c r="Q2167" s="10" t="n">
        <x:f>J2167*'Assumptions'!$S$141</x:f>
        <x:v>0</x:v>
      </x:c>
      <x:c r="R2167" s="10" t="n">
        <x:f>H2167*'Assumptions'!$Y$141*'Assumptions'!$Z$141*'Assumptions'!$D$11*(1+'Assumptions'!$D$13)^(17-1)</x:f>
        <x:v>11967.844788665037</x:v>
      </x:c>
      <x:c r="S2167" s="10" t="n">
        <x:f>IF(I2167=0,0,J2167*'Assumptions'!$W$141+H2167*'Assumptions'!$X$141)</x:f>
        <x:v>3466.2722073257955</x:v>
      </x:c>
      <x:c r="T2167" s="10" t="n">
        <x:f>N2167*'Assumptions'!$AA$141</x:f>
        <x:v>1655.1737305270865</x:v>
      </x:c>
      <x:c r="U2167" s="10" t="n">
        <x:f>'Assumptions'!$AE$141*'Assumptions'!$D$11*(1+'Assumptions'!$D$13)^(17-1)</x:f>
        <x:v>0</x:v>
      </x:c>
      <x:c r="V2167" s="10" t="n">
        <x:f>0</x:f>
        <x:v>0</x:v>
      </x:c>
      <x:c r="W2167" s="10" t="n">
        <x:f>H2167*('Assumptions'!$P$141+'Assumptions'!$Y$141)</x:f>
        <x:v>414.33140033409904</x:v>
      </x:c>
      <x:c r="X2167" s="10" t="n">
        <x:f>N2167/12*'Assumptions'!$AF$141</x:f>
        <x:v>0</x:v>
      </x:c>
      <x:c r="Y2167" s="10" t="n">
        <x:f>P2167/12</x:f>
        <x:v>0</x:v>
      </x:c>
      <x:c r="Z2167" s="10" t="n">
        <x:f>0</x:f>
        <x:v>0</x:v>
      </x:c>
      <x:c r="AA2167" s="10" t="n">
        <x:f>Z2167*'Assumptions'!$AC$141*'Assumptions'!$D$11*(1+'Assumptions'!$D$13)^(17-1)</x:f>
        <x:v>0</x:v>
      </x:c>
      <x:c r="AB2167" s="10" t="n">
        <x:f>F2167/1</x:f>
        <x:v>532.1623994935629</x:v>
      </x:c>
      <x:c r="AC2167" s="10" t="n">
        <x:f>AB2167/'Assumptions'!$AM$141</x:f>
        <x:v>10643.247989871257</x:v>
      </x:c>
      <x:c r="AD2167" s="10" t="n">
        <x:f>IF(AB2167=0,0,T2167/AB2167)</x:f>
        <x:v>3.110279366039854</x:v>
      </x:c>
      <x:c r="AE2167" s="10" t="n">
        <x:f>AA2167*'Assumptions'!$D$21</x:f>
        <x:v>0</x:v>
      </x:c>
    </x:row>
    <x:row r="2168" ht="16" customHeight="1">
      <x:c r="A2168" s="1"/>
      <x:c r="B2168" s="1"/>
      <x:c r="C2168" s="1" t="str">
        <x:v>DOT-113</x:v>
      </x:c>
      <x:c r="D2168" s="10" t="str">
        <x:v>Learn Anglais</x:v>
      </x:c>
      <x:c r="E2168" s="10" t="n">
        <x:v>17</x:v>
      </x:c>
      <x:c r="F2168" s="21" t="n">
        <x:f>F2040*(1+'Assumptions'!$M$142)</x:f>
        <x:v>319.2974396961376</x:v>
      </x:c>
      <x:c r="G2168" s="21" t="n">
        <x:f>H2040*'Assumptions'!$K$142</x:f>
        <x:v>675.0979211056996</x:v>
      </x:c>
      <x:c r="H2168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2168+G2168,NA())</x:f>
        <x:v>994.3953608018371</x:v>
      </x:c>
      <x:c r="I2168" s="22" t="n">
        <x:f>'Assumptions'!$H$142*IF('Assumptions'!$O$142=1,1,'Assumptions'!$D$10)*(1+'Assumptions'!$N$142)^(17-1)</x:f>
        <x:v>116.68678493270207</x:v>
      </x:c>
      <x:c r="J2168" s="10" t="n">
        <x:f>H2168*I2168</x:f>
        <x:v>116032.79760396064</x:v>
      </x:c>
      <x:c r="K2168" s="10" t="n">
        <x:f>J2168*'Assumptions'!$T$142</x:f>
        <x:v>34809.83928118819</x:v>
      </x:c>
      <x:c r="L2168" s="10" t="n">
        <x:f>K2168*'Assumptions'!$U$142</x:f>
        <x:v>1044.2951784356458</x:v>
      </x:c>
      <x:c r="M2168" s="10" t="n">
        <x:f>K2168*'Assumptions'!$V$142</x:f>
        <x:v>0</x:v>
      </x:c>
      <x:c r="N2168" s="10" t="n">
        <x:f>K2168-L2168-M2168</x:f>
        <x:v>33765.544102752545</x:v>
      </x:c>
      <x:c r="O2168" s="10" t="n">
        <x:f>H2168*'Assumptions'!$P$142*'Assumptions'!$Q$142*'Assumptions'!$D$11*(1+'Assumptions'!$D$13)^(17-1)</x:f>
        <x:v>5584.994234710347</x:v>
      </x:c>
      <x:c r="P2168" s="10" t="n">
        <x:f>H2168*'Assumptions'!$R$142*'Assumptions'!$D$11*(1+'Assumptions'!$D$13)^(17-1)</x:f>
        <x:v>0</x:v>
      </x:c>
      <x:c r="Q2168" s="10" t="n">
        <x:f>J2168*'Assumptions'!$S$142</x:f>
        <x:v>0</x:v>
      </x:c>
      <x:c r="R2168" s="10" t="n">
        <x:f>H2168*'Assumptions'!$Y$142*'Assumptions'!$Z$142*'Assumptions'!$D$11*(1+'Assumptions'!$D$13)^(17-1)</x:f>
        <x:v>7180.7068731990175</x:v>
      </x:c>
      <x:c r="S2168" s="10" t="n">
        <x:f>IF(I2168=0,0,J2168*'Assumptions'!$W$142+H2168*'Assumptions'!$X$142)</x:f>
        <x:v>3663.26973875541</x:v>
      </x:c>
      <x:c r="T2168" s="10" t="n">
        <x:f>N2168*'Assumptions'!$AA$142</x:f>
        <x:v>1688.2772051376273</x:v>
      </x:c>
      <x:c r="U2168" s="10" t="n">
        <x:f>'Assumptions'!$AE$142*'Assumptions'!$D$11*(1+'Assumptions'!$D$13)^(17-1)</x:f>
        <x:v>0</x:v>
      </x:c>
      <x:c r="V2168" s="10" t="n">
        <x:f>0</x:f>
        <x:v>0</x:v>
      </x:c>
      <x:c r="W2168" s="10" t="n">
        <x:f>H2168*('Assumptions'!$P$142+'Assumptions'!$Y$142)</x:f>
        <x:v>248.59884020045928</x:v>
      </x:c>
      <x:c r="X2168" s="10" t="n">
        <x:f>N2168/12*'Assumptions'!$AF$142</x:f>
        <x:v>0</x:v>
      </x:c>
      <x:c r="Y2168" s="10" t="n">
        <x:f>P2168/12</x:f>
        <x:v>0</x:v>
      </x:c>
      <x:c r="Z2168" s="10" t="n">
        <x:f>0</x:f>
        <x:v>0</x:v>
      </x:c>
      <x:c r="AA2168" s="10" t="n">
        <x:f>Z2168*'Assumptions'!$AC$142*'Assumptions'!$D$11*(1+'Assumptions'!$D$13)^(17-1)</x:f>
        <x:v>0</x:v>
      </x:c>
      <x:c r="AB2168" s="10" t="n">
        <x:f>F2168/1</x:f>
        <x:v>319.2974396961376</x:v>
      </x:c>
      <x:c r="AC2168" s="10" t="n">
        <x:f>AB2168/'Assumptions'!$AM$142</x:f>
        <x:v>6385.948793922751</x:v>
      </x:c>
      <x:c r="AD2168" s="10" t="n">
        <x:f>IF(AB2168=0,0,T2168/AB2168)</x:f>
        <x:v>5.287474922267752</x:v>
      </x:c>
      <x:c r="AE2168" s="10" t="n">
        <x:f>AA2168*'Assumptions'!$D$21</x:f>
        <x:v>0</x:v>
      </x:c>
    </x:row>
    <x:row r="2169" ht="16" customHeight="1">
      <x:c r="A2169" s="1"/>
      <x:c r="B2169" s="1"/>
      <x:c r="C2169" s="1" t="str">
        <x:v>DOT-114</x:v>
      </x:c>
      <x:c r="D2169" s="10" t="str">
        <x:v>Learn Anglais</x:v>
      </x:c>
      <x:c r="E2169" s="10" t="n">
        <x:v>17</x:v>
      </x:c>
      <x:c r="F2169" s="21" t="n">
        <x:f>F2041*(1+'Assumptions'!$M$143)</x:f>
        <x:v>448.8596463779118</x:v>
      </x:c>
      <x:c r="G2169" s="21" t="n">
        <x:f>H2041*'Assumptions'!$K$143</x:f>
        <x:v>143.8652704614156</x:v>
      </x:c>
      <x:c r="H2169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2169+G2169,NA())</x:f>
        <x:v>592.7249168393274</x:v>
      </x:c>
      <x:c r="I2169" s="22" t="n">
        <x:f>'Assumptions'!$H$143*IF('Assumptions'!$O$143=1,1,'Assumptions'!$D$10)*(1+'Assumptions'!$N$143)^(17-1)</x:f>
        <x:v>39.810785447627765</x:v>
      </x:c>
      <x:c r="J2169" s="10" t="n">
        <x:f>H2169*I2169</x:f>
        <x:v>23596.844493753473</x:v>
      </x:c>
      <x:c r="K2169" s="10" t="n">
        <x:f>J2169*'Assumptions'!$T$143</x:f>
        <x:v>23596.844493753473</x:v>
      </x:c>
      <x:c r="L2169" s="10" t="n">
        <x:f>K2169*'Assumptions'!$U$143</x:f>
        <x:v>707.9053348126042</x:v>
      </x:c>
      <x:c r="M2169" s="10" t="n">
        <x:f>K2169*'Assumptions'!$V$143</x:f>
        <x:v>0</x:v>
      </x:c>
      <x:c r="N2169" s="10" t="n">
        <x:f>K2169-L2169-M2169</x:f>
        <x:v>22888.93915894087</x:v>
      </x:c>
      <x:c r="O2169" s="10" t="n">
        <x:f>H2169*'Assumptions'!$P$143*'Assumptions'!$Q$143*'Assumptions'!$D$11*(1+'Assumptions'!$D$13)^(17-1)</x:f>
        <x:v>4993.534825998403</x:v>
      </x:c>
      <x:c r="P2169" s="10" t="n">
        <x:f>H2169*'Assumptions'!$R$143*'Assumptions'!$D$11*(1+'Assumptions'!$D$13)^(17-1)</x:f>
        <x:v>0</x:v>
      </x:c>
      <x:c r="Q2169" s="10" t="n">
        <x:f>J2169*'Assumptions'!$S$143</x:f>
        <x:v>0</x:v>
      </x:c>
      <x:c r="R2169" s="10" t="n">
        <x:f>H2169*'Assumptions'!$Y$143*'Assumptions'!$Z$143*'Assumptions'!$D$11*(1+'Assumptions'!$D$13)^(17-1)</x:f>
        <x:v>2853.4484719990874</x:v>
      </x:c>
      <x:c r="S2169" s="10" t="n">
        <x:f>IF(I2169=0,0,J2169*'Assumptions'!$W$143+H2169*'Assumptions'!$X$143)</x:f>
        <x:v>862.125965370649</x:v>
      </x:c>
      <x:c r="T2169" s="10" t="n">
        <x:f>N2169*'Assumptions'!$AA$143</x:f>
        <x:v>1144.4469579470435</x:v>
      </x:c>
      <x:c r="U2169" s="10" t="n">
        <x:f>'Assumptions'!$AE$143*'Assumptions'!$D$11*(1+'Assumptions'!$D$13)^(17-1)</x:f>
        <x:v>0</x:v>
      </x:c>
      <x:c r="V2169" s="10" t="n">
        <x:f>0</x:f>
        <x:v>0</x:v>
      </x:c>
      <x:c r="W2169" s="10" t="n">
        <x:f>H2169*('Assumptions'!$P$143+'Assumptions'!$Y$143)</x:f>
        <x:v>148.18122920983186</x:v>
      </x:c>
      <x:c r="X2169" s="10" t="n">
        <x:f>N2169/12*'Assumptions'!$AF$143</x:f>
        <x:v>0</x:v>
      </x:c>
      <x:c r="Y2169" s="10" t="n">
        <x:f>P2169/12</x:f>
        <x:v>0</x:v>
      </x:c>
      <x:c r="Z2169" s="10" t="n">
        <x:f>0</x:f>
        <x:v>0</x:v>
      </x:c>
      <x:c r="AA2169" s="10" t="n">
        <x:f>Z2169*'Assumptions'!$AC$143*'Assumptions'!$D$11*(1+'Assumptions'!$D$13)^(17-1)</x:f>
        <x:v>0</x:v>
      </x:c>
      <x:c r="AB2169" s="10" t="n">
        <x:f>F2169/1</x:f>
        <x:v>448.8596463779118</x:v>
      </x:c>
      <x:c r="AC2169" s="10" t="n">
        <x:f>AB2169/'Assumptions'!$AM$143</x:f>
        <x:v>8977.192927558235</x:v>
      </x:c>
      <x:c r="AD2169" s="10" t="n">
        <x:f>IF(AB2169=0,0,T2169/AB2169)</x:f>
        <x:v>2.54967664654686</x:v>
      </x:c>
      <x:c r="AE2169" s="10" t="n">
        <x:f>AA2169*'Assumptions'!$D$21</x:f>
        <x:v>0</x:v>
      </x:c>
    </x:row>
    <x:row r="2170" ht="16" customHeight="1">
      <x:c r="A2170" s="1"/>
      <x:c r="B2170" s="1"/>
      <x:c r="C2170" s="1" t="str">
        <x:v>DOT-115</x:v>
      </x:c>
      <x:c r="D2170" s="10" t="str">
        <x:v>Learn Anglais</x:v>
      </x:c>
      <x:c r="E2170" s="10" t="n">
        <x:v>17</x:v>
      </x:c>
      <x:c r="F2170" s="21" t="n">
        <x:f>F2042*(1+'Assumptions'!$M$144)</x:f>
        <x:v>212.86495979742512</x:v>
      </x:c>
      <x:c r="G2170" s="21" t="n">
        <x:f>H2042*'Assumptions'!$K$144</x:f>
        <x:v>449.8658831537156</x:v>
      </x:c>
      <x:c r="H2170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2170+G2170,NA())</x:f>
        <x:v>662.7308429511406</x:v>
      </x:c>
      <x:c r="I2170" s="22" t="n">
        <x:f>'Assumptions'!$H$144*IF('Assumptions'!$O$144=1,1,'Assumptions'!$D$10)*(1+'Assumptions'!$N$144)^(17-1)</x:f>
        <x:v>61.775356729077565</x:v>
      </x:c>
      <x:c r="J2170" s="10" t="n">
        <x:f>H2170*I2170</x:f>
        <x:v>40940.43423866899</x:v>
      </x:c>
      <x:c r="K2170" s="10" t="n">
        <x:f>J2170*'Assumptions'!$T$144</x:f>
        <x:v>13646.811412889663</x:v>
      </x:c>
      <x:c r="L2170" s="10" t="n">
        <x:f>K2170*'Assumptions'!$U$144</x:f>
        <x:v>409.4043423866899</x:v>
      </x:c>
      <x:c r="M2170" s="10" t="n">
        <x:f>K2170*'Assumptions'!$V$144</x:f>
        <x:v>0</x:v>
      </x:c>
      <x:c r="N2170" s="10" t="n">
        <x:f>K2170-L2170-M2170</x:f>
        <x:v>13237.407070502974</x:v>
      </x:c>
      <x:c r="O2170" s="10" t="n">
        <x:f>H2170*'Assumptions'!$P$144*'Assumptions'!$Q$144*'Assumptions'!$D$11*(1+'Assumptions'!$D$13)^(17-1)</x:f>
        <x:v>5583.314368133581</x:v>
      </x:c>
      <x:c r="P2170" s="10" t="n">
        <x:f>H2170*'Assumptions'!$R$144*'Assumptions'!$D$11*(1+'Assumptions'!$D$13)^(17-1)</x:f>
        <x:v>0</x:v>
      </x:c>
      <x:c r="Q2170" s="10" t="n">
        <x:f>J2170*'Assumptions'!$S$144</x:f>
        <x:v>0</x:v>
      </x:c>
      <x:c r="R2170" s="10" t="n">
        <x:f>H2170*'Assumptions'!$Y$144*'Assumptions'!$Z$144*'Assumptions'!$D$11*(1+'Assumptions'!$D$13)^(17-1)</x:f>
        <x:v>4785.698029828784</x:v>
      </x:c>
      <x:c r="S2170" s="10" t="n">
        <x:f>IF(I2170=0,0,J2170*'Assumptions'!$W$144+H2170*'Assumptions'!$X$144)</x:f>
        <x:v>1386.0918458067429</x:v>
      </x:c>
      <x:c r="T2170" s="10" t="n">
        <x:f>N2170*'Assumptions'!$AA$144</x:f>
        <x:v>661.8703535251487</x:v>
      </x:c>
      <x:c r="U2170" s="10" t="n">
        <x:f>'Assumptions'!$AE$144*'Assumptions'!$D$11*(1+'Assumptions'!$D$13)^(17-1)</x:f>
        <x:v>0</x:v>
      </x:c>
      <x:c r="V2170" s="10" t="n">
        <x:f>0</x:f>
        <x:v>0</x:v>
      </x:c>
      <x:c r="W2170" s="10" t="n">
        <x:f>H2170*('Assumptions'!$P$144+'Assumptions'!$Y$144)</x:f>
        <x:v>198.8192528853422</x:v>
      </x:c>
      <x:c r="X2170" s="10" t="n">
        <x:f>N2170/12*'Assumptions'!$AF$144</x:f>
        <x:v>0</x:v>
      </x:c>
      <x:c r="Y2170" s="10" t="n">
        <x:f>P2170/12</x:f>
        <x:v>0</x:v>
      </x:c>
      <x:c r="Z2170" s="10" t="n">
        <x:f>0</x:f>
        <x:v>0</x:v>
      </x:c>
      <x:c r="AA2170" s="10" t="n">
        <x:f>Z2170*'Assumptions'!$AC$144*'Assumptions'!$D$11*(1+'Assumptions'!$D$13)^(17-1)</x:f>
        <x:v>0</x:v>
      </x:c>
      <x:c r="AB2170" s="10" t="n">
        <x:f>F2170/1</x:f>
        <x:v>212.86495979742512</x:v>
      </x:c>
      <x:c r="AC2170" s="10" t="n">
        <x:f>AB2170/'Assumptions'!$AM$144</x:f>
        <x:v>4257.299195948502</x:v>
      </x:c>
      <x:c r="AD2170" s="10" t="n">
        <x:f>IF(AB2170=0,0,T2170/AB2170)</x:f>
        <x:v>3.109343849523302</x:v>
      </x:c>
      <x:c r="AE2170" s="10" t="n">
        <x:f>AA2170*'Assumptions'!$D$21</x:f>
        <x:v>0</x:v>
      </x:c>
    </x:row>
    <x:row r="2171" ht="16" customHeight="1">
      <x:c r="A2171" s="1"/>
      <x:c r="B2171" s="1"/>
      <x:c r="C2171" s="1" t="str">
        <x:v>DOT-116</x:v>
      </x:c>
      <x:c r="D2171" s="10" t="str">
        <x:v>Fiefé</x:v>
      </x:c>
      <x:c r="E2171" s="10" t="n">
        <x:v>17</x:v>
      </x:c>
      <x:c r="F2171" s="21" t="n">
        <x:f>F2043*(1+'Assumptions'!$M$145)</x:f>
        <x:v>75.38033523495663</x:v>
      </x:c>
      <x:c r="G2171" s="21" t="n">
        <x:f>H2043*'Assumptions'!$K$145</x:f>
        <x:v>30.978218597989418</x:v>
      </x:c>
      <x:c r="H2171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2171+G2171,NA())</x:f>
        <x:v>106.35855383294606</x:v>
      </x:c>
      <x:c r="I2171" s="22" t="n">
        <x:f>'Assumptions'!$H$145*IF('Assumptions'!$O$145=1,1,'Assumptions'!$D$10)*(1+'Assumptions'!$N$145)^(17-1)</x:f>
        <x:v>617.7535672907757</x:v>
      </x:c>
      <x:c r="J2171" s="10" t="n">
        <x:f>H2171*I2171</x:f>
        <x:v>65703.37604219043</x:v>
      </x:c>
      <x:c r="K2171" s="10" t="n">
        <x:f>J2171*'Assumptions'!$T$145</x:f>
        <x:v>65703.37604219043</x:v>
      </x:c>
      <x:c r="L2171" s="10" t="n">
        <x:f>K2171*'Assumptions'!$U$145</x:f>
        <x:v>1971.1012812657127</x:v>
      </x:c>
      <x:c r="M2171" s="10" t="n">
        <x:f>K2171*'Assumptions'!$V$145</x:f>
        <x:v>1314.0675208438086</x:v>
      </x:c>
      <x:c r="N2171" s="10" t="n">
        <x:f>K2171-L2171-M2171</x:f>
        <x:v>62418.207240080905</x:v>
      </x:c>
      <x:c r="O2171" s="10" t="n">
        <x:f>H2171*'Assumptions'!$P$145*'Assumptions'!$Q$145*'Assumptions'!$D$11*(1+'Assumptions'!$D$13)^(17-1)</x:f>
        <x:v>4266.856404724091</x:v>
      </x:c>
      <x:c r="P2171" s="10" t="n">
        <x:f>H2171*'Assumptions'!$R$145*'Assumptions'!$D$11*(1+'Assumptions'!$D$13)^(17-1)</x:f>
        <x:v>42668.56404724091</x:v>
      </x:c>
      <x:c r="Q2171" s="10" t="n">
        <x:f>J2171*'Assumptions'!$S$145</x:f>
        <x:v>0</x:v>
      </x:c>
      <x:c r="R2171" s="10" t="n">
        <x:f>H2171*'Assumptions'!$Y$145*'Assumptions'!$Z$145*'Assumptions'!$D$11*(1+'Assumptions'!$D$13)^(17-1)</x:f>
        <x:v>768.0341528503363</x:v>
      </x:c>
      <x:c r="S2171" s="10" t="n">
        <x:f>IF(I2171=0,0,J2171*'Assumptions'!$W$145+H2171*'Assumptions'!$X$145)</x:f>
        <x:v>1937.3054713734064</x:v>
      </x:c>
      <x:c r="T2171" s="10" t="n">
        <x:f>N2171*'Assumptions'!$AA$145</x:f>
        <x:v>4993.456579206472</x:v>
      </x:c>
      <x:c r="U2171" s="10" t="n">
        <x:f>'Assumptions'!$AE$145*'Assumptions'!$D$11*(1+'Assumptions'!$D$13)^(17-1)</x:f>
        <x:v>0</x:v>
      </x:c>
      <x:c r="V2171" s="10" t="n">
        <x:f>0</x:f>
        <x:v>0</x:v>
      </x:c>
      <x:c r="W2171" s="10" t="n">
        <x:f>H2171*('Assumptions'!$P$145+'Assumptions'!$Y$145)</x:f>
        <x:v>69.13305999141494</x:v>
      </x:c>
      <x:c r="X2171" s="10" t="n">
        <x:f>N2171/12*'Assumptions'!$AF$145</x:f>
        <x:v>0</x:v>
      </x:c>
      <x:c r="Y2171" s="10" t="n">
        <x:f>P2171/12</x:f>
        <x:v>3555.713670603409</x:v>
      </x:c>
      <x:c r="Z2171" s="10" t="n">
        <x:f>0</x:f>
        <x:v>0</x:v>
      </x:c>
      <x:c r="AA2171" s="10" t="n">
        <x:f>Z2171*'Assumptions'!$AC$145*'Assumptions'!$D$11*(1+'Assumptions'!$D$13)^(17-1)</x:f>
        <x:v>0</x:v>
      </x:c>
      <x:c r="AB2171" s="10" t="n">
        <x:f>F2171/1</x:f>
        <x:v>75.38033523495663</x:v>
      </x:c>
      <x:c r="AC2171" s="10" t="n">
        <x:f>AB2171/'Assumptions'!$AM$145</x:f>
        <x:v>2512.6778411652213</x:v>
      </x:c>
      <x:c r="AD2171" s="10" t="n">
        <x:f>IF(AB2171=0,0,T2171/AB2171)</x:f>
        <x:v>66.24349127185657</x:v>
      </x:c>
      <x:c r="AE2171" s="10" t="n">
        <x:f>AA2171*'Assumptions'!$D$21</x:f>
        <x:v>0</x:v>
      </x:c>
    </x:row>
    <x:row r="2172" ht="16" customHeight="1">
      <x:c r="A2172" s="1"/>
      <x:c r="B2172" s="1"/>
      <x:c r="C2172" s="1" t="str">
        <x:v>DOT-117</x:v>
      </x:c>
      <x:c r="D2172" s="10" t="str">
        <x:v>Fiefé</x:v>
      </x:c>
      <x:c r="E2172" s="10" t="n">
        <x:v>17</x:v>
      </x:c>
      <x:c r="F2172" s="21" t="n">
        <x:f>F2044*(1+'Assumptions'!$M$146)</x:f>
        <x:v>94.22541904369581</x:v>
      </x:c>
      <x:c r="G2172" s="21" t="n">
        <x:f>H2044*'Assumptions'!$K$146</x:f>
        <x:v>38.72277324748678</x:v>
      </x:c>
      <x:c r="H2172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2172+G2172,NA())</x:f>
        <x:v>132.94819229118258</x:v>
      </x:c>
      <x:c r="I2172" s="22" t="n">
        <x:f>'Assumptions'!$H$146*IF('Assumptions'!$O$146=1,1,'Assumptions'!$D$10)*(1+'Assumptions'!$N$146)^(17-1)</x:f>
        <x:v>240.23749839085718</x:v>
      </x:c>
      <x:c r="J2172" s="10" t="n">
        <x:f>H2172*I2172</x:f>
        <x:v>31939.141131620345</x:v>
      </x:c>
      <x:c r="K2172" s="10" t="n">
        <x:f>J2172*'Assumptions'!$T$146</x:f>
        <x:v>31939.141131620345</x:v>
      </x:c>
      <x:c r="L2172" s="10" t="n">
        <x:f>K2172*'Assumptions'!$U$146</x:f>
        <x:v>958.1742339486103</x:v>
      </x:c>
      <x:c r="M2172" s="10" t="n">
        <x:f>K2172*'Assumptions'!$V$146</x:f>
        <x:v>638.7828226324069</x:v>
      </x:c>
      <x:c r="N2172" s="10" t="n">
        <x:f>K2172-L2172-M2172</x:f>
        <x:v>30342.184075039328</x:v>
      </x:c>
      <x:c r="O2172" s="10" t="n">
        <x:f>H2172*'Assumptions'!$P$146*'Assumptions'!$Q$146*'Assumptions'!$D$11*(1+'Assumptions'!$D$13)^(17-1)</x:f>
        <x:v>2400.1067276573012</x:v>
      </x:c>
      <x:c r="P2172" s="10" t="n">
        <x:f>H2172*'Assumptions'!$R$146*'Assumptions'!$D$11*(1+'Assumptions'!$D$13)^(17-1)</x:f>
        <x:v>17067.425618896363</x:v>
      </x:c>
      <x:c r="Q2172" s="10" t="n">
        <x:f>J2172*'Assumptions'!$S$146</x:f>
        <x:v>0</x:v>
      </x:c>
      <x:c r="R2172" s="10" t="n">
        <x:f>H2172*'Assumptions'!$Y$146*'Assumptions'!$Z$146*'Assumptions'!$D$11*(1+'Assumptions'!$D$13)^(17-1)</x:f>
        <x:v>960.0426910629204</x:v>
      </x:c>
      <x:c r="S2172" s="10" t="n">
        <x:f>IF(I2172=0,0,J2172*'Assumptions'!$W$146+H2172*'Assumptions'!$X$146)</x:f>
        <x:v>966.1195505043448</x:v>
      </x:c>
      <x:c r="T2172" s="10" t="n">
        <x:f>N2172*'Assumptions'!$AA$146</x:f>
        <x:v>2427.3747260031464</x:v>
      </x:c>
      <x:c r="U2172" s="10" t="n">
        <x:f>'Assumptions'!$AE$146*'Assumptions'!$D$11*(1+'Assumptions'!$D$13)^(17-1)</x:f>
        <x:v>0</x:v>
      </x:c>
      <x:c r="V2172" s="10" t="n">
        <x:f>0</x:f>
        <x:v>0</x:v>
      </x:c>
      <x:c r="W2172" s="10" t="n">
        <x:f>H2172*('Assumptions'!$P$146+'Assumptions'!$Y$146)</x:f>
        <x:v>53.179276916473036</x:v>
      </x:c>
      <x:c r="X2172" s="10" t="n">
        <x:f>N2172/12*'Assumptions'!$AF$146</x:f>
        <x:v>0</x:v>
      </x:c>
      <x:c r="Y2172" s="10" t="n">
        <x:f>P2172/12</x:f>
        <x:v>1422.2854682413636</x:v>
      </x:c>
      <x:c r="Z2172" s="10" t="n">
        <x:f>0</x:f>
        <x:v>0</x:v>
      </x:c>
      <x:c r="AA2172" s="10" t="n">
        <x:f>Z2172*'Assumptions'!$AC$146*'Assumptions'!$D$11*(1+'Assumptions'!$D$13)^(17-1)</x:f>
        <x:v>0</x:v>
      </x:c>
      <x:c r="AB2172" s="10" t="n">
        <x:f>F2172/1</x:f>
        <x:v>94.22541904369581</x:v>
      </x:c>
      <x:c r="AC2172" s="10" t="n">
        <x:f>AB2172/'Assumptions'!$AM$146</x:f>
        <x:v>3140.847301456527</x:v>
      </x:c>
      <x:c r="AD2172" s="10" t="n">
        <x:f>IF(AB2172=0,0,T2172/AB2172)</x:f>
        <x:v>25.76135771683311</x:v>
      </x:c>
      <x:c r="AE2172" s="10" t="n">
        <x:f>AA2172*'Assumptions'!$D$21</x:f>
        <x:v>0</x:v>
      </x:c>
    </x:row>
    <x:row r="2173" ht="16" customHeight="1">
      <x:c r="A2173" s="1"/>
      <x:c r="B2173" s="1"/>
      <x:c r="C2173" s="1" t="str">
        <x:v>DOT-118</x:v>
      </x:c>
      <x:c r="D2173" s="10" t="str">
        <x:v>Fiefé Design</x:v>
      </x:c>
      <x:c r="E2173" s="10" t="n">
        <x:v>17</x:v>
      </x:c>
      <x:c r="F2173" s="21" t="n">
        <x:f>F2045*(1+'Assumptions'!$M$147)</x:f>
        <x:v>12.563389205826107</x:v>
      </x:c>
      <x:c r="G2173" s="21" t="n">
        <x:f>H2045*'Assumptions'!$K$147</x:f>
        <x:v>5.163036432998237</x:v>
      </x:c>
      <x:c r="H2173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2173+G2173,NA())</x:f>
        <x:v>17.726425638824345</x:v>
      </x:c>
      <x:c r="I2173" s="22" t="n">
        <x:f>'Assumptions'!$H$147*IF('Assumptions'!$O$147=1,1,'Assumptions'!$D$10)*(1+'Assumptions'!$N$147)^(17-1)</x:f>
        <x:v>3431.964262726531</x:v>
      </x:c>
      <x:c r="J2173" s="10" t="n">
        <x:f>H2173*I2173</x:f>
        <x:v>60836.45929832447</x:v>
      </x:c>
      <x:c r="K2173" s="10" t="n">
        <x:f>J2173*'Assumptions'!$T$147</x:f>
        <x:v>60836.45929832447</x:v>
      </x:c>
      <x:c r="L2173" s="10" t="n">
        <x:f>K2173*'Assumptions'!$U$147</x:f>
        <x:v>1825.093778949734</x:v>
      </x:c>
      <x:c r="M2173" s="10" t="n">
        <x:f>K2173*'Assumptions'!$V$147</x:f>
        <x:v>1216.7291859664895</x:v>
      </x:c>
      <x:c r="N2173" s="10" t="n">
        <x:f>K2173-L2173-M2173</x:f>
        <x:v>57794.63633340825</x:v>
      </x:c>
      <x:c r="O2173" s="10" t="n">
        <x:f>H2173*'Assumptions'!$P$147*'Assumptions'!$Q$147*'Assumptions'!$D$11*(1+'Assumptions'!$D$13)^(17-1)</x:f>
        <x:v>13653.94049511709</x:v>
      </x:c>
      <x:c r="P2173" s="10" t="n">
        <x:f>H2173*'Assumptions'!$R$147*'Assumptions'!$D$11*(1+'Assumptions'!$D$13)^(17-1)</x:f>
        <x:v>25601.138428344548</x:v>
      </x:c>
      <x:c r="Q2173" s="10" t="n">
        <x:f>J2173*'Assumptions'!$S$147</x:f>
        <x:v>0</x:v>
      </x:c>
      <x:c r="R2173" s="10" t="n">
        <x:f>H2173*'Assumptions'!$Y$147*'Assumptions'!$Z$147*'Assumptions'!$D$11*(1+'Assumptions'!$D$13)^(17-1)</x:f>
        <x:v>128.00569214172273</x:v>
      </x:c>
      <x:c r="S2173" s="10" t="n">
        <x:f>IF(I2173=0,0,J2173*'Assumptions'!$W$147+H2173*'Assumptions'!$X$147)</x:f>
        <x:v>1769.575247343057</x:v>
      </x:c>
      <x:c r="T2173" s="10" t="n">
        <x:f>N2173*'Assumptions'!$AA$147</x:f>
        <x:v>4623.57090667266</x:v>
      </x:c>
      <x:c r="U2173" s="10" t="n">
        <x:f>'Assumptions'!$AE$147*'Assumptions'!$D$11*(1+'Assumptions'!$D$13)^(17-1)</x:f>
        <x:v>0</x:v>
      </x:c>
      <x:c r="V2173" s="10" t="n">
        <x:f>0</x:f>
        <x:v>0</x:v>
      </x:c>
      <x:c r="W2173" s="10" t="n">
        <x:f>H2173*('Assumptions'!$P$147+'Assumptions'!$Y$147)</x:f>
        <x:v>144.4703689564184</x:v>
      </x:c>
      <x:c r="X2173" s="10" t="n">
        <x:f>N2173/12*'Assumptions'!$AF$147</x:f>
        <x:v>0</x:v>
      </x:c>
      <x:c r="Y2173" s="10" t="n">
        <x:f>P2173/12</x:f>
        <x:v>2133.428202362046</x:v>
      </x:c>
      <x:c r="Z2173" s="10" t="n">
        <x:f>0</x:f>
        <x:v>0</x:v>
      </x:c>
      <x:c r="AA2173" s="10" t="n">
        <x:f>Z2173*'Assumptions'!$AC$147*'Assumptions'!$D$11*(1+'Assumptions'!$D$13)^(17-1)</x:f>
        <x:v>0</x:v>
      </x:c>
      <x:c r="AB2173" s="10" t="n">
        <x:f>F2173/1</x:f>
        <x:v>12.563389205826107</x:v>
      </x:c>
      <x:c r="AC2173" s="10" t="n">
        <x:f>AB2173/'Assumptions'!$AM$147</x:f>
        <x:v>418.7796401942036</x:v>
      </x:c>
      <x:c r="AD2173" s="10" t="n">
        <x:f>IF(AB2173=0,0,T2173/AB2173)</x:f>
        <x:v>368.01939595475875</x:v>
      </x:c>
      <x:c r="AE2173" s="10" t="n">
        <x:f>AA2173*'Assumptions'!$D$21</x:f>
        <x:v>0</x:v>
      </x:c>
    </x:row>
    <x:row r="2174" ht="16" customHeight="1">
      <x:c r="A2174" s="1"/>
      <x:c r="B2174" s="1"/>
      <x:c r="C2174" s="1" t="str">
        <x:v>DOT-119</x:v>
      </x:c>
      <x:c r="D2174" s="10" t="str">
        <x:v>OsezArt</x:v>
      </x:c>
      <x:c r="E2174" s="10" t="n">
        <x:v>17</x:v>
      </x:c>
      <x:c r="F2174" s="21" t="n">
        <x:f>F2046*(1+'Assumptions'!$M$148)</x:f>
        <x:v>10.643247989871256</x:v>
      </x:c>
      <x:c r="G2174" s="21" t="n">
        <x:f>H2046*'Assumptions'!$K$148</x:f>
        <x:v>22.493294157685778</x:v>
      </x:c>
      <x:c r="H2174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2174+G2174,NA())</x:f>
        <x:v>33.13654214755704</x:v>
      </x:c>
      <x:c r="I2174" s="22" t="n">
        <x:f>'Assumptions'!$H$148*IF('Assumptions'!$O$148=1,1,'Assumptions'!$D$10)*(1+'Assumptions'!$N$148)^(17-1)</x:f>
        <x:v>6863.928525453062</x:v>
      </x:c>
      <x:c r="J2174" s="10" t="n">
        <x:f>H2174*I2174</x:f>
        <x:v>227446.85688149443</x:v>
      </x:c>
      <x:c r="K2174" s="10" t="n">
        <x:f>J2174*'Assumptions'!$T$148</x:f>
        <x:v>45489.37137629889</x:v>
      </x:c>
      <x:c r="L2174" s="10" t="n">
        <x:f>K2174*'Assumptions'!$U$148</x:f>
        <x:v>1364.6811412889667</x:v>
      </x:c>
      <x:c r="M2174" s="10" t="n">
        <x:f>K2174*'Assumptions'!$V$148</x:f>
        <x:v>0</x:v>
      </x:c>
      <x:c r="N2174" s="10" t="n">
        <x:f>K2174-L2174-M2174</x:f>
        <x:v>44124.690235009926</x:v>
      </x:c>
      <x:c r="O2174" s="10" t="n">
        <x:f>H2174*'Assumptions'!$P$148*'Assumptions'!$Q$148*'Assumptions'!$D$11*(1+'Assumptions'!$D$13)^(17-1)</x:f>
        <x:v>12761.861412876759</x:v>
      </x:c>
      <x:c r="P2174" s="10" t="n">
        <x:f>H2174*'Assumptions'!$R$148*'Assumptions'!$D$11*(1+'Assumptions'!$D$13)^(17-1)</x:f>
        <x:v>0</x:v>
      </x:c>
      <x:c r="Q2174" s="10" t="n">
        <x:f>J2174*'Assumptions'!$S$148</x:f>
        <x:v>0</x:v>
      </x:c>
      <x:c r="R2174" s="10" t="n">
        <x:f>H2174*'Assumptions'!$Y$148*'Assumptions'!$Z$148*'Assumptions'!$D$11*(1+'Assumptions'!$D$13)^(17-1)</x:f>
        <x:v>239.28490149143926</x:v>
      </x:c>
      <x:c r="S2174" s="10" t="n">
        <x:f>IF(I2174=0,0,J2174*'Assumptions'!$W$148+H2174*'Assumptions'!$X$148)</x:f>
        <x:v>6605.899812207606</x:v>
      </x:c>
      <x:c r="T2174" s="10" t="n">
        <x:f>N2174*'Assumptions'!$AA$148</x:f>
        <x:v>2206.2345117504965</x:v>
      </x:c>
      <x:c r="U2174" s="10" t="n">
        <x:f>'Assumptions'!$AE$148*'Assumptions'!$D$11*(1+'Assumptions'!$D$13)^(17-1)</x:f>
        <x:v>0</x:v>
      </x:c>
      <x:c r="V2174" s="10" t="n">
        <x:f>0</x:f>
        <x:v>0</x:v>
      </x:c>
      <x:c r="W2174" s="10" t="n">
        <x:f>H2174*('Assumptions'!$P$148+'Assumptions'!$Y$148)</x:f>
        <x:v>137.51664991236171</x:v>
      </x:c>
      <x:c r="X2174" s="10" t="n">
        <x:f>N2174/12*'Assumptions'!$AF$148</x:f>
        <x:v>0</x:v>
      </x:c>
      <x:c r="Y2174" s="10" t="n">
        <x:f>P2174/12</x:f>
        <x:v>0</x:v>
      </x:c>
      <x:c r="Z2174" s="10" t="n">
        <x:f>0</x:f>
        <x:v>0</x:v>
      </x:c>
      <x:c r="AA2174" s="10" t="n">
        <x:f>Z2174*'Assumptions'!$AC$148*'Assumptions'!$D$11*(1+'Assumptions'!$D$13)^(17-1)</x:f>
        <x:v>0</x:v>
      </x:c>
      <x:c r="AB2174" s="10" t="n">
        <x:f>F2174/1</x:f>
        <x:v>10.643247989871256</x:v>
      </x:c>
      <x:c r="AC2174" s="10" t="n">
        <x:f>AB2174/'Assumptions'!$AM$148</x:f>
        <x:v>212.86495979742512</x:v>
      </x:c>
      <x:c r="AD2174" s="10" t="n">
        <x:f>IF(AB2174=0,0,T2174/AB2174)</x:f>
        <x:v>207.2895899682202</x:v>
      </x:c>
      <x:c r="AE2174" s="10" t="n">
        <x:f>AA2174*'Assumptions'!$D$21</x:f>
        <x:v>0</x:v>
      </x:c>
    </x:row>
    <x:row r="2175" ht="16" customHeight="1">
      <x:c r="A2175" s="1"/>
      <x:c r="B2175" s="1"/>
      <x:c r="C2175" s="1" t="str">
        <x:v>DOT-120</x:v>
      </x:c>
      <x:c r="D2175" s="10" t="str">
        <x:v>OsezArt</x:v>
      </x:c>
      <x:c r="E2175" s="10" t="n">
        <x:v>17</x:v>
      </x:c>
      <x:c r="F2175" s="21" t="n">
        <x:f>F2047*(1+'Assumptions'!$M$149)</x:f>
        <x:v>6.262369543294477</x:v>
      </x:c>
      <x:c r="G2175" s="21" t="n">
        <x:f>H2047*'Assumptions'!$K$149</x:f>
        <x:v>5.907762512053678</x:v>
      </x:c>
      <x:c r="H2175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2175+G2175,NA())</x:f>
        <x:v>12.170132055348155</x:v>
      </x:c>
      <x:c r="I2175" s="22" t="n">
        <x:f>'Assumptions'!$H$149*IF('Assumptions'!$O$149=1,1,'Assumptions'!$D$10)*(1+'Assumptions'!$N$149)^(17-1)</x:f>
        <x:v>6863.928525453062</x:v>
      </x:c>
      <x:c r="J2175" s="10" t="n">
        <x:f>H2175*I2175</x:f>
        <x:v>83534.9165732349</x:v>
      </x:c>
      <x:c r="K2175" s="10" t="n">
        <x:f>J2175*'Assumptions'!$T$149</x:f>
        <x:v>83534.9165732349</x:v>
      </x:c>
      <x:c r="L2175" s="10" t="n">
        <x:f>K2175*'Assumptions'!$U$149</x:f>
        <x:v>2506.047497197047</x:v>
      </x:c>
      <x:c r="M2175" s="10" t="n">
        <x:f>K2175*'Assumptions'!$V$149</x:f>
        <x:v>0</x:v>
      </x:c>
      <x:c r="N2175" s="10" t="n">
        <x:f>K2175-L2175-M2175</x:f>
        <x:v>81028.86907603787</x:v>
      </x:c>
      <x:c r="O2175" s="10" t="n">
        <x:f>H2175*'Assumptions'!$P$149*'Assumptions'!$Q$149*'Assumptions'!$D$11*(1+'Assumptions'!$D$13)^(17-1)</x:f>
        <x:v>38082.50408410452</x:v>
      </x:c>
      <x:c r="P2175" s="10" t="n">
        <x:f>H2175*'Assumptions'!$R$149*'Assumptions'!$D$11*(1+'Assumptions'!$D$13)^(17-1)</x:f>
        <x:v>4882.372318474939</x:v>
      </x:c>
      <x:c r="Q2175" s="10" t="n">
        <x:f>J2175*'Assumptions'!$S$149</x:f>
        <x:v>0</x:v>
      </x:c>
      <x:c r="R2175" s="10" t="n">
        <x:f>H2175*'Assumptions'!$Y$149*'Assumptions'!$Z$149*'Assumptions'!$D$11*(1+'Assumptions'!$D$13)^(17-1)</x:f>
        <x:v>146.47116955424815</x:v>
      </x:c>
      <x:c r="S2175" s="10" t="n">
        <x:f>IF(I2175=0,0,J2175*'Assumptions'!$W$149+H2175*'Assumptions'!$X$149)</x:f>
        <x:v>2426.163620240417</x:v>
      </x:c>
      <x:c r="T2175" s="10" t="n">
        <x:f>N2175*'Assumptions'!$AA$149</x:f>
        <x:v>3241.154763041515</x:v>
      </x:c>
      <x:c r="U2175" s="10" t="n">
        <x:f>'Assumptions'!$AE$149*'Assumptions'!$D$11*(1+'Assumptions'!$D$13)^(17-1)</x:f>
        <x:v>0</x:v>
      </x:c>
      <x:c r="V2175" s="10" t="n">
        <x:f>0</x:f>
        <x:v>0</x:v>
      </x:c>
      <x:c r="W2175" s="10" t="n">
        <x:f>H2175*('Assumptions'!$P$149+'Assumptions'!$Y$149)</x:f>
        <x:v>368.1464946742817</x:v>
      </x:c>
      <x:c r="X2175" s="10" t="n">
        <x:f>N2175/12*'Assumptions'!$AF$149</x:f>
        <x:v>6752.405756336489</x:v>
      </x:c>
      <x:c r="Y2175" s="10" t="n">
        <x:f>P2175/12</x:f>
        <x:v>406.86435987291156</x:v>
      </x:c>
      <x:c r="Z2175" s="10" t="n">
        <x:f>0</x:f>
        <x:v>0</x:v>
      </x:c>
      <x:c r="AA2175" s="10" t="n">
        <x:f>Z2175*'Assumptions'!$AC$149*'Assumptions'!$D$11*(1+'Assumptions'!$D$13)^(17-1)</x:f>
        <x:v>0</x:v>
      </x:c>
      <x:c r="AB2175" s="10" t="n">
        <x:f>F2175/1</x:f>
        <x:v>6.262369543294477</x:v>
      </x:c>
      <x:c r="AC2175" s="10" t="n">
        <x:f>AB2175/'Assumptions'!$AM$149</x:f>
        <x:v>31.311847716472382</x:v>
      </x:c>
      <x:c r="AD2175" s="10" t="n">
        <x:f>IF(AB2175=0,0,T2175/AB2175)</x:f>
        <x:v>517.5604442749675</x:v>
      </x:c>
      <x:c r="AE2175" s="10" t="n">
        <x:f>AA2175*'Assumptions'!$D$21</x:f>
        <x:v>0</x:v>
      </x:c>
    </x:row>
    <x:row r="2176" ht="16" customHeight="1">
      <x:c r="A2176" s="1"/>
      <x:c r="B2176" s="1"/>
      <x:c r="C2176" s="1" t="str">
        <x:v>DOT-121</x:v>
      </x:c>
      <x:c r="D2176" s="10" t="str">
        <x:v>OsezArt</x:v>
      </x:c>
      <x:c r="E2176" s="10" t="n">
        <x:v>17</x:v>
      </x:c>
      <x:c r="F2176" s="21" t="n">
        <x:f>F2048*(1+'Assumptions'!$M$150)</x:f>
        <x:v>6.262369543294477</x:v>
      </x:c>
      <x:c r="G2176" s="21" t="n">
        <x:f>H2048*'Assumptions'!$K$150</x:f>
        <x:v>5.907739623870084</x:v>
      </x:c>
      <x:c r="H2176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2176+G2176,NA())</x:f>
        <x:v>12.170109167164561</x:v>
      </x:c>
      <x:c r="I2176" s="22" t="n">
        <x:f>'Assumptions'!$H$150*IF('Assumptions'!$O$150=1,1,'Assumptions'!$D$10)*(1+'Assumptions'!$N$150)^(17-1)</x:f>
        <x:v>4118.357115271838</x:v>
      </x:c>
      <x:c r="J2176" s="10" t="n">
        <x:f>H2176*I2176</x:f>
        <x:v>50120.85568222719</x:v>
      </x:c>
      <x:c r="K2176" s="10" t="n">
        <x:f>J2176*'Assumptions'!$T$150</x:f>
        <x:v>50120.85568222719</x:v>
      </x:c>
      <x:c r="L2176" s="10" t="n">
        <x:f>K2176*'Assumptions'!$U$150</x:f>
        <x:v>1503.6256704668158</x:v>
      </x:c>
      <x:c r="M2176" s="10" t="n">
        <x:f>K2176*'Assumptions'!$V$150</x:f>
        <x:v>0</x:v>
      </x:c>
      <x:c r="N2176" s="10" t="n">
        <x:f>K2176-L2176-M2176</x:f>
        <x:v>48617.23001176037</x:v>
      </x:c>
      <x:c r="O2176" s="10" t="n">
        <x:f>H2176*'Assumptions'!$P$150*'Assumptions'!$Q$150*'Assumptions'!$D$11*(1+'Assumptions'!$D$13)^(17-1)</x:f>
        <x:v>22849.45947774847</x:v>
      </x:c>
      <x:c r="P2176" s="10" t="n">
        <x:f>H2176*'Assumptions'!$R$150*'Assumptions'!$D$11*(1+'Assumptions'!$D$13)^(17-1)</x:f>
        <x:v>3905.8905090168328</x:v>
      </x:c>
      <x:c r="Q2176" s="10" t="n">
        <x:f>J2176*'Assumptions'!$S$150</x:f>
        <x:v>0</x:v>
      </x:c>
      <x:c r="R2176" s="10" t="n">
        <x:f>H2176*'Assumptions'!$Y$150*'Assumptions'!$Z$150*'Assumptions'!$D$11*(1+'Assumptions'!$D$13)^(17-1)</x:f>
        <x:v>146.47089408813122</x:v>
      </x:c>
      <x:c r="S2176" s="10" t="n">
        <x:f>IF(I2176=0,0,J2176*'Assumptions'!$W$150+H2176*'Assumptions'!$X$150)</x:f>
        <x:v>1457.155847534738</x:v>
      </x:c>
      <x:c r="T2176" s="10" t="n">
        <x:f>N2176*'Assumptions'!$AA$150</x:f>
        <x:v>1944.689200470415</x:v>
      </x:c>
      <x:c r="U2176" s="10" t="n">
        <x:f>'Assumptions'!$AE$150*'Assumptions'!$D$11*(1+'Assumptions'!$D$13)^(17-1)</x:f>
        <x:v>0</x:v>
      </x:c>
      <x:c r="V2176" s="10" t="n">
        <x:f>0</x:f>
        <x:v>0</x:v>
      </x:c>
      <x:c r="W2176" s="10" t="n">
        <x:f>H2176*('Assumptions'!$P$150+'Assumptions'!$Y$150)</x:f>
        <x:v>222.10449230075324</x:v>
      </x:c>
      <x:c r="X2176" s="10" t="n">
        <x:f>N2176/12*'Assumptions'!$AF$150</x:f>
        <x:v>4051.4358343133645</x:v>
      </x:c>
      <x:c r="Y2176" s="10" t="n">
        <x:f>P2176/12</x:f>
        <x:v>325.4908757514027</x:v>
      </x:c>
      <x:c r="Z2176" s="10" t="n">
        <x:f>0</x:f>
        <x:v>0</x:v>
      </x:c>
      <x:c r="AA2176" s="10" t="n">
        <x:f>Z2176*'Assumptions'!$AC$150*'Assumptions'!$D$11*(1+'Assumptions'!$D$13)^(17-1)</x:f>
        <x:v>0</x:v>
      </x:c>
      <x:c r="AB2176" s="10" t="n">
        <x:f>F2176/1</x:f>
        <x:v>6.262369543294477</x:v>
      </x:c>
      <x:c r="AC2176" s="10" t="n">
        <x:f>AB2176/'Assumptions'!$AM$150</x:f>
        <x:v>31.311847716472382</x:v>
      </x:c>
      <x:c r="AD2176" s="10" t="n">
        <x:f>IF(AB2176=0,0,T2176/AB2176)</x:f>
        <x:v>310.53568254411294</x:v>
      </x:c>
      <x:c r="AE2176" s="10" t="n">
        <x:f>AA2176*'Assumptions'!$D$21</x:f>
        <x:v>0</x:v>
      </x:c>
    </x:row>
    <x:row r="2177" ht="16" customHeight="1">
      <x:c r="A2177" s="1"/>
      <x:c r="B2177" s="1"/>
      <x:c r="C2177" s="1" t="str">
        <x:v>DOT-122</x:v>
      </x:c>
      <x:c r="D2177" s="10" t="str">
        <x:v>OsezArt</x:v>
      </x:c>
      <x:c r="E2177" s="10" t="n">
        <x:v>17</x:v>
      </x:c>
      <x:c r="F2177" s="21" t="n">
        <x:f>F2049*(1+'Assumptions'!$M$151)</x:f>
        <x:v>2.087456514431492</x:v>
      </x:c>
      <x:c r="G2177" s="21" t="n">
        <x:f>H2049*'Assumptions'!$K$151</x:f>
        <x:v>1.969246541290028</x:v>
      </x:c>
      <x:c r="H2177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2177+G2177,NA())</x:f>
        <x:v>4.0567030557215205</x:v>
      </x:c>
      <x:c r="I2177" s="22" t="n">
        <x:f>'Assumptions'!$H$151*IF('Assumptions'!$O$151=1,1,'Assumptions'!$D$10)*(1+'Assumptions'!$N$151)^(17-1)</x:f>
        <x:v>13727.857050906125</x:v>
      </x:c>
      <x:c r="J2177" s="10" t="n">
        <x:f>H2177*I2177</x:f>
        <x:v>55689.8396469191</x:v>
      </x:c>
      <x:c r="K2177" s="10" t="n">
        <x:f>J2177*'Assumptions'!$T$151</x:f>
        <x:v>55689.8396469191</x:v>
      </x:c>
      <x:c r="L2177" s="10" t="n">
        <x:f>K2177*'Assumptions'!$U$151</x:f>
        <x:v>1670.695189407573</x:v>
      </x:c>
      <x:c r="M2177" s="10" t="n">
        <x:f>K2177*'Assumptions'!$V$151</x:f>
        <x:v>0</x:v>
      </x:c>
      <x:c r="N2177" s="10" t="n">
        <x:f>K2177-L2177-M2177</x:f>
        <x:v>54019.144457511524</x:v>
      </x:c>
      <x:c r="O2177" s="10" t="n">
        <x:f>H2177*'Assumptions'!$P$151*'Assumptions'!$Q$151*'Assumptions'!$D$11*(1+'Assumptions'!$D$13)^(17-1)</x:f>
        <x:v>25388.28830860941</x:v>
      </x:c>
      <x:c r="P2177" s="10" t="n">
        <x:f>H2177*'Assumptions'!$R$151*'Assumptions'!$D$11*(1+'Assumptions'!$D$13)^(17-1)</x:f>
        <x:v>3254.908757514027</x:v>
      </x:c>
      <x:c r="Q2177" s="10" t="n">
        <x:f>J2177*'Assumptions'!$S$151</x:f>
        <x:v>0</x:v>
      </x:c>
      <x:c r="R2177" s="10" t="n">
        <x:f>H2177*'Assumptions'!$Y$151*'Assumptions'!$Z$151*'Assumptions'!$D$11*(1+'Assumptions'!$D$13)^(17-1)</x:f>
        <x:v>48.82363136271041</x:v>
      </x:c>
      <x:c r="S2177" s="10" t="n">
        <x:f>IF(I2177=0,0,J2177*'Assumptions'!$W$151+H2177*'Assumptions'!$X$151)</x:f>
        <x:v>1616.2223606773703</x:v>
      </x:c>
      <x:c r="T2177" s="10" t="n">
        <x:f>N2177*'Assumptions'!$AA$151</x:f>
        <x:v>2160.765778300461</x:v>
      </x:c>
      <x:c r="U2177" s="10" t="n">
        <x:f>'Assumptions'!$AE$151*'Assumptions'!$D$11*(1+'Assumptions'!$D$13)^(17-1)</x:f>
        <x:v>0</x:v>
      </x:c>
      <x:c r="V2177" s="10" t="n">
        <x:f>0</x:f>
        <x:v>0</x:v>
      </x:c>
      <x:c r="W2177" s="10" t="n">
        <x:f>H2177*('Assumptions'!$P$151+'Assumptions'!$Y$151)</x:f>
        <x:v>244.4163591072216</x:v>
      </x:c>
      <x:c r="X2177" s="10" t="n">
        <x:f>N2177/12*'Assumptions'!$AF$151</x:f>
        <x:v>4501.595371459293</x:v>
      </x:c>
      <x:c r="Y2177" s="10" t="n">
        <x:f>P2177/12</x:f>
        <x:v>271.24239645950223</x:v>
      </x:c>
      <x:c r="Z2177" s="10" t="n">
        <x:f>0</x:f>
        <x:v>0</x:v>
      </x:c>
      <x:c r="AA2177" s="10" t="n">
        <x:f>Z2177*'Assumptions'!$AC$151*'Assumptions'!$D$11*(1+'Assumptions'!$D$13)^(17-1)</x:f>
        <x:v>0</x:v>
      </x:c>
      <x:c r="AB2177" s="10" t="n">
        <x:f>F2177/1</x:f>
        <x:v>2.087456514431492</x:v>
      </x:c>
      <x:c r="AC2177" s="10" t="n">
        <x:f>AB2177/'Assumptions'!$AM$151</x:f>
        <x:v>10.437282572157459</x:v>
      </x:c>
      <x:c r="AD2177" s="10" t="n">
        <x:f>IF(AB2177=0,0,T2177/AB2177)</x:f>
        <x:v>1035.1189418137099</x:v>
      </x:c>
      <x:c r="AE2177" s="10" t="n">
        <x:f>AA2177*'Assumptions'!$D$21</x:f>
        <x:v>0</x:v>
      </x:c>
    </x:row>
    <x:row r="2178" ht="16" customHeight="1">
      <x:c r="A2178" s="1"/>
      <x:c r="B2178" s="1"/>
      <x:c r="C2178" s="1" t="str">
        <x:v>DOT-123</x:v>
      </x:c>
      <x:c r="D2178" s="10" t="str">
        <x:v>FinBot research</x:v>
      </x:c>
      <x:c r="E2178" s="10" t="n">
        <x:v>17</x:v>
      </x:c>
      <x:c r="F2178" s="21" t="n">
        <x:f>F2050*(1+'Assumptions'!$M$152)</x:f>
        <x:v>224.4298231889559</x:v>
      </x:c>
      <x:c r="G2178" s="21" t="n">
        <x:f>H2050*'Assumptions'!$K$152</x:f>
        <x:v>71.93263522372288</x:v>
      </x:c>
      <x:c r="H2178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2178+G2178,NA())</x:f>
        <x:v>296.3624584126788</x:v>
      </x:c>
      <x:c r="I2178" s="22" t="n">
        <x:f>'Assumptions'!$H$152*IF('Assumptions'!$O$152=1,1,'Assumptions'!$D$10)*(1+'Assumptions'!$N$152)^(17-1)</x:f>
        <x:v>39.810785447627765</x:v>
      </x:c>
      <x:c r="J2178" s="10" t="n">
        <x:f>H2178*I2178</x:f>
        <x:v>11798.422246598662</x:v>
      </x:c>
      <x:c r="K2178" s="10" t="n">
        <x:f>J2178*'Assumptions'!$T$152</x:f>
        <x:v>11798.422246598662</x:v>
      </x:c>
      <x:c r="L2178" s="10" t="n">
        <x:f>K2178*'Assumptions'!$U$152</x:f>
        <x:v>353.95266739795983</x:v>
      </x:c>
      <x:c r="M2178" s="10" t="n">
        <x:f>K2178*'Assumptions'!$V$152</x:f>
        <x:v>0</x:v>
      </x:c>
      <x:c r="N2178" s="10" t="n">
        <x:f>K2178-L2178-M2178</x:f>
        <x:v>11444.469579200702</x:v>
      </x:c>
      <x:c r="O2178" s="10" t="n">
        <x:f>H2178*'Assumptions'!$P$152*'Assumptions'!$Q$152*'Assumptions'!$D$11*(1+'Assumptions'!$D$13)^(17-1)</x:f>
        <x:v>4280.172707897752</x:v>
      </x:c>
      <x:c r="P2178" s="10" t="n">
        <x:f>H2178*'Assumptions'!$R$152*'Assumptions'!$D$11*(1+'Assumptions'!$D$13)^(17-1)</x:f>
        <x:v>0</x:v>
      </x:c>
      <x:c r="Q2178" s="10" t="n">
        <x:f>J2178*'Assumptions'!$S$152</x:f>
        <x:v>0</x:v>
      </x:c>
      <x:c r="R2178" s="10" t="n">
        <x:f>H2178*'Assumptions'!$Y$152*'Assumptions'!$Z$152*'Assumptions'!$D$11*(1+'Assumptions'!$D$13)^(17-1)</x:f>
        <x:v>1426.7242359659176</x:v>
      </x:c>
      <x:c r="S2178" s="10" t="n">
        <x:f>IF(I2178=0,0,J2178*'Assumptions'!$W$152+H2178*'Assumptions'!$X$152)</x:f>
        <x:v>431.0629826751649</x:v>
      </x:c>
      <x:c r="T2178" s="10" t="n">
        <x:f>N2178*'Assumptions'!$AA$152</x:f>
        <x:v>572.2234789600351</x:v>
      </x:c>
      <x:c r="U2178" s="10" t="n">
        <x:f>'Assumptions'!$AE$152*'Assumptions'!$D$11*(1+'Assumptions'!$D$13)^(17-1)</x:f>
        <x:v>385.12954538370917</x:v>
      </x:c>
      <x:c r="V2178" s="10" t="n">
        <x:f>0</x:f>
        <x:v>0</x:v>
      </x:c>
      <x:c r="W2178" s="10" t="n">
        <x:f>H2178*('Assumptions'!$P$152+'Assumptions'!$Y$152)</x:f>
        <x:v>88.90873752380365</x:v>
      </x:c>
      <x:c r="X2178" s="10" t="n">
        <x:f>N2178/12*'Assumptions'!$AF$152</x:f>
        <x:v>0</x:v>
      </x:c>
      <x:c r="Y2178" s="10" t="n">
        <x:f>P2178/12</x:f>
        <x:v>0</x:v>
      </x:c>
      <x:c r="Z2178" s="10" t="n">
        <x:f>0</x:f>
        <x:v>0</x:v>
      </x:c>
      <x:c r="AA2178" s="10" t="n">
        <x:f>Z2178*'Assumptions'!$AC$152*'Assumptions'!$D$11*(1+'Assumptions'!$D$13)^(17-1)</x:f>
        <x:v>0</x:v>
      </x:c>
      <x:c r="AB2178" s="10" t="n">
        <x:f>F2178/12</x:f>
        <x:v>18.702485265746326</x:v>
      </x:c>
      <x:c r="AC2178" s="10" t="n">
        <x:f>AB2178/'Assumptions'!$AM$152</x:f>
        <x:v>374.0497053149265</x:v>
      </x:c>
      <x:c r="AD2178" s="10" t="n">
        <x:f>IF(AB2178=0,0,T2178/AB2178)</x:f>
        <x:v>30.5961197578412</x:v>
      </x:c>
      <x:c r="AE2178" s="10" t="n">
        <x:f>AA2178*'Assumptions'!$D$21</x:f>
        <x:v>0</x:v>
      </x:c>
    </x:row>
    <x:row r="2179" ht="16" customHeight="1">
      <x:c r="A2179" s="1"/>
      <x:c r="B2179" s="1"/>
      <x:c r="C2179" s="1" t="str">
        <x:v>DOT-124</x:v>
      </x:c>
      <x:c r="D2179" s="10" t="str">
        <x:v>Functional Analysis</x:v>
      </x:c>
      <x:c r="E2179" s="10" t="n">
        <x:v>17</x:v>
      </x:c>
      <x:c r="F2179" s="21" t="n">
        <x:f>F2051*(1+'Assumptions'!$M$153)</x:f>
        <x:v>448.8596463779118</x:v>
      </x:c>
      <x:c r="G2179" s="21" t="n">
        <x:f>H2051*'Assumptions'!$K$153</x:f>
        <x:v>143.86527044744577</x:v>
      </x:c>
      <x:c r="H2179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2179+G2179,NA())</x:f>
        <x:v>592.7249168253576</x:v>
      </x:c>
      <x:c r="I2179" s="22" t="n">
        <x:f>'Assumptions'!$H$153*IF('Assumptions'!$O$153=1,1,'Assumptions'!$D$10)*(1+'Assumptions'!$N$153)^(17-1)</x:f>
        <x:v>26.082928396721638</x:v>
      </x:c>
      <x:c r="J2179" s="10" t="n">
        <x:f>H2179*I2179</x:f>
        <x:v>15460.00156450859</x:v>
      </x:c>
      <x:c r="K2179" s="10" t="n">
        <x:f>J2179*'Assumptions'!$T$153</x:f>
        <x:v>15460.00156450859</x:v>
      </x:c>
      <x:c r="L2179" s="10" t="n">
        <x:f>K2179*'Assumptions'!$U$153</x:f>
        <x:v>463.8000469352577</x:v>
      </x:c>
      <x:c r="M2179" s="10" t="n">
        <x:f>K2179*'Assumptions'!$V$153</x:f>
        <x:v>0</x:v>
      </x:c>
      <x:c r="N2179" s="10" t="n">
        <x:f>K2179-L2179-M2179</x:f>
        <x:v>14996.201517573332</x:v>
      </x:c>
      <x:c r="O2179" s="10" t="n">
        <x:f>H2179*'Assumptions'!$P$153*'Assumptions'!$Q$153*'Assumptions'!$D$11*(1+'Assumptions'!$D$13)^(17-1)</x:f>
        <x:v>3329.0232172538076</x:v>
      </x:c>
      <x:c r="P2179" s="10" t="n">
        <x:f>H2179*'Assumptions'!$R$153*'Assumptions'!$D$11*(1+'Assumptions'!$D$13)^(17-1)</x:f>
        <x:v>0</x:v>
      </x:c>
      <x:c r="Q2179" s="10" t="n">
        <x:f>J2179*'Assumptions'!$S$153</x:f>
        <x:v>0</x:v>
      </x:c>
      <x:c r="R2179" s="10" t="n">
        <x:f>H2179*'Assumptions'!$Y$153*'Assumptions'!$Z$153*'Assumptions'!$D$11*(1+'Assumptions'!$D$13)^(17-1)</x:f>
        <x:v>2853.4484719318352</x:v>
      </x:c>
      <x:c r="S2179" s="10" t="n">
        <x:f>IF(I2179=0,0,J2179*'Assumptions'!$W$153+H2179*'Assumptions'!$X$153)</x:f>
        <x:v>626.1575204183564</x:v>
      </x:c>
      <x:c r="T2179" s="10" t="n">
        <x:f>N2179*'Assumptions'!$AA$153</x:f>
        <x:v>749.8100758786667</x:v>
      </x:c>
      <x:c r="U2179" s="10" t="n">
        <x:f>'Assumptions'!$AE$153*'Assumptions'!$D$11*(1+'Assumptions'!$D$13)^(17-1)</x:f>
        <x:v>0</x:v>
      </x:c>
      <x:c r="V2179" s="10" t="n">
        <x:f>0</x:f>
        <x:v>0</x:v>
      </x:c>
      <x:c r="W2179" s="10" t="n">
        <x:f>H2179*('Assumptions'!$P$153+'Assumptions'!$Y$153)</x:f>
        <x:v>118.54498336507152</x:v>
      </x:c>
      <x:c r="X2179" s="10" t="n">
        <x:f>N2179/12*'Assumptions'!$AF$153</x:f>
        <x:v>0</x:v>
      </x:c>
      <x:c r="Y2179" s="10" t="n">
        <x:f>P2179/12</x:f>
        <x:v>0</x:v>
      </x:c>
      <x:c r="Z2179" s="10" t="n">
        <x:f>0</x:f>
        <x:v>0</x:v>
      </x:c>
      <x:c r="AA2179" s="10" t="n">
        <x:f>Z2179*'Assumptions'!$AC$153*'Assumptions'!$D$11*(1+'Assumptions'!$D$13)^(17-1)</x:f>
        <x:v>0</x:v>
      </x:c>
      <x:c r="AB2179" s="10" t="n">
        <x:f>F2179/1</x:f>
        <x:v>448.8596463779118</x:v>
      </x:c>
      <x:c r="AC2179" s="10" t="n">
        <x:f>AB2179/'Assumptions'!$AM$153</x:f>
        <x:v>8977.192927558235</x:v>
      </x:c>
      <x:c r="AD2179" s="10" t="n">
        <x:f>IF(AB2179=0,0,T2179/AB2179)</x:f>
        <x:v>1.6704778028706402</x:v>
      </x:c>
      <x:c r="AE2179" s="10" t="n">
        <x:f>AA2179*'Assumptions'!$D$21</x:f>
        <x:v>0</x:v>
      </x:c>
    </x:row>
    <x:row r="2180" ht="16" customHeight="1">
      <x:c r="A2180" s="1"/>
      <x:c r="B2180" s="1"/>
      <x:c r="C2180" s="1" t="str">
        <x:v>DOT-125</x:v>
      </x:c>
      <x:c r="D2180" s="10" t="str">
        <x:v>Functional Analysis</x:v>
      </x:c>
      <x:c r="E2180" s="10" t="n">
        <x:v>17</x:v>
      </x:c>
      <x:c r="F2180" s="21" t="n">
        <x:f>F2052*(1+'Assumptions'!$M$154)</x:f>
        <x:v>37.57421725976684</x:v>
      </x:c>
      <x:c r="G2180" s="21" t="n">
        <x:f>H2052*'Assumptions'!$K$154</x:f>
        <x:v>35.446437743220486</x:v>
      </x:c>
      <x:c r="H2180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2180+G2180,NA())</x:f>
        <x:v>73.02065500298733</x:v>
      </x:c>
      <x:c r="I2180" s="22" t="n">
        <x:f>'Assumptions'!$H$154*IF('Assumptions'!$O$154=1,1,'Assumptions'!$D$10)*(1+'Assumptions'!$N$154)^(17-1)</x:f>
        <x:v>135.90578480397065</x:v>
      </x:c>
      <x:c r="J2180" s="10" t="n">
        <x:f>H2180*I2180</x:f>
        <x:v>9923.929425080978</x:v>
      </x:c>
      <x:c r="K2180" s="10" t="n">
        <x:f>J2180*'Assumptions'!$T$154</x:f>
        <x:v>9923.929425080978</x:v>
      </x:c>
      <x:c r="L2180" s="10" t="n">
        <x:f>K2180*'Assumptions'!$U$154</x:f>
        <x:v>297.7178827524293</x:v>
      </x:c>
      <x:c r="M2180" s="10" t="n">
        <x:f>K2180*'Assumptions'!$V$154</x:f>
        <x:v>0</x:v>
      </x:c>
      <x:c r="N2180" s="10" t="n">
        <x:f>K2180-L2180-M2180</x:f>
        <x:v>9626.211542328549</x:v>
      </x:c>
      <x:c r="O2180" s="10" t="n">
        <x:f>H2180*'Assumptions'!$P$154*'Assumptions'!$Q$154*'Assumptions'!$D$11*(1+'Assumptions'!$D$13)^(17-1)</x:f>
        <x:v>4687.068610820196</x:v>
      </x:c>
      <x:c r="P2180" s="10" t="n">
        <x:f>H2180*'Assumptions'!$R$154*'Assumptions'!$D$11*(1+'Assumptions'!$D$13)^(17-1)</x:f>
        <x:v>0</x:v>
      </x:c>
      <x:c r="Q2180" s="10" t="n">
        <x:f>J2180*'Assumptions'!$S$154</x:f>
        <x:v>0</x:v>
      </x:c>
      <x:c r="R2180" s="10" t="n">
        <x:f>H2180*'Assumptions'!$Y$154*'Assumptions'!$Z$154*'Assumptions'!$D$11*(1+'Assumptions'!$D$13)^(17-1)</x:f>
        <x:v>878.8253645287868</x:v>
      </x:c>
      <x:c r="S2180" s="10" t="n">
        <x:f>IF(I2180=0,0,J2180*'Assumptions'!$W$154+H2180*'Assumptions'!$X$154)</x:f>
        <x:v>309.7001498282446</x:v>
      </x:c>
      <x:c r="T2180" s="10" t="n">
        <x:f>N2180*'Assumptions'!$AA$154</x:f>
        <x:v>385.048461693142</x:v>
      </x:c>
      <x:c r="U2180" s="10" t="n">
        <x:f>'Assumptions'!$AE$154*'Assumptions'!$D$11*(1+'Assumptions'!$D$13)^(17-1)</x:f>
        <x:v>0</x:v>
      </x:c>
      <x:c r="V2180" s="10" t="n">
        <x:f>0</x:f>
        <x:v>0</x:v>
      </x:c>
      <x:c r="W2180" s="10" t="n">
        <x:f>H2180*('Assumptions'!$P$154+'Assumptions'!$Y$154)</x:f>
        <x:v>91.27581875373416</x:v>
      </x:c>
      <x:c r="X2180" s="10" t="n">
        <x:f>N2180/12*'Assumptions'!$AF$154</x:f>
        <x:v>802.1842951940457</x:v>
      </x:c>
      <x:c r="Y2180" s="10" t="n">
        <x:f>P2180/12</x:f>
        <x:v>0</x:v>
      </x:c>
      <x:c r="Z2180" s="10" t="n">
        <x:f>0</x:f>
        <x:v>0</x:v>
      </x:c>
      <x:c r="AA2180" s="10" t="n">
        <x:f>Z2180*'Assumptions'!$AC$154*'Assumptions'!$D$11*(1+'Assumptions'!$D$13)^(17-1)</x:f>
        <x:v>0</x:v>
      </x:c>
      <x:c r="AB2180" s="10" t="n">
        <x:f>F2180/1</x:f>
        <x:v>37.57421725976684</x:v>
      </x:c>
      <x:c r="AC2180" s="10" t="n">
        <x:f>AB2180/'Assumptions'!$AM$154</x:f>
        <x:v>187.8710862988342</x:v>
      </x:c>
      <x:c r="AD2180" s="10" t="n">
        <x:f>IF(AB2180=0,0,T2180/AB2180)</x:f>
        <x:v>10.247677523955726</x:v>
      </x:c>
      <x:c r="AE2180" s="10" t="n">
        <x:f>AA2180*'Assumptions'!$D$21</x:f>
        <x:v>0</x:v>
      </x:c>
    </x:row>
    <x:row r="2181" ht="16" customHeight="1">
      <x:c r="A2181" s="1"/>
      <x:c r="B2181" s="1"/>
      <x:c r="C2181" s="1" t="str">
        <x:v>DOT-126</x:v>
      </x:c>
      <x:c r="D2181" s="10" t="str">
        <x:v>Independent candy game</x:v>
      </x:c>
      <x:c r="E2181" s="10" t="n">
        <x:v>17</x:v>
      </x:c>
      <x:c r="F2181" s="21" t="n">
        <x:f>F2053*(1+'Assumptions'!$M$155)</x:f>
        <x:v>1122.1491159447796</x:v>
      </x:c>
      <x:c r="G2181" s="21" t="n">
        <x:f>H2053*'Assumptions'!$K$155</x:f>
        <x:v>359.6631761186145</x:v>
      </x:c>
      <x:c r="H2181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2181+G2181,NA())</x:f>
        <x:v>1481.8122920633941</x:v>
      </x:c>
      <x:c r="I2181" s="22" t="n">
        <x:f>'Assumptions'!$H$155*IF('Assumptions'!$O$155=1,1,'Assumptions'!$D$10)*(1+'Assumptions'!$N$155)^(17-1)</x:f>
        <x:v>6.850200668402157</x:v>
      </x:c>
      <x:c r="J2181" s="10" t="n">
        <x:f>H2181*I2181</x:f>
        <x:v>10150.711553539195</x:v>
      </x:c>
      <x:c r="K2181" s="10" t="n">
        <x:f>J2181*'Assumptions'!$T$155</x:f>
        <x:v>10150.711553539195</x:v>
      </x:c>
      <x:c r="L2181" s="10" t="n">
        <x:f>K2181*'Assumptions'!$U$155</x:f>
        <x:v>304.5213466061758</x:v>
      </x:c>
      <x:c r="M2181" s="10" t="n">
        <x:f>K2181*'Assumptions'!$V$155</x:f>
        <x:v>0</x:v>
      </x:c>
      <x:c r="N2181" s="10" t="n">
        <x:f>K2181-L2181-M2181</x:f>
        <x:v>9846.190206933019</x:v>
      </x:c>
      <x:c r="O2181" s="10" t="n">
        <x:f>H2181*'Assumptions'!$P$155*'Assumptions'!$Q$155*'Assumptions'!$D$11*(1+'Assumptions'!$D$13)^(17-1)</x:f>
        <x:v>1664.5116086269038</x:v>
      </x:c>
      <x:c r="P2181" s="10" t="n">
        <x:f>H2181*'Assumptions'!$R$155*'Assumptions'!$D$11*(1+'Assumptions'!$D$13)^(17-1)</x:f>
        <x:v>0</x:v>
      </x:c>
      <x:c r="Q2181" s="10" t="n">
        <x:f>J2181*'Assumptions'!$S$155</x:f>
        <x:v>0</x:v>
      </x:c>
      <x:c r="R2181" s="10" t="n">
        <x:f>H2181*'Assumptions'!$Y$155*'Assumptions'!$Z$155*'Assumptions'!$D$11*(1+'Assumptions'!$D$13)^(17-1)</x:f>
        <x:v>7133.621179829588</x:v>
      </x:c>
      <x:c r="S2181" s="10" t="n">
        <x:f>IF(I2181=0,0,J2181*'Assumptions'!$W$155+H2181*'Assumptions'!$X$155)</x:f>
        <x:v>738.9143226716549</x:v>
      </x:c>
      <x:c r="T2181" s="10" t="n">
        <x:f>N2181*'Assumptions'!$AA$155</x:f>
        <x:v>492.309510346651</x:v>
      </x:c>
      <x:c r="U2181" s="10" t="n">
        <x:f>'Assumptions'!$AE$155*'Assumptions'!$D$11*(1+'Assumptions'!$D$13)^(17-1)</x:f>
        <x:v>0</x:v>
      </x:c>
      <x:c r="V2181" s="10" t="n">
        <x:f>0</x:f>
        <x:v>0</x:v>
      </x:c>
      <x:c r="W2181" s="10" t="n">
        <x:f>H2181*('Assumptions'!$P$155+'Assumptions'!$Y$155)</x:f>
        <x:v>177.8174750476073</x:v>
      </x:c>
      <x:c r="X2181" s="10" t="n">
        <x:f>N2181/12*'Assumptions'!$AF$155</x:f>
        <x:v>0</x:v>
      </x:c>
      <x:c r="Y2181" s="10" t="n">
        <x:f>P2181/12</x:f>
        <x:v>0</x:v>
      </x:c>
      <x:c r="Z2181" s="10" t="n">
        <x:f>0</x:f>
        <x:v>0</x:v>
      </x:c>
      <x:c r="AA2181" s="10" t="n">
        <x:f>Z2181*'Assumptions'!$AC$155*'Assumptions'!$D$11*(1+'Assumptions'!$D$13)^(17-1)</x:f>
        <x:v>0</x:v>
      </x:c>
      <x:c r="AB2181" s="10" t="n">
        <x:f>F2181/1</x:f>
        <x:v>1122.1491159447796</x:v>
      </x:c>
      <x:c r="AC2181" s="10" t="n">
        <x:f>AB2181/'Assumptions'!$AM$155</x:f>
        <x:v>22442.982318895592</x:v>
      </x:c>
      <x:c r="AD2181" s="10" t="n">
        <x:f>IF(AB2181=0,0,T2181/AB2181)</x:f>
        <x:v>0.4387202229644472</x:v>
      </x:c>
      <x:c r="AE2181" s="10" t="n">
        <x:f>AA2181*'Assumptions'!$D$21</x:f>
        <x:v>0</x:v>
      </x:c>
    </x:row>
    <x:row r="2182" ht="16" customHeight="1">
      <x:c r="A2182" s="1"/>
      <x:c r="B2182" s="1"/>
      <x:c r="C2182" s="1" t="str">
        <x:v>DOT-127</x:v>
      </x:c>
      <x:c r="D2182" s="10" t="str">
        <x:v>Learn Anglais</x:v>
      </x:c>
      <x:c r="E2182" s="10" t="n">
        <x:v>17</x:v>
      </x:c>
      <x:c r="F2182" s="21" t="n">
        <x:f>F2054*(1+'Assumptions'!$M$156)</x:f>
        <x:v>266.08119974678146</x:v>
      </x:c>
      <x:c r="G2182" s="21" t="n">
        <x:f>H2054*'Assumptions'!$K$156</x:f>
        <x:v>562.5816009214166</x:v>
      </x:c>
      <x:c r="H2182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2182+G2182,NA())</x:f>
        <x:v>828.6628006681981</x:v>
      </x:c>
      <x:c r="I2182" s="22" t="n">
        <x:f>'Assumptions'!$H$156*IF('Assumptions'!$O$156=1,1,'Assumptions'!$D$10)*(1+'Assumptions'!$N$156)^(17-1)</x:f>
        <x:v>32.9468569221747</x:v>
      </x:c>
      <x:c r="J2182" s="10" t="n">
        <x:f>H2182*I2182</x:f>
        <x:v>27301.834730343697</x:v>
      </x:c>
      <x:c r="K2182" s="10" t="n">
        <x:f>J2182*'Assumptions'!$T$156</x:f>
        <x:v>9100.611576781232</x:v>
      </x:c>
      <x:c r="L2182" s="10" t="n">
        <x:f>K2182*'Assumptions'!$U$156</x:f>
        <x:v>273.01834730343694</x:v>
      </x:c>
      <x:c r="M2182" s="10" t="n">
        <x:f>K2182*'Assumptions'!$V$156</x:f>
        <x:v>0</x:v>
      </x:c>
      <x:c r="N2182" s="10" t="n">
        <x:f>K2182-L2182-M2182</x:f>
        <x:v>8827.593229477794</x:v>
      </x:c>
      <x:c r="O2182" s="10" t="n">
        <x:f>H2182*'Assumptions'!$P$156*'Assumptions'!$Q$156*'Assumptions'!$D$11*(1+'Assumptions'!$D$13)^(17-1)</x:f>
        <x:v>4654.161862258626</x:v>
      </x:c>
      <x:c r="P2182" s="10" t="n">
        <x:f>H2182*'Assumptions'!$R$156*'Assumptions'!$D$11*(1+'Assumptions'!$D$13)^(17-1)</x:f>
        <x:v>0</x:v>
      </x:c>
      <x:c r="Q2182" s="10" t="n">
        <x:f>J2182*'Assumptions'!$S$156</x:f>
        <x:v>0</x:v>
      </x:c>
      <x:c r="R2182" s="10" t="n">
        <x:f>H2182*'Assumptions'!$Y$156*'Assumptions'!$Z$156*'Assumptions'!$D$11*(1+'Assumptions'!$D$13)^(17-1)</x:f>
        <x:v>5983.922394332519</x:v>
      </x:c>
      <x:c r="S2182" s="10" t="n">
        <x:f>IF(I2182=0,0,J2182*'Assumptions'!$W$156+H2182*'Assumptions'!$X$156)</x:f>
        <x:v>1040.3520473804267</x:v>
      </x:c>
      <x:c r="T2182" s="10" t="n">
        <x:f>N2182*'Assumptions'!$AA$156</x:f>
        <x:v>441.3796614738897</x:v>
      </x:c>
      <x:c r="U2182" s="10" t="n">
        <x:f>'Assumptions'!$AE$156*'Assumptions'!$D$11*(1+'Assumptions'!$D$13)^(17-1)</x:f>
        <x:v>0</x:v>
      </x:c>
      <x:c r="V2182" s="10" t="n">
        <x:f>0</x:f>
        <x:v>0</x:v>
      </x:c>
      <x:c r="W2182" s="10" t="n">
        <x:f>H2182*('Assumptions'!$P$156+'Assumptions'!$Y$156)</x:f>
        <x:v>207.16570016704952</x:v>
      </x:c>
      <x:c r="X2182" s="10" t="n">
        <x:f>N2182/12*'Assumptions'!$AF$156</x:f>
        <x:v>0</x:v>
      </x:c>
      <x:c r="Y2182" s="10" t="n">
        <x:f>P2182/12</x:f>
        <x:v>0</x:v>
      </x:c>
      <x:c r="Z2182" s="10" t="n">
        <x:f>0</x:f>
        <x:v>0</x:v>
      </x:c>
      <x:c r="AA2182" s="10" t="n">
        <x:f>Z2182*'Assumptions'!$AC$156*'Assumptions'!$D$11*(1+'Assumptions'!$D$13)^(17-1)</x:f>
        <x:v>0</x:v>
      </x:c>
      <x:c r="AB2182" s="10" t="n">
        <x:f>F2182/1</x:f>
        <x:v>266.08119974678146</x:v>
      </x:c>
      <x:c r="AC2182" s="10" t="n">
        <x:f>AB2182/'Assumptions'!$AM$156</x:f>
        <x:v>5321.623994935629</x:v>
      </x:c>
      <x:c r="AD2182" s="10" t="n">
        <x:f>IF(AB2182=0,0,T2182/AB2182)</x:f>
        <x:v>1.6588156618879222</x:v>
      </x:c>
      <x:c r="AE2182" s="10" t="n">
        <x:f>AA2182*'Assumptions'!$D$21</x:f>
        <x:v>0</x:v>
      </x:c>
    </x:row>
    <x:row r="2183" ht="16" customHeight="1">
      <x:c r="A2183" s="1"/>
      <x:c r="B2183" s="1"/>
      <x:c r="C2183" s="1" t="str">
        <x:v>DOT-128</x:v>
      </x:c>
      <x:c r="D2183" s="10" t="str">
        <x:v>Learn Anglais</x:v>
      </x:c>
      <x:c r="E2183" s="10" t="n">
        <x:v>17</x:v>
      </x:c>
      <x:c r="F2183" s="21" t="n">
        <x:f>F2055*(1+'Assumptions'!$M$157)</x:f>
        <x:v>106.43247989871256</x:v>
      </x:c>
      <x:c r="G2183" s="21" t="n">
        <x:f>H2055*'Assumptions'!$K$157</x:f>
        <x:v>225.0326403685666</x:v>
      </x:c>
      <x:c r="H2183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2183+G2183,NA())</x:f>
        <x:v>331.4651202672792</x:v>
      </x:c>
      <x:c r="I2183" s="22" t="n">
        <x:f>'Assumptions'!$H$157*IF('Assumptions'!$O$157=1,1,'Assumptions'!$D$10)*(1+'Assumptions'!$N$157)^(17-1)</x:f>
        <x:v>226.50964133995106</x:v>
      </x:c>
      <x:c r="J2183" s="10" t="n">
        <x:f>H2183*I2183</x:f>
        <x:v>75080.04550844515</x:v>
      </x:c>
      <x:c r="K2183" s="10" t="n">
        <x:f>J2183*'Assumptions'!$T$157</x:f>
        <x:v>22524.013652533544</x:v>
      </x:c>
      <x:c r="L2183" s="10" t="n">
        <x:f>K2183*'Assumptions'!$U$157</x:f>
        <x:v>675.7204095760063</x:v>
      </x:c>
      <x:c r="M2183" s="10" t="n">
        <x:f>K2183*'Assumptions'!$V$157</x:f>
        <x:v>0</x:v>
      </x:c>
      <x:c r="N2183" s="10" t="n">
        <x:f>K2183-L2183-M2183</x:f>
        <x:v>21848.293242957538</x:v>
      </x:c>
      <x:c r="O2183" s="10" t="n">
        <x:f>H2183*'Assumptions'!$P$157*'Assumptions'!$Q$157*'Assumptions'!$D$11*(1+'Assumptions'!$D$13)^(17-1)</x:f>
        <x:v>1861.66474490345</x:v>
      </x:c>
      <x:c r="P2183" s="10" t="n">
        <x:f>H2183*'Assumptions'!$R$157*'Assumptions'!$D$11*(1+'Assumptions'!$D$13)^(17-1)</x:f>
        <x:v>0</x:v>
      </x:c>
      <x:c r="Q2183" s="10" t="n">
        <x:f>J2183*'Assumptions'!$S$157</x:f>
        <x:v>0</x:v>
      </x:c>
      <x:c r="R2183" s="10" t="n">
        <x:f>H2183*'Assumptions'!$Y$157*'Assumptions'!$Z$157*'Assumptions'!$D$11*(1+'Assumptions'!$D$13)^(17-1)</x:f>
        <x:v>2393.568957733007</x:v>
      </x:c>
      <x:c r="S2183" s="10" t="n">
        <x:f>IF(I2183=0,0,J2183*'Assumptions'!$W$157+H2183*'Assumptions'!$X$157)</x:f>
        <x:v>2276.760855825093</x:v>
      </x:c>
      <x:c r="T2183" s="10" t="n">
        <x:f>N2183*'Assumptions'!$AA$157</x:f>
        <x:v>1092.414662147877</x:v>
      </x:c>
      <x:c r="U2183" s="10" t="n">
        <x:f>'Assumptions'!$AE$157*'Assumptions'!$D$11*(1+'Assumptions'!$D$13)^(17-1)</x:f>
        <x:v>0</x:v>
      </x:c>
      <x:c r="V2183" s="10" t="n">
        <x:f>0</x:f>
        <x:v>0</x:v>
      </x:c>
      <x:c r="W2183" s="10" t="n">
        <x:f>H2183*('Assumptions'!$P$157+'Assumptions'!$Y$157)</x:f>
        <x:v>82.8662800668198</x:v>
      </x:c>
      <x:c r="X2183" s="10" t="n">
        <x:f>N2183/12*'Assumptions'!$AF$157</x:f>
        <x:v>0</x:v>
      </x:c>
      <x:c r="Y2183" s="10" t="n">
        <x:f>P2183/12</x:f>
        <x:v>0</x:v>
      </x:c>
      <x:c r="Z2183" s="10" t="n">
        <x:f>0</x:f>
        <x:v>0</x:v>
      </x:c>
      <x:c r="AA2183" s="10" t="n">
        <x:f>Z2183*'Assumptions'!$AC$157*'Assumptions'!$D$11*(1+'Assumptions'!$D$13)^(17-1)</x:f>
        <x:v>0</x:v>
      </x:c>
      <x:c r="AB2183" s="10" t="n">
        <x:f>F2183/1</x:f>
        <x:v>106.43247989871256</x:v>
      </x:c>
      <x:c r="AC2183" s="10" t="n">
        <x:f>AB2183/'Assumptions'!$AM$157</x:f>
        <x:v>2128.649597974251</x:v>
      </x:c>
      <x:c r="AD2183" s="10" t="n">
        <x:f>IF(AB2183=0,0,T2183/AB2183)</x:f>
        <x:v>10.26392190793152</x:v>
      </x:c>
      <x:c r="AE2183" s="10" t="n">
        <x:f>AA2183*'Assumptions'!$D$21</x:f>
        <x:v>0</x:v>
      </x:c>
    </x:row>
    <x:row r="2184" ht="16" customHeight="1">
      <x:c r="A2184" s="1"/>
      <x:c r="B2184" s="1"/>
      <x:c r="C2184" s="1" t="str">
        <x:v>DOT-001</x:v>
      </x:c>
      <x:c r="D2184" s="10" t="str">
        <x:v>ETV courses</x:v>
      </x:c>
      <x:c r="E2184" s="10" t="n">
        <x:v>18</x:v>
      </x:c>
      <x:c r="F2184" s="21" t="n">
        <x:f>F2056*(1+'Assumptions'!$M$30)</x:f>
        <x:v>462.32543576924917</x:v>
      </x:c>
      <x:c r="G2184" s="21" t="n">
        <x:f>H2056*'Assumptions'!$K$30</x:f>
        <x:v>148.18122921332431</x:v>
      </x:c>
      <x:c r="H2184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2184+G2184,NA())</x:f>
        <x:v>610.5066649825735</x:v>
      </x:c>
      <x:c r="I2184" s="22" t="n">
        <x:f>'Assumptions'!$H$30*IF('Assumptions'!$O$30=1,1,'Assumptions'!$D$10)*(1+'Assumptions'!$N$30)^(18-1)</x:f>
        <x:v>29</x:v>
      </x:c>
      <x:c r="J2184" s="10" t="n">
        <x:f>H2184*I2184</x:f>
        <x:v>17704.69328449463</x:v>
      </x:c>
      <x:c r="K2184" s="10" t="n">
        <x:f>J2184*'Assumptions'!$T$30</x:f>
        <x:v>17704.69328449463</x:v>
      </x:c>
      <x:c r="L2184" s="10" t="n">
        <x:f>K2184*'Assumptions'!$U$30</x:f>
        <x:v>531.140798534839</x:v>
      </x:c>
      <x:c r="M2184" s="10" t="n">
        <x:f>K2184*'Assumptions'!$V$30</x:f>
        <x:v>0</x:v>
      </x:c>
      <x:c r="N2184" s="10" t="n">
        <x:f>K2184-L2184-M2184</x:f>
        <x:v>17173.552485959794</x:v>
      </x:c>
      <x:c r="O2184" s="10" t="n">
        <x:f>H2184*'Assumptions'!$P$30*'Assumptions'!$Q$30*'Assumptions'!$D$11*(1+'Assumptions'!$D$13)^(18-1)</x:f>
        <x:v>5297.641102438493</x:v>
      </x:c>
      <x:c r="P2184" s="10" t="n">
        <x:f>H2184*'Assumptions'!$R$30*'Assumptions'!$D$11*(1+'Assumptions'!$D$13)^(18-1)</x:f>
        <x:v>0</x:v>
      </x:c>
      <x:c r="Q2184" s="10" t="n">
        <x:f>J2184*'Assumptions'!$S$30</x:f>
        <x:v>0</x:v>
      </x:c>
      <x:c r="R2184" s="10" t="n">
        <x:f>H2184*'Assumptions'!$Y$30*'Assumptions'!$Z$30*'Assumptions'!$D$11*(1+'Assumptions'!$D$13)^(18-1)</x:f>
        <x:v>3027.223487107711</x:v>
      </x:c>
      <x:c r="S2184" s="10" t="n">
        <x:f>IF(I2184=0,0,J2184*'Assumptions'!$W$30+H2184*'Assumptions'!$X$30)</x:f>
        <x:v>696.5881047451164</x:v>
      </x:c>
      <x:c r="T2184" s="10" t="n">
        <x:f>N2184*'Assumptions'!$AA$30</x:f>
        <x:v>858.6776242979897</x:v>
      </x:c>
      <x:c r="U2184" s="10" t="n">
        <x:f>'Assumptions'!$AE$30*'Assumptions'!$D$11*(1+'Assumptions'!$D$13)^(18-1)</x:f>
        <x:v>0</x:v>
      </x:c>
      <x:c r="V2184" s="10" t="n">
        <x:f>0</x:f>
        <x:v>0</x:v>
      </x:c>
      <x:c r="W2184" s="10" t="n">
        <x:f>H2184*('Assumptions'!$P$30+'Assumptions'!$Y$30)</x:f>
        <x:v>152.62666624564338</x:v>
      </x:c>
      <x:c r="X2184" s="10" t="n">
        <x:f>N2184/12*'Assumptions'!$AF$30</x:f>
        <x:v>0</x:v>
      </x:c>
      <x:c r="Y2184" s="10" t="n">
        <x:f>P2184/12</x:f>
        <x:v>0</x:v>
      </x:c>
      <x:c r="Z2184" s="10" t="n">
        <x:f>0</x:f>
        <x:v>0</x:v>
      </x:c>
      <x:c r="AA2184" s="10" t="n">
        <x:f>Z2184*'Assumptions'!$AC$30*'Assumptions'!$D$11*(1+'Assumptions'!$D$13)^(18-1)</x:f>
        <x:v>0</x:v>
      </x:c>
      <x:c r="AB2184" s="10" t="n">
        <x:f>F2184/1</x:f>
        <x:v>462.32543576924917</x:v>
      </x:c>
      <x:c r="AC2184" s="10" t="n">
        <x:f>AB2184/'Assumptions'!$AM$30</x:f>
        <x:v>9246.508715384984</x:v>
      </x:c>
      <x:c r="AD2184" s="10" t="n">
        <x:f>IF(AB2184=0,0,T2184/AB2184)</x:f>
        <x:v>1.857301281443151</x:v>
      </x:c>
      <x:c r="AE2184" s="10" t="n">
        <x:f>AA2184*'Assumptions'!$D$21</x:f>
        <x:v>0</x:v>
      </x:c>
    </x:row>
    <x:row r="2185" ht="16" customHeight="1">
      <x:c r="A2185" s="1"/>
      <x:c r="B2185" s="1"/>
      <x:c r="C2185" s="1" t="str">
        <x:v>DOT-002</x:v>
      </x:c>
      <x:c r="D2185" s="10" t="str">
        <x:v>ETV courses</x:v>
      </x:c>
      <x:c r="E2185" s="10" t="n">
        <x:v>18</x:v>
      </x:c>
      <x:c r="F2185" s="21" t="n">
        <x:f>F2057*(1+'Assumptions'!$M$31)</x:f>
        <x:v>732.0152733013113</x:v>
      </x:c>
      <x:c r="G2185" s="21" t="n">
        <x:f>H2057*'Assumptions'!$K$31</x:f>
        <x:v>234.62027958776355</x:v>
      </x:c>
      <x:c r="H2185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2185+G2185,NA())</x:f>
        <x:v>966.6355528890748</x:v>
      </x:c>
      <x:c r="I2185" s="22" t="n">
        <x:f>'Assumptions'!$H$31*IF('Assumptions'!$O$31=1,1,'Assumptions'!$D$10)*(1+'Assumptions'!$N$31)^(18-1)</x:f>
        <x:v>54.60941534850457</x:v>
      </x:c>
      <x:c r="J2185" s="10" t="n">
        <x:f>H2185*I2185</x:f>
        <x:v>52787.402398350845</x:v>
      </x:c>
      <x:c r="K2185" s="10" t="n">
        <x:f>J2185*'Assumptions'!$T$31</x:f>
        <x:v>52787.402398350845</x:v>
      </x:c>
      <x:c r="L2185" s="10" t="n">
        <x:f>K2185*'Assumptions'!$U$31</x:f>
        <x:v>1583.6220719505252</x:v>
      </x:c>
      <x:c r="M2185" s="10" t="n">
        <x:f>K2185*'Assumptions'!$V$31</x:f>
        <x:v>0</x:v>
      </x:c>
      <x:c r="N2185" s="10" t="n">
        <x:f>K2185-L2185-M2185</x:f>
        <x:v>51203.78032640032</x:v>
      </x:c>
      <x:c r="O2185" s="10" t="n">
        <x:f>H2185*'Assumptions'!$P$31*'Assumptions'!$Q$31*'Assumptions'!$D$11*(1+'Assumptions'!$D$13)^(18-1)</x:f>
        <x:v>8387.931745527616</x:v>
      </x:c>
      <x:c r="P2185" s="10" t="n">
        <x:f>H2185*'Assumptions'!$R$31*'Assumptions'!$D$11*(1+'Assumptions'!$D$13)^(18-1)</x:f>
        <x:v>0</x:v>
      </x:c>
      <x:c r="Q2185" s="10" t="n">
        <x:f>J2185*'Assumptions'!$S$31</x:f>
        <x:v>0</x:v>
      </x:c>
      <x:c r="R2185" s="10" t="n">
        <x:f>H2185*'Assumptions'!$Y$31*'Assumptions'!$Z$31*'Assumptions'!$D$11*(1+'Assumptions'!$D$13)^(18-1)</x:f>
        <x:v>4793.10385458721</x:v>
      </x:c>
      <x:c r="S2185" s="10" t="n">
        <x:f>IF(I2185=0,0,J2185*'Assumptions'!$W$31+H2185*'Assumptions'!$X$31)</x:f>
        <x:v>1820.8253354188969</x:v>
      </x:c>
      <x:c r="T2185" s="10" t="n">
        <x:f>N2185*'Assumptions'!$AA$31</x:f>
        <x:v>2560.1890163200164</x:v>
      </x:c>
      <x:c r="U2185" s="10" t="n">
        <x:f>'Assumptions'!$AE$31*'Assumptions'!$D$11*(1+'Assumptions'!$D$13)^(18-1)</x:f>
        <x:v>0</x:v>
      </x:c>
      <x:c r="V2185" s="10" t="n">
        <x:f>0</x:f>
        <x:v>0</x:v>
      </x:c>
      <x:c r="W2185" s="10" t="n">
        <x:f>H2185*('Assumptions'!$P$31+'Assumptions'!$Y$31)</x:f>
        <x:v>241.6588882222687</x:v>
      </x:c>
      <x:c r="X2185" s="10" t="n">
        <x:f>N2185/12*'Assumptions'!$AF$31</x:f>
        <x:v>0</x:v>
      </x:c>
      <x:c r="Y2185" s="10" t="n">
        <x:f>P2185/12</x:f>
        <x:v>0</x:v>
      </x:c>
      <x:c r="Z2185" s="10" t="n">
        <x:f>0</x:f>
        <x:v>0</x:v>
      </x:c>
      <x:c r="AA2185" s="10" t="n">
        <x:f>Z2185*'Assumptions'!$AC$31*'Assumptions'!$D$11*(1+'Assumptions'!$D$13)^(18-1)</x:f>
        <x:v>0</x:v>
      </x:c>
      <x:c r="AB2185" s="10" t="n">
        <x:f>F2185/1</x:f>
        <x:v>732.0152733013113</x:v>
      </x:c>
      <x:c r="AC2185" s="10" t="n">
        <x:f>AB2185/'Assumptions'!$AM$31</x:f>
        <x:v>14640.305466026224</x:v>
      </x:c>
      <x:c r="AD2185" s="10" t="n">
        <x:f>IF(AB2185=0,0,T2185/AB2185)</x:f>
        <x:v>3.4974530036427183</x:v>
      </x:c>
      <x:c r="AE2185" s="10" t="n">
        <x:f>AA2185*'Assumptions'!$D$21</x:f>
        <x:v>0</x:v>
      </x:c>
    </x:row>
    <x:row r="2186" ht="16" customHeight="1">
      <x:c r="A2186" s="1"/>
      <x:c r="B2186" s="1"/>
      <x:c r="C2186" s="1" t="str">
        <x:v>DOT-003</x:v>
      </x:c>
      <x:c r="D2186" s="10" t="str">
        <x:v>ETV services</x:v>
      </x:c>
      <x:c r="E2186" s="10" t="n">
        <x:v>18</x:v>
      </x:c>
      <x:c r="F2186" s="21" t="n">
        <x:f>F2058*(1+'Assumptions'!$M$32)</x:f>
        <x:v>12.900481259186622</x:v>
      </x:c>
      <x:c r="G2186" s="21" t="n">
        <x:f>H2058*'Assumptions'!$K$32</x:f>
        <x:v>12.170154943531749</x:v>
      </x:c>
      <x:c r="H2186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2186+G2186,NA())</x:f>
        <x:v>25.07063620271837</x:v>
      </x:c>
      <x:c r="I2186" s="22" t="n">
        <x:f>'Assumptions'!$H$32*IF('Assumptions'!$O$32=1,1,'Assumptions'!$D$10)*(1+'Assumptions'!$N$32)^(18-1)</x:f>
        <x:v>2450.4224835867435</x:v>
      </x:c>
      <x:c r="J2186" s="10" t="n">
        <x:f>H2186*I2186</x:f>
        <x:v>61433.65062896487</x:v>
      </x:c>
      <x:c r="K2186" s="10" t="n">
        <x:f>J2186*'Assumptions'!$T$32</x:f>
        <x:v>61433.65062896487</x:v>
      </x:c>
      <x:c r="L2186" s="10" t="n">
        <x:f>K2186*'Assumptions'!$U$32</x:f>
        <x:v>1843.0095188689459</x:v>
      </x:c>
      <x:c r="M2186" s="10" t="n">
        <x:f>K2186*'Assumptions'!$V$32</x:f>
        <x:v>0</x:v>
      </x:c>
      <x:c r="N2186" s="10" t="n">
        <x:f>K2186-L2186-M2186</x:f>
        <x:v>59590.64111009592</x:v>
      </x:c>
      <x:c r="O2186" s="10" t="n">
        <x:f>H2186*'Assumptions'!$P$32*'Assumptions'!$Q$32*'Assumptions'!$D$11*(1+'Assumptions'!$D$13)^(18-1)</x:f>
        <x:v>37294.147518488564</x:v>
      </x:c>
      <x:c r="P2186" s="10" t="n">
        <x:f>H2186*'Assumptions'!$R$32*'Assumptions'!$D$11*(1+'Assumptions'!$D$13)^(18-1)</x:f>
        <x:v>1035.948542180238</x:v>
      </x:c>
      <x:c r="Q2186" s="10" t="n">
        <x:f>J2186*'Assumptions'!$S$32</x:f>
        <x:v>0</x:v>
      </x:c>
      <x:c r="R2186" s="10" t="n">
        <x:f>H2186*'Assumptions'!$Y$32*'Assumptions'!$Z$32*'Assumptions'!$D$11*(1+'Assumptions'!$D$13)^(18-1)</x:f>
        <x:v>310.78456265407135</x:v>
      </x:c>
      <x:c r="S2186" s="10" t="n">
        <x:f>IF(I2186=0,0,J2186*'Assumptions'!$W$32+H2186*'Assumptions'!$X$32)</x:f>
        <x:v>1789.0970591007967</x:v>
      </x:c>
      <x:c r="T2186" s="10" t="n">
        <x:f>N2186*'Assumptions'!$AA$32</x:f>
        <x:v>2383.6256444038368</x:v>
      </x:c>
      <x:c r="U2186" s="10" t="n">
        <x:f>'Assumptions'!$AE$32*'Assumptions'!$D$11*(1+'Assumptions'!$D$13)^(18-1)</x:f>
        <x:v>0</x:v>
      </x:c>
      <x:c r="V2186" s="10" t="n">
        <x:f>0</x:f>
        <x:v>0</x:v>
      </x:c>
      <x:c r="W2186" s="10" t="n">
        <x:f>H2186*('Assumptions'!$P$32+'Assumptions'!$Y$32)</x:f>
        <x:v>507.680383105047</x:v>
      </x:c>
      <x:c r="X2186" s="10" t="n">
        <x:f>N2186/12*'Assumptions'!$AF$32</x:f>
        <x:v>4965.88675917466</x:v>
      </x:c>
      <x:c r="Y2186" s="10" t="n">
        <x:f>P2186/12</x:f>
        <x:v>86.32904518168651</x:v>
      </x:c>
      <x:c r="Z2186" s="10" t="n">
        <x:f>0</x:f>
        <x:v>0</x:v>
      </x:c>
      <x:c r="AA2186" s="10" t="n">
        <x:f>Z2186*'Assumptions'!$AC$32*'Assumptions'!$D$11*(1+'Assumptions'!$D$13)^(18-1)</x:f>
        <x:v>0</x:v>
      </x:c>
      <x:c r="AB2186" s="10" t="n">
        <x:f>F2186/1</x:f>
        <x:v>12.900481259186622</x:v>
      </x:c>
      <x:c r="AC2186" s="10" t="n">
        <x:f>AB2186/'Assumptions'!$AM$32</x:f>
        <x:v>64.5024062959331</x:v>
      </x:c>
      <x:c r="AD2186" s="10" t="n">
        <x:f>IF(AB2186=0,0,T2186/AB2186)</x:f>
        <x:v>184.77028852752466</x:v>
      </x:c>
      <x:c r="AE2186" s="10" t="n">
        <x:f>AA2186*'Assumptions'!$D$21</x:f>
        <x:v>0</x:v>
      </x:c>
    </x:row>
    <x:row r="2187" ht="16" customHeight="1">
      <x:c r="A2187" s="1"/>
      <x:c r="B2187" s="1"/>
      <x:c r="C2187" s="1" t="str">
        <x:v>DOT-004</x:v>
      </x:c>
      <x:c r="D2187" s="10" t="str">
        <x:v>ETV services</x:v>
      </x:c>
      <x:c r="E2187" s="10" t="n">
        <x:v>18</x:v>
      </x:c>
      <x:c r="F2187" s="21" t="n">
        <x:f>F2059*(1+'Assumptions'!$M$33)</x:f>
        <x:v>8.600320839457748</x:v>
      </x:c>
      <x:c r="G2187" s="21" t="n">
        <x:f>H2059*'Assumptions'!$K$33</x:f>
        <x:v>8.113436629021166</x:v>
      </x:c>
      <x:c r="H2187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2187+G2187,NA())</x:f>
        <x:v>16.713757468478914</x:v>
      </x:c>
      <x:c r="I2187" s="22" t="n">
        <x:f>'Assumptions'!$H$33*IF('Assumptions'!$O$33=1,1,'Assumptions'!$D$10)*(1+'Assumptions'!$N$33)^(18-1)</x:f>
        <x:v>3500.603547981062</x:v>
      </x:c>
      <x:c r="J2187" s="10" t="n">
        <x:f>H2187*I2187</x:f>
        <x:v>58508.23869425226</x:v>
      </x:c>
      <x:c r="K2187" s="10" t="n">
        <x:f>J2187*'Assumptions'!$T$33</x:f>
        <x:v>58508.23869425226</x:v>
      </x:c>
      <x:c r="L2187" s="10" t="n">
        <x:f>K2187*'Assumptions'!$U$33</x:f>
        <x:v>1755.2471608275675</x:v>
      </x:c>
      <x:c r="M2187" s="10" t="n">
        <x:f>K2187*'Assumptions'!$V$33</x:f>
        <x:v>0</x:v>
      </x:c>
      <x:c r="N2187" s="10" t="n">
        <x:f>K2187-L2187-M2187</x:f>
        <x:v>56752.99153342469</x:v>
      </x:c>
      <x:c r="O2187" s="10" t="n">
        <x:f>H2187*'Assumptions'!$P$33*'Assumptions'!$Q$33*'Assumptions'!$D$11*(1+'Assumptions'!$D$13)^(18-1)</x:f>
        <x:v>37294.14751848857</x:v>
      </x:c>
      <x:c r="P2187" s="10" t="n">
        <x:f>H2187*'Assumptions'!$R$33*'Assumptions'!$D$11*(1+'Assumptions'!$D$13)^(18-1)</x:f>
        <x:v>690.632361453492</x:v>
      </x:c>
      <x:c r="Q2187" s="10" t="n">
        <x:f>J2187*'Assumptions'!$S$33</x:f>
        <x:v>0</x:v>
      </x:c>
      <x:c r="R2187" s="10" t="n">
        <x:f>H2187*'Assumptions'!$Y$33*'Assumptions'!$Z$33*'Assumptions'!$D$11*(1+'Assumptions'!$D$13)^(18-1)</x:f>
        <x:v>207.1897084360476</x:v>
      </x:c>
      <x:c r="S2187" s="10" t="n">
        <x:f>IF(I2187=0,0,J2187*'Assumptions'!$W$33+H2187*'Assumptions'!$X$33)</x:f>
        <x:v>1701.7530493738593</x:v>
      </x:c>
      <x:c r="T2187" s="10" t="n">
        <x:f>N2187*'Assumptions'!$AA$33</x:f>
        <x:v>2270.1196613369875</x:v>
      </x:c>
      <x:c r="U2187" s="10" t="n">
        <x:f>'Assumptions'!$AE$33*'Assumptions'!$D$11*(1+'Assumptions'!$D$13)^(18-1)</x:f>
        <x:v>0</x:v>
      </x:c>
      <x:c r="V2187" s="10" t="n">
        <x:f>0</x:f>
        <x:v>0</x:v>
      </x:c>
      <x:c r="W2187" s="10" t="n">
        <x:f>H2187*('Assumptions'!$P$33+'Assumptions'!$Y$33)</x:f>
        <x:v>505.5911634214871</x:v>
      </x:c>
      <x:c r="X2187" s="10" t="n">
        <x:f>N2187/12*'Assumptions'!$AF$33</x:f>
        <x:v>4729.415961118724</x:v>
      </x:c>
      <x:c r="Y2187" s="10" t="n">
        <x:f>P2187/12</x:f>
        <x:v>57.552696787791</x:v>
      </x:c>
      <x:c r="Z2187" s="10" t="n">
        <x:f>0</x:f>
        <x:v>0</x:v>
      </x:c>
      <x:c r="AA2187" s="10" t="n">
        <x:f>Z2187*'Assumptions'!$AC$33*'Assumptions'!$D$11*(1+'Assumptions'!$D$13)^(18-1)</x:f>
        <x:v>0</x:v>
      </x:c>
      <x:c r="AB2187" s="10" t="n">
        <x:f>F2187/1</x:f>
        <x:v>8.600320839457748</x:v>
      </x:c>
      <x:c r="AC2187" s="10" t="n">
        <x:f>AB2187/'Assumptions'!$AM$33</x:f>
        <x:v>43.001604197288735</x:v>
      </x:c>
      <x:c r="AD2187" s="10" t="n">
        <x:f>IF(AB2187=0,0,T2187/AB2187)</x:f>
        <x:v>263.95755503932094</x:v>
      </x:c>
      <x:c r="AE2187" s="10" t="n">
        <x:f>AA2187*'Assumptions'!$D$21</x:f>
        <x:v>0</x:v>
      </x:c>
    </x:row>
    <x:row r="2188" ht="16" customHeight="1">
      <x:c r="A2188" s="1"/>
      <x:c r="B2188" s="1"/>
      <x:c r="C2188" s="1" t="str">
        <x:v>DOT-005</x:v>
      </x:c>
      <x:c r="D2188" s="10" t="str">
        <x:v>ETV services</x:v>
      </x:c>
      <x:c r="E2188" s="10" t="n">
        <x:v>18</x:v>
      </x:c>
      <x:c r="F2188" s="21" t="n">
        <x:f>F2060*(1+'Assumptions'!$M$34)</x:f>
        <x:v>8.600320839457748</x:v>
      </x:c>
      <x:c r="G2188" s="21" t="n">
        <x:f>H2060*'Assumptions'!$K$34</x:f>
        <x:v>8.113436629021166</x:v>
      </x:c>
      <x:c r="H2188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2188+G2188,NA())</x:f>
        <x:v>16.713757468478914</x:v>
      </x:c>
      <x:c r="I2188" s="22" t="n">
        <x:f>'Assumptions'!$H$34*IF('Assumptions'!$O$34=1,1,'Assumptions'!$D$10)*(1+'Assumptions'!$N$34)^(18-1)</x:f>
        <x:v>2100.362128788637</x:v>
      </x:c>
      <x:c r="J2188" s="10" t="n">
        <x:f>H2188*I2188</x:f>
        <x:v>35104.94321655136</x:v>
      </x:c>
      <x:c r="K2188" s="10" t="n">
        <x:f>J2188*'Assumptions'!$T$34</x:f>
        <x:v>35104.94321655136</x:v>
      </x:c>
      <x:c r="L2188" s="10" t="n">
        <x:f>K2188*'Assumptions'!$U$34</x:f>
        <x:v>1053.1482964965408</x:v>
      </x:c>
      <x:c r="M2188" s="10" t="n">
        <x:f>K2188*'Assumptions'!$V$34</x:f>
        <x:v>0</x:v>
      </x:c>
      <x:c r="N2188" s="10" t="n">
        <x:f>K2188-L2188-M2188</x:f>
        <x:v>34051.79492005482</x:v>
      </x:c>
      <x:c r="O2188" s="10" t="n">
        <x:f>H2188*'Assumptions'!$P$34*'Assumptions'!$Q$34*'Assumptions'!$D$11*(1+'Assumptions'!$D$13)^(18-1)</x:f>
        <x:v>22376.488511093143</x:v>
      </x:c>
      <x:c r="P2188" s="10" t="n">
        <x:f>H2188*'Assumptions'!$R$34*'Assumptions'!$D$11*(1+'Assumptions'!$D$13)^(18-1)</x:f>
        <x:v>690.632361453492</x:v>
      </x:c>
      <x:c r="Q2188" s="10" t="n">
        <x:f>J2188*'Assumptions'!$S$34</x:f>
        <x:v>0</x:v>
      </x:c>
      <x:c r="R2188" s="10" t="n">
        <x:f>H2188*'Assumptions'!$Y$34*'Assumptions'!$Z$34*'Assumptions'!$D$11*(1+'Assumptions'!$D$13)^(18-1)</x:f>
        <x:v>207.1897084360476</x:v>
      </x:c>
      <x:c r="S2188" s="10" t="n">
        <x:f>IF(I2188=0,0,J2188*'Assumptions'!$W$34+H2188*'Assumptions'!$X$34)</x:f>
        <x:v>1023.0574805205331</x:v>
      </x:c>
      <x:c r="T2188" s="10" t="n">
        <x:f>N2188*'Assumptions'!$AA$34</x:f>
        <x:v>1362.0717968021927</x:v>
      </x:c>
      <x:c r="U2188" s="10" t="n">
        <x:f>'Assumptions'!$AE$34*'Assumptions'!$D$11*(1+'Assumptions'!$D$13)^(18-1)</x:f>
        <x:v>0</x:v>
      </x:c>
      <x:c r="V2188" s="10" t="n">
        <x:f>0</x:f>
        <x:v>0</x:v>
      </x:c>
      <x:c r="W2188" s="10" t="n">
        <x:f>H2188*('Assumptions'!$P$34+'Assumptions'!$Y$34)</x:f>
        <x:v>305.0260737997402</x:v>
      </x:c>
      <x:c r="X2188" s="10" t="n">
        <x:f>N2188/12*'Assumptions'!$AF$34</x:f>
        <x:v>2837.6495766712346</x:v>
      </x:c>
      <x:c r="Y2188" s="10" t="n">
        <x:f>P2188/12</x:f>
        <x:v>57.552696787791</x:v>
      </x:c>
      <x:c r="Z2188" s="10" t="n">
        <x:f>0</x:f>
        <x:v>0</x:v>
      </x:c>
      <x:c r="AA2188" s="10" t="n">
        <x:f>Z2188*'Assumptions'!$AC$34*'Assumptions'!$D$11*(1+'Assumptions'!$D$13)^(18-1)</x:f>
        <x:v>0</x:v>
      </x:c>
      <x:c r="AB2188" s="10" t="n">
        <x:f>F2188/1</x:f>
        <x:v>8.600320839457748</x:v>
      </x:c>
      <x:c r="AC2188" s="10" t="n">
        <x:f>AB2188/'Assumptions'!$AM$34</x:f>
        <x:v>43.001604197288735</x:v>
      </x:c>
      <x:c r="AD2188" s="10" t="n">
        <x:f>IF(AB2188=0,0,T2188/AB2188)</x:f>
        <x:v>158.3745330235926</x:v>
      </x:c>
      <x:c r="AE2188" s="10" t="n">
        <x:f>AA2188*'Assumptions'!$D$21</x:f>
        <x:v>0</x:v>
      </x:c>
    </x:row>
    <x:row r="2189" ht="16" customHeight="1">
      <x:c r="A2189" s="1"/>
      <x:c r="B2189" s="1"/>
      <x:c r="C2189" s="1" t="str">
        <x:v>DOT-006</x:v>
      </x:c>
      <x:c r="D2189" s="10" t="str">
        <x:v>ETV services</x:v>
      </x:c>
      <x:c r="E2189" s="10" t="n">
        <x:v>18</x:v>
      </x:c>
      <x:c r="F2189" s="21" t="n">
        <x:f>F2061*(1+'Assumptions'!$M$35)</x:f>
        <x:v>12.900481259186622</x:v>
      </x:c>
      <x:c r="G2189" s="21" t="n">
        <x:f>H2061*'Assumptions'!$K$35</x:f>
        <x:v>12.170154943531749</x:v>
      </x:c>
      <x:c r="H2189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2189+G2189,NA())</x:f>
        <x:v>25.07063620271837</x:v>
      </x:c>
      <x:c r="I2189" s="22" t="n">
        <x:f>'Assumptions'!$H$35*IF('Assumptions'!$O$35=1,1,'Assumptions'!$D$10)*(1+'Assumptions'!$N$35)^(18-1)</x:f>
        <x:v>1050.1810643943186</x:v>
      </x:c>
      <x:c r="J2189" s="10" t="n">
        <x:f>H2189*I2189</x:f>
        <x:v>26328.707412413514</x:v>
      </x:c>
      <x:c r="K2189" s="10" t="n">
        <x:f>J2189*'Assumptions'!$T$35</x:f>
        <x:v>26328.707412413514</x:v>
      </x:c>
      <x:c r="L2189" s="10" t="n">
        <x:f>K2189*'Assumptions'!$U$35</x:f>
        <x:v>789.8612223724055</x:v>
      </x:c>
      <x:c r="M2189" s="10" t="n">
        <x:f>K2189*'Assumptions'!$V$35</x:f>
        <x:v>0</x:v>
      </x:c>
      <x:c r="N2189" s="10" t="n">
        <x:f>K2189-L2189-M2189</x:f>
        <x:v>25538.84619004111</x:v>
      </x:c>
      <x:c r="O2189" s="10" t="n">
        <x:f>H2189*'Assumptions'!$P$35*'Assumptions'!$Q$35*'Assumptions'!$D$11*(1+'Assumptions'!$D$13)^(18-1)</x:f>
        <x:v>14917.659007395427</x:v>
      </x:c>
      <x:c r="P2189" s="10" t="n">
        <x:f>H2189*'Assumptions'!$R$35*'Assumptions'!$D$11*(1+'Assumptions'!$D$13)^(18-1)</x:f>
        <x:v>1035.948542180238</x:v>
      </x:c>
      <x:c r="Q2189" s="10" t="n">
        <x:f>J2189*'Assumptions'!$S$35</x:f>
        <x:v>0</x:v>
      </x:c>
      <x:c r="R2189" s="10" t="n">
        <x:f>H2189*'Assumptions'!$Y$35*'Assumptions'!$Z$35*'Assumptions'!$D$11*(1+'Assumptions'!$D$13)^(18-1)</x:f>
        <x:v>310.78456265407135</x:v>
      </x:c>
      <x:c r="S2189" s="10" t="n">
        <x:f>IF(I2189=0,0,J2189*'Assumptions'!$W$35+H2189*'Assumptions'!$X$35)</x:f>
        <x:v>771.0537058208075</x:v>
      </x:c>
      <x:c r="T2189" s="10" t="n">
        <x:f>N2189*'Assumptions'!$AA$35</x:f>
        <x:v>1021.5538476016444</x:v>
      </x:c>
      <x:c r="U2189" s="10" t="n">
        <x:f>'Assumptions'!$AE$35*'Assumptions'!$D$11*(1+'Assumptions'!$D$13)^(18-1)</x:f>
        <x:v>0</x:v>
      </x:c>
      <x:c r="V2189" s="10" t="n">
        <x:f>0</x:f>
        <x:v>0</x:v>
      </x:c>
      <x:c r="W2189" s="10" t="n">
        <x:f>H2189*('Assumptions'!$P$35+'Assumptions'!$Y$35)</x:f>
        <x:v>206.83274867242653</x:v>
      </x:c>
      <x:c r="X2189" s="10" t="n">
        <x:f>N2189/12*'Assumptions'!$AF$35</x:f>
        <x:v>2128.2371825034256</x:v>
      </x:c>
      <x:c r="Y2189" s="10" t="n">
        <x:f>P2189/12</x:f>
        <x:v>86.32904518168651</x:v>
      </x:c>
      <x:c r="Z2189" s="10" t="n">
        <x:f>0</x:f>
        <x:v>0</x:v>
      </x:c>
      <x:c r="AA2189" s="10" t="n">
        <x:f>Z2189*'Assumptions'!$AC$35*'Assumptions'!$D$11*(1+'Assumptions'!$D$13)^(18-1)</x:f>
        <x:v>0</x:v>
      </x:c>
      <x:c r="AB2189" s="10" t="n">
        <x:f>F2189/1</x:f>
        <x:v>12.900481259186622</x:v>
      </x:c>
      <x:c r="AC2189" s="10" t="n">
        <x:f>AB2189/'Assumptions'!$AM$35</x:f>
        <x:v>64.5024062959331</x:v>
      </x:c>
      <x:c r="AD2189" s="10" t="n">
        <x:f>IF(AB2189=0,0,T2189/AB2189)</x:f>
        <x:v>79.1872665117963</x:v>
      </x:c>
      <x:c r="AE2189" s="10" t="n">
        <x:f>AA2189*'Assumptions'!$D$21</x:f>
        <x:v>0</x:v>
      </x:c>
    </x:row>
    <x:row r="2190" ht="16" customHeight="1">
      <x:c r="A2190" s="1"/>
      <x:c r="B2190" s="1"/>
      <x:c r="C2190" s="1" t="str">
        <x:v>DOT-007</x:v>
      </x:c>
      <x:c r="D2190" s="10" t="str">
        <x:v>BPA professional services</x:v>
      </x:c>
      <x:c r="E2190" s="10" t="n">
        <x:v>18</x:v>
      </x:c>
      <x:c r="F2190" s="21" t="n">
        <x:f>F2062*(1+'Assumptions'!$M$36)</x:f>
        <x:v>51.601925036746486</x:v>
      </x:c>
      <x:c r="G2190" s="21" t="n">
        <x:f>H2062*'Assumptions'!$K$36</x:f>
        <x:v>48.68052822139262</x:v>
      </x:c>
      <x:c r="H2190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2190+G2190,NA())</x:f>
        <x:v>100.2824532581391</x:v>
      </x:c>
      <x:c r="I2190" s="22" t="n">
        <x:f>'Assumptions'!$H$36*IF('Assumptions'!$O$36=1,1,'Assumptions'!$D$10)*(1+'Assumptions'!$N$36)^(18-1)</x:f>
        <x:v>250</x:v>
      </x:c>
      <x:c r="J2190" s="10" t="n">
        <x:f>H2190*I2190</x:f>
        <x:v>25070.613314534774</x:v>
      </x:c>
      <x:c r="K2190" s="10" t="n">
        <x:f>J2190*'Assumptions'!$T$36</x:f>
        <x:v>25070.613314534774</x:v>
      </x:c>
      <x:c r="L2190" s="10" t="n">
        <x:f>K2190*'Assumptions'!$U$36</x:f>
        <x:v>752.1183994360432</x:v>
      </x:c>
      <x:c r="M2190" s="10" t="n">
        <x:f>K2190*'Assumptions'!$V$36</x:f>
        <x:v>0</x:v>
      </x:c>
      <x:c r="N2190" s="10" t="n">
        <x:f>K2190-L2190-M2190</x:f>
        <x:v>24318.49491509873</x:v>
      </x:c>
      <x:c r="O2190" s="10" t="n">
        <x:f>H2190*'Assumptions'!$P$36*'Assumptions'!$Q$36*'Assumptions'!$D$11*(1+'Assumptions'!$D$13)^(18-1)</x:f>
        <x:v>8284.265738997368</x:v>
      </x:c>
      <x:c r="P2190" s="10" t="n">
        <x:f>H2190*'Assumptions'!$R$36*'Assumptions'!$D$11*(1+'Assumptions'!$D$13)^(18-1)</x:f>
        <x:v>1657.5161542611781</x:v>
      </x:c>
      <x:c r="Q2190" s="10" t="n">
        <x:f>J2190*'Assumptions'!$S$36</x:f>
        <x:v>0</x:v>
      </x:c>
      <x:c r="R2190" s="10" t="n">
        <x:f>H2190*'Assumptions'!$Y$36*'Assumptions'!$Z$36*'Assumptions'!$D$11*(1+'Assumptions'!$D$13)^(18-1)</x:f>
        <x:v>1243.1371156958837</x:v>
      </x:c>
      <x:c r="S2190" s="10" t="n">
        <x:f>IF(I2190=0,0,J2190*'Assumptions'!$W$36+H2190*'Assumptions'!$X$36)</x:f>
        <x:v>757.1325220989502</x:v>
      </x:c>
      <x:c r="T2190" s="10" t="n">
        <x:f>N2190*'Assumptions'!$AA$36</x:f>
        <x:v>972.7397966039492</x:v>
      </x:c>
      <x:c r="U2190" s="10" t="n">
        <x:f>'Assumptions'!$AE$36*'Assumptions'!$D$11*(1+'Assumptions'!$D$13)^(18-1)</x:f>
        <x:v>0</x:v>
      </x:c>
      <x:c r="V2190" s="10" t="n">
        <x:f>0</x:f>
        <x:v>0</x:v>
      </x:c>
      <x:c r="W2190" s="10" t="n">
        <x:f>H2190*('Assumptions'!$P$36+'Assumptions'!$Y$36)</x:f>
        <x:v>108.60589687856464</x:v>
      </x:c>
      <x:c r="X2190" s="10" t="n">
        <x:f>N2190/12*'Assumptions'!$AF$36</x:f>
        <x:v>2026.5412429248943</x:v>
      </x:c>
      <x:c r="Y2190" s="10" t="n">
        <x:f>P2190/12</x:f>
        <x:v>138.1263461884315</x:v>
      </x:c>
      <x:c r="Z2190" s="10" t="n">
        <x:f>0</x:f>
        <x:v>0</x:v>
      </x:c>
      <x:c r="AA2190" s="10" t="n">
        <x:f>Z2190*'Assumptions'!$AC$36*'Assumptions'!$D$11*(1+'Assumptions'!$D$13)^(18-1)</x:f>
        <x:v>0</x:v>
      </x:c>
      <x:c r="AB2190" s="10" t="n">
        <x:f>F2190/1</x:f>
        <x:v>51.601925036746486</x:v>
      </x:c>
      <x:c r="AC2190" s="10" t="n">
        <x:f>AB2190/'Assumptions'!$AM$36</x:f>
        <x:v>258.0096251837324</x:v>
      </x:c>
      <x:c r="AD2190" s="10" t="n">
        <x:f>IF(AB2190=0,0,T2190/AB2190)</x:f>
        <x:v>18.850843179033475</x:v>
      </x:c>
      <x:c r="AE2190" s="10" t="n">
        <x:f>AA2190*'Assumptions'!$D$21</x:f>
        <x:v>0</x:v>
      </x:c>
    </x:row>
    <x:row r="2191" ht="16" customHeight="1">
      <x:c r="A2191" s="1"/>
      <x:c r="B2191" s="1"/>
      <x:c r="C2191" s="1" t="str">
        <x:v>DOT-008</x:v>
      </x:c>
      <x:c r="D2191" s="10" t="str">
        <x:v>BPA professional services</x:v>
      </x:c>
      <x:c r="E2191" s="10" t="n">
        <x:v>18</x:v>
      </x:c>
      <x:c r="F2191" s="21" t="n">
        <x:f>F2063*(1+'Assumptions'!$M$37)</x:f>
        <x:v>19.350721888779923</x:v>
      </x:c>
      <x:c r="G2191" s="21" t="n">
        <x:f>H2063*'Assumptions'!$K$37</x:f>
        <x:v>18.255198083022222</x:v>
      </x:c>
      <x:c r="H2191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2191+G2191,NA())</x:f>
        <x:v>37.605919971802145</x:v>
      </x:c>
      <x:c r="I2191" s="22" t="n">
        <x:f>'Assumptions'!$H$37*IF('Assumptions'!$O$37=1,1,'Assumptions'!$D$10)*(1+'Assumptions'!$N$37)^(18-1)</x:f>
        <x:v>600</x:v>
      </x:c>
      <x:c r="J2191" s="10" t="n">
        <x:f>H2191*I2191</x:f>
        <x:v>22563.55198308129</x:v>
      </x:c>
      <x:c r="K2191" s="10" t="n">
        <x:f>J2191*'Assumptions'!$T$37</x:f>
        <x:v>22563.55198308129</x:v>
      </x:c>
      <x:c r="L2191" s="10" t="n">
        <x:f>K2191*'Assumptions'!$U$37</x:f>
        <x:v>676.9065594924386</x:v>
      </x:c>
      <x:c r="M2191" s="10" t="n">
        <x:f>K2191*'Assumptions'!$V$37</x:f>
        <x:v>0</x:v>
      </x:c>
      <x:c r="N2191" s="10" t="n">
        <x:f>K2191-L2191-M2191</x:f>
        <x:v>21886.64542358885</x:v>
      </x:c>
      <x:c r="O2191" s="10" t="n">
        <x:f>H2191*'Assumptions'!$P$37*'Assumptions'!$Q$37*'Assumptions'!$D$11*(1+'Assumptions'!$D$13)^(18-1)</x:f>
        <x:v>14917.645388350598</x:v>
      </x:c>
      <x:c r="P2191" s="10" t="n">
        <x:f>H2191*'Assumptions'!$R$37*'Assumptions'!$D$11*(1+'Assumptions'!$D$13)^(18-1)</x:f>
        <x:v>621.5685578479415</x:v>
      </x:c>
      <x:c r="Q2191" s="10" t="n">
        <x:f>J2191*'Assumptions'!$S$37</x:f>
        <x:v>0</x:v>
      </x:c>
      <x:c r="R2191" s="10" t="n">
        <x:f>H2191*'Assumptions'!$Y$37*'Assumptions'!$Z$37*'Assumptions'!$D$11*(1+'Assumptions'!$D$13)^(18-1)</x:f>
        <x:v>466.1764183859562</x:v>
      </x:c>
      <x:c r="S2191" s="10" t="n">
        <x:f>IF(I2191=0,0,J2191*'Assumptions'!$W$37+H2191*'Assumptions'!$X$37)</x:f>
        <x:v>665.6247835008979</x:v>
      </x:c>
      <x:c r="T2191" s="10" t="n">
        <x:f>N2191*'Assumptions'!$AA$37</x:f>
        <x:v>875.4658169435539</x:v>
      </x:c>
      <x:c r="U2191" s="10" t="n">
        <x:f>'Assumptions'!$AE$37*'Assumptions'!$D$11*(1+'Assumptions'!$D$13)^(18-1)</x:f>
        <x:v>0</x:v>
      </x:c>
      <x:c r="V2191" s="10" t="n">
        <x:f>0</x:f>
        <x:v>0</x:v>
      </x:c>
      <x:c r="W2191" s="10" t="n">
        <x:f>H2191*('Assumptions'!$P$37+'Assumptions'!$Y$37)</x:f>
        <x:v>159.8251598801591</x:v>
      </x:c>
      <x:c r="X2191" s="10" t="n">
        <x:f>N2191/12*'Assumptions'!$AF$37</x:f>
        <x:v>1823.887118632404</x:v>
      </x:c>
      <x:c r="Y2191" s="10" t="n">
        <x:f>P2191/12</x:f>
        <x:v>51.797379820661796</x:v>
      </x:c>
      <x:c r="Z2191" s="10" t="n">
        <x:f>0</x:f>
        <x:v>0</x:v>
      </x:c>
      <x:c r="AA2191" s="10" t="n">
        <x:f>Z2191*'Assumptions'!$AC$37*'Assumptions'!$D$11*(1+'Assumptions'!$D$13)^(18-1)</x:f>
        <x:v>0</x:v>
      </x:c>
      <x:c r="AB2191" s="10" t="n">
        <x:f>F2191/1</x:f>
        <x:v>19.350721888779923</x:v>
      </x:c>
      <x:c r="AC2191" s="10" t="n">
        <x:f>AB2191/'Assumptions'!$AM$37</x:f>
        <x:v>96.7536094438996</x:v>
      </x:c>
      <x:c r="AD2191" s="10" t="n">
        <x:f>IF(AB2191=0,0,T2191/AB2191)</x:f>
        <x:v>45.24202362968035</x:v>
      </x:c>
      <x:c r="AE2191" s="10" t="n">
        <x:f>AA2191*'Assumptions'!$D$21</x:f>
        <x:v>0</x:v>
      </x:c>
    </x:row>
    <x:row r="2192" ht="16" customHeight="1">
      <x:c r="A2192" s="1"/>
      <x:c r="B2192" s="1"/>
      <x:c r="C2192" s="1" t="str">
        <x:v>DOT-009</x:v>
      </x:c>
      <x:c r="D2192" s="10" t="str">
        <x:v>BPA professional services</x:v>
      </x:c>
      <x:c r="E2192" s="10" t="n">
        <x:v>18</x:v>
      </x:c>
      <x:c r="F2192" s="21" t="n">
        <x:f>F2064*(1+'Assumptions'!$M$38)</x:f>
        <x:v>12.900481259186622</x:v>
      </x:c>
      <x:c r="G2192" s="21" t="n">
        <x:f>H2064*'Assumptions'!$K$38</x:f>
        <x:v>12.170132055348155</x:v>
      </x:c>
      <x:c r="H2192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2192+G2192,NA())</x:f>
        <x:v>25.070613314534775</x:v>
      </x:c>
      <x:c r="I2192" s="22" t="n">
        <x:f>'Assumptions'!$H$38*IF('Assumptions'!$O$38=1,1,'Assumptions'!$D$10)*(1+'Assumptions'!$N$38)^(18-1)</x:f>
        <x:v>900</x:v>
      </x:c>
      <x:c r="J2192" s="10" t="n">
        <x:f>H2192*I2192</x:f>
        <x:v>22563.5519830813</x:v>
      </x:c>
      <x:c r="K2192" s="10" t="n">
        <x:f>J2192*'Assumptions'!$T$38</x:f>
        <x:v>22563.5519830813</x:v>
      </x:c>
      <x:c r="L2192" s="10" t="n">
        <x:f>K2192*'Assumptions'!$U$38</x:f>
        <x:v>676.906559492439</x:v>
      </x:c>
      <x:c r="M2192" s="10" t="n">
        <x:f>K2192*'Assumptions'!$V$38</x:f>
        <x:v>0</x:v>
      </x:c>
      <x:c r="N2192" s="10" t="n">
        <x:f>K2192-L2192-M2192</x:f>
        <x:v>21886.64542358886</x:v>
      </x:c>
      <x:c r="O2192" s="10" t="n">
        <x:f>H2192*'Assumptions'!$P$38*'Assumptions'!$Q$38*'Assumptions'!$D$11*(1+'Assumptions'!$D$13)^(18-1)</x:f>
        <x:v>14917.645388350606</x:v>
      </x:c>
      <x:c r="P2192" s="10" t="n">
        <x:f>H2192*'Assumptions'!$R$38*'Assumptions'!$D$11*(1+'Assumptions'!$D$13)^(18-1)</x:f>
        <x:v>414.37903856529454</x:v>
      </x:c>
      <x:c r="Q2192" s="10" t="n">
        <x:f>J2192*'Assumptions'!$S$38</x:f>
        <x:v>0</x:v>
      </x:c>
      <x:c r="R2192" s="10" t="n">
        <x:f>H2192*'Assumptions'!$Y$38*'Assumptions'!$Z$38*'Assumptions'!$D$11*(1+'Assumptions'!$D$13)^(18-1)</x:f>
        <x:v>310.78427892397093</x:v>
      </x:c>
      <x:c r="S2192" s="10" t="n">
        <x:f>IF(I2192=0,0,J2192*'Assumptions'!$W$38+H2192*'Assumptions'!$X$38)</x:f>
        <x:v>661.8641915037181</x:v>
      </x:c>
      <x:c r="T2192" s="10" t="n">
        <x:f>N2192*'Assumptions'!$AA$38</x:f>
        <x:v>875.4658169435544</x:v>
      </x:c>
      <x:c r="U2192" s="10" t="n">
        <x:f>'Assumptions'!$AE$38*'Assumptions'!$D$11*(1+'Assumptions'!$D$13)^(18-1)</x:f>
        <x:v>0</x:v>
      </x:c>
      <x:c r="V2192" s="10" t="n">
        <x:f>0</x:f>
        <x:v>0</x:v>
      </x:c>
      <x:c r="W2192" s="10" t="n">
        <x:f>H2192*('Assumptions'!$P$38+'Assumptions'!$Y$38)</x:f>
        <x:v>156.69133321584235</x:v>
      </x:c>
      <x:c r="X2192" s="10" t="n">
        <x:f>N2192/12*'Assumptions'!$AF$38</x:f>
        <x:v>1823.887118632405</x:v>
      </x:c>
      <x:c r="Y2192" s="10" t="n">
        <x:f>P2192/12</x:f>
        <x:v>34.53158654710788</x:v>
      </x:c>
      <x:c r="Z2192" s="10" t="n">
        <x:f>0</x:f>
        <x:v>0</x:v>
      </x:c>
      <x:c r="AA2192" s="10" t="n">
        <x:f>Z2192*'Assumptions'!$AC$38*'Assumptions'!$D$11*(1+'Assumptions'!$D$13)^(18-1)</x:f>
        <x:v>0</x:v>
      </x:c>
      <x:c r="AB2192" s="10" t="n">
        <x:f>F2192/1</x:f>
        <x:v>12.900481259186622</x:v>
      </x:c>
      <x:c r="AC2192" s="10" t="n">
        <x:f>AB2192/'Assumptions'!$AM$38</x:f>
        <x:v>64.5024062959331</x:v>
      </x:c>
      <x:c r="AD2192" s="10" t="n">
        <x:f>IF(AB2192=0,0,T2192/AB2192)</x:f>
        <x:v>67.86303544452052</x:v>
      </x:c>
      <x:c r="AE2192" s="10" t="n">
        <x:f>AA2192*'Assumptions'!$D$21</x:f>
        <x:v>0</x:v>
      </x:c>
    </x:row>
    <x:row r="2193" ht="16" customHeight="1">
      <x:c r="A2193" s="1"/>
      <x:c r="B2193" s="1"/>
      <x:c r="C2193" s="1" t="str">
        <x:v>DOT-010</x:v>
      </x:c>
      <x:c r="D2193" s="10" t="str">
        <x:v>BPA professional services</x:v>
      </x:c>
      <x:c r="E2193" s="10" t="n">
        <x:v>18</x:v>
      </x:c>
      <x:c r="F2193" s="21" t="n">
        <x:f>F2065*(1+'Assumptions'!$M$39)</x:f>
        <x:v>12.900481259186622</x:v>
      </x:c>
      <x:c r="G2193" s="21" t="n">
        <x:f>H2065*'Assumptions'!$K$39</x:f>
        <x:v>12.170132055348155</x:v>
      </x:c>
      <x:c r="H2193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2193+G2193,NA())</x:f>
        <x:v>25.070613314534775</x:v>
      </x:c>
      <x:c r="I2193" s="22" t="n">
        <x:f>'Assumptions'!$H$39*IF('Assumptions'!$O$39=1,1,'Assumptions'!$D$10)*(1+'Assumptions'!$N$39)^(18-1)</x:f>
        <x:v>1800</x:v>
      </x:c>
      <x:c r="J2193" s="10" t="n">
        <x:f>H2193*I2193</x:f>
        <x:v>45127.1039661626</x:v>
      </x:c>
      <x:c r="K2193" s="10" t="n">
        <x:f>J2193*'Assumptions'!$T$39</x:f>
        <x:v>45127.1039661626</x:v>
      </x:c>
      <x:c r="L2193" s="10" t="n">
        <x:f>K2193*'Assumptions'!$U$39</x:f>
        <x:v>1353.813118984878</x:v>
      </x:c>
      <x:c r="M2193" s="10" t="n">
        <x:f>K2193*'Assumptions'!$V$39</x:f>
        <x:v>0</x:v>
      </x:c>
      <x:c r="N2193" s="10" t="n">
        <x:f>K2193-L2193-M2193</x:f>
        <x:v>43773.29084717772</x:v>
      </x:c>
      <x:c r="O2193" s="10" t="n">
        <x:f>H2193*'Assumptions'!$P$39*'Assumptions'!$Q$39*'Assumptions'!$D$11*(1+'Assumptions'!$D$13)^(18-1)</x:f>
        <x:v>29835.29077670121</x:v>
      </x:c>
      <x:c r="P2193" s="10" t="n">
        <x:f>H2193*'Assumptions'!$R$39*'Assumptions'!$D$11*(1+'Assumptions'!$D$13)^(18-1)</x:f>
        <x:v>414.37903856529454</x:v>
      </x:c>
      <x:c r="Q2193" s="10" t="n">
        <x:f>J2193*'Assumptions'!$S$39</x:f>
        <x:v>0</x:v>
      </x:c>
      <x:c r="R2193" s="10" t="n">
        <x:f>H2193*'Assumptions'!$Y$39*'Assumptions'!$Z$39*'Assumptions'!$D$11*(1+'Assumptions'!$D$13)^(18-1)</x:f>
        <x:v>310.78427892397093</x:v>
      </x:c>
      <x:c r="S2193" s="10" t="n">
        <x:f>IF(I2193=0,0,J2193*'Assumptions'!$W$39+H2193*'Assumptions'!$X$39)</x:f>
        <x:v>1316.2071990130758</x:v>
      </x:c>
      <x:c r="T2193" s="10" t="n">
        <x:f>N2193*'Assumptions'!$AA$39</x:f>
        <x:v>1750.9316338871088</x:v>
      </x:c>
      <x:c r="U2193" s="10" t="n">
        <x:f>'Assumptions'!$AE$39*'Assumptions'!$D$11*(1+'Assumptions'!$D$13)^(18-1)</x:f>
        <x:v>0</x:v>
      </x:c>
      <x:c r="V2193" s="10" t="n">
        <x:f>0</x:f>
        <x:v>0</x:v>
      </x:c>
      <x:c r="W2193" s="10" t="n">
        <x:f>H2193*('Assumptions'!$P$39+'Assumptions'!$Y$39)</x:f>
        <x:v>307.115013103051</x:v>
      </x:c>
      <x:c r="X2193" s="10" t="n">
        <x:f>N2193/12*'Assumptions'!$AF$39</x:f>
        <x:v>3647.77423726481</x:v>
      </x:c>
      <x:c r="Y2193" s="10" t="n">
        <x:f>P2193/12</x:f>
        <x:v>34.53158654710788</x:v>
      </x:c>
      <x:c r="Z2193" s="10" t="n">
        <x:f>0</x:f>
        <x:v>0</x:v>
      </x:c>
      <x:c r="AA2193" s="10" t="n">
        <x:f>Z2193*'Assumptions'!$AC$39*'Assumptions'!$D$11*(1+'Assumptions'!$D$13)^(18-1)</x:f>
        <x:v>0</x:v>
      </x:c>
      <x:c r="AB2193" s="10" t="n">
        <x:f>F2193/1</x:f>
        <x:v>12.900481259186622</x:v>
      </x:c>
      <x:c r="AC2193" s="10" t="n">
        <x:f>AB2193/'Assumptions'!$AM$39</x:f>
        <x:v>64.5024062959331</x:v>
      </x:c>
      <x:c r="AD2193" s="10" t="n">
        <x:f>IF(AB2193=0,0,T2193/AB2193)</x:f>
        <x:v>135.72607088904104</x:v>
      </x:c>
      <x:c r="AE2193" s="10" t="n">
        <x:f>AA2193*'Assumptions'!$D$21</x:f>
        <x:v>0</x:v>
      </x:c>
    </x:row>
    <x:row r="2194" ht="16" customHeight="1">
      <x:c r="A2194" s="1"/>
      <x:c r="B2194" s="1"/>
      <x:c r="C2194" s="1" t="str">
        <x:v>DOT-011</x:v>
      </x:c>
      <x:c r="D2194" s="10" t="str">
        <x:v>BPA professional services</x:v>
      </x:c>
      <x:c r="E2194" s="10" t="n">
        <x:v>18</x:v>
      </x:c>
      <x:c r="F2194" s="21" t="n">
        <x:f>F2066*(1+'Assumptions'!$M$40)</x:f>
        <x:v>38.701443777559845</x:v>
      </x:c>
      <x:c r="G2194" s="21" t="n">
        <x:f>H2066*'Assumptions'!$K$40</x:f>
        <x:v>36.510396166044444</x:v>
      </x:c>
      <x:c r="H2194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2194+G2194,NA())</x:f>
        <x:v>75.21183994360429</x:v>
      </x:c>
      <x:c r="I2194" s="22" t="n">
        <x:f>'Assumptions'!$H$40*IF('Assumptions'!$O$40=1,1,'Assumptions'!$D$10)*(1+'Assumptions'!$N$40)^(18-1)</x:f>
        <x:v>600</x:v>
      </x:c>
      <x:c r="J2194" s="10" t="n">
        <x:f>H2194*I2194</x:f>
        <x:v>45127.10396616258</x:v>
      </x:c>
      <x:c r="K2194" s="10" t="n">
        <x:f>J2194*'Assumptions'!$T$40</x:f>
        <x:v>45127.10396616258</x:v>
      </x:c>
      <x:c r="L2194" s="10" t="n">
        <x:f>K2194*'Assumptions'!$U$40</x:f>
        <x:v>1353.8131189848773</x:v>
      </x:c>
      <x:c r="M2194" s="10" t="n">
        <x:f>K2194*'Assumptions'!$V$40</x:f>
        <x:v>0</x:v>
      </x:c>
      <x:c r="N2194" s="10" t="n">
        <x:f>K2194-L2194-M2194</x:f>
        <x:v>43773.2908471777</x:v>
      </x:c>
      <x:c r="O2194" s="10" t="n">
        <x:f>H2194*'Assumptions'!$P$40*'Assumptions'!$Q$40*'Assumptions'!$D$11*(1+'Assumptions'!$D$13)^(18-1)</x:f>
        <x:v>29835.290776701197</x:v>
      </x:c>
      <x:c r="P2194" s="10" t="n">
        <x:f>H2194*'Assumptions'!$R$40*'Assumptions'!$D$11*(1+'Assumptions'!$D$13)^(18-1)</x:f>
        <x:v>1243.137115695883</x:v>
      </x:c>
      <x:c r="Q2194" s="10" t="n">
        <x:f>J2194*'Assumptions'!$S$40</x:f>
        <x:v>0</x:v>
      </x:c>
      <x:c r="R2194" s="10" t="n">
        <x:f>H2194*'Assumptions'!$Y$40*'Assumptions'!$Z$40*'Assumptions'!$D$11*(1+'Assumptions'!$D$13)^(18-1)</x:f>
        <x:v>932.3528367719124</x:v>
      </x:c>
      <x:c r="S2194" s="10" t="n">
        <x:f>IF(I2194=0,0,J2194*'Assumptions'!$W$40+H2194*'Assumptions'!$X$40)</x:f>
        <x:v>1331.2495670017959</x:v>
      </x:c>
      <x:c r="T2194" s="10" t="n">
        <x:f>N2194*'Assumptions'!$AA$40</x:f>
        <x:v>1750.9316338871079</x:v>
      </x:c>
      <x:c r="U2194" s="10" t="n">
        <x:f>'Assumptions'!$AE$40*'Assumptions'!$D$11*(1+'Assumptions'!$D$13)^(18-1)</x:f>
        <x:v>0</x:v>
      </x:c>
      <x:c r="V2194" s="10" t="n">
        <x:f>0</x:f>
        <x:v>0</x:v>
      </x:c>
      <x:c r="W2194" s="10" t="n">
        <x:f>H2194*('Assumptions'!$P$40+'Assumptions'!$Y$40)</x:f>
        <x:v>319.6503197603182</x:v>
      </x:c>
      <x:c r="X2194" s="10" t="n">
        <x:f>N2194/12*'Assumptions'!$AF$40</x:f>
        <x:v>3647.774237264808</x:v>
      </x:c>
      <x:c r="Y2194" s="10" t="n">
        <x:f>P2194/12</x:f>
        <x:v>103.59475964132359</x:v>
      </x:c>
      <x:c r="Z2194" s="10" t="n">
        <x:f>0</x:f>
        <x:v>0</x:v>
      </x:c>
      <x:c r="AA2194" s="10" t="n">
        <x:f>Z2194*'Assumptions'!$AC$40*'Assumptions'!$D$11*(1+'Assumptions'!$D$13)^(18-1)</x:f>
        <x:v>0</x:v>
      </x:c>
      <x:c r="AB2194" s="10" t="n">
        <x:f>F2194/12</x:f>
        <x:v>3.2251203147966536</x:v>
      </x:c>
      <x:c r="AC2194" s="10" t="n">
        <x:f>AB2194/'Assumptions'!$AM$40</x:f>
        <x:v>16.125601573983268</x:v>
      </x:c>
      <x:c r="AD2194" s="10" t="n">
        <x:f>IF(AB2194=0,0,T2194/AB2194)</x:f>
        <x:v>542.9042835561642</x:v>
      </x:c>
      <x:c r="AE2194" s="10" t="n">
        <x:f>AA2194*'Assumptions'!$D$21</x:f>
        <x:v>0</x:v>
      </x:c>
    </x:row>
    <x:row r="2195" ht="16" customHeight="1">
      <x:c r="A2195" s="1"/>
      <x:c r="B2195" s="1"/>
      <x:c r="C2195" s="1" t="str">
        <x:v>DOT-012</x:v>
      </x:c>
      <x:c r="D2195" s="10" t="str">
        <x:v>BPA professional services</x:v>
      </x:c>
      <x:c r="E2195" s="10" t="n">
        <x:v>18</x:v>
      </x:c>
      <x:c r="F2195" s="21" t="n">
        <x:f>F2067*(1+'Assumptions'!$M$41)</x:f>
        <x:v>25.800962518373243</x:v>
      </x:c>
      <x:c r="G2195" s="21" t="n">
        <x:f>H2067*'Assumptions'!$K$41</x:f>
        <x:v>24.34026411069631</x:v>
      </x:c>
      <x:c r="H2195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2195+G2195,NA())</x:f>
        <x:v>50.14122662906955</x:v>
      </x:c>
      <x:c r="I2195" s="22" t="n">
        <x:f>'Assumptions'!$H$41*IF('Assumptions'!$O$41=1,1,'Assumptions'!$D$10)*(1+'Assumptions'!$N$41)^(18-1)</x:f>
        <x:v>1080</x:v>
      </x:c>
      <x:c r="J2195" s="10" t="n">
        <x:f>H2195*I2195</x:f>
        <x:v>54152.52475939511</x:v>
      </x:c>
      <x:c r="K2195" s="10" t="n">
        <x:f>J2195*'Assumptions'!$T$41</x:f>
        <x:v>54152.52475939511</x:v>
      </x:c>
      <x:c r="L2195" s="10" t="n">
        <x:f>K2195*'Assumptions'!$U$41</x:f>
        <x:v>1624.5757427818533</x:v>
      </x:c>
      <x:c r="M2195" s="10" t="n">
        <x:f>K2195*'Assumptions'!$V$41</x:f>
        <x:v>0</x:v>
      </x:c>
      <x:c r="N2195" s="10" t="n">
        <x:f>K2195-L2195-M2195</x:f>
        <x:v>52527.94901661326</x:v>
      </x:c>
      <x:c r="O2195" s="10" t="n">
        <x:f>H2195*'Assumptions'!$P$41*'Assumptions'!$Q$41*'Assumptions'!$D$11*(1+'Assumptions'!$D$13)^(18-1)</x:f>
        <x:v>39780.38770226828</x:v>
      </x:c>
      <x:c r="P2195" s="10" t="n">
        <x:f>H2195*'Assumptions'!$R$41*'Assumptions'!$D$11*(1+'Assumptions'!$D$13)^(18-1)</x:f>
        <x:v>828.7580771305891</x:v>
      </x:c>
      <x:c r="Q2195" s="10" t="n">
        <x:f>J2195*'Assumptions'!$S$41</x:f>
        <x:v>0</x:v>
      </x:c>
      <x:c r="R2195" s="10" t="n">
        <x:f>H2195*'Assumptions'!$Y$41*'Assumptions'!$Z$41*'Assumptions'!$D$11*(1+'Assumptions'!$D$13)^(18-1)</x:f>
        <x:v>621.5685578479419</x:v>
      </x:c>
      <x:c r="S2195" s="10" t="n">
        <x:f>IF(I2195=0,0,J2195*'Assumptions'!$W$41+H2195*'Assumptions'!$X$41)</x:f>
        <x:v>1585.465586011179</x:v>
      </x:c>
      <x:c r="T2195" s="10" t="n">
        <x:f>N2195*'Assumptions'!$AA$41</x:f>
        <x:v>2101.1179606645305</x:v>
      </x:c>
      <x:c r="U2195" s="10" t="n">
        <x:f>'Assumptions'!$AE$41*'Assumptions'!$D$11*(1+'Assumptions'!$D$13)^(18-1)</x:f>
        <x:v>0</x:v>
      </x:c>
      <x:c r="V2195" s="10" t="n">
        <x:f>0</x:f>
        <x:v>0</x:v>
      </x:c>
      <x:c r="W2195" s="10" t="n">
        <x:f>H2195*('Assumptions'!$P$41+'Assumptions'!$Y$41)</x:f>
        <x:v>413.66511968982377</x:v>
      </x:c>
      <x:c r="X2195" s="10" t="n">
        <x:f>N2195/12*'Assumptions'!$AF$41</x:f>
        <x:v>4377.329084717771</x:v>
      </x:c>
      <x:c r="Y2195" s="10" t="n">
        <x:f>P2195/12</x:f>
        <x:v>69.06317309421576</x:v>
      </x:c>
      <x:c r="Z2195" s="10" t="n">
        <x:f>0</x:f>
        <x:v>0</x:v>
      </x:c>
      <x:c r="AA2195" s="10" t="n">
        <x:f>Z2195*'Assumptions'!$AC$41*'Assumptions'!$D$11*(1+'Assumptions'!$D$13)^(18-1)</x:f>
        <x:v>0</x:v>
      </x:c>
      <x:c r="AB2195" s="10" t="n">
        <x:f>F2195/12</x:f>
        <x:v>2.150080209864437</x:v>
      </x:c>
      <x:c r="AC2195" s="10" t="n">
        <x:f>AB2195/'Assumptions'!$AM$41</x:f>
        <x:v>10.750401049322184</x:v>
      </x:c>
      <x:c r="AD2195" s="10" t="n">
        <x:f>IF(AB2195=0,0,T2195/AB2195)</x:f>
        <x:v>977.2277104010955</x:v>
      </x:c>
      <x:c r="AE2195" s="10" t="n">
        <x:f>AA2195*'Assumptions'!$D$21</x:f>
        <x:v>0</x:v>
      </x:c>
    </x:row>
    <x:row r="2196" ht="16" customHeight="1">
      <x:c r="A2196" s="1"/>
      <x:c r="B2196" s="1"/>
      <x:c r="C2196" s="1" t="str">
        <x:v>DOT-013</x:v>
      </x:c>
      <x:c r="D2196" s="10" t="str">
        <x:v>BPA professional services</x:v>
      </x:c>
      <x:c r="E2196" s="10" t="n">
        <x:v>18</x:v>
      </x:c>
      <x:c r="F2196" s="21" t="n">
        <x:f>F2068*(1+'Assumptions'!$M$42)</x:f>
        <x:v>19.350721888779923</x:v>
      </x:c>
      <x:c r="G2196" s="21" t="n">
        <x:f>H2068*'Assumptions'!$K$42</x:f>
        <x:v>18.255198083022222</x:v>
      </x:c>
      <x:c r="H2196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2196+G2196,NA())</x:f>
        <x:v>37.605919971802145</x:v>
      </x:c>
      <x:c r="I2196" s="22" t="n">
        <x:f>'Assumptions'!$H$42*IF('Assumptions'!$O$42=1,1,'Assumptions'!$D$10)*(1+'Assumptions'!$N$42)^(18-1)</x:f>
        <x:v>2160</x:v>
      </x:c>
      <x:c r="J2196" s="10" t="n">
        <x:f>H2196*I2196</x:f>
        <x:v>81228.78713909263</x:v>
      </x:c>
      <x:c r="K2196" s="10" t="n">
        <x:f>J2196*'Assumptions'!$T$42</x:f>
        <x:v>81228.78713909263</x:v>
      </x:c>
      <x:c r="L2196" s="10" t="n">
        <x:f>K2196*'Assumptions'!$U$42</x:f>
        <x:v>2436.863614172779</x:v>
      </x:c>
      <x:c r="M2196" s="10" t="n">
        <x:f>K2196*'Assumptions'!$V$42</x:f>
        <x:v>0</x:v>
      </x:c>
      <x:c r="N2196" s="10" t="n">
        <x:f>K2196-L2196-M2196</x:f>
        <x:v>78791.92352491985</x:v>
      </x:c>
      <x:c r="O2196" s="10" t="n">
        <x:f>H2196*'Assumptions'!$P$42*'Assumptions'!$Q$42*'Assumptions'!$D$11*(1+'Assumptions'!$D$13)^(18-1)</x:f>
        <x:v>59670.58155340239</x:v>
      </x:c>
      <x:c r="P2196" s="10" t="n">
        <x:f>H2196*'Assumptions'!$R$42*'Assumptions'!$D$11*(1+'Assumptions'!$D$13)^(18-1)</x:f>
        <x:v>621.5685578479415</x:v>
      </x:c>
      <x:c r="Q2196" s="10" t="n">
        <x:f>J2196*'Assumptions'!$S$42</x:f>
        <x:v>0</x:v>
      </x:c>
      <x:c r="R2196" s="10" t="n">
        <x:f>H2196*'Assumptions'!$Y$42*'Assumptions'!$Z$42*'Assumptions'!$D$11*(1+'Assumptions'!$D$13)^(18-1)</x:f>
        <x:v>466.1764183859562</x:v>
      </x:c>
      <x:c r="S2196" s="10" t="n">
        <x:f>IF(I2196=0,0,J2196*'Assumptions'!$W$42+H2196*'Assumptions'!$X$42)</x:f>
        <x:v>2366.916603025227</x:v>
      </x:c>
      <x:c r="T2196" s="10" t="n">
        <x:f>N2196*'Assumptions'!$AA$42</x:f>
        <x:v>3151.676940996794</x:v>
      </x:c>
      <x:c r="U2196" s="10" t="n">
        <x:f>'Assumptions'!$AE$42*'Assumptions'!$D$11*(1+'Assumptions'!$D$13)^(18-1)</x:f>
        <x:v>0</x:v>
      </x:c>
      <x:c r="V2196" s="10" t="n">
        <x:f>0</x:f>
        <x:v>0</x:v>
      </x:c>
      <x:c r="W2196" s="10" t="n">
        <x:f>H2196*('Assumptions'!$P$42+'Assumptions'!$Y$42)</x:f>
        <x:v>611.0961995417848</x:v>
      </x:c>
      <x:c r="X2196" s="10" t="n">
        <x:f>N2196/12*'Assumptions'!$AF$42</x:f>
        <x:v>6565.993627076655</x:v>
      </x:c>
      <x:c r="Y2196" s="10" t="n">
        <x:f>P2196/12</x:f>
        <x:v>51.797379820661796</x:v>
      </x:c>
      <x:c r="Z2196" s="10" t="n">
        <x:f>0</x:f>
        <x:v>0</x:v>
      </x:c>
      <x:c r="AA2196" s="10" t="n">
        <x:f>Z2196*'Assumptions'!$AC$42*'Assumptions'!$D$11*(1+'Assumptions'!$D$13)^(18-1)</x:f>
        <x:v>0</x:v>
      </x:c>
      <x:c r="AB2196" s="10" t="n">
        <x:f>F2196/12</x:f>
        <x:v>1.6125601573983268</x:v>
      </x:c>
      <x:c r="AC2196" s="10" t="n">
        <x:f>AB2196/'Assumptions'!$AM$42</x:f>
        <x:v>8.062800786991634</x:v>
      </x:c>
      <x:c r="AD2196" s="10" t="n">
        <x:f>IF(AB2196=0,0,T2196/AB2196)</x:f>
        <x:v>1954.455420802191</x:v>
      </x:c>
      <x:c r="AE2196" s="10" t="n">
        <x:f>AA2196*'Assumptions'!$D$21</x:f>
        <x:v>0</x:v>
      </x:c>
    </x:row>
    <x:row r="2197" ht="16" customHeight="1">
      <x:c r="A2197" s="1"/>
      <x:c r="B2197" s="1"/>
      <x:c r="C2197" s="1" t="str">
        <x:v>DOT-014</x:v>
      </x:c>
      <x:c r="D2197" s="10" t="str">
        <x:v>BPA professional services</x:v>
      </x:c>
      <x:c r="E2197" s="10" t="n">
        <x:v>18</x:v>
      </x:c>
      <x:c r="F2197" s="21" t="n">
        <x:f>F2069*(1+'Assumptions'!$M$43)</x:f>
        <x:v>12.900481259186622</x:v>
      </x:c>
      <x:c r="G2197" s="21" t="n">
        <x:f>H2069*'Assumptions'!$K$43</x:f>
        <x:v>12.170132055348155</x:v>
      </x:c>
      <x:c r="H2197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2197+G2197,NA())</x:f>
        <x:v>25.070613314534775</x:v>
      </x:c>
      <x:c r="I2197" s="22" t="n">
        <x:f>'Assumptions'!$H$43*IF('Assumptions'!$O$43=1,1,'Assumptions'!$D$10)*(1+'Assumptions'!$N$43)^(18-1)</x:f>
        <x:v>3000</x:v>
      </x:c>
      <x:c r="J2197" s="10" t="n">
        <x:f>H2197*I2197</x:f>
        <x:v>75211.83994360433</x:v>
      </x:c>
      <x:c r="K2197" s="10" t="n">
        <x:f>J2197*'Assumptions'!$T$43</x:f>
        <x:v>75211.83994360433</x:v>
      </x:c>
      <x:c r="L2197" s="10" t="n">
        <x:f>K2197*'Assumptions'!$U$43</x:f>
        <x:v>2256.3551983081297</x:v>
      </x:c>
      <x:c r="M2197" s="10" t="n">
        <x:f>K2197*'Assumptions'!$V$43</x:f>
        <x:v>0</x:v>
      </x:c>
      <x:c r="N2197" s="10" t="n">
        <x:f>K2197-L2197-M2197</x:f>
        <x:v>72955.4847452962</x:v>
      </x:c>
      <x:c r="O2197" s="10" t="n">
        <x:f>H2197*'Assumptions'!$P$43*'Assumptions'!$Q$43*'Assumptions'!$D$11*(1+'Assumptions'!$D$13)^(18-1)</x:f>
        <x:v>49725.48462783534</x:v>
      </x:c>
      <x:c r="P2197" s="10" t="n">
        <x:f>H2197*'Assumptions'!$R$43*'Assumptions'!$D$11*(1+'Assumptions'!$D$13)^(18-1)</x:f>
        <x:v>414.37903856529454</x:v>
      </x:c>
      <x:c r="Q2197" s="10" t="n">
        <x:f>J2197*'Assumptions'!$S$43</x:f>
        <x:v>0</x:v>
      </x:c>
      <x:c r="R2197" s="10" t="n">
        <x:f>H2197*'Assumptions'!$Y$43*'Assumptions'!$Z$43*'Assumptions'!$D$11*(1+'Assumptions'!$D$13)^(18-1)</x:f>
        <x:v>310.78427892397093</x:v>
      </x:c>
      <x:c r="S2197" s="10" t="n">
        <x:f>IF(I2197=0,0,J2197*'Assumptions'!$W$43+H2197*'Assumptions'!$X$43)</x:f>
        <x:v>2188.664542358886</x:v>
      </x:c>
      <x:c r="T2197" s="10" t="n">
        <x:f>N2197*'Assumptions'!$AA$43</x:f>
        <x:v>2918.219389811848</x:v>
      </x:c>
      <x:c r="U2197" s="10" t="n">
        <x:f>'Assumptions'!$AE$43*'Assumptions'!$D$11*(1+'Assumptions'!$D$13)^(18-1)</x:f>
        <x:v>0</x:v>
      </x:c>
      <x:c r="V2197" s="10" t="n">
        <x:f>0</x:f>
        <x:v>0</x:v>
      </x:c>
      <x:c r="W2197" s="10" t="n">
        <x:f>H2197*('Assumptions'!$P$43+'Assumptions'!$Y$43)</x:f>
        <x:v>507.6799196193292</x:v>
      </x:c>
      <x:c r="X2197" s="10" t="n">
        <x:f>N2197/12*'Assumptions'!$AF$43</x:f>
        <x:v>6079.6237287746835</x:v>
      </x:c>
      <x:c r="Y2197" s="10" t="n">
        <x:f>P2197/12</x:f>
        <x:v>34.53158654710788</x:v>
      </x:c>
      <x:c r="Z2197" s="10" t="n">
        <x:f>0</x:f>
        <x:v>0</x:v>
      </x:c>
      <x:c r="AA2197" s="10" t="n">
        <x:f>Z2197*'Assumptions'!$AC$43*'Assumptions'!$D$11*(1+'Assumptions'!$D$13)^(18-1)</x:f>
        <x:v>0</x:v>
      </x:c>
      <x:c r="AB2197" s="10" t="n">
        <x:f>F2197/12</x:f>
        <x:v>1.0750401049322185</x:v>
      </x:c>
      <x:c r="AC2197" s="10" t="n">
        <x:f>AB2197/'Assumptions'!$AM$43</x:f>
        <x:v>5.375200524661092</x:v>
      </x:c>
      <x:c r="AD2197" s="10" t="n">
        <x:f>IF(AB2197=0,0,T2197/AB2197)</x:f>
        <x:v>2714.5214177808207</x:v>
      </x:c>
      <x:c r="AE2197" s="10" t="n">
        <x:f>AA2197*'Assumptions'!$D$21</x:f>
        <x:v>0</x:v>
      </x:c>
    </x:row>
    <x:row r="2198" ht="16" customHeight="1">
      <x:c r="A2198" s="1"/>
      <x:c r="B2198" s="1"/>
      <x:c r="C2198" s="1" t="str">
        <x:v>DOT-015</x:v>
      </x:c>
      <x:c r="D2198" s="10" t="str">
        <x:v>BPA professional services</x:v>
      </x:c>
      <x:c r="E2198" s="10" t="n">
        <x:v>18</x:v>
      </x:c>
      <x:c r="F2198" s="21" t="n">
        <x:f>F2070*(1+'Assumptions'!$M$44)</x:f>
        <x:v>10.750401049322184</x:v>
      </x:c>
      <x:c r="G2198" s="21" t="n">
        <x:f>H2070*'Assumptions'!$K$44</x:f>
        <x:v>10.141776712790126</x:v>
      </x:c>
      <x:c r="H2198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2198+G2198,NA())</x:f>
        <x:v>20.89217776211231</x:v>
      </x:c>
      <x:c r="I2198" s="22" t="n">
        <x:f>'Assumptions'!$H$44*IF('Assumptions'!$O$44=1,1,'Assumptions'!$D$10)*(1+'Assumptions'!$N$44)^(18-1)</x:f>
        <x:v>1200</x:v>
      </x:c>
      <x:c r="J2198" s="10" t="n">
        <x:f>H2198*I2198</x:f>
        <x:v>25070.613314534774</x:v>
      </x:c>
      <x:c r="K2198" s="10" t="n">
        <x:f>J2198*'Assumptions'!$T$44</x:f>
        <x:v>25070.613314534774</x:v>
      </x:c>
      <x:c r="L2198" s="10" t="n">
        <x:f>K2198*'Assumptions'!$U$44</x:f>
        <x:v>752.1183994360432</x:v>
      </x:c>
      <x:c r="M2198" s="10" t="n">
        <x:f>K2198*'Assumptions'!$V$44</x:f>
        <x:v>0</x:v>
      </x:c>
      <x:c r="N2198" s="10" t="n">
        <x:f>K2198-L2198-M2198</x:f>
        <x:v>24318.49491509873</x:v>
      </x:c>
      <x:c r="O2198" s="10" t="n">
        <x:f>H2198*'Assumptions'!$P$44*'Assumptions'!$Q$44*'Assumptions'!$D$11*(1+'Assumptions'!$D$13)^(18-1)</x:f>
        <x:v>20718.951928264727</x:v>
      </x:c>
      <x:c r="P2198" s="10" t="n">
        <x:f>H2198*'Assumptions'!$R$44*'Assumptions'!$D$11*(1+'Assumptions'!$D$13)^(18-1)</x:f>
        <x:v>345.3158654710788</x:v>
      </x:c>
      <x:c r="Q2198" s="10" t="n">
        <x:f>J2198*'Assumptions'!$S$44</x:f>
        <x:v>0</x:v>
      </x:c>
      <x:c r="R2198" s="10" t="n">
        <x:f>H2198*'Assumptions'!$Y$44*'Assumptions'!$Z$44*'Assumptions'!$D$11*(1+'Assumptions'!$D$13)^(18-1)</x:f>
        <x:v>258.9868991033091</x:v>
      </x:c>
      <x:c r="S2198" s="10" t="n">
        <x:f>IF(I2198=0,0,J2198*'Assumptions'!$W$44+H2198*'Assumptions'!$X$44)</x:f>
        <x:v>733.3154394501422</x:v>
      </x:c>
      <x:c r="T2198" s="10" t="n">
        <x:f>N2198*'Assumptions'!$AA$44</x:f>
        <x:v>972.7397966039492</x:v>
      </x:c>
      <x:c r="U2198" s="10" t="n">
        <x:f>'Assumptions'!$AE$44*'Assumptions'!$D$11*(1+'Assumptions'!$D$13)^(18-1)</x:f>
        <x:v>0</x:v>
      </x:c>
      <x:c r="V2198" s="10" t="n">
        <x:f>0</x:f>
        <x:v>0</x:v>
      </x:c>
      <x:c r="W2198" s="10" t="n">
        <x:f>H2198*('Assumptions'!$P$44+'Assumptions'!$Y$44)</x:f>
        <x:v>214.14482206165118</x:v>
      </x:c>
      <x:c r="X2198" s="10" t="n">
        <x:f>N2198/12*'Assumptions'!$AF$44</x:f>
        <x:v>2026.5412429248943</x:v>
      </x:c>
      <x:c r="Y2198" s="10" t="n">
        <x:f>P2198/12</x:f>
        <x:v>28.7763221225899</x:v>
      </x:c>
      <x:c r="Z2198" s="10" t="n">
        <x:f>0</x:f>
        <x:v>0</x:v>
      </x:c>
      <x:c r="AA2198" s="10" t="n">
        <x:f>Z2198*'Assumptions'!$AC$44*'Assumptions'!$D$11*(1+'Assumptions'!$D$13)^(18-1)</x:f>
        <x:v>0</x:v>
      </x:c>
      <x:c r="AB2198" s="10" t="n">
        <x:f>F2198/1</x:f>
        <x:v>10.750401049322184</x:v>
      </x:c>
      <x:c r="AC2198" s="10" t="n">
        <x:f>AB2198/'Assumptions'!$AM$44</x:f>
        <x:v>53.75200524661091</x:v>
      </x:c>
      <x:c r="AD2198" s="10" t="n">
        <x:f>IF(AB2198=0,0,T2198/AB2198)</x:f>
        <x:v>90.4840472593607</x:v>
      </x:c>
      <x:c r="AE2198" s="10" t="n">
        <x:f>AA2198*'Assumptions'!$D$21</x:f>
        <x:v>0</x:v>
      </x:c>
    </x:row>
    <x:row r="2199" ht="16" customHeight="1">
      <x:c r="A2199" s="1"/>
      <x:c r="B2199" s="1"/>
      <x:c r="C2199" s="1" t="str">
        <x:v>DOT-016</x:v>
      </x:c>
      <x:c r="D2199" s="10" t="str">
        <x:v>BPA professional services</x:v>
      </x:c>
      <x:c r="E2199" s="10" t="n">
        <x:v>18</x:v>
      </x:c>
      <x:c r="F2199" s="21" t="n">
        <x:f>F2071*(1+'Assumptions'!$M$45)</x:f>
        <x:v>6.450240629593311</x:v>
      </x:c>
      <x:c r="G2199" s="21" t="n">
        <x:f>H2071*'Assumptions'!$K$45</x:f>
        <x:v>6.085066027674078</x:v>
      </x:c>
      <x:c r="H2199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2199+G2199,NA())</x:f>
        <x:v>12.535306657267387</x:v>
      </x:c>
      <x:c r="I2199" s="22" t="n">
        <x:f>'Assumptions'!$H$45*IF('Assumptions'!$O$45=1,1,'Assumptions'!$D$10)*(1+'Assumptions'!$N$45)^(18-1)</x:f>
        <x:v>1800</x:v>
      </x:c>
      <x:c r="J2199" s="10" t="n">
        <x:f>H2199*I2199</x:f>
        <x:v>22563.5519830813</x:v>
      </x:c>
      <x:c r="K2199" s="10" t="n">
        <x:f>J2199*'Assumptions'!$T$45</x:f>
        <x:v>22563.5519830813</x:v>
      </x:c>
      <x:c r="L2199" s="10" t="n">
        <x:f>K2199*'Assumptions'!$U$45</x:f>
        <x:v>676.906559492439</x:v>
      </x:c>
      <x:c r="M2199" s="10" t="n">
        <x:f>K2199*'Assumptions'!$V$45</x:f>
        <x:v>0</x:v>
      </x:c>
      <x:c r="N2199" s="10" t="n">
        <x:f>K2199-L2199-M2199</x:f>
        <x:v>21886.64542358886</x:v>
      </x:c>
      <x:c r="O2199" s="10" t="n">
        <x:f>H2199*'Assumptions'!$P$45*'Assumptions'!$Q$45*'Assumptions'!$D$11*(1+'Assumptions'!$D$13)^(18-1)</x:f>
        <x:v>6215.685578479418</x:v>
      </x:c>
      <x:c r="P2199" s="10" t="n">
        <x:f>H2199*'Assumptions'!$R$45*'Assumptions'!$D$11*(1+'Assumptions'!$D$13)^(18-1)</x:f>
        <x:v>207.18951928264727</x:v>
      </x:c>
      <x:c r="Q2199" s="10" t="n">
        <x:f>J2199*'Assumptions'!$S$45</x:f>
        <x:v>0</x:v>
      </x:c>
      <x:c r="R2199" s="10" t="n">
        <x:f>H2199*'Assumptions'!$Y$45*'Assumptions'!$Z$45*'Assumptions'!$D$11*(1+'Assumptions'!$D$13)^(18-1)</x:f>
        <x:v>155.39213946198547</x:v>
      </x:c>
      <x:c r="S2199" s="10" t="n">
        <x:f>IF(I2199=0,0,J2199*'Assumptions'!$W$45+H2199*'Assumptions'!$X$45)</x:f>
        <x:v>658.1035995065379</x:v>
      </x:c>
      <x:c r="T2199" s="10" t="n">
        <x:f>N2199*'Assumptions'!$AA$45</x:f>
        <x:v>875.4658169435544</x:v>
      </x:c>
      <x:c r="U2199" s="10" t="n">
        <x:f>'Assumptions'!$AE$45*'Assumptions'!$D$11*(1+'Assumptions'!$D$13)^(18-1)</x:f>
        <x:v>0</x:v>
      </x:c>
      <x:c r="V2199" s="10" t="n">
        <x:f>0</x:f>
        <x:v>0</x:v>
      </x:c>
      <x:c r="W2199" s="10" t="n">
        <x:f>H2199*('Assumptions'!$P$45+'Assumptions'!$Y$45)</x:f>
        <x:v>65.81035995065379</x:v>
      </x:c>
      <x:c r="X2199" s="10" t="n">
        <x:f>N2199/12*'Assumptions'!$AF$45</x:f>
        <x:v>1823.887118632405</x:v>
      </x:c>
      <x:c r="Y2199" s="10" t="n">
        <x:f>P2199/12</x:f>
        <x:v>17.26579327355394</x:v>
      </x:c>
      <x:c r="Z2199" s="10" t="n">
        <x:f>0</x:f>
        <x:v>0</x:v>
      </x:c>
      <x:c r="AA2199" s="10" t="n">
        <x:f>Z2199*'Assumptions'!$AC$45*'Assumptions'!$D$11*(1+'Assumptions'!$D$13)^(18-1)</x:f>
        <x:v>0</x:v>
      </x:c>
      <x:c r="AB2199" s="10" t="n">
        <x:f>F2199/1</x:f>
        <x:v>6.450240629593311</x:v>
      </x:c>
      <x:c r="AC2199" s="10" t="n">
        <x:f>AB2199/'Assumptions'!$AM$45</x:f>
        <x:v>32.25120314796655</x:v>
      </x:c>
      <x:c r="AD2199" s="10" t="n">
        <x:f>IF(AB2199=0,0,T2199/AB2199)</x:f>
        <x:v>135.72607088904104</x:v>
      </x:c>
      <x:c r="AE2199" s="10" t="n">
        <x:f>AA2199*'Assumptions'!$D$21</x:f>
        <x:v>0</x:v>
      </x:c>
    </x:row>
    <x:row r="2200" ht="16" customHeight="1">
      <x:c r="A2200" s="1"/>
      <x:c r="B2200" s="1"/>
      <x:c r="C2200" s="1" t="str">
        <x:v>DOT-017</x:v>
      </x:c>
      <x:c r="D2200" s="10" t="str">
        <x:v>BPA professional services</x:v>
      </x:c>
      <x:c r="E2200" s="10" t="n">
        <x:v>18</x:v>
      </x:c>
      <x:c r="F2200" s="21" t="n">
        <x:f>F2072*(1+'Assumptions'!$M$46)</x:f>
        <x:v>6.450240629593311</x:v>
      </x:c>
      <x:c r="G2200" s="21" t="n">
        <x:f>H2072*'Assumptions'!$K$46</x:f>
        <x:v>6.085066027674078</x:v>
      </x:c>
      <x:c r="H2200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2200+G2200,NA())</x:f>
        <x:v>12.535306657267387</x:v>
      </x:c>
      <x:c r="I2200" s="22" t="n">
        <x:f>'Assumptions'!$H$46*IF('Assumptions'!$O$46=1,1,'Assumptions'!$D$10)*(1+'Assumptions'!$N$46)^(18-1)</x:f>
        <x:v>1500</x:v>
      </x:c>
      <x:c r="J2200" s="10" t="n">
        <x:f>H2200*I2200</x:f>
        <x:v>18802.95998590108</x:v>
      </x:c>
      <x:c r="K2200" s="10" t="n">
        <x:f>J2200*'Assumptions'!$T$46</x:f>
        <x:v>18802.95998590108</x:v>
      </x:c>
      <x:c r="L2200" s="10" t="n">
        <x:f>K2200*'Assumptions'!$U$46</x:f>
        <x:v>564.0887995770324</x:v>
      </x:c>
      <x:c r="M2200" s="10" t="n">
        <x:f>K2200*'Assumptions'!$V$46</x:f>
        <x:v>0</x:v>
      </x:c>
      <x:c r="N2200" s="10" t="n">
        <x:f>K2200-L2200-M2200</x:f>
        <x:v>18238.87118632405</x:v>
      </x:c>
      <x:c r="O2200" s="10" t="n">
        <x:f>H2200*'Assumptions'!$P$46*'Assumptions'!$Q$46*'Assumptions'!$D$11*(1+'Assumptions'!$D$13)^(18-1)</x:f>
        <x:v>7458.822694175303</x:v>
      </x:c>
      <x:c r="P2200" s="10" t="n">
        <x:f>H2200*'Assumptions'!$R$46*'Assumptions'!$D$11*(1+'Assumptions'!$D$13)^(18-1)</x:f>
        <x:v>207.18951928264727</x:v>
      </x:c>
      <x:c r="Q2200" s="10" t="n">
        <x:f>J2200*'Assumptions'!$S$46</x:f>
        <x:v>0</x:v>
      </x:c>
      <x:c r="R2200" s="10" t="n">
        <x:f>H2200*'Assumptions'!$Y$46*'Assumptions'!$Z$46*'Assumptions'!$D$11*(1+'Assumptions'!$D$13)^(18-1)</x:f>
        <x:v>155.39213946198547</x:v>
      </x:c>
      <x:c r="S2200" s="10" t="n">
        <x:f>IF(I2200=0,0,J2200*'Assumptions'!$W$46+H2200*'Assumptions'!$X$46)</x:f>
        <x:v>549.0464315883116</x:v>
      </x:c>
      <x:c r="T2200" s="10" t="n">
        <x:f>N2200*'Assumptions'!$AA$46</x:f>
        <x:v>729.554847452962</x:v>
      </x:c>
      <x:c r="U2200" s="10" t="n">
        <x:f>'Assumptions'!$AE$46*'Assumptions'!$D$11*(1+'Assumptions'!$D$13)^(18-1)</x:f>
        <x:v>0</x:v>
      </x:c>
      <x:c r="V2200" s="10" t="n">
        <x:f>0</x:f>
        <x:v>0</x:v>
      </x:c>
      <x:c r="W2200" s="10" t="n">
        <x:f>H2200*('Assumptions'!$P$46+'Assumptions'!$Y$46)</x:f>
        <x:v>78.34566660792117</x:v>
      </x:c>
      <x:c r="X2200" s="10" t="n">
        <x:f>N2200/12*'Assumptions'!$AF$46</x:f>
        <x:v>1519.9059321936709</x:v>
      </x:c>
      <x:c r="Y2200" s="10" t="n">
        <x:f>P2200/12</x:f>
        <x:v>17.26579327355394</x:v>
      </x:c>
      <x:c r="Z2200" s="10" t="n">
        <x:f>0</x:f>
        <x:v>0</x:v>
      </x:c>
      <x:c r="AA2200" s="10" t="n">
        <x:f>Z2200*'Assumptions'!$AC$46*'Assumptions'!$D$11*(1+'Assumptions'!$D$13)^(18-1)</x:f>
        <x:v>0</x:v>
      </x:c>
      <x:c r="AB2200" s="10" t="n">
        <x:f>F2200/1</x:f>
        <x:v>6.450240629593311</x:v>
      </x:c>
      <x:c r="AC2200" s="10" t="n">
        <x:f>AB2200/'Assumptions'!$AM$46</x:f>
        <x:v>32.25120314796655</x:v>
      </x:c>
      <x:c r="AD2200" s="10" t="n">
        <x:f>IF(AB2200=0,0,T2200/AB2200)</x:f>
        <x:v>113.10505907420087</x:v>
      </x:c>
      <x:c r="AE2200" s="10" t="n">
        <x:f>AA2200*'Assumptions'!$D$21</x:f>
        <x:v>0</x:v>
      </x:c>
    </x:row>
    <x:row r="2201" ht="16" customHeight="1">
      <x:c r="A2201" s="1"/>
      <x:c r="B2201" s="1"/>
      <x:c r="C2201" s="1" t="str">
        <x:v>DOT-018</x:v>
      </x:c>
      <x:c r="D2201" s="10" t="str">
        <x:v>BPA professional services</x:v>
      </x:c>
      <x:c r="E2201" s="10" t="n">
        <x:v>18</x:v>
      </x:c>
      <x:c r="F2201" s="21" t="n">
        <x:f>F2073*(1+'Assumptions'!$M$47)</x:f>
        <x:v>8.600320839457748</x:v>
      </x:c>
      <x:c r="G2201" s="21" t="n">
        <x:f>H2073*'Assumptions'!$K$47</x:f>
        <x:v>8.113421370232103</x:v>
      </x:c>
      <x:c r="H2201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2201+G2201,NA())</x:f>
        <x:v>16.71374220968985</x:v>
      </x:c>
      <x:c r="I2201" s="22" t="n">
        <x:f>'Assumptions'!$H$47*IF('Assumptions'!$O$47=1,1,'Assumptions'!$D$10)*(1+'Assumptions'!$N$47)^(18-1)</x:f>
        <x:v>1200</x:v>
      </x:c>
      <x:c r="J2201" s="10" t="n">
        <x:f>H2201*I2201</x:f>
        <x:v>20056.49065162782</x:v>
      </x:c>
      <x:c r="K2201" s="10" t="n">
        <x:f>J2201*'Assumptions'!$T$47</x:f>
        <x:v>20056.49065162782</x:v>
      </x:c>
      <x:c r="L2201" s="10" t="n">
        <x:f>K2201*'Assumptions'!$U$47</x:f>
        <x:v>601.6947195488345</x:v>
      </x:c>
      <x:c r="M2201" s="10" t="n">
        <x:f>K2201*'Assumptions'!$V$47</x:f>
        <x:v>0</x:v>
      </x:c>
      <x:c r="N2201" s="10" t="n">
        <x:f>K2201-L2201-M2201</x:f>
        <x:v>19454.795932078985</x:v>
      </x:c>
      <x:c r="O2201" s="10" t="n">
        <x:f>H2201*'Assumptions'!$P$47*'Assumptions'!$Q$47*'Assumptions'!$D$11*(1+'Assumptions'!$D$13)^(18-1)</x:f>
        <x:v>6630.0646170447135</x:v>
      </x:c>
      <x:c r="P2201" s="10" t="n">
        <x:f>H2201*'Assumptions'!$R$47*'Assumptions'!$D$11*(1+'Assumptions'!$D$13)^(18-1)</x:f>
        <x:v>276.2526923768631</x:v>
      </x:c>
      <x:c r="Q2201" s="10" t="n">
        <x:f>J2201*'Assumptions'!$S$47</x:f>
        <x:v>0</x:v>
      </x:c>
      <x:c r="R2201" s="10" t="n">
        <x:f>H2201*'Assumptions'!$Y$47*'Assumptions'!$Z$47*'Assumptions'!$D$11*(1+'Assumptions'!$D$13)^(18-1)</x:f>
        <x:v>207.1895192826473</x:v>
      </x:c>
      <x:c r="S2201" s="10" t="n">
        <x:f>IF(I2201=0,0,J2201*'Assumptions'!$W$47+H2201*'Assumptions'!$X$47)</x:f>
        <x:v>586.6523515601137</x:v>
      </x:c>
      <x:c r="T2201" s="10" t="n">
        <x:f>N2201*'Assumptions'!$AA$47</x:f>
        <x:v>778.1918372831594</x:v>
      </x:c>
      <x:c r="U2201" s="10" t="n">
        <x:f>'Assumptions'!$AE$47*'Assumptions'!$D$11*(1+'Assumptions'!$D$13)^(18-1)</x:f>
        <x:v>0</x:v>
      </x:c>
      <x:c r="V2201" s="10" t="n">
        <x:f>0</x:f>
        <x:v>0</x:v>
      </x:c>
      <x:c r="W2201" s="10" t="n">
        <x:f>H2201*('Assumptions'!$P$47+'Assumptions'!$Y$47)</x:f>
        <x:v>71.03340439118186</x:v>
      </x:c>
      <x:c r="X2201" s="10" t="n">
        <x:f>N2201/12*'Assumptions'!$AF$47</x:f>
        <x:v>1621.2329943399154</x:v>
      </x:c>
      <x:c r="Y2201" s="10" t="n">
        <x:f>P2201/12</x:f>
        <x:v>23.021057698071925</x:v>
      </x:c>
      <x:c r="Z2201" s="10" t="n">
        <x:f>0</x:f>
        <x:v>0</x:v>
      </x:c>
      <x:c r="AA2201" s="10" t="n">
        <x:f>Z2201*'Assumptions'!$AC$47*'Assumptions'!$D$11*(1+'Assumptions'!$D$13)^(18-1)</x:f>
        <x:v>0</x:v>
      </x:c>
      <x:c r="AB2201" s="10" t="n">
        <x:f>F2201/1</x:f>
        <x:v>8.600320839457748</x:v>
      </x:c>
      <x:c r="AC2201" s="10" t="n">
        <x:f>AB2201/'Assumptions'!$AM$47</x:f>
        <x:v>43.001604197288735</x:v>
      </x:c>
      <x:c r="AD2201" s="10" t="n">
        <x:f>IF(AB2201=0,0,T2201/AB2201)</x:f>
        <x:v>90.4840472593607</x:v>
      </x:c>
      <x:c r="AE2201" s="10" t="n">
        <x:f>AA2201*'Assumptions'!$D$21</x:f>
        <x:v>0</x:v>
      </x:c>
    </x:row>
    <x:row r="2202" ht="16" customHeight="1">
      <x:c r="A2202" s="1"/>
      <x:c r="B2202" s="1"/>
      <x:c r="C2202" s="1" t="str">
        <x:v>DOT-019</x:v>
      </x:c>
      <x:c r="D2202" s="10" t="str">
        <x:v>BPA professional services</x:v>
      </x:c>
      <x:c r="E2202" s="10" t="n">
        <x:v>18</x:v>
      </x:c>
      <x:c r="F2202" s="21" t="n">
        <x:f>F2074*(1+'Assumptions'!$M$48)</x:f>
        <x:v>4.300160419728874</x:v>
      </x:c>
      <x:c r="G2202" s="21" t="n">
        <x:f>H2074*'Assumptions'!$K$48</x:f>
        <x:v>4.056710685116052</x:v>
      </x:c>
      <x:c r="H2202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2202+G2202,NA())</x:f>
        <x:v>8.356871104844926</x:v>
      </x:c>
      <x:c r="I2202" s="22" t="n">
        <x:f>'Assumptions'!$H$48*IF('Assumptions'!$O$48=1,1,'Assumptions'!$D$10)*(1+'Assumptions'!$N$48)^(18-1)</x:f>
        <x:v>3000</x:v>
      </x:c>
      <x:c r="J2202" s="10" t="n">
        <x:f>H2202*I2202</x:f>
        <x:v>25070.613314534778</x:v>
      </x:c>
      <x:c r="K2202" s="10" t="n">
        <x:f>J2202*'Assumptions'!$T$48</x:f>
        <x:v>25070.613314534778</x:v>
      </x:c>
      <x:c r="L2202" s="10" t="n">
        <x:f>K2202*'Assumptions'!$U$48</x:f>
        <x:v>752.1183994360433</x:v>
      </x:c>
      <x:c r="M2202" s="10" t="n">
        <x:f>K2202*'Assumptions'!$V$48</x:f>
        <x:v>0</x:v>
      </x:c>
      <x:c r="N2202" s="10" t="n">
        <x:f>K2202-L2202-M2202</x:f>
        <x:v>24318.494915098734</x:v>
      </x:c>
      <x:c r="O2202" s="10" t="n">
        <x:f>H2202*'Assumptions'!$P$48*'Assumptions'!$Q$48*'Assumptions'!$D$11*(1+'Assumptions'!$D$13)^(18-1)</x:f>
        <x:v>9945.09692556707</x:v>
      </x:c>
      <x:c r="P2202" s="10" t="n">
        <x:f>H2202*'Assumptions'!$R$48*'Assumptions'!$D$11*(1+'Assumptions'!$D$13)^(18-1)</x:f>
        <x:v>138.12634618843154</x:v>
      </x:c>
      <x:c r="Q2202" s="10" t="n">
        <x:f>J2202*'Assumptions'!$S$48</x:f>
        <x:v>0</x:v>
      </x:c>
      <x:c r="R2202" s="10" t="n">
        <x:f>H2202*'Assumptions'!$Y$48*'Assumptions'!$Z$48*'Assumptions'!$D$11*(1+'Assumptions'!$D$13)^(18-1)</x:f>
        <x:v>103.59475964132365</x:v>
      </x:c>
      <x:c r="S2202" s="10" t="n">
        <x:f>IF(I2202=0,0,J2202*'Assumptions'!$W$48+H2202*'Assumptions'!$X$48)</x:f>
        <x:v>729.554847452962</x:v>
      </x:c>
      <x:c r="T2202" s="10" t="n">
        <x:f>N2202*'Assumptions'!$AA$48</x:f>
        <x:v>972.7397966039493</x:v>
      </x:c>
      <x:c r="U2202" s="10" t="n">
        <x:f>'Assumptions'!$AE$48*'Assumptions'!$D$11*(1+'Assumptions'!$D$13)^(18-1)</x:f>
        <x:v>0</x:v>
      </x:c>
      <x:c r="V2202" s="10" t="n">
        <x:f>0</x:f>
        <x:v>0</x:v>
      </x:c>
      <x:c r="W2202" s="10" t="n">
        <x:f>H2202*('Assumptions'!$P$48+'Assumptions'!$Y$48)</x:f>
        <x:v>102.37167103435034</x:v>
      </x:c>
      <x:c r="X2202" s="10" t="n">
        <x:f>N2202/12*'Assumptions'!$AF$48</x:f>
        <x:v>2026.5412429248945</x:v>
      </x:c>
      <x:c r="Y2202" s="10" t="n">
        <x:f>P2202/12</x:f>
        <x:v>11.510528849035962</x:v>
      </x:c>
      <x:c r="Z2202" s="10" t="n">
        <x:f>0</x:f>
        <x:v>0</x:v>
      </x:c>
      <x:c r="AA2202" s="10" t="n">
        <x:f>Z2202*'Assumptions'!$AC$48*'Assumptions'!$D$11*(1+'Assumptions'!$D$13)^(18-1)</x:f>
        <x:v>0</x:v>
      </x:c>
      <x:c r="AB2202" s="10" t="n">
        <x:f>F2202/1</x:f>
        <x:v>4.300160419728874</x:v>
      </x:c>
      <x:c r="AC2202" s="10" t="n">
        <x:f>AB2202/'Assumptions'!$AM$48</x:f>
        <x:v>21.500802098644368</x:v>
      </x:c>
      <x:c r="AD2202" s="10" t="n">
        <x:f>IF(AB2202=0,0,T2202/AB2202)</x:f>
        <x:v>226.21011814840173</x:v>
      </x:c>
      <x:c r="AE2202" s="10" t="n">
        <x:f>AA2202*'Assumptions'!$D$21</x:f>
        <x:v>0</x:v>
      </x:c>
    </x:row>
    <x:row r="2203" ht="16" customHeight="1">
      <x:c r="A2203" s="1"/>
      <x:c r="B2203" s="1"/>
      <x:c r="C2203" s="1" t="str">
        <x:v>DOT-020</x:v>
      </x:c>
      <x:c r="D2203" s="10" t="str">
        <x:v>BPA professional services</x:v>
      </x:c>
      <x:c r="E2203" s="10" t="n">
        <x:v>18</x:v>
      </x:c>
      <x:c r="F2203" s="21" t="n">
        <x:f>F2075*(1+'Assumptions'!$M$49)</x:f>
        <x:v>6.450240629593311</x:v>
      </x:c>
      <x:c r="G2203" s="21" t="n">
        <x:f>H2075*'Assumptions'!$K$49</x:f>
        <x:v>6.085066027674078</x:v>
      </x:c>
      <x:c r="H2203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2203+G2203,NA())</x:f>
        <x:v>12.535306657267387</x:v>
      </x:c>
      <x:c r="I2203" s="22" t="n">
        <x:f>'Assumptions'!$H$49*IF('Assumptions'!$O$49=1,1,'Assumptions'!$D$10)*(1+'Assumptions'!$N$49)^(18-1)</x:f>
        <x:v>1800</x:v>
      </x:c>
      <x:c r="J2203" s="10" t="n">
        <x:f>H2203*I2203</x:f>
        <x:v>22563.5519830813</x:v>
      </x:c>
      <x:c r="K2203" s="10" t="n">
        <x:f>J2203*'Assumptions'!$T$49</x:f>
        <x:v>22563.5519830813</x:v>
      </x:c>
      <x:c r="L2203" s="10" t="n">
        <x:f>K2203*'Assumptions'!$U$49</x:f>
        <x:v>676.906559492439</x:v>
      </x:c>
      <x:c r="M2203" s="10" t="n">
        <x:f>K2203*'Assumptions'!$V$49</x:f>
        <x:v>0</x:v>
      </x:c>
      <x:c r="N2203" s="10" t="n">
        <x:f>K2203-L2203-M2203</x:f>
        <x:v>21886.64542358886</x:v>
      </x:c>
      <x:c r="O2203" s="10" t="n">
        <x:f>H2203*'Assumptions'!$P$49*'Assumptions'!$Q$49*'Assumptions'!$D$11*(1+'Assumptions'!$D$13)^(18-1)</x:f>
        <x:v>7458.822694175303</x:v>
      </x:c>
      <x:c r="P2203" s="10" t="n">
        <x:f>H2203*'Assumptions'!$R$49*'Assumptions'!$D$11*(1+'Assumptions'!$D$13)^(18-1)</x:f>
        <x:v>207.18951928264727</x:v>
      </x:c>
      <x:c r="Q2203" s="10" t="n">
        <x:f>J2203*'Assumptions'!$S$49</x:f>
        <x:v>0</x:v>
      </x:c>
      <x:c r="R2203" s="10" t="n">
        <x:f>H2203*'Assumptions'!$Y$49*'Assumptions'!$Z$49*'Assumptions'!$D$11*(1+'Assumptions'!$D$13)^(18-1)</x:f>
        <x:v>155.39213946198547</x:v>
      </x:c>
      <x:c r="S2203" s="10" t="n">
        <x:f>IF(I2203=0,0,J2203*'Assumptions'!$W$49+H2203*'Assumptions'!$X$49)</x:f>
        <x:v>658.1035995065379</x:v>
      </x:c>
      <x:c r="T2203" s="10" t="n">
        <x:f>N2203*'Assumptions'!$AA$49</x:f>
        <x:v>875.4658169435544</x:v>
      </x:c>
      <x:c r="U2203" s="10" t="n">
        <x:f>'Assumptions'!$AE$49*'Assumptions'!$D$11*(1+'Assumptions'!$D$13)^(18-1)</x:f>
        <x:v>0</x:v>
      </x:c>
      <x:c r="V2203" s="10" t="n">
        <x:f>0</x:f>
        <x:v>0</x:v>
      </x:c>
      <x:c r="W2203" s="10" t="n">
        <x:f>H2203*('Assumptions'!$P$49+'Assumptions'!$Y$49)</x:f>
        <x:v>78.34566660792117</x:v>
      </x:c>
      <x:c r="X2203" s="10" t="n">
        <x:f>N2203/12*'Assumptions'!$AF$49</x:f>
        <x:v>1823.887118632405</x:v>
      </x:c>
      <x:c r="Y2203" s="10" t="n">
        <x:f>P2203/12</x:f>
        <x:v>17.26579327355394</x:v>
      </x:c>
      <x:c r="Z2203" s="10" t="n">
        <x:f>0</x:f>
        <x:v>0</x:v>
      </x:c>
      <x:c r="AA2203" s="10" t="n">
        <x:f>Z2203*'Assumptions'!$AC$49*'Assumptions'!$D$11*(1+'Assumptions'!$D$13)^(18-1)</x:f>
        <x:v>0</x:v>
      </x:c>
      <x:c r="AB2203" s="10" t="n">
        <x:f>F2203/1</x:f>
        <x:v>6.450240629593311</x:v>
      </x:c>
      <x:c r="AC2203" s="10" t="n">
        <x:f>AB2203/'Assumptions'!$AM$49</x:f>
        <x:v>32.25120314796655</x:v>
      </x:c>
      <x:c r="AD2203" s="10" t="n">
        <x:f>IF(AB2203=0,0,T2203/AB2203)</x:f>
        <x:v>135.72607088904104</x:v>
      </x:c>
      <x:c r="AE2203" s="10" t="n">
        <x:f>AA2203*'Assumptions'!$D$21</x:f>
        <x:v>0</x:v>
      </x:c>
    </x:row>
    <x:row r="2204" ht="16" customHeight="1">
      <x:c r="A2204" s="1"/>
      <x:c r="B2204" s="1"/>
      <x:c r="C2204" s="1" t="str">
        <x:v>DOT-021</x:v>
      </x:c>
      <x:c r="D2204" s="10" t="str">
        <x:v>BPA professional services</x:v>
      </x:c>
      <x:c r="E2204" s="10" t="n">
        <x:v>18</x:v>
      </x:c>
      <x:c r="F2204" s="21" t="n">
        <x:f>F2076*(1+'Assumptions'!$M$50)</x:f>
        <x:v>4.300160419728874</x:v>
      </x:c>
      <x:c r="G2204" s="21" t="n">
        <x:f>H2076*'Assumptions'!$K$50</x:f>
        <x:v>4.056710685116052</x:v>
      </x:c>
      <x:c r="H2204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2204+G2204,NA())</x:f>
        <x:v>8.356871104844926</x:v>
      </x:c>
      <x:c r="I2204" s="22" t="n">
        <x:f>'Assumptions'!$H$50*IF('Assumptions'!$O$50=1,1,'Assumptions'!$D$10)*(1+'Assumptions'!$N$50)^(18-1)</x:f>
        <x:v>4200</x:v>
      </x:c>
      <x:c r="J2204" s="10" t="n">
        <x:f>H2204*I2204</x:f>
        <x:v>35098.858640348684</x:v>
      </x:c>
      <x:c r="K2204" s="10" t="n">
        <x:f>J2204*'Assumptions'!$T$50</x:f>
        <x:v>35098.858640348684</x:v>
      </x:c>
      <x:c r="L2204" s="10" t="n">
        <x:f>K2204*'Assumptions'!$U$50</x:f>
        <x:v>1052.9657592104604</x:v>
      </x:c>
      <x:c r="M2204" s="10" t="n">
        <x:f>K2204*'Assumptions'!$V$50</x:f>
        <x:v>0</x:v>
      </x:c>
      <x:c r="N2204" s="10" t="n">
        <x:f>K2204-L2204-M2204</x:f>
        <x:v>34045.89288113822</x:v>
      </x:c>
      <x:c r="O2204" s="10" t="n">
        <x:f>H2204*'Assumptions'!$P$50*'Assumptions'!$Q$50*'Assumptions'!$D$11*(1+'Assumptions'!$D$13)^(18-1)</x:f>
        <x:v>9945.09692556707</x:v>
      </x:c>
      <x:c r="P2204" s="10" t="n">
        <x:f>H2204*'Assumptions'!$R$50*'Assumptions'!$D$11*(1+'Assumptions'!$D$13)^(18-1)</x:f>
        <x:v>138.12634618843154</x:v>
      </x:c>
      <x:c r="Q2204" s="10" t="n">
        <x:f>J2204*'Assumptions'!$S$50</x:f>
        <x:v>0</x:v>
      </x:c>
      <x:c r="R2204" s="10" t="n">
        <x:f>H2204*'Assumptions'!$Y$50*'Assumptions'!$Z$50*'Assumptions'!$D$11*(1+'Assumptions'!$D$13)^(18-1)</x:f>
        <x:v>103.59475964132365</x:v>
      </x:c>
      <x:c r="S2204" s="10" t="n">
        <x:f>IF(I2204=0,0,J2204*'Assumptions'!$W$50+H2204*'Assumptions'!$X$50)</x:f>
        <x:v>1020.3739619015653</x:v>
      </x:c>
      <x:c r="T2204" s="10" t="n">
        <x:f>N2204*'Assumptions'!$AA$50</x:f>
        <x:v>1361.835715245529</x:v>
      </x:c>
      <x:c r="U2204" s="10" t="n">
        <x:f>'Assumptions'!$AE$50*'Assumptions'!$D$11*(1+'Assumptions'!$D$13)^(18-1)</x:f>
        <x:v>0</x:v>
      </x:c>
      <x:c r="V2204" s="10" t="n">
        <x:f>0</x:f>
        <x:v>0</x:v>
      </x:c>
      <x:c r="W2204" s="10" t="n">
        <x:f>H2204*('Assumptions'!$P$50+'Assumptions'!$Y$50)</x:f>
        <x:v>102.37167103435034</x:v>
      </x:c>
      <x:c r="X2204" s="10" t="n">
        <x:f>N2204/12*'Assumptions'!$AF$50</x:f>
        <x:v>2837.1577400948518</x:v>
      </x:c>
      <x:c r="Y2204" s="10" t="n">
        <x:f>P2204/12</x:f>
        <x:v>11.510528849035962</x:v>
      </x:c>
      <x:c r="Z2204" s="10" t="n">
        <x:f>0</x:f>
        <x:v>0</x:v>
      </x:c>
      <x:c r="AA2204" s="10" t="n">
        <x:f>Z2204*'Assumptions'!$AC$50*'Assumptions'!$D$11*(1+'Assumptions'!$D$13)^(18-1)</x:f>
        <x:v>0</x:v>
      </x:c>
      <x:c r="AB2204" s="10" t="n">
        <x:f>F2204/1</x:f>
        <x:v>4.300160419728874</x:v>
      </x:c>
      <x:c r="AC2204" s="10" t="n">
        <x:f>AB2204/'Assumptions'!$AM$50</x:f>
        <x:v>21.500802098644368</x:v>
      </x:c>
      <x:c r="AD2204" s="10" t="n">
        <x:f>IF(AB2204=0,0,T2204/AB2204)</x:f>
        <x:v>316.6941654077624</x:v>
      </x:c>
      <x:c r="AE2204" s="10" t="n">
        <x:f>AA2204*'Assumptions'!$D$21</x:f>
        <x:v>0</x:v>
      </x:c>
    </x:row>
    <x:row r="2205" ht="16" customHeight="1">
      <x:c r="A2205" s="1"/>
      <x:c r="B2205" s="1"/>
      <x:c r="C2205" s="1" t="str">
        <x:v>DOT-022</x:v>
      </x:c>
      <x:c r="D2205" s="10" t="str">
        <x:v>BPA professional services</x:v>
      </x:c>
      <x:c r="E2205" s="10" t="n">
        <x:v>18</x:v>
      </x:c>
      <x:c r="F2205" s="21" t="n">
        <x:f>F2077*(1+'Assumptions'!$M$51)</x:f>
        <x:v>17.200641678915495</x:v>
      </x:c>
      <x:c r="G2205" s="21" t="n">
        <x:f>H2077*'Assumptions'!$K$51</x:f>
        <x:v>16.226842740464207</x:v>
      </x:c>
      <x:c r="H2205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2205+G2205,NA())</x:f>
        <x:v>33.4274844193797</x:v>
      </x:c>
      <x:c r="I2205" s="22" t="n">
        <x:f>'Assumptions'!$H$51*IF('Assumptions'!$O$51=1,1,'Assumptions'!$D$10)*(1+'Assumptions'!$N$51)^(18-1)</x:f>
        <x:v>900</x:v>
      </x:c>
      <x:c r="J2205" s="10" t="n">
        <x:f>H2205*I2205</x:f>
        <x:v>30084.73597744173</x:v>
      </x:c>
      <x:c r="K2205" s="10" t="n">
        <x:f>J2205*'Assumptions'!$T$51</x:f>
        <x:v>30084.73597744173</x:v>
      </x:c>
      <x:c r="L2205" s="10" t="n">
        <x:f>K2205*'Assumptions'!$U$51</x:f>
        <x:v>902.5420793232519</x:v>
      </x:c>
      <x:c r="M2205" s="10" t="n">
        <x:f>K2205*'Assumptions'!$V$51</x:f>
        <x:v>0</x:v>
      </x:c>
      <x:c r="N2205" s="10" t="n">
        <x:f>K2205-L2205-M2205</x:f>
        <x:v>29182.19389811848</x:v>
      </x:c>
      <x:c r="O2205" s="10" t="n">
        <x:f>H2205*'Assumptions'!$P$51*'Assumptions'!$Q$51*'Assumptions'!$D$11*(1+'Assumptions'!$D$13)^(18-1)</x:f>
        <x:v>9945.09692556707</x:v>
      </x:c>
      <x:c r="P2205" s="10" t="n">
        <x:f>H2205*'Assumptions'!$R$51*'Assumptions'!$D$11*(1+'Assumptions'!$D$13)^(18-1)</x:f>
        <x:v>552.5053847537262</x:v>
      </x:c>
      <x:c r="Q2205" s="10" t="n">
        <x:f>J2205*'Assumptions'!$S$51</x:f>
        <x:v>0</x:v>
      </x:c>
      <x:c r="R2205" s="10" t="n">
        <x:f>H2205*'Assumptions'!$Y$51*'Assumptions'!$Z$51*'Assumptions'!$D$11*(1+'Assumptions'!$D$13)^(18-1)</x:f>
        <x:v>414.3790385652946</x:v>
      </x:c>
      <x:c r="S2205" s="10" t="n">
        <x:f>IF(I2205=0,0,J2205*'Assumptions'!$W$51+H2205*'Assumptions'!$X$51)</x:f>
        <x:v>882.4855886716242</x:v>
      </x:c>
      <x:c r="T2205" s="10" t="n">
        <x:f>N2205*'Assumptions'!$AA$51</x:f>
        <x:v>1167.2877559247393</x:v>
      </x:c>
      <x:c r="U2205" s="10" t="n">
        <x:f>'Assumptions'!$AE$51*'Assumptions'!$D$11*(1+'Assumptions'!$D$13)^(18-1)</x:f>
        <x:v>0</x:v>
      </x:c>
      <x:c r="V2205" s="10" t="n">
        <x:f>0</x:f>
        <x:v>0</x:v>
      </x:c>
      <x:c r="W2205" s="10" t="n">
        <x:f>H2205*('Assumptions'!$P$51+'Assumptions'!$Y$51)</x:f>
        <x:v>108.63932436298403</x:v>
      </x:c>
      <x:c r="X2205" s="10" t="n">
        <x:f>N2205/12*'Assumptions'!$AF$51</x:f>
        <x:v>2431.849491509873</x:v>
      </x:c>
      <x:c r="Y2205" s="10" t="n">
        <x:f>P2205/12</x:f>
        <x:v>46.04211539614385</x:v>
      </x:c>
      <x:c r="Z2205" s="10" t="n">
        <x:f>0</x:f>
        <x:v>0</x:v>
      </x:c>
      <x:c r="AA2205" s="10" t="n">
        <x:f>Z2205*'Assumptions'!$AC$51*'Assumptions'!$D$11*(1+'Assumptions'!$D$13)^(18-1)</x:f>
        <x:v>0</x:v>
      </x:c>
      <x:c r="AB2205" s="10" t="n">
        <x:f>F2205/1</x:f>
        <x:v>17.200641678915495</x:v>
      </x:c>
      <x:c r="AC2205" s="10" t="n">
        <x:f>AB2205/'Assumptions'!$AM$51</x:f>
        <x:v>86.00320839457747</x:v>
      </x:c>
      <x:c r="AD2205" s="10" t="n">
        <x:f>IF(AB2205=0,0,T2205/AB2205)</x:f>
        <x:v>67.86303544452052</x:v>
      </x:c>
      <x:c r="AE2205" s="10" t="n">
        <x:f>AA2205*'Assumptions'!$D$21</x:f>
        <x:v>0</x:v>
      </x:c>
    </x:row>
    <x:row r="2206" ht="16" customHeight="1">
      <x:c r="A2206" s="1"/>
      <x:c r="B2206" s="1"/>
      <x:c r="C2206" s="1" t="str">
        <x:v>DOT-023</x:v>
      </x:c>
      <x:c r="D2206" s="10" t="str">
        <x:v>BPA professional services</x:v>
      </x:c>
      <x:c r="E2206" s="10" t="n">
        <x:v>18</x:v>
      </x:c>
      <x:c r="F2206" s="21" t="n">
        <x:f>F2078*(1+'Assumptions'!$M$52)</x:f>
        <x:v>10.750401049322184</x:v>
      </x:c>
      <x:c r="G2206" s="21" t="n">
        <x:f>H2078*'Assumptions'!$K$52</x:f>
        <x:v>10.141776712790126</x:v>
      </x:c>
      <x:c r="H2206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2206+G2206,NA())</x:f>
        <x:v>20.89217776211231</x:v>
      </x:c>
      <x:c r="I2206" s="22" t="n">
        <x:f>'Assumptions'!$H$52*IF('Assumptions'!$O$52=1,1,'Assumptions'!$D$10)*(1+'Assumptions'!$N$52)^(18-1)</x:f>
        <x:v>1800</x:v>
      </x:c>
      <x:c r="J2206" s="10" t="n">
        <x:f>H2206*I2206</x:f>
        <x:v>37605.91997180216</x:v>
      </x:c>
      <x:c r="K2206" s="10" t="n">
        <x:f>J2206*'Assumptions'!$T$52</x:f>
        <x:v>37605.91997180216</x:v>
      </x:c>
      <x:c r="L2206" s="10" t="n">
        <x:f>K2206*'Assumptions'!$U$52</x:f>
        <x:v>1128.1775991540649</x:v>
      </x:c>
      <x:c r="M2206" s="10" t="n">
        <x:f>K2206*'Assumptions'!$V$52</x:f>
        <x:v>0</x:v>
      </x:c>
      <x:c r="N2206" s="10" t="n">
        <x:f>K2206-L2206-M2206</x:f>
        <x:v>36477.7423726481</x:v>
      </x:c>
      <x:c r="O2206" s="10" t="n">
        <x:f>H2206*'Assumptions'!$P$52*'Assumptions'!$Q$52*'Assumptions'!$D$11*(1+'Assumptions'!$D$13)^(18-1)</x:f>
        <x:v>12431.371156958836</x:v>
      </x:c>
      <x:c r="P2206" s="10" t="n">
        <x:f>H2206*'Assumptions'!$R$52*'Assumptions'!$D$11*(1+'Assumptions'!$D$13)^(18-1)</x:f>
        <x:v>345.3158654710788</x:v>
      </x:c>
      <x:c r="Q2206" s="10" t="n">
        <x:f>J2206*'Assumptions'!$S$52</x:f>
        <x:v>0</x:v>
      </x:c>
      <x:c r="R2206" s="10" t="n">
        <x:f>H2206*'Assumptions'!$Y$52*'Assumptions'!$Z$52*'Assumptions'!$D$11*(1+'Assumptions'!$D$13)^(18-1)</x:f>
        <x:v>258.9868991033091</x:v>
      </x:c>
      <x:c r="S2206" s="10" t="n">
        <x:f>IF(I2206=0,0,J2206*'Assumptions'!$W$52+H2206*'Assumptions'!$X$52)</x:f>
        <x:v>1096.8393325108966</x:v>
      </x:c>
      <x:c r="T2206" s="10" t="n">
        <x:f>N2206*'Assumptions'!$AA$52</x:f>
        <x:v>1459.109694905924</x:v>
      </x:c>
      <x:c r="U2206" s="10" t="n">
        <x:f>'Assumptions'!$AE$52*'Assumptions'!$D$11*(1+'Assumptions'!$D$13)^(18-1)</x:f>
        <x:v>0</x:v>
      </x:c>
      <x:c r="V2206" s="10" t="n">
        <x:f>0</x:f>
        <x:v>0</x:v>
      </x:c>
      <x:c r="W2206" s="10" t="n">
        <x:f>H2206*('Assumptions'!$P$52+'Assumptions'!$Y$52)</x:f>
        <x:v>130.57611101320194</x:v>
      </x:c>
      <x:c r="X2206" s="10" t="n">
        <x:f>N2206/12*'Assumptions'!$AF$52</x:f>
        <x:v>3039.8118643873418</x:v>
      </x:c>
      <x:c r="Y2206" s="10" t="n">
        <x:f>P2206/12</x:f>
        <x:v>28.7763221225899</x:v>
      </x:c>
      <x:c r="Z2206" s="10" t="n">
        <x:f>0</x:f>
        <x:v>0</x:v>
      </x:c>
      <x:c r="AA2206" s="10" t="n">
        <x:f>Z2206*'Assumptions'!$AC$52*'Assumptions'!$D$11*(1+'Assumptions'!$D$13)^(18-1)</x:f>
        <x:v>0</x:v>
      </x:c>
      <x:c r="AB2206" s="10" t="n">
        <x:f>F2206/1</x:f>
        <x:v>10.750401049322184</x:v>
      </x:c>
      <x:c r="AC2206" s="10" t="n">
        <x:f>AB2206/'Assumptions'!$AM$52</x:f>
        <x:v>53.75200524661091</x:v>
      </x:c>
      <x:c r="AD2206" s="10" t="n">
        <x:f>IF(AB2206=0,0,T2206/AB2206)</x:f>
        <x:v>135.72607088904104</x:v>
      </x:c>
      <x:c r="AE2206" s="10" t="n">
        <x:f>AA2206*'Assumptions'!$D$21</x:f>
        <x:v>0</x:v>
      </x:c>
    </x:row>
    <x:row r="2207" ht="16" customHeight="1">
      <x:c r="A2207" s="1"/>
      <x:c r="B2207" s="1"/>
      <x:c r="C2207" s="1" t="str">
        <x:v>DOT-024</x:v>
      </x:c>
      <x:c r="D2207" s="10" t="str">
        <x:v>BPA professional services</x:v>
      </x:c>
      <x:c r="E2207" s="10" t="n">
        <x:v>18</x:v>
      </x:c>
      <x:c r="F2207" s="21" t="n">
        <x:f>F2079*(1+'Assumptions'!$M$53)</x:f>
        <x:v>53.75200524661093</x:v>
      </x:c>
      <x:c r="G2207" s="21" t="n">
        <x:f>H2079*'Assumptions'!$K$53</x:f>
        <x:v>50.70878819651901</x:v>
      </x:c>
      <x:c r="H2207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2207+G2207,NA())</x:f>
        <x:v>104.46079344312994</x:v>
      </x:c>
      <x:c r="I2207" s="22" t="n">
        <x:f>'Assumptions'!$H$53*IF('Assumptions'!$O$53=1,1,'Assumptions'!$D$10)*(1+'Assumptions'!$N$53)^(18-1)</x:f>
        <x:v>540</x:v>
      </x:c>
      <x:c r="J2207" s="10" t="n">
        <x:f>H2207*I2207</x:f>
        <x:v>56408.82845929017</x:v>
      </x:c>
      <x:c r="K2207" s="10" t="n">
        <x:f>J2207*'Assumptions'!$T$53</x:f>
        <x:v>56408.82845929017</x:v>
      </x:c>
      <x:c r="L2207" s="10" t="n">
        <x:f>K2207*'Assumptions'!$U$53</x:f>
        <x:v>1692.264853778705</x:v>
      </x:c>
      <x:c r="M2207" s="10" t="n">
        <x:f>K2207*'Assumptions'!$V$53</x:f>
        <x:v>0</x:v>
      </x:c>
      <x:c r="N2207" s="10" t="n">
        <x:f>K2207-L2207-M2207</x:f>
        <x:v>54716.56360551147</x:v>
      </x:c>
      <x:c r="O2207" s="10" t="n">
        <x:f>H2207*'Assumptions'!$P$53*'Assumptions'!$Q$53*'Assumptions'!$D$11*(1+'Assumptions'!$D$13)^(18-1)</x:f>
        <x:v>20718.933012924703</x:v>
      </x:c>
      <x:c r="P2207" s="10" t="n">
        <x:f>H2207*'Assumptions'!$R$53*'Assumptions'!$D$11*(1+'Assumptions'!$D$13)^(18-1)</x:f>
        <x:v>1726.5777510770583</x:v>
      </x:c>
      <x:c r="Q2207" s="10" t="n">
        <x:f>J2207*'Assumptions'!$S$53</x:f>
        <x:v>0</x:v>
      </x:c>
      <x:c r="R2207" s="10" t="n">
        <x:f>H2207*'Assumptions'!$Y$53*'Assumptions'!$Z$53*'Assumptions'!$D$11*(1+'Assumptions'!$D$13)^(18-1)</x:f>
        <x:v>1294.933313307794</x:v>
      </x:c>
      <x:c r="S2207" s="10" t="n">
        <x:f>IF(I2207=0,0,J2207*'Assumptions'!$W$53+H2207*'Assumptions'!$X$53)</x:f>
        <x:v>1667.194263352354</x:v>
      </x:c>
      <x:c r="T2207" s="10" t="n">
        <x:f>N2207*'Assumptions'!$AA$53</x:f>
        <x:v>2188.6625442204586</x:v>
      </x:c>
      <x:c r="U2207" s="10" t="n">
        <x:f>'Assumptions'!$AE$53*'Assumptions'!$D$11*(1+'Assumptions'!$D$13)^(18-1)</x:f>
        <x:v>0</x:v>
      </x:c>
      <x:c r="V2207" s="10" t="n">
        <x:f>0</x:f>
        <x:v>0</x:v>
      </x:c>
      <x:c r="W2207" s="10" t="n">
        <x:f>H2207*('Assumptions'!$P$53+'Assumptions'!$Y$53)</x:f>
        <x:v>235.03678524704236</x:v>
      </x:c>
      <x:c r="X2207" s="10" t="n">
        <x:f>N2207/12*'Assumptions'!$AF$53</x:f>
        <x:v>4559.713633792622</x:v>
      </x:c>
      <x:c r="Y2207" s="10" t="n">
        <x:f>P2207/12</x:f>
        <x:v>143.88147925642153</x:v>
      </x:c>
      <x:c r="Z2207" s="10" t="n">
        <x:f>0</x:f>
        <x:v>0</x:v>
      </x:c>
      <x:c r="AA2207" s="10" t="n">
        <x:f>Z2207*'Assumptions'!$AC$53*'Assumptions'!$D$11*(1+'Assumptions'!$D$13)^(18-1)</x:f>
        <x:v>0</x:v>
      </x:c>
      <x:c r="AB2207" s="10" t="n">
        <x:f>F2207/1</x:f>
        <x:v>53.75200524661093</x:v>
      </x:c>
      <x:c r="AC2207" s="10" t="n">
        <x:f>AB2207/'Assumptions'!$AM$53</x:f>
        <x:v>268.76002623305465</x:v>
      </x:c>
      <x:c r="AD2207" s="10" t="n">
        <x:f>IF(AB2207=0,0,T2207/AB2207)</x:f>
        <x:v>40.71778409343071</x:v>
      </x:c>
      <x:c r="AE2207" s="10" t="n">
        <x:f>AA2207*'Assumptions'!$D$21</x:f>
        <x:v>0</x:v>
      </x:c>
    </x:row>
    <x:row r="2208" ht="16" customHeight="1">
      <x:c r="A2208" s="1"/>
      <x:c r="B2208" s="1"/>
      <x:c r="C2208" s="1" t="str">
        <x:v>DOT-025</x:v>
      </x:c>
      <x:c r="D2208" s="10" t="str">
        <x:v>BPA professional services</x:v>
      </x:c>
      <x:c r="E2208" s="10" t="n">
        <x:v>18</x:v>
      </x:c>
      <x:c r="F2208" s="21" t="n">
        <x:f>F2080*(1+'Assumptions'!$M$54)</x:f>
        <x:v>21.500802098644368</x:v>
      </x:c>
      <x:c r="G2208" s="21" t="n">
        <x:f>H2080*'Assumptions'!$K$54</x:f>
        <x:v>20.283515278607595</x:v>
      </x:c>
      <x:c r="H2208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2208+G2208,NA())</x:f>
        <x:v>41.784317377251966</x:v>
      </x:c>
      <x:c r="I2208" s="22" t="n">
        <x:f>'Assumptions'!$H$54*IF('Assumptions'!$O$54=1,1,'Assumptions'!$D$10)*(1+'Assumptions'!$N$54)^(18-1)</x:f>
        <x:v>1020</x:v>
      </x:c>
      <x:c r="J2208" s="10" t="n">
        <x:f>H2208*I2208</x:f>
        <x:v>42620.003724797</x:v>
      </x:c>
      <x:c r="K2208" s="10" t="n">
        <x:f>J2208*'Assumptions'!$T$54</x:f>
        <x:v>42620.003724797</x:v>
      </x:c>
      <x:c r="L2208" s="10" t="n">
        <x:f>K2208*'Assumptions'!$U$54</x:f>
        <x:v>1278.60011174391</x:v>
      </x:c>
      <x:c r="M2208" s="10" t="n">
        <x:f>K2208*'Assumptions'!$V$54</x:f>
        <x:v>0</x:v>
      </x:c>
      <x:c r="N2208" s="10" t="n">
        <x:f>K2208-L2208-M2208</x:f>
        <x:v>41341.403613053095</x:v>
      </x:c>
      <x:c r="O2208" s="10" t="n">
        <x:f>H2208*'Assumptions'!$P$54*'Assumptions'!$Q$54*'Assumptions'!$D$11*(1+'Assumptions'!$D$13)^(18-1)</x:f>
        <x:v>20718.9330129247</x:v>
      </x:c>
      <x:c r="P2208" s="10" t="n">
        <x:f>H2208*'Assumptions'!$R$54*'Assumptions'!$D$11*(1+'Assumptions'!$D$13)^(18-1)</x:f>
        <x:v>690.6311004308233</x:v>
      </x:c>
      <x:c r="Q2208" s="10" t="n">
        <x:f>J2208*'Assumptions'!$S$54</x:f>
        <x:v>0</x:v>
      </x:c>
      <x:c r="R2208" s="10" t="n">
        <x:f>H2208*'Assumptions'!$Y$54*'Assumptions'!$Z$54*'Assumptions'!$D$11*(1+'Assumptions'!$D$13)^(18-1)</x:f>
        <x:v>517.9733253231175</x:v>
      </x:c>
      <x:c r="S2208" s="10" t="n">
        <x:f>IF(I2208=0,0,J2208*'Assumptions'!$W$54+H2208*'Assumptions'!$X$54)</x:f>
        <x:v>1248.515403232289</x:v>
      </x:c>
      <x:c r="T2208" s="10" t="n">
        <x:f>N2208*'Assumptions'!$AA$54</x:f>
        <x:v>1653.656144522124</x:v>
      </x:c>
      <x:c r="U2208" s="10" t="n">
        <x:f>'Assumptions'!$AE$54*'Assumptions'!$D$11*(1+'Assumptions'!$D$13)^(18-1)</x:f>
        <x:v>0</x:v>
      </x:c>
      <x:c r="V2208" s="10" t="n">
        <x:f>0</x:f>
        <x:v>0</x:v>
      </x:c>
      <x:c r="W2208" s="10" t="n">
        <x:f>H2208*('Assumptions'!$P$54+'Assumptions'!$Y$54)</x:f>
        <x:v>219.3676662305728</x:v>
      </x:c>
      <x:c r="X2208" s="10" t="n">
        <x:f>N2208/12*'Assumptions'!$AF$54</x:f>
        <x:v>3445.1169677544244</x:v>
      </x:c>
      <x:c r="Y2208" s="10" t="n">
        <x:f>P2208/12</x:f>
        <x:v>57.552591702568606</x:v>
      </x:c>
      <x:c r="Z2208" s="10" t="n">
        <x:f>0</x:f>
        <x:v>0</x:v>
      </x:c>
      <x:c r="AA2208" s="10" t="n">
        <x:f>Z2208*'Assumptions'!$AC$54*'Assumptions'!$D$11*(1+'Assumptions'!$D$13)^(18-1)</x:f>
        <x:v>0</x:v>
      </x:c>
      <x:c r="AB2208" s="10" t="n">
        <x:f>F2208/1</x:f>
        <x:v>21.500802098644368</x:v>
      </x:c>
      <x:c r="AC2208" s="10" t="n">
        <x:f>AB2208/'Assumptions'!$AM$54</x:f>
        <x:v>107.50401049322183</x:v>
      </x:c>
      <x:c r="AD2208" s="10" t="n">
        <x:f>IF(AB2208=0,0,T2208/AB2208)</x:f>
        <x:v>76.911369954258</x:v>
      </x:c>
      <x:c r="AE2208" s="10" t="n">
        <x:f>AA2208*'Assumptions'!$D$21</x:f>
        <x:v>0</x:v>
      </x:c>
    </x:row>
    <x:row r="2209" ht="16" customHeight="1">
      <x:c r="A2209" s="1"/>
      <x:c r="B2209" s="1"/>
      <x:c r="C2209" s="1" t="str">
        <x:v>DOT-026</x:v>
      </x:c>
      <x:c r="D2209" s="10" t="str">
        <x:v>BPA professional services</x:v>
      </x:c>
      <x:c r="E2209" s="10" t="n">
        <x:v>18</x:v>
      </x:c>
      <x:c r="F2209" s="21" t="n">
        <x:f>F2081*(1+'Assumptions'!$M$55)</x:f>
        <x:v>8.600320839457748</x:v>
      </x:c>
      <x:c r="G2209" s="21" t="n">
        <x:f>H2081*'Assumptions'!$K$55</x:f>
        <x:v>8.113406111443041</x:v>
      </x:c>
      <x:c r="H2209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2209+G2209,NA())</x:f>
        <x:v>16.71372695090079</x:v>
      </x:c>
      <x:c r="I2209" s="22" t="n">
        <x:f>'Assumptions'!$H$55*IF('Assumptions'!$O$55=1,1,'Assumptions'!$D$10)*(1+'Assumptions'!$N$55)^(18-1)</x:f>
        <x:v>1800</x:v>
      </x:c>
      <x:c r="J2209" s="10" t="n">
        <x:f>H2209*I2209</x:f>
        <x:v>30084.70851162142</x:v>
      </x:c>
      <x:c r="K2209" s="10" t="n">
        <x:f>J2209*'Assumptions'!$T$55</x:f>
        <x:v>30084.70851162142</x:v>
      </x:c>
      <x:c r="L2209" s="10" t="n">
        <x:f>K2209*'Assumptions'!$U$55</x:f>
        <x:v>902.5412553486425</x:v>
      </x:c>
      <x:c r="M2209" s="10" t="n">
        <x:f>K2209*'Assumptions'!$V$55</x:f>
        <x:v>0</x:v>
      </x:c>
      <x:c r="N2209" s="10" t="n">
        <x:f>K2209-L2209-M2209</x:f>
        <x:v>29182.167256272776</x:v>
      </x:c>
      <x:c r="O2209" s="10" t="n">
        <x:f>H2209*'Assumptions'!$P$55*'Assumptions'!$Q$55*'Assumptions'!$D$11*(1+'Assumptions'!$D$13)^(18-1)</x:f>
        <x:v>16575.14641033976</x:v>
      </x:c>
      <x:c r="P2209" s="10" t="n">
        <x:f>H2209*'Assumptions'!$R$55*'Assumptions'!$D$11*(1+'Assumptions'!$D$13)^(18-1)</x:f>
        <x:v>276.25244017232933</x:v>
      </x:c>
      <x:c r="Q2209" s="10" t="n">
        <x:f>J2209*'Assumptions'!$S$55</x:f>
        <x:v>0</x:v>
      </x:c>
      <x:c r="R2209" s="10" t="n">
        <x:f>H2209*'Assumptions'!$Y$55*'Assumptions'!$Z$55*'Assumptions'!$D$11*(1+'Assumptions'!$D$13)^(18-1)</x:f>
        <x:v>207.189330129247</x:v>
      </x:c>
      <x:c r="S2209" s="10" t="n">
        <x:f>IF(I2209=0,0,J2209*'Assumptions'!$W$55+H2209*'Assumptions'!$X$55)</x:f>
        <x:v>877.4706649222913</x:v>
      </x:c>
      <x:c r="T2209" s="10" t="n">
        <x:f>N2209*'Assumptions'!$AA$55</x:f>
        <x:v>1167.286690250911</x:v>
      </x:c>
      <x:c r="U2209" s="10" t="n">
        <x:f>'Assumptions'!$AE$55*'Assumptions'!$D$11*(1+'Assumptions'!$D$13)^(18-1)</x:f>
        <x:v>0</x:v>
      </x:c>
      <x:c r="V2209" s="10" t="n">
        <x:f>0</x:f>
        <x:v>0</x:v>
      </x:c>
      <x:c r="W2209" s="10" t="n">
        <x:f>H2209*('Assumptions'!$P$55+'Assumptions'!$Y$55)</x:f>
        <x:v>171.31570124673308</x:v>
      </x:c>
      <x:c r="X2209" s="10" t="n">
        <x:f>N2209/12*'Assumptions'!$AF$55</x:f>
        <x:v>2431.8472713560645</x:v>
      </x:c>
      <x:c r="Y2209" s="10" t="n">
        <x:f>P2209/12</x:f>
        <x:v>23.021036681027443</x:v>
      </x:c>
      <x:c r="Z2209" s="10" t="n">
        <x:f>0</x:f>
        <x:v>0</x:v>
      </x:c>
      <x:c r="AA2209" s="10" t="n">
        <x:f>Z2209*'Assumptions'!$AC$55*'Assumptions'!$D$11*(1+'Assumptions'!$D$13)^(18-1)</x:f>
        <x:v>0</x:v>
      </x:c>
      <x:c r="AB2209" s="10" t="n">
        <x:f>F2209/1</x:f>
        <x:v>8.600320839457748</x:v>
      </x:c>
      <x:c r="AC2209" s="10" t="n">
        <x:f>AB2209/'Assumptions'!$AM$55</x:f>
        <x:v>43.001604197288735</x:v>
      </x:c>
      <x:c r="AD2209" s="10" t="n">
        <x:f>IF(AB2209=0,0,T2209/AB2209)</x:f>
        <x:v>135.72594697810237</x:v>
      </x:c>
      <x:c r="AE2209" s="10" t="n">
        <x:f>AA2209*'Assumptions'!$D$21</x:f>
        <x:v>0</x:v>
      </x:c>
    </x:row>
    <x:row r="2210" ht="16" customHeight="1">
      <x:c r="A2210" s="1"/>
      <x:c r="B2210" s="1"/>
      <x:c r="C2210" s="1" t="str">
        <x:v>DOT-027</x:v>
      </x:c>
      <x:c r="D2210" s="10" t="str">
        <x:v>BPA professional services</x:v>
      </x:c>
      <x:c r="E2210" s="10" t="n">
        <x:v>18</x:v>
      </x:c>
      <x:c r="F2210" s="21" t="n">
        <x:f>F2082*(1+'Assumptions'!$M$56)</x:f>
        <x:v>8.600320839457748</x:v>
      </x:c>
      <x:c r="G2210" s="21" t="n">
        <x:f>H2082*'Assumptions'!$K$56</x:f>
        <x:v>8.113406111443041</x:v>
      </x:c>
      <x:c r="H2210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2210+G2210,NA())</x:f>
        <x:v>16.71372695090079</x:v>
      </x:c>
      <x:c r="I2210" s="22" t="n">
        <x:f>'Assumptions'!$H$56*IF('Assumptions'!$O$56=1,1,'Assumptions'!$D$10)*(1+'Assumptions'!$N$56)^(18-1)</x:f>
        <x:v>1800</x:v>
      </x:c>
      <x:c r="J2210" s="10" t="n">
        <x:f>H2210*I2210</x:f>
        <x:v>30084.70851162142</x:v>
      </x:c>
      <x:c r="K2210" s="10" t="n">
        <x:f>J2210*'Assumptions'!$T$56</x:f>
        <x:v>30084.70851162142</x:v>
      </x:c>
      <x:c r="L2210" s="10" t="n">
        <x:f>K2210*'Assumptions'!$U$56</x:f>
        <x:v>902.5412553486425</x:v>
      </x:c>
      <x:c r="M2210" s="10" t="n">
        <x:f>K2210*'Assumptions'!$V$56</x:f>
        <x:v>0</x:v>
      </x:c>
      <x:c r="N2210" s="10" t="n">
        <x:f>K2210-L2210-M2210</x:f>
        <x:v>29182.167256272776</x:v>
      </x:c>
      <x:c r="O2210" s="10" t="n">
        <x:f>H2210*'Assumptions'!$P$56*'Assumptions'!$Q$56*'Assumptions'!$D$11*(1+'Assumptions'!$D$13)^(18-1)</x:f>
        <x:v>16575.14641033976</x:v>
      </x:c>
      <x:c r="P2210" s="10" t="n">
        <x:f>H2210*'Assumptions'!$R$56*'Assumptions'!$D$11*(1+'Assumptions'!$D$13)^(18-1)</x:f>
        <x:v>276.25244017232933</x:v>
      </x:c>
      <x:c r="Q2210" s="10" t="n">
        <x:f>J2210*'Assumptions'!$S$56</x:f>
        <x:v>0</x:v>
      </x:c>
      <x:c r="R2210" s="10" t="n">
        <x:f>H2210*'Assumptions'!$Y$56*'Assumptions'!$Z$56*'Assumptions'!$D$11*(1+'Assumptions'!$D$13)^(18-1)</x:f>
        <x:v>207.189330129247</x:v>
      </x:c>
      <x:c r="S2210" s="10" t="n">
        <x:f>IF(I2210=0,0,J2210*'Assumptions'!$W$56+H2210*'Assumptions'!$X$56)</x:f>
        <x:v>877.4706649222913</x:v>
      </x:c>
      <x:c r="T2210" s="10" t="n">
        <x:f>N2210*'Assumptions'!$AA$56</x:f>
        <x:v>1167.286690250911</x:v>
      </x:c>
      <x:c r="U2210" s="10" t="n">
        <x:f>'Assumptions'!$AE$56*'Assumptions'!$D$11*(1+'Assumptions'!$D$13)^(18-1)</x:f>
        <x:v>0</x:v>
      </x:c>
      <x:c r="V2210" s="10" t="n">
        <x:f>0</x:f>
        <x:v>0</x:v>
      </x:c>
      <x:c r="W2210" s="10" t="n">
        <x:f>H2210*('Assumptions'!$P$56+'Assumptions'!$Y$56)</x:f>
        <x:v>171.31570124673308</x:v>
      </x:c>
      <x:c r="X2210" s="10" t="n">
        <x:f>N2210/12*'Assumptions'!$AF$56</x:f>
        <x:v>2431.8472713560645</x:v>
      </x:c>
      <x:c r="Y2210" s="10" t="n">
        <x:f>P2210/12</x:f>
        <x:v>23.021036681027443</x:v>
      </x:c>
      <x:c r="Z2210" s="10" t="n">
        <x:f>0</x:f>
        <x:v>0</x:v>
      </x:c>
      <x:c r="AA2210" s="10" t="n">
        <x:f>Z2210*'Assumptions'!$AC$56*'Assumptions'!$D$11*(1+'Assumptions'!$D$13)^(18-1)</x:f>
        <x:v>0</x:v>
      </x:c>
      <x:c r="AB2210" s="10" t="n">
        <x:f>F2210/1</x:f>
        <x:v>8.600320839457748</x:v>
      </x:c>
      <x:c r="AC2210" s="10" t="n">
        <x:f>AB2210/'Assumptions'!$AM$56</x:f>
        <x:v>43.001604197288735</x:v>
      </x:c>
      <x:c r="AD2210" s="10" t="n">
        <x:f>IF(AB2210=0,0,T2210/AB2210)</x:f>
        <x:v>135.72594697810237</x:v>
      </x:c>
      <x:c r="AE2210" s="10" t="n">
        <x:f>AA2210*'Assumptions'!$D$21</x:f>
        <x:v>0</x:v>
      </x:c>
    </x:row>
    <x:row r="2211" ht="16" customHeight="1">
      <x:c r="A2211" s="1"/>
      <x:c r="B2211" s="1"/>
      <x:c r="C2211" s="1" t="str">
        <x:v>DOT-028</x:v>
      </x:c>
      <x:c r="D2211" s="10" t="str">
        <x:v>BPA professional services</x:v>
      </x:c>
      <x:c r="E2211" s="10" t="n">
        <x:v>18</x:v>
      </x:c>
      <x:c r="F2211" s="21" t="n">
        <x:f>F2083*(1+'Assumptions'!$M$57)</x:f>
        <x:v>4.300160419728874</x:v>
      </x:c>
      <x:c r="G2211" s="21" t="n">
        <x:f>H2083*'Assumptions'!$K$57</x:f>
        <x:v>4.0567030557215205</x:v>
      </x:c>
      <x:c r="H2211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2211+G2211,NA())</x:f>
        <x:v>8.356863475450394</x:v>
      </x:c>
      <x:c r="I2211" s="22" t="n">
        <x:f>'Assumptions'!$H$57*IF('Assumptions'!$O$57=1,1,'Assumptions'!$D$10)*(1+'Assumptions'!$N$57)^(18-1)</x:f>
        <x:v>1800</x:v>
      </x:c>
      <x:c r="J2211" s="10" t="n">
        <x:f>H2211*I2211</x:f>
        <x:v>15042.35425581071</x:v>
      </x:c>
      <x:c r="K2211" s="10" t="n">
        <x:f>J2211*'Assumptions'!$T$57</x:f>
        <x:v>15042.35425581071</x:v>
      </x:c>
      <x:c r="L2211" s="10" t="n">
        <x:f>K2211*'Assumptions'!$U$57</x:f>
        <x:v>451.27062767432125</x:v>
      </x:c>
      <x:c r="M2211" s="10" t="n">
        <x:f>K2211*'Assumptions'!$V$57</x:f>
        <x:v>0</x:v>
      </x:c>
      <x:c r="N2211" s="10" t="n">
        <x:f>K2211-L2211-M2211</x:f>
        <x:v>14591.083628136388</x:v>
      </x:c>
      <x:c r="O2211" s="10" t="n">
        <x:f>H2211*'Assumptions'!$P$57*'Assumptions'!$Q$57*'Assumptions'!$D$11*(1+'Assumptions'!$D$13)^(18-1)</x:f>
        <x:v>9945.087846203854</x:v>
      </x:c>
      <x:c r="P2211" s="10" t="n">
        <x:f>H2211*'Assumptions'!$R$57*'Assumptions'!$D$11*(1+'Assumptions'!$D$13)^(18-1)</x:f>
        <x:v>138.12622008616466</x:v>
      </x:c>
      <x:c r="Q2211" s="10" t="n">
        <x:f>J2211*'Assumptions'!$S$57</x:f>
        <x:v>0</x:v>
      </x:c>
      <x:c r="R2211" s="10" t="n">
        <x:f>H2211*'Assumptions'!$Y$57*'Assumptions'!$Z$57*'Assumptions'!$D$11*(1+'Assumptions'!$D$13)^(18-1)</x:f>
        <x:v>103.5946650646235</x:v>
      </x:c>
      <x:c r="S2211" s="10" t="n">
        <x:f>IF(I2211=0,0,J2211*'Assumptions'!$W$57+H2211*'Assumptions'!$X$57)</x:f>
        <x:v>438.7353324611457</x:v>
      </x:c>
      <x:c r="T2211" s="10" t="n">
        <x:f>N2211*'Assumptions'!$AA$57</x:f>
        <x:v>583.6433451254555</x:v>
      </x:c>
      <x:c r="U2211" s="10" t="n">
        <x:f>'Assumptions'!$AE$57*'Assumptions'!$D$11*(1+'Assumptions'!$D$13)^(18-1)</x:f>
        <x:v>0</x:v>
      </x:c>
      <x:c r="V2211" s="10" t="n">
        <x:f>0</x:f>
        <x:v>0</x:v>
      </x:c>
      <x:c r="W2211" s="10" t="n">
        <x:f>H2211*('Assumptions'!$P$57+'Assumptions'!$Y$57)</x:f>
        <x:v>102.37157757426733</x:v>
      </x:c>
      <x:c r="X2211" s="10" t="n">
        <x:f>N2211/12*'Assumptions'!$AF$57</x:f>
        <x:v>1215.9236356780323</x:v>
      </x:c>
      <x:c r="Y2211" s="10" t="n">
        <x:f>P2211/12</x:f>
        <x:v>11.510518340513721</x:v>
      </x:c>
      <x:c r="Z2211" s="10" t="n">
        <x:f>0</x:f>
        <x:v>0</x:v>
      </x:c>
      <x:c r="AA2211" s="10" t="n">
        <x:f>Z2211*'Assumptions'!$AC$57*'Assumptions'!$D$11*(1+'Assumptions'!$D$13)^(18-1)</x:f>
        <x:v>0</x:v>
      </x:c>
      <x:c r="AB2211" s="10" t="n">
        <x:f>F2211/1</x:f>
        <x:v>4.300160419728874</x:v>
      </x:c>
      <x:c r="AC2211" s="10" t="n">
        <x:f>AB2211/'Assumptions'!$AM$57</x:f>
        <x:v>21.500802098644368</x:v>
      </x:c>
      <x:c r="AD2211" s="10" t="n">
        <x:f>IF(AB2211=0,0,T2211/AB2211)</x:f>
        <x:v>135.72594697810237</x:v>
      </x:c>
      <x:c r="AE2211" s="10" t="n">
        <x:f>AA2211*'Assumptions'!$D$21</x:f>
        <x:v>0</x:v>
      </x:c>
    </x:row>
    <x:row r="2212" ht="16" customHeight="1">
      <x:c r="A2212" s="1"/>
      <x:c r="B2212" s="1"/>
      <x:c r="C2212" s="1" t="str">
        <x:v>DOT-029</x:v>
      </x:c>
      <x:c r="D2212" s="10" t="str">
        <x:v>BPA professional services</x:v>
      </x:c>
      <x:c r="E2212" s="10" t="n">
        <x:v>18</x:v>
      </x:c>
      <x:c r="F2212" s="21" t="n">
        <x:f>F2084*(1+'Assumptions'!$M$58)</x:f>
        <x:v>43.001604197288735</x:v>
      </x:c>
      <x:c r="G2212" s="21" t="n">
        <x:f>H2084*'Assumptions'!$K$58</x:f>
        <x:v>40.56703055721519</x:v>
      </x:c>
      <x:c r="H2212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2212+G2212,NA())</x:f>
        <x:v>83.56863475450393</x:v>
      </x:c>
      <x:c r="I2212" s="22" t="n">
        <x:f>'Assumptions'!$H$58*IF('Assumptions'!$O$58=1,1,'Assumptions'!$D$10)*(1+'Assumptions'!$N$58)^(18-1)</x:f>
        <x:v>180</x:v>
      </x:c>
      <x:c r="J2212" s="10" t="n">
        <x:f>H2212*I2212</x:f>
        <x:v>15042.354255810707</x:v>
      </x:c>
      <x:c r="K2212" s="10" t="n">
        <x:f>J2212*'Assumptions'!$T$58</x:f>
        <x:v>15042.354255810707</x:v>
      </x:c>
      <x:c r="L2212" s="10" t="n">
        <x:f>K2212*'Assumptions'!$U$58</x:f>
        <x:v>451.2706276743212</x:v>
      </x:c>
      <x:c r="M2212" s="10" t="n">
        <x:f>K2212*'Assumptions'!$V$58</x:f>
        <x:v>0</x:v>
      </x:c>
      <x:c r="N2212" s="10" t="n">
        <x:f>K2212-L2212-M2212</x:f>
        <x:v>14591.083628136386</x:v>
      </x:c>
      <x:c r="O2212" s="10" t="n">
        <x:f>H2212*'Assumptions'!$P$58*'Assumptions'!$Q$58*'Assumptions'!$D$11*(1+'Assumptions'!$D$13)^(18-1)</x:f>
        <x:v>8287.57320516988</x:v>
      </x:c>
      <x:c r="P2212" s="10" t="n">
        <x:f>H2212*'Assumptions'!$R$58*'Assumptions'!$D$11*(1+'Assumptions'!$D$13)^(18-1)</x:f>
        <x:v>1381.2622008616465</x:v>
      </x:c>
      <x:c r="Q2212" s="10" t="n">
        <x:f>J2212*'Assumptions'!$S$58</x:f>
        <x:v>0</x:v>
      </x:c>
      <x:c r="R2212" s="10" t="n">
        <x:f>H2212*'Assumptions'!$Y$58*'Assumptions'!$Z$58*'Assumptions'!$D$11*(1+'Assumptions'!$D$13)^(18-1)</x:f>
        <x:v>1035.946650646235</x:v>
      </x:c>
      <x:c r="S2212" s="10" t="n">
        <x:f>IF(I2212=0,0,J2212*'Assumptions'!$W$58+H2212*'Assumptions'!$X$58)</x:f>
        <x:v>461.2988638448617</x:v>
      </x:c>
      <x:c r="T2212" s="10" t="n">
        <x:f>N2212*'Assumptions'!$AA$58</x:f>
        <x:v>583.6433451254554</x:v>
      </x:c>
      <x:c r="U2212" s="10" t="n">
        <x:f>'Assumptions'!$AE$58*'Assumptions'!$D$11*(1+'Assumptions'!$D$13)^(18-1)</x:f>
        <x:v>0</x:v>
      </x:c>
      <x:c r="V2212" s="10" t="n">
        <x:f>0</x:f>
        <x:v>0</x:v>
      </x:c>
      <x:c r="W2212" s="10" t="n">
        <x:f>H2212*('Assumptions'!$P$58+'Assumptions'!$Y$58)</x:f>
        <x:v>104.46079344312992</x:v>
      </x:c>
      <x:c r="X2212" s="10" t="n">
        <x:f>N2212/12*'Assumptions'!$AF$58</x:f>
        <x:v>1215.9236356780323</x:v>
      </x:c>
      <x:c r="Y2212" s="10" t="n">
        <x:f>P2212/12</x:f>
        <x:v>115.10518340513721</x:v>
      </x:c>
      <x:c r="Z2212" s="10" t="n">
        <x:f>0</x:f>
        <x:v>0</x:v>
      </x:c>
      <x:c r="AA2212" s="10" t="n">
        <x:f>Z2212*'Assumptions'!$AC$58*'Assumptions'!$D$11*(1+'Assumptions'!$D$13)^(18-1)</x:f>
        <x:v>0</x:v>
      </x:c>
      <x:c r="AB2212" s="10" t="n">
        <x:f>F2212/1</x:f>
        <x:v>43.001604197288735</x:v>
      </x:c>
      <x:c r="AC2212" s="10" t="n">
        <x:f>AB2212/'Assumptions'!$AM$58</x:f>
        <x:v>215.00802098644365</x:v>
      </x:c>
      <x:c r="AD2212" s="10" t="n">
        <x:f>IF(AB2212=0,0,T2212/AB2212)</x:f>
        <x:v>13.572594697810235</x:v>
      </x:c>
      <x:c r="AE2212" s="10" t="n">
        <x:f>AA2212*'Assumptions'!$D$21</x:f>
        <x:v>0</x:v>
      </x:c>
    </x:row>
    <x:row r="2213" ht="16" customHeight="1">
      <x:c r="A2213" s="1"/>
      <x:c r="B2213" s="1"/>
      <x:c r="C2213" s="1" t="str">
        <x:v>DOT-030</x:v>
      </x:c>
      <x:c r="D2213" s="10" t="str">
        <x:v>BPA professional services</x:v>
      </x:c>
      <x:c r="E2213" s="10" t="n">
        <x:v>18</x:v>
      </x:c>
      <x:c r="F2213" s="21" t="n">
        <x:f>F2085*(1+'Assumptions'!$M$59)</x:f>
        <x:v>8.600320839457748</x:v>
      </x:c>
      <x:c r="G2213" s="21" t="n">
        <x:f>H2085*'Assumptions'!$K$59</x:f>
        <x:v>8.113406111443041</x:v>
      </x:c>
      <x:c r="H2213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2213+G2213,NA())</x:f>
        <x:v>16.71372695090079</x:v>
      </x:c>
      <x:c r="I2213" s="22" t="n">
        <x:f>'Assumptions'!$H$59*IF('Assumptions'!$O$59=1,1,'Assumptions'!$D$10)*(1+'Assumptions'!$N$59)^(18-1)</x:f>
        <x:v>700.1207095962125</x:v>
      </x:c>
      <x:c r="J2213" s="10" t="n">
        <x:f>H2213*I2213</x:f>
        <x:v>11701.626372862002</x:v>
      </x:c>
      <x:c r="K2213" s="10" t="n">
        <x:f>J2213*'Assumptions'!$T$59</x:f>
        <x:v>11701.626372862002</x:v>
      </x:c>
      <x:c r="L2213" s="10" t="n">
        <x:f>K2213*'Assumptions'!$U$59</x:f>
        <x:v>351.04879118586</x:v>
      </x:c>
      <x:c r="M2213" s="10" t="n">
        <x:f>K2213*'Assumptions'!$V$59</x:f>
        <x:v>0</x:v>
      </x:c>
      <x:c r="N2213" s="10" t="n">
        <x:f>K2213-L2213-M2213</x:f>
        <x:v>11350.577581676142</x:v>
      </x:c>
      <x:c r="O2213" s="10" t="n">
        <x:f>H2213*'Assumptions'!$P$59*'Assumptions'!$Q$59*'Assumptions'!$D$11*(1+'Assumptions'!$D$13)^(18-1)</x:f>
        <x:v>4972.543923101927</x:v>
      </x:c>
      <x:c r="P2213" s="10" t="n">
        <x:f>H2213*'Assumptions'!$R$59*'Assumptions'!$D$11*(1+'Assumptions'!$D$13)^(18-1)</x:f>
        <x:v>276.25244017232933</x:v>
      </x:c>
      <x:c r="Q2213" s="10" t="n">
        <x:f>J2213*'Assumptions'!$S$59</x:f>
        <x:v>0</x:v>
      </x:c>
      <x:c r="R2213" s="10" t="n">
        <x:f>H2213*'Assumptions'!$Y$59*'Assumptions'!$Z$59*'Assumptions'!$D$11*(1+'Assumptions'!$D$13)^(18-1)</x:f>
        <x:v>207.189330129247</x:v>
      </x:c>
      <x:c r="S2213" s="10" t="n">
        <x:f>IF(I2213=0,0,J2213*'Assumptions'!$W$59+H2213*'Assumptions'!$X$59)</x:f>
        <x:v>344.3612828982683</x:v>
      </x:c>
      <x:c r="T2213" s="10" t="n">
        <x:f>N2213*'Assumptions'!$AA$59</x:f>
        <x:v>454.02310326704566</x:v>
      </x:c>
      <x:c r="U2213" s="10" t="n">
        <x:f>'Assumptions'!$AE$59*'Assumptions'!$D$11*(1+'Assumptions'!$D$13)^(18-1)</x:f>
        <x:v>0</x:v>
      </x:c>
      <x:c r="V2213" s="10" t="n">
        <x:f>0</x:f>
        <x:v>0</x:v>
      </x:c>
      <x:c r="W2213" s="10" t="n">
        <x:f>H2213*('Assumptions'!$P$59+'Assumptions'!$Y$59)</x:f>
        <x:v>54.31961259042756</x:v>
      </x:c>
      <x:c r="X2213" s="10" t="n">
        <x:f>N2213/12*'Assumptions'!$AF$59</x:f>
        <x:v>945.8814651396784</x:v>
      </x:c>
      <x:c r="Y2213" s="10" t="n">
        <x:f>P2213/12</x:f>
        <x:v>23.021036681027443</x:v>
      </x:c>
      <x:c r="Z2213" s="10" t="n">
        <x:f>0</x:f>
        <x:v>0</x:v>
      </x:c>
      <x:c r="AA2213" s="10" t="n">
        <x:f>Z2213*'Assumptions'!$AC$59*'Assumptions'!$D$11*(1+'Assumptions'!$D$13)^(18-1)</x:f>
        <x:v>0</x:v>
      </x:c>
      <x:c r="AB2213" s="10" t="n">
        <x:f>F2213/1</x:f>
        <x:v>8.600320839457748</x:v>
      </x:c>
      <x:c r="AC2213" s="10" t="n">
        <x:f>AB2213/'Assumptions'!$AM$59</x:f>
        <x:v>43.001604197288735</x:v>
      </x:c>
      <x:c r="AD2213" s="10" t="n">
        <x:f>IF(AB2213=0,0,T2213/AB2213)</x:f>
        <x:v>52.791414616070526</x:v>
      </x:c>
      <x:c r="AE2213" s="10" t="n">
        <x:f>AA2213*'Assumptions'!$D$21</x:f>
        <x:v>0</x:v>
      </x:c>
    </x:row>
    <x:row r="2214" ht="16" customHeight="1">
      <x:c r="A2214" s="1"/>
      <x:c r="B2214" s="1"/>
      <x:c r="C2214" s="1" t="str">
        <x:v>DOT-031</x:v>
      </x:c>
      <x:c r="D2214" s="10" t="str">
        <x:v>BPA professional services</x:v>
      </x:c>
      <x:c r="E2214" s="10" t="n">
        <x:v>18</x:v>
      </x:c>
      <x:c r="F2214" s="21" t="n">
        <x:f>F2086*(1+'Assumptions'!$M$60)</x:f>
        <x:v>4.300160419728874</x:v>
      </x:c>
      <x:c r="G2214" s="21" t="n">
        <x:f>H2086*'Assumptions'!$K$60</x:f>
        <x:v>4.056710685116052</x:v>
      </x:c>
      <x:c r="H2214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2214+G2214,NA())</x:f>
        <x:v>8.356871104844926</x:v>
      </x:c>
      <x:c r="I2214" s="22" t="n">
        <x:f>'Assumptions'!$H$60*IF('Assumptions'!$O$60=1,1,'Assumptions'!$D$10)*(1+'Assumptions'!$N$60)^(18-1)</x:f>
        <x:v>7001.207095962124</x:v>
      </x:c>
      <x:c r="J2214" s="10" t="n">
        <x:f>H2214*I2214</x:f>
        <x:v>58508.185279281126</x:v>
      </x:c>
      <x:c r="K2214" s="10" t="n">
        <x:f>J2214*'Assumptions'!$T$60</x:f>
        <x:v>58508.185279281126</x:v>
      </x:c>
      <x:c r="L2214" s="10" t="n">
        <x:f>K2214*'Assumptions'!$U$60</x:f>
        <x:v>1755.2455583784338</x:v>
      </x:c>
      <x:c r="M2214" s="10" t="n">
        <x:f>K2214*'Assumptions'!$V$60</x:f>
        <x:v>0</x:v>
      </x:c>
      <x:c r="N2214" s="10" t="n">
        <x:f>K2214-L2214-M2214</x:f>
        <x:v>56752.939720902694</x:v>
      </x:c>
      <x:c r="O2214" s="10" t="n">
        <x:f>H2214*'Assumptions'!$P$60*'Assumptions'!$Q$60*'Assumptions'!$D$11*(1+'Assumptions'!$D$13)^(18-1)</x:f>
        <x:v>33150.323085223565</x:v>
      </x:c>
      <x:c r="P2214" s="10" t="n">
        <x:f>H2214*'Assumptions'!$R$60*'Assumptions'!$D$11*(1+'Assumptions'!$D$13)^(18-1)</x:f>
        <x:v>138.12634618843154</x:v>
      </x:c>
      <x:c r="Q2214" s="10" t="n">
        <x:f>J2214*'Assumptions'!$S$60</x:f>
        <x:v>0</x:v>
      </x:c>
      <x:c r="R2214" s="10" t="n">
        <x:f>H2214*'Assumptions'!$Y$60*'Assumptions'!$Z$60*'Assumptions'!$D$11*(1+'Assumptions'!$D$13)^(18-1)</x:f>
        <x:v>103.59475964132365</x:v>
      </x:c>
      <x:c r="S2214" s="10" t="n">
        <x:f>IF(I2214=0,0,J2214*'Assumptions'!$W$60+H2214*'Assumptions'!$X$60)</x:f>
        <x:v>1699.2444344306064</x:v>
      </x:c>
      <x:c r="T2214" s="10" t="n">
        <x:f>N2214*'Assumptions'!$AA$60</x:f>
        <x:v>2270.1175888361076</x:v>
      </x:c>
      <x:c r="U2214" s="10" t="n">
        <x:f>'Assumptions'!$AE$60*'Assumptions'!$D$11*(1+'Assumptions'!$D$13)^(18-1)</x:f>
        <x:v>0</x:v>
      </x:c>
      <x:c r="V2214" s="10" t="n">
        <x:f>0</x:f>
        <x:v>0</x:v>
      </x:c>
      <x:c r="W2214" s="10" t="n">
        <x:f>H2214*('Assumptions'!$P$60+'Assumptions'!$Y$60)</x:f>
        <x:v>336.36406197000827</x:v>
      </x:c>
      <x:c r="X2214" s="10" t="n">
        <x:f>N2214/12*'Assumptions'!$AF$60</x:f>
        <x:v>4729.411643408558</x:v>
      </x:c>
      <x:c r="Y2214" s="10" t="n">
        <x:f>P2214/12</x:f>
        <x:v>11.510528849035962</x:v>
      </x:c>
      <x:c r="Z2214" s="10" t="n">
        <x:f>0</x:f>
        <x:v>0</x:v>
      </x:c>
      <x:c r="AA2214" s="10" t="n">
        <x:f>Z2214*'Assumptions'!$AC$60*'Assumptions'!$D$11*(1+'Assumptions'!$D$13)^(18-1)</x:f>
        <x:v>0</x:v>
      </x:c>
      <x:c r="AB2214" s="10" t="n">
        <x:f>F2214/1</x:f>
        <x:v>4.300160419728874</x:v>
      </x:c>
      <x:c r="AC2214" s="10" t="n">
        <x:f>AB2214/'Assumptions'!$AM$60</x:f>
        <x:v>21.500802098644368</x:v>
      </x:c>
      <x:c r="AD2214" s="10" t="n">
        <x:f>IF(AB2214=0,0,T2214/AB2214)</x:f>
        <x:v>527.9146281196735</x:v>
      </x:c>
      <x:c r="AE2214" s="10" t="n">
        <x:f>AA2214*'Assumptions'!$D$21</x:f>
        <x:v>0</x:v>
      </x:c>
    </x:row>
    <x:row r="2215" ht="16" customHeight="1">
      <x:c r="A2215" s="1"/>
      <x:c r="B2215" s="1"/>
      <x:c r="C2215" s="1" t="str">
        <x:v>DOT-032</x:v>
      </x:c>
      <x:c r="D2215" s="10" t="str">
        <x:v>BPA professional services</x:v>
      </x:c>
      <x:c r="E2215" s="10" t="n">
        <x:v>18</x:v>
      </x:c>
      <x:c r="F2215" s="21" t="n">
        <x:f>F2087*(1+'Assumptions'!$M$61)</x:f>
        <x:v>2.150080209864437</x:v>
      </x:c>
      <x:c r="G2215" s="21" t="n">
        <x:f>H2087*'Assumptions'!$K$61</x:f>
        <x:v>2.028355342558026</x:v>
      </x:c>
      <x:c r="H2215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2215+G2215,NA())</x:f>
        <x:v>4.178435552422463</x:v>
      </x:c>
      <x:c r="I2215" s="22" t="n">
        <x:f>'Assumptions'!$H$61*IF('Assumptions'!$O$61=1,1,'Assumptions'!$D$10)*(1+'Assumptions'!$N$61)^(18-1)</x:f>
        <x:v>10501.810643943187</x:v>
      </x:c>
      <x:c r="J2215" s="10" t="n">
        <x:f>H2215*I2215</x:f>
        <x:v>43881.13895946085</x:v>
      </x:c>
      <x:c r="K2215" s="10" t="n">
        <x:f>J2215*'Assumptions'!$T$61</x:f>
        <x:v>43881.13895946085</x:v>
      </x:c>
      <x:c r="L2215" s="10" t="n">
        <x:f>K2215*'Assumptions'!$U$61</x:f>
        <x:v>1316.4341687838255</x:v>
      </x:c>
      <x:c r="M2215" s="10" t="n">
        <x:f>K2215*'Assumptions'!$V$61</x:f>
        <x:v>0</x:v>
      </x:c>
      <x:c r="N2215" s="10" t="n">
        <x:f>K2215-L2215-M2215</x:f>
        <x:v>42564.704790677024</x:v>
      </x:c>
      <x:c r="O2215" s="10" t="n">
        <x:f>H2215*'Assumptions'!$P$61*'Assumptions'!$Q$61*'Assumptions'!$D$11*(1+'Assumptions'!$D$13)^(18-1)</x:f>
        <x:v>24862.742313917675</x:v>
      </x:c>
      <x:c r="P2215" s="10" t="n">
        <x:f>H2215*'Assumptions'!$R$61*'Assumptions'!$D$11*(1+'Assumptions'!$D$13)^(18-1)</x:f>
        <x:v>69.06317309421577</x:v>
      </x:c>
      <x:c r="Q2215" s="10" t="n">
        <x:f>J2215*'Assumptions'!$S$61</x:f>
        <x:v>0</x:v>
      </x:c>
      <x:c r="R2215" s="10" t="n">
        <x:f>H2215*'Assumptions'!$Y$61*'Assumptions'!$Z$61*'Assumptions'!$D$11*(1+'Assumptions'!$D$13)^(18-1)</x:f>
        <x:v>51.797379820661824</x:v>
      </x:c>
      <x:c r="S2215" s="10" t="n">
        <x:f>IF(I2215=0,0,J2215*'Assumptions'!$W$61+H2215*'Assumptions'!$X$61)</x:f>
        <x:v>1273.8065604900912</x:v>
      </x:c>
      <x:c r="T2215" s="10" t="n">
        <x:f>N2215*'Assumptions'!$AA$61</x:f>
        <x:v>1702.588191627081</x:v>
      </x:c>
      <x:c r="U2215" s="10" t="n">
        <x:f>'Assumptions'!$AE$61*'Assumptions'!$D$11*(1+'Assumptions'!$D$13)^(18-1)</x:f>
        <x:v>0</x:v>
      </x:c>
      <x:c r="V2215" s="10" t="n">
        <x:f>0</x:f>
        <x:v>0</x:v>
      </x:c>
      <x:c r="W2215" s="10" t="n">
        <x:f>H2215*('Assumptions'!$P$61+'Assumptions'!$Y$61)</x:f>
        <x:v>251.75074203345338</x:v>
      </x:c>
      <x:c r="X2215" s="10" t="n">
        <x:f>N2215/12*'Assumptions'!$AF$61</x:f>
        <x:v>3547.058732556419</x:v>
      </x:c>
      <x:c r="Y2215" s="10" t="n">
        <x:f>P2215/12</x:f>
        <x:v>5.755264424517981</x:v>
      </x:c>
      <x:c r="Z2215" s="10" t="n">
        <x:f>0</x:f>
        <x:v>0</x:v>
      </x:c>
      <x:c r="AA2215" s="10" t="n">
        <x:f>Z2215*'Assumptions'!$AC$61*'Assumptions'!$D$11*(1+'Assumptions'!$D$13)^(18-1)</x:f>
        <x:v>0</x:v>
      </x:c>
      <x:c r="AB2215" s="10" t="n">
        <x:f>F2215/1</x:f>
        <x:v>2.150080209864437</x:v>
      </x:c>
      <x:c r="AC2215" s="10" t="n">
        <x:f>AB2215/'Assumptions'!$AM$61</x:f>
        <x:v>10.750401049322184</x:v>
      </x:c>
      <x:c r="AD2215" s="10" t="n">
        <x:f>IF(AB2215=0,0,T2215/AB2215)</x:f>
        <x:v>791.8719421795104</x:v>
      </x:c>
      <x:c r="AE2215" s="10" t="n">
        <x:f>AA2215*'Assumptions'!$D$21</x:f>
        <x:v>0</x:v>
      </x:c>
    </x:row>
    <x:row r="2216" ht="16" customHeight="1">
      <x:c r="A2216" s="1"/>
      <x:c r="B2216" s="1"/>
      <x:c r="C2216" s="1" t="str">
        <x:v>DOT-033</x:v>
      </x:c>
      <x:c r="D2216" s="10" t="str">
        <x:v>CornerFlow</x:v>
      </x:c>
      <x:c r="E2216" s="10" t="n">
        <x:v>18</x:v>
      </x:c>
      <x:c r="F2216" s="21" t="n">
        <x:f>F2088*(1+'Assumptions'!$M$62)</x:f>
        <x:v>109.62545429567393</x:v>
      </x:c>
      <x:c r="G2216" s="21" t="n">
        <x:f>H2088*'Assumptions'!$K$62</x:f>
        <x:v>231.9557950328992</x:v>
      </x:c>
      <x:c r="H2216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2216+G2216,NA())</x:f>
        <x:v>341.5812493285731</x:v>
      </x:c>
      <x:c r="I2216" s="22" t="n">
        <x:f>'Assumptions'!$H$62*IF('Assumptions'!$O$62=1,1,'Assumptions'!$D$10)*(1+'Assumptions'!$N$62)^(18-1)</x:f>
        <x:v>68.61182954042881</x:v>
      </x:c>
      <x:c r="J2216" s="10" t="n">
        <x:f>H2216*I2216</x:f>
        <x:v>23436.514453138774</x:v>
      </x:c>
      <x:c r="K2216" s="10" t="n">
        <x:f>J2216*'Assumptions'!$T$62</x:f>
        <x:v>23436.514453138774</x:v>
      </x:c>
      <x:c r="L2216" s="10" t="n">
        <x:f>K2216*'Assumptions'!$U$62</x:f>
        <x:v>703.0954335941632</x:v>
      </x:c>
      <x:c r="M2216" s="10" t="n">
        <x:f>K2216*'Assumptions'!$V$62</x:f>
        <x:v>0</x:v>
      </x:c>
      <x:c r="N2216" s="10" t="n">
        <x:f>K2216-L2216-M2216</x:f>
        <x:v>22733.41901954461</x:v>
      </x:c>
      <x:c r="O2216" s="10" t="n">
        <x:f>H2216*'Assumptions'!$P$62*'Assumptions'!$Q$62*'Assumptions'!$D$11*(1+'Assumptions'!$D$13)^(18-1)</x:f>
        <x:v>2964.0542357010845</x:v>
      </x:c>
      <x:c r="P2216" s="10" t="n">
        <x:f>H2216*'Assumptions'!$R$62*'Assumptions'!$D$11*(1+'Assumptions'!$D$13)^(18-1)</x:f>
        <x:v>0</x:v>
      </x:c>
      <x:c r="Q2216" s="10" t="n">
        <x:f>J2216*'Assumptions'!$S$62</x:f>
        <x:v>0</x:v>
      </x:c>
      <x:c r="R2216" s="10" t="n">
        <x:f>H2216*'Assumptions'!$Y$62*'Assumptions'!$Z$62*'Assumptions'!$D$11*(1+'Assumptions'!$D$13)^(18-1)</x:f>
        <x:v>2540.617916315215</x:v>
      </x:c>
      <x:c r="S2216" s="10" t="n">
        <x:f>IF(I2216=0,0,J2216*'Assumptions'!$W$62+H2216*'Assumptions'!$X$62)</x:f>
        <x:v>782.1332939395965</x:v>
      </x:c>
      <x:c r="T2216" s="10" t="n">
        <x:f>N2216*'Assumptions'!$AA$62</x:f>
        <x:v>1136.6709509772306</x:v>
      </x:c>
      <x:c r="U2216" s="10" t="n">
        <x:f>'Assumptions'!$AE$62*'Assumptions'!$D$11*(1+'Assumptions'!$D$13)^(18-1)</x:f>
        <x:v>198.34171587261022</x:v>
      </x:c>
      <x:c r="V2216" s="10" t="n">
        <x:f>0</x:f>
        <x:v>0</x:v>
      </x:c>
      <x:c r="W2216" s="10" t="n">
        <x:f>H2216*('Assumptions'!$P$62+'Assumptions'!$Y$62)</x:f>
        <x:v>102.47437479857193</x:v>
      </x:c>
      <x:c r="X2216" s="10" t="n">
        <x:f>N2216/12*'Assumptions'!$AF$62</x:f>
        <x:v>0</x:v>
      </x:c>
      <x:c r="Y2216" s="10" t="n">
        <x:f>P2216/12</x:f>
        <x:v>0</x:v>
      </x:c>
      <x:c r="Z2216" s="10" t="n">
        <x:f>0</x:f>
        <x:v>0</x:v>
      </x:c>
      <x:c r="AA2216" s="10" t="n">
        <x:f>Z2216*'Assumptions'!$AC$62*'Assumptions'!$D$11*(1+'Assumptions'!$D$13)^(18-1)</x:f>
        <x:v>0</x:v>
      </x:c>
      <x:c r="AB2216" s="10" t="n">
        <x:f>F2216/12</x:f>
        <x:v>9.135454524639494</x:v>
      </x:c>
      <x:c r="AC2216" s="10" t="n">
        <x:f>AB2216/'Assumptions'!$AM$62</x:f>
        <x:v>182.70909049278987</x:v>
      </x:c>
      <x:c r="AD2216" s="10" t="n">
        <x:f>IF(AB2216=0,0,T2216/AB2216)</x:f>
        <x:v>124.42412667169249</x:v>
      </x:c>
      <x:c r="AE2216" s="10" t="n">
        <x:f>AA2216*'Assumptions'!$D$21</x:f>
        <x:v>0</x:v>
      </x:c>
    </x:row>
    <x:row r="2217" ht="16" customHeight="1">
      <x:c r="A2217" s="1"/>
      <x:c r="B2217" s="1"/>
      <x:c r="C2217" s="1" t="str">
        <x:v>DOT-034</x:v>
      </x:c>
      <x:c r="D2217" s="10" t="str">
        <x:v>CornerFlow</x:v>
      </x:c>
      <x:c r="E2217" s="10" t="n">
        <x:v>18</x:v>
      </x:c>
      <x:c r="F2217" s="21" t="n">
        <x:f>F2089*(1+'Assumptions'!$M$63)</x:f>
        <x:v>21.500802098644368</x:v>
      </x:c>
      <x:c r="G2217" s="21" t="n">
        <x:f>H2089*'Assumptions'!$K$63</x:f>
        <x:v>20.283515278607595</x:v>
      </x:c>
      <x:c r="H2217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2217+G2217,NA())</x:f>
        <x:v>41.784317377251966</x:v>
      </x:c>
      <x:c r="I2217" s="22" t="n">
        <x:f>'Assumptions'!$H$63*IF('Assumptions'!$O$63=1,1,'Assumptions'!$D$10)*(1+'Assumptions'!$N$63)^(18-1)</x:f>
        <x:v>278.64804241929255</x:v>
      </x:c>
      <x:c r="J2217" s="10" t="n">
        <x:f>H2217*I2217</x:f>
        <x:v>11643.118240997688</x:v>
      </x:c>
      <x:c r="K2217" s="10" t="n">
        <x:f>J2217*'Assumptions'!$T$63</x:f>
        <x:v>11643.118240997688</x:v>
      </x:c>
      <x:c r="L2217" s="10" t="n">
        <x:f>K2217*'Assumptions'!$U$63</x:f>
        <x:v>349.29354722993065</x:v>
      </x:c>
      <x:c r="M2217" s="10" t="n">
        <x:f>K2217*'Assumptions'!$V$63</x:f>
        <x:v>0</x:v>
      </x:c>
      <x:c r="N2217" s="10" t="n">
        <x:f>K2217-L2217-M2217</x:f>
        <x:v>11293.824693767758</x:v>
      </x:c>
      <x:c r="O2217" s="10" t="n">
        <x:f>H2217*'Assumptions'!$P$63*'Assumptions'!$Q$63*'Assumptions'!$D$11*(1+'Assumptions'!$D$13)^(18-1)</x:f>
        <x:v>5525.048803446586</x:v>
      </x:c>
      <x:c r="P2217" s="10" t="n">
        <x:f>H2217*'Assumptions'!$R$63*'Assumptions'!$D$11*(1+'Assumptions'!$D$13)^(18-1)</x:f>
        <x:v>0</x:v>
      </x:c>
      <x:c r="Q2217" s="10" t="n">
        <x:f>J2217*'Assumptions'!$S$63</x:f>
        <x:v>0</x:v>
      </x:c>
      <x:c r="R2217" s="10" t="n">
        <x:f>H2217*'Assumptions'!$Y$63*'Assumptions'!$Z$63*'Assumptions'!$D$11*(1+'Assumptions'!$D$13)^(18-1)</x:f>
        <x:v>517.9733253231175</x:v>
      </x:c>
      <x:c r="S2217" s="10" t="n">
        <x:f>IF(I2217=0,0,J2217*'Assumptions'!$W$63+H2217*'Assumptions'!$X$63)</x:f>
        <x:v>350.18572420210853</x:v>
      </x:c>
      <x:c r="T2217" s="10" t="n">
        <x:f>N2217*'Assumptions'!$AA$63</x:f>
        <x:v>451.7529877507103</x:v>
      </x:c>
      <x:c r="U2217" s="10" t="n">
        <x:f>'Assumptions'!$AE$63*'Assumptions'!$D$11*(1+'Assumptions'!$D$13)^(18-1)</x:f>
        <x:v>0</x:v>
      </x:c>
      <x:c r="V2217" s="10" t="n">
        <x:f>0</x:f>
        <x:v>0</x:v>
      </x:c>
      <x:c r="W2217" s="10" t="n">
        <x:f>H2217*('Assumptions'!$P$63+'Assumptions'!$Y$63)</x:f>
        <x:v>94.01471409881692</x:v>
      </x:c>
      <x:c r="X2217" s="10" t="n">
        <x:f>N2217/12*'Assumptions'!$AF$63</x:f>
        <x:v>941.1520578139798</x:v>
      </x:c>
      <x:c r="Y2217" s="10" t="n">
        <x:f>P2217/12</x:f>
        <x:v>0</x:v>
      </x:c>
      <x:c r="Z2217" s="10" t="n">
        <x:f>0</x:f>
        <x:v>0</x:v>
      </x:c>
      <x:c r="AA2217" s="10" t="n">
        <x:f>Z2217*'Assumptions'!$AC$63*'Assumptions'!$D$11*(1+'Assumptions'!$D$13)^(18-1)</x:f>
        <x:v>0</x:v>
      </x:c>
      <x:c r="AB2217" s="10" t="n">
        <x:f>F2217/1</x:f>
        <x:v>21.500802098644368</x:v>
      </x:c>
      <x:c r="AC2217" s="10" t="n">
        <x:f>AB2217/'Assumptions'!$AM$63</x:f>
        <x:v>107.50401049322183</x:v>
      </x:c>
      <x:c r="AD2217" s="10" t="n">
        <x:f>IF(AB2217=0,0,T2217/AB2217)</x:f>
        <x:v>21.010983017196065</x:v>
      </x:c>
      <x:c r="AE2217" s="10" t="n">
        <x:f>AA2217*'Assumptions'!$D$21</x:f>
        <x:v>0</x:v>
      </x:c>
    </x:row>
    <x:row r="2218" ht="16" customHeight="1">
      <x:c r="A2218" s="1"/>
      <x:c r="B2218" s="1"/>
      <x:c r="C2218" s="1" t="str">
        <x:v>DOT-035</x:v>
      </x:c>
      <x:c r="D2218" s="10" t="str">
        <x:v>Spindle</x:v>
      </x:c>
      <x:c r="E2218" s="10" t="n">
        <x:v>18</x:v>
      </x:c>
      <x:c r="F2218" s="21" t="n">
        <x:f>F2090*(1+'Assumptions'!$M$64)</x:f>
        <x:v>109.62545429567393</x:v>
      </x:c>
      <x:c r="G2218" s="21" t="n">
        <x:f>H2090*'Assumptions'!$K$64</x:f>
        <x:v>231.9557950328992</x:v>
      </x:c>
      <x:c r="H2218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2218+G2218,NA())</x:f>
        <x:v>341.5812493285731</x:v>
      </x:c>
      <x:c r="I2218" s="22" t="n">
        <x:f>'Assumptions'!$H$64*IF('Assumptions'!$O$64=1,1,'Assumptions'!$D$10)*(1+'Assumptions'!$N$64)^(18-1)</x:f>
        <x:v>68.61182954042881</x:v>
      </x:c>
      <x:c r="J2218" s="10" t="n">
        <x:f>H2218*I2218</x:f>
        <x:v>23436.514453138774</x:v>
      </x:c>
      <x:c r="K2218" s="10" t="n">
        <x:f>J2218*'Assumptions'!$T$64</x:f>
        <x:v>23436.514453138774</x:v>
      </x:c>
      <x:c r="L2218" s="10" t="n">
        <x:f>K2218*'Assumptions'!$U$64</x:f>
        <x:v>703.0954335941632</x:v>
      </x:c>
      <x:c r="M2218" s="10" t="n">
        <x:f>K2218*'Assumptions'!$V$64</x:f>
        <x:v>0</x:v>
      </x:c>
      <x:c r="N2218" s="10" t="n">
        <x:f>K2218-L2218-M2218</x:f>
        <x:v>22733.41901954461</x:v>
      </x:c>
      <x:c r="O2218" s="10" t="n">
        <x:f>H2218*'Assumptions'!$P$64*'Assumptions'!$Q$64*'Assumptions'!$D$11*(1+'Assumptions'!$D$13)^(18-1)</x:f>
        <x:v>2964.0542357010845</x:v>
      </x:c>
      <x:c r="P2218" s="10" t="n">
        <x:f>H2218*'Assumptions'!$R$64*'Assumptions'!$D$11*(1+'Assumptions'!$D$13)^(18-1)</x:f>
        <x:v>0</x:v>
      </x:c>
      <x:c r="Q2218" s="10" t="n">
        <x:f>J2218*'Assumptions'!$S$64</x:f>
        <x:v>0</x:v>
      </x:c>
      <x:c r="R2218" s="10" t="n">
        <x:f>H2218*'Assumptions'!$Y$64*'Assumptions'!$Z$64*'Assumptions'!$D$11*(1+'Assumptions'!$D$13)^(18-1)</x:f>
        <x:v>2540.617916315215</x:v>
      </x:c>
      <x:c r="S2218" s="10" t="n">
        <x:f>IF(I2218=0,0,J2218*'Assumptions'!$W$64+H2218*'Assumptions'!$X$64)</x:f>
        <x:v>782.1332939395965</x:v>
      </x:c>
      <x:c r="T2218" s="10" t="n">
        <x:f>N2218*'Assumptions'!$AA$64</x:f>
        <x:v>1136.6709509772306</x:v>
      </x:c>
      <x:c r="U2218" s="10" t="n">
        <x:f>'Assumptions'!$AE$64*'Assumptions'!$D$11*(1+'Assumptions'!$D$13)^(18-1)</x:f>
        <x:v>198.34171587261022</x:v>
      </x:c>
      <x:c r="V2218" s="10" t="n">
        <x:f>0</x:f>
        <x:v>0</x:v>
      </x:c>
      <x:c r="W2218" s="10" t="n">
        <x:f>H2218*('Assumptions'!$P$64+'Assumptions'!$Y$64)</x:f>
        <x:v>102.47437479857193</x:v>
      </x:c>
      <x:c r="X2218" s="10" t="n">
        <x:f>N2218/12*'Assumptions'!$AF$64</x:f>
        <x:v>0</x:v>
      </x:c>
      <x:c r="Y2218" s="10" t="n">
        <x:f>P2218/12</x:f>
        <x:v>0</x:v>
      </x:c>
      <x:c r="Z2218" s="10" t="n">
        <x:f>0</x:f>
        <x:v>0</x:v>
      </x:c>
      <x:c r="AA2218" s="10" t="n">
        <x:f>Z2218*'Assumptions'!$AC$64*'Assumptions'!$D$11*(1+'Assumptions'!$D$13)^(18-1)</x:f>
        <x:v>0</x:v>
      </x:c>
      <x:c r="AB2218" s="10" t="n">
        <x:f>F2218/12</x:f>
        <x:v>9.135454524639494</x:v>
      </x:c>
      <x:c r="AC2218" s="10" t="n">
        <x:f>AB2218/'Assumptions'!$AM$64</x:f>
        <x:v>182.70909049278987</x:v>
      </x:c>
      <x:c r="AD2218" s="10" t="n">
        <x:f>IF(AB2218=0,0,T2218/AB2218)</x:f>
        <x:v>124.42412667169249</x:v>
      </x:c>
      <x:c r="AE2218" s="10" t="n">
        <x:f>AA2218*'Assumptions'!$D$21</x:f>
        <x:v>0</x:v>
      </x:c>
    </x:row>
    <x:row r="2219" ht="16" customHeight="1">
      <x:c r="A2219" s="1"/>
      <x:c r="B2219" s="1"/>
      <x:c r="C2219" s="1" t="str">
        <x:v>DOT-036</x:v>
      </x:c>
      <x:c r="D2219" s="10" t="str">
        <x:v>Spindle</x:v>
      </x:c>
      <x:c r="E2219" s="10" t="n">
        <x:v>18</x:v>
      </x:c>
      <x:c r="F2219" s="21" t="n">
        <x:f>F2091*(1+'Assumptions'!$M$65)</x:f>
        <x:v>21.500802098644368</x:v>
      </x:c>
      <x:c r="G2219" s="21" t="n">
        <x:f>H2091*'Assumptions'!$K$65</x:f>
        <x:v>20.283515278607595</x:v>
      </x:c>
      <x:c r="H2219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2219+G2219,NA())</x:f>
        <x:v>41.784317377251966</x:v>
      </x:c>
      <x:c r="I2219" s="22" t="n">
        <x:f>'Assumptions'!$H$65*IF('Assumptions'!$O$65=1,1,'Assumptions'!$D$10)*(1+'Assumptions'!$N$65)^(18-1)</x:f>
        <x:v>278.64804241929255</x:v>
      </x:c>
      <x:c r="J2219" s="10" t="n">
        <x:f>H2219*I2219</x:f>
        <x:v>11643.118240997688</x:v>
      </x:c>
      <x:c r="K2219" s="10" t="n">
        <x:f>J2219*'Assumptions'!$T$65</x:f>
        <x:v>11643.118240997688</x:v>
      </x:c>
      <x:c r="L2219" s="10" t="n">
        <x:f>K2219*'Assumptions'!$U$65</x:f>
        <x:v>349.29354722993065</x:v>
      </x:c>
      <x:c r="M2219" s="10" t="n">
        <x:f>K2219*'Assumptions'!$V$65</x:f>
        <x:v>0</x:v>
      </x:c>
      <x:c r="N2219" s="10" t="n">
        <x:f>K2219-L2219-M2219</x:f>
        <x:v>11293.824693767758</x:v>
      </x:c>
      <x:c r="O2219" s="10" t="n">
        <x:f>H2219*'Assumptions'!$P$65*'Assumptions'!$Q$65*'Assumptions'!$D$11*(1+'Assumptions'!$D$13)^(18-1)</x:f>
        <x:v>5525.048803446586</x:v>
      </x:c>
      <x:c r="P2219" s="10" t="n">
        <x:f>H2219*'Assumptions'!$R$65*'Assumptions'!$D$11*(1+'Assumptions'!$D$13)^(18-1)</x:f>
        <x:v>0</x:v>
      </x:c>
      <x:c r="Q2219" s="10" t="n">
        <x:f>J2219*'Assumptions'!$S$65</x:f>
        <x:v>0</x:v>
      </x:c>
      <x:c r="R2219" s="10" t="n">
        <x:f>H2219*'Assumptions'!$Y$65*'Assumptions'!$Z$65*'Assumptions'!$D$11*(1+'Assumptions'!$D$13)^(18-1)</x:f>
        <x:v>517.9733253231175</x:v>
      </x:c>
      <x:c r="S2219" s="10" t="n">
        <x:f>IF(I2219=0,0,J2219*'Assumptions'!$W$65+H2219*'Assumptions'!$X$65)</x:f>
        <x:v>350.18572420210853</x:v>
      </x:c>
      <x:c r="T2219" s="10" t="n">
        <x:f>N2219*'Assumptions'!$AA$65</x:f>
        <x:v>451.7529877507103</x:v>
      </x:c>
      <x:c r="U2219" s="10" t="n">
        <x:f>'Assumptions'!$AE$65*'Assumptions'!$D$11*(1+'Assumptions'!$D$13)^(18-1)</x:f>
        <x:v>0</x:v>
      </x:c>
      <x:c r="V2219" s="10" t="n">
        <x:f>0</x:f>
        <x:v>0</x:v>
      </x:c>
      <x:c r="W2219" s="10" t="n">
        <x:f>H2219*('Assumptions'!$P$65+'Assumptions'!$Y$65)</x:f>
        <x:v>94.01471409881692</x:v>
      </x:c>
      <x:c r="X2219" s="10" t="n">
        <x:f>N2219/12*'Assumptions'!$AF$65</x:f>
        <x:v>941.1520578139798</x:v>
      </x:c>
      <x:c r="Y2219" s="10" t="n">
        <x:f>P2219/12</x:f>
        <x:v>0</x:v>
      </x:c>
      <x:c r="Z2219" s="10" t="n">
        <x:f>0</x:f>
        <x:v>0</x:v>
      </x:c>
      <x:c r="AA2219" s="10" t="n">
        <x:f>Z2219*'Assumptions'!$AC$65*'Assumptions'!$D$11*(1+'Assumptions'!$D$13)^(18-1)</x:f>
        <x:v>0</x:v>
      </x:c>
      <x:c r="AB2219" s="10" t="n">
        <x:f>F2219/1</x:f>
        <x:v>21.500802098644368</x:v>
      </x:c>
      <x:c r="AC2219" s="10" t="n">
        <x:f>AB2219/'Assumptions'!$AM$65</x:f>
        <x:v>107.50401049322183</x:v>
      </x:c>
      <x:c r="AD2219" s="10" t="n">
        <x:f>IF(AB2219=0,0,T2219/AB2219)</x:f>
        <x:v>21.010983017196065</x:v>
      </x:c>
      <x:c r="AE2219" s="10" t="n">
        <x:f>AA2219*'Assumptions'!$D$21</x:f>
        <x:v>0</x:v>
      </x:c>
    </x:row>
    <x:row r="2220" ht="16" customHeight="1">
      <x:c r="A2220" s="1"/>
      <x:c r="B2220" s="1"/>
      <x:c r="C2220" s="1" t="str">
        <x:v>DOT-037</x:v>
      </x:c>
      <x:c r="D2220" s="10" t="str">
        <x:v>Maison Contour</x:v>
      </x:c>
      <x:c r="E2220" s="10" t="n">
        <x:v>18</x:v>
      </x:c>
      <x:c r="F2220" s="21" t="n">
        <x:f>F2092*(1+'Assumptions'!$M$66)</x:f>
        <x:v>109.62545429567393</x:v>
      </x:c>
      <x:c r="G2220" s="21" t="n">
        <x:f>H2092*'Assumptions'!$K$66</x:f>
        <x:v>231.9557950328992</x:v>
      </x:c>
      <x:c r="H2220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2220+G2220,NA())</x:f>
        <x:v>341.5812493285731</x:v>
      </x:c>
      <x:c r="I2220" s="22" t="n">
        <x:f>'Assumptions'!$H$66*IF('Assumptions'!$O$66=1,1,'Assumptions'!$D$10)*(1+'Assumptions'!$N$66)^(18-1)</x:f>
        <x:v>110.61907211620156</x:v>
      </x:c>
      <x:c r="J2220" s="10" t="n">
        <x:f>H2220*I2220</x:f>
        <x:v>37785.40085301966</x:v>
      </x:c>
      <x:c r="K2220" s="10" t="n">
        <x:f>J2220*'Assumptions'!$T$66</x:f>
        <x:v>37785.40085301966</x:v>
      </x:c>
      <x:c r="L2220" s="10" t="n">
        <x:f>K2220*'Assumptions'!$U$66</x:f>
        <x:v>1133.5620255905897</x:v>
      </x:c>
      <x:c r="M2220" s="10" t="n">
        <x:f>K2220*'Assumptions'!$V$66</x:f>
        <x:v>0</x:v>
      </x:c>
      <x:c r="N2220" s="10" t="n">
        <x:f>K2220-L2220-M2220</x:f>
        <x:v>36651.83882742907</x:v>
      </x:c>
      <x:c r="O2220" s="10" t="n">
        <x:f>H2220*'Assumptions'!$P$66*'Assumptions'!$Q$66*'Assumptions'!$D$11*(1+'Assumptions'!$D$13)^(18-1)</x:f>
        <x:v>2964.0542357010845</x:v>
      </x:c>
      <x:c r="P2220" s="10" t="n">
        <x:f>H2220*'Assumptions'!$R$66*'Assumptions'!$D$11*(1+'Assumptions'!$D$13)^(18-1)</x:f>
        <x:v>0</x:v>
      </x:c>
      <x:c r="Q2220" s="10" t="n">
        <x:f>J2220*'Assumptions'!$S$66</x:f>
        <x:v>0</x:v>
      </x:c>
      <x:c r="R2220" s="10" t="n">
        <x:f>H2220*'Assumptions'!$Y$66*'Assumptions'!$Z$66*'Assumptions'!$D$11*(1+'Assumptions'!$D$13)^(18-1)</x:f>
        <x:v>2540.617916315215</x:v>
      </x:c>
      <x:c r="S2220" s="10" t="n">
        <x:f>IF(I2220=0,0,J2220*'Assumptions'!$W$66+H2220*'Assumptions'!$X$66)</x:f>
        <x:v>1198.2509995361422</x:v>
      </x:c>
      <x:c r="T2220" s="10" t="n">
        <x:f>N2220*'Assumptions'!$AA$66</x:f>
        <x:v>1832.5919413714537</x:v>
      </x:c>
      <x:c r="U2220" s="10" t="n">
        <x:f>'Assumptions'!$AE$66*'Assumptions'!$D$11*(1+'Assumptions'!$D$13)^(18-1)</x:f>
        <x:v>198.34171587261022</x:v>
      </x:c>
      <x:c r="V2220" s="10" t="n">
        <x:f>0</x:f>
        <x:v>0</x:v>
      </x:c>
      <x:c r="W2220" s="10" t="n">
        <x:f>H2220*('Assumptions'!$P$66+'Assumptions'!$Y$66)</x:f>
        <x:v>102.47437479857193</x:v>
      </x:c>
      <x:c r="X2220" s="10" t="n">
        <x:f>N2220/12*'Assumptions'!$AF$66</x:f>
        <x:v>0</x:v>
      </x:c>
      <x:c r="Y2220" s="10" t="n">
        <x:f>P2220/12</x:f>
        <x:v>0</x:v>
      </x:c>
      <x:c r="Z2220" s="10" t="n">
        <x:f>0</x:f>
        <x:v>0</x:v>
      </x:c>
      <x:c r="AA2220" s="10" t="n">
        <x:f>Z2220*'Assumptions'!$AC$66*'Assumptions'!$D$11*(1+'Assumptions'!$D$13)^(18-1)</x:f>
        <x:v>0</x:v>
      </x:c>
      <x:c r="AB2220" s="10" t="n">
        <x:f>F2220/12</x:f>
        <x:v>9.135454524639494</x:v>
      </x:c>
      <x:c r="AC2220" s="10" t="n">
        <x:f>AB2220/'Assumptions'!$AM$66</x:f>
        <x:v>182.70909049278987</x:v>
      </x:c>
      <x:c r="AD2220" s="10" t="n">
        <x:f>IF(AB2220=0,0,T2220/AB2220)</x:f>
        <x:v>200.60216340946343</x:v>
      </x:c>
      <x:c r="AE2220" s="10" t="n">
        <x:f>AA2220*'Assumptions'!$D$21</x:f>
        <x:v>0</x:v>
      </x:c>
    </x:row>
    <x:row r="2221" ht="16" customHeight="1">
      <x:c r="A2221" s="1"/>
      <x:c r="B2221" s="1"/>
      <x:c r="C2221" s="1" t="str">
        <x:v>DOT-038</x:v>
      </x:c>
      <x:c r="D2221" s="10" t="str">
        <x:v>Maison Contour</x:v>
      </x:c>
      <x:c r="E2221" s="10" t="n">
        <x:v>18</x:v>
      </x:c>
      <x:c r="F2221" s="21" t="n">
        <x:f>F2093*(1+'Assumptions'!$M$67)</x:f>
        <x:v>21.500802098644368</x:v>
      </x:c>
      <x:c r="G2221" s="21" t="n">
        <x:f>H2093*'Assumptions'!$K$67</x:f>
        <x:v>20.283515278607595</x:v>
      </x:c>
      <x:c r="H2221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2221+G2221,NA())</x:f>
        <x:v>41.784317377251966</x:v>
      </x:c>
      <x:c r="I2221" s="22" t="n">
        <x:f>'Assumptions'!$H$67*IF('Assumptions'!$O$67=1,1,'Assumptions'!$D$10)*(1+'Assumptions'!$N$67)^(18-1)</x:f>
        <x:v>278.64804241929255</x:v>
      </x:c>
      <x:c r="J2221" s="10" t="n">
        <x:f>H2221*I2221</x:f>
        <x:v>11643.118240997688</x:v>
      </x:c>
      <x:c r="K2221" s="10" t="n">
        <x:f>J2221*'Assumptions'!$T$67</x:f>
        <x:v>11643.118240997688</x:v>
      </x:c>
      <x:c r="L2221" s="10" t="n">
        <x:f>K2221*'Assumptions'!$U$67</x:f>
        <x:v>349.29354722993065</x:v>
      </x:c>
      <x:c r="M2221" s="10" t="n">
        <x:f>K2221*'Assumptions'!$V$67</x:f>
        <x:v>0</x:v>
      </x:c>
      <x:c r="N2221" s="10" t="n">
        <x:f>K2221-L2221-M2221</x:f>
        <x:v>11293.824693767758</x:v>
      </x:c>
      <x:c r="O2221" s="10" t="n">
        <x:f>H2221*'Assumptions'!$P$67*'Assumptions'!$Q$67*'Assumptions'!$D$11*(1+'Assumptions'!$D$13)^(18-1)</x:f>
        <x:v>5525.048803446586</x:v>
      </x:c>
      <x:c r="P2221" s="10" t="n">
        <x:f>H2221*'Assumptions'!$R$67*'Assumptions'!$D$11*(1+'Assumptions'!$D$13)^(18-1)</x:f>
        <x:v>0</x:v>
      </x:c>
      <x:c r="Q2221" s="10" t="n">
        <x:f>J2221*'Assumptions'!$S$67</x:f>
        <x:v>0</x:v>
      </x:c>
      <x:c r="R2221" s="10" t="n">
        <x:f>H2221*'Assumptions'!$Y$67*'Assumptions'!$Z$67*'Assumptions'!$D$11*(1+'Assumptions'!$D$13)^(18-1)</x:f>
        <x:v>517.9733253231175</x:v>
      </x:c>
      <x:c r="S2221" s="10" t="n">
        <x:f>IF(I2221=0,0,J2221*'Assumptions'!$W$67+H2221*'Assumptions'!$X$67)</x:f>
        <x:v>350.18572420210853</x:v>
      </x:c>
      <x:c r="T2221" s="10" t="n">
        <x:f>N2221*'Assumptions'!$AA$67</x:f>
        <x:v>451.7529877507103</x:v>
      </x:c>
      <x:c r="U2221" s="10" t="n">
        <x:f>'Assumptions'!$AE$67*'Assumptions'!$D$11*(1+'Assumptions'!$D$13)^(18-1)</x:f>
        <x:v>0</x:v>
      </x:c>
      <x:c r="V2221" s="10" t="n">
        <x:f>0</x:f>
        <x:v>0</x:v>
      </x:c>
      <x:c r="W2221" s="10" t="n">
        <x:f>H2221*('Assumptions'!$P$67+'Assumptions'!$Y$67)</x:f>
        <x:v>94.01471409881692</x:v>
      </x:c>
      <x:c r="X2221" s="10" t="n">
        <x:f>N2221/12*'Assumptions'!$AF$67</x:f>
        <x:v>941.1520578139798</x:v>
      </x:c>
      <x:c r="Y2221" s="10" t="n">
        <x:f>P2221/12</x:f>
        <x:v>0</x:v>
      </x:c>
      <x:c r="Z2221" s="10" t="n">
        <x:f>0</x:f>
        <x:v>0</x:v>
      </x:c>
      <x:c r="AA2221" s="10" t="n">
        <x:f>Z2221*'Assumptions'!$AC$67*'Assumptions'!$D$11*(1+'Assumptions'!$D$13)^(18-1)</x:f>
        <x:v>0</x:v>
      </x:c>
      <x:c r="AB2221" s="10" t="n">
        <x:f>F2221/1</x:f>
        <x:v>21.500802098644368</x:v>
      </x:c>
      <x:c r="AC2221" s="10" t="n">
        <x:f>AB2221/'Assumptions'!$AM$67</x:f>
        <x:v>107.50401049322183</x:v>
      </x:c>
      <x:c r="AD2221" s="10" t="n">
        <x:f>IF(AB2221=0,0,T2221/AB2221)</x:f>
        <x:v>21.010983017196065</x:v>
      </x:c>
      <x:c r="AE2221" s="10" t="n">
        <x:f>AA2221*'Assumptions'!$D$21</x:f>
        <x:v>0</x:v>
      </x:c>
    </x:row>
    <x:row r="2222" ht="16" customHeight="1">
      <x:c r="A2222" s="1"/>
      <x:c r="B2222" s="1"/>
      <x:c r="C2222" s="1" t="str">
        <x:v>DOT-039</x:v>
      </x:c>
      <x:c r="D2222" s="10" t="str">
        <x:v>DishLoom US</x:v>
      </x:c>
      <x:c r="E2222" s="10" t="n">
        <x:v>18</x:v>
      </x:c>
      <x:c r="F2222" s="21" t="n">
        <x:f>F2094*(1+'Assumptions'!$M$68)</x:f>
        <x:v>109.62545429567393</x:v>
      </x:c>
      <x:c r="G2222" s="21" t="n">
        <x:f>H2094*'Assumptions'!$K$68</x:f>
        <x:v>231.9557950328992</x:v>
      </x:c>
      <x:c r="H2222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2222+G2222,NA())</x:f>
        <x:v>341.5812493285731</x:v>
      </x:c>
      <x:c r="I2222" s="22" t="n">
        <x:f>'Assumptions'!$H$68*IF('Assumptions'!$O$68=1,1,'Assumptions'!$D$10)*(1+'Assumptions'!$N$68)^(18-1)</x:f>
        <x:v>54.60941534850457</x:v>
      </x:c>
      <x:c r="J2222" s="10" t="n">
        <x:f>H2222*I2222</x:f>
        <x:v>18653.552319845145</x:v>
      </x:c>
      <x:c r="K2222" s="10" t="n">
        <x:f>J2222*'Assumptions'!$T$68</x:f>
        <x:v>18653.552319845145</x:v>
      </x:c>
      <x:c r="L2222" s="10" t="n">
        <x:f>K2222*'Assumptions'!$U$68</x:f>
        <x:v>559.6065695953544</x:v>
      </x:c>
      <x:c r="M2222" s="10" t="n">
        <x:f>K2222*'Assumptions'!$V$68</x:f>
        <x:v>0</x:v>
      </x:c>
      <x:c r="N2222" s="10" t="n">
        <x:f>K2222-L2222-M2222</x:f>
        <x:v>18093.94575024979</x:v>
      </x:c>
      <x:c r="O2222" s="10" t="n">
        <x:f>H2222*'Assumptions'!$P$68*'Assumptions'!$Q$68*'Assumptions'!$D$11*(1+'Assumptions'!$D$13)^(18-1)</x:f>
        <x:v>2964.0542357010845</x:v>
      </x:c>
      <x:c r="P2222" s="10" t="n">
        <x:f>H2222*'Assumptions'!$R$68*'Assumptions'!$D$11*(1+'Assumptions'!$D$13)^(18-1)</x:f>
        <x:v>0</x:v>
      </x:c>
      <x:c r="Q2222" s="10" t="n">
        <x:f>J2222*'Assumptions'!$S$68</x:f>
        <x:v>0</x:v>
      </x:c>
      <x:c r="R2222" s="10" t="n">
        <x:f>H2222*'Assumptions'!$Y$68*'Assumptions'!$Z$68*'Assumptions'!$D$11*(1+'Assumptions'!$D$13)^(18-1)</x:f>
        <x:v>2540.617916315215</x:v>
      </x:c>
      <x:c r="S2222" s="10" t="n">
        <x:f>IF(I2222=0,0,J2222*'Assumptions'!$W$68+H2222*'Assumptions'!$X$68)</x:f>
        <x:v>643.4273920740811</x:v>
      </x:c>
      <x:c r="T2222" s="10" t="n">
        <x:f>N2222*'Assumptions'!$AA$68</x:f>
        <x:v>904.6972875124895</x:v>
      </x:c>
      <x:c r="U2222" s="10" t="n">
        <x:f>'Assumptions'!$AE$68*'Assumptions'!$D$11*(1+'Assumptions'!$D$13)^(18-1)</x:f>
        <x:v>198.34171587261022</x:v>
      </x:c>
      <x:c r="V2222" s="10" t="n">
        <x:f>0</x:f>
        <x:v>0</x:v>
      </x:c>
      <x:c r="W2222" s="10" t="n">
        <x:f>H2222*('Assumptions'!$P$68+'Assumptions'!$Y$68)</x:f>
        <x:v>102.47437479857193</x:v>
      </x:c>
      <x:c r="X2222" s="10" t="n">
        <x:f>N2222/12*'Assumptions'!$AF$68</x:f>
        <x:v>0</x:v>
      </x:c>
      <x:c r="Y2222" s="10" t="n">
        <x:f>P2222/12</x:f>
        <x:v>0</x:v>
      </x:c>
      <x:c r="Z2222" s="10" t="n">
        <x:f>0</x:f>
        <x:v>0</x:v>
      </x:c>
      <x:c r="AA2222" s="10" t="n">
        <x:f>Z2222*'Assumptions'!$AC$68*'Assumptions'!$D$11*(1+'Assumptions'!$D$13)^(18-1)</x:f>
        <x:v>0</x:v>
      </x:c>
      <x:c r="AB2222" s="10" t="n">
        <x:f>F2222/12</x:f>
        <x:v>9.135454524639494</x:v>
      </x:c>
      <x:c r="AC2222" s="10" t="n">
        <x:f>AB2222/'Assumptions'!$AM$68</x:f>
        <x:v>182.70909049278987</x:v>
      </x:c>
      <x:c r="AD2222" s="10" t="n">
        <x:f>IF(AB2222=0,0,T2222/AB2222)</x:f>
        <x:v>99.03144775910216</x:v>
      </x:c>
      <x:c r="AE2222" s="10" t="n">
        <x:f>AA2222*'Assumptions'!$D$21</x:f>
        <x:v>0</x:v>
      </x:c>
    </x:row>
    <x:row r="2223" ht="16" customHeight="1">
      <x:c r="A2223" s="1"/>
      <x:c r="B2223" s="1"/>
      <x:c r="C2223" s="1" t="str">
        <x:v>DOT-040</x:v>
      </x:c>
      <x:c r="D2223" s="10" t="str">
        <x:v>DishLoom US</x:v>
      </x:c>
      <x:c r="E2223" s="10" t="n">
        <x:v>18</x:v>
      </x:c>
      <x:c r="F2223" s="21" t="n">
        <x:f>F2095*(1+'Assumptions'!$M$69)</x:f>
        <x:v>219.25090859134787</x:v>
      </x:c>
      <x:c r="G2223" s="21" t="n">
        <x:f>H2095*'Assumptions'!$K$69</x:f>
        <x:v>463.9115900657984</x:v>
      </x:c>
      <x:c r="H2223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2223+G2223,NA())</x:f>
        <x:v>683.1624986571462</x:v>
      </x:c>
      <x:c r="I2223" s="22" t="n">
        <x:f>'Assumptions'!$H$69*IF('Assumptions'!$O$69=1,1,'Assumptions'!$D$10)*(1+'Assumptions'!$N$69)^(18-1)</x:f>
        <x:v>12.602172772731823</x:v>
      </x:c>
      <x:c r="J2223" s="10" t="n">
        <x:f>H2223*I2223</x:f>
        <x:v>8609.331839928529</x:v>
      </x:c>
      <x:c r="K2223" s="10" t="n">
        <x:f>J2223*'Assumptions'!$T$69</x:f>
        <x:v>8609.331839928529</x:v>
      </x:c>
      <x:c r="L2223" s="10" t="n">
        <x:f>K2223*'Assumptions'!$U$69</x:f>
        <x:v>258.2799551978559</x:v>
      </x:c>
      <x:c r="M2223" s="10" t="n">
        <x:f>K2223*'Assumptions'!$V$69</x:f>
        <x:v>0</x:v>
      </x:c>
      <x:c r="N2223" s="10" t="n">
        <x:f>K2223-L2223-M2223</x:f>
        <x:v>8351.051884730674</x:v>
      </x:c>
      <x:c r="O2223" s="10" t="n">
        <x:f>H2223*'Assumptions'!$P$69*'Assumptions'!$Q$69*'Assumptions'!$D$11*(1+'Assumptions'!$D$13)^(18-1)</x:f>
        <x:v>1976.0361571340566</x:v>
      </x:c>
      <x:c r="P2223" s="10" t="n">
        <x:f>H2223*'Assumptions'!$R$69*'Assumptions'!$D$11*(1+'Assumptions'!$D$13)^(18-1)</x:f>
        <x:v>0</x:v>
      </x:c>
      <x:c r="Q2223" s="10" t="n">
        <x:f>J2223*'Assumptions'!$S$69</x:f>
        <x:v>0</x:v>
      </x:c>
      <x:c r="R2223" s="10" t="n">
        <x:f>H2223*'Assumptions'!$Y$69*'Assumptions'!$Z$69*'Assumptions'!$D$11*(1+'Assumptions'!$D$13)^(18-1)</x:f>
        <x:v>5081.23583263043</x:v>
      </x:c>
      <x:c r="S2223" s="10" t="n">
        <x:f>IF(I2223=0,0,J2223*'Assumptions'!$W$69+H2223*'Assumptions'!$X$69)</x:f>
        <x:v>454.6193729550712</x:v>
      </x:c>
      <x:c r="T2223" s="10" t="n">
        <x:f>N2223*'Assumptions'!$AA$69</x:f>
        <x:v>417.5525942365337</x:v>
      </x:c>
      <x:c r="U2223" s="10" t="n">
        <x:f>'Assumptions'!$AE$69*'Assumptions'!$D$11*(1+'Assumptions'!$D$13)^(18-1)</x:f>
        <x:v>0</x:v>
      </x:c>
      <x:c r="V2223" s="10" t="n">
        <x:f>0</x:f>
        <x:v>0</x:v>
      </x:c>
      <x:c r="W2223" s="10" t="n">
        <x:f>H2223*('Assumptions'!$P$69+'Assumptions'!$Y$69)</x:f>
        <x:v>136.63249973142925</x:v>
      </x:c>
      <x:c r="X2223" s="10" t="n">
        <x:f>N2223/12*'Assumptions'!$AF$69</x:f>
        <x:v>0</x:v>
      </x:c>
      <x:c r="Y2223" s="10" t="n">
        <x:f>P2223/12</x:f>
        <x:v>0</x:v>
      </x:c>
      <x:c r="Z2223" s="10" t="n">
        <x:f>0</x:f>
        <x:v>0</x:v>
      </x:c>
      <x:c r="AA2223" s="10" t="n">
        <x:f>Z2223*'Assumptions'!$AC$69*'Assumptions'!$D$11*(1+'Assumptions'!$D$13)^(18-1)</x:f>
        <x:v>0</x:v>
      </x:c>
      <x:c r="AB2223" s="10" t="n">
        <x:f>F2223/1</x:f>
        <x:v>219.25090859134787</x:v>
      </x:c>
      <x:c r="AC2223" s="10" t="n">
        <x:f>AB2223/'Assumptions'!$AM$69</x:f>
        <x:v>4385.018171826957</x:v>
      </x:c>
      <x:c r="AD2223" s="10" t="n">
        <x:f>IF(AB2223=0,0,T2223/AB2223)</x:f>
        <x:v>1.9044509184442726</x:v>
      </x:c>
      <x:c r="AE2223" s="10" t="n">
        <x:f>AA2223*'Assumptions'!$D$21</x:f>
        <x:v>0</x:v>
      </x:c>
    </x:row>
    <x:row r="2224" ht="16" customHeight="1">
      <x:c r="A2224" s="1"/>
      <x:c r="B2224" s="1"/>
      <x:c r="C2224" s="1" t="str">
        <x:v>DOT-041</x:v>
      </x:c>
      <x:c r="D2224" s="10" t="str">
        <x:v>DishLoom US</x:v>
      </x:c>
      <x:c r="E2224" s="10" t="n">
        <x:v>18</x:v>
      </x:c>
      <x:c r="F2224" s="21" t="n">
        <x:f>F2096*(1+'Assumptions'!$M$70)</x:f>
        <x:v>274.0636357391849</x:v>
      </x:c>
      <x:c r="G2224" s="21" t="n">
        <x:f>H2096*'Assumptions'!$K$70</x:f>
        <x:v>579.8894875822481</x:v>
      </x:c>
      <x:c r="H2224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2224+G2224,NA())</x:f>
        <x:v>853.9531233214329</x:v>
      </x:c>
      <x:c r="I2224" s="22" t="n">
        <x:f>'Assumptions'!$H$70*IF('Assumptions'!$O$70=1,1,'Assumptions'!$D$10)*(1+'Assumptions'!$N$70)^(18-1)</x:f>
        <x:v>140.02414191924248</x:v>
      </x:c>
      <x:c r="J2224" s="10" t="n">
        <x:f>H2224*I2224</x:f>
        <x:v>119574.0533323407</x:v>
      </x:c>
      <x:c r="K2224" s="10" t="n">
        <x:f>J2224*'Assumptions'!$T$70</x:f>
        <x:v>17936.107999851105</x:v>
      </x:c>
      <x:c r="L2224" s="10" t="n">
        <x:f>K2224*'Assumptions'!$U$70</x:f>
        <x:v>538.0832399955332</x:v>
      </x:c>
      <x:c r="M2224" s="10" t="n">
        <x:f>K2224*'Assumptions'!$V$70</x:f>
        <x:v>0</x:v>
      </x:c>
      <x:c r="N2224" s="10" t="n">
        <x:f>K2224-L2224-M2224</x:f>
        <x:v>17398.024759855572</x:v>
      </x:c>
      <x:c r="O2224" s="10" t="n">
        <x:f>H2224*'Assumptions'!$P$70*'Assumptions'!$Q$70*'Assumptions'!$D$11*(1+'Assumptions'!$D$13)^(18-1)</x:f>
        <x:v>4940.090392835143</x:v>
      </x:c>
      <x:c r="P2224" s="10" t="n">
        <x:f>H2224*'Assumptions'!$R$70*'Assumptions'!$D$11*(1+'Assumptions'!$D$13)^(18-1)</x:f>
        <x:v>0</x:v>
      </x:c>
      <x:c r="Q2224" s="10" t="n">
        <x:f>J2224*'Assumptions'!$S$70</x:f>
        <x:v>0</x:v>
      </x:c>
      <x:c r="R2224" s="10" t="n">
        <x:f>H2224*'Assumptions'!$Y$70*'Assumptions'!$Z$70*'Assumptions'!$D$11*(1+'Assumptions'!$D$13)^(18-1)</x:f>
        <x:v>6351.544790788039</x:v>
      </x:c>
      <x:c r="S2224" s="10" t="n">
        <x:f>IF(I2224=0,0,J2224*'Assumptions'!$W$70+H2224*'Assumptions'!$X$70)</x:f>
        <x:v>3723.8334836343106</x:v>
      </x:c>
      <x:c r="T2224" s="10" t="n">
        <x:f>N2224*'Assumptions'!$AA$70</x:f>
        <x:v>869.9012379927786</x:v>
      </x:c>
      <x:c r="U2224" s="10" t="n">
        <x:f>'Assumptions'!$AE$70*'Assumptions'!$D$11*(1+'Assumptions'!$D$13)^(18-1)</x:f>
        <x:v>0</x:v>
      </x:c>
      <x:c r="V2224" s="10" t="n">
        <x:f>0</x:f>
        <x:v>0</x:v>
      </x:c>
      <x:c r="W2224" s="10" t="n">
        <x:f>H2224*('Assumptions'!$P$70+'Assumptions'!$Y$70)</x:f>
        <x:v>213.48828083035824</x:v>
      </x:c>
      <x:c r="X2224" s="10" t="n">
        <x:f>N2224/12*'Assumptions'!$AF$70</x:f>
        <x:v>0</x:v>
      </x:c>
      <x:c r="Y2224" s="10" t="n">
        <x:f>P2224/12</x:f>
        <x:v>0</x:v>
      </x:c>
      <x:c r="Z2224" s="10" t="n">
        <x:f>0</x:f>
        <x:v>0</x:v>
      </x:c>
      <x:c r="AA2224" s="10" t="n">
        <x:f>Z2224*'Assumptions'!$AC$70*'Assumptions'!$D$11*(1+'Assumptions'!$D$13)^(18-1)</x:f>
        <x:v>0</x:v>
      </x:c>
      <x:c r="AB2224" s="10" t="n">
        <x:f>F2224/1</x:f>
        <x:v>274.0636357391849</x:v>
      </x:c>
      <x:c r="AC2224" s="10" t="n">
        <x:f>AB2224/'Assumptions'!$AM$70</x:f>
        <x:v>5481.272714783698</x:v>
      </x:c>
      <x:c r="AD2224" s="10" t="n">
        <x:f>IF(AB2224=0,0,T2224/AB2224)</x:f>
        <x:v>3.174084864073787</x:v>
      </x:c>
      <x:c r="AE2224" s="10" t="n">
        <x:f>AA2224*'Assumptions'!$D$21</x:f>
        <x:v>0</x:v>
      </x:c>
    </x:row>
    <x:row r="2225" ht="16" customHeight="1">
      <x:c r="A2225" s="1"/>
      <x:c r="B2225" s="1"/>
      <x:c r="C2225" s="1" t="str">
        <x:v>DOT-042</x:v>
      </x:c>
      <x:c r="D2225" s="10" t="str">
        <x:v>Is Makes Travel Easy</x:v>
      </x:c>
      <x:c r="E2225" s="10" t="n">
        <x:v>18</x:v>
      </x:c>
      <x:c r="F2225" s="21" t="n">
        <x:f>F2097*(1+'Assumptions'!$M$71)</x:f>
        <x:v>328.87636288702174</x:v>
      </x:c>
      <x:c r="G2225" s="21" t="n">
        <x:f>H2097*'Assumptions'!$K$71</x:f>
        <x:v>696.076752561286</x:v>
      </x:c>
      <x:c r="H2225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2225+G2225,NA())</x:f>
        <x:v>1024.9531154483077</x:v>
      </x:c>
      <x:c r="I2225" s="22" t="n">
        <x:f>'Assumptions'!$H$71*IF('Assumptions'!$O$71=1,1,'Assumptions'!$D$10)*(1+'Assumptions'!$N$71)^(18-1)</x:f>
        <x:v>40.60700115658032</x:v>
      </x:c>
      <x:c r="J2225" s="10" t="n">
        <x:f>H2225*I2225</x:f>
        <x:v>41620.27234445003</x:v>
      </x:c>
      <x:c r="K2225" s="10" t="n">
        <x:f>J2225*'Assumptions'!$T$71</x:f>
        <x:v>41620.27234445003</x:v>
      </x:c>
      <x:c r="L2225" s="10" t="n">
        <x:f>K2225*'Assumptions'!$U$71</x:f>
        <x:v>1248.6081703335008</x:v>
      </x:c>
      <x:c r="M2225" s="10" t="n">
        <x:f>K2225*'Assumptions'!$V$71</x:f>
        <x:v>0</x:v>
      </x:c>
      <x:c r="N2225" s="10" t="n">
        <x:f>K2225-L2225-M2225</x:f>
        <x:v>40371.66417411653</x:v>
      </x:c>
      <x:c r="O2225" s="10" t="n">
        <x:f>H2225*'Assumptions'!$P$71*'Assumptions'!$Q$71*'Assumptions'!$D$11*(1+'Assumptions'!$D$13)^(18-1)</x:f>
        <x:v>5929.319655204018</x:v>
      </x:c>
      <x:c r="P2225" s="10" t="n">
        <x:f>H2225*'Assumptions'!$R$71*'Assumptions'!$D$11*(1+'Assumptions'!$D$13)^(18-1)</x:f>
        <x:v>0</x:v>
      </x:c>
      <x:c r="Q2225" s="10" t="n">
        <x:f>J2225*'Assumptions'!$S$71</x:f>
        <x:v>0</x:v>
      </x:c>
      <x:c r="R2225" s="10" t="n">
        <x:f>H2225*'Assumptions'!$Y$71*'Assumptions'!$Z$71*'Assumptions'!$D$11*(1+'Assumptions'!$D$13)^(18-1)</x:f>
        <x:v>7623.41098526231</x:v>
      </x:c>
      <x:c r="S2225" s="10" t="n">
        <x:f>IF(I2225=0,0,J2225*'Assumptions'!$W$71+H2225*'Assumptions'!$X$71)</x:f>
        <x:v>1514.4738326235433</x:v>
      </x:c>
      <x:c r="T2225" s="10" t="n">
        <x:f>N2225*'Assumptions'!$AA$71</x:f>
        <x:v>2018.5832087058266</x:v>
      </x:c>
      <x:c r="U2225" s="10" t="n">
        <x:f>'Assumptions'!$AE$71*'Assumptions'!$D$11*(1+'Assumptions'!$D$13)^(18-1)</x:f>
        <x:v>396.68343174522045</x:v>
      </x:c>
      <x:c r="V2225" s="10" t="n">
        <x:f>0</x:f>
        <x:v>0</x:v>
      </x:c>
      <x:c r="W2225" s="10" t="n">
        <x:f>H2225*('Assumptions'!$P$71+'Assumptions'!$Y$71)</x:f>
        <x:v>256.2382788620769</x:v>
      </x:c>
      <x:c r="X2225" s="10" t="n">
        <x:f>N2225/12*'Assumptions'!$AF$71</x:f>
        <x:v>0</x:v>
      </x:c>
      <x:c r="Y2225" s="10" t="n">
        <x:f>P2225/12</x:f>
        <x:v>0</x:v>
      </x:c>
      <x:c r="Z2225" s="10" t="n">
        <x:f>0</x:f>
        <x:v>0</x:v>
      </x:c>
      <x:c r="AA2225" s="10" t="n">
        <x:f>Z2225*'Assumptions'!$AC$71*'Assumptions'!$D$11*(1+'Assumptions'!$D$13)^(18-1)</x:f>
        <x:v>0</x:v>
      </x:c>
      <x:c r="AB2225" s="10" t="n">
        <x:f>F2225/1</x:f>
        <x:v>328.87636288702174</x:v>
      </x:c>
      <x:c r="AC2225" s="10" t="n">
        <x:f>AB2225/'Assumptions'!$AM$71</x:f>
        <x:v>6577.527257740435</x:v>
      </x:c>
      <x:c r="AD2225" s="10" t="n">
        <x:f>IF(AB2225=0,0,T2225/AB2225)</x:f>
        <x:v>6.137817844328528</x:v>
      </x:c>
      <x:c r="AE2225" s="10" t="n">
        <x:f>AA2225*'Assumptions'!$D$21</x:f>
        <x:v>0</x:v>
      </x:c>
    </x:row>
    <x:row r="2226" ht="16" customHeight="1">
      <x:c r="A2226" s="1"/>
      <x:c r="B2226" s="1"/>
      <x:c r="C2226" s="1" t="str">
        <x:v>DOT-043</x:v>
      </x:c>
      <x:c r="D2226" s="10" t="str">
        <x:v>Is Makes Travel Easy</x:v>
      </x:c>
      <x:c r="E2226" s="10" t="n">
        <x:v>18</x:v>
      </x:c>
      <x:c r="F2226" s="21" t="n">
        <x:f>F2098*(1+'Assumptions'!$M$72)</x:f>
        <x:v>164.43818144351087</x:v>
      </x:c>
      <x:c r="G2226" s="21" t="n">
        <x:f>H2098*'Assumptions'!$K$72</x:f>
        <x:v>348.038376280643</x:v>
      </x:c>
      <x:c r="H2226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2226+G2226,NA())</x:f>
        <x:v>512.4765577241538</x:v>
      </x:c>
      <x:c r="I2226" s="22" t="n">
        <x:f>'Assumptions'!$H$72*IF('Assumptions'!$O$72=1,1,'Assumptions'!$D$10)*(1+'Assumptions'!$N$72)^(18-1)</x:f>
        <x:v>26.60458696465607</x:v>
      </x:c>
      <x:c r="J2226" s="10" t="n">
        <x:f>H2226*I2226</x:f>
        <x:v>13634.227147319838</x:v>
      </x:c>
      <x:c r="K2226" s="10" t="n">
        <x:f>J2226*'Assumptions'!$T$72</x:f>
        <x:v>13634.227147319838</x:v>
      </x:c>
      <x:c r="L2226" s="10" t="n">
        <x:f>K2226*'Assumptions'!$U$72</x:f>
        <x:v>409.0268144195951</x:v>
      </x:c>
      <x:c r="M2226" s="10" t="n">
        <x:f>K2226*'Assumptions'!$V$72</x:f>
        <x:v>0</x:v>
      </x:c>
      <x:c r="N2226" s="10" t="n">
        <x:f>K2226-L2226-M2226</x:f>
        <x:v>13225.200332900244</x:v>
      </x:c>
      <x:c r="O2226" s="10" t="n">
        <x:f>H2226*'Assumptions'!$P$72*'Assumptions'!$Q$72*'Assumptions'!$D$11*(1+'Assumptions'!$D$13)^(18-1)</x:f>
        <x:v>2964.659827602009</x:v>
      </x:c>
      <x:c r="P2226" s="10" t="n">
        <x:f>H2226*'Assumptions'!$R$72*'Assumptions'!$D$11*(1+'Assumptions'!$D$13)^(18-1)</x:f>
        <x:v>0</x:v>
      </x:c>
      <x:c r="Q2226" s="10" t="n">
        <x:f>J2226*'Assumptions'!$S$72</x:f>
        <x:v>0</x:v>
      </x:c>
      <x:c r="R2226" s="10" t="n">
        <x:f>H2226*'Assumptions'!$Y$72*'Assumptions'!$Z$72*'Assumptions'!$D$11*(1+'Assumptions'!$D$13)^(18-1)</x:f>
        <x:v>3811.705492631155</x:v>
      </x:c>
      <x:c r="S2226" s="10" t="n">
        <x:f>IF(I2226=0,0,J2226*'Assumptions'!$W$72+H2226*'Assumptions'!$X$72)</x:f>
        <x:v>549.1355545895215</x:v>
      </x:c>
      <x:c r="T2226" s="10" t="n">
        <x:f>N2226*'Assumptions'!$AA$72</x:f>
        <x:v>661.2600166450122</x:v>
      </x:c>
      <x:c r="U2226" s="10" t="n">
        <x:f>'Assumptions'!$AE$72*'Assumptions'!$D$11*(1+'Assumptions'!$D$13)^(18-1)</x:f>
        <x:v>0</x:v>
      </x:c>
      <x:c r="V2226" s="10" t="n">
        <x:f>0</x:f>
        <x:v>0</x:v>
      </x:c>
      <x:c r="W2226" s="10" t="n">
        <x:f>H2226*('Assumptions'!$P$72+'Assumptions'!$Y$72)</x:f>
        <x:v>128.11913943103846</x:v>
      </x:c>
      <x:c r="X2226" s="10" t="n">
        <x:f>N2226/12*'Assumptions'!$AF$72</x:f>
        <x:v>0</x:v>
      </x:c>
      <x:c r="Y2226" s="10" t="n">
        <x:f>P2226/12</x:f>
        <x:v>0</x:v>
      </x:c>
      <x:c r="Z2226" s="10" t="n">
        <x:f>0</x:f>
        <x:v>0</x:v>
      </x:c>
      <x:c r="AA2226" s="10" t="n">
        <x:f>Z2226*'Assumptions'!$AC$72*'Assumptions'!$D$11*(1+'Assumptions'!$D$13)^(18-1)</x:f>
        <x:v>0</x:v>
      </x:c>
      <x:c r="AB2226" s="10" t="n">
        <x:f>F2226/12</x:f>
        <x:v>13.70318178695924</x:v>
      </x:c>
      <x:c r="AC2226" s="10" t="n">
        <x:f>AB2226/'Assumptions'!$AM$72</x:f>
        <x:v>274.0636357391848</x:v>
      </x:c>
      <x:c r="AD2226" s="10" t="n">
        <x:f>IF(AB2226=0,0,T2226/AB2226)</x:f>
        <x:v>48.25594718989326</x:v>
      </x:c>
      <x:c r="AE2226" s="10" t="n">
        <x:f>AA2226*'Assumptions'!$D$21</x:f>
        <x:v>0</x:v>
      </x:c>
    </x:row>
    <x:row r="2227" ht="16" customHeight="1">
      <x:c r="A2227" s="1"/>
      <x:c r="B2227" s="1"/>
      <x:c r="C2227" s="1" t="str">
        <x:v>DOT-044</x:v>
      </x:c>
      <x:c r="D2227" s="10" t="str">
        <x:v>Is Makes Travel Easy</x:v>
      </x:c>
      <x:c r="E2227" s="10" t="n">
        <x:v>18</x:v>
      </x:c>
      <x:c r="F2227" s="21" t="n">
        <x:f>F2099*(1+'Assumptions'!$M$73)</x:f>
        <x:v>67.08250254777043</x:v>
      </x:c>
      <x:c r="G2227" s="21" t="n">
        <x:f>H2099*'Assumptions'!$K$73</x:f>
        <x:v>34.527755895661116</x:v>
      </x:c>
      <x:c r="H2227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2227+G2227,NA())</x:f>
        <x:v>101.61025844343155</x:v>
      </x:c>
      <x:c r="I2227" s="22" t="n">
        <x:f>'Assumptions'!$H$73*IF('Assumptions'!$O$73=1,1,'Assumptions'!$D$10)*(1+'Assumptions'!$N$73)^(18-1)</x:f>
        <x:v>68.61182954042881</x:v>
      </x:c>
      <x:c r="J2227" s="10" t="n">
        <x:f>H2227*I2227</x:f>
        <x:v>6971.665731879643</x:v>
      </x:c>
      <x:c r="K2227" s="10" t="n">
        <x:f>J2227*'Assumptions'!$T$73</x:f>
        <x:v>6971.665731879643</x:v>
      </x:c>
      <x:c r="L2227" s="10" t="n">
        <x:f>K2227*'Assumptions'!$U$73</x:f>
        <x:v>209.1499719563893</x:v>
      </x:c>
      <x:c r="M2227" s="10" t="n">
        <x:f>K2227*'Assumptions'!$V$73</x:f>
        <x:v>0</x:v>
      </x:c>
      <x:c r="N2227" s="10" t="n">
        <x:f>K2227-L2227-M2227</x:f>
        <x:v>6762.515759923254</x:v>
      </x:c>
      <x:c r="O2227" s="10" t="n">
        <x:f>H2227*'Assumptions'!$P$73*'Assumptions'!$Q$73*'Assumptions'!$D$11*(1+'Assumptions'!$D$13)^(18-1)</x:f>
        <x:v>1469.5299069740329</x:v>
      </x:c>
      <x:c r="P2227" s="10" t="n">
        <x:f>H2227*'Assumptions'!$R$73*'Assumptions'!$D$11*(1+'Assumptions'!$D$13)^(18-1)</x:f>
        <x:v>0</x:v>
      </x:c>
      <x:c r="Q2227" s="10" t="n">
        <x:f>J2227*'Assumptions'!$S$73</x:f>
        <x:v>0</x:v>
      </x:c>
      <x:c r="R2227" s="10" t="n">
        <x:f>H2227*'Assumptions'!$Y$73*'Assumptions'!$Z$73*'Assumptions'!$D$11*(1+'Assumptions'!$D$13)^(18-1)</x:f>
        <x:v>2519.1941262411992</x:v>
      </x:c>
      <x:c r="S2227" s="10" t="n">
        <x:f>IF(I2227=0,0,J2227*'Assumptions'!$W$73+H2227*'Assumptions'!$X$73)</x:f>
        <x:v>232.66138375753914</x:v>
      </x:c>
      <x:c r="T2227" s="10" t="n">
        <x:f>N2227*'Assumptions'!$AA$73</x:f>
        <x:v>541.0012607938604</x:v>
      </x:c>
      <x:c r="U2227" s="10" t="n">
        <x:f>'Assumptions'!$AE$73*'Assumptions'!$D$11*(1+'Assumptions'!$D$13)^(18-1)</x:f>
        <x:v>0</x:v>
      </x:c>
      <x:c r="V2227" s="10" t="n">
        <x:f>0</x:f>
        <x:v>0</x:v>
      </x:c>
      <x:c r="W2227" s="10" t="n">
        <x:f>H2227*('Assumptions'!$P$73+'Assumptions'!$Y$73)</x:f>
        <x:v>76.20769383257365</x:v>
      </x:c>
      <x:c r="X2227" s="10" t="n">
        <x:f>N2227/12*'Assumptions'!$AF$73</x:f>
        <x:v>563.5429799936045</x:v>
      </x:c>
      <x:c r="Y2227" s="10" t="n">
        <x:f>P2227/12</x:f>
        <x:v>0</x:v>
      </x:c>
      <x:c r="Z2227" s="10" t="n">
        <x:f>0</x:f>
        <x:v>0</x:v>
      </x:c>
      <x:c r="AA2227" s="10" t="n">
        <x:f>Z2227*'Assumptions'!$AC$73*'Assumptions'!$D$11*(1+'Assumptions'!$D$13)^(18-1)</x:f>
        <x:v>0</x:v>
      </x:c>
      <x:c r="AB2227" s="10" t="n">
        <x:f>F2227/1</x:f>
        <x:v>67.08250254777043</x:v>
      </x:c>
      <x:c r="AC2227" s="10" t="n">
        <x:f>AB2227/'Assumptions'!$AM$73</x:f>
        <x:v>670.8250254777042</x:v>
      </x:c>
      <x:c r="AD2227" s="10" t="n">
        <x:f>IF(AB2227=0,0,T2227/AB2227)</x:f>
        <x:v>8.06471494423759</x:v>
      </x:c>
      <x:c r="AE2227" s="10" t="n">
        <x:f>AA2227*'Assumptions'!$D$21</x:f>
        <x:v>0</x:v>
      </x:c>
    </x:row>
    <x:row r="2228" ht="16" customHeight="1">
      <x:c r="A2228" s="1"/>
      <x:c r="B2228" s="1"/>
      <x:c r="C2228" s="1" t="str">
        <x:v>DOT-045</x:v>
      </x:c>
      <x:c r="D2228" s="10" t="str">
        <x:v>Is Makes Travel Easy</x:v>
      </x:c>
      <x:c r="E2228" s="10" t="n">
        <x:v>18</x:v>
      </x:c>
      <x:c r="F2228" s="21" t="n">
        <x:f>F2100*(1+'Assumptions'!$M$74)</x:f>
        <x:v>219.25090859134787</x:v>
      </x:c>
      <x:c r="G2228" s="21" t="n">
        <x:f>H2100*'Assumptions'!$K$74</x:f>
        <x:v>464.0511683741908</x:v>
      </x:c>
      <x:c r="H2228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2228+G2228,NA())</x:f>
        <x:v>683.3020769655386</x:v>
      </x:c>
      <x:c r="I2228" s="22" t="n">
        <x:f>'Assumptions'!$H$74*IF('Assumptions'!$O$74=1,1,'Assumptions'!$D$10)*(1+'Assumptions'!$N$74)^(18-1)</x:f>
        <x:v>210.03621287886372</x:v>
      </x:c>
      <x:c r="J2228" s="10" t="n">
        <x:f>H2228*I2228</x:f>
        <x:v>143518.18049810358</x:v>
      </x:c>
      <x:c r="K2228" s="10" t="n">
        <x:f>J2228*'Assumptions'!$T$74</x:f>
        <x:v>14351.81804981036</x:v>
      </x:c>
      <x:c r="L2228" s="10" t="n">
        <x:f>K2228*'Assumptions'!$U$74</x:f>
        <x:v>430.55454149431074</x:v>
      </x:c>
      <x:c r="M2228" s="10" t="n">
        <x:f>K2228*'Assumptions'!$V$74</x:f>
        <x:v>0</x:v>
      </x:c>
      <x:c r="N2228" s="10" t="n">
        <x:f>K2228-L2228-M2228</x:f>
        <x:v>13921.26350831605</x:v>
      </x:c>
      <x:c r="O2228" s="10" t="n">
        <x:f>H2228*'Assumptions'!$P$74*'Assumptions'!$Q$74*'Assumptions'!$D$11*(1+'Assumptions'!$D$13)^(18-1)</x:f>
        <x:v>3952.8797701360136</x:v>
      </x:c>
      <x:c r="P2228" s="10" t="n">
        <x:f>H2228*'Assumptions'!$R$74*'Assumptions'!$D$11*(1+'Assumptions'!$D$13)^(18-1)</x:f>
        <x:v>0</x:v>
      </x:c>
      <x:c r="Q2228" s="10" t="n">
        <x:f>J2228*'Assumptions'!$S$74</x:f>
        <x:v>0</x:v>
      </x:c>
      <x:c r="R2228" s="10" t="n">
        <x:f>H2228*'Assumptions'!$Y$74*'Assumptions'!$Z$74*'Assumptions'!$D$11*(1+'Assumptions'!$D$13)^(18-1)</x:f>
        <x:v>5082.273990174873</x:v>
      </x:c>
      <x:c r="S2228" s="10" t="n">
        <x:f>IF(I2228=0,0,J2228*'Assumptions'!$W$74+H2228*'Assumptions'!$X$74)</x:f>
        <x:v>4367.017857534665</x:v>
      </x:c>
      <x:c r="T2228" s="10" t="n">
        <x:f>N2228*'Assumptions'!$AA$74</x:f>
        <x:v>696.0631754158026</x:v>
      </x:c>
      <x:c r="U2228" s="10" t="n">
        <x:f>'Assumptions'!$AE$74*'Assumptions'!$D$11*(1+'Assumptions'!$D$13)^(18-1)</x:f>
        <x:v>0</x:v>
      </x:c>
      <x:c r="V2228" s="10" t="n">
        <x:f>0</x:f>
        <x:v>0</x:v>
      </x:c>
      <x:c r="W2228" s="10" t="n">
        <x:f>H2228*('Assumptions'!$P$74+'Assumptions'!$Y$74)</x:f>
        <x:v>170.82551924138465</x:v>
      </x:c>
      <x:c r="X2228" s="10" t="n">
        <x:f>N2228/12*'Assumptions'!$AF$74</x:f>
        <x:v>0</x:v>
      </x:c>
      <x:c r="Y2228" s="10" t="n">
        <x:f>P2228/12</x:f>
        <x:v>0</x:v>
      </x:c>
      <x:c r="Z2228" s="10" t="n">
        <x:f>0</x:f>
        <x:v>0</x:v>
      </x:c>
      <x:c r="AA2228" s="10" t="n">
        <x:f>Z2228*'Assumptions'!$AC$74*'Assumptions'!$D$11*(1+'Assumptions'!$D$13)^(18-1)</x:f>
        <x:v>0</x:v>
      </x:c>
      <x:c r="AB2228" s="10" t="n">
        <x:f>F2228/1</x:f>
        <x:v>219.25090859134787</x:v>
      </x:c>
      <x:c r="AC2228" s="10" t="n">
        <x:f>AB2228/'Assumptions'!$AM$74</x:f>
        <x:v>4385.018171826957</x:v>
      </x:c>
      <x:c r="AD2228" s="10" t="n">
        <x:f>IF(AB2228=0,0,T2228/AB2228)</x:f>
        <x:v>3.174733367756136</x:v>
      </x:c>
      <x:c r="AE2228" s="10" t="n">
        <x:f>AA2228*'Assumptions'!$D$21</x:f>
        <x:v>0</x:v>
      </x:c>
    </x:row>
    <x:row r="2229" ht="16" customHeight="1">
      <x:c r="A2229" s="1"/>
      <x:c r="B2229" s="1"/>
      <x:c r="C2229" s="1" t="str">
        <x:v>DOT-046</x:v>
      </x:c>
      <x:c r="D2229" s="10" t="str">
        <x:v>Turbo Tax - Made Easy!</x:v>
      </x:c>
      <x:c r="E2229" s="10" t="n">
        <x:v>18</x:v>
      </x:c>
      <x:c r="F2229" s="21" t="n">
        <x:f>F2101*(1+'Assumptions'!$M$75)</x:f>
        <x:v>577.9067947115615</x:v>
      </x:c>
      <x:c r="G2229" s="21" t="n">
        <x:f>H2101*'Assumptions'!$K$75</x:f>
        <x:v>185.22653651374503</x:v>
      </x:c>
      <x:c r="H2229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2229+G2229,NA())</x:f>
        <x:v>763.1333312253065</x:v>
      </x:c>
      <x:c r="I2229" s="22" t="n">
        <x:f>'Assumptions'!$H$75*IF('Assumptions'!$O$75=1,1,'Assumptions'!$D$10)*(1+'Assumptions'!$N$75)^(18-1)</x:f>
        <x:v>149</x:v>
      </x:c>
      <x:c r="J2229" s="10" t="n">
        <x:f>H2229*I2229</x:f>
        <x:v>113706.86635257067</x:v>
      </x:c>
      <x:c r="K2229" s="10" t="n">
        <x:f>J2229*'Assumptions'!$T$75</x:f>
        <x:v>113706.86635257067</x:v>
      </x:c>
      <x:c r="L2229" s="10" t="n">
        <x:f>K2229*'Assumptions'!$U$75</x:f>
        <x:v>3411.20599057712</x:v>
      </x:c>
      <x:c r="M2229" s="10" t="n">
        <x:f>K2229*'Assumptions'!$V$75</x:f>
        <x:v>0</x:v>
      </x:c>
      <x:c r="N2229" s="10" t="n">
        <x:f>K2229-L2229-M2229</x:f>
        <x:v>110295.66036199355</x:v>
      </x:c>
      <x:c r="O2229" s="10" t="n">
        <x:f>H2229*'Assumptions'!$P$75*'Assumptions'!$Q$75*'Assumptions'!$D$11*(1+'Assumptions'!$D$13)^(18-1)</x:f>
        <x:v>6622.051378022862</x:v>
      </x:c>
      <x:c r="P2229" s="10" t="n">
        <x:f>H2229*'Assumptions'!$R$75*'Assumptions'!$D$11*(1+'Assumptions'!$D$13)^(18-1)</x:f>
        <x:v>0</x:v>
      </x:c>
      <x:c r="Q2229" s="10" t="n">
        <x:f>J2229*'Assumptions'!$S$75</x:f>
        <x:v>0</x:v>
      </x:c>
      <x:c r="R2229" s="10" t="n">
        <x:f>H2229*'Assumptions'!$Y$75*'Assumptions'!$Z$75*'Assumptions'!$D$11*(1+'Assumptions'!$D$13)^(18-1)</x:f>
        <x:v>3784.0293588702075</x:v>
      </x:c>
      <x:c r="S2229" s="10" t="n">
        <x:f>IF(I2229=0,0,J2229*'Assumptions'!$W$75+H2229*'Assumptions'!$X$75)</x:f>
        <x:v>3526.4391235921416</x:v>
      </x:c>
      <x:c r="T2229" s="10" t="n">
        <x:f>N2229*'Assumptions'!$AA$75</x:f>
        <x:v>5514.783018099678</x:v>
      </x:c>
      <x:c r="U2229" s="10" t="n">
        <x:f>'Assumptions'!$AE$75*'Assumptions'!$D$11*(1+'Assumptions'!$D$13)^(18-1)</x:f>
        <x:v>0</x:v>
      </x:c>
      <x:c r="V2229" s="10" t="n">
        <x:f>0</x:f>
        <x:v>0</x:v>
      </x:c>
      <x:c r="W2229" s="10" t="n">
        <x:f>H2229*('Assumptions'!$P$75+'Assumptions'!$Y$75)</x:f>
        <x:v>190.78333280632663</x:v>
      </x:c>
      <x:c r="X2229" s="10" t="n">
        <x:f>N2229/12*'Assumptions'!$AF$75</x:f>
        <x:v>0</x:v>
      </x:c>
      <x:c r="Y2229" s="10" t="n">
        <x:f>P2229/12</x:f>
        <x:v>0</x:v>
      </x:c>
      <x:c r="Z2229" s="10" t="n">
        <x:f>0</x:f>
        <x:v>0</x:v>
      </x:c>
      <x:c r="AA2229" s="10" t="n">
        <x:f>Z2229*'Assumptions'!$AC$75*'Assumptions'!$D$11*(1+'Assumptions'!$D$13)^(18-1)</x:f>
        <x:v>0</x:v>
      </x:c>
      <x:c r="AB2229" s="10" t="n">
        <x:f>F2229/1</x:f>
        <x:v>577.9067947115615</x:v>
      </x:c>
      <x:c r="AC2229" s="10" t="n">
        <x:f>AB2229/'Assumptions'!$AM$75</x:f>
        <x:v>11558.135894231229</x:v>
      </x:c>
      <x:c r="AD2229" s="10" t="n">
        <x:f>IF(AB2229=0,0,T2229/AB2229)</x:f>
        <x:v>9.54268589427497</x:v>
      </x:c>
      <x:c r="AE2229" s="10" t="n">
        <x:f>AA2229*'Assumptions'!$D$21</x:f>
        <x:v>0</x:v>
      </x:c>
    </x:row>
    <x:row r="2230" ht="16" customHeight="1">
      <x:c r="A2230" s="1"/>
      <x:c r="B2230" s="1"/>
      <x:c r="C2230" s="1" t="str">
        <x:v>DOT-047</x:v>
      </x:c>
      <x:c r="D2230" s="10" t="str">
        <x:v>LavaLearning adult</x:v>
      </x:c>
      <x:c r="E2230" s="10" t="n">
        <x:v>18</x:v>
      </x:c>
      <x:c r="F2230" s="21" t="n">
        <x:f>F2102*(1+'Assumptions'!$M$76)</x:f>
        <x:v>385.2711964743743</x:v>
      </x:c>
      <x:c r="G2230" s="21" t="n">
        <x:f>H2102*'Assumptions'!$K$76</x:f>
        <x:v>123.48435767485987</x:v>
      </x:c>
      <x:c r="H2230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2230+G2230,NA())</x:f>
        <x:v>508.7555541492342</x:v>
      </x:c>
      <x:c r="I2230" s="22" t="n">
        <x:f>'Assumptions'!$H$76*IF('Assumptions'!$O$76=1,1,'Assumptions'!$D$10)*(1+'Assumptions'!$N$76)^(18-1)</x:f>
        <x:v>79</x:v>
      </x:c>
      <x:c r="J2230" s="10" t="n">
        <x:f>H2230*I2230</x:f>
        <x:v>40191.6887777895</x:v>
      </x:c>
      <x:c r="K2230" s="10" t="n">
        <x:f>J2230*'Assumptions'!$T$76</x:f>
        <x:v>40191.6887777895</x:v>
      </x:c>
      <x:c r="L2230" s="10" t="n">
        <x:f>K2230*'Assumptions'!$U$76</x:f>
        <x:v>1205.750663333685</x:v>
      </x:c>
      <x:c r="M2230" s="10" t="n">
        <x:f>K2230*'Assumptions'!$V$76</x:f>
        <x:v>0</x:v>
      </x:c>
      <x:c r="N2230" s="10" t="n">
        <x:f>K2230-L2230-M2230</x:f>
        <x:v>38985.93811445582</x:v>
      </x:c>
      <x:c r="O2230" s="10" t="n">
        <x:f>H2230*'Assumptions'!$P$76*'Assumptions'!$Q$76*'Assumptions'!$D$11*(1+'Assumptions'!$D$13)^(18-1)</x:f>
        <x:v>4414.7009186734895</x:v>
      </x:c>
      <x:c r="P2230" s="10" t="n">
        <x:f>H2230*'Assumptions'!$R$76*'Assumptions'!$D$11*(1+'Assumptions'!$D$13)^(18-1)</x:f>
        <x:v>0</x:v>
      </x:c>
      <x:c r="Q2230" s="10" t="n">
        <x:f>J2230*'Assumptions'!$S$76</x:f>
        <x:v>0</x:v>
      </x:c>
      <x:c r="R2230" s="10" t="n">
        <x:f>H2230*'Assumptions'!$Y$76*'Assumptions'!$Z$76*'Assumptions'!$D$11*(1+'Assumptions'!$D$13)^(18-1)</x:f>
        <x:v>2522.6862392419944</x:v>
      </x:c>
      <x:c r="S2230" s="10" t="n">
        <x:f>IF(I2230=0,0,J2230*'Assumptions'!$W$76+H2230*'Assumptions'!$X$76)</x:f>
        <x:v>1318.1856408006659</x:v>
      </x:c>
      <x:c r="T2230" s="10" t="n">
        <x:f>N2230*'Assumptions'!$AA$76</x:f>
        <x:v>1949.296905722791</x:v>
      </x:c>
      <x:c r="U2230" s="10" t="n">
        <x:f>'Assumptions'!$AE$76*'Assumptions'!$D$11*(1+'Assumptions'!$D$13)^(18-1)</x:f>
        <x:v>0</x:v>
      </x:c>
      <x:c r="V2230" s="10" t="n">
        <x:f>0</x:f>
        <x:v>0</x:v>
      </x:c>
      <x:c r="W2230" s="10" t="n">
        <x:f>H2230*('Assumptions'!$P$76+'Assumptions'!$Y$76)</x:f>
        <x:v>127.18888853730854</x:v>
      </x:c>
      <x:c r="X2230" s="10" t="n">
        <x:f>N2230/12*'Assumptions'!$AF$76</x:f>
        <x:v>0</x:v>
      </x:c>
      <x:c r="Y2230" s="10" t="n">
        <x:f>P2230/12</x:f>
        <x:v>0</x:v>
      </x:c>
      <x:c r="Z2230" s="10" t="n">
        <x:f>0</x:f>
        <x:v>0</x:v>
      </x:c>
      <x:c r="AA2230" s="10" t="n">
        <x:f>Z2230*'Assumptions'!$AC$76*'Assumptions'!$D$11*(1+'Assumptions'!$D$13)^(18-1)</x:f>
        <x:v>0</x:v>
      </x:c>
      <x:c r="AB2230" s="10" t="n">
        <x:f>F2230/1</x:f>
        <x:v>385.2711964743743</x:v>
      </x:c>
      <x:c r="AC2230" s="10" t="n">
        <x:f>AB2230/'Assumptions'!$AM$76</x:f>
        <x:v>7705.423929487485</x:v>
      </x:c>
      <x:c r="AD2230" s="10" t="n">
        <x:f>IF(AB2230=0,0,T2230/AB2230)</x:f>
        <x:v>5.0595448701092955</x:v>
      </x:c>
      <x:c r="AE2230" s="10" t="n">
        <x:f>AA2230*'Assumptions'!$D$21</x:f>
        <x:v>0</x:v>
      </x:c>
    </x:row>
    <x:row r="2231" ht="16" customHeight="1">
      <x:c r="A2231" s="1"/>
      <x:c r="B2231" s="1"/>
      <x:c r="C2231" s="1" t="str">
        <x:v>DOT-048</x:v>
      </x:c>
      <x:c r="D2231" s="10" t="str">
        <x:v>Turbo Tax - Made Easy!</x:v>
      </x:c>
      <x:c r="E2231" s="10" t="n">
        <x:v>18</x:v>
      </x:c>
      <x:c r="F2231" s="21" t="n">
        <x:f>F2103*(1+'Assumptions'!$M$77)</x:f>
        <x:v>1155.813589423123</x:v>
      </x:c>
      <x:c r="G2231" s="21" t="n">
        <x:f>H2103*'Assumptions'!$K$77</x:f>
        <x:v>370.45307302749006</x:v>
      </x:c>
      <x:c r="H2231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2231+G2231,NA())</x:f>
        <x:v>1526.266662450613</x:v>
      </x:c>
      <x:c r="I2231" s="22" t="n">
        <x:f>'Assumptions'!$H$77*IF('Assumptions'!$O$77=1,1,'Assumptions'!$D$10)*(1+'Assumptions'!$N$77)^(18-1)</x:f>
        <x:v>26.60458696465607</x:v>
      </x:c>
      <x:c r="J2231" s="10" t="n">
        <x:f>H2231*I2231</x:f>
        <x:v>40605.69415242271</x:v>
      </x:c>
      <x:c r="K2231" s="10" t="n">
        <x:f>J2231*'Assumptions'!$T$77</x:f>
        <x:v>40605.69415242271</x:v>
      </x:c>
      <x:c r="L2231" s="10" t="n">
        <x:f>K2231*'Assumptions'!$U$77</x:f>
        <x:v>1218.170824572681</x:v>
      </x:c>
      <x:c r="M2231" s="10" t="n">
        <x:f>K2231*'Assumptions'!$V$77</x:f>
        <x:v>0</x:v>
      </x:c>
      <x:c r="N2231" s="10" t="n">
        <x:f>K2231-L2231-M2231</x:f>
        <x:v>39387.52332785002</x:v>
      </x:c>
      <x:c r="O2231" s="10" t="n">
        <x:f>H2231*'Assumptions'!$P$77*'Assumptions'!$Q$77*'Assumptions'!$D$11*(1+'Assumptions'!$D$13)^(18-1)</x:f>
        <x:v>13244.102756045724</x:v>
      </x:c>
      <x:c r="P2231" s="10" t="n">
        <x:f>H2231*'Assumptions'!$R$77*'Assumptions'!$D$11*(1+'Assumptions'!$D$13)^(18-1)</x:f>
        <x:v>0</x:v>
      </x:c>
      <x:c r="Q2231" s="10" t="n">
        <x:f>J2231*'Assumptions'!$S$77</x:f>
        <x:v>0</x:v>
      </x:c>
      <x:c r="R2231" s="10" t="n">
        <x:f>H2231*'Assumptions'!$Y$77*'Assumptions'!$Z$77*'Assumptions'!$D$11*(1+'Assumptions'!$D$13)^(18-1)</x:f>
        <x:v>7568.058717740415</x:v>
      </x:c>
      <x:c r="S2231" s="10" t="n">
        <x:f>IF(I2231=0,0,J2231*'Assumptions'!$W$77+H2231*'Assumptions'!$X$77)</x:f>
        <x:v>1635.4451291554424</x:v>
      </x:c>
      <x:c r="T2231" s="10" t="n">
        <x:f>N2231*'Assumptions'!$AA$77</x:f>
        <x:v>1969.3761663925013</x:v>
      </x:c>
      <x:c r="U2231" s="10" t="n">
        <x:f>'Assumptions'!$AE$77*'Assumptions'!$D$11*(1+'Assumptions'!$D$13)^(18-1)</x:f>
        <x:v>0</x:v>
      </x:c>
      <x:c r="V2231" s="10" t="n">
        <x:f>0</x:f>
        <x:v>0</x:v>
      </x:c>
      <x:c r="W2231" s="10" t="n">
        <x:f>H2231*('Assumptions'!$P$77+'Assumptions'!$Y$77)</x:f>
        <x:v>381.56666561265325</x:v>
      </x:c>
      <x:c r="X2231" s="10" t="n">
        <x:f>N2231/12*'Assumptions'!$AF$77</x:f>
        <x:v>0</x:v>
      </x:c>
      <x:c r="Y2231" s="10" t="n">
        <x:f>P2231/12</x:f>
        <x:v>0</x:v>
      </x:c>
      <x:c r="Z2231" s="10" t="n">
        <x:f>0</x:f>
        <x:v>0</x:v>
      </x:c>
      <x:c r="AA2231" s="10" t="n">
        <x:f>Z2231*'Assumptions'!$AC$77*'Assumptions'!$D$11*(1+'Assumptions'!$D$13)^(18-1)</x:f>
        <x:v>0</x:v>
      </x:c>
      <x:c r="AB2231" s="10" t="n">
        <x:f>F2231/1</x:f>
        <x:v>1155.813589423123</x:v>
      </x:c>
      <x:c r="AC2231" s="10" t="n">
        <x:f>AB2231/'Assumptions'!$AM$77</x:f>
        <x:v>23116.271788462458</x:v>
      </x:c>
      <x:c r="AD2231" s="10" t="n">
        <x:f>IF(AB2231=0,0,T2231/AB2231)</x:f>
        <x:v>1.703887360742518</x:v>
      </x:c>
      <x:c r="AE2231" s="10" t="n">
        <x:f>AA2231*'Assumptions'!$D$21</x:f>
        <x:v>0</x:v>
      </x:c>
    </x:row>
    <x:row r="2232" ht="16" customHeight="1">
      <x:c r="A2232" s="1"/>
      <x:c r="B2232" s="1"/>
      <x:c r="C2232" s="1" t="str">
        <x:v>DOT-049</x:v>
      </x:c>
      <x:c r="D2232" s="10" t="str">
        <x:v>Turbo Tax - Made Easy!</x:v>
      </x:c>
      <x:c r="E2232" s="10" t="n">
        <x:v>18</x:v>
      </x:c>
      <x:c r="F2232" s="21" t="n">
        <x:f>F2104*(1+'Assumptions'!$M$78)</x:f>
        <x:v>385.2711964743743</x:v>
      </x:c>
      <x:c r="G2232" s="21" t="n">
        <x:f>H2104*'Assumptions'!$K$78</x:f>
        <x:v>123.48435767194948</x:v>
      </x:c>
      <x:c r="H2232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2232+G2232,NA())</x:f>
        <x:v>508.7555541463238</x:v>
      </x:c>
      <x:c r="I2232" s="22" t="n">
        <x:f>'Assumptions'!$H$78*IF('Assumptions'!$O$78=1,1,'Assumptions'!$D$10)*(1+'Assumptions'!$N$78)^(18-1)</x:f>
        <x:v>26.60458696465607</x:v>
      </x:c>
      <x:c r="J2232" s="10" t="n">
        <x:f>H2232*I2232</x:f>
        <x:v>13535.231384037663</x:v>
      </x:c>
      <x:c r="K2232" s="10" t="n">
        <x:f>J2232*'Assumptions'!$T$78</x:f>
        <x:v>13535.231384037663</x:v>
      </x:c>
      <x:c r="L2232" s="10" t="n">
        <x:f>K2232*'Assumptions'!$U$78</x:f>
        <x:v>406.0569415211299</x:v>
      </x:c>
      <x:c r="M2232" s="10" t="n">
        <x:f>K2232*'Assumptions'!$V$78</x:f>
        <x:v>0</x:v>
      </x:c>
      <x:c r="N2232" s="10" t="n">
        <x:f>K2232-L2232-M2232</x:f>
        <x:v>13129.174442516533</x:v>
      </x:c>
      <x:c r="O2232" s="10" t="n">
        <x:f>H2232*'Assumptions'!$P$78*'Assumptions'!$Q$78*'Assumptions'!$D$11*(1+'Assumptions'!$D$13)^(18-1)</x:f>
        <x:v>4414.700918648235</x:v>
      </x:c>
      <x:c r="P2232" s="10" t="n">
        <x:f>H2232*'Assumptions'!$R$78*'Assumptions'!$D$11*(1+'Assumptions'!$D$13)^(18-1)</x:f>
        <x:v>0</x:v>
      </x:c>
      <x:c r="Q2232" s="10" t="n">
        <x:f>J2232*'Assumptions'!$S$78</x:f>
        <x:v>0</x:v>
      </x:c>
      <x:c r="R2232" s="10" t="n">
        <x:f>H2232*'Assumptions'!$Y$78*'Assumptions'!$Z$78*'Assumptions'!$D$11*(1+'Assumptions'!$D$13)^(18-1)</x:f>
        <x:v>2522.686239227563</x:v>
      </x:c>
      <x:c r="S2232" s="10" t="n">
        <x:f>IF(I2232=0,0,J2232*'Assumptions'!$W$78+H2232*'Assumptions'!$X$78)</x:f>
        <x:v>545.1483763809894</x:v>
      </x:c>
      <x:c r="T2232" s="10" t="n">
        <x:f>N2232*'Assumptions'!$AA$78</x:f>
        <x:v>656.4587221258266</x:v>
      </x:c>
      <x:c r="U2232" s="10" t="n">
        <x:f>'Assumptions'!$AE$78*'Assumptions'!$D$11*(1+'Assumptions'!$D$13)^(18-1)</x:f>
        <x:v>0</x:v>
      </x:c>
      <x:c r="V2232" s="10" t="n">
        <x:f>0</x:f>
        <x:v>0</x:v>
      </x:c>
      <x:c r="W2232" s="10" t="n">
        <x:f>H2232*('Assumptions'!$P$78+'Assumptions'!$Y$78)</x:f>
        <x:v>127.18888853658095</x:v>
      </x:c>
      <x:c r="X2232" s="10" t="n">
        <x:f>N2232/12*'Assumptions'!$AF$78</x:f>
        <x:v>0</x:v>
      </x:c>
      <x:c r="Y2232" s="10" t="n">
        <x:f>P2232/12</x:f>
        <x:v>0</x:v>
      </x:c>
      <x:c r="Z2232" s="10" t="n">
        <x:f>0</x:f>
        <x:v>0</x:v>
      </x:c>
      <x:c r="AA2232" s="10" t="n">
        <x:f>Z2232*'Assumptions'!$AC$78*'Assumptions'!$D$11*(1+'Assumptions'!$D$13)^(18-1)</x:f>
        <x:v>0</x:v>
      </x:c>
      <x:c r="AB2232" s="10" t="n">
        <x:f>F2232/1</x:f>
        <x:v>385.2711964743743</x:v>
      </x:c>
      <x:c r="AC2232" s="10" t="n">
        <x:f>AB2232/'Assumptions'!$AM$78</x:f>
        <x:v>7705.423929487485</x:v>
      </x:c>
      <x:c r="AD2232" s="10" t="n">
        <x:f>IF(AB2232=0,0,T2232/AB2232)</x:f>
        <x:v>1.7038873607295217</x:v>
      </x:c>
      <x:c r="AE2232" s="10" t="n">
        <x:f>AA2232*'Assumptions'!$D$21</x:f>
        <x:v>0</x:v>
      </x:c>
    </x:row>
    <x:row r="2233" ht="16" customHeight="1">
      <x:c r="A2233" s="1"/>
      <x:c r="B2233" s="1"/>
      <x:c r="C2233" s="1" t="str">
        <x:v>DOT-050</x:v>
      </x:c>
      <x:c r="D2233" s="10" t="str">
        <x:v>LavaLearning adult</x:v>
      </x:c>
      <x:c r="E2233" s="10" t="n">
        <x:v>18</x:v>
      </x:c>
      <x:c r="F2233" s="21" t="n">
        <x:f>F2105*(1+'Assumptions'!$M$79)</x:f>
        <x:v>1155.813589423123</x:v>
      </x:c>
      <x:c r="G2233" s="21" t="n">
        <x:f>H2105*'Assumptions'!$K$79</x:f>
        <x:v>370.4530730245797</x:v>
      </x:c>
      <x:c r="H2233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2233+G2233,NA())</x:f>
        <x:v>1526.2666624477026</x:v>
      </x:c>
      <x:c r="I2233" s="22" t="n">
        <x:f>'Assumptions'!$H$79*IF('Assumptions'!$O$79=1,1,'Assumptions'!$D$10)*(1+'Assumptions'!$N$79)^(18-1)</x:f>
        <x:v>26.60458696465607</x:v>
      </x:c>
      <x:c r="J2233" s="10" t="n">
        <x:f>H2233*I2233</x:f>
        <x:v>40605.69415234528</x:v>
      </x:c>
      <x:c r="K2233" s="10" t="n">
        <x:f>J2233*'Assumptions'!$T$79</x:f>
        <x:v>40605.69415234528</x:v>
      </x:c>
      <x:c r="L2233" s="10" t="n">
        <x:f>K2233*'Assumptions'!$U$79</x:f>
        <x:v>1218.1708245703583</x:v>
      </x:c>
      <x:c r="M2233" s="10" t="n">
        <x:f>K2233*'Assumptions'!$V$79</x:f>
        <x:v>0</x:v>
      </x:c>
      <x:c r="N2233" s="10" t="n">
        <x:f>K2233-L2233-M2233</x:f>
        <x:v>39387.52332777492</x:v>
      </x:c>
      <x:c r="O2233" s="10" t="n">
        <x:f>H2233*'Assumptions'!$P$79*'Assumptions'!$Q$79*'Assumptions'!$D$11*(1+'Assumptions'!$D$13)^(18-1)</x:f>
        <x:v>13244.10275602047</x:v>
      </x:c>
      <x:c r="P2233" s="10" t="n">
        <x:f>H2233*'Assumptions'!$R$79*'Assumptions'!$D$11*(1+'Assumptions'!$D$13)^(18-1)</x:f>
        <x:v>0</x:v>
      </x:c>
      <x:c r="Q2233" s="10" t="n">
        <x:f>J2233*'Assumptions'!$S$79</x:f>
        <x:v>0</x:v>
      </x:c>
      <x:c r="R2233" s="10" t="n">
        <x:f>H2233*'Assumptions'!$Y$79*'Assumptions'!$Z$79*'Assumptions'!$D$11*(1+'Assumptions'!$D$13)^(18-1)</x:f>
        <x:v>7568.058717725983</x:v>
      </x:c>
      <x:c r="S2233" s="10" t="n">
        <x:f>IF(I2233=0,0,J2233*'Assumptions'!$W$79+H2233*'Assumptions'!$X$79)</x:f>
        <x:v>1635.4451291523237</x:v>
      </x:c>
      <x:c r="T2233" s="10" t="n">
        <x:f>N2233*'Assumptions'!$AA$79</x:f>
        <x:v>1969.3761663887462</x:v>
      </x:c>
      <x:c r="U2233" s="10" t="n">
        <x:f>'Assumptions'!$AE$79*'Assumptions'!$D$11*(1+'Assumptions'!$D$13)^(18-1)</x:f>
        <x:v>0</x:v>
      </x:c>
      <x:c r="V2233" s="10" t="n">
        <x:f>0</x:f>
        <x:v>0</x:v>
      </x:c>
      <x:c r="W2233" s="10" t="n">
        <x:f>H2233*('Assumptions'!$P$79+'Assumptions'!$Y$79)</x:f>
        <x:v>381.56666561192566</x:v>
      </x:c>
      <x:c r="X2233" s="10" t="n">
        <x:f>N2233/12*'Assumptions'!$AF$79</x:f>
        <x:v>0</x:v>
      </x:c>
      <x:c r="Y2233" s="10" t="n">
        <x:f>P2233/12</x:f>
        <x:v>0</x:v>
      </x:c>
      <x:c r="Z2233" s="10" t="n">
        <x:f>0</x:f>
        <x:v>0</x:v>
      </x:c>
      <x:c r="AA2233" s="10" t="n">
        <x:f>Z2233*'Assumptions'!$AC$79*'Assumptions'!$D$11*(1+'Assumptions'!$D$13)^(18-1)</x:f>
        <x:v>0</x:v>
      </x:c>
      <x:c r="AB2233" s="10" t="n">
        <x:f>F2233/1</x:f>
        <x:v>1155.813589423123</x:v>
      </x:c>
      <x:c r="AC2233" s="10" t="n">
        <x:f>AB2233/'Assumptions'!$AM$79</x:f>
        <x:v>23116.271788462458</x:v>
      </x:c>
      <x:c r="AD2233" s="10" t="n">
        <x:f>IF(AB2233=0,0,T2233/AB2233)</x:f>
        <x:v>1.7038873607392693</x:v>
      </x:c>
      <x:c r="AE2233" s="10" t="n">
        <x:f>AA2233*'Assumptions'!$D$21</x:f>
        <x:v>0</x:v>
      </x:c>
    </x:row>
    <x:row r="2234" ht="16" customHeight="1">
      <x:c r="A2234" s="1"/>
      <x:c r="B2234" s="1"/>
      <x:c r="C2234" s="1" t="str">
        <x:v>DOT-051</x:v>
      </x:c>
      <x:c r="D2234" s="10" t="str">
        <x:v>LavaLearning adult</x:v>
      </x:c>
      <x:c r="E2234" s="10" t="n">
        <x:v>18</x:v>
      </x:c>
      <x:c r="F2234" s="21" t="n">
        <x:f>F2106*(1+'Assumptions'!$M$80)</x:f>
        <x:v>231.16271788462458</x:v>
      </x:c>
      <x:c r="G2234" s="21" t="n">
        <x:f>H2106*'Assumptions'!$K$80</x:f>
        <x:v>74.0906146031697</x:v>
      </x:c>
      <x:c r="H2234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2234+G2234,NA())</x:f>
        <x:v>305.2533324877943</x:v>
      </x:c>
      <x:c r="I2234" s="22" t="n">
        <x:f>'Assumptions'!$H$80*IF('Assumptions'!$O$80=1,1,'Assumptions'!$D$10)*(1+'Assumptions'!$N$80)^(18-1)</x:f>
        <x:v>40.60700115658032</x:v>
      </x:c>
      <x:c r="J2234" s="10" t="n">
        <x:f>H2234*I2234</x:f>
        <x:v>12395.42242538186</x:v>
      </x:c>
      <x:c r="K2234" s="10" t="n">
        <x:f>J2234*'Assumptions'!$T$80</x:f>
        <x:v>12395.42242538186</x:v>
      </x:c>
      <x:c r="L2234" s="10" t="n">
        <x:f>K2234*'Assumptions'!$U$80</x:f>
        <x:v>371.86267276145577</x:v>
      </x:c>
      <x:c r="M2234" s="10" t="n">
        <x:f>K2234*'Assumptions'!$V$80</x:f>
        <x:v>0</x:v>
      </x:c>
      <x:c r="N2234" s="10" t="n">
        <x:f>K2234-L2234-M2234</x:f>
        <x:v>12023.559752620404</x:v>
      </x:c>
      <x:c r="O2234" s="10" t="n">
        <x:f>H2234*'Assumptions'!$P$80*'Assumptions'!$Q$80*'Assumptions'!$D$11*(1+'Assumptions'!$D$13)^(18-1)</x:f>
        <x:v>2648.820551188941</x:v>
      </x:c>
      <x:c r="P2234" s="10" t="n">
        <x:f>H2234*'Assumptions'!$R$80*'Assumptions'!$D$11*(1+'Assumptions'!$D$13)^(18-1)</x:f>
        <x:v>0</x:v>
      </x:c>
      <x:c r="Q2234" s="10" t="n">
        <x:f>J2234*'Assumptions'!$S$80</x:f>
        <x:v>0</x:v>
      </x:c>
      <x:c r="R2234" s="10" t="n">
        <x:f>H2234*'Assumptions'!$Y$80*'Assumptions'!$Z$80*'Assumptions'!$D$11*(1+'Assumptions'!$D$13)^(18-1)</x:f>
        <x:v>1513.611743536538</x:v>
      </x:c>
      <x:c r="S2234" s="10" t="n">
        <x:f>IF(I2234=0,0,J2234*'Assumptions'!$W$80+H2234*'Assumptions'!$X$80)</x:f>
        <x:v>451.0432500824122</x:v>
      </x:c>
      <x:c r="T2234" s="10" t="n">
        <x:f>N2234*'Assumptions'!$AA$80</x:f>
        <x:v>601.1779876310202</x:v>
      </x:c>
      <x:c r="U2234" s="10" t="n">
        <x:f>'Assumptions'!$AE$80*'Assumptions'!$D$11*(1+'Assumptions'!$D$13)^(18-1)</x:f>
        <x:v>0</x:v>
      </x:c>
      <x:c r="V2234" s="10" t="n">
        <x:f>0</x:f>
        <x:v>0</x:v>
      </x:c>
      <x:c r="W2234" s="10" t="n">
        <x:f>H2234*('Assumptions'!$P$80+'Assumptions'!$Y$80)</x:f>
        <x:v>76.31333312194857</x:v>
      </x:c>
      <x:c r="X2234" s="10" t="n">
        <x:f>N2234/12*'Assumptions'!$AF$80</x:f>
        <x:v>0</x:v>
      </x:c>
      <x:c r="Y2234" s="10" t="n">
        <x:f>P2234/12</x:f>
        <x:v>0</x:v>
      </x:c>
      <x:c r="Z2234" s="10" t="n">
        <x:f>0</x:f>
        <x:v>0</x:v>
      </x:c>
      <x:c r="AA2234" s="10" t="n">
        <x:f>Z2234*'Assumptions'!$AC$80*'Assumptions'!$D$11*(1+'Assumptions'!$D$13)^(18-1)</x:f>
        <x:v>0</x:v>
      </x:c>
      <x:c r="AB2234" s="10" t="n">
        <x:f>F2234/1</x:f>
        <x:v>231.16271788462458</x:v>
      </x:c>
      <x:c r="AC2234" s="10" t="n">
        <x:f>AB2234/'Assumptions'!$AM$80</x:f>
        <x:v>4623.254357692492</x:v>
      </x:c>
      <x:c r="AD2234" s="10" t="n">
        <x:f>IF(AB2234=0,0,T2234/AB2234)</x:f>
        <x:v>2.600670182166112</x:v>
      </x:c>
      <x:c r="AE2234" s="10" t="n">
        <x:f>AA2234*'Assumptions'!$D$21</x:f>
        <x:v>0</x:v>
      </x:c>
    </x:row>
    <x:row r="2235" ht="16" customHeight="1">
      <x:c r="A2235" s="1"/>
      <x:c r="B2235" s="1"/>
      <x:c r="C2235" s="1" t="str">
        <x:v>DOT-052</x:v>
      </x:c>
      <x:c r="D2235" s="10" t="str">
        <x:v>LavaLearning Model Life</x:v>
      </x:c>
      <x:c r="E2235" s="10" t="n">
        <x:v>18</x:v>
      </x:c>
      <x:c r="F2235" s="21" t="n">
        <x:f>F2107*(1+'Assumptions'!$M$81)</x:f>
        <x:v>0</x:v>
      </x:c>
      <x:c r="G2235" s="21" t="n">
        <x:f>H2107*'Assumptions'!$K$81</x:f>
        <x:v>0</x:v>
      </x:c>
      <x:c r="H2235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2235+G2235,NA())</x:f>
        <x:v>0</x:v>
      </x:c>
      <x:c r="I2235" s="22" t="n">
        <x:f>'Assumptions'!$H$81*IF('Assumptions'!$O$81=1,1,'Assumptions'!$D$10)*(1+'Assumptions'!$N$81)^(18-1)</x:f>
        <x:v>0</x:v>
      </x:c>
      <x:c r="J2235" s="10" t="n">
        <x:f>H2235*I2235</x:f>
        <x:v>0</x:v>
      </x:c>
      <x:c r="K2235" s="10" t="n">
        <x:f>J2235*'Assumptions'!$T$81</x:f>
        <x:v>0</x:v>
      </x:c>
      <x:c r="L2235" s="10" t="n">
        <x:f>K2235*'Assumptions'!$U$81</x:f>
        <x:v>0</x:v>
      </x:c>
      <x:c r="M2235" s="10" t="n">
        <x:f>K2235*'Assumptions'!$V$81</x:f>
        <x:v>0</x:v>
      </x:c>
      <x:c r="N2235" s="10" t="n">
        <x:f>K2235-L2235-M2235</x:f>
        <x:v>0</x:v>
      </x:c>
      <x:c r="O2235" s="10" t="n">
        <x:f>H2235*'Assumptions'!$P$81*'Assumptions'!$Q$81*'Assumptions'!$D$11*(1+'Assumptions'!$D$13)^(18-1)</x:f>
        <x:v>0</x:v>
      </x:c>
      <x:c r="P2235" s="10" t="n">
        <x:f>H2235*'Assumptions'!$R$81*'Assumptions'!$D$11*(1+'Assumptions'!$D$13)^(18-1)</x:f>
        <x:v>0</x:v>
      </x:c>
      <x:c r="Q2235" s="10" t="n">
        <x:f>J2235*'Assumptions'!$S$81</x:f>
        <x:v>0</x:v>
      </x:c>
      <x:c r="R2235" s="10" t="n">
        <x:f>H2235*'Assumptions'!$Y$81*'Assumptions'!$Z$81*'Assumptions'!$D$11*(1+'Assumptions'!$D$13)^(18-1)</x:f>
        <x:v>0</x:v>
      </x:c>
      <x:c r="S2235" s="10" t="n">
        <x:f>IF(I2235=0,0,J2235*'Assumptions'!$W$81+H2235*'Assumptions'!$X$81)</x:f>
        <x:v>0</x:v>
      </x:c>
      <x:c r="T2235" s="10" t="n">
        <x:f>N2235*'Assumptions'!$AA$81</x:f>
        <x:v>0</x:v>
      </x:c>
      <x:c r="U2235" s="10" t="n">
        <x:f>'Assumptions'!$AE$81*'Assumptions'!$D$11*(1+'Assumptions'!$D$13)^(18-1)</x:f>
        <x:v>0</x:v>
      </x:c>
      <x:c r="V2235" s="10" t="n">
        <x:f>0</x:f>
        <x:v>0</x:v>
      </x:c>
      <x:c r="W2235" s="10" t="n">
        <x:f>H2235*('Assumptions'!$P$81+'Assumptions'!$Y$81)</x:f>
        <x:v>0</x:v>
      </x:c>
      <x:c r="X2235" s="10" t="n">
        <x:f>N2235/12*'Assumptions'!$AF$81</x:f>
        <x:v>0</x:v>
      </x:c>
      <x:c r="Y2235" s="10" t="n">
        <x:f>P2235/12</x:f>
        <x:v>0</x:v>
      </x:c>
      <x:c r="Z2235" s="10" t="n">
        <x:f>0</x:f>
        <x:v>0</x:v>
      </x:c>
      <x:c r="AA2235" s="10" t="n">
        <x:f>Z2235*'Assumptions'!$AC$81*'Assumptions'!$D$11*(1+'Assumptions'!$D$13)^(18-1)</x:f>
        <x:v>0</x:v>
      </x:c>
      <x:c r="AB2235" s="10" t="n">
        <x:f>F2235/1</x:f>
        <x:v>0</x:v>
      </x:c>
      <x:c r="AC2235" s="10" t="n">
        <x:f>AB2235/'Assumptions'!$AM$81</x:f>
        <x:v>0</x:v>
      </x:c>
      <x:c r="AD2235" s="10" t="n">
        <x:f>IF(AB2235=0,0,T2235/AB2235)</x:f>
        <x:v>0</x:v>
      </x:c>
      <x:c r="AE2235" s="10" t="n">
        <x:f>AA2235*'Assumptions'!$D$21</x:f>
        <x:v>0</x:v>
      </x:c>
    </x:row>
    <x:row r="2236" ht="16" customHeight="1">
      <x:c r="A2236" s="1"/>
      <x:c r="B2236" s="1"/>
      <x:c r="C2236" s="1" t="str">
        <x:v>DOT-053</x:v>
      </x:c>
      <x:c r="D2236" s="10" t="str">
        <x:v>LavaLearning Kids</x:v>
      </x:c>
      <x:c r="E2236" s="10" t="n">
        <x:v>18</x:v>
      </x:c>
      <x:c r="F2236" s="21" t="n">
        <x:f>F2108*(1+'Assumptions'!$M$82)</x:f>
        <x:v>1155.813589423123</x:v>
      </x:c>
      <x:c r="G2236" s="21" t="n">
        <x:f>H2108*'Assumptions'!$K$82</x:f>
        <x:v>370.45307301584853</x:v>
      </x:c>
      <x:c r="H2236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2236+G2236,NA())</x:f>
        <x:v>1526.2666624389715</x:v>
      </x:c>
      <x:c r="I2236" s="22" t="n">
        <x:f>'Assumptions'!$H$82*IF('Assumptions'!$O$82=1,1,'Assumptions'!$D$10)*(1+'Assumptions'!$N$82)^(18-1)</x:f>
        <x:v>26.60458696465607</x:v>
      </x:c>
      <x:c r="J2236" s="10" t="n">
        <x:f>H2236*I2236</x:f>
        <x:v>40605.69415211299</x:v>
      </x:c>
      <x:c r="K2236" s="10" t="n">
        <x:f>J2236*'Assumptions'!$T$82</x:f>
        <x:v>40605.69415211299</x:v>
      </x:c>
      <x:c r="L2236" s="10" t="n">
        <x:f>K2236*'Assumptions'!$U$82</x:f>
        <x:v>1218.1708245633897</x:v>
      </x:c>
      <x:c r="M2236" s="10" t="n">
        <x:f>K2236*'Assumptions'!$V$82</x:f>
        <x:v>0</x:v>
      </x:c>
      <x:c r="N2236" s="10" t="n">
        <x:f>K2236-L2236-M2236</x:f>
        <x:v>39387.5233275496</x:v>
      </x:c>
      <x:c r="O2236" s="10" t="n">
        <x:f>H2236*'Assumptions'!$P$82*'Assumptions'!$Q$82*'Assumptions'!$D$11*(1+'Assumptions'!$D$13)^(18-1)</x:f>
        <x:v>13244.102755944705</x:v>
      </x:c>
      <x:c r="P2236" s="10" t="n">
        <x:f>H2236*'Assumptions'!$R$82*'Assumptions'!$D$11*(1+'Assumptions'!$D$13)^(18-1)</x:f>
        <x:v>0</x:v>
      </x:c>
      <x:c r="Q2236" s="10" t="n">
        <x:f>J2236*'Assumptions'!$S$82</x:f>
        <x:v>0</x:v>
      </x:c>
      <x:c r="R2236" s="10" t="n">
        <x:f>H2236*'Assumptions'!$Y$82*'Assumptions'!$Z$82*'Assumptions'!$D$11*(1+'Assumptions'!$D$13)^(18-1)</x:f>
        <x:v>7568.058717682689</x:v>
      </x:c>
      <x:c r="S2236" s="10" t="n">
        <x:f>IF(I2236=0,0,J2236*'Assumptions'!$W$82+H2236*'Assumptions'!$X$82)</x:f>
        <x:v>1635.4451291429682</x:v>
      </x:c>
      <x:c r="T2236" s="10" t="n">
        <x:f>N2236*'Assumptions'!$AA$82</x:f>
        <x:v>1969.37616637748</x:v>
      </x:c>
      <x:c r="U2236" s="10" t="n">
        <x:f>'Assumptions'!$AE$82*'Assumptions'!$D$11*(1+'Assumptions'!$D$13)^(18-1)</x:f>
        <x:v>396.68343174522045</x:v>
      </x:c>
      <x:c r="V2236" s="10" t="n">
        <x:f>0</x:f>
        <x:v>0</x:v>
      </x:c>
      <x:c r="W2236" s="10" t="n">
        <x:f>H2236*('Assumptions'!$P$82+'Assumptions'!$Y$82)</x:f>
        <x:v>381.56666560974287</x:v>
      </x:c>
      <x:c r="X2236" s="10" t="n">
        <x:f>N2236/12*'Assumptions'!$AF$82</x:f>
        <x:v>0</x:v>
      </x:c>
      <x:c r="Y2236" s="10" t="n">
        <x:f>P2236/12</x:f>
        <x:v>0</x:v>
      </x:c>
      <x:c r="Z2236" s="10" t="n">
        <x:f>0</x:f>
        <x:v>0</x:v>
      </x:c>
      <x:c r="AA2236" s="10" t="n">
        <x:f>Z2236*'Assumptions'!$AC$82*'Assumptions'!$D$11*(1+'Assumptions'!$D$13)^(18-1)</x:f>
        <x:v>0</x:v>
      </x:c>
      <x:c r="AB2236" s="10" t="n">
        <x:f>F2236/1</x:f>
        <x:v>1155.813589423123</x:v>
      </x:c>
      <x:c r="AC2236" s="10" t="n">
        <x:f>AB2236/'Assumptions'!$AM$82</x:f>
        <x:v>23116.271788462458</x:v>
      </x:c>
      <x:c r="AD2236" s="10" t="n">
        <x:f>IF(AB2236=0,0,T2236/AB2236)</x:f>
        <x:v>1.7038873607295217</x:v>
      </x:c>
      <x:c r="AE2236" s="10" t="n">
        <x:f>AA2236*'Assumptions'!$D$21</x:f>
        <x:v>0</x:v>
      </x:c>
    </x:row>
    <x:row r="2237" ht="16" customHeight="1">
      <x:c r="A2237" s="1"/>
      <x:c r="B2237" s="1"/>
      <x:c r="C2237" s="1" t="str">
        <x:v>DOT-054</x:v>
      </x:c>
      <x:c r="D2237" s="10" t="str">
        <x:v>VraiSkill adult</x:v>
      </x:c>
      <x:c r="E2237" s="10" t="n">
        <x:v>18</x:v>
      </x:c>
      <x:c r="F2237" s="21" t="n">
        <x:f>F2109*(1+'Assumptions'!$M$83)</x:f>
        <x:v>2311.627178846246</x:v>
      </x:c>
      <x:c r="G2237" s="21" t="n">
        <x:f>H2109*'Assumptions'!$K$83</x:f>
        <x:v>740.9061460491594</x:v>
      </x:c>
      <x:c r="H2237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2237+G2237,NA())</x:f>
        <x:v>3052.5333248954053</x:v>
      </x:c>
      <x:c r="I2237" s="22" t="n">
        <x:f>'Assumptions'!$H$83*IF('Assumptions'!$O$83=1,1,'Assumptions'!$D$10)*(1+'Assumptions'!$N$83)^(18-1)</x:f>
        <x:v>13.988411777732324</x:v>
      </x:c>
      <x:c r="J2237" s="10" t="n">
        <x:f>H2237*I2237</x:f>
        <x:v>42700.0931138873</x:v>
      </x:c>
      <x:c r="K2237" s="10" t="n">
        <x:f>J2237*'Assumptions'!$T$83</x:f>
        <x:v>42700.0931138873</x:v>
      </x:c>
      <x:c r="L2237" s="10" t="n">
        <x:f>K2237*'Assumptions'!$U$83</x:f>
        <x:v>1281.002793416619</x:v>
      </x:c>
      <x:c r="M2237" s="10" t="n">
        <x:f>K2237*'Assumptions'!$V$83</x:f>
        <x:v>0</x:v>
      </x:c>
      <x:c r="N2237" s="10" t="n">
        <x:f>K2237-L2237-M2237</x:f>
        <x:v>41419.09032047068</x:v>
      </x:c>
      <x:c r="O2237" s="10" t="n">
        <x:f>H2237*'Assumptions'!$P$83*'Assumptions'!$Q$83*'Assumptions'!$D$11*(1+'Assumptions'!$D$13)^(18-1)</x:f>
        <x:v>26488.20551204094</x:v>
      </x:c>
      <x:c r="P2237" s="10" t="n">
        <x:f>H2237*'Assumptions'!$R$83*'Assumptions'!$D$11*(1+'Assumptions'!$D$13)^(18-1)</x:f>
        <x:v>0</x:v>
      </x:c>
      <x:c r="Q2237" s="10" t="n">
        <x:f>J2237*'Assumptions'!$S$83</x:f>
        <x:v>0</x:v>
      </x:c>
      <x:c r="R2237" s="10" t="n">
        <x:f>H2237*'Assumptions'!$Y$83*'Assumptions'!$Z$83*'Assumptions'!$D$11*(1+'Assumptions'!$D$13)^(18-1)</x:f>
        <x:v>15136.117435451966</x:v>
      </x:c>
      <x:c r="S2237" s="10" t="n">
        <x:f>IF(I2237=0,0,J2237*'Assumptions'!$W$83+H2237*'Assumptions'!$X$83)</x:f>
        <x:v>2154.062697771353</x:v>
      </x:c>
      <x:c r="T2237" s="10" t="n">
        <x:f>N2237*'Assumptions'!$AA$83</x:f>
        <x:v>2070.954516023534</x:v>
      </x:c>
      <x:c r="U2237" s="10" t="n">
        <x:f>'Assumptions'!$AE$83*'Assumptions'!$D$11*(1+'Assumptions'!$D$13)^(18-1)</x:f>
        <x:v>396.68343174522045</x:v>
      </x:c>
      <x:c r="V2237" s="10" t="n">
        <x:f>0</x:f>
        <x:v>0</x:v>
      </x:c>
      <x:c r="W2237" s="10" t="n">
        <x:f>H2237*('Assumptions'!$P$83+'Assumptions'!$Y$83)</x:f>
        <x:v>763.1333312238513</x:v>
      </x:c>
      <x:c r="X2237" s="10" t="n">
        <x:f>N2237/12*'Assumptions'!$AF$83</x:f>
        <x:v>0</x:v>
      </x:c>
      <x:c r="Y2237" s="10" t="n">
        <x:f>P2237/12</x:f>
        <x:v>0</x:v>
      </x:c>
      <x:c r="Z2237" s="10" t="n">
        <x:f>0</x:f>
        <x:v>0</x:v>
      </x:c>
      <x:c r="AA2237" s="10" t="n">
        <x:f>Z2237*'Assumptions'!$AC$83*'Assumptions'!$D$11*(1+'Assumptions'!$D$13)^(18-1)</x:f>
        <x:v>0</x:v>
      </x:c>
      <x:c r="AB2237" s="10" t="n">
        <x:f>F2237/1</x:f>
        <x:v>2311.627178846246</x:v>
      </x:c>
      <x:c r="AC2237" s="10" t="n">
        <x:f>AB2237/'Assumptions'!$AM$83</x:f>
        <x:v>46232.543576924916</x:v>
      </x:c>
      <x:c r="AD2237" s="10" t="n">
        <x:f>IF(AB2237=0,0,T2237/AB2237)</x:f>
        <x:v>0.8958860386202787</x:v>
      </x:c>
      <x:c r="AE2237" s="10" t="n">
        <x:f>AA2237*'Assumptions'!$D$21</x:f>
        <x:v>0</x:v>
      </x:c>
    </x:row>
    <x:row r="2238" ht="16" customHeight="1">
      <x:c r="A2238" s="1"/>
      <x:c r="B2238" s="1"/>
      <x:c r="C2238" s="1" t="str">
        <x:v>DOT-055</x:v>
      </x:c>
      <x:c r="D2238" s="10" t="str">
        <x:v>VraiSkill adult</x:v>
      </x:c>
      <x:c r="E2238" s="10" t="n">
        <x:v>18</x:v>
      </x:c>
      <x:c r="F2238" s="21" t="n">
        <x:f>F2110*(1+'Assumptions'!$M$84)</x:f>
        <x:v>770.5423929487486</x:v>
      </x:c>
      <x:c r="G2238" s="21" t="n">
        <x:f>H2110*'Assumptions'!$K$84</x:f>
        <x:v>246.96871534971973</x:v>
      </x:c>
      <x:c r="H2238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2238+G2238,NA())</x:f>
        <x:v>1017.5111082984683</x:v>
      </x:c>
      <x:c r="I2238" s="22" t="n">
        <x:f>'Assumptions'!$H$84*IF('Assumptions'!$O$84=1,1,'Assumptions'!$D$10)*(1+'Assumptions'!$N$84)^(18-1)</x:f>
        <x:v>33.605794060618194</x:v>
      </x:c>
      <x:c r="J2238" s="10" t="n">
        <x:f>H2238*I2238</x:f>
        <x:v>34194.2687598697</x:v>
      </x:c>
      <x:c r="K2238" s="10" t="n">
        <x:f>J2238*'Assumptions'!$T$84</x:f>
        <x:v>34194.2687598697</x:v>
      </x:c>
      <x:c r="L2238" s="10" t="n">
        <x:f>K2238*'Assumptions'!$U$84</x:f>
        <x:v>1025.828062796091</x:v>
      </x:c>
      <x:c r="M2238" s="10" t="n">
        <x:f>K2238*'Assumptions'!$V$84</x:f>
        <x:v>0</x:v>
      </x:c>
      <x:c r="N2238" s="10" t="n">
        <x:f>K2238-L2238-M2238</x:f>
        <x:v>33168.44069707361</x:v>
      </x:c>
      <x:c r="O2238" s="10" t="n">
        <x:f>H2238*'Assumptions'!$P$84*'Assumptions'!$Q$84*'Assumptions'!$D$11*(1+'Assumptions'!$D$13)^(18-1)</x:f>
        <x:v>8829.401837346979</x:v>
      </x:c>
      <x:c r="P2238" s="10" t="n">
        <x:f>H2238*'Assumptions'!$R$84*'Assumptions'!$D$11*(1+'Assumptions'!$D$13)^(18-1)</x:f>
        <x:v>0</x:v>
      </x:c>
      <x:c r="Q2238" s="10" t="n">
        <x:f>J2238*'Assumptions'!$S$84</x:f>
        <x:v>0</x:v>
      </x:c>
      <x:c r="R2238" s="10" t="n">
        <x:f>H2238*'Assumptions'!$Y$84*'Assumptions'!$Z$84*'Assumptions'!$D$11*(1+'Assumptions'!$D$13)^(18-1)</x:f>
        <x:v>5045.372478483989</x:v>
      </x:c>
      <x:c r="S2238" s="10" t="n">
        <x:f>IF(I2238=0,0,J2238*'Assumptions'!$W$84+H2238*'Assumptions'!$X$84)</x:f>
        <x:v>1296.887126525762</x:v>
      </x:c>
      <x:c r="T2238" s="10" t="n">
        <x:f>N2238*'Assumptions'!$AA$84</x:f>
        <x:v>1658.4220348536805</x:v>
      </x:c>
      <x:c r="U2238" s="10" t="n">
        <x:f>'Assumptions'!$AE$84*'Assumptions'!$D$11*(1+'Assumptions'!$D$13)^(18-1)</x:f>
        <x:v>0</x:v>
      </x:c>
      <x:c r="V2238" s="10" t="n">
        <x:f>0</x:f>
        <x:v>0</x:v>
      </x:c>
      <x:c r="W2238" s="10" t="n">
        <x:f>H2238*('Assumptions'!$P$84+'Assumptions'!$Y$84)</x:f>
        <x:v>254.3777770746171</x:v>
      </x:c>
      <x:c r="X2238" s="10" t="n">
        <x:f>N2238/12*'Assumptions'!$AF$84</x:f>
        <x:v>0</x:v>
      </x:c>
      <x:c r="Y2238" s="10" t="n">
        <x:f>P2238/12</x:f>
        <x:v>0</x:v>
      </x:c>
      <x:c r="Z2238" s="10" t="n">
        <x:f>0</x:f>
        <x:v>0</x:v>
      </x:c>
      <x:c r="AA2238" s="10" t="n">
        <x:f>Z2238*'Assumptions'!$AC$84*'Assumptions'!$D$11*(1+'Assumptions'!$D$13)^(18-1)</x:f>
        <x:v>0</x:v>
      </x:c>
      <x:c r="AB2238" s="10" t="n">
        <x:f>F2238/1</x:f>
        <x:v>770.5423929487486</x:v>
      </x:c>
      <x:c r="AC2238" s="10" t="n">
        <x:f>AB2238/'Assumptions'!$AM$84</x:f>
        <x:v>15410.84785897497</x:v>
      </x:c>
      <x:c r="AD2238" s="10" t="n">
        <x:f>IF(AB2238=0,0,T2238/AB2238)</x:f>
        <x:v>2.152278771460129</x:v>
      </x:c>
      <x:c r="AE2238" s="10" t="n">
        <x:f>AA2238*'Assumptions'!$D$21</x:f>
        <x:v>0</x:v>
      </x:c>
    </x:row>
    <x:row r="2239" ht="16" customHeight="1">
      <x:c r="A2239" s="1"/>
      <x:c r="B2239" s="1"/>
      <x:c r="C2239" s="1" t="str">
        <x:v>DOT-056</x:v>
      </x:c>
      <x:c r="D2239" s="10" t="str">
        <x:v>VraiSkill teen</x:v>
      </x:c>
      <x:c r="E2239" s="10" t="n">
        <x:v>18</x:v>
      </x:c>
      <x:c r="F2239" s="21" t="n">
        <x:f>F2111*(1+'Assumptions'!$M$85)</x:f>
        <x:v>770.5423929487486</x:v>
      </x:c>
      <x:c r="G2239" s="21" t="n">
        <x:f>H2111*'Assumptions'!$K$85</x:f>
        <x:v>246.96871534389896</x:v>
      </x:c>
      <x:c r="H2239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2239+G2239,NA())</x:f>
        <x:v>1017.5111082926476</x:v>
      </x:c>
      <x:c r="I2239" s="22" t="n">
        <x:f>'Assumptions'!$H$85*IF('Assumptions'!$O$85=1,1,'Assumptions'!$D$10)*(1+'Assumptions'!$N$85)^(18-1)</x:f>
        <x:v>33.605794060618194</x:v>
      </x:c>
      <x:c r="J2239" s="10" t="n">
        <x:f>H2239*I2239</x:f>
        <x:v>34194.268759674094</x:v>
      </x:c>
      <x:c r="K2239" s="10" t="n">
        <x:f>J2239*'Assumptions'!$T$85</x:f>
        <x:v>34194.268759674094</x:v>
      </x:c>
      <x:c r="L2239" s="10" t="n">
        <x:f>K2239*'Assumptions'!$U$85</x:f>
        <x:v>1025.8280627902227</x:v>
      </x:c>
      <x:c r="M2239" s="10" t="n">
        <x:f>K2239*'Assumptions'!$V$85</x:f>
        <x:v>0</x:v>
      </x:c>
      <x:c r="N2239" s="10" t="n">
        <x:f>K2239-L2239-M2239</x:f>
        <x:v>33168.440696883874</x:v>
      </x:c>
      <x:c r="O2239" s="10" t="n">
        <x:f>H2239*'Assumptions'!$P$85*'Assumptions'!$Q$85*'Assumptions'!$D$11*(1+'Assumptions'!$D$13)^(18-1)</x:f>
        <x:v>8829.40183729647</x:v>
      </x:c>
      <x:c r="P2239" s="10" t="n">
        <x:f>H2239*'Assumptions'!$R$85*'Assumptions'!$D$11*(1+'Assumptions'!$D$13)^(18-1)</x:f>
        <x:v>0</x:v>
      </x:c>
      <x:c r="Q2239" s="10" t="n">
        <x:f>J2239*'Assumptions'!$S$85</x:f>
        <x:v>0</x:v>
      </x:c>
      <x:c r="R2239" s="10" t="n">
        <x:f>H2239*'Assumptions'!$Y$85*'Assumptions'!$Z$85*'Assumptions'!$D$11*(1+'Assumptions'!$D$13)^(18-1)</x:f>
        <x:v>5045.372478455126</x:v>
      </x:c>
      <x:c r="S2239" s="10" t="n">
        <x:f>IF(I2239=0,0,J2239*'Assumptions'!$W$85+H2239*'Assumptions'!$X$85)</x:f>
        <x:v>1296.887126518343</x:v>
      </x:c>
      <x:c r="T2239" s="10" t="n">
        <x:f>N2239*'Assumptions'!$AA$85</x:f>
        <x:v>1658.4220348441938</x:v>
      </x:c>
      <x:c r="U2239" s="10" t="n">
        <x:f>'Assumptions'!$AE$85*'Assumptions'!$D$11*(1+'Assumptions'!$D$13)^(18-1)</x:f>
        <x:v>396.68343174522045</x:v>
      </x:c>
      <x:c r="V2239" s="10" t="n">
        <x:f>0</x:f>
        <x:v>0</x:v>
      </x:c>
      <x:c r="W2239" s="10" t="n">
        <x:f>H2239*('Assumptions'!$P$85+'Assumptions'!$Y$85)</x:f>
        <x:v>254.3777770731619</x:v>
      </x:c>
      <x:c r="X2239" s="10" t="n">
        <x:f>N2239/12*'Assumptions'!$AF$85</x:f>
        <x:v>0</x:v>
      </x:c>
      <x:c r="Y2239" s="10" t="n">
        <x:f>P2239/12</x:f>
        <x:v>0</x:v>
      </x:c>
      <x:c r="Z2239" s="10" t="n">
        <x:f>0</x:f>
        <x:v>0</x:v>
      </x:c>
      <x:c r="AA2239" s="10" t="n">
        <x:f>Z2239*'Assumptions'!$AC$85*'Assumptions'!$D$11*(1+'Assumptions'!$D$13)^(18-1)</x:f>
        <x:v>0</x:v>
      </x:c>
      <x:c r="AB2239" s="10" t="n">
        <x:f>F2239/1</x:f>
        <x:v>770.5423929487486</x:v>
      </x:c>
      <x:c r="AC2239" s="10" t="n">
        <x:f>AB2239/'Assumptions'!$AM$85</x:f>
        <x:v>15410.84785897497</x:v>
      </x:c>
      <x:c r="AD2239" s="10" t="n">
        <x:f>IF(AB2239=0,0,T2239/AB2239)</x:f>
        <x:v>2.152278771447817</x:v>
      </x:c>
      <x:c r="AE2239" s="10" t="n">
        <x:f>AA2239*'Assumptions'!$D$21</x:f>
        <x:v>0</x:v>
      </x:c>
    </x:row>
    <x:row r="2240" ht="16" customHeight="1">
      <x:c r="A2240" s="1"/>
      <x:c r="B2240" s="1"/>
      <x:c r="C2240" s="1" t="str">
        <x:v>DOT-057</x:v>
      </x:c>
      <x:c r="D2240" s="10" t="str">
        <x:v>VraiSkill Model Life</x:v>
      </x:c>
      <x:c r="E2240" s="10" t="n">
        <x:v>18</x:v>
      </x:c>
      <x:c r="F2240" s="21" t="n">
        <x:f>F2112*(1+'Assumptions'!$M$86)</x:f>
        <x:v>0</x:v>
      </x:c>
      <x:c r="G2240" s="21" t="n">
        <x:f>H2112*'Assumptions'!$K$86</x:f>
        <x:v>0</x:v>
      </x:c>
      <x:c r="H2240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2240+G2240,NA())</x:f>
        <x:v>0</x:v>
      </x:c>
      <x:c r="I2240" s="22" t="n">
        <x:f>'Assumptions'!$H$86*IF('Assumptions'!$O$86=1,1,'Assumptions'!$D$10)*(1+'Assumptions'!$N$86)^(18-1)</x:f>
        <x:v>0</x:v>
      </x:c>
      <x:c r="J2240" s="10" t="n">
        <x:f>H2240*I2240</x:f>
        <x:v>0</x:v>
      </x:c>
      <x:c r="K2240" s="10" t="n">
        <x:f>J2240*'Assumptions'!$T$86</x:f>
        <x:v>0</x:v>
      </x:c>
      <x:c r="L2240" s="10" t="n">
        <x:f>K2240*'Assumptions'!$U$86</x:f>
        <x:v>0</x:v>
      </x:c>
      <x:c r="M2240" s="10" t="n">
        <x:f>K2240*'Assumptions'!$V$86</x:f>
        <x:v>0</x:v>
      </x:c>
      <x:c r="N2240" s="10" t="n">
        <x:f>K2240-L2240-M2240</x:f>
        <x:v>0</x:v>
      </x:c>
      <x:c r="O2240" s="10" t="n">
        <x:f>H2240*'Assumptions'!$P$86*'Assumptions'!$Q$86*'Assumptions'!$D$11*(1+'Assumptions'!$D$13)^(18-1)</x:f>
        <x:v>0</x:v>
      </x:c>
      <x:c r="P2240" s="10" t="n">
        <x:f>H2240*'Assumptions'!$R$86*'Assumptions'!$D$11*(1+'Assumptions'!$D$13)^(18-1)</x:f>
        <x:v>0</x:v>
      </x:c>
      <x:c r="Q2240" s="10" t="n">
        <x:f>J2240*'Assumptions'!$S$86</x:f>
        <x:v>0</x:v>
      </x:c>
      <x:c r="R2240" s="10" t="n">
        <x:f>H2240*'Assumptions'!$Y$86*'Assumptions'!$Z$86*'Assumptions'!$D$11*(1+'Assumptions'!$D$13)^(18-1)</x:f>
        <x:v>0</x:v>
      </x:c>
      <x:c r="S2240" s="10" t="n">
        <x:f>IF(I2240=0,0,J2240*'Assumptions'!$W$86+H2240*'Assumptions'!$X$86)</x:f>
        <x:v>0</x:v>
      </x:c>
      <x:c r="T2240" s="10" t="n">
        <x:f>N2240*'Assumptions'!$AA$86</x:f>
        <x:v>0</x:v>
      </x:c>
      <x:c r="U2240" s="10" t="n">
        <x:f>'Assumptions'!$AE$86*'Assumptions'!$D$11*(1+'Assumptions'!$D$13)^(18-1)</x:f>
        <x:v>0</x:v>
      </x:c>
      <x:c r="V2240" s="10" t="n">
        <x:f>0</x:f>
        <x:v>0</x:v>
      </x:c>
      <x:c r="W2240" s="10" t="n">
        <x:f>H2240*('Assumptions'!$P$86+'Assumptions'!$Y$86)</x:f>
        <x:v>0</x:v>
      </x:c>
      <x:c r="X2240" s="10" t="n">
        <x:f>N2240/12*'Assumptions'!$AF$86</x:f>
        <x:v>0</x:v>
      </x:c>
      <x:c r="Y2240" s="10" t="n">
        <x:f>P2240/12</x:f>
        <x:v>0</x:v>
      </x:c>
      <x:c r="Z2240" s="10" t="n">
        <x:f>0</x:f>
        <x:v>0</x:v>
      </x:c>
      <x:c r="AA2240" s="10" t="n">
        <x:f>Z2240*'Assumptions'!$AC$86*'Assumptions'!$D$11*(1+'Assumptions'!$D$13)^(18-1)</x:f>
        <x:v>0</x:v>
      </x:c>
      <x:c r="AB2240" s="10" t="n">
        <x:f>F2240/1</x:f>
        <x:v>0</x:v>
      </x:c>
      <x:c r="AC2240" s="10" t="n">
        <x:f>AB2240/'Assumptions'!$AM$86</x:f>
        <x:v>0</x:v>
      </x:c>
      <x:c r="AD2240" s="10" t="n">
        <x:f>IF(AB2240=0,0,T2240/AB2240)</x:f>
        <x:v>0</x:v>
      </x:c>
      <x:c r="AE2240" s="10" t="n">
        <x:f>AA2240*'Assumptions'!$D$21</x:f>
        <x:v>0</x:v>
      </x:c>
    </x:row>
    <x:row r="2241" ht="16" customHeight="1">
      <x:c r="A2241" s="1"/>
      <x:c r="B2241" s="1"/>
      <x:c r="C2241" s="1" t="str">
        <x:v>DOT-058</x:v>
      </x:c>
      <x:c r="D2241" s="10" t="str">
        <x:v>Model Life</x:v>
      </x:c>
      <x:c r="E2241" s="10" t="n">
        <x:v>18</x:v>
      </x:c>
      <x:c r="F2241" s="21" t="n">
        <x:f>F2113*(1+'Assumptions'!$M$87)</x:f>
        <x:v>438.50181718269573</x:v>
      </x:c>
      <x:c r="G2241" s="21" t="n">
        <x:f>H2113*'Assumptions'!$K$87</x:f>
        <x:v>927.8231801315968</x:v>
      </x:c>
      <x:c r="H2241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2241+G2241,NA())</x:f>
        <x:v>1366.3249973142924</x:v>
      </x:c>
      <x:c r="I2241" s="22" t="n">
        <x:f>'Assumptions'!$H$87*IF('Assumptions'!$O$87=1,1,'Assumptions'!$D$10)*(1+'Assumptions'!$N$87)^(18-1)</x:f>
        <x:v>21.00362128788637</x:v>
      </x:c>
      <x:c r="J2241" s="10" t="n">
        <x:f>H2241*I2241</x:f>
        <x:v>28697.772799761762</x:v>
      </x:c>
      <x:c r="K2241" s="10" t="n">
        <x:f>J2241*'Assumptions'!$T$87</x:f>
        <x:v>28697.772799761762</x:v>
      </x:c>
      <x:c r="L2241" s="10" t="n">
        <x:f>K2241*'Assumptions'!$U$87</x:f>
        <x:v>860.9331839928528</x:v>
      </x:c>
      <x:c r="M2241" s="10" t="n">
        <x:f>K2241*'Assumptions'!$V$87</x:f>
        <x:v>0</x:v>
      </x:c>
      <x:c r="N2241" s="10" t="n">
        <x:f>K2241-L2241-M2241</x:f>
        <x:v>27836.83961576891</x:v>
      </x:c>
      <x:c r="O2241" s="10" t="n">
        <x:f>H2241*'Assumptions'!$P$87*'Assumptions'!$Q$87*'Assumptions'!$D$11*(1+'Assumptions'!$D$13)^(18-1)</x:f>
        <x:v>7904.144628536226</x:v>
      </x:c>
      <x:c r="P2241" s="10" t="n">
        <x:f>H2241*'Assumptions'!$R$87*'Assumptions'!$D$11*(1+'Assumptions'!$D$13)^(18-1)</x:f>
        <x:v>0</x:v>
      </x:c>
      <x:c r="Q2241" s="10" t="n">
        <x:f>J2241*'Assumptions'!$S$87</x:f>
        <x:v>0</x:v>
      </x:c>
      <x:c r="R2241" s="10" t="n">
        <x:f>H2241*'Assumptions'!$Y$87*'Assumptions'!$Z$87*'Assumptions'!$D$11*(1+'Assumptions'!$D$13)^(18-1)</x:f>
        <x:v>10162.47166526086</x:v>
      </x:c>
      <x:c r="S2241" s="10" t="n">
        <x:f>IF(I2241=0,0,J2241*'Assumptions'!$W$87+H2241*'Assumptions'!$X$87)</x:f>
        <x:v>1242.1329103873788</x:v>
      </x:c>
      <x:c r="T2241" s="10" t="n">
        <x:f>N2241*'Assumptions'!$AA$87</x:f>
        <x:v>1391.8419807884457</x:v>
      </x:c>
      <x:c r="U2241" s="10" t="n">
        <x:f>'Assumptions'!$AE$87*'Assumptions'!$D$11*(1+'Assumptions'!$D$13)^(18-1)</x:f>
        <x:v>99.17085793630511</x:v>
      </x:c>
      <x:c r="V2241" s="10" t="n">
        <x:f>0</x:f>
        <x:v>0</x:v>
      </x:c>
      <x:c r="W2241" s="10" t="n">
        <x:f>H2241*('Assumptions'!$P$87+'Assumptions'!$Y$87)</x:f>
        <x:v>341.5812493285731</x:v>
      </x:c>
      <x:c r="X2241" s="10" t="n">
        <x:f>N2241/12*'Assumptions'!$AF$87</x:f>
        <x:v>0</x:v>
      </x:c>
      <x:c r="Y2241" s="10" t="n">
        <x:f>P2241/12</x:f>
        <x:v>0</x:v>
      </x:c>
      <x:c r="Z2241" s="10" t="n">
        <x:f>0</x:f>
        <x:v>0</x:v>
      </x:c>
      <x:c r="AA2241" s="10" t="n">
        <x:f>Z2241*'Assumptions'!$AC$87*'Assumptions'!$D$11*(1+'Assumptions'!$D$13)^(18-1)</x:f>
        <x:v>0</x:v>
      </x:c>
      <x:c r="AB2241" s="10" t="n">
        <x:f>F2241/12</x:f>
        <x:v>36.541818098557975</x:v>
      </x:c>
      <x:c r="AC2241" s="10" t="n">
        <x:f>AB2241/'Assumptions'!$AM$87</x:f>
        <x:v>730.8363619711595</x:v>
      </x:c>
      <x:c r="AD2241" s="10" t="n">
        <x:f>IF(AB2241=0,0,T2241/AB2241)</x:f>
        <x:v>38.089018368885455</x:v>
      </x:c>
      <x:c r="AE2241" s="10" t="n">
        <x:f>AA2241*'Assumptions'!$D$21</x:f>
        <x:v>0</x:v>
      </x:c>
    </x:row>
    <x:row r="2242" ht="16" customHeight="1">
      <x:c r="A2242" s="1"/>
      <x:c r="B2242" s="1"/>
      <x:c r="C2242" s="1" t="str">
        <x:v>DOT-059</x:v>
      </x:c>
      <x:c r="D2242" s="10" t="str">
        <x:v>Model Life</x:v>
      </x:c>
      <x:c r="E2242" s="10" t="n">
        <x:v>18</x:v>
      </x:c>
      <x:c r="F2242" s="21" t="n">
        <x:f>F2114*(1+'Assumptions'!$M$88)</x:f>
        <x:v>109.62545429567393</x:v>
      </x:c>
      <x:c r="G2242" s="21" t="n">
        <x:f>H2114*'Assumptions'!$K$88</x:f>
        <x:v>231.9557950328992</x:v>
      </x:c>
      <x:c r="H2242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2242+G2242,NA())</x:f>
        <x:v>341.5812493285731</x:v>
      </x:c>
      <x:c r="I2242" s="22" t="n">
        <x:f>'Assumptions'!$H$88*IF('Assumptions'!$O$88=1,1,'Assumptions'!$D$10)*(1+'Assumptions'!$N$88)^(18-1)</x:f>
        <x:v>110.61907211620156</x:v>
      </x:c>
      <x:c r="J2242" s="10" t="n">
        <x:f>H2242*I2242</x:f>
        <x:v>37785.40085301966</x:v>
      </x:c>
      <x:c r="K2242" s="10" t="n">
        <x:f>J2242*'Assumptions'!$T$88</x:f>
        <x:v>37785.40085301966</x:v>
      </x:c>
      <x:c r="L2242" s="10" t="n">
        <x:f>K2242*'Assumptions'!$U$88</x:f>
        <x:v>1133.5620255905897</x:v>
      </x:c>
      <x:c r="M2242" s="10" t="n">
        <x:f>K2242*'Assumptions'!$V$88</x:f>
        <x:v>0</x:v>
      </x:c>
      <x:c r="N2242" s="10" t="n">
        <x:f>K2242-L2242-M2242</x:f>
        <x:v>36651.83882742907</x:v>
      </x:c>
      <x:c r="O2242" s="10" t="n">
        <x:f>H2242*'Assumptions'!$P$88*'Assumptions'!$Q$88*'Assumptions'!$D$11*(1+'Assumptions'!$D$13)^(18-1)</x:f>
        <x:v>1976.0361571340566</x:v>
      </x:c>
      <x:c r="P2242" s="10" t="n">
        <x:f>H2242*'Assumptions'!$R$88*'Assumptions'!$D$11*(1+'Assumptions'!$D$13)^(18-1)</x:f>
        <x:v>0</x:v>
      </x:c>
      <x:c r="Q2242" s="10" t="n">
        <x:f>J2242*'Assumptions'!$S$88</x:f>
        <x:v>0</x:v>
      </x:c>
      <x:c r="R2242" s="10" t="n">
        <x:f>H2242*'Assumptions'!$Y$88*'Assumptions'!$Z$88*'Assumptions'!$D$11*(1+'Assumptions'!$D$13)^(18-1)</x:f>
        <x:v>2540.617916315215</x:v>
      </x:c>
      <x:c r="S2242" s="10" t="n">
        <x:f>IF(I2242=0,0,J2242*'Assumptions'!$W$88+H2242*'Assumptions'!$X$88)</x:f>
        <x:v>1198.2509995361422</x:v>
      </x:c>
      <x:c r="T2242" s="10" t="n">
        <x:f>N2242*'Assumptions'!$AA$88</x:f>
        <x:v>1832.5919413714537</x:v>
      </x:c>
      <x:c r="U2242" s="10" t="n">
        <x:f>'Assumptions'!$AE$88*'Assumptions'!$D$11*(1+'Assumptions'!$D$13)^(18-1)</x:f>
        <x:v>99.17085793630511</x:v>
      </x:c>
      <x:c r="V2242" s="10" t="n">
        <x:f>0</x:f>
        <x:v>0</x:v>
      </x:c>
      <x:c r="W2242" s="10" t="n">
        <x:f>H2242*('Assumptions'!$P$88+'Assumptions'!$Y$88)</x:f>
        <x:v>85.39531233214328</x:v>
      </x:c>
      <x:c r="X2242" s="10" t="n">
        <x:f>N2242/12*'Assumptions'!$AF$88</x:f>
        <x:v>0</x:v>
      </x:c>
      <x:c r="Y2242" s="10" t="n">
        <x:f>P2242/12</x:f>
        <x:v>0</x:v>
      </x:c>
      <x:c r="Z2242" s="10" t="n">
        <x:f>0</x:f>
        <x:v>0</x:v>
      </x:c>
      <x:c r="AA2242" s="10" t="n">
        <x:f>Z2242*'Assumptions'!$AC$88*'Assumptions'!$D$11*(1+'Assumptions'!$D$13)^(18-1)</x:f>
        <x:v>0</x:v>
      </x:c>
      <x:c r="AB2242" s="10" t="n">
        <x:f>F2242/12</x:f>
        <x:v>9.135454524639494</x:v>
      </x:c>
      <x:c r="AC2242" s="10" t="n">
        <x:f>AB2242/'Assumptions'!$AM$88</x:f>
        <x:v>182.70909049278987</x:v>
      </x:c>
      <x:c r="AD2242" s="10" t="n">
        <x:f>IF(AB2242=0,0,T2242/AB2242)</x:f>
        <x:v>200.60216340946343</x:v>
      </x:c>
      <x:c r="AE2242" s="10" t="n">
        <x:f>AA2242*'Assumptions'!$D$21</x:f>
        <x:v>0</x:v>
      </x:c>
    </x:row>
    <x:row r="2243" ht="16" customHeight="1">
      <x:c r="A2243" s="1"/>
      <x:c r="B2243" s="1"/>
      <x:c r="C2243" s="1" t="str">
        <x:v>DOT-060</x:v>
      </x:c>
      <x:c r="D2243" s="10" t="str">
        <x:v>Model Life</x:v>
      </x:c>
      <x:c r="E2243" s="10" t="n">
        <x:v>18</x:v>
      </x:c>
      <x:c r="F2243" s="21" t="n">
        <x:f>F2115*(1+'Assumptions'!$M$89)</x:f>
        <x:v>109.62545429567393</x:v>
      </x:c>
      <x:c r="G2243" s="21" t="n">
        <x:f>H2115*'Assumptions'!$K$89</x:f>
        <x:v>231.9557950328992</x:v>
      </x:c>
      <x:c r="H2243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2243+G2243,NA())</x:f>
        <x:v>341.5812493285731</x:v>
      </x:c>
      <x:c r="I2243" s="22" t="n">
        <x:f>'Assumptions'!$H$89*IF('Assumptions'!$O$89=1,1,'Assumptions'!$D$10)*(1+'Assumptions'!$N$89)^(18-1)</x:f>
        <x:v>82.61424373235306</x:v>
      </x:c>
      <x:c r="J2243" s="10" t="n">
        <x:f>H2243*I2243</x:f>
        <x:v>28219.4765864324</x:v>
      </x:c>
      <x:c r="K2243" s="10" t="n">
        <x:f>J2243*'Assumptions'!$T$89</x:f>
        <x:v>28219.4765864324</x:v>
      </x:c>
      <x:c r="L2243" s="10" t="n">
        <x:f>K2243*'Assumptions'!$U$89</x:f>
        <x:v>846.584297592972</x:v>
      </x:c>
      <x:c r="M2243" s="10" t="n">
        <x:f>K2243*'Assumptions'!$V$89</x:f>
        <x:v>0</x:v>
      </x:c>
      <x:c r="N2243" s="10" t="n">
        <x:f>K2243-L2243-M2243</x:f>
        <x:v>27372.892288839426</x:v>
      </x:c>
      <x:c r="O2243" s="10" t="n">
        <x:f>H2243*'Assumptions'!$P$89*'Assumptions'!$Q$89*'Assumptions'!$D$11*(1+'Assumptions'!$D$13)^(18-1)</x:f>
        <x:v>1976.0361571340566</x:v>
      </x:c>
      <x:c r="P2243" s="10" t="n">
        <x:f>H2243*'Assumptions'!$R$89*'Assumptions'!$D$11*(1+'Assumptions'!$D$13)^(18-1)</x:f>
        <x:v>0</x:v>
      </x:c>
      <x:c r="Q2243" s="10" t="n">
        <x:f>J2243*'Assumptions'!$S$89</x:f>
        <x:v>0</x:v>
      </x:c>
      <x:c r="R2243" s="10" t="n">
        <x:f>H2243*'Assumptions'!$Y$89*'Assumptions'!$Z$89*'Assumptions'!$D$11*(1+'Assumptions'!$D$13)^(18-1)</x:f>
        <x:v>2540.617916315215</x:v>
      </x:c>
      <x:c r="S2243" s="10" t="n">
        <x:f>IF(I2243=0,0,J2243*'Assumptions'!$W$89+H2243*'Assumptions'!$X$89)</x:f>
        <x:v>920.8391958051116</x:v>
      </x:c>
      <x:c r="T2243" s="10" t="n">
        <x:f>N2243*'Assumptions'!$AA$89</x:f>
        <x:v>1368.6446144419715</x:v>
      </x:c>
      <x:c r="U2243" s="10" t="n">
        <x:f>'Assumptions'!$AE$89*'Assumptions'!$D$11*(1+'Assumptions'!$D$13)^(18-1)</x:f>
        <x:v>99.17085793630511</x:v>
      </x:c>
      <x:c r="V2243" s="10" t="n">
        <x:f>0</x:f>
        <x:v>0</x:v>
      </x:c>
      <x:c r="W2243" s="10" t="n">
        <x:f>H2243*('Assumptions'!$P$89+'Assumptions'!$Y$89)</x:f>
        <x:v>85.39531233214328</x:v>
      </x:c>
      <x:c r="X2243" s="10" t="n">
        <x:f>N2243/12*'Assumptions'!$AF$89</x:f>
        <x:v>0</x:v>
      </x:c>
      <x:c r="Y2243" s="10" t="n">
        <x:f>P2243/12</x:f>
        <x:v>0</x:v>
      </x:c>
      <x:c r="Z2243" s="10" t="n">
        <x:f>0</x:f>
        <x:v>0</x:v>
      </x:c>
      <x:c r="AA2243" s="10" t="n">
        <x:f>Z2243*'Assumptions'!$AC$89*'Assumptions'!$D$11*(1+'Assumptions'!$D$13)^(18-1)</x:f>
        <x:v>0</x:v>
      </x:c>
      <x:c r="AB2243" s="10" t="n">
        <x:f>F2243/12</x:f>
        <x:v>9.135454524639494</x:v>
      </x:c>
      <x:c r="AC2243" s="10" t="n">
        <x:f>AB2243/'Assumptions'!$AM$89</x:f>
        <x:v>182.70909049278987</x:v>
      </x:c>
      <x:c r="AD2243" s="10" t="n">
        <x:f>IF(AB2243=0,0,T2243/AB2243)</x:f>
        <x:v>149.81680558428278</x:v>
      </x:c>
      <x:c r="AE2243" s="10" t="n">
        <x:f>AA2243*'Assumptions'!$D$21</x:f>
        <x:v>0</x:v>
      </x:c>
    </x:row>
    <x:row r="2244" ht="16" customHeight="1">
      <x:c r="A2244" s="1"/>
      <x:c r="B2244" s="1"/>
      <x:c r="C2244" s="1" t="str">
        <x:v>DOT-061</x:v>
      </x:c>
      <x:c r="D2244" s="10" t="str">
        <x:v>Model Life</x:v>
      </x:c>
      <x:c r="E2244" s="10" t="n">
        <x:v>18</x:v>
      </x:c>
      <x:c r="F2244" s="21" t="n">
        <x:f>F2116*(1+'Assumptions'!$M$90)</x:f>
        <x:v>54.812727147836966</x:v>
      </x:c>
      <x:c r="G2244" s="21" t="n">
        <x:f>H2116*'Assumptions'!$K$90</x:f>
        <x:v>115.9778975164496</x:v>
      </x:c>
      <x:c r="H2244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2244+G2244,NA())</x:f>
        <x:v>170.79062466428655</x:v>
      </x:c>
      <x:c r="I2244" s="22" t="n">
        <x:f>'Assumptions'!$H$90*IF('Assumptions'!$O$90=1,1,'Assumptions'!$D$10)*(1+'Assumptions'!$N$90)^(18-1)</x:f>
        <x:v>138.62390050005007</x:v>
      </x:c>
      <x:c r="J2244" s="10" t="n">
        <x:f>H2244*I2244</x:f>
        <x:v>23675.662559803455</x:v>
      </x:c>
      <x:c r="K2244" s="10" t="n">
        <x:f>J2244*'Assumptions'!$T$90</x:f>
        <x:v>23675.662559803455</x:v>
      </x:c>
      <x:c r="L2244" s="10" t="n">
        <x:f>K2244*'Assumptions'!$U$90</x:f>
        <x:v>710.2698767941037</x:v>
      </x:c>
      <x:c r="M2244" s="10" t="n">
        <x:f>K2244*'Assumptions'!$V$90</x:f>
        <x:v>0</x:v>
      </x:c>
      <x:c r="N2244" s="10" t="n">
        <x:f>K2244-L2244-M2244</x:f>
        <x:v>22965.39268300935</x:v>
      </x:c>
      <x:c r="O2244" s="10" t="n">
        <x:f>H2244*'Assumptions'!$P$90*'Assumptions'!$Q$90*'Assumptions'!$D$11*(1+'Assumptions'!$D$13)^(18-1)</x:f>
        <x:v>988.0180785670283</x:v>
      </x:c>
      <x:c r="P2244" s="10" t="n">
        <x:f>H2244*'Assumptions'!$R$90*'Assumptions'!$D$11*(1+'Assumptions'!$D$13)^(18-1)</x:f>
        <x:v>0</x:v>
      </x:c>
      <x:c r="Q2244" s="10" t="n">
        <x:f>J2244*'Assumptions'!$S$90</x:f>
        <x:v>0</x:v>
      </x:c>
      <x:c r="R2244" s="10" t="n">
        <x:f>H2244*'Assumptions'!$Y$90*'Assumptions'!$Z$90*'Assumptions'!$D$11*(1+'Assumptions'!$D$13)^(18-1)</x:f>
        <x:v>1270.3089581576075</x:v>
      </x:c>
      <x:c r="S2244" s="10" t="n">
        <x:f>IF(I2244=0,0,J2244*'Assumptions'!$W$90+H2244*'Assumptions'!$X$90)</x:f>
        <x:v>737.8314016335862</x:v>
      </x:c>
      <x:c r="T2244" s="10" t="n">
        <x:f>N2244*'Assumptions'!$AA$90</x:f>
        <x:v>1148.2696341504677</x:v>
      </x:c>
      <x:c r="U2244" s="10" t="n">
        <x:f>'Assumptions'!$AE$90*'Assumptions'!$D$11*(1+'Assumptions'!$D$13)^(18-1)</x:f>
        <x:v>99.17085793630511</x:v>
      </x:c>
      <x:c r="V2244" s="10" t="n">
        <x:f>0</x:f>
        <x:v>0</x:v>
      </x:c>
      <x:c r="W2244" s="10" t="n">
        <x:f>H2244*('Assumptions'!$P$90+'Assumptions'!$Y$90)</x:f>
        <x:v>42.69765616607164</x:v>
      </x:c>
      <x:c r="X2244" s="10" t="n">
        <x:f>N2244/12*'Assumptions'!$AF$90</x:f>
        <x:v>0</x:v>
      </x:c>
      <x:c r="Y2244" s="10" t="n">
        <x:f>P2244/12</x:f>
        <x:v>0</x:v>
      </x:c>
      <x:c r="Z2244" s="10" t="n">
        <x:f>0</x:f>
        <x:v>0</x:v>
      </x:c>
      <x:c r="AA2244" s="10" t="n">
        <x:f>Z2244*'Assumptions'!$AC$90*'Assumptions'!$D$11*(1+'Assumptions'!$D$13)^(18-1)</x:f>
        <x:v>0</x:v>
      </x:c>
      <x:c r="AB2244" s="10" t="n">
        <x:f>F2244/12</x:f>
        <x:v>4.567727262319747</x:v>
      </x:c>
      <x:c r="AC2244" s="10" t="n">
        <x:f>AB2244/'Assumptions'!$AM$90</x:f>
        <x:v>91.35454524639493</x:v>
      </x:c>
      <x:c r="AD2244" s="10" t="n">
        <x:f>IF(AB2244=0,0,T2244/AB2244)</x:f>
        <x:v>251.387521234644</x:v>
      </x:c>
      <x:c r="AE2244" s="10" t="n">
        <x:f>AA2244*'Assumptions'!$D$21</x:f>
        <x:v>0</x:v>
      </x:c>
    </x:row>
    <x:row r="2245" ht="16" customHeight="1">
      <x:c r="A2245" s="1"/>
      <x:c r="B2245" s="1"/>
      <x:c r="C2245" s="1" t="str">
        <x:v>DOT-062</x:v>
      </x:c>
      <x:c r="D2245" s="10" t="str">
        <x:v>Model Life</x:v>
      </x:c>
      <x:c r="E2245" s="10" t="n">
        <x:v>18</x:v>
      </x:c>
      <x:c r="F2245" s="21" t="n">
        <x:f>F2117*(1+'Assumptions'!$M$91)</x:f>
        <x:v>54.812727147836966</x:v>
      </x:c>
      <x:c r="G2245" s="21" t="n">
        <x:f>H2117*'Assumptions'!$K$91</x:f>
        <x:v>115.9778975164496</x:v>
      </x:c>
      <x:c r="H2245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2245+G2245,NA())</x:f>
        <x:v>170.79062466428655</x:v>
      </x:c>
      <x:c r="I2245" s="22" t="n">
        <x:f>'Assumptions'!$H$91*IF('Assumptions'!$O$91=1,1,'Assumptions'!$D$10)*(1+'Assumptions'!$N$91)^(18-1)</x:f>
        <x:v>68.61182954042881</x:v>
      </x:c>
      <x:c r="J2245" s="10" t="n">
        <x:f>H2245*I2245</x:f>
        <x:v>11718.257226569387</x:v>
      </x:c>
      <x:c r="K2245" s="10" t="n">
        <x:f>J2245*'Assumptions'!$T$91</x:f>
        <x:v>11718.257226569387</x:v>
      </x:c>
      <x:c r="L2245" s="10" t="n">
        <x:f>K2245*'Assumptions'!$U$91</x:f>
        <x:v>351.5477167970816</x:v>
      </x:c>
      <x:c r="M2245" s="10" t="n">
        <x:f>K2245*'Assumptions'!$V$91</x:f>
        <x:v>0</x:v>
      </x:c>
      <x:c r="N2245" s="10" t="n">
        <x:f>K2245-L2245-M2245</x:f>
        <x:v>11366.709509772305</x:v>
      </x:c>
      <x:c r="O2245" s="10" t="n">
        <x:f>H2245*'Assumptions'!$P$91*'Assumptions'!$Q$91*'Assumptions'!$D$11*(1+'Assumptions'!$D$13)^(18-1)</x:f>
        <x:v>988.0180785670283</x:v>
      </x:c>
      <x:c r="P2245" s="10" t="n">
        <x:f>H2245*'Assumptions'!$R$91*'Assumptions'!$D$11*(1+'Assumptions'!$D$13)^(18-1)</x:f>
        <x:v>0</x:v>
      </x:c>
      <x:c r="Q2245" s="10" t="n">
        <x:f>J2245*'Assumptions'!$S$91</x:f>
        <x:v>0</x:v>
      </x:c>
      <x:c r="R2245" s="10" t="n">
        <x:f>H2245*'Assumptions'!$Y$91*'Assumptions'!$Z$91*'Assumptions'!$D$11*(1+'Assumptions'!$D$13)^(18-1)</x:f>
        <x:v>1270.3089581576075</x:v>
      </x:c>
      <x:c r="S2245" s="10" t="n">
        <x:f>IF(I2245=0,0,J2245*'Assumptions'!$W$91+H2245*'Assumptions'!$X$91)</x:f>
        <x:v>391.0666469697982</x:v>
      </x:c>
      <x:c r="T2245" s="10" t="n">
        <x:f>N2245*'Assumptions'!$AA$91</x:f>
        <x:v>568.3354754886153</x:v>
      </x:c>
      <x:c r="U2245" s="10" t="n">
        <x:f>'Assumptions'!$AE$91*'Assumptions'!$D$11*(1+'Assumptions'!$D$13)^(18-1)</x:f>
        <x:v>99.17085793630511</x:v>
      </x:c>
      <x:c r="V2245" s="10" t="n">
        <x:f>0</x:f>
        <x:v>0</x:v>
      </x:c>
      <x:c r="W2245" s="10" t="n">
        <x:f>H2245*('Assumptions'!$P$91+'Assumptions'!$Y$91)</x:f>
        <x:v>42.69765616607164</x:v>
      </x:c>
      <x:c r="X2245" s="10" t="n">
        <x:f>N2245/12*'Assumptions'!$AF$91</x:f>
        <x:v>0</x:v>
      </x:c>
      <x:c r="Y2245" s="10" t="n">
        <x:f>P2245/12</x:f>
        <x:v>0</x:v>
      </x:c>
      <x:c r="Z2245" s="10" t="n">
        <x:f>0</x:f>
        <x:v>0</x:v>
      </x:c>
      <x:c r="AA2245" s="10" t="n">
        <x:f>Z2245*'Assumptions'!$AC$91*'Assumptions'!$D$11*(1+'Assumptions'!$D$13)^(18-1)</x:f>
        <x:v>0</x:v>
      </x:c>
      <x:c r="AB2245" s="10" t="n">
        <x:f>F2245/12</x:f>
        <x:v>4.567727262319747</x:v>
      </x:c>
      <x:c r="AC2245" s="10" t="n">
        <x:f>AB2245/'Assumptions'!$AM$91</x:f>
        <x:v>91.35454524639493</x:v>
      </x:c>
      <x:c r="AD2245" s="10" t="n">
        <x:f>IF(AB2245=0,0,T2245/AB2245)</x:f>
        <x:v>124.42412667169249</x:v>
      </x:c>
      <x:c r="AE2245" s="10" t="n">
        <x:f>AA2245*'Assumptions'!$D$21</x:f>
        <x:v>0</x:v>
      </x:c>
    </x:row>
    <x:row r="2246" ht="16" customHeight="1">
      <x:c r="A2246" s="1"/>
      <x:c r="B2246" s="1"/>
      <x:c r="C2246" s="1" t="str">
        <x:v>DOT-063</x:v>
      </x:c>
      <x:c r="D2246" s="10" t="str">
        <x:v>S’otality cleaning</x:v>
      </x:c>
      <x:c r="E2246" s="10" t="n">
        <x:v>18</x:v>
      </x:c>
      <x:c r="F2246" s="21" t="n">
        <x:f>F2118*(1+'Assumptions'!$M$92)</x:f>
        <x:v>103.20385007349297</x:v>
      </x:c>
      <x:c r="G2246" s="21" t="n">
        <x:f>H2118*'Assumptions'!$K$92</x:f>
        <x:v>143.98480127446032</x:v>
      </x:c>
      <x:c r="H2246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2246+G2246,NA())</x:f>
        <x:v>247.18865134795328</x:v>
      </x:c>
      <x:c r="I2246" s="22" t="n">
        <x:f>'Assumptions'!$H$92*IF('Assumptions'!$O$92=1,1,'Assumptions'!$D$10)*(1+'Assumptions'!$N$92)^(18-1)</x:f>
        <x:v>208.6359714596713</x:v>
      </x:c>
      <x:c r="J2246" s="10" t="n">
        <x:f>H2246*I2246</x:f>
        <x:v>51572.44440778622</x:v>
      </x:c>
      <x:c r="K2246" s="10" t="n">
        <x:f>J2246*'Assumptions'!$T$92</x:f>
        <x:v>51572.44440778622</x:v>
      </x:c>
      <x:c r="L2246" s="10" t="n">
        <x:f>K2246*'Assumptions'!$U$92</x:f>
        <x:v>1547.1733322335865</x:v>
      </x:c>
      <x:c r="M2246" s="10" t="n">
        <x:f>K2246*'Assumptions'!$V$92</x:f>
        <x:v>0</x:v>
      </x:c>
      <x:c r="N2246" s="10" t="n">
        <x:f>K2246-L2246-M2246</x:f>
        <x:v>50025.271075552635</x:v>
      </x:c>
      <x:c r="O2246" s="10" t="n">
        <x:f>H2246*'Assumptions'!$P$92*'Assumptions'!$Q$92*'Assumptions'!$D$11*(1+'Assumptions'!$D$13)^(18-1)</x:f>
        <x:v>1429.9781198671926</x:v>
      </x:c>
      <x:c r="P2246" s="10" t="n">
        <x:f>H2246*'Assumptions'!$R$92*'Assumptions'!$D$11*(1+'Assumptions'!$D$13)^(18-1)</x:f>
        <x:v>3268.521416839297</x:v>
      </x:c>
      <x:c r="Q2246" s="10" t="n">
        <x:f>J2246*'Assumptions'!$S$92</x:f>
        <x:v>33522.08886506104</x:v>
      </x:c>
      <x:c r="R2246" s="10" t="n">
        <x:f>H2246*'Assumptions'!$Y$92*'Assumptions'!$Z$92*'Assumptions'!$D$11*(1+'Assumptions'!$D$13)^(18-1)</x:f>
        <x:v>2451.391062629473</x:v>
      </x:c>
      <x:c r="S2246" s="10" t="n">
        <x:f>IF(I2246=0,0,J2246*'Assumptions'!$W$92+H2246*'Assumptions'!$X$92)</x:f>
        <x:v>1569.7574832301866</x:v>
      </x:c>
      <x:c r="T2246" s="10" t="n">
        <x:f>N2246*'Assumptions'!$AA$92</x:f>
        <x:v>2001.0108430221055</x:v>
      </x:c>
      <x:c r="U2246" s="10" t="n">
        <x:f>'Assumptions'!$AE$92*'Assumptions'!$D$11*(1+'Assumptions'!$D$13)^(18-1)</x:f>
        <x:v>0</x:v>
      </x:c>
      <x:c r="V2246" s="10" t="n">
        <x:f>0</x:f>
        <x:v>0</x:v>
      </x:c>
      <x:c r="W2246" s="10" t="n">
        <x:f>H2246*('Assumptions'!$P$92+'Assumptions'!$Y$92)</x:f>
        <x:v>74.156595404386</x:v>
      </x:c>
      <x:c r="X2246" s="10" t="n">
        <x:f>N2246/12*'Assumptions'!$AF$92</x:f>
        <x:v>0</x:v>
      </x:c>
      <x:c r="Y2246" s="10" t="n">
        <x:f>P2246/12</x:f>
        <x:v>272.3767847366081</x:v>
      </x:c>
      <x:c r="Z2246" s="10" t="n">
        <x:f>0</x:f>
        <x:v>0</x:v>
      </x:c>
      <x:c r="AA2246" s="10" t="n">
        <x:f>Z2246*'Assumptions'!$AC$92*'Assumptions'!$D$11*(1+'Assumptions'!$D$13)^(18-1)</x:f>
        <x:v>0</x:v>
      </x:c>
      <x:c r="AB2246" s="10" t="n">
        <x:f>F2246/1</x:f>
        <x:v>103.20385007349297</x:v>
      </x:c>
      <x:c r="AC2246" s="10" t="n">
        <x:f>AB2246/'Assumptions'!$AM$92</x:f>
        <x:v>688.0256671566199</x:v>
      </x:c>
      <x:c r="AD2246" s="10" t="n">
        <x:f>IF(AB2246=0,0,T2246/AB2246)</x:f>
        <x:v>19.388916611126003</x:v>
      </x:c>
      <x:c r="AE2246" s="10" t="n">
        <x:f>AA2246*'Assumptions'!$D$21</x:f>
        <x:v>0</x:v>
      </x:c>
    </x:row>
    <x:row r="2247" ht="16" customHeight="1">
      <x:c r="A2247" s="1"/>
      <x:c r="B2247" s="1"/>
      <x:c r="C2247" s="1" t="str">
        <x:v>DOT-064</x:v>
      </x:c>
      <x:c r="D2247" s="10" t="str">
        <x:v>S’otality cleaning</x:v>
      </x:c>
      <x:c r="E2247" s="10" t="n">
        <x:v>18</x:v>
      </x:c>
      <x:c r="F2247" s="21" t="n">
        <x:f>F2119*(1+'Assumptions'!$M$93)</x:f>
        <x:v>154.80577511023938</x:v>
      </x:c>
      <x:c r="G2247" s="21" t="n">
        <x:f>H2119*'Assumptions'!$K$93</x:f>
        <x:v>215.97720191169034</x:v>
      </x:c>
      <x:c r="H2247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2247+G2247,NA())</x:f>
        <x:v>370.7829770219297</x:v>
      </x:c>
      <x:c r="I2247" s="22" t="n">
        <x:f>'Assumptions'!$H$93*IF('Assumptions'!$O$93=1,1,'Assumptions'!$D$10)*(1+'Assumptions'!$N$93)^(18-1)</x:f>
        <x:v>194.63355726774705</x:v>
      </x:c>
      <x:c r="J2247" s="10" t="n">
        <x:f>H2247*I2247</x:f>
        <x:v>72166.8097921035</x:v>
      </x:c>
      <x:c r="K2247" s="10" t="n">
        <x:f>J2247*'Assumptions'!$T$93</x:f>
        <x:v>72166.8097921035</x:v>
      </x:c>
      <x:c r="L2247" s="10" t="n">
        <x:f>K2247*'Assumptions'!$U$93</x:f>
        <x:v>2165.0042937631047</x:v>
      </x:c>
      <x:c r="M2247" s="10" t="n">
        <x:f>K2247*'Assumptions'!$V$93</x:f>
        <x:v>0</x:v>
      </x:c>
      <x:c r="N2247" s="10" t="n">
        <x:f>K2247-L2247-M2247</x:f>
        <x:v>70001.80549834039</x:v>
      </x:c>
      <x:c r="O2247" s="10" t="n">
        <x:f>H2247*'Assumptions'!$P$93*'Assumptions'!$Q$93*'Assumptions'!$D$11*(1+'Assumptions'!$D$13)^(18-1)</x:f>
        <x:v>2144.9671798007876</x:v>
      </x:c>
      <x:c r="P2247" s="10" t="n">
        <x:f>H2247*'Assumptions'!$R$93*'Assumptions'!$D$11*(1+'Assumptions'!$D$13)^(18-1)</x:f>
        <x:v>4902.782125258943</x:v>
      </x:c>
      <x:c r="Q2247" s="10" t="n">
        <x:f>J2247*'Assumptions'!$S$93</x:f>
        <x:v>46908.42636486727</x:v>
      </x:c>
      <x:c r="R2247" s="10" t="n">
        <x:f>H2247*'Assumptions'!$Y$93*'Assumptions'!$Z$93*'Assumptions'!$D$11*(1+'Assumptions'!$D$13)^(18-1)</x:f>
        <x:v>3677.0865939442074</x:v>
      </x:c>
      <x:c r="S2247" s="10" t="n">
        <x:f>IF(I2247=0,0,J2247*'Assumptions'!$W$93+H2247*'Assumptions'!$X$93)</x:f>
        <x:v>2204.0723770775803</x:v>
      </x:c>
      <x:c r="T2247" s="10" t="n">
        <x:f>N2247*'Assumptions'!$AA$93</x:f>
        <x:v>2800.0722199336155</x:v>
      </x:c>
      <x:c r="U2247" s="10" t="n">
        <x:f>'Assumptions'!$AE$93*'Assumptions'!$D$11*(1+'Assumptions'!$D$13)^(18-1)</x:f>
        <x:v>0</x:v>
      </x:c>
      <x:c r="V2247" s="10" t="n">
        <x:f>0</x:f>
        <x:v>0</x:v>
      </x:c>
      <x:c r="W2247" s="10" t="n">
        <x:f>H2247*('Assumptions'!$P$93+'Assumptions'!$Y$93)</x:f>
        <x:v>111.23489310657892</x:v>
      </x:c>
      <x:c r="X2247" s="10" t="n">
        <x:f>N2247/12*'Assumptions'!$AF$93</x:f>
        <x:v>0</x:v>
      </x:c>
      <x:c r="Y2247" s="10" t="n">
        <x:f>P2247/12</x:f>
        <x:v>408.5651771049119</x:v>
      </x:c>
      <x:c r="Z2247" s="10" t="n">
        <x:f>0</x:f>
        <x:v>0</x:v>
      </x:c>
      <x:c r="AA2247" s="10" t="n">
        <x:f>Z2247*'Assumptions'!$AC$93*'Assumptions'!$D$11*(1+'Assumptions'!$D$13)^(18-1)</x:f>
        <x:v>0</x:v>
      </x:c>
      <x:c r="AB2247" s="10" t="n">
        <x:f>F2247/1</x:f>
        <x:v>154.80577511023938</x:v>
      </x:c>
      <x:c r="AC2247" s="10" t="n">
        <x:f>AB2247/'Assumptions'!$AM$93</x:f>
        <x:v>1032.0385007349294</x:v>
      </x:c>
      <x:c r="AD2247" s="10" t="n">
        <x:f>IF(AB2247=0,0,T2247/AB2247)</x:f>
        <x:v>18.08764703990949</x:v>
      </x:c>
      <x:c r="AE2247" s="10" t="n">
        <x:f>AA2247*'Assumptions'!$D$21</x:f>
        <x:v>0</x:v>
      </x:c>
    </x:row>
    <x:row r="2248" ht="16" customHeight="1">
      <x:c r="A2248" s="1"/>
      <x:c r="B2248" s="1"/>
      <x:c r="C2248" s="1" t="str">
        <x:v>DOT-065</x:v>
      </x:c>
      <x:c r="D2248" s="10" t="str">
        <x:v>S’otality cleaning</x:v>
      </x:c>
      <x:c r="E2248" s="10" t="n">
        <x:v>18</x:v>
      </x:c>
      <x:c r="F2248" s="21" t="n">
        <x:f>F2120*(1+'Assumptions'!$M$94)</x:f>
        <x:v>103.20385007349297</x:v>
      </x:c>
      <x:c r="G2248" s="21" t="n">
        <x:f>H2120*'Assumptions'!$K$94</x:f>
        <x:v>143.98480127446032</x:v>
      </x:c>
      <x:c r="H2248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2248+G2248,NA())</x:f>
        <x:v>247.18865134795328</x:v>
      </x:c>
      <x:c r="I2248" s="22" t="n">
        <x:f>'Assumptions'!$H$94*IF('Assumptions'!$O$94=1,1,'Assumptions'!$D$10)*(1+'Assumptions'!$N$94)^(18-1)</x:f>
        <x:v>222.63838565159554</x:v>
      </x:c>
      <x:c r="J2248" s="10" t="n">
        <x:f>H2248*I2248</x:f>
        <x:v>55033.68228750341</x:v>
      </x:c>
      <x:c r="K2248" s="10" t="n">
        <x:f>J2248*'Assumptions'!$T$94</x:f>
        <x:v>55033.68228750341</x:v>
      </x:c>
      <x:c r="L2248" s="10" t="n">
        <x:f>K2248*'Assumptions'!$U$94</x:f>
        <x:v>1651.0104686251022</x:v>
      </x:c>
      <x:c r="M2248" s="10" t="n">
        <x:f>K2248*'Assumptions'!$V$94</x:f>
        <x:v>0</x:v>
      </x:c>
      <x:c r="N2248" s="10" t="n">
        <x:f>K2248-L2248-M2248</x:f>
        <x:v>53382.67181887831</x:v>
      </x:c>
      <x:c r="O2248" s="10" t="n">
        <x:f>H2248*'Assumptions'!$P$94*'Assumptions'!$Q$94*'Assumptions'!$D$11*(1+'Assumptions'!$D$13)^(18-1)</x:f>
        <x:v>1429.9781198671926</x:v>
      </x:c>
      <x:c r="P2248" s="10" t="n">
        <x:f>H2248*'Assumptions'!$R$94*'Assumptions'!$D$11*(1+'Assumptions'!$D$13)^(18-1)</x:f>
        <x:v>3268.521416839297</x:v>
      </x:c>
      <x:c r="Q2248" s="10" t="n">
        <x:f>J2248*'Assumptions'!$S$94</x:f>
        <x:v>35771.89348687722</x:v>
      </x:c>
      <x:c r="R2248" s="10" t="n">
        <x:f>H2248*'Assumptions'!$Y$94*'Assumptions'!$Z$94*'Assumptions'!$D$11*(1+'Assumptions'!$D$13)^(18-1)</x:f>
        <x:v>2451.391062629473</x:v>
      </x:c>
      <x:c r="S2248" s="10" t="n">
        <x:f>IF(I2248=0,0,J2248*'Assumptions'!$W$94+H2248*'Assumptions'!$X$94)</x:f>
        <x:v>1670.133381741985</x:v>
      </x:c>
      <x:c r="T2248" s="10" t="n">
        <x:f>N2248*'Assumptions'!$AA$94</x:f>
        <x:v>2135.3068727551326</x:v>
      </x:c>
      <x:c r="U2248" s="10" t="n">
        <x:f>'Assumptions'!$AE$94*'Assumptions'!$D$11*(1+'Assumptions'!$D$13)^(18-1)</x:f>
        <x:v>0</x:v>
      </x:c>
      <x:c r="V2248" s="10" t="n">
        <x:f>0</x:f>
        <x:v>0</x:v>
      </x:c>
      <x:c r="W2248" s="10" t="n">
        <x:f>H2248*('Assumptions'!$P$94+'Assumptions'!$Y$94)</x:f>
        <x:v>74.156595404386</x:v>
      </x:c>
      <x:c r="X2248" s="10" t="n">
        <x:f>N2248/12*'Assumptions'!$AF$94</x:f>
        <x:v>0</x:v>
      </x:c>
      <x:c r="Y2248" s="10" t="n">
        <x:f>P2248/12</x:f>
        <x:v>272.3767847366081</x:v>
      </x:c>
      <x:c r="Z2248" s="10" t="n">
        <x:f>0</x:f>
        <x:v>0</x:v>
      </x:c>
      <x:c r="AA2248" s="10" t="n">
        <x:f>Z2248*'Assumptions'!$AC$94*'Assumptions'!$D$11*(1+'Assumptions'!$D$13)^(18-1)</x:f>
        <x:v>0</x:v>
      </x:c>
      <x:c r="AB2248" s="10" t="n">
        <x:f>F2248/1</x:f>
        <x:v>103.20385007349297</x:v>
      </x:c>
      <x:c r="AC2248" s="10" t="n">
        <x:f>AB2248/'Assumptions'!$AM$94</x:f>
        <x:v>688.0256671566199</x:v>
      </x:c>
      <x:c r="AD2248" s="10" t="n">
        <x:f>IF(AB2248=0,0,T2248/AB2248)</x:f>
        <x:v>20.69018618234251</x:v>
      </x:c>
      <x:c r="AE2248" s="10" t="n">
        <x:f>AA2248*'Assumptions'!$D$21</x:f>
        <x:v>0</x:v>
      </x:c>
    </x:row>
    <x:row r="2249" ht="16" customHeight="1">
      <x:c r="A2249" s="1"/>
      <x:c r="B2249" s="1"/>
      <x:c r="C2249" s="1" t="str">
        <x:v>DOT-066</x:v>
      </x:c>
      <x:c r="D2249" s="10" t="str">
        <x:v>S’otality cleaning</x:v>
      </x:c>
      <x:c r="E2249" s="10" t="n">
        <x:v>18</x:v>
      </x:c>
      <x:c r="F2249" s="21" t="n">
        <x:f>F2121*(1+'Assumptions'!$M$95)</x:f>
        <x:v>154.80577511023938</x:v>
      </x:c>
      <x:c r="G2249" s="21" t="n">
        <x:f>H2121*'Assumptions'!$K$95</x:f>
        <x:v>215.97720191169034</x:v>
      </x:c>
      <x:c r="H2249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2249+G2249,NA())</x:f>
        <x:v>370.7829770219297</x:v>
      </x:c>
      <x:c r="I2249" s="22" t="n">
        <x:f>'Assumptions'!$H$95*IF('Assumptions'!$O$95=1,1,'Assumptions'!$D$10)*(1+'Assumptions'!$N$95)^(18-1)</x:f>
        <x:v>208.6359714596713</x:v>
      </x:c>
      <x:c r="J2249" s="10" t="n">
        <x:f>H2249*I2249</x:f>
        <x:v>77358.66661167929</x:v>
      </x:c>
      <x:c r="K2249" s="10" t="n">
        <x:f>J2249*'Assumptions'!$T$95</x:f>
        <x:v>77358.66661167929</x:v>
      </x:c>
      <x:c r="L2249" s="10" t="n">
        <x:f>K2249*'Assumptions'!$U$95</x:f>
        <x:v>2320.7599983503787</x:v>
      </x:c>
      <x:c r="M2249" s="10" t="n">
        <x:f>K2249*'Assumptions'!$V$95</x:f>
        <x:v>0</x:v>
      </x:c>
      <x:c r="N2249" s="10" t="n">
        <x:f>K2249-L2249-M2249</x:f>
        <x:v>75037.90661332892</x:v>
      </x:c>
      <x:c r="O2249" s="10" t="n">
        <x:f>H2249*'Assumptions'!$P$95*'Assumptions'!$Q$95*'Assumptions'!$D$11*(1+'Assumptions'!$D$13)^(18-1)</x:f>
        <x:v>2144.9671798007876</x:v>
      </x:c>
      <x:c r="P2249" s="10" t="n">
        <x:f>H2249*'Assumptions'!$R$95*'Assumptions'!$D$11*(1+'Assumptions'!$D$13)^(18-1)</x:f>
        <x:v>4902.782125258943</x:v>
      </x:c>
      <x:c r="Q2249" s="10" t="n">
        <x:f>J2249*'Assumptions'!$S$95</x:f>
        <x:v>50283.13329759154</x:v>
      </x:c>
      <x:c r="R2249" s="10" t="n">
        <x:f>H2249*'Assumptions'!$Y$95*'Assumptions'!$Z$95*'Assumptions'!$D$11*(1+'Assumptions'!$D$13)^(18-1)</x:f>
        <x:v>3677.0865939442074</x:v>
      </x:c>
      <x:c r="S2249" s="10" t="n">
        <x:f>IF(I2249=0,0,J2249*'Assumptions'!$W$95+H2249*'Assumptions'!$X$95)</x:f>
        <x:v>2354.6362248452783</x:v>
      </x:c>
      <x:c r="T2249" s="10" t="n">
        <x:f>N2249*'Assumptions'!$AA$95</x:f>
        <x:v>3001.5162645331566</x:v>
      </x:c>
      <x:c r="U2249" s="10" t="n">
        <x:f>'Assumptions'!$AE$95*'Assumptions'!$D$11*(1+'Assumptions'!$D$13)^(18-1)</x:f>
        <x:v>0</x:v>
      </x:c>
      <x:c r="V2249" s="10" t="n">
        <x:f>0</x:f>
        <x:v>0</x:v>
      </x:c>
      <x:c r="W2249" s="10" t="n">
        <x:f>H2249*('Assumptions'!$P$95+'Assumptions'!$Y$95)</x:f>
        <x:v>111.23489310657892</x:v>
      </x:c>
      <x:c r="X2249" s="10" t="n">
        <x:f>N2249/12*'Assumptions'!$AF$95</x:f>
        <x:v>0</x:v>
      </x:c>
      <x:c r="Y2249" s="10" t="n">
        <x:f>P2249/12</x:f>
        <x:v>408.5651771049119</x:v>
      </x:c>
      <x:c r="Z2249" s="10" t="n">
        <x:f>0</x:f>
        <x:v>0</x:v>
      </x:c>
      <x:c r="AA2249" s="10" t="n">
        <x:f>Z2249*'Assumptions'!$AC$95*'Assumptions'!$D$11*(1+'Assumptions'!$D$13)^(18-1)</x:f>
        <x:v>0</x:v>
      </x:c>
      <x:c r="AB2249" s="10" t="n">
        <x:f>F2249/1</x:f>
        <x:v>154.80577511023938</x:v>
      </x:c>
      <x:c r="AC2249" s="10" t="n">
        <x:f>AB2249/'Assumptions'!$AM$95</x:f>
        <x:v>1032.0385007349294</x:v>
      </x:c>
      <x:c r="AD2249" s="10" t="n">
        <x:f>IF(AB2249=0,0,T2249/AB2249)</x:f>
        <x:v>19.388916611126003</x:v>
      </x:c>
      <x:c r="AE2249" s="10" t="n">
        <x:f>AA2249*'Assumptions'!$D$21</x:f>
        <x:v>0</x:v>
      </x:c>
    </x:row>
    <x:row r="2250" ht="16" customHeight="1">
      <x:c r="A2250" s="1"/>
      <x:c r="B2250" s="1"/>
      <x:c r="C2250" s="1" t="str">
        <x:v>DOT-067</x:v>
      </x:c>
      <x:c r="D2250" s="10" t="str">
        <x:v>S’otality cleaning</x:v>
      </x:c>
      <x:c r="E2250" s="10" t="n">
        <x:v>18</x:v>
      </x:c>
      <x:c r="F2250" s="21" t="n">
        <x:f>F2122*(1+'Assumptions'!$M$96)</x:f>
        <x:v>68.80256671566198</x:v>
      </x:c>
      <x:c r="G2250" s="21" t="n">
        <x:f>H2122*'Assumptions'!$K$96</x:f>
        <x:v>95.9898675163069</x:v>
      </x:c>
      <x:c r="H2250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2250+G2250,NA())</x:f>
        <x:v>164.79243423196888</x:v>
      </x:c>
      <x:c r="I2250" s="22" t="n">
        <x:f>'Assumptions'!$H$96*IF('Assumptions'!$O$96=1,1,'Assumptions'!$D$10)*(1+'Assumptions'!$N$96)^(18-1)</x:f>
        <x:v>278.64804241929255</x:v>
      </x:c>
      <x:c r="J2250" s="10" t="n">
        <x:f>H2250*I2250</x:f>
        <x:v>45919.08920424814</x:v>
      </x:c>
      <x:c r="K2250" s="10" t="n">
        <x:f>J2250*'Assumptions'!$T$96</x:f>
        <x:v>45919.08920424814</x:v>
      </x:c>
      <x:c r="L2250" s="10" t="n">
        <x:f>K2250*'Assumptions'!$U$96</x:f>
        <x:v>1377.5726761274443</x:v>
      </x:c>
      <x:c r="M2250" s="10" t="n">
        <x:f>K2250*'Assumptions'!$V$96</x:f>
        <x:v>0</x:v>
      </x:c>
      <x:c r="N2250" s="10" t="n">
        <x:f>K2250-L2250-M2250</x:f>
        <x:v>44541.5165281207</x:v>
      </x:c>
      <x:c r="O2250" s="10" t="n">
        <x:f>H2250*'Assumptions'!$P$96*'Assumptions'!$Q$96*'Assumptions'!$D$11*(1+'Assumptions'!$D$13)^(18-1)</x:f>
        <x:v>953.3187465781285</x:v>
      </x:c>
      <x:c r="P2250" s="10" t="n">
        <x:f>H2250*'Assumptions'!$R$96*'Assumptions'!$D$11*(1+'Assumptions'!$D$13)^(18-1)</x:f>
        <x:v>2179.0142778928653</x:v>
      </x:c>
      <x:c r="Q2250" s="10" t="n">
        <x:f>J2250*'Assumptions'!$S$96</x:f>
        <x:v>29847.407982761295</x:v>
      </x:c>
      <x:c r="R2250" s="10" t="n">
        <x:f>H2250*'Assumptions'!$Y$96*'Assumptions'!$Z$96*'Assumptions'!$D$11*(1+'Assumptions'!$D$13)^(18-1)</x:f>
        <x:v>1634.2607084196488</x:v>
      </x:c>
      <x:c r="S2250" s="10" t="n">
        <x:f>IF(I2250=0,0,J2250*'Assumptions'!$W$96+H2250*'Assumptions'!$X$96)</x:f>
        <x:v>1381.0913171927868</x:v>
      </x:c>
      <x:c r="T2250" s="10" t="n">
        <x:f>N2250*'Assumptions'!$AA$96</x:f>
        <x:v>1781.660661124828</x:v>
      </x:c>
      <x:c r="U2250" s="10" t="n">
        <x:f>'Assumptions'!$AE$96*'Assumptions'!$D$11*(1+'Assumptions'!$D$13)^(18-1)</x:f>
        <x:v>0</x:v>
      </x:c>
      <x:c r="V2250" s="10" t="n">
        <x:f>0</x:f>
        <x:v>0</x:v>
      </x:c>
      <x:c r="W2250" s="10" t="n">
        <x:f>H2250*('Assumptions'!$P$96+'Assumptions'!$Y$96)</x:f>
        <x:v>49.43773026959067</x:v>
      </x:c>
      <x:c r="X2250" s="10" t="n">
        <x:f>N2250/12*'Assumptions'!$AF$96</x:f>
        <x:v>0</x:v>
      </x:c>
      <x:c r="Y2250" s="10" t="n">
        <x:f>P2250/12</x:f>
        <x:v>181.58452315773877</x:v>
      </x:c>
      <x:c r="Z2250" s="10" t="n">
        <x:f>0</x:f>
        <x:v>0</x:v>
      </x:c>
      <x:c r="AA2250" s="10" t="n">
        <x:f>Z2250*'Assumptions'!$AC$96*'Assumptions'!$D$11*(1+'Assumptions'!$D$13)^(18-1)</x:f>
        <x:v>0</x:v>
      </x:c>
      <x:c r="AB2250" s="10" t="n">
        <x:f>F2250/1</x:f>
        <x:v>68.80256671566198</x:v>
      </x:c>
      <x:c r="AC2250" s="10" t="n">
        <x:f>AB2250/'Assumptions'!$AM$96</x:f>
        <x:v>458.68377810441325</x:v>
      </x:c>
      <x:c r="AD2250" s="10" t="n">
        <x:f>IF(AB2250=0,0,T2250/AB2250)</x:f>
        <x:v>25.89526446720856</x:v>
      </x:c>
      <x:c r="AE2250" s="10" t="n">
        <x:f>AA2250*'Assumptions'!$D$21</x:f>
        <x:v>0</x:v>
      </x:c>
    </x:row>
    <x:row r="2251" ht="16" customHeight="1">
      <x:c r="A2251" s="1"/>
      <x:c r="B2251" s="1"/>
      <x:c r="C2251" s="1" t="str">
        <x:v>DOT-068</x:v>
      </x:c>
      <x:c r="D2251" s="10" t="str">
        <x:v>S’otality cleaning</x:v>
      </x:c>
      <x:c r="E2251" s="10" t="n">
        <x:v>18</x:v>
      </x:c>
      <x:c r="F2251" s="21" t="n">
        <x:f>F2123*(1+'Assumptions'!$M$97)</x:f>
        <x:v>103.20385007349297</x:v>
      </x:c>
      <x:c r="G2251" s="21" t="n">
        <x:f>H2123*'Assumptions'!$K$97</x:f>
        <x:v>143.98480127446032</x:v>
      </x:c>
      <x:c r="H2251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2251+G2251,NA())</x:f>
        <x:v>247.18865134795328</x:v>
      </x:c>
      <x:c r="I2251" s="22" t="n">
        <x:f>'Assumptions'!$H$97*IF('Assumptions'!$O$97=1,1,'Assumptions'!$D$10)*(1+'Assumptions'!$N$97)^(18-1)</x:f>
        <x:v>264.6456282273683</x:v>
      </x:c>
      <x:c r="J2251" s="10" t="n">
        <x:f>H2251*I2251</x:f>
        <x:v>65417.39592665501</x:v>
      </x:c>
      <x:c r="K2251" s="10" t="n">
        <x:f>J2251*'Assumptions'!$T$97</x:f>
        <x:v>65417.39592665501</x:v>
      </x:c>
      <x:c r="L2251" s="10" t="n">
        <x:f>K2251*'Assumptions'!$U$97</x:f>
        <x:v>1962.5218777996502</x:v>
      </x:c>
      <x:c r="M2251" s="10" t="n">
        <x:f>K2251*'Assumptions'!$V$97</x:f>
        <x:v>0</x:v>
      </x:c>
      <x:c r="N2251" s="10" t="n">
        <x:f>K2251-L2251-M2251</x:f>
        <x:v>63454.87404885536</x:v>
      </x:c>
      <x:c r="O2251" s="10" t="n">
        <x:f>H2251*'Assumptions'!$P$97*'Assumptions'!$Q$97*'Assumptions'!$D$11*(1+'Assumptions'!$D$13)^(18-1)</x:f>
        <x:v>1429.9781198671926</x:v>
      </x:c>
      <x:c r="P2251" s="10" t="n">
        <x:f>H2251*'Assumptions'!$R$97*'Assumptions'!$D$11*(1+'Assumptions'!$D$13)^(18-1)</x:f>
        <x:v>3268.521416839297</x:v>
      </x:c>
      <x:c r="Q2251" s="10" t="n">
        <x:f>J2251*'Assumptions'!$S$97</x:f>
        <x:v>42521.307352325755</x:v>
      </x:c>
      <x:c r="R2251" s="10" t="n">
        <x:f>H2251*'Assumptions'!$Y$97*'Assumptions'!$Z$97*'Assumptions'!$D$11*(1+'Assumptions'!$D$13)^(18-1)</x:f>
        <x:v>2451.391062629473</x:v>
      </x:c>
      <x:c r="S2251" s="10" t="n">
        <x:f>IF(I2251=0,0,J2251*'Assumptions'!$W$97+H2251*'Assumptions'!$X$97)</x:f>
        <x:v>1971.2610772773814</x:v>
      </x:c>
      <x:c r="T2251" s="10" t="n">
        <x:f>N2251*'Assumptions'!$AA$97</x:f>
        <x:v>2538.1949619542142</x:v>
      </x:c>
      <x:c r="U2251" s="10" t="n">
        <x:f>'Assumptions'!$AE$97*'Assumptions'!$D$11*(1+'Assumptions'!$D$13)^(18-1)</x:f>
        <x:v>0</x:v>
      </x:c>
      <x:c r="V2251" s="10" t="n">
        <x:f>0</x:f>
        <x:v>0</x:v>
      </x:c>
      <x:c r="W2251" s="10" t="n">
        <x:f>H2251*('Assumptions'!$P$97+'Assumptions'!$Y$97)</x:f>
        <x:v>74.156595404386</x:v>
      </x:c>
      <x:c r="X2251" s="10" t="n">
        <x:f>N2251/12*'Assumptions'!$AF$97</x:f>
        <x:v>0</x:v>
      </x:c>
      <x:c r="Y2251" s="10" t="n">
        <x:f>P2251/12</x:f>
        <x:v>272.3767847366081</x:v>
      </x:c>
      <x:c r="Z2251" s="10" t="n">
        <x:f>0</x:f>
        <x:v>0</x:v>
      </x:c>
      <x:c r="AA2251" s="10" t="n">
        <x:f>Z2251*'Assumptions'!$AC$97*'Assumptions'!$D$11*(1+'Assumptions'!$D$13)^(18-1)</x:f>
        <x:v>0</x:v>
      </x:c>
      <x:c r="AB2251" s="10" t="n">
        <x:f>F2251/1</x:f>
        <x:v>103.20385007349297</x:v>
      </x:c>
      <x:c r="AC2251" s="10" t="n">
        <x:f>AB2251/'Assumptions'!$AM$97</x:f>
        <x:v>688.0256671566199</x:v>
      </x:c>
      <x:c r="AD2251" s="10" t="n">
        <x:f>IF(AB2251=0,0,T2251/AB2251)</x:f>
        <x:v>24.593994895992044</x:v>
      </x:c>
      <x:c r="AE2251" s="10" t="n">
        <x:f>AA2251*'Assumptions'!$D$21</x:f>
        <x:v>0</x:v>
      </x:c>
    </x:row>
    <x:row r="2252" ht="16" customHeight="1">
      <x:c r="A2252" s="1"/>
      <x:c r="B2252" s="1"/>
      <x:c r="C2252" s="1" t="str">
        <x:v>DOT-069</x:v>
      </x:c>
      <x:c r="D2252" s="10" t="str">
        <x:v>S’otality cleaning</x:v>
      </x:c>
      <x:c r="E2252" s="10" t="n">
        <x:v>18</x:v>
      </x:c>
      <x:c r="F2252" s="21" t="n">
        <x:f>F2124*(1+'Assumptions'!$M$98)</x:f>
        <x:v>34.40128335783099</x:v>
      </x:c>
      <x:c r="G2252" s="21" t="n">
        <x:f>H2124*'Assumptions'!$K$98</x:f>
        <x:v>47.99493375815345</x:v>
      </x:c>
      <x:c r="H2252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2252+G2252,NA())</x:f>
        <x:v>82.39621711598444</x:v>
      </x:c>
      <x:c r="I2252" s="22" t="n">
        <x:f>'Assumptions'!$H$98*IF('Assumptions'!$O$98=1,1,'Assumptions'!$D$10)*(1+'Assumptions'!$N$98)^(18-1)</x:f>
        <x:v>418.67218433853503</x:v>
      </x:c>
      <x:c r="J2252" s="10" t="n">
        <x:f>H2252*I2252</x:f>
        <x:v>34497.00420118139</x:v>
      </x:c>
      <x:c r="K2252" s="10" t="n">
        <x:f>J2252*'Assumptions'!$T$98</x:f>
        <x:v>34497.00420118139</x:v>
      </x:c>
      <x:c r="L2252" s="10" t="n">
        <x:f>K2252*'Assumptions'!$U$98</x:f>
        <x:v>1034.9101260354419</x:v>
      </x:c>
      <x:c r="M2252" s="10" t="n">
        <x:f>K2252*'Assumptions'!$V$98</x:f>
        <x:v>0</x:v>
      </x:c>
      <x:c r="N2252" s="10" t="n">
        <x:f>K2252-L2252-M2252</x:f>
        <x:v>33462.09407514595</x:v>
      </x:c>
      <x:c r="O2252" s="10" t="n">
        <x:f>H2252*'Assumptions'!$P$98*'Assumptions'!$Q$98*'Assumptions'!$D$11*(1+'Assumptions'!$D$13)^(18-1)</x:f>
        <x:v>476.65937328906426</x:v>
      </x:c>
      <x:c r="P2252" s="10" t="n">
        <x:f>H2252*'Assumptions'!$R$98*'Assumptions'!$D$11*(1+'Assumptions'!$D$13)^(18-1)</x:f>
        <x:v>1089.5071389464326</x:v>
      </x:c>
      <x:c r="Q2252" s="10" t="n">
        <x:f>J2252*'Assumptions'!$S$98</x:f>
        <x:v>22423.052730767908</x:v>
      </x:c>
      <x:c r="R2252" s="10" t="n">
        <x:f>H2252*'Assumptions'!$Y$98*'Assumptions'!$Z$98*'Assumptions'!$D$11*(1+'Assumptions'!$D$13)^(18-1)</x:f>
        <x:v>817.1303542098244</x:v>
      </x:c>
      <x:c r="S2252" s="10" t="n">
        <x:f>IF(I2252=0,0,J2252*'Assumptions'!$W$98+H2252*'Assumptions'!$X$98)</x:f>
        <x:v>1025.1319869690558</x:v>
      </x:c>
      <x:c r="T2252" s="10" t="n">
        <x:f>N2252*'Assumptions'!$AA$98</x:f>
        <x:v>1338.483763005838</x:v>
      </x:c>
      <x:c r="U2252" s="10" t="n">
        <x:f>'Assumptions'!$AE$98*'Assumptions'!$D$11*(1+'Assumptions'!$D$13)^(18-1)</x:f>
        <x:v>0</x:v>
      </x:c>
      <x:c r="V2252" s="10" t="n">
        <x:f>0</x:f>
        <x:v>0</x:v>
      </x:c>
      <x:c r="W2252" s="10" t="n">
        <x:f>H2252*('Assumptions'!$P$98+'Assumptions'!$Y$98)</x:f>
        <x:v>24.718865134795337</x:v>
      </x:c>
      <x:c r="X2252" s="10" t="n">
        <x:f>N2252/12*'Assumptions'!$AF$98</x:f>
        <x:v>0</x:v>
      </x:c>
      <x:c r="Y2252" s="10" t="n">
        <x:f>P2252/12</x:f>
        <x:v>90.79226157886939</x:v>
      </x:c>
      <x:c r="Z2252" s="10" t="n">
        <x:f>0</x:f>
        <x:v>0</x:v>
      </x:c>
      <x:c r="AA2252" s="10" t="n">
        <x:f>Z2252*'Assumptions'!$AC$98*'Assumptions'!$D$11*(1+'Assumptions'!$D$13)^(18-1)</x:f>
        <x:v>0</x:v>
      </x:c>
      <x:c r="AB2252" s="10" t="n">
        <x:f>F2252/1</x:f>
        <x:v>34.40128335783099</x:v>
      </x:c>
      <x:c r="AC2252" s="10" t="n">
        <x:f>AB2252/'Assumptions'!$AM$98</x:f>
        <x:v>229.34188905220662</x:v>
      </x:c>
      <x:c r="AD2252" s="10" t="n">
        <x:f>IF(AB2252=0,0,T2252/AB2252)</x:f>
        <x:v>38.90796017937366</x:v>
      </x:c>
      <x:c r="AE2252" s="10" t="n">
        <x:f>AA2252*'Assumptions'!$D$21</x:f>
        <x:v>0</x:v>
      </x:c>
    </x:row>
    <x:row r="2253" ht="16" customHeight="1">
      <x:c r="A2253" s="1"/>
      <x:c r="B2253" s="1"/>
      <x:c r="C2253" s="1" t="str">
        <x:v>DOT-070</x:v>
      </x:c>
      <x:c r="D2253" s="10" t="str">
        <x:v>S’otality laundry</x:v>
      </x:c>
      <x:c r="E2253" s="10" t="n">
        <x:v>18</x:v>
      </x:c>
      <x:c r="F2253" s="21" t="n">
        <x:f>F2125*(1+'Assumptions'!$M$99)</x:f>
        <x:v>309.61155022047876</x:v>
      </x:c>
      <x:c r="G2253" s="21" t="n">
        <x:f>H2125*'Assumptions'!$K$99</x:f>
        <x:v>431.9544038233807</x:v>
      </x:c>
      <x:c r="H2253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2253+G2253,NA())</x:f>
        <x:v>741.5659540438594</x:v>
      </x:c>
      <x:c r="I2253" s="22" t="n">
        <x:f>'Assumptions'!$H$99*IF('Assumptions'!$O$99=1,1,'Assumptions'!$D$10)*(1+'Assumptions'!$N$99)^(18-1)</x:f>
        <x:v>84.01448515154549</x:v>
      </x:c>
      <x:c r="J2253" s="10" t="n">
        <x:f>H2253*I2253</x:f>
        <x:v>62302.28183490949</x:v>
      </x:c>
      <x:c r="K2253" s="10" t="n">
        <x:f>J2253*'Assumptions'!$T$99</x:f>
        <x:v>62302.28183490949</x:v>
      </x:c>
      <x:c r="L2253" s="10" t="n">
        <x:f>K2253*'Assumptions'!$U$99</x:f>
        <x:v>1869.0684550472845</x:v>
      </x:c>
      <x:c r="M2253" s="10" t="n">
        <x:f>K2253*'Assumptions'!$V$99</x:f>
        <x:v>0</x:v>
      </x:c>
      <x:c r="N2253" s="10" t="n">
        <x:f>K2253-L2253-M2253</x:f>
        <x:v>60433.2133798622</x:v>
      </x:c>
      <x:c r="O2253" s="10" t="n">
        <x:f>H2253*'Assumptions'!$P$99*'Assumptions'!$Q$99*'Assumptions'!$D$11*(1+'Assumptions'!$D$13)^(18-1)</x:f>
        <x:v>4289.934359601575</x:v>
      </x:c>
      <x:c r="P2253" s="10" t="n">
        <x:f>H2253*'Assumptions'!$R$99*'Assumptions'!$D$11*(1+'Assumptions'!$D$13)^(18-1)</x:f>
        <x:v>0</x:v>
      </x:c>
      <x:c r="Q2253" s="10" t="n">
        <x:f>J2253*'Assumptions'!$S$99</x:f>
        <x:v>40496.48319269117</x:v>
      </x:c>
      <x:c r="R2253" s="10" t="n">
        <x:f>H2253*'Assumptions'!$Y$99*'Assumptions'!$Z$99*'Assumptions'!$D$11*(1+'Assumptions'!$D$13)^(18-1)</x:f>
        <x:v>7354.173187888415</x:v>
      </x:c>
      <x:c r="S2253" s="10" t="n">
        <x:f>IF(I2253=0,0,J2253*'Assumptions'!$W$99+H2253*'Assumptions'!$X$99)</x:f>
        <x:v>2029.235959425533</x:v>
      </x:c>
      <x:c r="T2253" s="10" t="n">
        <x:f>N2253*'Assumptions'!$AA$99</x:f>
        <x:v>2417.3285351944883</x:v>
      </x:c>
      <x:c r="U2253" s="10" t="n">
        <x:f>'Assumptions'!$AE$99*'Assumptions'!$D$11*(1+'Assumptions'!$D$13)^(18-1)</x:f>
        <x:v>0</x:v>
      </x:c>
      <x:c r="V2253" s="10" t="n">
        <x:f>0</x:f>
        <x:v>0</x:v>
      </x:c>
      <x:c r="W2253" s="10" t="n">
        <x:f>H2253*('Assumptions'!$P$99+'Assumptions'!$Y$99)</x:f>
        <x:v>222.46978621315785</x:v>
      </x:c>
      <x:c r="X2253" s="10" t="n">
        <x:f>N2253/12*'Assumptions'!$AF$99</x:f>
        <x:v>0</x:v>
      </x:c>
      <x:c r="Y2253" s="10" t="n">
        <x:f>P2253/12</x:f>
        <x:v>0</x:v>
      </x:c>
      <x:c r="Z2253" s="10" t="n">
        <x:f>0</x:f>
        <x:v>0</x:v>
      </x:c>
      <x:c r="AA2253" s="10" t="n">
        <x:f>Z2253*'Assumptions'!$AC$99*'Assumptions'!$D$11*(1+'Assumptions'!$D$13)^(18-1)</x:f>
        <x:v>0</x:v>
      </x:c>
      <x:c r="AB2253" s="10" t="n">
        <x:f>F2253/1</x:f>
        <x:v>309.61155022047876</x:v>
      </x:c>
      <x:c r="AC2253" s="10" t="n">
        <x:f>AB2253/'Assumptions'!$AM$99</x:f>
        <x:v>2064.0770014698587</x:v>
      </x:c>
      <x:c r="AD2253" s="10" t="n">
        <x:f>IF(AB2253=0,0,T2253/AB2253)</x:f>
        <x:v>7.807617427299061</x:v>
      </x:c>
      <x:c r="AE2253" s="10" t="n">
        <x:f>AA2253*'Assumptions'!$D$21</x:f>
        <x:v>0</x:v>
      </x:c>
    </x:row>
    <x:row r="2254" ht="16" customHeight="1">
      <x:c r="A2254" s="1"/>
      <x:c r="B2254" s="1"/>
      <x:c r="C2254" s="1" t="str">
        <x:v>DOT-071</x:v>
      </x:c>
      <x:c r="D2254" s="10" t="str">
        <x:v>S’otality Personal Chef</x:v>
      </x:c>
      <x:c r="E2254" s="10" t="n">
        <x:v>18</x:v>
      </x:c>
      <x:c r="F2254" s="21" t="n">
        <x:f>F2126*(1+'Assumptions'!$M$100)</x:f>
        <x:v>51.601925036746486</x:v>
      </x:c>
      <x:c r="G2254" s="21" t="n">
        <x:f>H2126*'Assumptions'!$K$100</x:f>
        <x:v>71.98986163831346</x:v>
      </x:c>
      <x:c r="H2254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2254+G2254,NA())</x:f>
        <x:v>123.59178667505995</x:v>
      </x:c>
      <x:c r="I2254" s="22" t="n">
        <x:f>'Assumptions'!$H$100*IF('Assumptions'!$O$100=1,1,'Assumptions'!$D$10)*(1+'Assumptions'!$N$100)^(18-1)</x:f>
        <x:v>910.1569224750762</x:v>
      </x:c>
      <x:c r="J2254" s="10" t="n">
        <x:f>H2254*I2254</x:f>
        <x:v>112487.92020336869</x:v>
      </x:c>
      <x:c r="K2254" s="10" t="n">
        <x:f>J2254*'Assumptions'!$T$100</x:f>
        <x:v>112487.92020336869</x:v>
      </x:c>
      <x:c r="L2254" s="10" t="n">
        <x:f>K2254*'Assumptions'!$U$100</x:f>
        <x:v>3374.6376061010606</x:v>
      </x:c>
      <x:c r="M2254" s="10" t="n">
        <x:f>K2254*'Assumptions'!$V$100</x:f>
        <x:v>0</x:v>
      </x:c>
      <x:c r="N2254" s="10" t="n">
        <x:f>K2254-L2254-M2254</x:f>
        <x:v>109113.28259726762</x:v>
      </x:c>
      <x:c r="O2254" s="10" t="n">
        <x:f>H2254*'Assumptions'!$P$100*'Assumptions'!$Q$100*'Assumptions'!$D$11*(1+'Assumptions'!$D$13)^(18-1)</x:f>
        <x:v>4085.5678394821653</x:v>
      </x:c>
      <x:c r="P2254" s="10" t="n">
        <x:f>H2254*'Assumptions'!$R$100*'Assumptions'!$D$11*(1+'Assumptions'!$D$13)^(18-1)</x:f>
        <x:v>20427.83919741083</x:v>
      </x:c>
      <x:c r="Q2254" s="10" t="n">
        <x:f>J2254*'Assumptions'!$S$100</x:f>
        <x:v>56243.960101684344</x:v>
      </x:c>
      <x:c r="R2254" s="10" t="n">
        <x:f>H2254*'Assumptions'!$Y$100*'Assumptions'!$Z$100*'Assumptions'!$D$11*(1+'Assumptions'!$D$13)^(18-1)</x:f>
        <x:v>1225.6703518446498</x:v>
      </x:c>
      <x:c r="S2254" s="10" t="n">
        <x:f>IF(I2254=0,0,J2254*'Assumptions'!$W$100+H2254*'Assumptions'!$X$100)</x:f>
        <x:v>3299.22722190021</x:v>
      </x:c>
      <x:c r="T2254" s="10" t="n">
        <x:f>N2254*'Assumptions'!$AA$100</x:f>
        <x:v>4364.531303890705</x:v>
      </x:c>
      <x:c r="U2254" s="10" t="n">
        <x:f>'Assumptions'!$AE$100*'Assumptions'!$D$11*(1+'Assumptions'!$D$13)^(18-1)</x:f>
        <x:v>0</x:v>
      </x:c>
      <x:c r="V2254" s="10" t="n">
        <x:f>0</x:f>
        <x:v>0</x:v>
      </x:c>
      <x:c r="W2254" s="10" t="n">
        <x:f>H2254*('Assumptions'!$P$100+'Assumptions'!$Y$100)</x:f>
        <x:v>86.51425067254196</x:v>
      </x:c>
      <x:c r="X2254" s="10" t="n">
        <x:f>N2254/12*'Assumptions'!$AF$100</x:f>
        <x:v>0</x:v>
      </x:c>
      <x:c r="Y2254" s="10" t="n">
        <x:f>P2254/12</x:f>
        <x:v>1702.3199331175692</x:v>
      </x:c>
      <x:c r="Z2254" s="10" t="n">
        <x:f>0</x:f>
        <x:v>0</x:v>
      </x:c>
      <x:c r="AA2254" s="10" t="n">
        <x:f>Z2254*'Assumptions'!$AC$100*'Assumptions'!$D$11*(1+'Assumptions'!$D$13)^(18-1)</x:f>
        <x:v>0</x:v>
      </x:c>
      <x:c r="AB2254" s="10" t="n">
        <x:f>F2254/1</x:f>
        <x:v>51.601925036746486</x:v>
      </x:c>
      <x:c r="AC2254" s="10" t="n">
        <x:f>AB2254/'Assumptions'!$AM$100</x:f>
        <x:v>344.01283357830994</x:v>
      </x:c>
      <x:c r="AD2254" s="10" t="n">
        <x:f>IF(AB2254=0,0,T2254/AB2254)</x:f>
        <x:v>84.58078454985271</x:v>
      </x:c>
      <x:c r="AE2254" s="10" t="n">
        <x:f>AA2254*'Assumptions'!$D$21</x:f>
        <x:v>0</x:v>
      </x:c>
    </x:row>
    <x:row r="2255" ht="16" customHeight="1">
      <x:c r="A2255" s="1"/>
      <x:c r="B2255" s="1"/>
      <x:c r="C2255" s="1" t="str">
        <x:v>DOT-072</x:v>
      </x:c>
      <x:c r="D2255" s="10" t="str">
        <x:v>S’otality interiors</x:v>
      </x:c>
      <x:c r="E2255" s="10" t="n">
        <x:v>18</x:v>
      </x:c>
      <x:c r="F2255" s="21" t="n">
        <x:f>F2127*(1+'Assumptions'!$M$101)</x:f>
        <x:v>19.350721888779923</x:v>
      </x:c>
      <x:c r="G2255" s="21" t="n">
        <x:f>H2127*'Assumptions'!$K$101</x:f>
        <x:v>18.255198083022222</x:v>
      </x:c>
      <x:c r="H2255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2255+G2255,NA())</x:f>
        <x:v>37.605919971802145</x:v>
      </x:c>
      <x:c r="I2255" s="22" t="n">
        <x:f>'Assumptions'!$H$101*IF('Assumptions'!$O$101=1,1,'Assumptions'!$D$10)*(1+'Assumptions'!$N$101)^(18-1)</x:f>
        <x:v>2100.362128788637</x:v>
      </x:c>
      <x:c r="J2255" s="10" t="n">
        <x:f>H2255*I2255</x:f>
        <x:v>78986.05012702948</x:v>
      </x:c>
      <x:c r="K2255" s="10" t="n">
        <x:f>J2255*'Assumptions'!$T$101</x:f>
        <x:v>78986.05012702948</x:v>
      </x:c>
      <x:c r="L2255" s="10" t="n">
        <x:f>K2255*'Assumptions'!$U$101</x:f>
        <x:v>2369.5815038108844</x:v>
      </x:c>
      <x:c r="M2255" s="10" t="n">
        <x:f>K2255*'Assumptions'!$V$101</x:f>
        <x:v>0</x:v>
      </x:c>
      <x:c r="N2255" s="10" t="n">
        <x:f>K2255-L2255-M2255</x:f>
        <x:v>76616.46862321859</x:v>
      </x:c>
      <x:c r="O2255" s="10" t="n">
        <x:f>H2255*'Assumptions'!$P$101*'Assumptions'!$Q$101*'Assumptions'!$D$11*(1+'Assumptions'!$D$13)^(18-1)</x:f>
        <x:v>34186.270681636786</x:v>
      </x:c>
      <x:c r="P2255" s="10" t="n">
        <x:f>H2255*'Assumptions'!$R$101*'Assumptions'!$D$11*(1+'Assumptions'!$D$13)^(18-1)</x:f>
        <x:v>3107.842789239708</x:v>
      </x:c>
      <x:c r="Q2255" s="10" t="n">
        <x:f>J2255*'Assumptions'!$S$101</x:f>
        <x:v>0</x:v>
      </x:c>
      <x:c r="R2255" s="10" t="n">
        <x:f>H2255*'Assumptions'!$Y$101*'Assumptions'!$Z$101*'Assumptions'!$D$11*(1+'Assumptions'!$D$13)^(18-1)</x:f>
        <x:v>466.1764183859562</x:v>
      </x:c>
      <x:c r="S2255" s="10" t="n">
        <x:f>IF(I2255=0,0,J2255*'Assumptions'!$W$101+H2255*'Assumptions'!$X$101)</x:f>
        <x:v>2301.8772296753955</x:v>
      </x:c>
      <x:c r="T2255" s="10" t="n">
        <x:f>N2255*'Assumptions'!$AA$101</x:f>
        <x:v>3064.6587449287435</x:v>
      </x:c>
      <x:c r="U2255" s="10" t="n">
        <x:f>'Assumptions'!$AE$101*'Assumptions'!$D$11*(1+'Assumptions'!$D$13)^(18-1)</x:f>
        <x:v>0</x:v>
      </x:c>
      <x:c r="V2255" s="10" t="n">
        <x:f>0</x:f>
        <x:v>0</x:v>
      </x:c>
      <x:c r="W2255" s="10" t="n">
        <x:f>H2255*('Assumptions'!$P$101+'Assumptions'!$Y$101)</x:f>
        <x:v>385.460679710972</x:v>
      </x:c>
      <x:c r="X2255" s="10" t="n">
        <x:f>N2255/12*'Assumptions'!$AF$101</x:f>
        <x:v>6384.705718601549</x:v>
      </x:c>
      <x:c r="Y2255" s="10" t="n">
        <x:f>P2255/12</x:f>
        <x:v>258.986899103309</x:v>
      </x:c>
      <x:c r="Z2255" s="10" t="n">
        <x:f>0</x:f>
        <x:v>0</x:v>
      </x:c>
      <x:c r="AA2255" s="10" t="n">
        <x:f>Z2255*'Assumptions'!$AC$101*'Assumptions'!$D$11*(1+'Assumptions'!$D$13)^(18-1)</x:f>
        <x:v>0</x:v>
      </x:c>
      <x:c r="AB2255" s="10" t="n">
        <x:f>F2255/1</x:f>
        <x:v>19.350721888779923</x:v>
      </x:c>
      <x:c r="AC2255" s="10" t="n">
        <x:f>AB2255/'Assumptions'!$AM$101</x:f>
        <x:v>96.7536094438996</x:v>
      </x:c>
      <x:c r="AD2255" s="10" t="n">
        <x:f>IF(AB2255=0,0,T2255/AB2255)</x:f>
        <x:v>158.37438843590203</x:v>
      </x:c>
      <x:c r="AE2255" s="10" t="n">
        <x:f>AA2255*'Assumptions'!$D$21</x:f>
        <x:v>0</x:v>
      </x:c>
    </x:row>
    <x:row r="2256" ht="16" customHeight="1">
      <x:c r="A2256" s="1"/>
      <x:c r="B2256" s="1"/>
      <x:c r="C2256" s="1" t="str">
        <x:v>DOT-073</x:v>
      </x:c>
      <x:c r="D2256" s="10" t="str">
        <x:v>S’otality interiors</x:v>
      </x:c>
      <x:c r="E2256" s="10" t="n">
        <x:v>18</x:v>
      </x:c>
      <x:c r="F2256" s="21" t="n">
        <x:f>F2128*(1+'Assumptions'!$M$102)</x:f>
        <x:v>51.601925036746486</x:v>
      </x:c>
      <x:c r="G2256" s="21" t="n">
        <x:f>H2128*'Assumptions'!$K$102</x:f>
        <x:v>71.99240063723016</x:v>
      </x:c>
      <x:c r="H2256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2256+G2256,NA())</x:f>
        <x:v>123.59432567397664</x:v>
      </x:c>
      <x:c r="I2256" s="22" t="n">
        <x:f>'Assumptions'!$H$102*IF('Assumptions'!$O$102=1,1,'Assumptions'!$D$10)*(1+'Assumptions'!$N$102)^(18-1)</x:f>
        <x:v>420.07242575772744</x:v>
      </x:c>
      <x:c r="J2256" s="10" t="n">
        <x:f>H2256*I2256</x:f>
        <x:v>51918.568195757936</x:v>
      </x:c>
      <x:c r="K2256" s="10" t="n">
        <x:f>J2256*'Assumptions'!$T$102</x:f>
        <x:v>51918.568195757936</x:v>
      </x:c>
      <x:c r="L2256" s="10" t="n">
        <x:f>K2256*'Assumptions'!$U$102</x:f>
        <x:v>1557.557045872738</x:v>
      </x:c>
      <x:c r="M2256" s="10" t="n">
        <x:f>K2256*'Assumptions'!$V$102</x:f>
        <x:v>0</x:v>
      </x:c>
      <x:c r="N2256" s="10" t="n">
        <x:f>K2256-L2256-M2256</x:f>
        <x:v>50361.0111498852</x:v>
      </x:c>
      <x:c r="O2256" s="10" t="n">
        <x:f>H2256*'Assumptions'!$P$102*'Assumptions'!$Q$102*'Assumptions'!$D$11*(1+'Assumptions'!$D$13)^(18-1)</x:f>
        <x:v>1787.4726498339905</x:v>
      </x:c>
      <x:c r="P2256" s="10" t="n">
        <x:f>H2256*'Assumptions'!$R$102*'Assumptions'!$D$11*(1+'Assumptions'!$D$13)^(18-1)</x:f>
        <x:v>0</x:v>
      </x:c>
      <x:c r="Q2256" s="10" t="n">
        <x:f>J2256*'Assumptions'!$S$102</x:f>
        <x:v>31151.14091745476</x:v>
      </x:c>
      <x:c r="R2256" s="10" t="n">
        <x:f>H2256*'Assumptions'!$Y$102*'Assumptions'!$Z$102*'Assumptions'!$D$11*(1+'Assumptions'!$D$13)^(18-1)</x:f>
        <x:v>1225.6955313147364</x:v>
      </x:c>
      <x:c r="S2256" s="10" t="n">
        <x:f>IF(I2256=0,0,J2256*'Assumptions'!$W$102+H2256*'Assumptions'!$X$102)</x:f>
        <x:v>1542.7167753791732</x:v>
      </x:c>
      <x:c r="T2256" s="10" t="n">
        <x:f>N2256*'Assumptions'!$AA$102</x:f>
        <x:v>2014.440445995408</x:v>
      </x:c>
      <x:c r="U2256" s="10" t="n">
        <x:f>'Assumptions'!$AE$102*'Assumptions'!$D$11*(1+'Assumptions'!$D$13)^(18-1)</x:f>
        <x:v>0</x:v>
      </x:c>
      <x:c r="V2256" s="10" t="n">
        <x:f>0</x:f>
        <x:v>0</x:v>
      </x:c>
      <x:c r="W2256" s="10" t="n">
        <x:f>H2256*('Assumptions'!$P$102+'Assumptions'!$Y$102)</x:f>
        <x:v>55.61744655328949</x:v>
      </x:c>
      <x:c r="X2256" s="10" t="n">
        <x:f>N2256/12*'Assumptions'!$AF$102</x:f>
        <x:v>0</x:v>
      </x:c>
      <x:c r="Y2256" s="10" t="n">
        <x:f>P2256/12</x:f>
        <x:v>0</x:v>
      </x:c>
      <x:c r="Z2256" s="10" t="n">
        <x:f>0</x:f>
        <x:v>0</x:v>
      </x:c>
      <x:c r="AA2256" s="10" t="n">
        <x:f>Z2256*'Assumptions'!$AC$102*'Assumptions'!$D$11*(1+'Assumptions'!$D$13)^(18-1)</x:f>
        <x:v>0</x:v>
      </x:c>
      <x:c r="AB2256" s="10" t="n">
        <x:f>F2256/1</x:f>
        <x:v>51.601925036746486</x:v>
      </x:c>
      <x:c r="AC2256" s="10" t="n">
        <x:f>AB2256/'Assumptions'!$AM$102</x:f>
        <x:v>344.01283357830994</x:v>
      </x:c>
      <x:c r="AD2256" s="10" t="n">
        <x:f>IF(AB2256=0,0,T2256/AB2256)</x:f>
        <x:v>39.03808713649531</x:v>
      </x:c>
      <x:c r="AE2256" s="10" t="n">
        <x:f>AA2256*'Assumptions'!$D$21</x:f>
        <x:v>0</x:v>
      </x:c>
    </x:row>
    <x:row r="2257" ht="16" customHeight="1">
      <x:c r="A2257" s="1"/>
      <x:c r="B2257" s="1"/>
      <x:c r="C2257" s="1" t="str">
        <x:v>DOT-074</x:v>
      </x:c>
      <x:c r="D2257" s="10" t="str">
        <x:v>S’otality interiors</x:v>
      </x:c>
      <x:c r="E2257" s="10" t="n">
        <x:v>18</x:v>
      </x:c>
      <x:c r="F2257" s="21" t="n">
        <x:f>F2129*(1+'Assumptions'!$M$103)</x:f>
        <x:v>21.925090859134787</x:v>
      </x:c>
      <x:c r="G2257" s="21" t="n">
        <x:f>H2129*'Assumptions'!$K$103</x:f>
        <x:v>46.40511683741907</x:v>
      </x:c>
      <x:c r="H2257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2257+G2257,NA())</x:f>
        <x:v>68.33020769655386</x:v>
      </x:c>
      <x:c r="I2257" s="22" t="n">
        <x:f>'Assumptions'!$H$103*IF('Assumptions'!$O$103=1,1,'Assumptions'!$D$10)*(1+'Assumptions'!$N$103)^(18-1)</x:f>
        <x:v>2100.362128788637</x:v>
      </x:c>
      <x:c r="J2257" s="10" t="n">
        <x:f>H2257*I2257</x:f>
        <x:v>143518.18049810358</x:v>
      </x:c>
      <x:c r="K2257" s="10" t="n">
        <x:f>J2257*'Assumptions'!$T$103</x:f>
        <x:v>14351.81804981036</x:v>
      </x:c>
      <x:c r="L2257" s="10" t="n">
        <x:f>K2257*'Assumptions'!$U$103</x:f>
        <x:v>430.55454149431074</x:v>
      </x:c>
      <x:c r="M2257" s="10" t="n">
        <x:f>K2257*'Assumptions'!$V$103</x:f>
        <x:v>0</x:v>
      </x:c>
      <x:c r="N2257" s="10" t="n">
        <x:f>K2257-L2257-M2257</x:f>
        <x:v>13921.26350831605</x:v>
      </x:c>
      <x:c r="O2257" s="10" t="n">
        <x:f>H2257*'Assumptions'!$P$103*'Assumptions'!$Q$103*'Assumptions'!$D$11*(1+'Assumptions'!$D$13)^(18-1)</x:f>
        <x:v>4517.576880155443</x:v>
      </x:c>
      <x:c r="P2257" s="10" t="n">
        <x:f>H2257*'Assumptions'!$R$103*'Assumptions'!$D$11*(1+'Assumptions'!$D$13)^(18-1)</x:f>
        <x:v>0</x:v>
      </x:c>
      <x:c r="Q2257" s="10" t="n">
        <x:f>J2257*'Assumptions'!$S$103</x:f>
        <x:v>0</x:v>
      </x:c>
      <x:c r="R2257" s="10" t="n">
        <x:f>H2257*'Assumptions'!$Y$103*'Assumptions'!$Z$103*'Assumptions'!$D$11*(1+'Assumptions'!$D$13)^(18-1)</x:f>
        <x:v>508.22739901748736</x:v>
      </x:c>
      <x:c r="S2257" s="10" t="n">
        <x:f>IF(I2257=0,0,J2257*'Assumptions'!$W$103+H2257*'Assumptions'!$X$103)</x:f>
        <x:v>4182.52629675397</x:v>
      </x:c>
      <x:c r="T2257" s="10" t="n">
        <x:f>N2257*'Assumptions'!$AA$103</x:f>
        <x:v>696.0631754158026</x:v>
      </x:c>
      <x:c r="U2257" s="10" t="n">
        <x:f>'Assumptions'!$AE$103*'Assumptions'!$D$11*(1+'Assumptions'!$D$13)^(18-1)</x:f>
        <x:v>0</x:v>
      </x:c>
      <x:c r="V2257" s="10" t="n">
        <x:f>0</x:f>
        <x:v>0</x:v>
      </x:c>
      <x:c r="W2257" s="10" t="n">
        <x:f>H2257*('Assumptions'!$P$103+'Assumptions'!$Y$103)</x:f>
        <x:v>78.57973885103692</x:v>
      </x:c>
      <x:c r="X2257" s="10" t="n">
        <x:f>N2257/12*'Assumptions'!$AF$103</x:f>
        <x:v>0</x:v>
      </x:c>
      <x:c r="Y2257" s="10" t="n">
        <x:f>P2257/12</x:f>
        <x:v>0</x:v>
      </x:c>
      <x:c r="Z2257" s="10" t="n">
        <x:f>0</x:f>
        <x:v>0</x:v>
      </x:c>
      <x:c r="AA2257" s="10" t="n">
        <x:f>Z2257*'Assumptions'!$AC$103*'Assumptions'!$D$11*(1+'Assumptions'!$D$13)^(18-1)</x:f>
        <x:v>0</x:v>
      </x:c>
      <x:c r="AB2257" s="10" t="n">
        <x:f>F2257/1</x:f>
        <x:v>21.925090859134787</x:v>
      </x:c>
      <x:c r="AC2257" s="10" t="n">
        <x:f>AB2257/'Assumptions'!$AM$103</x:f>
        <x:v>438.50181718269573</x:v>
      </x:c>
      <x:c r="AD2257" s="10" t="n">
        <x:f>IF(AB2257=0,0,T2257/AB2257)</x:f>
        <x:v>31.74733367756136</x:v>
      </x:c>
      <x:c r="AE2257" s="10" t="n">
        <x:f>AA2257*'Assumptions'!$D$21</x:f>
        <x:v>0</x:v>
      </x:c>
    </x:row>
    <x:row r="2258" ht="16" customHeight="1">
      <x:c r="A2258" s="1"/>
      <x:c r="B2258" s="1"/>
      <x:c r="C2258" s="1" t="str">
        <x:v>DOT-075</x:v>
      </x:c>
      <x:c r="D2258" s="10" t="str">
        <x:v>S’otality concierge</x:v>
      </x:c>
      <x:c r="E2258" s="10" t="n">
        <x:v>18</x:v>
      </x:c>
      <x:c r="F2258" s="21" t="n">
        <x:f>F2130*(1+'Assumptions'!$M$104)</x:f>
        <x:v>258.0096251837324</x:v>
      </x:c>
      <x:c r="G2258" s="21" t="n">
        <x:f>H2130*'Assumptions'!$K$104</x:f>
        <x:v>243.40264110696302</x:v>
      </x:c>
      <x:c r="H2258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2258+G2258,NA())</x:f>
        <x:v>501.4122662906954</x:v>
      </x:c>
      <x:c r="I2258" s="22" t="n">
        <x:f>'Assumptions'!$H$104*IF('Assumptions'!$O$104=1,1,'Assumptions'!$D$10)*(1+'Assumptions'!$N$104)^(18-1)</x:f>
        <x:v>105.01810643943186</x:v>
      </x:c>
      <x:c r="J2258" s="10" t="n">
        <x:f>H2258*I2258</x:f>
        <x:v>52657.366751353</x:v>
      </x:c>
      <x:c r="K2258" s="10" t="n">
        <x:f>J2258*'Assumptions'!$T$104</x:f>
        <x:v>52657.366751353</x:v>
      </x:c>
      <x:c r="L2258" s="10" t="n">
        <x:f>K2258*'Assumptions'!$U$104</x:f>
        <x:v>1579.72100254059</x:v>
      </x:c>
      <x:c r="M2258" s="10" t="n">
        <x:f>K2258*'Assumptions'!$V$104</x:f>
        <x:v>0</x:v>
      </x:c>
      <x:c r="N2258" s="10" t="n">
        <x:f>K2258-L2258-M2258</x:f>
        <x:v>51077.645748812414</x:v>
      </x:c>
      <x:c r="O2258" s="10" t="n">
        <x:f>H2258*'Assumptions'!$P$104*'Assumptions'!$Q$104*'Assumptions'!$D$11*(1+'Assumptions'!$D$13)^(18-1)</x:f>
        <x:v>21754.899524677963</x:v>
      </x:c>
      <x:c r="P2258" s="10" t="n">
        <x:f>H2258*'Assumptions'!$R$104*'Assumptions'!$D$11*(1+'Assumptions'!$D$13)^(18-1)</x:f>
        <x:v>0</x:v>
      </x:c>
      <x:c r="Q2258" s="10" t="n">
        <x:f>J2258*'Assumptions'!$S$104</x:f>
        <x:v>0</x:v>
      </x:c>
      <x:c r="R2258" s="10" t="n">
        <x:f>H2258*'Assumptions'!$Y$104*'Assumptions'!$Z$104*'Assumptions'!$D$11*(1+'Assumptions'!$D$13)^(18-1)</x:f>
        <x:v>6215.685578479417</x:v>
      </x:c>
      <x:c r="S2258" s="10" t="n">
        <x:f>IF(I2258=0,0,J2258*'Assumptions'!$W$104+H2258*'Assumptions'!$X$104)</x:f>
        <x:v>1677.4873156764459</x:v>
      </x:c>
      <x:c r="T2258" s="10" t="n">
        <x:f>N2258*'Assumptions'!$AA$104</x:f>
        <x:v>2043.1058299524966</x:v>
      </x:c>
      <x:c r="U2258" s="10" t="n">
        <x:f>'Assumptions'!$AE$104*'Assumptions'!$D$11*(1+'Assumptions'!$D$13)^(18-1)</x:f>
        <x:v>0</x:v>
      </x:c>
      <x:c r="V2258" s="10" t="n">
        <x:f>0</x:f>
        <x:v>0</x:v>
      </x:c>
      <x:c r="W2258" s="10" t="n">
        <x:f>H2258*('Assumptions'!$P$104+'Assumptions'!$Y$104)</x:f>
        <x:v>501.4122662906954</x:v>
      </x:c>
      <x:c r="X2258" s="10" t="n">
        <x:f>N2258/12*'Assumptions'!$AF$104</x:f>
        <x:v>4256.4704790677015</x:v>
      </x:c>
      <x:c r="Y2258" s="10" t="n">
        <x:f>P2258/12</x:f>
        <x:v>0</x:v>
      </x:c>
      <x:c r="Z2258" s="10" t="n">
        <x:f>0</x:f>
        <x:v>0</x:v>
      </x:c>
      <x:c r="AA2258" s="10" t="n">
        <x:f>Z2258*'Assumptions'!$AC$104*'Assumptions'!$D$11*(1+'Assumptions'!$D$13)^(18-1)</x:f>
        <x:v>0</x:v>
      </x:c>
      <x:c r="AB2258" s="10" t="n">
        <x:f>F2258/1</x:f>
        <x:v>258.0096251837324</x:v>
      </x:c>
      <x:c r="AC2258" s="10" t="n">
        <x:f>AB2258/'Assumptions'!$AM$104</x:f>
        <x:v>1290.048125918662</x:v>
      </x:c>
      <x:c r="AD2258" s="10" t="n">
        <x:f>IF(AB2258=0,0,T2258/AB2258)</x:f>
        <x:v>7.918719421795103</x:v>
      </x:c>
      <x:c r="AE2258" s="10" t="n">
        <x:f>AA2258*'Assumptions'!$D$21</x:f>
        <x:v>0</x:v>
      </x:c>
    </x:row>
    <x:row r="2259" ht="16" customHeight="1">
      <x:c r="A2259" s="1"/>
      <x:c r="B2259" s="1"/>
      <x:c r="C2259" s="1" t="str">
        <x:v>DOT-076</x:v>
      </x:c>
      <x:c r="D2259" s="10" t="str">
        <x:v>S’otality administration</x:v>
      </x:c>
      <x:c r="E2259" s="10" t="n">
        <x:v>18</x:v>
      </x:c>
      <x:c r="F2259" s="21" t="n">
        <x:f>F2131*(1+'Assumptions'!$M$105)</x:f>
        <x:v>516.0192503674648</x:v>
      </x:c>
      <x:c r="G2259" s="21" t="n">
        <x:f>H2131*'Assumptions'!$K$105</x:f>
        <x:v>486.80528221392603</x:v>
      </x:c>
      <x:c r="H2259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2259+G2259,NA())</x:f>
        <x:v>1002.8245325813908</x:v>
      </x:c>
      <x:c r="I2259" s="22" t="n">
        <x:f>'Assumptions'!$H$105*IF('Assumptions'!$O$105=1,1,'Assumptions'!$D$10)*(1+'Assumptions'!$N$105)^(18-1)</x:f>
        <x:v>84.01448515154549</x:v>
      </x:c>
      <x:c r="J2259" s="10" t="n">
        <x:f>H2259*I2259</x:f>
        <x:v>84251.7868021648</x:v>
      </x:c>
      <x:c r="K2259" s="10" t="n">
        <x:f>J2259*'Assumptions'!$T$105</x:f>
        <x:v>84251.7868021648</x:v>
      </x:c>
      <x:c r="L2259" s="10" t="n">
        <x:f>K2259*'Assumptions'!$U$105</x:f>
        <x:v>2527.553604064944</x:v>
      </x:c>
      <x:c r="M2259" s="10" t="n">
        <x:f>K2259*'Assumptions'!$V$105</x:f>
        <x:v>0</x:v>
      </x:c>
      <x:c r="N2259" s="10" t="n">
        <x:f>K2259-L2259-M2259</x:f>
        <x:v>81724.23319809986</x:v>
      </x:c>
      <x:c r="O2259" s="10" t="n">
        <x:f>H2259*'Assumptions'!$P$105*'Assumptions'!$Q$105*'Assumptions'!$D$11*(1+'Assumptions'!$D$13)^(18-1)</x:f>
        <x:v>49725.484627835336</x:v>
      </x:c>
      <x:c r="P2259" s="10" t="n">
        <x:f>H2259*'Assumptions'!$R$105*'Assumptions'!$D$11*(1+'Assumptions'!$D$13)^(18-1)</x:f>
        <x:v>0</x:v>
      </x:c>
      <x:c r="Q2259" s="10" t="n">
        <x:f>J2259*'Assumptions'!$S$105</x:f>
        <x:v>0</x:v>
      </x:c>
      <x:c r="R2259" s="10" t="n">
        <x:f>H2259*'Assumptions'!$Y$105*'Assumptions'!$Z$105*'Assumptions'!$D$11*(1+'Assumptions'!$D$13)^(18-1)</x:f>
        <x:v>12431.371156958834</x:v>
      </x:c>
      <x:c r="S2259" s="10" t="n">
        <x:f>IF(I2259=0,0,J2259*'Assumptions'!$W$105+H2259*'Assumptions'!$X$105)</x:f>
        <x:v>2744.1491770371968</x:v>
      </x:c>
      <x:c r="T2259" s="10" t="n">
        <x:f>N2259*'Assumptions'!$AA$105</x:f>
        <x:v>3268.9693279239946</x:v>
      </x:c>
      <x:c r="U2259" s="10" t="n">
        <x:f>'Assumptions'!$AE$105*'Assumptions'!$D$11*(1+'Assumptions'!$D$13)^(18-1)</x:f>
        <x:v>0</x:v>
      </x:c>
      <x:c r="V2259" s="10" t="n">
        <x:f>0</x:f>
        <x:v>0</x:v>
      </x:c>
      <x:c r="W2259" s="10" t="n">
        <x:f>H2259*('Assumptions'!$P$105+'Assumptions'!$Y$105)</x:f>
        <x:v>1253.5306657267386</x:v>
      </x:c>
      <x:c r="X2259" s="10" t="n">
        <x:f>N2259/12*'Assumptions'!$AF$105</x:f>
        <x:v>6810.352766508321</x:v>
      </x:c>
      <x:c r="Y2259" s="10" t="n">
        <x:f>P2259/12</x:f>
        <x:v>0</x:v>
      </x:c>
      <x:c r="Z2259" s="10" t="n">
        <x:f>0</x:f>
        <x:v>0</x:v>
      </x:c>
      <x:c r="AA2259" s="10" t="n">
        <x:f>Z2259*'Assumptions'!$AC$105*'Assumptions'!$D$11*(1+'Assumptions'!$D$13)^(18-1)</x:f>
        <x:v>0</x:v>
      </x:c>
      <x:c r="AB2259" s="10" t="n">
        <x:f>F2259/1</x:f>
        <x:v>516.0192503674648</x:v>
      </x:c>
      <x:c r="AC2259" s="10" t="n">
        <x:f>AB2259/'Assumptions'!$AM$105</x:f>
        <x:v>2580.096251837324</x:v>
      </x:c>
      <x:c r="AD2259" s="10" t="n">
        <x:f>IF(AB2259=0,0,T2259/AB2259)</x:f>
        <x:v>6.334975537436082</x:v>
      </x:c>
      <x:c r="AE2259" s="10" t="n">
        <x:f>AA2259*'Assumptions'!$D$21</x:f>
        <x:v>0</x:v>
      </x:c>
    </x:row>
    <x:row r="2260" ht="16" customHeight="1">
      <x:c r="A2260" s="1"/>
      <x:c r="B2260" s="1"/>
      <x:c r="C2260" s="1" t="str">
        <x:v>DOT-077</x:v>
      </x:c>
      <x:c r="D2260" s="10" t="str">
        <x:v>S’otality bike tours</x:v>
      </x:c>
      <x:c r="E2260" s="10" t="n">
        <x:v>18</x:v>
      </x:c>
      <x:c r="F2260" s="21" t="n">
        <x:f>F2132*(1+'Assumptions'!$M$106)</x:f>
        <x:v>206.40770014698595</x:v>
      </x:c>
      <x:c r="G2260" s="21" t="n">
        <x:f>H2132*'Assumptions'!$K$106</x:f>
        <x:v>287.9594465532538</x:v>
      </x:c>
      <x:c r="H2260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2260+G2260,NA())</x:f>
        <x:v>494.3671467002398</x:v>
      </x:c>
      <x:c r="I2260" s="22" t="n">
        <x:f>'Assumptions'!$H$106*IF('Assumptions'!$O$106=1,1,'Assumptions'!$D$10)*(1+'Assumptions'!$N$106)^(18-1)</x:f>
        <x:v>91.01569224750762</x:v>
      </x:c>
      <x:c r="J2260" s="10" t="n">
        <x:f>H2260*I2260</x:f>
        <x:v>44995.168081347474</x:v>
      </x:c>
      <x:c r="K2260" s="10" t="n">
        <x:f>J2260*'Assumptions'!$T$106</x:f>
        <x:v>44995.168081347474</x:v>
      </x:c>
      <x:c r="L2260" s="10" t="n">
        <x:f>K2260*'Assumptions'!$U$106</x:f>
        <x:v>1349.855042440424</x:v>
      </x:c>
      <x:c r="M2260" s="10" t="n">
        <x:f>K2260*'Assumptions'!$V$106</x:f>
        <x:v>0</x:v>
      </x:c>
      <x:c r="N2260" s="10" t="n">
        <x:f>K2260-L2260-M2260</x:f>
        <x:v>43645.31303890705</x:v>
      </x:c>
      <x:c r="O2260" s="10" t="n">
        <x:f>H2260*'Assumptions'!$P$106*'Assumptions'!$Q$106*'Assumptions'!$D$11*(1+'Assumptions'!$D$13)^(18-1)</x:f>
        <x:v>4289.846231456273</x:v>
      </x:c>
      <x:c r="P2260" s="10" t="n">
        <x:f>H2260*'Assumptions'!$R$106*'Assumptions'!$D$11*(1+'Assumptions'!$D$13)^(18-1)</x:f>
        <x:v>4085.5678394821653</x:v>
      </x:c>
      <x:c r="Q2260" s="10" t="n">
        <x:f>J2260*'Assumptions'!$S$106</x:f>
        <x:v>20247.825636606365</x:v>
      </x:c>
      <x:c r="R2260" s="10" t="n">
        <x:f>H2260*'Assumptions'!$Y$106*'Assumptions'!$Z$106*'Assumptions'!$D$11*(1+'Assumptions'!$D$13)^(18-1)</x:f>
        <x:v>4902.681407378599</x:v>
      </x:c>
      <x:c r="S2260" s="10" t="n">
        <x:f>IF(I2260=0,0,J2260*'Assumptions'!$W$106+H2260*'Assumptions'!$X$106)</x:f>
        <x:v>1453.170018369149</x:v>
      </x:c>
      <x:c r="T2260" s="10" t="n">
        <x:f>N2260*'Assumptions'!$AA$106</x:f>
        <x:v>1745.812521556282</x:v>
      </x:c>
      <x:c r="U2260" s="10" t="n">
        <x:f>'Assumptions'!$AE$106*'Assumptions'!$D$11*(1+'Assumptions'!$D$13)^(18-1)</x:f>
        <x:v>0</x:v>
      </x:c>
      <x:c r="V2260" s="10" t="n">
        <x:f>0</x:f>
        <x:v>0</x:v>
      </x:c>
      <x:c r="W2260" s="10" t="n">
        <x:f>H2260*('Assumptions'!$P$106+'Assumptions'!$Y$106)</x:f>
        <x:v>173.02850134508392</x:v>
      </x:c>
      <x:c r="X2260" s="10" t="n">
        <x:f>N2260/12*'Assumptions'!$AF$106</x:f>
        <x:v>0</x:v>
      </x:c>
      <x:c r="Y2260" s="10" t="n">
        <x:f>P2260/12</x:f>
        <x:v>340.4639866235138</x:v>
      </x:c>
      <x:c r="Z2260" s="10" t="n">
        <x:f>0</x:f>
        <x:v>0</x:v>
      </x:c>
      <x:c r="AA2260" s="10" t="n">
        <x:f>Z2260*'Assumptions'!$AC$106*'Assumptions'!$D$11*(1+'Assumptions'!$D$13)^(18-1)</x:f>
        <x:v>0</x:v>
      </x:c>
      <x:c r="AB2260" s="10" t="n">
        <x:f>F2260/1</x:f>
        <x:v>206.40770014698595</x:v>
      </x:c>
      <x:c r="AC2260" s="10" t="n">
        <x:f>AB2260/'Assumptions'!$AM$106</x:f>
        <x:v>1376.0513343132397</x:v>
      </x:c>
      <x:c r="AD2260" s="10" t="n">
        <x:f>IF(AB2260=0,0,T2260/AB2260)</x:f>
        <x:v>8.458078454985271</x:v>
      </x:c>
      <x:c r="AE2260" s="10" t="n">
        <x:f>AA2260*'Assumptions'!$D$21</x:f>
        <x:v>0</x:v>
      </x:c>
    </x:row>
    <x:row r="2261" ht="16" customHeight="1">
      <x:c r="A2261" s="1"/>
      <x:c r="B2261" s="1"/>
      <x:c r="C2261" s="1" t="str">
        <x:v>DOT-078</x:v>
      </x:c>
      <x:c r="D2261" s="10" t="str">
        <x:v>S’otality editorial</x:v>
      </x:c>
      <x:c r="E2261" s="10" t="n">
        <x:v>18</x:v>
      </x:c>
      <x:c r="F2261" s="21" t="n">
        <x:f>F2133*(1+'Assumptions'!$M$107)</x:f>
        <x:v>16.770625636942608</x:v>
      </x:c>
      <x:c r="G2261" s="21" t="n">
        <x:f>H2133*'Assumptions'!$K$107</x:f>
        <x:v>8.63193892067038</x:v>
      </x:c>
      <x:c r="H2261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2261+G2261,NA())</x:f>
        <x:v>25.40256455761299</x:v>
      </x:c>
      <x:c r="I2261" s="22" t="n">
        <x:f>'Assumptions'!$H$107*IF('Assumptions'!$O$107=1,1,'Assumptions'!$D$10)*(1+'Assumptions'!$N$107)^(18-1)</x:f>
        <x:v>350.06035479810623</x:v>
      </x:c>
      <x:c r="J2261" s="10" t="n">
        <x:f>H2261*I2261</x:f>
        <x:v>8892.430761819802</x:v>
      </x:c>
      <x:c r="K2261" s="10" t="n">
        <x:f>J2261*'Assumptions'!$T$107</x:f>
        <x:v>8892.430761819802</x:v>
      </x:c>
      <x:c r="L2261" s="10" t="n">
        <x:f>K2261*'Assumptions'!$U$107</x:f>
        <x:v>266.77292285459407</x:v>
      </x:c>
      <x:c r="M2261" s="10" t="n">
        <x:f>K2261*'Assumptions'!$V$107</x:f>
        <x:v>0</x:v>
      </x:c>
      <x:c r="N2261" s="10" t="n">
        <x:f>K2261-L2261-M2261</x:f>
        <x:v>8625.657838965208</x:v>
      </x:c>
      <x:c r="O2261" s="10" t="n">
        <x:f>H2261*'Assumptions'!$P$107*'Assumptions'!$Q$107*'Assumptions'!$D$11*(1+'Assumptions'!$D$13)^(18-1)</x:f>
        <x:v>3358.925494614476</x:v>
      </x:c>
      <x:c r="P2261" s="10" t="n">
        <x:f>H2261*'Assumptions'!$R$107*'Assumptions'!$D$11*(1+'Assumptions'!$D$13)^(18-1)</x:f>
        <x:v>0</x:v>
      </x:c>
      <x:c r="Q2261" s="10" t="n">
        <x:f>J2261*'Assumptions'!$S$107</x:f>
        <x:v>0</x:v>
      </x:c>
      <x:c r="R2261" s="10" t="n">
        <x:f>H2261*'Assumptions'!$Y$107*'Assumptions'!$Z$107*'Assumptions'!$D$11*(1+'Assumptions'!$D$13)^(18-1)</x:f>
        <x:v>629.7985302402143</x:v>
      </x:c>
      <x:c r="S2261" s="10" t="n">
        <x:f>IF(I2261=0,0,J2261*'Assumptions'!$W$107+H2261*'Assumptions'!$X$107)</x:f>
        <x:v>265.5012614600582</x:v>
      </x:c>
      <x:c r="T2261" s="10" t="n">
        <x:f>N2261*'Assumptions'!$AA$107</x:f>
        <x:v>690.0526271172166</x:v>
      </x:c>
      <x:c r="U2261" s="10" t="n">
        <x:f>'Assumptions'!$AE$107*'Assumptions'!$D$11*(1+'Assumptions'!$D$13)^(18-1)</x:f>
        <x:v>0</x:v>
      </x:c>
      <x:c r="V2261" s="10" t="n">
        <x:f>0</x:f>
        <x:v>0</x:v>
      </x:c>
      <x:c r="W2261" s="10" t="n">
        <x:f>H2261*('Assumptions'!$P$107+'Assumptions'!$Y$107)</x:f>
        <x:v>63.506411394032476</x:v>
      </x:c>
      <x:c r="X2261" s="10" t="n">
        <x:f>N2261/12*'Assumptions'!$AF$107</x:f>
        <x:v>718.8048199137673</x:v>
      </x:c>
      <x:c r="Y2261" s="10" t="n">
        <x:f>P2261/12</x:f>
        <x:v>0</x:v>
      </x:c>
      <x:c r="Z2261" s="10" t="n">
        <x:f>0</x:f>
        <x:v>0</x:v>
      </x:c>
      <x:c r="AA2261" s="10" t="n">
        <x:f>Z2261*'Assumptions'!$AC$107*'Assumptions'!$D$11*(1+'Assumptions'!$D$13)^(18-1)</x:f>
        <x:v>0</x:v>
      </x:c>
      <x:c r="AB2261" s="10" t="n">
        <x:f>F2261/1</x:f>
        <x:v>16.770625636942608</x:v>
      </x:c>
      <x:c r="AC2261" s="10" t="n">
        <x:f>AB2261/'Assumptions'!$AM$107</x:f>
        <x:v>167.70625636942606</x:v>
      </x:c>
      <x:c r="AD2261" s="10" t="n">
        <x:f>IF(AB2261=0,0,T2261/AB2261)</x:f>
        <x:v>41.14650473129383</x:v>
      </x:c>
      <x:c r="AE2261" s="10" t="n">
        <x:f>AA2261*'Assumptions'!$D$21</x:f>
        <x:v>0</x:v>
      </x:c>
    </x:row>
    <x:row r="2262" ht="16" customHeight="1">
      <x:c r="A2262" s="1"/>
      <x:c r="B2262" s="1"/>
      <x:c r="C2262" s="1" t="str">
        <x:v>DOT-079</x:v>
      </x:c>
      <x:c r="D2262" s="10" t="str">
        <x:v>S’otality editorial</x:v>
      </x:c>
      <x:c r="E2262" s="10" t="n">
        <x:v>18</x:v>
      </x:c>
      <x:c r="F2262" s="21" t="n">
        <x:f>F2134*(1+'Assumptions'!$M$108)</x:f>
        <x:v>5.590208545647536</x:v>
      </x:c>
      <x:c r="G2262" s="21" t="n">
        <x:f>H2134*'Assumptions'!$K$108</x:f>
        <x:v>2.8773129735567933</x:v>
      </x:c>
      <x:c r="H2262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2262+G2262,NA())</x:f>
        <x:v>8.467521519204329</x:v>
      </x:c>
      <x:c r="I2262" s="22" t="n">
        <x:f>'Assumptions'!$H$108*IF('Assumptions'!$O$108=1,1,'Assumptions'!$D$10)*(1+'Assumptions'!$N$108)^(18-1)</x:f>
        <x:v>1400.241419192425</x:v>
      </x:c>
      <x:c r="J2262" s="10" t="n">
        <x:f>H2262*I2262</x:f>
        <x:v>11856.574349093067</x:v>
      </x:c>
      <x:c r="K2262" s="10" t="n">
        <x:f>J2262*'Assumptions'!$T$108</x:f>
        <x:v>11856.574349093067</x:v>
      </x:c>
      <x:c r="L2262" s="10" t="n">
        <x:f>K2262*'Assumptions'!$U$108</x:f>
        <x:v>355.697230472792</x:v>
      </x:c>
      <x:c r="M2262" s="10" t="n">
        <x:f>K2262*'Assumptions'!$V$108</x:f>
        <x:v>0</x:v>
      </x:c>
      <x:c r="N2262" s="10" t="n">
        <x:f>K2262-L2262-M2262</x:f>
        <x:v>11500.877118620276</x:v>
      </x:c>
      <x:c r="O2262" s="10" t="n">
        <x:f>H2262*'Assumptions'!$P$108*'Assumptions'!$Q$108*'Assumptions'!$D$11*(1+'Assumptions'!$D$13)^(18-1)</x:f>
        <x:v>4478.5673261526335</x:v>
      </x:c>
      <x:c r="P2262" s="10" t="n">
        <x:f>H2262*'Assumptions'!$R$108*'Assumptions'!$D$11*(1+'Assumptions'!$D$13)^(18-1)</x:f>
        <x:v>1399.552289422698</x:v>
      </x:c>
      <x:c r="Q2262" s="10" t="n">
        <x:f>J2262*'Assumptions'!$S$108</x:f>
        <x:v>0</x:v>
      </x:c>
      <x:c r="R2262" s="10" t="n">
        <x:f>H2262*'Assumptions'!$Y$108*'Assumptions'!$Z$108*'Assumptions'!$D$11*(1+'Assumptions'!$D$13)^(18-1)</x:f>
        <x:v>209.93284341340473</x:v>
      </x:c>
      <x:c r="S2262" s="10" t="n">
        <x:f>IF(I2262=0,0,J2262*'Assumptions'!$W$108+H2262*'Assumptions'!$X$108)</x:f>
        <x:v>346.3809125794603</x:v>
      </x:c>
      <x:c r="T2262" s="10" t="n">
        <x:f>N2262*'Assumptions'!$AA$108</x:f>
        <x:v>920.0701694896221</x:v>
      </x:c>
      <x:c r="U2262" s="10" t="n">
        <x:f>'Assumptions'!$AE$108*'Assumptions'!$D$11*(1+'Assumptions'!$D$13)^(18-1)</x:f>
        <x:v>0</x:v>
      </x:c>
      <x:c r="V2262" s="10" t="n">
        <x:f>0</x:f>
        <x:v>0</x:v>
      </x:c>
      <x:c r="W2262" s="10" t="n">
        <x:f>H2262*('Assumptions'!$P$108+'Assumptions'!$Y$108)</x:f>
        <x:v>71.9739329132368</x:v>
      </x:c>
      <x:c r="X2262" s="10" t="n">
        <x:f>N2262/12*'Assumptions'!$AF$108</x:f>
        <x:v>958.4064265516896</x:v>
      </x:c>
      <x:c r="Y2262" s="10" t="n">
        <x:f>P2262/12</x:f>
        <x:v>116.62935745189151</x:v>
      </x:c>
      <x:c r="Z2262" s="10" t="n">
        <x:f>0</x:f>
        <x:v>0</x:v>
      </x:c>
      <x:c r="AA2262" s="10" t="n">
        <x:f>Z2262*'Assumptions'!$AC$108*'Assumptions'!$D$11*(1+'Assumptions'!$D$13)^(18-1)</x:f>
        <x:v>0</x:v>
      </x:c>
      <x:c r="AB2262" s="10" t="n">
        <x:f>F2262/1</x:f>
        <x:v>5.590208545647536</x:v>
      </x:c>
      <x:c r="AC2262" s="10" t="n">
        <x:f>AB2262/'Assumptions'!$AM$108</x:f>
        <x:v>55.902085456475355</x:v>
      </x:c>
      <x:c r="AD2262" s="10" t="n">
        <x:f>IF(AB2262=0,0,T2262/AB2262)</x:f>
        <x:v>164.58601892517532</x:v>
      </x:c>
      <x:c r="AE2262" s="10" t="n">
        <x:f>AA2262*'Assumptions'!$D$21</x:f>
        <x:v>0</x:v>
      </x:c>
    </x:row>
    <x:row r="2263" ht="16" customHeight="1">
      <x:c r="A2263" s="1"/>
      <x:c r="B2263" s="1"/>
      <x:c r="C2263" s="1" t="str">
        <x:v>DOT-080</x:v>
      </x:c>
      <x:c r="D2263" s="10" t="str">
        <x:v>Tomato Odyssey</x:v>
      </x:c>
      <x:c r="E2263" s="10" t="n">
        <x:v>18</x:v>
      </x:c>
      <x:c r="F2263" s="21" t="n">
        <x:f>F2135*(1+'Assumptions'!$M$109)</x:f>
        <x:v>16.770625636942608</x:v>
      </x:c>
      <x:c r="G2263" s="21" t="n">
        <x:f>H2135*'Assumptions'!$K$109</x:f>
        <x:v>8.63193892067038</x:v>
      </x:c>
      <x:c r="H2263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2263+G2263,NA())</x:f>
        <x:v>25.40256455761299</x:v>
      </x:c>
      <x:c r="I2263" s="22" t="n">
        <x:f>'Assumptions'!$H$109*IF('Assumptions'!$O$109=1,1,'Assumptions'!$D$10)*(1+'Assumptions'!$N$109)^(18-1)</x:f>
        <x:v>350.06035479810623</x:v>
      </x:c>
      <x:c r="J2263" s="10" t="n">
        <x:f>H2263*I2263</x:f>
        <x:v>8892.430761819802</x:v>
      </x:c>
      <x:c r="K2263" s="10" t="n">
        <x:f>J2263*'Assumptions'!$T$109</x:f>
        <x:v>8892.430761819802</x:v>
      </x:c>
      <x:c r="L2263" s="10" t="n">
        <x:f>K2263*'Assumptions'!$U$109</x:f>
        <x:v>266.77292285459407</x:v>
      </x:c>
      <x:c r="M2263" s="10" t="n">
        <x:f>K2263*'Assumptions'!$V$109</x:f>
        <x:v>0</x:v>
      </x:c>
      <x:c r="N2263" s="10" t="n">
        <x:f>K2263-L2263-M2263</x:f>
        <x:v>8625.657838965208</x:v>
      </x:c>
      <x:c r="O2263" s="10" t="n">
        <x:f>H2263*'Assumptions'!$P$109*'Assumptions'!$Q$109*'Assumptions'!$D$11*(1+'Assumptions'!$D$13)^(18-1)</x:f>
        <x:v>3358.925494614476</x:v>
      </x:c>
      <x:c r="P2263" s="10" t="n">
        <x:f>H2263*'Assumptions'!$R$109*'Assumptions'!$D$11*(1+'Assumptions'!$D$13)^(18-1)</x:f>
        <x:v>0</x:v>
      </x:c>
      <x:c r="Q2263" s="10" t="n">
        <x:f>J2263*'Assumptions'!$S$109</x:f>
        <x:v>0</x:v>
      </x:c>
      <x:c r="R2263" s="10" t="n">
        <x:f>H2263*'Assumptions'!$Y$109*'Assumptions'!$Z$109*'Assumptions'!$D$11*(1+'Assumptions'!$D$13)^(18-1)</x:f>
        <x:v>629.7985302402143</x:v>
      </x:c>
      <x:c r="S2263" s="10" t="n">
        <x:f>IF(I2263=0,0,J2263*'Assumptions'!$W$109+H2263*'Assumptions'!$X$109)</x:f>
        <x:v>265.5012614600582</x:v>
      </x:c>
      <x:c r="T2263" s="10" t="n">
        <x:f>N2263*'Assumptions'!$AA$109</x:f>
        <x:v>690.0526271172166</x:v>
      </x:c>
      <x:c r="U2263" s="10" t="n">
        <x:f>'Assumptions'!$AE$109*'Assumptions'!$D$11*(1+'Assumptions'!$D$13)^(18-1)</x:f>
        <x:v>0</x:v>
      </x:c>
      <x:c r="V2263" s="10" t="n">
        <x:f>0</x:f>
        <x:v>0</x:v>
      </x:c>
      <x:c r="W2263" s="10" t="n">
        <x:f>H2263*('Assumptions'!$P$109+'Assumptions'!$Y$109)</x:f>
        <x:v>63.506411394032476</x:v>
      </x:c>
      <x:c r="X2263" s="10" t="n">
        <x:f>N2263/12*'Assumptions'!$AF$109</x:f>
        <x:v>718.8048199137673</x:v>
      </x:c>
      <x:c r="Y2263" s="10" t="n">
        <x:f>P2263/12</x:f>
        <x:v>0</x:v>
      </x:c>
      <x:c r="Z2263" s="10" t="n">
        <x:f>0</x:f>
        <x:v>0</x:v>
      </x:c>
      <x:c r="AA2263" s="10" t="n">
        <x:f>Z2263*'Assumptions'!$AC$109*'Assumptions'!$D$11*(1+'Assumptions'!$D$13)^(18-1)</x:f>
        <x:v>0</x:v>
      </x:c>
      <x:c r="AB2263" s="10" t="n">
        <x:f>F2263/1</x:f>
        <x:v>16.770625636942608</x:v>
      </x:c>
      <x:c r="AC2263" s="10" t="n">
        <x:f>AB2263/'Assumptions'!$AM$109</x:f>
        <x:v>167.70625636942606</x:v>
      </x:c>
      <x:c r="AD2263" s="10" t="n">
        <x:f>IF(AB2263=0,0,T2263/AB2263)</x:f>
        <x:v>41.14650473129383</x:v>
      </x:c>
      <x:c r="AE2263" s="10" t="n">
        <x:f>AA2263*'Assumptions'!$D$21</x:f>
        <x:v>0</x:v>
      </x:c>
    </x:row>
    <x:row r="2264" ht="16" customHeight="1">
      <x:c r="A2264" s="1"/>
      <x:c r="B2264" s="1"/>
      <x:c r="C2264" s="1" t="str">
        <x:v>DOT-081</x:v>
      </x:c>
      <x:c r="D2264" s="10" t="str">
        <x:v>Tomato Odyssey</x:v>
      </x:c>
      <x:c r="E2264" s="10" t="n">
        <x:v>18</x:v>
      </x:c>
      <x:c r="F2264" s="21" t="n">
        <x:f>F2136*(1+'Assumptions'!$M$110)</x:f>
        <x:v>5.590208545647536</x:v>
      </x:c>
      <x:c r="G2264" s="21" t="n">
        <x:f>H2136*'Assumptions'!$K$110</x:f>
        <x:v>2.8773129735567933</x:v>
      </x:c>
      <x:c r="H2264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2264+G2264,NA())</x:f>
        <x:v>8.467521519204329</x:v>
      </x:c>
      <x:c r="I2264" s="22" t="n">
        <x:f>'Assumptions'!$H$110*IF('Assumptions'!$O$110=1,1,'Assumptions'!$D$10)*(1+'Assumptions'!$N$110)^(18-1)</x:f>
        <x:v>1400.241419192425</x:v>
      </x:c>
      <x:c r="J2264" s="10" t="n">
        <x:f>H2264*I2264</x:f>
        <x:v>11856.574349093067</x:v>
      </x:c>
      <x:c r="K2264" s="10" t="n">
        <x:f>J2264*'Assumptions'!$T$110</x:f>
        <x:v>11856.574349093067</x:v>
      </x:c>
      <x:c r="L2264" s="10" t="n">
        <x:f>K2264*'Assumptions'!$U$110</x:f>
        <x:v>355.697230472792</x:v>
      </x:c>
      <x:c r="M2264" s="10" t="n">
        <x:f>K2264*'Assumptions'!$V$110</x:f>
        <x:v>0</x:v>
      </x:c>
      <x:c r="N2264" s="10" t="n">
        <x:f>K2264-L2264-M2264</x:f>
        <x:v>11500.877118620276</x:v>
      </x:c>
      <x:c r="O2264" s="10" t="n">
        <x:f>H2264*'Assumptions'!$P$110*'Assumptions'!$Q$110*'Assumptions'!$D$11*(1+'Assumptions'!$D$13)^(18-1)</x:f>
        <x:v>4478.5673261526335</x:v>
      </x:c>
      <x:c r="P2264" s="10" t="n">
        <x:f>H2264*'Assumptions'!$R$110*'Assumptions'!$D$11*(1+'Assumptions'!$D$13)^(18-1)</x:f>
        <x:v>1399.552289422698</x:v>
      </x:c>
      <x:c r="Q2264" s="10" t="n">
        <x:f>J2264*'Assumptions'!$S$110</x:f>
        <x:v>0</x:v>
      </x:c>
      <x:c r="R2264" s="10" t="n">
        <x:f>H2264*'Assumptions'!$Y$110*'Assumptions'!$Z$110*'Assumptions'!$D$11*(1+'Assumptions'!$D$13)^(18-1)</x:f>
        <x:v>209.93284341340473</x:v>
      </x:c>
      <x:c r="S2264" s="10" t="n">
        <x:f>IF(I2264=0,0,J2264*'Assumptions'!$W$110+H2264*'Assumptions'!$X$110)</x:f>
        <x:v>346.3809125794603</x:v>
      </x:c>
      <x:c r="T2264" s="10" t="n">
        <x:f>N2264*'Assumptions'!$AA$110</x:f>
        <x:v>920.0701694896221</x:v>
      </x:c>
      <x:c r="U2264" s="10" t="n">
        <x:f>'Assumptions'!$AE$110*'Assumptions'!$D$11*(1+'Assumptions'!$D$13)^(18-1)</x:f>
        <x:v>0</x:v>
      </x:c>
      <x:c r="V2264" s="10" t="n">
        <x:f>0</x:f>
        <x:v>0</x:v>
      </x:c>
      <x:c r="W2264" s="10" t="n">
        <x:f>H2264*('Assumptions'!$P$110+'Assumptions'!$Y$110)</x:f>
        <x:v>71.9739329132368</x:v>
      </x:c>
      <x:c r="X2264" s="10" t="n">
        <x:f>N2264/12*'Assumptions'!$AF$110</x:f>
        <x:v>958.4064265516896</x:v>
      </x:c>
      <x:c r="Y2264" s="10" t="n">
        <x:f>P2264/12</x:f>
        <x:v>116.62935745189151</x:v>
      </x:c>
      <x:c r="Z2264" s="10" t="n">
        <x:f>0</x:f>
        <x:v>0</x:v>
      </x:c>
      <x:c r="AA2264" s="10" t="n">
        <x:f>Z2264*'Assumptions'!$AC$110*'Assumptions'!$D$11*(1+'Assumptions'!$D$13)^(18-1)</x:f>
        <x:v>0</x:v>
      </x:c>
      <x:c r="AB2264" s="10" t="n">
        <x:f>F2264/1</x:f>
        <x:v>5.590208545647536</x:v>
      </x:c>
      <x:c r="AC2264" s="10" t="n">
        <x:f>AB2264/'Assumptions'!$AM$110</x:f>
        <x:v>55.902085456475355</x:v>
      </x:c>
      <x:c r="AD2264" s="10" t="n">
        <x:f>IF(AB2264=0,0,T2264/AB2264)</x:f>
        <x:v>164.58601892517532</x:v>
      </x:c>
      <x:c r="AE2264" s="10" t="n">
        <x:f>AA2264*'Assumptions'!$D$21</x:f>
        <x:v>0</x:v>
      </x:c>
    </x:row>
    <x:row r="2265" ht="16" customHeight="1">
      <x:c r="A2265" s="1"/>
      <x:c r="B2265" s="1"/>
      <x:c r="C2265" s="1" t="str">
        <x:v>DOT-082</x:v>
      </x:c>
      <x:c r="D2265" s="10" t="str">
        <x:v>Semajes Studio</x:v>
      </x:c>
      <x:c r="E2265" s="10" t="n">
        <x:v>18</x:v>
      </x:c>
      <x:c r="F2265" s="21" t="n">
        <x:f>F2137*(1+'Assumptions'!$M$111)</x:f>
        <x:v>38.701443777559845</x:v>
      </x:c>
      <x:c r="G2265" s="21" t="n">
        <x:f>H2137*'Assumptions'!$K$111</x:f>
        <x:v>36.510396166044444</x:v>
      </x:c>
      <x:c r="H2265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2265+G2265,NA())</x:f>
        <x:v>75.21183994360429</x:v>
      </x:c>
      <x:c r="I2265" s="22" t="n">
        <x:f>'Assumptions'!$H$111*IF('Assumptions'!$O$111=1,1,'Assumptions'!$D$10)*(1+'Assumptions'!$N$111)^(18-1)</x:f>
        <x:v>770.1327805558336</x:v>
      </x:c>
      <x:c r="J2265" s="10" t="n">
        <x:f>H2265*I2265</x:f>
        <x:v>57923.103426488284</x:v>
      </x:c>
      <x:c r="K2265" s="10" t="n">
        <x:f>J2265*'Assumptions'!$T$111</x:f>
        <x:v>57923.103426488284</x:v>
      </x:c>
      <x:c r="L2265" s="10" t="n">
        <x:f>K2265*'Assumptions'!$U$111</x:f>
        <x:v>1737.6931027946484</x:v>
      </x:c>
      <x:c r="M2265" s="10" t="n">
        <x:f>K2265*'Assumptions'!$V$111</x:f>
        <x:v>0</x:v>
      </x:c>
      <x:c r="N2265" s="10" t="n">
        <x:f>K2265-L2265-M2265</x:f>
        <x:v>56185.410323693635</x:v>
      </x:c>
      <x:c r="O2265" s="10" t="n">
        <x:f>H2265*'Assumptions'!$P$111*'Assumptions'!$Q$111*'Assumptions'!$D$11*(1+'Assumptions'!$D$13)^(18-1)</x:f>
        <x:v>37294.113470876495</x:v>
      </x:c>
      <x:c r="P2265" s="10" t="n">
        <x:f>H2265*'Assumptions'!$R$111*'Assumptions'!$D$11*(1+'Assumptions'!$D$13)^(18-1)</x:f>
        <x:v>9945.096925567064</x:v>
      </x:c>
      <x:c r="Q2265" s="10" t="n">
        <x:f>J2265*'Assumptions'!$S$111</x:f>
        <x:v>0</x:v>
      </x:c>
      <x:c r="R2265" s="10" t="n">
        <x:f>H2265*'Assumptions'!$Y$111*'Assumptions'!$Z$111*'Assumptions'!$D$11*(1+'Assumptions'!$D$13)^(18-1)</x:f>
        <x:v>932.3528367719124</x:v>
      </x:c>
      <x:c r="S2265" s="10" t="n">
        <x:f>IF(I2265=0,0,J2265*'Assumptions'!$W$111+H2265*'Assumptions'!$X$111)</x:f>
        <x:v>1702.3335513512416</x:v>
      </x:c>
      <x:c r="T2265" s="10" t="n">
        <x:f>N2265*'Assumptions'!$AA$111</x:f>
        <x:v>2247.4164129477454</x:v>
      </x:c>
      <x:c r="U2265" s="10" t="n">
        <x:f>'Assumptions'!$AE$111*'Assumptions'!$D$11*(1+'Assumptions'!$D$13)^(18-1)</x:f>
        <x:v>0</x:v>
      </x:c>
      <x:c r="V2265" s="10" t="n">
        <x:f>0</x:f>
        <x:v>0</x:v>
      </x:c>
      <x:c r="W2265" s="10" t="n">
        <x:f>H2265*('Assumptions'!$P$111+'Assumptions'!$Y$111)</x:f>
        <x:v>470.0739996475268</x:v>
      </x:c>
      <x:c r="X2265" s="10" t="n">
        <x:f>N2265/12*'Assumptions'!$AF$111</x:f>
        <x:v>4682.11752697447</x:v>
      </x:c>
      <x:c r="Y2265" s="10" t="n">
        <x:f>P2265/12</x:f>
        <x:v>828.7580771305887</x:v>
      </x:c>
      <x:c r="Z2265" s="10" t="n">
        <x:f>0</x:f>
        <x:v>0</x:v>
      </x:c>
      <x:c r="AA2265" s="10" t="n">
        <x:f>Z2265*'Assumptions'!$AC$111*'Assumptions'!$D$11*(1+'Assumptions'!$D$13)^(18-1)</x:f>
        <x:v>0</x:v>
      </x:c>
      <x:c r="AB2265" s="10" t="n">
        <x:f>F2265/1</x:f>
        <x:v>38.701443777559845</x:v>
      </x:c>
      <x:c r="AC2265" s="10" t="n">
        <x:f>AB2265/'Assumptions'!$AM$111</x:f>
        <x:v>193.5072188877992</x:v>
      </x:c>
      <x:c r="AD2265" s="10" t="n">
        <x:f>IF(AB2265=0,0,T2265/AB2265)</x:f>
        <x:v>58.07060909316409</x:v>
      </x:c>
      <x:c r="AE2265" s="10" t="n">
        <x:f>AA2265*'Assumptions'!$D$21</x:f>
        <x:v>0</x:v>
      </x:c>
    </x:row>
    <x:row r="2266" ht="16" customHeight="1">
      <x:c r="A2266" s="1"/>
      <x:c r="B2266" s="1"/>
      <x:c r="C2266" s="1" t="str">
        <x:v>DOT-083</x:v>
      </x:c>
      <x:c r="D2266" s="10" t="str">
        <x:v>Semajes Studio</x:v>
      </x:c>
      <x:c r="E2266" s="10" t="n">
        <x:v>18</x:v>
      </x:c>
      <x:c r="F2266" s="21" t="n">
        <x:f>F2138*(1+'Assumptions'!$M$112)</x:f>
        <x:v>19.350721888779923</x:v>
      </x:c>
      <x:c r="G2266" s="21" t="n">
        <x:f>H2138*'Assumptions'!$K$112</x:f>
        <x:v>18.255198083022222</x:v>
      </x:c>
      <x:c r="H2266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2266+G2266,NA())</x:f>
        <x:v>37.605919971802145</x:v>
      </x:c>
      <x:c r="I2266" s="22" t="n">
        <x:f>'Assumptions'!$H$112*IF('Assumptions'!$O$112=1,1,'Assumptions'!$D$10)*(1+'Assumptions'!$N$112)^(18-1)</x:f>
        <x:v>1680.2897030309098</x:v>
      </x:c>
      <x:c r="J2266" s="10" t="n">
        <x:f>H2266*I2266</x:f>
        <x:v>63188.84010162359</x:v>
      </x:c>
      <x:c r="K2266" s="10" t="n">
        <x:f>J2266*'Assumptions'!$T$112</x:f>
        <x:v>63188.84010162359</x:v>
      </x:c>
      <x:c r="L2266" s="10" t="n">
        <x:f>K2266*'Assumptions'!$U$112</x:f>
        <x:v>1895.6652030487076</x:v>
      </x:c>
      <x:c r="M2266" s="10" t="n">
        <x:f>K2266*'Assumptions'!$V$112</x:f>
        <x:v>0</x:v>
      </x:c>
      <x:c r="N2266" s="10" t="n">
        <x:f>K2266-L2266-M2266</x:f>
        <x:v>61293.17489857488</x:v>
      </x:c>
      <x:c r="O2266" s="10" t="n">
        <x:f>H2266*'Assumptions'!$P$112*'Assumptions'!$Q$112*'Assumptions'!$D$11*(1+'Assumptions'!$D$13)^(18-1)</x:f>
        <x:v>31078.427892397074</x:v>
      </x:c>
      <x:c r="P2266" s="10" t="n">
        <x:f>H2266*'Assumptions'!$R$112*'Assumptions'!$D$11*(1+'Assumptions'!$D$13)^(18-1)</x:f>
        <x:v>9323.528367719124</x:v>
      </x:c>
      <x:c r="Q2266" s="10" t="n">
        <x:f>J2266*'Assumptions'!$S$112</x:f>
        <x:v>0</x:v>
      </x:c>
      <x:c r="R2266" s="10" t="n">
        <x:f>H2266*'Assumptions'!$Y$112*'Assumptions'!$Z$112*'Assumptions'!$D$11*(1+'Assumptions'!$D$13)^(18-1)</x:f>
        <x:v>466.1764183859562</x:v>
      </x:c>
      <x:c r="S2266" s="10" t="n">
        <x:f>IF(I2266=0,0,J2266*'Assumptions'!$W$112+H2266*'Assumptions'!$X$112)</x:f>
        <x:v>1843.7581389386248</x:v>
      </x:c>
      <x:c r="T2266" s="10" t="n">
        <x:f>N2266*'Assumptions'!$AA$112</x:f>
        <x:v>2451.726995942995</x:v>
      </x:c>
      <x:c r="U2266" s="10" t="n">
        <x:f>'Assumptions'!$AE$112*'Assumptions'!$D$11*(1+'Assumptions'!$D$13)^(18-1)</x:f>
        <x:v>0</x:v>
      </x:c>
      <x:c r="V2266" s="10" t="n">
        <x:f>0</x:f>
        <x:v>0</x:v>
      </x:c>
      <x:c r="W2266" s="10" t="n">
        <x:f>H2266*('Assumptions'!$P$112+'Assumptions'!$Y$112)</x:f>
        <x:v>385.460679710972</x:v>
      </x:c>
      <x:c r="X2266" s="10" t="n">
        <x:f>N2266/12*'Assumptions'!$AF$112</x:f>
        <x:v>5107.76457488124</x:v>
      </x:c>
      <x:c r="Y2266" s="10" t="n">
        <x:f>P2266/12</x:f>
        <x:v>776.960697309927</x:v>
      </x:c>
      <x:c r="Z2266" s="10" t="n">
        <x:f>0</x:f>
        <x:v>0</x:v>
      </x:c>
      <x:c r="AA2266" s="10" t="n">
        <x:f>Z2266*'Assumptions'!$AC$112*'Assumptions'!$D$11*(1+'Assumptions'!$D$13)^(18-1)</x:f>
        <x:v>0</x:v>
      </x:c>
      <x:c r="AB2266" s="10" t="n">
        <x:f>F2266/1</x:f>
        <x:v>19.350721888779923</x:v>
      </x:c>
      <x:c r="AC2266" s="10" t="n">
        <x:f>AB2266/'Assumptions'!$AM$112</x:f>
        <x:v>96.7536094438996</x:v>
      </x:c>
      <x:c r="AD2266" s="10" t="n">
        <x:f>IF(AB2266=0,0,T2266/AB2266)</x:f>
        <x:v>126.69951074872165</x:v>
      </x:c>
      <x:c r="AE2266" s="10" t="n">
        <x:f>AA2266*'Assumptions'!$D$21</x:f>
        <x:v>0</x:v>
      </x:c>
    </x:row>
    <x:row r="2267" ht="16" customHeight="1">
      <x:c r="A2267" s="1"/>
      <x:c r="B2267" s="1"/>
      <x:c r="C2267" s="1" t="str">
        <x:v>DOT-084</x:v>
      </x:c>
      <x:c r="D2267" s="10" t="str">
        <x:v>Semajes Studio</x:v>
      </x:c>
      <x:c r="E2267" s="10" t="n">
        <x:v>18</x:v>
      </x:c>
      <x:c r="F2267" s="21" t="n">
        <x:f>F2139*(1+'Assumptions'!$M$113)</x:f>
        <x:v>129.0048125918662</x:v>
      </x:c>
      <x:c r="G2267" s="21" t="n">
        <x:f>H2139*'Assumptions'!$K$113</x:f>
        <x:v>121.70132055348151</x:v>
      </x:c>
      <x:c r="H2267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2267+G2267,NA())</x:f>
        <x:v>250.7061331453477</x:v>
      </x:c>
      <x:c r="I2267" s="22" t="n">
        <x:f>'Assumptions'!$H$113*IF('Assumptions'!$O$113=1,1,'Assumptions'!$D$10)*(1+'Assumptions'!$N$113)^(18-1)</x:f>
        <x:v>49.00844967173487</x:v>
      </x:c>
      <x:c r="J2267" s="10" t="n">
        <x:f>H2267*I2267</x:f>
        <x:v>12286.718908649034</x:v>
      </x:c>
      <x:c r="K2267" s="10" t="n">
        <x:f>J2267*'Assumptions'!$T$113</x:f>
        <x:v>12286.718908649034</x:v>
      </x:c>
      <x:c r="L2267" s="10" t="n">
        <x:f>K2267*'Assumptions'!$U$113</x:f>
        <x:v>368.60156725947104</x:v>
      </x:c>
      <x:c r="M2267" s="10" t="n">
        <x:f>K2267*'Assumptions'!$V$113</x:f>
        <x:v>0</x:v>
      </x:c>
      <x:c r="N2267" s="10" t="n">
        <x:f>K2267-L2267-M2267</x:f>
        <x:v>11918.117341389563</x:v>
      </x:c>
      <x:c r="O2267" s="10" t="n">
        <x:f>H2267*'Assumptions'!$P$113*'Assumptions'!$Q$113*'Assumptions'!$D$11*(1+'Assumptions'!$D$13)^(18-1)</x:f>
        <x:v>2071.895192826473</x:v>
      </x:c>
      <x:c r="P2267" s="10" t="n">
        <x:f>H2267*'Assumptions'!$R$113*'Assumptions'!$D$11*(1+'Assumptions'!$D$13)^(18-1)</x:f>
        <x:v>0</x:v>
      </x:c>
      <x:c r="Q2267" s="10" t="n">
        <x:f>J2267*'Assumptions'!$S$113</x:f>
        <x:v>0</x:v>
      </x:c>
      <x:c r="R2267" s="10" t="n">
        <x:f>H2267*'Assumptions'!$Y$113*'Assumptions'!$Z$113*'Assumptions'!$D$11*(1+'Assumptions'!$D$13)^(18-1)</x:f>
        <x:v>3107.8427892397085</x:v>
      </x:c>
      <x:c r="S2267" s="10" t="n">
        <x:f>IF(I2267=0,0,J2267*'Assumptions'!$W$113+H2267*'Assumptions'!$X$113)</x:f>
        <x:v>431.5266882944263</x:v>
      </x:c>
      <x:c r="T2267" s="10" t="n">
        <x:f>N2267*'Assumptions'!$AA$113</x:f>
        <x:v>476.72469365558254</x:v>
      </x:c>
      <x:c r="U2267" s="10" t="n">
        <x:f>'Assumptions'!$AE$113*'Assumptions'!$D$11*(1+'Assumptions'!$D$13)^(18-1)</x:f>
        <x:v>0</x:v>
      </x:c>
      <x:c r="V2267" s="10" t="n">
        <x:f>0</x:f>
        <x:v>0</x:v>
      </x:c>
      <x:c r="W2267" s="10" t="n">
        <x:f>H2267*('Assumptions'!$P$113+'Assumptions'!$Y$113)</x:f>
        <x:v>87.74714660087169</x:v>
      </x:c>
      <x:c r="X2267" s="10" t="n">
        <x:f>N2267/12*'Assumptions'!$AF$113</x:f>
        <x:v>993.1764451157969</x:v>
      </x:c>
      <x:c r="Y2267" s="10" t="n">
        <x:f>P2267/12</x:f>
        <x:v>0</x:v>
      </x:c>
      <x:c r="Z2267" s="10" t="n">
        <x:f>0</x:f>
        <x:v>0</x:v>
      </x:c>
      <x:c r="AA2267" s="10" t="n">
        <x:f>Z2267*'Assumptions'!$AC$113*'Assumptions'!$D$11*(1+'Assumptions'!$D$13)^(18-1)</x:f>
        <x:v>0</x:v>
      </x:c>
      <x:c r="AB2267" s="10" t="n">
        <x:f>F2267/1</x:f>
        <x:v>129.0048125918662</x:v>
      </x:c>
      <x:c r="AC2267" s="10" t="n">
        <x:f>AB2267/'Assumptions'!$AM$113</x:f>
        <x:v>645.024062959331</x:v>
      </x:c>
      <x:c r="AD2267" s="10" t="n">
        <x:f>IF(AB2267=0,0,T2267/AB2267)</x:f>
        <x:v>3.6954023968377148</x:v>
      </x:c>
      <x:c r="AE2267" s="10" t="n">
        <x:f>AA2267*'Assumptions'!$D$21</x:f>
        <x:v>0</x:v>
      </x:c>
    </x:row>
    <x:row r="2268" ht="16" customHeight="1">
      <x:c r="A2268" s="1"/>
      <x:c r="B2268" s="1"/>
      <x:c r="C2268" s="1" t="str">
        <x:v>DOT-085</x:v>
      </x:c>
      <x:c r="D2268" s="10" t="str">
        <x:v>Semajes Studio</x:v>
      </x:c>
      <x:c r="E2268" s="10" t="n">
        <x:v>18</x:v>
      </x:c>
      <x:c r="F2268" s="21" t="n">
        <x:f>F2140*(1+'Assumptions'!$M$114)</x:f>
        <x:v>38.701443777559845</x:v>
      </x:c>
      <x:c r="G2268" s="21" t="n">
        <x:f>H2140*'Assumptions'!$K$114</x:f>
        <x:v>36.510396166044444</x:v>
      </x:c>
      <x:c r="H2268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2268+G2268,NA())</x:f>
        <x:v>75.21183994360429</x:v>
      </x:c>
      <x:c r="I2268" s="22" t="n">
        <x:f>'Assumptions'!$H$114*IF('Assumptions'!$O$114=1,1,'Assumptions'!$D$10)*(1+'Assumptions'!$N$114)^(18-1)</x:f>
        <x:v>210.03621287886372</x:v>
      </x:c>
      <x:c r="J2268" s="10" t="n">
        <x:f>H2268*I2268</x:f>
        <x:v>15797.210025405897</x:v>
      </x:c>
      <x:c r="K2268" s="10" t="n">
        <x:f>J2268*'Assumptions'!$T$114</x:f>
        <x:v>15797.210025405897</x:v>
      </x:c>
      <x:c r="L2268" s="10" t="n">
        <x:f>K2268*'Assumptions'!$U$114</x:f>
        <x:v>473.9163007621769</x:v>
      </x:c>
      <x:c r="M2268" s="10" t="n">
        <x:f>K2268*'Assumptions'!$V$114</x:f>
        <x:v>0</x:v>
      </x:c>
      <x:c r="N2268" s="10" t="n">
        <x:f>K2268-L2268-M2268</x:f>
        <x:v>15323.29372464372</x:v>
      </x:c>
      <x:c r="O2268" s="10" t="n">
        <x:f>H2268*'Assumptions'!$P$114*'Assumptions'!$Q$114*'Assumptions'!$D$11*(1+'Assumptions'!$D$13)^(18-1)</x:f>
        <x:v>1553.921394619854</x:v>
      </x:c>
      <x:c r="P2268" s="10" t="n">
        <x:f>H2268*'Assumptions'!$R$114*'Assumptions'!$D$11*(1+'Assumptions'!$D$13)^(18-1)</x:f>
        <x:v>0</x:v>
      </x:c>
      <x:c r="Q2268" s="10" t="n">
        <x:f>J2268*'Assumptions'!$S$114</x:f>
        <x:v>0</x:v>
      </x:c>
      <x:c r="R2268" s="10" t="n">
        <x:f>H2268*'Assumptions'!$Y$114*'Assumptions'!$Z$114*'Assumptions'!$D$11*(1+'Assumptions'!$D$13)^(18-1)</x:f>
        <x:v>932.3528367719124</x:v>
      </x:c>
      <x:c r="S2268" s="10" t="n">
        <x:f>IF(I2268=0,0,J2268*'Assumptions'!$W$114+H2268*'Assumptions'!$X$114)</x:f>
        <x:v>480.68264271985237</x:v>
      </x:c>
      <x:c r="T2268" s="10" t="n">
        <x:f>N2268*'Assumptions'!$AA$114</x:f>
        <x:v>612.9317489857488</x:v>
      </x:c>
      <x:c r="U2268" s="10" t="n">
        <x:f>'Assumptions'!$AE$114*'Assumptions'!$D$11*(1+'Assumptions'!$D$13)^(18-1)</x:f>
        <x:v>0</x:v>
      </x:c>
      <x:c r="V2268" s="10" t="n">
        <x:f>0</x:f>
        <x:v>0</x:v>
      </x:c>
      <x:c r="W2268" s="10" t="n">
        <x:f>H2268*('Assumptions'!$P$114+'Assumptions'!$Y$114)</x:f>
        <x:v>37.605919971802145</x:v>
      </x:c>
      <x:c r="X2268" s="10" t="n">
        <x:f>N2268/12*'Assumptions'!$AF$114</x:f>
        <x:v>1276.94114372031</x:v>
      </x:c>
      <x:c r="Y2268" s="10" t="n">
        <x:f>P2268/12</x:f>
        <x:v>0</x:v>
      </x:c>
      <x:c r="Z2268" s="10" t="n">
        <x:f>0</x:f>
        <x:v>0</x:v>
      </x:c>
      <x:c r="AA2268" s="10" t="n">
        <x:f>Z2268*'Assumptions'!$AC$114*'Assumptions'!$D$11*(1+'Assumptions'!$D$13)^(18-1)</x:f>
        <x:v>0</x:v>
      </x:c>
      <x:c r="AB2268" s="10" t="n">
        <x:f>F2268/1</x:f>
        <x:v>38.701443777559845</x:v>
      </x:c>
      <x:c r="AC2268" s="10" t="n">
        <x:f>AB2268/'Assumptions'!$AM$114</x:f>
        <x:v>193.5072188877992</x:v>
      </x:c>
      <x:c r="AD2268" s="10" t="n">
        <x:f>IF(AB2268=0,0,T2268/AB2268)</x:f>
        <x:v>15.837438843590206</x:v>
      </x:c>
      <x:c r="AE2268" s="10" t="n">
        <x:f>AA2268*'Assumptions'!$D$21</x:f>
        <x:v>0</x:v>
      </x:c>
    </x:row>
    <x:row r="2269" ht="16" customHeight="1">
      <x:c r="A2269" s="1"/>
      <x:c r="B2269" s="1"/>
      <x:c r="C2269" s="1" t="str">
        <x:v>DOT-086</x:v>
      </x:c>
      <x:c r="D2269" s="10" t="str">
        <x:v>Semajes Studio</x:v>
      </x:c>
      <x:c r="E2269" s="10" t="n">
        <x:v>18</x:v>
      </x:c>
      <x:c r="F2269" s="21" t="n">
        <x:f>F2141*(1+'Assumptions'!$M$115)</x:f>
        <x:v>19.350721888779923</x:v>
      </x:c>
      <x:c r="G2269" s="21" t="n">
        <x:f>H2141*'Assumptions'!$K$115</x:f>
        <x:v>18.255198083022222</x:v>
      </x:c>
      <x:c r="H2269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2269+G2269,NA())</x:f>
        <x:v>37.605919971802145</x:v>
      </x:c>
      <x:c r="I2269" s="22" t="n">
        <x:f>'Assumptions'!$H$115*IF('Assumptions'!$O$115=1,1,'Assumptions'!$D$10)*(1+'Assumptions'!$N$115)^(18-1)</x:f>
        <x:v>700.1207095962125</x:v>
      </x:c>
      <x:c r="J2269" s="10" t="n">
        <x:f>H2269*I2269</x:f>
        <x:v>26328.683375676497</x:v>
      </x:c>
      <x:c r="K2269" s="10" t="n">
        <x:f>J2269*'Assumptions'!$T$115</x:f>
        <x:v>26328.683375676497</x:v>
      </x:c>
      <x:c r="L2269" s="10" t="n">
        <x:f>K2269*'Assumptions'!$U$115</x:f>
        <x:v>789.8605012702949</x:v>
      </x:c>
      <x:c r="M2269" s="10" t="n">
        <x:f>K2269*'Assumptions'!$V$115</x:f>
        <x:v>0</x:v>
      </x:c>
      <x:c r="N2269" s="10" t="n">
        <x:f>K2269-L2269-M2269</x:f>
        <x:v>25538.822874406203</x:v>
      </x:c>
      <x:c r="O2269" s="10" t="n">
        <x:f>H2269*'Assumptions'!$P$115*'Assumptions'!$Q$115*'Assumptions'!$D$11*(1+'Assumptions'!$D$13)^(18-1)</x:f>
        <x:v>3107.842789239708</x:v>
      </x:c>
      <x:c r="P2269" s="10" t="n">
        <x:f>H2269*'Assumptions'!$R$115*'Assumptions'!$D$11*(1+'Assumptions'!$D$13)^(18-1)</x:f>
        <x:v>0</x:v>
      </x:c>
      <x:c r="Q2269" s="10" t="n">
        <x:f>J2269*'Assumptions'!$S$115</x:f>
        <x:v>0</x:v>
      </x:c>
      <x:c r="R2269" s="10" t="n">
        <x:f>H2269*'Assumptions'!$Y$115*'Assumptions'!$Z$115*'Assumptions'!$D$11*(1+'Assumptions'!$D$13)^(18-1)</x:f>
        <x:v>466.1764183859562</x:v>
      </x:c>
      <x:c r="S2269" s="10" t="n">
        <x:f>IF(I2269=0,0,J2269*'Assumptions'!$W$115+H2269*'Assumptions'!$X$115)</x:f>
        <x:v>774.8135938861591</x:v>
      </x:c>
      <x:c r="T2269" s="10" t="n">
        <x:f>N2269*'Assumptions'!$AA$115</x:f>
        <x:v>1021.5529149762482</x:v>
      </x:c>
      <x:c r="U2269" s="10" t="n">
        <x:f>'Assumptions'!$AE$115*'Assumptions'!$D$11*(1+'Assumptions'!$D$13)^(18-1)</x:f>
        <x:v>0</x:v>
      </x:c>
      <x:c r="V2269" s="10" t="n">
        <x:f>0</x:f>
        <x:v>0</x:v>
      </x:c>
      <x:c r="W2269" s="10" t="n">
        <x:f>H2269*('Assumptions'!$P$115+'Assumptions'!$Y$115)</x:f>
        <x:v>47.00739996475268</x:v>
      </x:c>
      <x:c r="X2269" s="10" t="n">
        <x:f>N2269/12*'Assumptions'!$AF$115</x:f>
        <x:v>2128.2352395338503</x:v>
      </x:c>
      <x:c r="Y2269" s="10" t="n">
        <x:f>P2269/12</x:f>
        <x:v>0</x:v>
      </x:c>
      <x:c r="Z2269" s="10" t="n">
        <x:f>0</x:f>
        <x:v>0</x:v>
      </x:c>
      <x:c r="AA2269" s="10" t="n">
        <x:f>Z2269*'Assumptions'!$AC$115*'Assumptions'!$D$11*(1+'Assumptions'!$D$13)^(18-1)</x:f>
        <x:v>0</x:v>
      </x:c>
      <x:c r="AB2269" s="10" t="n">
        <x:f>F2269/1</x:f>
        <x:v>19.350721888779923</x:v>
      </x:c>
      <x:c r="AC2269" s="10" t="n">
        <x:f>AB2269/'Assumptions'!$AM$115</x:f>
        <x:v>96.7536094438996</x:v>
      </x:c>
      <x:c r="AD2269" s="10" t="n">
        <x:f>IF(AB2269=0,0,T2269/AB2269)</x:f>
        <x:v>52.791462811967364</x:v>
      </x:c>
      <x:c r="AE2269" s="10" t="n">
        <x:f>AA2269*'Assumptions'!$D$21</x:f>
        <x:v>0</x:v>
      </x:c>
    </x:row>
    <x:row r="2270" ht="16" customHeight="1">
      <x:c r="A2270" s="1"/>
      <x:c r="B2270" s="1"/>
      <x:c r="C2270" s="1" t="str">
        <x:v>DOT-087</x:v>
      </x:c>
      <x:c r="D2270" s="10" t="str">
        <x:v>Semajes Studio</x:v>
      </x:c>
      <x:c r="E2270" s="10" t="n">
        <x:v>18</x:v>
      </x:c>
      <x:c r="F2270" s="21" t="n">
        <x:f>F2142*(1+'Assumptions'!$M$116)</x:f>
        <x:v>194.10436323001338</x:v>
      </x:c>
      <x:c r="G2270" s="21" t="n">
        <x:f>H2142*'Assumptions'!$K$116</x:f>
        <x:v>79.7689154134516</x:v>
      </x:c>
      <x:c r="H2270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2270+G2270,NA())</x:f>
        <x:v>273.87327864346497</x:v>
      </x:c>
      <x:c r="I2270" s="22" t="n">
        <x:f>'Assumptions'!$H$116*IF('Assumptions'!$O$116=1,1,'Assumptions'!$D$10)*(1+'Assumptions'!$N$116)^(18-1)</x:f>
        <x:v>133.02293482328037</x:v>
      </x:c>
      <x:c r="J2270" s="10" t="n">
        <x:f>H2270*I2270</x:f>
        <x:v>36431.42729482774</x:v>
      </x:c>
      <x:c r="K2270" s="10" t="n">
        <x:f>J2270*'Assumptions'!$T$116</x:f>
        <x:v>36431.42729482774</x:v>
      </x:c>
      <x:c r="L2270" s="10" t="n">
        <x:f>K2270*'Assumptions'!$U$116</x:f>
        <x:v>1092.9428188448323</x:v>
      </x:c>
      <x:c r="M2270" s="10" t="n">
        <x:f>K2270*'Assumptions'!$V$116</x:f>
        <x:v>728.6285458965549</x:v>
      </x:c>
      <x:c r="N2270" s="10" t="n">
        <x:f>K2270-L2270-M2270</x:f>
        <x:v>34609.855930086356</x:v>
      </x:c>
      <x:c r="O2270" s="10" t="n">
        <x:f>H2270*'Assumptions'!$P$116*'Assumptions'!$Q$116*'Assumptions'!$D$11*(1+'Assumptions'!$D$13)^(18-1)</x:f>
        <x:v>3395.031001112646</x:v>
      </x:c>
      <x:c r="P2270" s="10" t="n">
        <x:f>H2270*'Assumptions'!$R$116*'Assumptions'!$D$11*(1+'Assumptions'!$D$13)^(18-1)</x:f>
        <x:v>15843.478005192348</x:v>
      </x:c>
      <x:c r="Q2270" s="10" t="n">
        <x:f>J2270*'Assumptions'!$S$116</x:f>
        <x:v>0</x:v>
      </x:c>
      <x:c r="R2270" s="10" t="n">
        <x:f>H2270*'Assumptions'!$Y$116*'Assumptions'!$Z$116*'Assumptions'!$D$11*(1+'Assumptions'!$D$13)^(18-1)</x:f>
        <x:v>2037.0186006675879</x:v>
      </x:c>
      <x:c r="S2270" s="10" t="n">
        <x:f>IF(I2270=0,0,J2270*'Assumptions'!$W$116+H2270*'Assumptions'!$X$116)</x:f>
        <x:v>1138.673375143044</x:v>
      </x:c>
      <x:c r="T2270" s="10" t="n">
        <x:f>N2270*'Assumptions'!$AA$116</x:f>
        <x:v>2768.7884744069083</x:v>
      </x:c>
      <x:c r="U2270" s="10" t="n">
        <x:f>'Assumptions'!$AE$116*'Assumptions'!$D$11*(1+'Assumptions'!$D$13)^(18-1)</x:f>
        <x:v>0</x:v>
      </x:c>
      <x:c r="V2270" s="10" t="n">
        <x:f>0</x:f>
        <x:v>0</x:v>
      </x:c>
      <x:c r="W2270" s="10" t="n">
        <x:f>H2270*('Assumptions'!$P$116+'Assumptions'!$Y$116)</x:f>
        <x:v>82.1619835930395</x:v>
      </x:c>
      <x:c r="X2270" s="10" t="n">
        <x:f>N2270/12*'Assumptions'!$AF$116</x:f>
        <x:v>0</x:v>
      </x:c>
      <x:c r="Y2270" s="10" t="n">
        <x:f>P2270/12</x:f>
        <x:v>1320.289833766029</x:v>
      </x:c>
      <x:c r="Z2270" s="10" t="n">
        <x:f>0</x:f>
        <x:v>0</x:v>
      </x:c>
      <x:c r="AA2270" s="10" t="n">
        <x:f>Z2270*'Assumptions'!$AC$116*'Assumptions'!$D$11*(1+'Assumptions'!$D$13)^(18-1)</x:f>
        <x:v>0</x:v>
      </x:c>
      <x:c r="AB2270" s="10" t="n">
        <x:f>F2270/1</x:f>
        <x:v>194.10436323001338</x:v>
      </x:c>
      <x:c r="AC2270" s="10" t="n">
        <x:f>AB2270/'Assumptions'!$AM$116</x:f>
        <x:v>6470.145441000446</x:v>
      </x:c>
      <x:c r="AD2270" s="10" t="n">
        <x:f>IF(AB2270=0,0,T2270/AB2270)</x:f>
        <x:v>14.264431918647281</x:v>
      </x:c>
      <x:c r="AE2270" s="10" t="n">
        <x:f>AA2270*'Assumptions'!$D$21</x:f>
        <x:v>0</x:v>
      </x:c>
    </x:row>
    <x:row r="2271" ht="16" customHeight="1">
      <x:c r="A2271" s="1"/>
      <x:c r="B2271" s="1"/>
      <x:c r="C2271" s="1" t="str">
        <x:v>DOT-088</x:v>
      </x:c>
      <x:c r="D2271" s="10" t="str">
        <x:v>Semajes Studio</x:v>
      </x:c>
      <x:c r="E2271" s="10" t="n">
        <x:v>18</x:v>
      </x:c>
      <x:c r="F2271" s="21" t="n">
        <x:f>F2143*(1+'Assumptions'!$M$117)</x:f>
        <x:v>97.05218161500669</x:v>
      </x:c>
      <x:c r="G2271" s="21" t="n">
        <x:f>H2143*'Assumptions'!$K$117</x:f>
        <x:v>39.8844577067258</x:v>
      </x:c>
      <x:c r="H2271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2271+G2271,NA())</x:f>
        <x:v>136.93663932173249</x:v>
      </x:c>
      <x:c r="I2271" s="22" t="n">
        <x:f>'Assumptions'!$H$117*IF('Assumptions'!$O$117=1,1,'Assumptions'!$D$10)*(1+'Assumptions'!$N$117)^(18-1)</x:f>
        <x:v>350.06035479810623</x:v>
      </x:c>
      <x:c r="J2271" s="10" t="n">
        <x:f>H2271*I2271</x:f>
        <x:v>47936.08854582598</x:v>
      </x:c>
      <x:c r="K2271" s="10" t="n">
        <x:f>J2271*'Assumptions'!$T$117</x:f>
        <x:v>47936.08854582598</x:v>
      </x:c>
      <x:c r="L2271" s="10" t="n">
        <x:f>K2271*'Assumptions'!$U$117</x:f>
        <x:v>1438.0826563747794</x:v>
      </x:c>
      <x:c r="M2271" s="10" t="n">
        <x:f>K2271*'Assumptions'!$V$117</x:f>
        <x:v>958.7217709165196</x:v>
      </x:c>
      <x:c r="N2271" s="10" t="n">
        <x:f>K2271-L2271-M2271</x:f>
        <x:v>45539.284118534684</x:v>
      </x:c>
      <x:c r="O2271" s="10" t="n">
        <x:f>H2271*'Assumptions'!$P$117*'Assumptions'!$Q$117*'Assumptions'!$D$11*(1+'Assumptions'!$D$13)^(18-1)</x:f>
        <x:v>2829.192500927205</x:v>
      </x:c>
      <x:c r="P2271" s="10" t="n">
        <x:f>H2271*'Assumptions'!$R$117*'Assumptions'!$D$11*(1+'Assumptions'!$D$13)^(18-1)</x:f>
        <x:v>24896.894008159405</x:v>
      </x:c>
      <x:c r="Q2271" s="10" t="n">
        <x:f>J2271*'Assumptions'!$S$117</x:f>
        <x:v>0</x:v>
      </x:c>
      <x:c r="R2271" s="10" t="n">
        <x:f>H2271*'Assumptions'!$Y$117*'Assumptions'!$Z$117*'Assumptions'!$D$11*(1+'Assumptions'!$D$13)^(18-1)</x:f>
        <x:v>1018.5093003337939</x:v>
      </x:c>
      <x:c r="S2271" s="10" t="n">
        <x:f>IF(I2271=0,0,J2271*'Assumptions'!$W$117+H2271*'Assumptions'!$X$117)</x:f>
        <x:v>1431.2275596254733</x:v>
      </x:c>
      <x:c r="T2271" s="10" t="n">
        <x:f>N2271*'Assumptions'!$AA$117</x:f>
        <x:v>3643.142729482775</x:v>
      </x:c>
      <x:c r="U2271" s="10" t="n">
        <x:f>'Assumptions'!$AE$117*'Assumptions'!$D$11*(1+'Assumptions'!$D$13)^(18-1)</x:f>
        <x:v>0</x:v>
      </x:c>
      <x:c r="V2271" s="10" t="n">
        <x:f>0</x:f>
        <x:v>0</x:v>
      </x:c>
      <x:c r="W2271" s="10" t="n">
        <x:f>H2271*('Assumptions'!$P$117+'Assumptions'!$Y$117)</x:f>
        <x:v>54.774655728693</x:v>
      </x:c>
      <x:c r="X2271" s="10" t="n">
        <x:f>N2271/12*'Assumptions'!$AF$117</x:f>
        <x:v>0</x:v>
      </x:c>
      <x:c r="Y2271" s="10" t="n">
        <x:f>P2271/12</x:f>
        <x:v>2074.741167346617</x:v>
      </x:c>
      <x:c r="Z2271" s="10" t="n">
        <x:f>0</x:f>
        <x:v>0</x:v>
      </x:c>
      <x:c r="AA2271" s="10" t="n">
        <x:f>Z2271*'Assumptions'!$AC$117*'Assumptions'!$D$11*(1+'Assumptions'!$D$13)^(18-1)</x:f>
        <x:v>0</x:v>
      </x:c>
      <x:c r="AB2271" s="10" t="n">
        <x:f>F2271/1</x:f>
        <x:v>97.05218161500669</x:v>
      </x:c>
      <x:c r="AC2271" s="10" t="n">
        <x:f>AB2271/'Assumptions'!$AM$117</x:f>
        <x:v>3235.072720500223</x:v>
      </x:c>
      <x:c r="AD2271" s="10" t="n">
        <x:f>IF(AB2271=0,0,T2271/AB2271)</x:f>
        <x:v>37.53797873328232</x:v>
      </x:c>
      <x:c r="AE2271" s="10" t="n">
        <x:f>AA2271*'Assumptions'!$D$21</x:f>
        <x:v>0</x:v>
      </x:c>
    </x:row>
    <x:row r="2272" ht="16" customHeight="1">
      <x:c r="A2272" s="1"/>
      <x:c r="B2272" s="1"/>
      <x:c r="C2272" s="1" t="str">
        <x:v>DOT-089</x:v>
      </x:c>
      <x:c r="D2272" s="10" t="str">
        <x:v>Semajes Studio</x:v>
      </x:c>
      <x:c r="E2272" s="10" t="n">
        <x:v>18</x:v>
      </x:c>
      <x:c r="F2272" s="21" t="n">
        <x:f>F2144*(1+'Assumptions'!$M$118)</x:f>
        <x:v>38.82087264600267</x:v>
      </x:c>
      <x:c r="G2272" s="21" t="n">
        <x:f>H2144*'Assumptions'!$K$118</x:f>
        <x:v>15.953783082690316</x:v>
      </x:c>
      <x:c r="H2272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2272+G2272,NA())</x:f>
        <x:v>54.774655728692984</x:v>
      </x:c>
      <x:c r="I2272" s="22" t="n">
        <x:f>'Assumptions'!$H$118*IF('Assumptions'!$O$118=1,1,'Assumptions'!$D$10)*(1+'Assumptions'!$N$118)^(18-1)</x:f>
        <x:v>245.04224835867436</x:v>
      </x:c>
      <x:c r="J2272" s="10" t="n">
        <x:f>H2272*I2272</x:f>
        <x:v>13422.104792831271</x:v>
      </x:c>
      <x:c r="K2272" s="10" t="n">
        <x:f>J2272*'Assumptions'!$T$118</x:f>
        <x:v>13422.104792831271</x:v>
      </x:c>
      <x:c r="L2272" s="10" t="n">
        <x:f>K2272*'Assumptions'!$U$118</x:f>
        <x:v>402.6631437849381</x:v>
      </x:c>
      <x:c r="M2272" s="10" t="n">
        <x:f>K2272*'Assumptions'!$V$118</x:f>
        <x:v>268.44209585662543</x:v>
      </x:c>
      <x:c r="N2272" s="10" t="n">
        <x:f>K2272-L2272-M2272</x:f>
        <x:v>12750.999553189708</x:v>
      </x:c>
      <x:c r="O2272" s="10" t="n">
        <x:f>H2272*'Assumptions'!$P$118*'Assumptions'!$Q$118*'Assumptions'!$D$11*(1+'Assumptions'!$D$13)^(18-1)</x:f>
        <x:v>2263.3540007417637</x:v>
      </x:c>
      <x:c r="P2272" s="10" t="n">
        <x:f>H2272*'Assumptions'!$R$118*'Assumptions'!$D$11*(1+'Assumptions'!$D$13)^(18-1)</x:f>
        <x:v>8148.074402670349</x:v>
      </x:c>
      <x:c r="Q2272" s="10" t="n">
        <x:f>J2272*'Assumptions'!$S$118</x:f>
        <x:v>0</x:v>
      </x:c>
      <x:c r="R2272" s="10" t="n">
        <x:f>H2272*'Assumptions'!$Y$118*'Assumptions'!$Z$118*'Assumptions'!$D$11*(1+'Assumptions'!$D$13)^(18-1)</x:f>
        <x:v>407.4037201335174</x:v>
      </x:c>
      <x:c r="S2272" s="10" t="n">
        <x:f>IF(I2272=0,0,J2272*'Assumptions'!$W$118+H2272*'Assumptions'!$X$118)</x:f>
        <x:v>405.6734357107148</x:v>
      </x:c>
      <x:c r="T2272" s="10" t="n">
        <x:f>N2272*'Assumptions'!$AA$118</x:f>
        <x:v>1020.0799642551766</x:v>
      </x:c>
      <x:c r="U2272" s="10" t="n">
        <x:f>'Assumptions'!$AE$118*'Assumptions'!$D$11*(1+'Assumptions'!$D$13)^(18-1)</x:f>
        <x:v>0</x:v>
      </x:c>
      <x:c r="V2272" s="10" t="n">
        <x:f>0</x:f>
        <x:v>0</x:v>
      </x:c>
      <x:c r="W2272" s="10" t="n">
        <x:f>H2272*('Assumptions'!$P$118+'Assumptions'!$Y$118)</x:f>
        <x:v>35.60352622365044</x:v>
      </x:c>
      <x:c r="X2272" s="10" t="n">
        <x:f>N2272/12*'Assumptions'!$AF$118</x:f>
        <x:v>0</x:v>
      </x:c>
      <x:c r="Y2272" s="10" t="n">
        <x:f>P2272/12</x:f>
        <x:v>679.0062002225291</x:v>
      </x:c>
      <x:c r="Z2272" s="10" t="n">
        <x:f>0</x:f>
        <x:v>0</x:v>
      </x:c>
      <x:c r="AA2272" s="10" t="n">
        <x:f>Z2272*'Assumptions'!$AC$118*'Assumptions'!$D$11*(1+'Assumptions'!$D$13)^(18-1)</x:f>
        <x:v>0</x:v>
      </x:c>
      <x:c r="AB2272" s="10" t="n">
        <x:f>F2272/1</x:f>
        <x:v>38.82087264600267</x:v>
      </x:c>
      <x:c r="AC2272" s="10" t="n">
        <x:f>AB2272/'Assumptions'!$AM$118</x:f>
        <x:v>1294.029088200089</x:v>
      </x:c>
      <x:c r="AD2272" s="10" t="n">
        <x:f>IF(AB2272=0,0,T2272/AB2272)</x:f>
        <x:v>26.27658511329762</x:v>
      </x:c>
      <x:c r="AE2272" s="10" t="n">
        <x:f>AA2272*'Assumptions'!$D$21</x:f>
        <x:v>0</x:v>
      </x:c>
    </x:row>
    <x:row r="2273" ht="16" customHeight="1">
      <x:c r="A2273" s="1"/>
      <x:c r="B2273" s="1"/>
      <x:c r="C2273" s="1" t="str">
        <x:v>DOT-090</x:v>
      </x:c>
      <x:c r="D2273" s="10" t="str">
        <x:v>Semajes Marketplace</x:v>
      </x:c>
      <x:c r="E2273" s="10" t="n">
        <x:v>18</x:v>
      </x:c>
      <x:c r="F2273" s="21" t="n">
        <x:f>F2145*(1+'Assumptions'!$M$119)</x:f>
        <x:v>109.62545429567393</x:v>
      </x:c>
      <x:c r="G2273" s="21" t="n">
        <x:f>H2145*'Assumptions'!$K$119</x:f>
        <x:v>231.9557950328992</x:v>
      </x:c>
      <x:c r="H2273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2273+G2273,NA())</x:f>
        <x:v>341.5812493285731</x:v>
      </x:c>
      <x:c r="I2273" s="22" t="n">
        <x:f>'Assumptions'!$H$119*IF('Assumptions'!$O$119=1,1,'Assumptions'!$D$10)*(1+'Assumptions'!$N$119)^(18-1)</x:f>
        <x:v>840.1448515154549</x:v>
      </x:c>
      <x:c r="J2273" s="10" t="n">
        <x:f>H2273*I2273</x:f>
        <x:v>286977.7279976176</x:v>
      </x:c>
      <x:c r="K2273" s="10" t="n">
        <x:f>J2273*'Assumptions'!$T$119</x:f>
        <x:v>43046.65919964264</x:v>
      </x:c>
      <x:c r="L2273" s="10" t="n">
        <x:f>K2273*'Assumptions'!$U$119</x:f>
        <x:v>1291.3997759892793</x:v>
      </x:c>
      <x:c r="M2273" s="10" t="n">
        <x:f>K2273*'Assumptions'!$V$119</x:f>
        <x:v>0</x:v>
      </x:c>
      <x:c r="N2273" s="10" t="n">
        <x:f>K2273-L2273-M2273</x:f>
        <x:v>41755.25942365336</x:v>
      </x:c>
      <x:c r="O2273" s="10" t="n">
        <x:f>H2273*'Assumptions'!$P$119*'Assumptions'!$Q$119*'Assumptions'!$D$11*(1+'Assumptions'!$D$13)^(18-1)</x:f>
        <x:v>4940.090392835141</x:v>
      </x:c>
      <x:c r="P2273" s="10" t="n">
        <x:f>H2273*'Assumptions'!$R$119*'Assumptions'!$D$11*(1+'Assumptions'!$D$13)^(18-1)</x:f>
        <x:v>0</x:v>
      </x:c>
      <x:c r="Q2273" s="10" t="n">
        <x:f>J2273*'Assumptions'!$S$119</x:f>
        <x:v>0</x:v>
      </x:c>
      <x:c r="R2273" s="10" t="n">
        <x:f>H2273*'Assumptions'!$Y$119*'Assumptions'!$Z$119*'Assumptions'!$D$11*(1+'Assumptions'!$D$13)^(18-1)</x:f>
        <x:v>2540.617916315215</x:v>
      </x:c>
      <x:c r="S2273" s="10" t="n">
        <x:f>IF(I2273=0,0,J2273*'Assumptions'!$W$119+H2273*'Assumptions'!$X$119)</x:f>
        <x:v>8424.828486729484</x:v>
      </x:c>
      <x:c r="T2273" s="10" t="n">
        <x:f>N2273*'Assumptions'!$AA$119</x:f>
        <x:v>2087.762971182668</x:v>
      </x:c>
      <x:c r="U2273" s="10" t="n">
        <x:f>'Assumptions'!$AE$119*'Assumptions'!$D$11*(1+'Assumptions'!$D$13)^(18-1)</x:f>
        <x:v>396.68343174522045</x:v>
      </x:c>
      <x:c r="V2273" s="10" t="n">
        <x:f>0</x:f>
        <x:v>0</x:v>
      </x:c>
      <x:c r="W2273" s="10" t="n">
        <x:f>H2273*('Assumptions'!$P$119+'Assumptions'!$Y$119)</x:f>
        <x:v>136.63249973142925</x:v>
      </x:c>
      <x:c r="X2273" s="10" t="n">
        <x:f>N2273/12*'Assumptions'!$AF$119</x:f>
        <x:v>0</x:v>
      </x:c>
      <x:c r="Y2273" s="10" t="n">
        <x:f>P2273/12</x:f>
        <x:v>0</x:v>
      </x:c>
      <x:c r="Z2273" s="10" t="n">
        <x:f>0</x:f>
        <x:v>0</x:v>
      </x:c>
      <x:c r="AA2273" s="10" t="n">
        <x:f>Z2273*'Assumptions'!$AC$119*'Assumptions'!$D$11*(1+'Assumptions'!$D$13)^(18-1)</x:f>
        <x:v>0</x:v>
      </x:c>
      <x:c r="AB2273" s="10" t="n">
        <x:f>F2273/1</x:f>
        <x:v>109.62545429567393</x:v>
      </x:c>
      <x:c r="AC2273" s="10" t="n">
        <x:f>AB2273/'Assumptions'!$AM$119</x:f>
        <x:v>2192.5090859134784</x:v>
      </x:c>
      <x:c r="AD2273" s="10" t="n">
        <x:f>IF(AB2273=0,0,T2273/AB2273)</x:f>
        <x:v>19.04450918444272</x:v>
      </x:c>
      <x:c r="AE2273" s="10" t="n">
        <x:f>AA2273*'Assumptions'!$D$21</x:f>
        <x:v>0</x:v>
      </x:c>
    </x:row>
    <x:row r="2274" ht="16" customHeight="1">
      <x:c r="A2274" s="1"/>
      <x:c r="B2274" s="1"/>
      <x:c r="C2274" s="1" t="str">
        <x:v>DOT-091</x:v>
      </x:c>
      <x:c r="D2274" s="10" t="str">
        <x:v>Semajes Marketplace</x:v>
      </x:c>
      <x:c r="E2274" s="10" t="n">
        <x:v>18</x:v>
      </x:c>
      <x:c r="F2274" s="21" t="n">
        <x:f>F2146*(1+'Assumptions'!$M$120)</x:f>
        <x:v>219.25090859134787</x:v>
      </x:c>
      <x:c r="G2274" s="21" t="n">
        <x:f>H2146*'Assumptions'!$K$120</x:f>
        <x:v>463.9115900657984</x:v>
      </x:c>
      <x:c r="H2274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2274+G2274,NA())</x:f>
        <x:v>683.1624986571462</x:v>
      </x:c>
      <x:c r="I2274" s="22" t="n">
        <x:f>'Assumptions'!$H$120*IF('Assumptions'!$O$120=1,1,'Assumptions'!$D$10)*(1+'Assumptions'!$N$120)^(18-1)</x:f>
        <x:v>105.01810643943186</x:v>
      </x:c>
      <x:c r="J2274" s="10" t="n">
        <x:f>H2274*I2274</x:f>
        <x:v>71744.4319994044</x:v>
      </x:c>
      <x:c r="K2274" s="10" t="n">
        <x:f>J2274*'Assumptions'!$T$120</x:f>
        <x:v>14348.886399880881</x:v>
      </x:c>
      <x:c r="L2274" s="10" t="n">
        <x:f>K2274*'Assumptions'!$U$120</x:f>
        <x:v>430.4665919964264</x:v>
      </x:c>
      <x:c r="M2274" s="10" t="n">
        <x:f>K2274*'Assumptions'!$V$120</x:f>
        <x:v>0</x:v>
      </x:c>
      <x:c r="N2274" s="10" t="n">
        <x:f>K2274-L2274-M2274</x:f>
        <x:v>13918.419807884455</x:v>
      </x:c>
      <x:c r="O2274" s="10" t="n">
        <x:f>H2274*'Assumptions'!$P$120*'Assumptions'!$Q$120*'Assumptions'!$D$11*(1+'Assumptions'!$D$13)^(18-1)</x:f>
        <x:v>3952.072314268113</x:v>
      </x:c>
      <x:c r="P2274" s="10" t="n">
        <x:f>H2274*'Assumptions'!$R$120*'Assumptions'!$D$11*(1+'Assumptions'!$D$13)^(18-1)</x:f>
        <x:v>0</x:v>
      </x:c>
      <x:c r="Q2274" s="10" t="n">
        <x:f>J2274*'Assumptions'!$S$120</x:f>
        <x:v>0</x:v>
      </x:c>
      <x:c r="R2274" s="10" t="n">
        <x:f>H2274*'Assumptions'!$Y$120*'Assumptions'!$Z$120*'Assumptions'!$D$11*(1+'Assumptions'!$D$13)^(18-1)</x:f>
        <x:v>5081.23583263043</x:v>
      </x:c>
      <x:c r="S2274" s="10" t="n">
        <x:f>IF(I2274=0,0,J2274*'Assumptions'!$W$120+H2274*'Assumptions'!$X$120)</x:f>
        <x:v>2285.537277579872</x:v>
      </x:c>
      <x:c r="T2274" s="10" t="n">
        <x:f>N2274*'Assumptions'!$AA$120</x:f>
        <x:v>695.9209903942228</x:v>
      </x:c>
      <x:c r="U2274" s="10" t="n">
        <x:f>'Assumptions'!$AE$120*'Assumptions'!$D$11*(1+'Assumptions'!$D$13)^(18-1)</x:f>
        <x:v>0</x:v>
      </x:c>
      <x:c r="V2274" s="10" t="n">
        <x:f>0</x:f>
        <x:v>0</x:v>
      </x:c>
      <x:c r="W2274" s="10" t="n">
        <x:f>H2274*('Assumptions'!$P$120+'Assumptions'!$Y$120)</x:f>
        <x:v>170.79062466428655</x:v>
      </x:c>
      <x:c r="X2274" s="10" t="n">
        <x:f>N2274/12*'Assumptions'!$AF$120</x:f>
        <x:v>0</x:v>
      </x:c>
      <x:c r="Y2274" s="10" t="n">
        <x:f>P2274/12</x:f>
        <x:v>0</x:v>
      </x:c>
      <x:c r="Z2274" s="10" t="n">
        <x:f>0</x:f>
        <x:v>0</x:v>
      </x:c>
      <x:c r="AA2274" s="10" t="n">
        <x:f>Z2274*'Assumptions'!$AC$120*'Assumptions'!$D$11*(1+'Assumptions'!$D$13)^(18-1)</x:f>
        <x:v>0</x:v>
      </x:c>
      <x:c r="AB2274" s="10" t="n">
        <x:f>F2274/1</x:f>
        <x:v>219.25090859134787</x:v>
      </x:c>
      <x:c r="AC2274" s="10" t="n">
        <x:f>AB2274/'Assumptions'!$AM$120</x:f>
        <x:v>4385.018171826957</x:v>
      </x:c>
      <x:c r="AD2274" s="10" t="n">
        <x:f>IF(AB2274=0,0,T2274/AB2274)</x:f>
        <x:v>3.1740848640737878</x:v>
      </x:c>
      <x:c r="AE2274" s="10" t="n">
        <x:f>AA2274*'Assumptions'!$D$21</x:f>
        <x:v>0</x:v>
      </x:c>
    </x:row>
    <x:row r="2275" ht="16" customHeight="1">
      <x:c r="A2275" s="1"/>
      <x:c r="B2275" s="1"/>
      <x:c r="C2275" s="1" t="str">
        <x:v>DOT-092</x:v>
      </x:c>
      <x:c r="D2275" s="10" t="str">
        <x:v>Semajes Marketplace</x:v>
      </x:c>
      <x:c r="E2275" s="10" t="n">
        <x:v>18</x:v>
      </x:c>
      <x:c r="F2275" s="21" t="n">
        <x:f>F2147*(1+'Assumptions'!$M$121)</x:f>
        <x:v>109.62545429567393</x:v>
      </x:c>
      <x:c r="G2275" s="21" t="n">
        <x:f>H2147*'Assumptions'!$K$121</x:f>
        <x:v>231.9557950328992</x:v>
      </x:c>
      <x:c r="H2275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2275+G2275,NA())</x:f>
        <x:v>341.5812493285731</x:v>
      </x:c>
      <x:c r="I2275" s="22" t="n">
        <x:f>'Assumptions'!$H$121*IF('Assumptions'!$O$121=1,1,'Assumptions'!$D$10)*(1+'Assumptions'!$N$121)^(18-1)</x:f>
        <x:v>350.06035479810623</x:v>
      </x:c>
      <x:c r="J2275" s="10" t="n">
        <x:f>H2275*I2275</x:f>
        <x:v>119574.05333234069</x:v>
      </x:c>
      <x:c r="K2275" s="10" t="n">
        <x:f>J2275*'Assumptions'!$T$121</x:f>
        <x:v>23914.81066646814</x:v>
      </x:c>
      <x:c r="L2275" s="10" t="n">
        <x:f>K2275*'Assumptions'!$U$121</x:f>
        <x:v>717.4443199940441</x:v>
      </x:c>
      <x:c r="M2275" s="10" t="n">
        <x:f>K2275*'Assumptions'!$V$121</x:f>
        <x:v>0</x:v>
      </x:c>
      <x:c r="N2275" s="10" t="n">
        <x:f>K2275-L2275-M2275</x:f>
        <x:v>23197.366346474097</x:v>
      </x:c>
      <x:c r="O2275" s="10" t="n">
        <x:f>H2275*'Assumptions'!$P$121*'Assumptions'!$Q$121*'Assumptions'!$D$11*(1+'Assumptions'!$D$13)^(18-1)</x:f>
        <x:v>2964.0542357010845</x:v>
      </x:c>
      <x:c r="P2275" s="10" t="n">
        <x:f>H2275*'Assumptions'!$R$121*'Assumptions'!$D$11*(1+'Assumptions'!$D$13)^(18-1)</x:f>
        <x:v>0</x:v>
      </x:c>
      <x:c r="Q2275" s="10" t="n">
        <x:f>J2275*'Assumptions'!$S$121</x:f>
        <x:v>0</x:v>
      </x:c>
      <x:c r="R2275" s="10" t="n">
        <x:f>H2275*'Assumptions'!$Y$121*'Assumptions'!$Z$121*'Assumptions'!$D$11*(1+'Assumptions'!$D$13)^(18-1)</x:f>
        <x:v>2540.617916315215</x:v>
      </x:c>
      <x:c r="S2275" s="10" t="n">
        <x:f>IF(I2275=0,0,J2275*'Assumptions'!$W$121+H2275*'Assumptions'!$X$121)</x:f>
        <x:v>3570.121921436452</x:v>
      </x:c>
      <x:c r="T2275" s="10" t="n">
        <x:f>N2275*'Assumptions'!$AA$121</x:f>
        <x:v>1159.8683173237048</x:v>
      </x:c>
      <x:c r="U2275" s="10" t="n">
        <x:f>'Assumptions'!$AE$121*'Assumptions'!$D$11*(1+'Assumptions'!$D$13)^(18-1)</x:f>
        <x:v>0</x:v>
      </x:c>
      <x:c r="V2275" s="10" t="n">
        <x:f>0</x:f>
        <x:v>0</x:v>
      </x:c>
      <x:c r="W2275" s="10" t="n">
        <x:f>H2275*('Assumptions'!$P$121+'Assumptions'!$Y$121)</x:f>
        <x:v>102.47437479857193</x:v>
      </x:c>
      <x:c r="X2275" s="10" t="n">
        <x:f>N2275/12*'Assumptions'!$AF$121</x:f>
        <x:v>0</x:v>
      </x:c>
      <x:c r="Y2275" s="10" t="n">
        <x:f>P2275/12</x:f>
        <x:v>0</x:v>
      </x:c>
      <x:c r="Z2275" s="10" t="n">
        <x:f>0</x:f>
        <x:v>0</x:v>
      </x:c>
      <x:c r="AA2275" s="10" t="n">
        <x:f>Z2275*'Assumptions'!$AC$121*'Assumptions'!$D$11*(1+'Assumptions'!$D$13)^(18-1)</x:f>
        <x:v>0</x:v>
      </x:c>
      <x:c r="AB2275" s="10" t="n">
        <x:f>F2275/1</x:f>
        <x:v>109.62545429567393</x:v>
      </x:c>
      <x:c r="AC2275" s="10" t="n">
        <x:f>AB2275/'Assumptions'!$AM$121</x:f>
        <x:v>2192.5090859134784</x:v>
      </x:c>
      <x:c r="AD2275" s="10" t="n">
        <x:f>IF(AB2275=0,0,T2275/AB2275)</x:f>
        <x:v>10.58028288024596</x:v>
      </x:c>
      <x:c r="AE2275" s="10" t="n">
        <x:f>AA2275*'Assumptions'!$D$21</x:f>
        <x:v>0</x:v>
      </x:c>
    </x:row>
    <x:row r="2276" ht="16" customHeight="1">
      <x:c r="A2276" s="1"/>
      <x:c r="B2276" s="1"/>
      <x:c r="C2276" s="1" t="str">
        <x:v>DOT-093</x:v>
      </x:c>
      <x:c r="D2276" s="10" t="str">
        <x:v>Semajes Marketplace</x:v>
      </x:c>
      <x:c r="E2276" s="10" t="n">
        <x:v>18</x:v>
      </x:c>
      <x:c r="F2276" s="21" t="n">
        <x:f>F2148*(1+'Assumptions'!$M$122)</x:f>
        <x:v>21.925090859134787</x:v>
      </x:c>
      <x:c r="G2276" s="21" t="n">
        <x:f>H2148*'Assumptions'!$K$122</x:f>
        <x:v>46.39115900657985</x:v>
      </x:c>
      <x:c r="H2276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2276+G2276,NA())</x:f>
        <x:v>68.31624986571464</x:v>
      </x:c>
      <x:c r="I2276" s="22" t="n">
        <x:f>'Assumptions'!$H$122*IF('Assumptions'!$O$122=1,1,'Assumptions'!$D$10)*(1+'Assumptions'!$N$122)^(18-1)</x:f>
        <x:v>700.1207095962125</x:v>
      </x:c>
      <x:c r="J2276" s="10" t="n">
        <x:f>H2276*I2276</x:f>
        <x:v>47829.62133293629</x:v>
      </x:c>
      <x:c r="K2276" s="10" t="n">
        <x:f>J2276*'Assumptions'!$T$122</x:f>
        <x:v>7174.443199940443</x:v>
      </x:c>
      <x:c r="L2276" s="10" t="n">
        <x:f>K2276*'Assumptions'!$U$122</x:f>
        <x:v>215.2332959982133</x:v>
      </x:c>
      <x:c r="M2276" s="10" t="n">
        <x:f>K2276*'Assumptions'!$V$122</x:f>
        <x:v>0</x:v>
      </x:c>
      <x:c r="N2276" s="10" t="n">
        <x:f>K2276-L2276-M2276</x:f>
        <x:v>6959.20990394223</x:v>
      </x:c>
      <x:c r="O2276" s="10" t="n">
        <x:f>H2276*'Assumptions'!$P$122*'Assumptions'!$Q$122*'Assumptions'!$D$11*(1+'Assumptions'!$D$13)^(18-1)</x:f>
        <x:v>988.0180785670284</x:v>
      </x:c>
      <x:c r="P2276" s="10" t="n">
        <x:f>H2276*'Assumptions'!$R$122*'Assumptions'!$D$11*(1+'Assumptions'!$D$13)^(18-1)</x:f>
        <x:v>0</x:v>
      </x:c>
      <x:c r="Q2276" s="10" t="n">
        <x:f>J2276*'Assumptions'!$S$122</x:f>
        <x:v>0</x:v>
      </x:c>
      <x:c r="R2276" s="10" t="n">
        <x:f>H2276*'Assumptions'!$Y$122*'Assumptions'!$Z$122*'Assumptions'!$D$11*(1+'Assumptions'!$D$13)^(18-1)</x:f>
        <x:v>508.1235832630432</x:v>
      </x:c>
      <x:c r="S2276" s="10" t="n">
        <x:f>IF(I2276=0,0,J2276*'Assumptions'!$W$122+H2276*'Assumptions'!$X$122)</x:f>
        <x:v>1407.5538936148669</x:v>
      </x:c>
      <x:c r="T2276" s="10" t="n">
        <x:f>N2276*'Assumptions'!$AA$122</x:f>
        <x:v>347.9604951971115</x:v>
      </x:c>
      <x:c r="U2276" s="10" t="n">
        <x:f>'Assumptions'!$AE$122*'Assumptions'!$D$11*(1+'Assumptions'!$D$13)^(18-1)</x:f>
        <x:v>0</x:v>
      </x:c>
      <x:c r="V2276" s="10" t="n">
        <x:f>0</x:f>
        <x:v>0</x:v>
      </x:c>
      <x:c r="W2276" s="10" t="n">
        <x:f>H2276*('Assumptions'!$P$122+'Assumptions'!$Y$122)</x:f>
        <x:v>27.326499946285857</x:v>
      </x:c>
      <x:c r="X2276" s="10" t="n">
        <x:f>N2276/12*'Assumptions'!$AF$122</x:f>
        <x:v>0</x:v>
      </x:c>
      <x:c r="Y2276" s="10" t="n">
        <x:f>P2276/12</x:f>
        <x:v>0</x:v>
      </x:c>
      <x:c r="Z2276" s="10" t="n">
        <x:f>0</x:f>
        <x:v>0</x:v>
      </x:c>
      <x:c r="AA2276" s="10" t="n">
        <x:f>Z2276*'Assumptions'!$AC$122*'Assumptions'!$D$11*(1+'Assumptions'!$D$13)^(18-1)</x:f>
        <x:v>0</x:v>
      </x:c>
      <x:c r="AB2276" s="10" t="n">
        <x:f>F2276/1</x:f>
        <x:v>21.925090859134787</x:v>
      </x:c>
      <x:c r="AC2276" s="10" t="n">
        <x:f>AB2276/'Assumptions'!$AM$122</x:f>
        <x:v>438.50181718269573</x:v>
      </x:c>
      <x:c r="AD2276" s="10" t="n">
        <x:f>IF(AB2276=0,0,T2276/AB2276)</x:f>
        <x:v>15.870424320368944</x:v>
      </x:c>
      <x:c r="AE2276" s="10" t="n">
        <x:f>AA2276*'Assumptions'!$D$21</x:f>
        <x:v>0</x:v>
      </x:c>
    </x:row>
    <x:row r="2277" ht="16" customHeight="1">
      <x:c r="A2277" s="1"/>
      <x:c r="B2277" s="1"/>
      <x:c r="C2277" s="1" t="str">
        <x:v>DOT-094</x:v>
      </x:c>
      <x:c r="D2277" s="10" t="str">
        <x:v>Semajes premium and media</x:v>
      </x:c>
      <x:c r="E2277" s="10" t="n">
        <x:v>18</x:v>
      </x:c>
      <x:c r="F2277" s="21" t="n">
        <x:f>F2149*(1+'Assumptions'!$M$123)</x:f>
        <x:v>109.62545429567393</x:v>
      </x:c>
      <x:c r="G2277" s="21" t="n">
        <x:f>H2149*'Assumptions'!$K$123</x:f>
        <x:v>231.9557950328992</x:v>
      </x:c>
      <x:c r="H2277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2277+G2277,NA())</x:f>
        <x:v>341.5812493285731</x:v>
      </x:c>
      <x:c r="I2277" s="22" t="n">
        <x:f>'Assumptions'!$H$123*IF('Assumptions'!$O$123=1,1,'Assumptions'!$D$10)*(1+'Assumptions'!$N$123)^(18-1)</x:f>
        <x:v>12.602172772731823</x:v>
      </x:c>
      <x:c r="J2277" s="10" t="n">
        <x:f>H2277*I2277</x:f>
        <x:v>4304.6659199642645</x:v>
      </x:c>
      <x:c r="K2277" s="10" t="n">
        <x:f>J2277*'Assumptions'!$T$123</x:f>
        <x:v>4304.6659199642645</x:v>
      </x:c>
      <x:c r="L2277" s="10" t="n">
        <x:f>K2277*'Assumptions'!$U$123</x:f>
        <x:v>129.13997759892794</x:v>
      </x:c>
      <x:c r="M2277" s="10" t="n">
        <x:f>K2277*'Assumptions'!$V$123</x:f>
        <x:v>0</x:v>
      </x:c>
      <x:c r="N2277" s="10" t="n">
        <x:f>K2277-L2277-M2277</x:f>
        <x:v>4175.525942365337</x:v>
      </x:c>
      <x:c r="O2277" s="10" t="n">
        <x:f>H2277*'Assumptions'!$P$123*'Assumptions'!$Q$123*'Assumptions'!$D$11*(1+'Assumptions'!$D$13)^(18-1)</x:f>
        <x:v>988.0180785670283</x:v>
      </x:c>
      <x:c r="P2277" s="10" t="n">
        <x:f>H2277*'Assumptions'!$R$123*'Assumptions'!$D$11*(1+'Assumptions'!$D$13)^(18-1)</x:f>
        <x:v>0</x:v>
      </x:c>
      <x:c r="Q2277" s="10" t="n">
        <x:f>J2277*'Assumptions'!$S$123</x:f>
        <x:v>0</x:v>
      </x:c>
      <x:c r="R2277" s="10" t="n">
        <x:f>H2277*'Assumptions'!$Y$123*'Assumptions'!$Z$123*'Assumptions'!$D$11*(1+'Assumptions'!$D$13)^(18-1)</x:f>
        <x:v>2540.617916315215</x:v>
      </x:c>
      <x:c r="S2277" s="10" t="n">
        <x:f>IF(I2277=0,0,J2277*'Assumptions'!$W$123+H2277*'Assumptions'!$X$123)</x:f>
        <x:v>227.3096864775356</x:v>
      </x:c>
      <x:c r="T2277" s="10" t="n">
        <x:f>N2277*'Assumptions'!$AA$123</x:f>
        <x:v>208.77629711826685</x:v>
      </x:c>
      <x:c r="U2277" s="10" t="n">
        <x:f>'Assumptions'!$AE$123*'Assumptions'!$D$11*(1+'Assumptions'!$D$13)^(18-1)</x:f>
        <x:v>0</x:v>
      </x:c>
      <x:c r="V2277" s="10" t="n">
        <x:f>0</x:f>
        <x:v>0</x:v>
      </x:c>
      <x:c r="W2277" s="10" t="n">
        <x:f>H2277*('Assumptions'!$P$123+'Assumptions'!$Y$123)</x:f>
        <x:v>68.31624986571462</x:v>
      </x:c>
      <x:c r="X2277" s="10" t="n">
        <x:f>N2277/12*'Assumptions'!$AF$123</x:f>
        <x:v>0</x:v>
      </x:c>
      <x:c r="Y2277" s="10" t="n">
        <x:f>P2277/12</x:f>
        <x:v>0</x:v>
      </x:c>
      <x:c r="Z2277" s="10" t="n">
        <x:f>0</x:f>
        <x:v>0</x:v>
      </x:c>
      <x:c r="AA2277" s="10" t="n">
        <x:f>Z2277*'Assumptions'!$AC$123*'Assumptions'!$D$11*(1+'Assumptions'!$D$13)^(18-1)</x:f>
        <x:v>0</x:v>
      </x:c>
      <x:c r="AB2277" s="10" t="n">
        <x:f>F2277/12</x:f>
        <x:v>9.135454524639494</x:v>
      </x:c>
      <x:c r="AC2277" s="10" t="n">
        <x:f>AB2277/'Assumptions'!$AM$123</x:f>
        <x:v>182.70909049278987</x:v>
      </x:c>
      <x:c r="AD2277" s="10" t="n">
        <x:f>IF(AB2277=0,0,T2277/AB2277)</x:f>
        <x:v>22.853411021331272</x:v>
      </x:c>
      <x:c r="AE2277" s="10" t="n">
        <x:f>AA2277*'Assumptions'!$D$21</x:f>
        <x:v>0</x:v>
      </x:c>
    </x:row>
    <x:row r="2278" ht="16" customHeight="1">
      <x:c r="A2278" s="1"/>
      <x:c r="B2278" s="1"/>
      <x:c r="C2278" s="1" t="str">
        <x:v>DOT-095</x:v>
      </x:c>
      <x:c r="D2278" s="10" t="str">
        <x:v>Semajes premium and media</x:v>
      </x:c>
      <x:c r="E2278" s="10" t="n">
        <x:v>18</x:v>
      </x:c>
      <x:c r="F2278" s="21" t="n">
        <x:f>F2150*(1+'Assumptions'!$M$124)</x:f>
        <x:v>109.62545429567393</x:v>
      </x:c>
      <x:c r="G2278" s="21" t="n">
        <x:f>H2150*'Assumptions'!$K$124</x:f>
        <x:v>231.9557950328992</x:v>
      </x:c>
      <x:c r="H2278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2278+G2278,NA())</x:f>
        <x:v>341.5812493285731</x:v>
      </x:c>
      <x:c r="I2278" s="22" t="n">
        <x:f>'Assumptions'!$H$124*IF('Assumptions'!$O$124=1,1,'Assumptions'!$D$10)*(1+'Assumptions'!$N$124)^(18-1)</x:f>
        <x:v>26.60458696465607</x:v>
      </x:c>
      <x:c r="J2278" s="10" t="n">
        <x:f>H2278*I2278</x:f>
        <x:v>9087.628053257891</x:v>
      </x:c>
      <x:c r="K2278" s="10" t="n">
        <x:f>J2278*'Assumptions'!$T$124</x:f>
        <x:v>9087.628053257891</x:v>
      </x:c>
      <x:c r="L2278" s="10" t="n">
        <x:f>K2278*'Assumptions'!$U$124</x:f>
        <x:v>272.6288415977367</x:v>
      </x:c>
      <x:c r="M2278" s="10" t="n">
        <x:f>K2278*'Assumptions'!$V$124</x:f>
        <x:v>0</x:v>
      </x:c>
      <x:c r="N2278" s="10" t="n">
        <x:f>K2278-L2278-M2278</x:f>
        <x:v>8814.999211660155</x:v>
      </x:c>
      <x:c r="O2278" s="10" t="n">
        <x:f>H2278*'Assumptions'!$P$124*'Assumptions'!$Q$124*'Assumptions'!$D$11*(1+'Assumptions'!$D$13)^(18-1)</x:f>
        <x:v>1976.0361571340566</x:v>
      </x:c>
      <x:c r="P2278" s="10" t="n">
        <x:f>H2278*'Assumptions'!$R$124*'Assumptions'!$D$11*(1+'Assumptions'!$D$13)^(18-1)</x:f>
        <x:v>0</x:v>
      </x:c>
      <x:c r="Q2278" s="10" t="n">
        <x:f>J2278*'Assumptions'!$S$124</x:f>
        <x:v>0</x:v>
      </x:c>
      <x:c r="R2278" s="10" t="n">
        <x:f>H2278*'Assumptions'!$Y$124*'Assumptions'!$Z$124*'Assumptions'!$D$11*(1+'Assumptions'!$D$13)^(18-1)</x:f>
        <x:v>2540.617916315215</x:v>
      </x:c>
      <x:c r="S2278" s="10" t="n">
        <x:f>IF(I2278=0,0,J2278*'Assumptions'!$W$124+H2278*'Assumptions'!$X$124)</x:f>
        <x:v>366.0155883430508</x:v>
      </x:c>
      <x:c r="T2278" s="10" t="n">
        <x:f>N2278*'Assumptions'!$AA$124</x:f>
        <x:v>440.7499605830078</x:v>
      </x:c>
      <x:c r="U2278" s="10" t="n">
        <x:f>'Assumptions'!$AE$124*'Assumptions'!$D$11*(1+'Assumptions'!$D$13)^(18-1)</x:f>
        <x:v>0</x:v>
      </x:c>
      <x:c r="V2278" s="10" t="n">
        <x:f>0</x:f>
        <x:v>0</x:v>
      </x:c>
      <x:c r="W2278" s="10" t="n">
        <x:f>H2278*('Assumptions'!$P$124+'Assumptions'!$Y$124)</x:f>
        <x:v>85.39531233214328</x:v>
      </x:c>
      <x:c r="X2278" s="10" t="n">
        <x:f>N2278/12*'Assumptions'!$AF$124</x:f>
        <x:v>0</x:v>
      </x:c>
      <x:c r="Y2278" s="10" t="n">
        <x:f>P2278/12</x:f>
        <x:v>0</x:v>
      </x:c>
      <x:c r="Z2278" s="10" t="n">
        <x:f>0</x:f>
        <x:v>0</x:v>
      </x:c>
      <x:c r="AA2278" s="10" t="n">
        <x:f>Z2278*'Assumptions'!$AC$124*'Assumptions'!$D$11*(1+'Assumptions'!$D$13)^(18-1)</x:f>
        <x:v>0</x:v>
      </x:c>
      <x:c r="AB2278" s="10" t="n">
        <x:f>F2278/12</x:f>
        <x:v>9.135454524639494</x:v>
      </x:c>
      <x:c r="AC2278" s="10" t="n">
        <x:f>AB2278/'Assumptions'!$AM$124</x:f>
        <x:v>182.70909049278987</x:v>
      </x:c>
      <x:c r="AD2278" s="10" t="n">
        <x:f>IF(AB2278=0,0,T2278/AB2278)</x:f>
        <x:v>48.246089933921574</x:v>
      </x:c>
      <x:c r="AE2278" s="10" t="n">
        <x:f>AA2278*'Assumptions'!$D$21</x:f>
        <x:v>0</x:v>
      </x:c>
    </x:row>
    <x:row r="2279" ht="16" customHeight="1">
      <x:c r="A2279" s="1"/>
      <x:c r="B2279" s="1"/>
      <x:c r="C2279" s="1" t="str">
        <x:v>DOT-096</x:v>
      </x:c>
      <x:c r="D2279" s="10" t="str">
        <x:v>Semajes premium and media</x:v>
      </x:c>
      <x:c r="E2279" s="10" t="n">
        <x:v>18</x:v>
      </x:c>
      <x:c r="F2279" s="21" t="n">
        <x:f>F2151*(1+'Assumptions'!$M$125)</x:f>
        <x:v>54.812727147836966</x:v>
      </x:c>
      <x:c r="G2279" s="21" t="n">
        <x:f>H2151*'Assumptions'!$K$125</x:f>
        <x:v>115.9778975164496</x:v>
      </x:c>
      <x:c r="H2279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2279+G2279,NA())</x:f>
        <x:v>170.79062466428655</x:v>
      </x:c>
      <x:c r="I2279" s="22" t="n">
        <x:f>'Assumptions'!$H$125*IF('Assumptions'!$O$125=1,1,'Assumptions'!$D$10)*(1+'Assumptions'!$N$125)^(18-1)</x:f>
        <x:v>54.60941534850457</x:v>
      </x:c>
      <x:c r="J2279" s="10" t="n">
        <x:f>H2279*I2279</x:f>
        <x:v>9326.776159922572</x:v>
      </x:c>
      <x:c r="K2279" s="10" t="n">
        <x:f>J2279*'Assumptions'!$T$125</x:f>
        <x:v>9326.776159922572</x:v>
      </x:c>
      <x:c r="L2279" s="10" t="n">
        <x:f>K2279*'Assumptions'!$U$125</x:f>
        <x:v>279.8032847976772</x:v>
      </x:c>
      <x:c r="M2279" s="10" t="n">
        <x:f>K2279*'Assumptions'!$V$125</x:f>
        <x:v>0</x:v>
      </x:c>
      <x:c r="N2279" s="10" t="n">
        <x:f>K2279-L2279-M2279</x:f>
        <x:v>9046.972875124895</x:v>
      </x:c>
      <x:c r="O2279" s="10" t="n">
        <x:f>H2279*'Assumptions'!$P$125*'Assumptions'!$Q$125*'Assumptions'!$D$11*(1+'Assumptions'!$D$13)^(18-1)</x:f>
        <x:v>1976.0361571340566</x:v>
      </x:c>
      <x:c r="P2279" s="10" t="n">
        <x:f>H2279*'Assumptions'!$R$125*'Assumptions'!$D$11*(1+'Assumptions'!$D$13)^(18-1)</x:f>
        <x:v>0</x:v>
      </x:c>
      <x:c r="Q2279" s="10" t="n">
        <x:f>J2279*'Assumptions'!$S$125</x:f>
        <x:v>0</x:v>
      </x:c>
      <x:c r="R2279" s="10" t="n">
        <x:f>H2279*'Assumptions'!$Y$125*'Assumptions'!$Z$125*'Assumptions'!$D$11*(1+'Assumptions'!$D$13)^(18-1)</x:f>
        <x:v>1270.3089581576075</x:v>
      </x:c>
      <x:c r="S2279" s="10" t="n">
        <x:f>IF(I2279=0,0,J2279*'Assumptions'!$W$125+H2279*'Assumptions'!$X$125)</x:f>
        <x:v>321.71369603704056</x:v>
      </x:c>
      <x:c r="T2279" s="10" t="n">
        <x:f>N2279*'Assumptions'!$AA$125</x:f>
        <x:v>452.34864375624477</x:v>
      </x:c>
      <x:c r="U2279" s="10" t="n">
        <x:f>'Assumptions'!$AE$125*'Assumptions'!$D$11*(1+'Assumptions'!$D$13)^(18-1)</x:f>
        <x:v>0</x:v>
      </x:c>
      <x:c r="V2279" s="10" t="n">
        <x:f>0</x:f>
        <x:v>0</x:v>
      </x:c>
      <x:c r="W2279" s="10" t="n">
        <x:f>H2279*('Assumptions'!$P$125+'Assumptions'!$Y$125)</x:f>
        <x:v>59.77671863250029</x:v>
      </x:c>
      <x:c r="X2279" s="10" t="n">
        <x:f>N2279/12*'Assumptions'!$AF$125</x:f>
        <x:v>0</x:v>
      </x:c>
      <x:c r="Y2279" s="10" t="n">
        <x:f>P2279/12</x:f>
        <x:v>0</x:v>
      </x:c>
      <x:c r="Z2279" s="10" t="n">
        <x:f>0</x:f>
        <x:v>0</x:v>
      </x:c>
      <x:c r="AA2279" s="10" t="n">
        <x:f>Z2279*'Assumptions'!$AC$125*'Assumptions'!$D$11*(1+'Assumptions'!$D$13)^(18-1)</x:f>
        <x:v>0</x:v>
      </x:c>
      <x:c r="AB2279" s="10" t="n">
        <x:f>F2279/12</x:f>
        <x:v>4.567727262319747</x:v>
      </x:c>
      <x:c r="AC2279" s="10" t="n">
        <x:f>AB2279/'Assumptions'!$AM$125</x:f>
        <x:v>91.35454524639493</x:v>
      </x:c>
      <x:c r="AD2279" s="10" t="n">
        <x:f>IF(AB2279=0,0,T2279/AB2279)</x:f>
        <x:v>99.03144775910216</x:v>
      </x:c>
      <x:c r="AE2279" s="10" t="n">
        <x:f>AA2279*'Assumptions'!$D$21</x:f>
        <x:v>0</x:v>
      </x:c>
    </x:row>
    <x:row r="2280" ht="16" customHeight="1">
      <x:c r="A2280" s="1"/>
      <x:c r="B2280" s="1"/>
      <x:c r="C2280" s="1" t="str">
        <x:v>DOT-097</x:v>
      </x:c>
      <x:c r="D2280" s="10" t="str">
        <x:v>Semajes premium and media</x:v>
      </x:c>
      <x:c r="E2280" s="10" t="n">
        <x:v>18</x:v>
      </x:c>
      <x:c r="F2280" s="21" t="n">
        <x:f>F2152*(1+'Assumptions'!$M$126)</x:f>
        <x:v>32.887636288702176</x:v>
      </x:c>
      <x:c r="G2280" s="21" t="n">
        <x:f>H2152*'Assumptions'!$K$126</x:f>
        <x:v>69.58673850986973</x:v>
      </x:c>
      <x:c r="H2280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2280+G2280,NA())</x:f>
        <x:v>102.47437479857192</x:v>
      </x:c>
      <x:c r="I2280" s="22" t="n">
        <x:f>'Assumptions'!$H$126*IF('Assumptions'!$O$126=1,1,'Assumptions'!$D$10)*(1+'Assumptions'!$N$126)^(18-1)</x:f>
        <x:v>138.62390050005007</x:v>
      </x:c>
      <x:c r="J2280" s="10" t="n">
        <x:f>H2280*I2280</x:f>
        <x:v>14205.397535882072</x:v>
      </x:c>
      <x:c r="K2280" s="10" t="n">
        <x:f>J2280*'Assumptions'!$T$126</x:f>
        <x:v>14205.397535882072</x:v>
      </x:c>
      <x:c r="L2280" s="10" t="n">
        <x:f>K2280*'Assumptions'!$U$126</x:f>
        <x:v>426.1619260764621</x:v>
      </x:c>
      <x:c r="M2280" s="10" t="n">
        <x:f>K2280*'Assumptions'!$V$126</x:f>
        <x:v>0</x:v>
      </x:c>
      <x:c r="N2280" s="10" t="n">
        <x:f>K2280-L2280-M2280</x:f>
        <x:v>13779.23560980561</x:v>
      </x:c>
      <x:c r="O2280" s="10" t="n">
        <x:f>H2280*'Assumptions'!$P$126*'Assumptions'!$Q$126*'Assumptions'!$D$11*(1+'Assumptions'!$D$13)^(18-1)</x:f>
        <x:v>5928.108471402168</x:v>
      </x:c>
      <x:c r="P2280" s="10" t="n">
        <x:f>H2280*'Assumptions'!$R$126*'Assumptions'!$D$11*(1+'Assumptions'!$D$13)^(18-1)</x:f>
        <x:v>0</x:v>
      </x:c>
      <x:c r="Q2280" s="10" t="n">
        <x:f>J2280*'Assumptions'!$S$126</x:f>
        <x:v>0</x:v>
      </x:c>
      <x:c r="R2280" s="10" t="n">
        <x:f>H2280*'Assumptions'!$Y$126*'Assumptions'!$Z$126*'Assumptions'!$D$11*(1+'Assumptions'!$D$13)^(18-1)</x:f>
        <x:v>762.1853748945645</x:v>
      </x:c>
      <x:c r="S2280" s="10" t="n">
        <x:f>IF(I2280=0,0,J2280*'Assumptions'!$W$126+H2280*'Assumptions'!$X$126)</x:f>
        <x:v>442.69884098015166</x:v>
      </x:c>
      <x:c r="T2280" s="10" t="n">
        <x:f>N2280*'Assumptions'!$AA$126</x:f>
        <x:v>688.9617804902805</x:v>
      </x:c>
      <x:c r="U2280" s="10" t="n">
        <x:f>'Assumptions'!$AE$126*'Assumptions'!$D$11*(1+'Assumptions'!$D$13)^(18-1)</x:f>
        <x:v>0</x:v>
      </x:c>
      <x:c r="V2280" s="10" t="n">
        <x:f>0</x:f>
        <x:v>0</x:v>
      </x:c>
      <x:c r="W2280" s="10" t="n">
        <x:f>H2280*('Assumptions'!$P$126+'Assumptions'!$Y$126)</x:f>
        <x:v>117.84553101835769</x:v>
      </x:c>
      <x:c r="X2280" s="10" t="n">
        <x:f>N2280/12*'Assumptions'!$AF$126</x:f>
        <x:v>0</x:v>
      </x:c>
      <x:c r="Y2280" s="10" t="n">
        <x:f>P2280/12</x:f>
        <x:v>0</x:v>
      </x:c>
      <x:c r="Z2280" s="10" t="n">
        <x:f>0</x:f>
        <x:v>0</x:v>
      </x:c>
      <x:c r="AA2280" s="10" t="n">
        <x:f>Z2280*'Assumptions'!$AC$126*'Assumptions'!$D$11*(1+'Assumptions'!$D$13)^(18-1)</x:f>
        <x:v>0</x:v>
      </x:c>
      <x:c r="AB2280" s="10" t="n">
        <x:f>F2280/1</x:f>
        <x:v>32.887636288702176</x:v>
      </x:c>
      <x:c r="AC2280" s="10" t="n">
        <x:f>AB2280/'Assumptions'!$AM$126</x:f>
        <x:v>657.7527257740435</x:v>
      </x:c>
      <x:c r="AD2280" s="10" t="n">
        <x:f>IF(AB2280=0,0,T2280/AB2280)</x:f>
        <x:v>20.948960102886996</x:v>
      </x:c>
      <x:c r="AE2280" s="10" t="n">
        <x:f>AA2280*'Assumptions'!$D$21</x:f>
        <x:v>0</x:v>
      </x:c>
    </x:row>
    <x:row r="2281" ht="16" customHeight="1">
      <x:c r="A2281" s="1"/>
      <x:c r="B2281" s="1"/>
      <x:c r="C2281" s="1" t="str">
        <x:v>DOT-098</x:v>
      </x:c>
      <x:c r="D2281" s="10" t="str">
        <x:v>Semajes premium and media</x:v>
      </x:c>
      <x:c r="E2281" s="10" t="n">
        <x:v>18</x:v>
      </x:c>
      <x:c r="F2281" s="21" t="n">
        <x:f>F2153*(1+'Assumptions'!$M$127)</x:f>
        <x:v>16.443818144351088</x:v>
      </x:c>
      <x:c r="G2281" s="21" t="n">
        <x:f>H2153*'Assumptions'!$K$127</x:f>
        <x:v>34.793369254934866</x:v>
      </x:c>
      <x:c r="H2281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2281+G2281,NA())</x:f>
        <x:v>51.23718739928596</x:v>
      </x:c>
      <x:c r="I2281" s="22" t="n">
        <x:f>'Assumptions'!$H$127*IF('Assumptions'!$O$127=1,1,'Assumptions'!$D$10)*(1+'Assumptions'!$N$127)^(18-1)</x:f>
        <x:v>348.66011337891376</x:v>
      </x:c>
      <x:c r="J2281" s="10" t="n">
        <x:f>H2281*I2281</x:f>
        <x:v>17864.363567851695</x:v>
      </x:c>
      <x:c r="K2281" s="10" t="n">
        <x:f>J2281*'Assumptions'!$T$127</x:f>
        <x:v>17864.363567851695</x:v>
      </x:c>
      <x:c r="L2281" s="10" t="n">
        <x:f>K2281*'Assumptions'!$U$127</x:f>
        <x:v>535.9309070355508</x:v>
      </x:c>
      <x:c r="M2281" s="10" t="n">
        <x:f>K2281*'Assumptions'!$V$127</x:f>
        <x:v>0</x:v>
      </x:c>
      <x:c r="N2281" s="10" t="n">
        <x:f>K2281-L2281-M2281</x:f>
        <x:v>17328.432660816143</x:v>
      </x:c>
      <x:c r="O2281" s="10" t="n">
        <x:f>H2281*'Assumptions'!$P$127*'Assumptions'!$Q$127*'Assumptions'!$D$11*(1+'Assumptions'!$D$13)^(18-1)</x:f>
        <x:v>8892.162707103253</x:v>
      </x:c>
      <x:c r="P2281" s="10" t="n">
        <x:f>H2281*'Assumptions'!$R$127*'Assumptions'!$D$11*(1+'Assumptions'!$D$13)^(18-1)</x:f>
        <x:v>0</x:v>
      </x:c>
      <x:c r="Q2281" s="10" t="n">
        <x:f>J2281*'Assumptions'!$S$127</x:f>
        <x:v>0</x:v>
      </x:c>
      <x:c r="R2281" s="10" t="n">
        <x:f>H2281*'Assumptions'!$Y$127*'Assumptions'!$Z$127*'Assumptions'!$D$11*(1+'Assumptions'!$D$13)^(18-1)</x:f>
        <x:v>381.09268744728223</x:v>
      </x:c>
      <x:c r="S2281" s="10" t="n">
        <x:f>IF(I2281=0,0,J2281*'Assumptions'!$W$127+H2281*'Assumptions'!$X$127)</x:f>
        <x:v>533.437699687485</x:v>
      </x:c>
      <x:c r="T2281" s="10" t="n">
        <x:f>N2281*'Assumptions'!$AA$127</x:f>
        <x:v>866.4216330408071</x:v>
      </x:c>
      <x:c r="U2281" s="10" t="n">
        <x:f>'Assumptions'!$AE$127*'Assumptions'!$D$11*(1+'Assumptions'!$D$13)^(18-1)</x:f>
        <x:v>0</x:v>
      </x:c>
      <x:c r="V2281" s="10" t="n">
        <x:f>0</x:f>
        <x:v>0</x:v>
      </x:c>
      <x:c r="W2281" s="10" t="n">
        <x:f>H2281*('Assumptions'!$P$127+'Assumptions'!$Y$127)</x:f>
        <x:v>161.39714030775076</x:v>
      </x:c>
      <x:c r="X2281" s="10" t="n">
        <x:f>N2281/12*'Assumptions'!$AF$127</x:f>
        <x:v>0</x:v>
      </x:c>
      <x:c r="Y2281" s="10" t="n">
        <x:f>P2281/12</x:f>
        <x:v>0</x:v>
      </x:c>
      <x:c r="Z2281" s="10" t="n">
        <x:f>0</x:f>
        <x:v>0</x:v>
      </x:c>
      <x:c r="AA2281" s="10" t="n">
        <x:f>Z2281*'Assumptions'!$AC$127*'Assumptions'!$D$11*(1+'Assumptions'!$D$13)^(18-1)</x:f>
        <x:v>0</x:v>
      </x:c>
      <x:c r="AB2281" s="10" t="n">
        <x:f>F2281/1</x:f>
        <x:v>16.443818144351088</x:v>
      </x:c>
      <x:c r="AC2281" s="10" t="n">
        <x:f>AB2281/'Assumptions'!$AM$127</x:f>
        <x:v>328.87636288702174</x:v>
      </x:c>
      <x:c r="AD2281" s="10" t="n">
        <x:f>IF(AB2281=0,0,T2281/AB2281)</x:f>
        <x:v>52.689808743624866</x:v>
      </x:c>
      <x:c r="AE2281" s="10" t="n">
        <x:f>AA2281*'Assumptions'!$D$21</x:f>
        <x:v>0</x:v>
      </x:c>
    </x:row>
    <x:row r="2282" ht="16" customHeight="1">
      <x:c r="A2282" s="1"/>
      <x:c r="B2282" s="1"/>
      <x:c r="C2282" s="1" t="str">
        <x:v>DOT-099</x:v>
      </x:c>
      <x:c r="D2282" s="10" t="str">
        <x:v>Semajes premium and media</x:v>
      </x:c>
      <x:c r="E2282" s="10" t="n">
        <x:v>18</x:v>
      </x:c>
      <x:c r="F2282" s="21" t="n">
        <x:f>F2154*(1+'Assumptions'!$M$128)</x:f>
        <x:v>54.812727147836966</x:v>
      </x:c>
      <x:c r="G2282" s="21" t="n">
        <x:f>H2154*'Assumptions'!$K$128</x:f>
        <x:v>115.9778975164496</x:v>
      </x:c>
      <x:c r="H2282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2282+G2282,NA())</x:f>
        <x:v>170.79062466428655</x:v>
      </x:c>
      <x:c r="I2282" s="22" t="n">
        <x:f>'Assumptions'!$H$128*IF('Assumptions'!$O$128=1,1,'Assumptions'!$D$10)*(1+'Assumptions'!$N$128)^(18-1)</x:f>
        <x:v>40.60700115658032</x:v>
      </x:c>
      <x:c r="J2282" s="10" t="n">
        <x:f>H2282*I2282</x:f>
        <x:v>6935.2950932757585</x:v>
      </x:c>
      <x:c r="K2282" s="10" t="n">
        <x:f>J2282*'Assumptions'!$T$128</x:f>
        <x:v>6935.2950932757585</x:v>
      </x:c>
      <x:c r="L2282" s="10" t="n">
        <x:f>K2282*'Assumptions'!$U$128</x:f>
        <x:v>208.05885279827274</x:v>
      </x:c>
      <x:c r="M2282" s="10" t="n">
        <x:f>K2282*'Assumptions'!$V$128</x:f>
        <x:v>0</x:v>
      </x:c>
      <x:c r="N2282" s="10" t="n">
        <x:f>K2282-L2282-M2282</x:f>
        <x:v>6727.236240477486</x:v>
      </x:c>
      <x:c r="O2282" s="10" t="n">
        <x:f>H2282*'Assumptions'!$P$128*'Assumptions'!$Q$128*'Assumptions'!$D$11*(1+'Assumptions'!$D$13)^(18-1)</x:f>
        <x:v>1482.0271178505423</x:v>
      </x:c>
      <x:c r="P2282" s="10" t="n">
        <x:f>H2282*'Assumptions'!$R$128*'Assumptions'!$D$11*(1+'Assumptions'!$D$13)^(18-1)</x:f>
        <x:v>0</x:v>
      </x:c>
      <x:c r="Q2282" s="10" t="n">
        <x:f>J2282*'Assumptions'!$S$128</x:f>
        <x:v>0</x:v>
      </x:c>
      <x:c r="R2282" s="10" t="n">
        <x:f>H2282*'Assumptions'!$Y$128*'Assumptions'!$Z$128*'Assumptions'!$D$11*(1+'Assumptions'!$D$13)^(18-1)</x:f>
        <x:v>1270.3089581576075</x:v>
      </x:c>
      <x:c r="S2282" s="10" t="n">
        <x:f>IF(I2282=0,0,J2282*'Assumptions'!$W$128+H2282*'Assumptions'!$X$128)</x:f>
        <x:v>252.36074510428298</x:v>
      </x:c>
      <x:c r="T2282" s="10" t="n">
        <x:f>N2282*'Assumptions'!$AA$128</x:f>
        <x:v>336.36181202387434</x:v>
      </x:c>
      <x:c r="U2282" s="10" t="n">
        <x:f>'Assumptions'!$AE$128*'Assumptions'!$D$11*(1+'Assumptions'!$D$13)^(18-1)</x:f>
        <x:v>0</x:v>
      </x:c>
      <x:c r="V2282" s="10" t="n">
        <x:f>0</x:f>
        <x:v>0</x:v>
      </x:c>
      <x:c r="W2282" s="10" t="n">
        <x:f>H2282*('Assumptions'!$P$128+'Assumptions'!$Y$128)</x:f>
        <x:v>51.237187399285965</x:v>
      </x:c>
      <x:c r="X2282" s="10" t="n">
        <x:f>N2282/12*'Assumptions'!$AF$128</x:f>
        <x:v>0</x:v>
      </x:c>
      <x:c r="Y2282" s="10" t="n">
        <x:f>P2282/12</x:f>
        <x:v>0</x:v>
      </x:c>
      <x:c r="Z2282" s="10" t="n">
        <x:f>0</x:f>
        <x:v>0</x:v>
      </x:c>
      <x:c r="AA2282" s="10" t="n">
        <x:f>Z2282*'Assumptions'!$AC$128*'Assumptions'!$D$11*(1+'Assumptions'!$D$13)^(18-1)</x:f>
        <x:v>0</x:v>
      </x:c>
      <x:c r="AB2282" s="10" t="n">
        <x:f>F2282/1</x:f>
        <x:v>54.812727147836966</x:v>
      </x:c>
      <x:c r="AC2282" s="10" t="n">
        <x:f>AB2282/'Assumptions'!$AM$128</x:f>
        <x:v>1096.2545429567392</x:v>
      </x:c>
      <x:c r="AD2282" s="10" t="n">
        <x:f>IF(AB2282=0,0,T2282/AB2282)</x:f>
        <x:v>6.136564070542655</x:v>
      </x:c>
      <x:c r="AE2282" s="10" t="n">
        <x:f>AA2282*'Assumptions'!$D$21</x:f>
        <x:v>0</x:v>
      </x:c>
    </x:row>
    <x:row r="2283" ht="16" customHeight="1">
      <x:c r="A2283" s="1"/>
      <x:c r="B2283" s="1"/>
      <x:c r="C2283" s="1" t="str">
        <x:v>DOT-100</x:v>
      </x:c>
      <x:c r="D2283" s="10" t="str">
        <x:v>Semajes courses</x:v>
      </x:c>
      <x:c r="E2283" s="10" t="n">
        <x:v>18</x:v>
      </x:c>
      <x:c r="F2283" s="21" t="n">
        <x:f>F2155*(1+'Assumptions'!$M$129)</x:f>
        <x:v>462.32543576924917</x:v>
      </x:c>
      <x:c r="G2283" s="21" t="n">
        <x:f>H2155*'Assumptions'!$K$129</x:f>
        <x:v>148.18122920983186</x:v>
      </x:c>
      <x:c r="H2283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2283+G2283,NA())</x:f>
        <x:v>610.506664979081</x:v>
      </x:c>
      <x:c r="I2283" s="22" t="n">
        <x:f>'Assumptions'!$H$129*IF('Assumptions'!$O$129=1,1,'Assumptions'!$D$10)*(1+'Assumptions'!$N$129)^(18-1)</x:f>
        <x:v>54.60941534850457</x:v>
      </x:c>
      <x:c r="J2283" s="10" t="n">
        <x:f>H2283*I2283</x:f>
        <x:v>33339.412040872965</x:v>
      </x:c>
      <x:c r="K2283" s="10" t="n">
        <x:f>J2283*'Assumptions'!$T$129</x:f>
        <x:v>33339.412040872965</x:v>
      </x:c>
      <x:c r="L2283" s="10" t="n">
        <x:f>K2283*'Assumptions'!$U$129</x:f>
        <x:v>1000.182361226189</x:v>
      </x:c>
      <x:c r="M2283" s="10" t="n">
        <x:f>K2283*'Assumptions'!$V$129</x:f>
        <x:v>0</x:v>
      </x:c>
      <x:c r="N2283" s="10" t="n">
        <x:f>K2283-L2283-M2283</x:f>
        <x:v>32339.229679646774</x:v>
      </x:c>
      <x:c r="O2283" s="10" t="n">
        <x:f>H2283*'Assumptions'!$P$129*'Assumptions'!$Q$129*'Assumptions'!$D$11*(1+'Assumptions'!$D$13)^(18-1)</x:f>
        <x:v>5297.641102408188</x:v>
      </x:c>
      <x:c r="P2283" s="10" t="n">
        <x:f>H2283*'Assumptions'!$R$129*'Assumptions'!$D$11*(1+'Assumptions'!$D$13)^(18-1)</x:f>
        <x:v>0</x:v>
      </x:c>
      <x:c r="Q2283" s="10" t="n">
        <x:f>J2283*'Assumptions'!$S$129</x:f>
        <x:v>0</x:v>
      </x:c>
      <x:c r="R2283" s="10" t="n">
        <x:f>H2283*'Assumptions'!$Y$129*'Assumptions'!$Z$129*'Assumptions'!$D$11*(1+'Assumptions'!$D$13)^(18-1)</x:f>
        <x:v>3027.2234870903935</x:v>
      </x:c>
      <x:c r="S2283" s="10" t="n">
        <x:f>IF(I2283=0,0,J2283*'Assumptions'!$W$129+H2283*'Assumptions'!$X$129)</x:f>
        <x:v>1149.9949486790404</x:v>
      </x:c>
      <x:c r="T2283" s="10" t="n">
        <x:f>N2283*'Assumptions'!$AA$129</x:f>
        <x:v>1616.961483982339</x:v>
      </x:c>
      <x:c r="U2283" s="10" t="n">
        <x:f>'Assumptions'!$AE$129*'Assumptions'!$D$11*(1+'Assumptions'!$D$13)^(18-1)</x:f>
        <x:v>0</x:v>
      </x:c>
      <x:c r="V2283" s="10" t="n">
        <x:f>0</x:f>
        <x:v>0</x:v>
      </x:c>
      <x:c r="W2283" s="10" t="n">
        <x:f>H2283*('Assumptions'!$P$129+'Assumptions'!$Y$129)</x:f>
        <x:v>152.62666624477026</x:v>
      </x:c>
      <x:c r="X2283" s="10" t="n">
        <x:f>N2283/12*'Assumptions'!$AF$129</x:f>
        <x:v>0</x:v>
      </x:c>
      <x:c r="Y2283" s="10" t="n">
        <x:f>P2283/12</x:f>
        <x:v>0</x:v>
      </x:c>
      <x:c r="Z2283" s="10" t="n">
        <x:f>0</x:f>
        <x:v>0</x:v>
      </x:c>
      <x:c r="AA2283" s="10" t="n">
        <x:f>Z2283*'Assumptions'!$AC$129*'Assumptions'!$D$11*(1+'Assumptions'!$D$13)^(18-1)</x:f>
        <x:v>0</x:v>
      </x:c>
      <x:c r="AB2283" s="10" t="n">
        <x:f>F2283/1</x:f>
        <x:v>462.32543576924917</x:v>
      </x:c>
      <x:c r="AC2283" s="10" t="n">
        <x:f>AB2283/'Assumptions'!$AM$129</x:f>
        <x:v>9246.508715384984</x:v>
      </x:c>
      <x:c r="AD2283" s="10" t="n">
        <x:f>IF(AB2283=0,0,T2283/AB2283)</x:f>
        <x:v>3.4974530036227103</x:v>
      </x:c>
      <x:c r="AE2283" s="10" t="n">
        <x:f>AA2283*'Assumptions'!$D$21</x:f>
        <x:v>0</x:v>
      </x:c>
    </x:row>
    <x:row r="2284" ht="16" customHeight="1">
      <x:c r="A2284" s="1"/>
      <x:c r="B2284" s="1"/>
      <x:c r="C2284" s="1" t="str">
        <x:v>DOT-101</x:v>
      </x:c>
      <x:c r="D2284" s="10" t="str">
        <x:v>Sleepy Face</x:v>
      </x:c>
      <x:c r="E2284" s="10" t="n">
        <x:v>18</x:v>
      </x:c>
      <x:c r="F2284" s="21" t="n">
        <x:f>F2156*(1+'Assumptions'!$M$130)</x:f>
        <x:v>388.20872646002675</x:v>
      </x:c>
      <x:c r="G2284" s="21" t="n">
        <x:f>H2156*'Assumptions'!$K$130</x:f>
        <x:v>159.5378307494191</x:v>
      </x:c>
      <x:c r="H2284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2284+G2284,NA())</x:f>
        <x:v>547.7465572094459</x:v>
      </x:c>
      <x:c r="I2284" s="22" t="n">
        <x:f>'Assumptions'!$H$130*IF('Assumptions'!$O$130=1,1,'Assumptions'!$D$10)*(1+'Assumptions'!$N$130)^(18-1)</x:f>
        <x:v>133.02293482328037</x:v>
      </x:c>
      <x:c r="J2284" s="10" t="n">
        <x:f>H2284*I2284</x:f>
        <x:v>72862.85457934834</x:v>
      </x:c>
      <x:c r="K2284" s="10" t="n">
        <x:f>J2284*'Assumptions'!$T$130</x:f>
        <x:v>72862.85457934834</x:v>
      </x:c>
      <x:c r="L2284" s="10" t="n">
        <x:f>K2284*'Assumptions'!$U$130</x:f>
        <x:v>5829.028366347867</x:v>
      </x:c>
      <x:c r="M2284" s="10" t="n">
        <x:f>K2284*'Assumptions'!$V$130</x:f>
        <x:v>1457.2570915869667</x:v>
      </x:c>
      <x:c r="N2284" s="10" t="n">
        <x:f>K2284-L2284-M2284</x:f>
        <x:v>65576.5691214135</x:v>
      </x:c>
      <x:c r="O2284" s="10" t="n">
        <x:f>H2284*'Assumptions'!$P$130*'Assumptions'!$Q$130*'Assumptions'!$D$11*(1+'Assumptions'!$D$13)^(18-1)</x:f>
        <x:v>4753.04340088534</x:v>
      </x:c>
      <x:c r="P2284" s="10" t="n">
        <x:f>H2284*'Assumptions'!$R$130*'Assumptions'!$D$11*(1+'Assumptions'!$D$13)^(18-1)</x:f>
        <x:v>27160.248005059086</x:v>
      </x:c>
      <x:c r="Q2284" s="10" t="n">
        <x:f>J2284*'Assumptions'!$S$130</x:f>
        <x:v>0</x:v>
      </x:c>
      <x:c r="R2284" s="10" t="n">
        <x:f>H2284*'Assumptions'!$Y$130*'Assumptions'!$Z$130*'Assumptions'!$D$11*(1+'Assumptions'!$D$13)^(18-1)</x:f>
        <x:v>4074.0372007588626</x:v>
      </x:c>
      <x:c r="S2284" s="10" t="n">
        <x:f>IF(I2284=0,0,J2284*'Assumptions'!$W$130+H2284*'Assumptions'!$X$130)</x:f>
        <x:v>2277.346749963936</x:v>
      </x:c>
      <x:c r="T2284" s="10" t="n">
        <x:f>N2284*'Assumptions'!$AA$130</x:f>
        <x:v>5246.12552971308</x:v>
      </x:c>
      <x:c r="U2284" s="10" t="n">
        <x:f>'Assumptions'!$AE$130*'Assumptions'!$D$11*(1+'Assumptions'!$D$13)^(18-1)</x:f>
        <x:v>0</x:v>
      </x:c>
      <x:c r="V2284" s="10" t="n">
        <x:f>0</x:f>
        <x:v>0</x:v>
      </x:c>
      <x:c r="W2284" s="10" t="n">
        <x:f>H2284*('Assumptions'!$P$130+'Assumptions'!$Y$130)</x:f>
        <x:v>164.32396716283375</x:v>
      </x:c>
      <x:c r="X2284" s="10" t="n">
        <x:f>N2284/12*'Assumptions'!$AF$130</x:f>
        <x:v>0</x:v>
      </x:c>
      <x:c r="Y2284" s="10" t="n">
        <x:f>P2284/12</x:f>
        <x:v>2263.3540004215906</x:v>
      </x:c>
      <x:c r="Z2284" s="10" t="n">
        <x:f>0</x:f>
        <x:v>0</x:v>
      </x:c>
      <x:c r="AA2284" s="10" t="n">
        <x:f>Z2284*'Assumptions'!$AC$130*'Assumptions'!$D$11*(1+'Assumptions'!$D$13)^(18-1)</x:f>
        <x:v>0</x:v>
      </x:c>
      <x:c r="AB2284" s="10" t="n">
        <x:f>F2284/1</x:f>
        <x:v>388.20872646002675</x:v>
      </x:c>
      <x:c r="AC2284" s="10" t="n">
        <x:f>AB2284/'Assumptions'!$AM$130</x:f>
        <x:v>12940.290882000892</x:v>
      </x:c>
      <x:c r="AD2284" s="10" t="n">
        <x:f>IF(AB2284=0,0,T2284/AB2284)</x:f>
        <x:v>13.513672342069995</x:v>
      </x:c>
      <x:c r="AE2284" s="10" t="n">
        <x:f>AA2284*'Assumptions'!$D$21</x:f>
        <x:v>0</x:v>
      </x:c>
    </x:row>
    <x:row r="2285" ht="16" customHeight="1">
      <x:c r="A2285" s="1"/>
      <x:c r="B2285" s="1"/>
      <x:c r="C2285" s="1" t="str">
        <x:v>DOT-102</x:v>
      </x:c>
      <x:c r="D2285" s="10" t="str">
        <x:v>Sleepy Face</x:v>
      </x:c>
      <x:c r="E2285" s="10" t="n">
        <x:v>18</x:v>
      </x:c>
      <x:c r="F2285" s="21" t="n">
        <x:f>F2157*(1+'Assumptions'!$M$131)</x:f>
        <x:v>582.3130896900399</x:v>
      </x:c>
      <x:c r="G2285" s="21" t="n">
        <x:f>H2157*'Assumptions'!$K$131</x:f>
        <x:v>239.30674612412855</x:v>
      </x:c>
      <x:c r="H2285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2285+G2285,NA())</x:f>
        <x:v>821.6198358141685</x:v>
      </x:c>
      <x:c r="I2285" s="22" t="n">
        <x:f>'Assumptions'!$H$131*IF('Assumptions'!$O$131=1,1,'Assumptions'!$D$10)*(1+'Assumptions'!$N$131)^(18-1)</x:f>
        <x:v>231.0398341667501</x:v>
      </x:c>
      <x:c r="J2285" s="10" t="n">
        <x:f>H2285*I2285</x:f>
        <x:v>189826.91061461793</x:v>
      </x:c>
      <x:c r="K2285" s="10" t="n">
        <x:f>J2285*'Assumptions'!$T$131</x:f>
        <x:v>189826.91061461793</x:v>
      </x:c>
      <x:c r="L2285" s="10" t="n">
        <x:f>K2285*'Assumptions'!$U$131</x:f>
        <x:v>15186.152849169433</x:v>
      </x:c>
      <x:c r="M2285" s="10" t="n">
        <x:f>K2285*'Assumptions'!$V$131</x:f>
        <x:v>3796.5382122923584</x:v>
      </x:c>
      <x:c r="N2285" s="10" t="n">
        <x:f>K2285-L2285-M2285</x:f>
        <x:v>170844.21955315612</x:v>
      </x:c>
      <x:c r="O2285" s="10" t="n">
        <x:f>H2285*'Assumptions'!$P$131*'Assumptions'!$Q$131*'Assumptions'!$D$11*(1+'Assumptions'!$D$13)^(18-1)</x:f>
        <x:v>7129.565101328008</x:v>
      </x:c>
      <x:c r="P2285" s="10" t="n">
        <x:f>H2285*'Assumptions'!$R$131*'Assumptions'!$D$11*(1+'Assumptions'!$D$13)^(18-1)</x:f>
        <x:v>81480.74401517723</x:v>
      </x:c>
      <x:c r="Q2285" s="10" t="n">
        <x:f>J2285*'Assumptions'!$S$131</x:f>
        <x:v>0</x:v>
      </x:c>
      <x:c r="R2285" s="10" t="n">
        <x:f>H2285*'Assumptions'!$Y$131*'Assumptions'!$Z$131*'Assumptions'!$D$11*(1+'Assumptions'!$D$13)^(18-1)</x:f>
        <x:v>6111.055801138292</x:v>
      </x:c>
      <x:c r="S2285" s="10" t="n">
        <x:f>IF(I2285=0,0,J2285*'Assumptions'!$W$131+H2285*'Assumptions'!$X$131)</x:f>
        <x:v>5751.466358568171</x:v>
      </x:c>
      <x:c r="T2285" s="10" t="n">
        <x:f>N2285*'Assumptions'!$AA$131</x:f>
        <x:v>13667.537564252489</x:v>
      </x:c>
      <x:c r="U2285" s="10" t="n">
        <x:f>'Assumptions'!$AE$131*'Assumptions'!$D$11*(1+'Assumptions'!$D$13)^(18-1)</x:f>
        <x:v>0</x:v>
      </x:c>
      <x:c r="V2285" s="10" t="n">
        <x:f>0</x:f>
        <x:v>0</x:v>
      </x:c>
      <x:c r="W2285" s="10" t="n">
        <x:f>H2285*('Assumptions'!$P$131+'Assumptions'!$Y$131)</x:f>
        <x:v>246.48595074425054</x:v>
      </x:c>
      <x:c r="X2285" s="10" t="n">
        <x:f>N2285/12*'Assumptions'!$AF$131</x:f>
        <x:v>0</x:v>
      </x:c>
      <x:c r="Y2285" s="10" t="n">
        <x:f>P2285/12</x:f>
        <x:v>6790.06200126477</x:v>
      </x:c>
      <x:c r="Z2285" s="10" t="n">
        <x:f>0</x:f>
        <x:v>0</x:v>
      </x:c>
      <x:c r="AA2285" s="10" t="n">
        <x:f>Z2285*'Assumptions'!$AC$131*'Assumptions'!$D$11*(1+'Assumptions'!$D$13)^(18-1)</x:f>
        <x:v>0</x:v>
      </x:c>
      <x:c r="AB2285" s="10" t="n">
        <x:f>F2285/1</x:f>
        <x:v>582.3130896900399</x:v>
      </x:c>
      <x:c r="AC2285" s="10" t="n">
        <x:f>AB2285/'Assumptions'!$AM$131</x:f>
        <x:v>19410.43632300133</x:v>
      </x:c>
      <x:c r="AD2285" s="10" t="n">
        <x:f>IF(AB2285=0,0,T2285/AB2285)</x:f>
        <x:v>23.471115120437354</x:v>
      </x:c>
      <x:c r="AE2285" s="10" t="n">
        <x:f>AA2285*'Assumptions'!$D$21</x:f>
        <x:v>0</x:v>
      </x:c>
    </x:row>
    <x:row r="2286" ht="16" customHeight="1">
      <x:c r="A2286" s="1"/>
      <x:c r="B2286" s="1"/>
      <x:c r="C2286" s="1" t="str">
        <x:v>DOT-103</x:v>
      </x:c>
      <x:c r="D2286" s="10" t="str">
        <x:v>Sleepy Face</x:v>
      </x:c>
      <x:c r="E2286" s="10" t="n">
        <x:v>18</x:v>
      </x:c>
      <x:c r="F2286" s="21" t="n">
        <x:f>F2158*(1+'Assumptions'!$M$132)</x:f>
        <x:v>129.40290882000883</x:v>
      </x:c>
      <x:c r="G2286" s="21" t="n">
        <x:f>H2158*'Assumptions'!$K$132</x:f>
        <x:v>53.179276916473015</x:v>
      </x:c>
      <x:c r="H2286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2286+G2286,NA())</x:f>
        <x:v>182.58218573648185</x:v>
      </x:c>
      <x:c r="I2286" s="22" t="n">
        <x:f>'Assumptions'!$H$132*IF('Assumptions'!$O$132=1,1,'Assumptions'!$D$10)*(1+'Assumptions'!$N$132)^(18-1)</x:f>
        <x:v>315.0543193182956</x:v>
      </x:c>
      <x:c r="J2286" s="10" t="n">
        <x:f>H2286*I2286</x:f>
        <x:v>57523.30624685391</x:v>
      </x:c>
      <x:c r="K2286" s="10" t="n">
        <x:f>J2286*'Assumptions'!$T$132</x:f>
        <x:v>57523.30624685391</x:v>
      </x:c>
      <x:c r="L2286" s="10" t="n">
        <x:f>K2286*'Assumptions'!$U$132</x:f>
        <x:v>4601.8644997483125</x:v>
      </x:c>
      <x:c r="M2286" s="10" t="n">
        <x:f>K2286*'Assumptions'!$V$132</x:f>
        <x:v>1150.4661249370781</x:v>
      </x:c>
      <x:c r="N2286" s="10" t="n">
        <x:f>K2286-L2286-M2286</x:f>
        <x:v>51770.97562216852</x:v>
      </x:c>
      <x:c r="O2286" s="10" t="n">
        <x:f>H2286*'Assumptions'!$P$132*'Assumptions'!$Q$132*'Assumptions'!$D$11*(1+'Assumptions'!$D$13)^(18-1)</x:f>
        <x:v>1584.3478002951124</x:v>
      </x:c>
      <x:c r="P2286" s="10" t="n">
        <x:f>H2286*'Assumptions'!$R$132*'Assumptions'!$D$11*(1+'Assumptions'!$D$13)^(18-1)</x:f>
        <x:v>27160.248005059068</x:v>
      </x:c>
      <x:c r="Q2286" s="10" t="n">
        <x:f>J2286*'Assumptions'!$S$132</x:f>
        <x:v>0</x:v>
      </x:c>
      <x:c r="R2286" s="10" t="n">
        <x:f>H2286*'Assumptions'!$Y$132*'Assumptions'!$Z$132*'Assumptions'!$D$11*(1+'Assumptions'!$D$13)^(18-1)</x:f>
        <x:v>1358.0124002529535</x:v>
      </x:c>
      <x:c r="S2286" s="10" t="n">
        <x:f>IF(I2286=0,0,J2286*'Assumptions'!$W$132+H2286*'Assumptions'!$X$132)</x:f>
        <x:v>1722.950536879708</x:v>
      </x:c>
      <x:c r="T2286" s="10" t="n">
        <x:f>N2286*'Assumptions'!$AA$132</x:f>
        <x:v>4141.678049773482</x:v>
      </x:c>
      <x:c r="U2286" s="10" t="n">
        <x:f>'Assumptions'!$AE$132*'Assumptions'!$D$11*(1+'Assumptions'!$D$13)^(18-1)</x:f>
        <x:v>0</x:v>
      </x:c>
      <x:c r="V2286" s="10" t="n">
        <x:f>0</x:f>
        <x:v>0</x:v>
      </x:c>
      <x:c r="W2286" s="10" t="n">
        <x:f>H2286*('Assumptions'!$P$132+'Assumptions'!$Y$132)</x:f>
        <x:v>54.77465572094455</x:v>
      </x:c>
      <x:c r="X2286" s="10" t="n">
        <x:f>N2286/12*'Assumptions'!$AF$132</x:f>
        <x:v>0</x:v>
      </x:c>
      <x:c r="Y2286" s="10" t="n">
        <x:f>P2286/12</x:f>
        <x:v>2263.354000421589</x:v>
      </x:c>
      <x:c r="Z2286" s="10" t="n">
        <x:f>0</x:f>
        <x:v>0</x:v>
      </x:c>
      <x:c r="AA2286" s="10" t="n">
        <x:f>Z2286*'Assumptions'!$AC$132*'Assumptions'!$D$11*(1+'Assumptions'!$D$13)^(18-1)</x:f>
        <x:v>0</x:v>
      </x:c>
      <x:c r="AB2286" s="10" t="n">
        <x:f>F2286/1</x:f>
        <x:v>129.40290882000883</x:v>
      </x:c>
      <x:c r="AC2286" s="10" t="n">
        <x:f>AB2286/'Assumptions'!$AM$132</x:f>
        <x:v>4313.430294000294</x:v>
      </x:c>
      <x:c r="AD2286" s="10" t="n">
        <x:f>IF(AB2286=0,0,T2286/AB2286)</x:f>
        <x:v>32.00606607332367</x:v>
      </x:c>
      <x:c r="AE2286" s="10" t="n">
        <x:f>AA2286*'Assumptions'!$D$21</x:f>
        <x:v>0</x:v>
      </x:c>
    </x:row>
    <x:row r="2287" ht="16" customHeight="1">
      <x:c r="A2287" s="1"/>
      <x:c r="B2287" s="1"/>
      <x:c r="C2287" s="1" t="str">
        <x:v>DOT-104</x:v>
      </x:c>
      <x:c r="D2287" s="10" t="str">
        <x:v>Sleepy Face</x:v>
      </x:c>
      <x:c r="E2287" s="10" t="n">
        <x:v>18</x:v>
      </x:c>
      <x:c r="F2287" s="21" t="n">
        <x:f>F2159*(1+'Assumptions'!$M$133)</x:f>
        <x:v>388.20872646002675</x:v>
      </x:c>
      <x:c r="G2287" s="21" t="n">
        <x:f>H2159*'Assumptions'!$K$133</x:f>
        <x:v>159.5378307494191</x:v>
      </x:c>
      <x:c r="H2287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2287+G2287,NA())</x:f>
        <x:v>547.7465572094459</x:v>
      </x:c>
      <x:c r="I2287" s="22" t="n">
        <x:f>'Assumptions'!$H$133*IF('Assumptions'!$O$133=1,1,'Assumptions'!$D$10)*(1+'Assumptions'!$N$133)^(18-1)</x:f>
        <x:v>133.02293482328037</x:v>
      </x:c>
      <x:c r="J2287" s="10" t="n">
        <x:f>H2287*I2287</x:f>
        <x:v>72862.85457934834</x:v>
      </x:c>
      <x:c r="K2287" s="10" t="n">
        <x:f>J2287*'Assumptions'!$T$133</x:f>
        <x:v>72862.85457934834</x:v>
      </x:c>
      <x:c r="L2287" s="10" t="n">
        <x:f>K2287*'Assumptions'!$U$133</x:f>
        <x:v>5829.028366347867</x:v>
      </x:c>
      <x:c r="M2287" s="10" t="n">
        <x:f>K2287*'Assumptions'!$V$133</x:f>
        <x:v>1457.2570915869667</x:v>
      </x:c>
      <x:c r="N2287" s="10" t="n">
        <x:f>K2287-L2287-M2287</x:f>
        <x:v>65576.5691214135</x:v>
      </x:c>
      <x:c r="O2287" s="10" t="n">
        <x:f>H2287*'Assumptions'!$P$133*'Assumptions'!$Q$133*'Assumptions'!$D$11*(1+'Assumptions'!$D$13)^(18-1)</x:f>
        <x:v>4753.04340088534</x:v>
      </x:c>
      <x:c r="P2287" s="10" t="n">
        <x:f>H2287*'Assumptions'!$R$133*'Assumptions'!$D$11*(1+'Assumptions'!$D$13)^(18-1)</x:f>
        <x:v>31686.956005902266</x:v>
      </x:c>
      <x:c r="Q2287" s="10" t="n">
        <x:f>J2287*'Assumptions'!$S$133</x:f>
        <x:v>0</x:v>
      </x:c>
      <x:c r="R2287" s="10" t="n">
        <x:f>H2287*'Assumptions'!$Y$133*'Assumptions'!$Z$133*'Assumptions'!$D$11*(1+'Assumptions'!$D$13)^(18-1)</x:f>
        <x:v>4074.0372007588626</x:v>
      </x:c>
      <x:c r="S2287" s="10" t="n">
        <x:f>IF(I2287=0,0,J2287*'Assumptions'!$W$133+H2287*'Assumptions'!$X$133)</x:f>
        <x:v>2277.346749963936</x:v>
      </x:c>
      <x:c r="T2287" s="10" t="n">
        <x:f>N2287*'Assumptions'!$AA$133</x:f>
        <x:v>5246.12552971308</x:v>
      </x:c>
      <x:c r="U2287" s="10" t="n">
        <x:f>'Assumptions'!$AE$133*'Assumptions'!$D$11*(1+'Assumptions'!$D$13)^(18-1)</x:f>
        <x:v>0</x:v>
      </x:c>
      <x:c r="V2287" s="10" t="n">
        <x:f>0</x:f>
        <x:v>0</x:v>
      </x:c>
      <x:c r="W2287" s="10" t="n">
        <x:f>H2287*('Assumptions'!$P$133+'Assumptions'!$Y$133)</x:f>
        <x:v>164.32396716283375</x:v>
      </x:c>
      <x:c r="X2287" s="10" t="n">
        <x:f>N2287/12*'Assumptions'!$AF$133</x:f>
        <x:v>0</x:v>
      </x:c>
      <x:c r="Y2287" s="10" t="n">
        <x:f>P2287/12</x:f>
        <x:v>2640.579667158522</x:v>
      </x:c>
      <x:c r="Z2287" s="10" t="n">
        <x:f>0</x:f>
        <x:v>0</x:v>
      </x:c>
      <x:c r="AA2287" s="10" t="n">
        <x:f>Z2287*'Assumptions'!$AC$133*'Assumptions'!$D$11*(1+'Assumptions'!$D$13)^(18-1)</x:f>
        <x:v>0</x:v>
      </x:c>
      <x:c r="AB2287" s="10" t="n">
        <x:f>F2287/1</x:f>
        <x:v>388.20872646002675</x:v>
      </x:c>
      <x:c r="AC2287" s="10" t="n">
        <x:f>AB2287/'Assumptions'!$AM$133</x:f>
        <x:v>12940.290882000892</x:v>
      </x:c>
      <x:c r="AD2287" s="10" t="n">
        <x:f>IF(AB2287=0,0,T2287/AB2287)</x:f>
        <x:v>13.513672342069995</x:v>
      </x:c>
      <x:c r="AE2287" s="10" t="n">
        <x:f>AA2287*'Assumptions'!$D$21</x:f>
        <x:v>0</x:v>
      </x:c>
    </x:row>
    <x:row r="2288" ht="16" customHeight="1">
      <x:c r="A2288" s="1"/>
      <x:c r="B2288" s="1"/>
      <x:c r="C2288" s="1" t="str">
        <x:v>DOT-105</x:v>
      </x:c>
      <x:c r="D2288" s="10" t="str">
        <x:v>Sleepy Face</x:v>
      </x:c>
      <x:c r="E2288" s="10" t="n">
        <x:v>18</x:v>
      </x:c>
      <x:c r="F2288" s="21" t="n">
        <x:f>F2160*(1+'Assumptions'!$M$134)</x:f>
        <x:v>194.10436323001338</x:v>
      </x:c>
      <x:c r="G2288" s="21" t="n">
        <x:f>H2160*'Assumptions'!$K$134</x:f>
        <x:v>79.76891537470955</x:v>
      </x:c>
      <x:c r="H2288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2288+G2288,NA())</x:f>
        <x:v>273.87327860472294</x:v>
      </x:c>
      <x:c r="I2288" s="22" t="n">
        <x:f>'Assumptions'!$H$134*IF('Assumptions'!$O$134=1,1,'Assumptions'!$D$10)*(1+'Assumptions'!$N$134)^(18-1)</x:f>
        <x:v>245.04224835867436</x:v>
      </x:c>
      <x:c r="J2288" s="10" t="n">
        <x:f>H2288*I2288</x:f>
        <x:v>67110.52395466293</x:v>
      </x:c>
      <x:c r="K2288" s="10" t="n">
        <x:f>J2288*'Assumptions'!$T$134</x:f>
        <x:v>67110.52395466293</x:v>
      </x:c>
      <x:c r="L2288" s="10" t="n">
        <x:f>K2288*'Assumptions'!$U$134</x:f>
        <x:v>5368.841916373035</x:v>
      </x:c>
      <x:c r="M2288" s="10" t="n">
        <x:f>K2288*'Assumptions'!$V$134</x:f>
        <x:v>1342.2104790932588</x:v>
      </x:c>
      <x:c r="N2288" s="10" t="n">
        <x:f>K2288-L2288-M2288</x:f>
        <x:v>60399.47155919664</x:v>
      </x:c>
      <x:c r="O2288" s="10" t="n">
        <x:f>H2288*'Assumptions'!$P$134*'Assumptions'!$Q$134*'Assumptions'!$D$11*(1+'Assumptions'!$D$13)^(18-1)</x:f>
        <x:v>2376.52170044267</x:v>
      </x:c>
      <x:c r="P2288" s="10" t="n">
        <x:f>H2288*'Assumptions'!$R$134*'Assumptions'!$D$11*(1+'Assumptions'!$D$13)^(18-1)</x:f>
        <x:v>29423.602005480676</x:v>
      </x:c>
      <x:c r="Q2288" s="10" t="n">
        <x:f>J2288*'Assumptions'!$S$134</x:f>
        <x:v>0</x:v>
      </x:c>
      <x:c r="R2288" s="10" t="n">
        <x:f>H2288*'Assumptions'!$Y$134*'Assumptions'!$Z$134*'Assumptions'!$D$11*(1+'Assumptions'!$D$13)^(18-1)</x:f>
        <x:v>2037.0186003794313</x:v>
      </x:c>
      <x:c r="S2288" s="10" t="n">
        <x:f>IF(I2288=0,0,J2288*'Assumptions'!$W$134+H2288*'Assumptions'!$X$134)</x:f>
        <x:v>2028.367178266642</x:v>
      </x:c>
      <x:c r="T2288" s="10" t="n">
        <x:f>N2288*'Assumptions'!$AA$134</x:f>
        <x:v>4831.957724735731</x:v>
      </x:c>
      <x:c r="U2288" s="10" t="n">
        <x:f>'Assumptions'!$AE$134*'Assumptions'!$D$11*(1+'Assumptions'!$D$13)^(18-1)</x:f>
        <x:v>0</x:v>
      </x:c>
      <x:c r="V2288" s="10" t="n">
        <x:f>0</x:f>
        <x:v>0</x:v>
      </x:c>
      <x:c r="W2288" s="10" t="n">
        <x:f>H2288*('Assumptions'!$P$134+'Assumptions'!$Y$134)</x:f>
        <x:v>82.16198358141688</x:v>
      </x:c>
      <x:c r="X2288" s="10" t="n">
        <x:f>N2288/12*'Assumptions'!$AF$134</x:f>
        <x:v>0</x:v>
      </x:c>
      <x:c r="Y2288" s="10" t="n">
        <x:f>P2288/12</x:f>
        <x:v>2451.966833790056</x:v>
      </x:c>
      <x:c r="Z2288" s="10" t="n">
        <x:f>0</x:f>
        <x:v>0</x:v>
      </x:c>
      <x:c r="AA2288" s="10" t="n">
        <x:f>Z2288*'Assumptions'!$AC$134*'Assumptions'!$D$11*(1+'Assumptions'!$D$13)^(18-1)</x:f>
        <x:v>0</x:v>
      </x:c>
      <x:c r="AB2288" s="10" t="n">
        <x:f>F2288/1</x:f>
        <x:v>194.10436323001338</x:v>
      </x:c>
      <x:c r="AC2288" s="10" t="n">
        <x:f>AB2288/'Assumptions'!$AM$134</x:f>
        <x:v>6470.145441000446</x:v>
      </x:c>
      <x:c r="AD2288" s="10" t="n">
        <x:f>IF(AB2288=0,0,T2288/AB2288)</x:f>
        <x:v>24.89360694591841</x:v>
      </x:c>
      <x:c r="AE2288" s="10" t="n">
        <x:f>AA2288*'Assumptions'!$D$21</x:f>
        <x:v>0</x:v>
      </x:c>
    </x:row>
    <x:row r="2289" ht="16" customHeight="1">
      <x:c r="A2289" s="1"/>
      <x:c r="B2289" s="1"/>
      <x:c r="C2289" s="1" t="str">
        <x:v>DOT-106</x:v>
      </x:c>
      <x:c r="D2289" s="10" t="str">
        <x:v>QzoticMusic</x:v>
      </x:c>
      <x:c r="E2289" s="10" t="n">
        <x:v>18</x:v>
      </x:c>
      <x:c r="F2289" s="21" t="n">
        <x:f>F2161*(1+'Assumptions'!$M$135)</x:f>
        <x:v>1155.813589423123</x:v>
      </x:c>
      <x:c r="G2289" s="21" t="n">
        <x:f>H2161*'Assumptions'!$K$135</x:f>
        <x:v>370.45307301584853</x:v>
      </x:c>
      <x:c r="H2289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2289+G2289,NA())</x:f>
        <x:v>1526.2666624389715</x:v>
      </x:c>
      <x:c r="I2289" s="22" t="n">
        <x:f>'Assumptions'!$H$135*IF('Assumptions'!$O$135=1,1,'Assumptions'!$D$10)*(1+'Assumptions'!$N$135)^(18-1)</x:f>
        <x:v>7.001207095962124</x:v>
      </x:c>
      <x:c r="J2289" s="10" t="n">
        <x:f>H2289*I2289</x:f>
        <x:v>10685.708987398155</x:v>
      </x:c>
      <x:c r="K2289" s="10" t="n">
        <x:f>J2289*'Assumptions'!$T$135</x:f>
        <x:v>10685.708987398155</x:v>
      </x:c>
      <x:c r="L2289" s="10" t="n">
        <x:f>K2289*'Assumptions'!$U$135</x:f>
        <x:v>320.5712696219446</x:v>
      </x:c>
      <x:c r="M2289" s="10" t="n">
        <x:f>K2289*'Assumptions'!$V$135</x:f>
        <x:v>0</x:v>
      </x:c>
      <x:c r="N2289" s="10" t="n">
        <x:f>K2289-L2289-M2289</x:f>
        <x:v>10365.13771777621</x:v>
      </x:c>
      <x:c r="O2289" s="10" t="n">
        <x:f>H2289*'Assumptions'!$P$135*'Assumptions'!$Q$135*'Assumptions'!$D$11*(1+'Assumptions'!$D$13)^(18-1)</x:f>
        <x:v>1765.880367459294</x:v>
      </x:c>
      <x:c r="P2289" s="10" t="n">
        <x:f>H2289*'Assumptions'!$R$135*'Assumptions'!$D$11*(1+'Assumptions'!$D$13)^(18-1)</x:f>
        <x:v>0</x:v>
      </x:c>
      <x:c r="Q2289" s="10" t="n">
        <x:f>J2289*'Assumptions'!$S$135</x:f>
        <x:v>0</x:v>
      </x:c>
      <x:c r="R2289" s="10" t="n">
        <x:f>H2289*'Assumptions'!$Y$135*'Assumptions'!$Z$135*'Assumptions'!$D$11*(1+'Assumptions'!$D$13)^(18-1)</x:f>
        <x:v>7568.058717682689</x:v>
      </x:c>
      <x:c r="S2289" s="10" t="n">
        <x:f>IF(I2289=0,0,J2289*'Assumptions'!$W$135+H2289*'Assumptions'!$X$135)</x:f>
        <x:v>767.765559366238</x:v>
      </x:c>
      <x:c r="T2289" s="10" t="n">
        <x:f>N2289*'Assumptions'!$AA$135</x:f>
        <x:v>518.2568858888105</x:v>
      </x:c>
      <x:c r="U2289" s="10" t="n">
        <x:f>'Assumptions'!$AE$135*'Assumptions'!$D$11*(1+'Assumptions'!$D$13)^(18-1)</x:f>
        <x:v>0</x:v>
      </x:c>
      <x:c r="V2289" s="10" t="n">
        <x:f>0</x:f>
        <x:v>0</x:v>
      </x:c>
      <x:c r="W2289" s="10" t="n">
        <x:f>H2289*('Assumptions'!$P$135+'Assumptions'!$Y$135)</x:f>
        <x:v>183.1519994926766</x:v>
      </x:c>
      <x:c r="X2289" s="10" t="n">
        <x:f>N2289/12*'Assumptions'!$AF$135</x:f>
        <x:v>0</x:v>
      </x:c>
      <x:c r="Y2289" s="10" t="n">
        <x:f>P2289/12</x:f>
        <x:v>0</x:v>
      </x:c>
      <x:c r="Z2289" s="10" t="n">
        <x:f>0</x:f>
        <x:v>0</x:v>
      </x:c>
      <x:c r="AA2289" s="10" t="n">
        <x:f>Z2289*'Assumptions'!$AC$135*'Assumptions'!$D$11*(1+'Assumptions'!$D$13)^(18-1)</x:f>
        <x:v>0</x:v>
      </x:c>
      <x:c r="AB2289" s="10" t="n">
        <x:f>F2289/12</x:f>
        <x:v>96.31779911859358</x:v>
      </x:c>
      <x:c r="AC2289" s="10" t="n">
        <x:f>AB2289/'Assumptions'!$AM$135</x:f>
        <x:v>1926.3559823718715</x:v>
      </x:c>
      <x:c r="AD2289" s="10" t="n">
        <x:f>IF(AB2289=0,0,T2289/AB2289)</x:f>
        <x:v>5.380696928619542</x:v>
      </x:c>
      <x:c r="AE2289" s="10" t="n">
        <x:f>AA2289*'Assumptions'!$D$21</x:f>
        <x:v>0</x:v>
      </x:c>
    </x:row>
    <x:row r="2290" ht="16" customHeight="1">
      <x:c r="A2290" s="1"/>
      <x:c r="B2290" s="1"/>
      <x:c r="C2290" s="1" t="str">
        <x:v>DOT-107</x:v>
      </x:c>
      <x:c r="D2290" s="10" t="str">
        <x:v>QzoticMusic</x:v>
      </x:c>
      <x:c r="E2290" s="10" t="n">
        <x:v>18</x:v>
      </x:c>
      <x:c r="F2290" s="21" t="n">
        <x:f>F2162*(1+'Assumptions'!$M$136)</x:f>
        <x:v>335.4125127388521</x:v>
      </x:c>
      <x:c r="G2290" s="21" t="n">
        <x:f>H2162*'Assumptions'!$K$136</x:f>
        <x:v>172.63877841340755</x:v>
      </x:c>
      <x:c r="H2290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2290+G2290,NA())</x:f>
        <x:v>508.05129115225964</x:v>
      </x:c>
      <x:c r="I2290" s="22" t="n">
        <x:f>'Assumptions'!$H$136*IF('Assumptions'!$O$136=1,1,'Assumptions'!$D$10)*(1+'Assumptions'!$N$136)^(18-1)</x:f>
        <x:v>35.00603547981062</x:v>
      </x:c>
      <x:c r="J2290" s="10" t="n">
        <x:f>H2290*I2290</x:f>
        <x:v>17784.861523639596</x:v>
      </x:c>
      <x:c r="K2290" s="10" t="n">
        <x:f>J2290*'Assumptions'!$T$136</x:f>
        <x:v>17784.861523639596</x:v>
      </x:c>
      <x:c r="L2290" s="10" t="n">
        <x:f>K2290*'Assumptions'!$U$136</x:f>
        <x:v>533.5458457091879</x:v>
      </x:c>
      <x:c r="M2290" s="10" t="n">
        <x:f>K2290*'Assumptions'!$V$136</x:f>
        <x:v>0</x:v>
      </x:c>
      <x:c r="N2290" s="10" t="n">
        <x:f>K2290-L2290-M2290</x:f>
        <x:v>17251.315677930408</x:v>
      </x:c>
      <x:c r="O2290" s="10" t="n">
        <x:f>H2290*'Assumptions'!$P$136*'Assumptions'!$Q$136*'Assumptions'!$D$11*(1+'Assumptions'!$D$13)^(18-1)</x:f>
        <x:v>4408.589711681499</x:v>
      </x:c>
      <x:c r="P2290" s="10" t="n">
        <x:f>H2290*'Assumptions'!$R$136*'Assumptions'!$D$11*(1+'Assumptions'!$D$13)^(18-1)</x:f>
        <x:v>8397.313736536187</x:v>
      </x:c>
      <x:c r="Q2290" s="10" t="n">
        <x:f>J2290*'Assumptions'!$S$136</x:f>
        <x:v>0</x:v>
      </x:c>
      <x:c r="R2290" s="10" t="n">
        <x:f>H2290*'Assumptions'!$Y$136*'Assumptions'!$Z$136*'Assumptions'!$D$11*(1+'Assumptions'!$D$13)^(18-1)</x:f>
        <x:v>12595.97060480428</x:v>
      </x:c>
      <x:c r="S2290" s="10" t="n">
        <x:f>IF(I2290=0,0,J2290*'Assumptions'!$W$136+H2290*'Assumptions'!$X$136)</x:f>
        <x:v>668.1763715312262</x:v>
      </x:c>
      <x:c r="T2290" s="10" t="n">
        <x:f>N2290*'Assumptions'!$AA$136</x:f>
        <x:v>1380.1052542344328</x:v>
      </x:c>
      <x:c r="U2290" s="10" t="n">
        <x:f>'Assumptions'!$AE$136*'Assumptions'!$D$11*(1+'Assumptions'!$D$13)^(18-1)</x:f>
        <x:v>0</x:v>
      </x:c>
      <x:c r="V2290" s="10" t="n">
        <x:f>0</x:f>
        <x:v>0</x:v>
      </x:c>
      <x:c r="W2290" s="10" t="n">
        <x:f>H2290*('Assumptions'!$P$136+'Assumptions'!$Y$136)</x:f>
        <x:v>330.2333392489688</x:v>
      </x:c>
      <x:c r="X2290" s="10" t="n">
        <x:f>N2290/12*'Assumptions'!$AF$136</x:f>
        <x:v>1437.609639827534</x:v>
      </x:c>
      <x:c r="Y2290" s="10" t="n">
        <x:f>P2290/12</x:f>
        <x:v>699.7761447113489</x:v>
      </x:c>
      <x:c r="Z2290" s="10" t="n">
        <x:f>0</x:f>
        <x:v>0</x:v>
      </x:c>
      <x:c r="AA2290" s="10" t="n">
        <x:f>Z2290*'Assumptions'!$AC$136*'Assumptions'!$D$11*(1+'Assumptions'!$D$13)^(18-1)</x:f>
        <x:v>0</x:v>
      </x:c>
      <x:c r="AB2290" s="10" t="n">
        <x:f>F2290/1</x:f>
        <x:v>335.4125127388521</x:v>
      </x:c>
      <x:c r="AC2290" s="10" t="n">
        <x:f>AB2290/'Assumptions'!$AM$136</x:f>
        <x:v>3354.125127388521</x:v>
      </x:c>
      <x:c r="AD2290" s="10" t="n">
        <x:f>IF(AB2290=0,0,T2290/AB2290)</x:f>
        <x:v>4.114650473129382</x:v>
      </x:c>
      <x:c r="AE2290" s="10" t="n">
        <x:f>AA2290*'Assumptions'!$D$21</x:f>
        <x:v>0</x:v>
      </x:c>
    </x:row>
    <x:row r="2291" ht="16" customHeight="1">
      <x:c r="A2291" s="1"/>
      <x:c r="B2291" s="1"/>
      <x:c r="C2291" s="1" t="str">
        <x:v>DOT-108</x:v>
      </x:c>
      <x:c r="D2291" s="10" t="str">
        <x:v>QzoticMusic</x:v>
      </x:c>
      <x:c r="E2291" s="10" t="n">
        <x:v>18</x:v>
      </x:c>
      <x:c r="F2291" s="21" t="n">
        <x:f>F2163*(1+'Assumptions'!$M$137)</x:f>
        <x:v>16.770625636942608</x:v>
      </x:c>
      <x:c r="G2291" s="21" t="n">
        <x:f>H2163*'Assumptions'!$K$137</x:f>
        <x:v>8.63193892067038</x:v>
      </x:c>
      <x:c r="H2291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2291+G2291,NA())</x:f>
        <x:v>25.40256455761299</x:v>
      </x:c>
      <x:c r="I2291" s="22" t="n">
        <x:f>'Assumptions'!$H$137*IF('Assumptions'!$O$137=1,1,'Assumptions'!$D$10)*(1+'Assumptions'!$N$137)^(18-1)</x:f>
        <x:v>350.06035479810623</x:v>
      </x:c>
      <x:c r="J2291" s="10" t="n">
        <x:f>H2291*I2291</x:f>
        <x:v>8892.430761819802</x:v>
      </x:c>
      <x:c r="K2291" s="10" t="n">
        <x:f>J2291*'Assumptions'!$T$137</x:f>
        <x:v>8892.430761819802</x:v>
      </x:c>
      <x:c r="L2291" s="10" t="n">
        <x:f>K2291*'Assumptions'!$U$137</x:f>
        <x:v>266.77292285459407</x:v>
      </x:c>
      <x:c r="M2291" s="10" t="n">
        <x:f>K2291*'Assumptions'!$V$137</x:f>
        <x:v>0</x:v>
      </x:c>
      <x:c r="N2291" s="10" t="n">
        <x:f>K2291-L2291-M2291</x:f>
        <x:v>8625.657838965208</x:v>
      </x:c>
      <x:c r="O2291" s="10" t="n">
        <x:f>H2291*'Assumptions'!$P$137*'Assumptions'!$Q$137*'Assumptions'!$D$11*(1+'Assumptions'!$D$13)^(18-1)</x:f>
        <x:v>3358.925494614476</x:v>
      </x:c>
      <x:c r="P2291" s="10" t="n">
        <x:f>H2291*'Assumptions'!$R$137*'Assumptions'!$D$11*(1+'Assumptions'!$D$13)^(18-1)</x:f>
        <x:v>0</x:v>
      </x:c>
      <x:c r="Q2291" s="10" t="n">
        <x:f>J2291*'Assumptions'!$S$137</x:f>
        <x:v>0</x:v>
      </x:c>
      <x:c r="R2291" s="10" t="n">
        <x:f>H2291*'Assumptions'!$Y$137*'Assumptions'!$Z$137*'Assumptions'!$D$11*(1+'Assumptions'!$D$13)^(18-1)</x:f>
        <x:v>629.7985302402143</x:v>
      </x:c>
      <x:c r="S2291" s="10" t="n">
        <x:f>IF(I2291=0,0,J2291*'Assumptions'!$W$137+H2291*'Assumptions'!$X$137)</x:f>
        <x:v>265.5012614600582</x:v>
      </x:c>
      <x:c r="T2291" s="10" t="n">
        <x:f>N2291*'Assumptions'!$AA$137</x:f>
        <x:v>690.0526271172166</x:v>
      </x:c>
      <x:c r="U2291" s="10" t="n">
        <x:f>'Assumptions'!$AE$137*'Assumptions'!$D$11*(1+'Assumptions'!$D$13)^(18-1)</x:f>
        <x:v>0</x:v>
      </x:c>
      <x:c r="V2291" s="10" t="n">
        <x:f>0</x:f>
        <x:v>0</x:v>
      </x:c>
      <x:c r="W2291" s="10" t="n">
        <x:f>H2291*('Assumptions'!$P$137+'Assumptions'!$Y$137)</x:f>
        <x:v>63.506411394032476</x:v>
      </x:c>
      <x:c r="X2291" s="10" t="n">
        <x:f>N2291/12*'Assumptions'!$AF$137</x:f>
        <x:v>718.8048199137673</x:v>
      </x:c>
      <x:c r="Y2291" s="10" t="n">
        <x:f>P2291/12</x:f>
        <x:v>0</x:v>
      </x:c>
      <x:c r="Z2291" s="10" t="n">
        <x:f>0</x:f>
        <x:v>0</x:v>
      </x:c>
      <x:c r="AA2291" s="10" t="n">
        <x:f>Z2291*'Assumptions'!$AC$137*'Assumptions'!$D$11*(1+'Assumptions'!$D$13)^(18-1)</x:f>
        <x:v>0</x:v>
      </x:c>
      <x:c r="AB2291" s="10" t="n">
        <x:f>F2291/1</x:f>
        <x:v>16.770625636942608</x:v>
      </x:c>
      <x:c r="AC2291" s="10" t="n">
        <x:f>AB2291/'Assumptions'!$AM$137</x:f>
        <x:v>167.70625636942606</x:v>
      </x:c>
      <x:c r="AD2291" s="10" t="n">
        <x:f>IF(AB2291=0,0,T2291/AB2291)</x:f>
        <x:v>41.14650473129383</x:v>
      </x:c>
      <x:c r="AE2291" s="10" t="n">
        <x:f>AA2291*'Assumptions'!$D$21</x:f>
        <x:v>0</x:v>
      </x:c>
    </x:row>
    <x:row r="2292" ht="16" customHeight="1">
      <x:c r="A2292" s="1"/>
      <x:c r="B2292" s="1"/>
      <x:c r="C2292" s="1" t="str">
        <x:v>DOT-109</x:v>
      </x:c>
      <x:c r="D2292" s="10" t="str">
        <x:v>LesPetitFilms</x:v>
      </x:c>
      <x:c r="E2292" s="10" t="n">
        <x:v>18</x:v>
      </x:c>
      <x:c r="F2292" s="21" t="n">
        <x:f>F2164*(1+'Assumptions'!$M$138)</x:f>
        <x:v>11.180417091295071</x:v>
      </x:c>
      <x:c r="G2292" s="21" t="n">
        <x:f>H2164*'Assumptions'!$K$138</x:f>
        <x:v>5.7546259471135865</x:v>
      </x:c>
      <x:c r="H2292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2292+G2292,NA())</x:f>
        <x:v>16.935043038408658</x:v>
      </x:c>
      <x:c r="I2292" s="22" t="n">
        <x:f>'Assumptions'!$H$138*IF('Assumptions'!$O$138=1,1,'Assumptions'!$D$10)*(1+'Assumptions'!$N$138)^(18-1)</x:f>
        <x:v>4900.844967173487</x:v>
      </x:c>
      <x:c r="J2292" s="10" t="n">
        <x:f>H2292*I2292</x:f>
        <x:v>82996.02044365148</x:v>
      </x:c>
      <x:c r="K2292" s="10" t="n">
        <x:f>J2292*'Assumptions'!$T$138</x:f>
        <x:v>82996.02044365148</x:v>
      </x:c>
      <x:c r="L2292" s="10" t="n">
        <x:f>K2292*'Assumptions'!$U$138</x:f>
        <x:v>2489.880613309544</x:v>
      </x:c>
      <x:c r="M2292" s="10" t="n">
        <x:f>K2292*'Assumptions'!$V$138</x:f>
        <x:v>0</x:v>
      </x:c>
      <x:c r="N2292" s="10" t="n">
        <x:f>K2292-L2292-M2292</x:f>
        <x:v>80506.13983034193</x:v>
      </x:c>
      <x:c r="O2292" s="10" t="n">
        <x:f>H2292*'Assumptions'!$P$138*'Assumptions'!$Q$138*'Assumptions'!$D$11*(1+'Assumptions'!$D$13)^(18-1)</x:f>
        <x:v>31489.92651201071</x:v>
      </x:c>
      <x:c r="P2292" s="10" t="n">
        <x:f>H2292*'Assumptions'!$R$138*'Assumptions'!$D$11*(1+'Assumptions'!$D$13)^(18-1)</x:f>
        <x:v>9796.866025958887</x:v>
      </x:c>
      <x:c r="Q2292" s="10" t="n">
        <x:f>J2292*'Assumptions'!$S$138</x:f>
        <x:v>0</x:v>
      </x:c>
      <x:c r="R2292" s="10" t="n">
        <x:f>H2292*'Assumptions'!$Y$138*'Assumptions'!$Z$138*'Assumptions'!$D$11*(1+'Assumptions'!$D$13)^(18-1)</x:f>
        <x:v>419.86568682680945</x:v>
      </x:c>
      <x:c r="S2292" s="10" t="n">
        <x:f>IF(I2292=0,0,J2292*'Assumptions'!$W$138+H2292*'Assumptions'!$X$138)</x:f>
        <x:v>2411.9651057774154</x:v>
      </x:c>
      <x:c r="T2292" s="10" t="n">
        <x:f>N2292*'Assumptions'!$AA$138</x:f>
        <x:v>6440.4911864273545</x:v>
      </x:c>
      <x:c r="U2292" s="10" t="n">
        <x:f>'Assumptions'!$AE$138*'Assumptions'!$D$11*(1+'Assumptions'!$D$13)^(18-1)</x:f>
        <x:v>0</x:v>
      </x:c>
      <x:c r="V2292" s="10" t="n">
        <x:f>0</x:f>
        <x:v>0</x:v>
      </x:c>
      <x:c r="W2292" s="10" t="n">
        <x:f>H2292*('Assumptions'!$P$138+'Assumptions'!$Y$138)</x:f>
        <x:v>431.8435974794208</x:v>
      </x:c>
      <x:c r="X2292" s="10" t="n">
        <x:f>N2292/12*'Assumptions'!$AF$138</x:f>
        <x:v>6708.844985861827</x:v>
      </x:c>
      <x:c r="Y2292" s="10" t="n">
        <x:f>P2292/12</x:f>
        <x:v>816.4055021632406</x:v>
      </x:c>
      <x:c r="Z2292" s="10" t="n">
        <x:f>0</x:f>
        <x:v>0</x:v>
      </x:c>
      <x:c r="AA2292" s="10" t="n">
        <x:f>Z2292*'Assumptions'!$AC$138*'Assumptions'!$D$11*(1+'Assumptions'!$D$13)^(18-1)</x:f>
        <x:v>0</x:v>
      </x:c>
      <x:c r="AB2292" s="10" t="n">
        <x:f>F2292/1</x:f>
        <x:v>11.180417091295071</x:v>
      </x:c>
      <x:c r="AC2292" s="10" t="n">
        <x:f>AB2292/'Assumptions'!$AM$138</x:f>
        <x:v>111.80417091295071</x:v>
      </x:c>
      <x:c r="AD2292" s="10" t="n">
        <x:f>IF(AB2292=0,0,T2292/AB2292)</x:f>
        <x:v>576.0510662381135</x:v>
      </x:c>
      <x:c r="AE2292" s="10" t="n">
        <x:f>AA2292*'Assumptions'!$D$21</x:f>
        <x:v>0</x:v>
      </x:c>
    </x:row>
    <x:row r="2293" ht="16" customHeight="1">
      <x:c r="A2293" s="1"/>
      <x:c r="B2293" s="1"/>
      <x:c r="C2293" s="1" t="str">
        <x:v>DOT-110</x:v>
      </x:c>
      <x:c r="D2293" s="10" t="str">
        <x:v>LesPetitFilms</x:v>
      </x:c>
      <x:c r="E2293" s="10" t="n">
        <x:v>18</x:v>
      </x:c>
      <x:c r="F2293" s="21" t="n">
        <x:f>F2165*(1+'Assumptions'!$M$139)</x:f>
        <x:v>11.180417091295071</x:v>
      </x:c>
      <x:c r="G2293" s="21" t="n">
        <x:f>H2165*'Assumptions'!$K$139</x:f>
        <x:v>5.7546259471135865</x:v>
      </x:c>
      <x:c r="H2293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2293+G2293,NA())</x:f>
        <x:v>16.935043038408658</x:v>
      </x:c>
      <x:c r="I2293" s="22" t="n">
        <x:f>'Assumptions'!$H$139*IF('Assumptions'!$O$139=1,1,'Assumptions'!$D$10)*(1+'Assumptions'!$N$139)^(18-1)</x:f>
        <x:v>2100.362128788637</x:v>
      </x:c>
      <x:c r="J2293" s="10" t="n">
        <x:f>H2293*I2293</x:f>
        <x:v>35569.7230472792</x:v>
      </x:c>
      <x:c r="K2293" s="10" t="n">
        <x:f>J2293*'Assumptions'!$T$139</x:f>
        <x:v>35569.7230472792</x:v>
      </x:c>
      <x:c r="L2293" s="10" t="n">
        <x:f>K2293*'Assumptions'!$U$139</x:f>
        <x:v>1067.091691418376</x:v>
      </x:c>
      <x:c r="M2293" s="10" t="n">
        <x:f>K2293*'Assumptions'!$V$139</x:f>
        <x:v>0</x:v>
      </x:c>
      <x:c r="N2293" s="10" t="n">
        <x:f>K2293-L2293-M2293</x:f>
        <x:v>34502.63135586082</x:v>
      </x:c>
      <x:c r="O2293" s="10" t="n">
        <x:f>H2293*'Assumptions'!$P$139*'Assumptions'!$Q$139*'Assumptions'!$D$11*(1+'Assumptions'!$D$13)^(18-1)</x:f>
        <x:v>12595.970604804283</x:v>
      </x:c>
      <x:c r="P2293" s="10" t="n">
        <x:f>H2293*'Assumptions'!$R$139*'Assumptions'!$D$11*(1+'Assumptions'!$D$13)^(18-1)</x:f>
        <x:v>5598.209157690792</x:v>
      </x:c>
      <x:c r="Q2293" s="10" t="n">
        <x:f>J2293*'Assumptions'!$S$139</x:f>
        <x:v>0</x:v>
      </x:c>
      <x:c r="R2293" s="10" t="n">
        <x:f>H2293*'Assumptions'!$Y$139*'Assumptions'!$Z$139*'Assumptions'!$D$11*(1+'Assumptions'!$D$13)^(18-1)</x:f>
        <x:v>419.86568682680945</x:v>
      </x:c>
      <x:c r="S2293" s="10" t="n">
        <x:f>IF(I2293=0,0,J2293*'Assumptions'!$W$139+H2293*'Assumptions'!$X$139)</x:f>
        <x:v>1036.6024812826195</x:v>
      </x:c>
      <x:c r="T2293" s="10" t="n">
        <x:f>N2293*'Assumptions'!$AA$139</x:f>
        <x:v>2760.210508468866</x:v>
      </x:c>
      <x:c r="U2293" s="10" t="n">
        <x:f>'Assumptions'!$AE$139*'Assumptions'!$D$11*(1+'Assumptions'!$D$13)^(18-1)</x:f>
        <x:v>0</x:v>
      </x:c>
      <x:c r="V2293" s="10" t="n">
        <x:f>0</x:f>
        <x:v>0</x:v>
      </x:c>
      <x:c r="W2293" s="10" t="n">
        <x:f>H2293*('Assumptions'!$P$139+'Assumptions'!$Y$139)</x:f>
        <x:v>177.81795190329092</x:v>
      </x:c>
      <x:c r="X2293" s="10" t="n">
        <x:f>N2293/12*'Assumptions'!$AF$139</x:f>
        <x:v>2875.2192796550685</x:v>
      </x:c>
      <x:c r="Y2293" s="10" t="n">
        <x:f>P2293/12</x:f>
        <x:v>466.51742980756603</x:v>
      </x:c>
      <x:c r="Z2293" s="10" t="n">
        <x:f>0</x:f>
        <x:v>0</x:v>
      </x:c>
      <x:c r="AA2293" s="10" t="n">
        <x:f>Z2293*'Assumptions'!$AC$139*'Assumptions'!$D$11*(1+'Assumptions'!$D$13)^(18-1)</x:f>
        <x:v>0</x:v>
      </x:c>
      <x:c r="AB2293" s="10" t="n">
        <x:f>F2293/1</x:f>
        <x:v>11.180417091295071</x:v>
      </x:c>
      <x:c r="AC2293" s="10" t="n">
        <x:f>AB2293/'Assumptions'!$AM$139</x:f>
        <x:v>111.80417091295071</x:v>
      </x:c>
      <x:c r="AD2293" s="10" t="n">
        <x:f>IF(AB2293=0,0,T2293/AB2293)</x:f>
        <x:v>246.87902838776296</x:v>
      </x:c>
      <x:c r="AE2293" s="10" t="n">
        <x:f>AA2293*'Assumptions'!$D$21</x:f>
        <x:v>0</x:v>
      </x:c>
    </x:row>
    <x:row r="2294" ht="16" customHeight="1">
      <x:c r="A2294" s="1"/>
      <x:c r="B2294" s="1"/>
      <x:c r="C2294" s="1" t="str">
        <x:v>DOT-111</x:v>
      </x:c>
      <x:c r="D2294" s="10" t="str">
        <x:v>LesPetitFilms</x:v>
      </x:c>
      <x:c r="E2294" s="10" t="n">
        <x:v>18</x:v>
      </x:c>
      <x:c r="F2294" s="21" t="n">
        <x:f>F2166*(1+'Assumptions'!$M$140)</x:f>
        <x:v>16.770625636942608</x:v>
      </x:c>
      <x:c r="G2294" s="21" t="n">
        <x:f>H2166*'Assumptions'!$K$140</x:f>
        <x:v>8.63193892067038</x:v>
      </x:c>
      <x:c r="H2294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2294+G2294,NA())</x:f>
        <x:v>25.40256455761299</x:v>
      </x:c>
      <x:c r="I2294" s="22" t="n">
        <x:f>'Assumptions'!$H$140*IF('Assumptions'!$O$140=1,1,'Assumptions'!$D$10)*(1+'Assumptions'!$N$140)^(18-1)</x:f>
        <x:v>700.1207095962125</x:v>
      </x:c>
      <x:c r="J2294" s="10" t="n">
        <x:f>H2294*I2294</x:f>
        <x:v>17784.861523639604</x:v>
      </x:c>
      <x:c r="K2294" s="10" t="n">
        <x:f>J2294*'Assumptions'!$T$140</x:f>
        <x:v>17784.861523639604</x:v>
      </x:c>
      <x:c r="L2294" s="10" t="n">
        <x:f>K2294*'Assumptions'!$U$140</x:f>
        <x:v>533.5458457091881</x:v>
      </x:c>
      <x:c r="M2294" s="10" t="n">
        <x:f>K2294*'Assumptions'!$V$140</x:f>
        <x:v>0</x:v>
      </x:c>
      <x:c r="N2294" s="10" t="n">
        <x:f>K2294-L2294-M2294</x:f>
        <x:v>17251.315677930415</x:v>
      </x:c>
      <x:c r="O2294" s="10" t="n">
        <x:f>H2294*'Assumptions'!$P$140*'Assumptions'!$Q$140*'Assumptions'!$D$11*(1+'Assumptions'!$D$13)^(18-1)</x:f>
        <x:v>5038.388241921714</x:v>
      </x:c>
      <x:c r="P2294" s="10" t="n">
        <x:f>H2294*'Assumptions'!$R$140*'Assumptions'!$D$11*(1+'Assumptions'!$D$13)^(18-1)</x:f>
        <x:v>2099.3284341340477</x:v>
      </x:c>
      <x:c r="Q2294" s="10" t="n">
        <x:f>J2294*'Assumptions'!$S$140</x:f>
        <x:v>0</x:v>
      </x:c>
      <x:c r="R2294" s="10" t="n">
        <x:f>H2294*'Assumptions'!$Y$140*'Assumptions'!$Z$140*'Assumptions'!$D$11*(1+'Assumptions'!$D$13)^(18-1)</x:f>
        <x:v>629.7985302402143</x:v>
      </x:c>
      <x:c r="S2294" s="10" t="n">
        <x:f>IF(I2294=0,0,J2294*'Assumptions'!$W$140+H2294*'Assumptions'!$X$140)</x:f>
        <x:v>523.3817535528324</x:v>
      </x:c>
      <x:c r="T2294" s="10" t="n">
        <x:f>N2294*'Assumptions'!$AA$140</x:f>
        <x:v>1380.1052542344332</x:v>
      </x:c>
      <x:c r="U2294" s="10" t="n">
        <x:f>'Assumptions'!$AE$140*'Assumptions'!$D$11*(1+'Assumptions'!$D$13)^(18-1)</x:f>
        <x:v>0</x:v>
      </x:c>
      <x:c r="V2294" s="10" t="n">
        <x:f>0</x:f>
        <x:v>0</x:v>
      </x:c>
      <x:c r="W2294" s="10" t="n">
        <x:f>H2294*('Assumptions'!$P$140+'Assumptions'!$Y$140)</x:f>
        <x:v>88.90897595164546</x:v>
      </x:c>
      <x:c r="X2294" s="10" t="n">
        <x:f>N2294/12*'Assumptions'!$AF$140</x:f>
        <x:v>1437.6096398275347</x:v>
      </x:c>
      <x:c r="Y2294" s="10" t="n">
        <x:f>P2294/12</x:f>
        <x:v>174.94403617783732</x:v>
      </x:c>
      <x:c r="Z2294" s="10" t="n">
        <x:f>0</x:f>
        <x:v>0</x:v>
      </x:c>
      <x:c r="AA2294" s="10" t="n">
        <x:f>Z2294*'Assumptions'!$AC$140*'Assumptions'!$D$11*(1+'Assumptions'!$D$13)^(18-1)</x:f>
        <x:v>0</x:v>
      </x:c>
      <x:c r="AB2294" s="10" t="n">
        <x:f>F2294/1</x:f>
        <x:v>16.770625636942608</x:v>
      </x:c>
      <x:c r="AC2294" s="10" t="n">
        <x:f>AB2294/'Assumptions'!$AM$140</x:f>
        <x:v>167.70625636942606</x:v>
      </x:c>
      <x:c r="AD2294" s="10" t="n">
        <x:f>IF(AB2294=0,0,T2294/AB2294)</x:f>
        <x:v>82.29300946258766</x:v>
      </x:c>
      <x:c r="AE2294" s="10" t="n">
        <x:f>AA2294*'Assumptions'!$D$21</x:f>
        <x:v>0</x:v>
      </x:c>
    </x:row>
    <x:row r="2295" ht="16" customHeight="1">
      <x:c r="A2295" s="1"/>
      <x:c r="B2295" s="1"/>
      <x:c r="C2295" s="1" t="str">
        <x:v>DOT-112</x:v>
      </x:c>
      <x:c r="D2295" s="10" t="str">
        <x:v>Learn Anglais</x:v>
      </x:c>
      <x:c r="E2295" s="10" t="n">
        <x:v>18</x:v>
      </x:c>
      <x:c r="F2295" s="21" t="n">
        <x:f>F2167*(1+'Assumptions'!$M$141)</x:f>
        <x:v>548.1272714783698</x:v>
      </x:c>
      <x:c r="G2295" s="21" t="n">
        <x:f>H2167*'Assumptions'!$K$141</x:f>
        <x:v>1160.1279209354773</x:v>
      </x:c>
      <x:c r="H2295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2295+G2295,NA())</x:f>
        <x:v>1708.255192413847</x:v>
      </x:c>
      <x:c r="I2295" s="22" t="n">
        <x:f>'Assumptions'!$H$141*IF('Assumptions'!$O$141=1,1,'Assumptions'!$D$10)*(1+'Assumptions'!$N$141)^(18-1)</x:f>
        <x:v>63.01086386365912</x:v>
      </x:c>
      <x:c r="J2295" s="10" t="n">
        <x:f>H2295*I2295</x:f>
        <x:v>107638.63537357772</x:v>
      </x:c>
      <x:c r="K2295" s="10" t="n">
        <x:f>J2295*'Assumptions'!$T$141</x:f>
        <x:v>35879.5451245259</x:v>
      </x:c>
      <x:c r="L2295" s="10" t="n">
        <x:f>K2295*'Assumptions'!$U$141</x:f>
        <x:v>1076.386353735777</x:v>
      </x:c>
      <x:c r="M2295" s="10" t="n">
        <x:f>K2295*'Assumptions'!$V$141</x:f>
        <x:v>0</x:v>
      </x:c>
      <x:c r="N2295" s="10" t="n">
        <x:f>K2295-L2295-M2295</x:f>
        <x:v>34803.15877079013</x:v>
      </x:c>
      <x:c r="O2295" s="10" t="n">
        <x:f>H2295*'Assumptions'!$P$141*'Assumptions'!$Q$141*'Assumptions'!$D$11*(1+'Assumptions'!$D$13)^(18-1)</x:f>
        <x:v>9882.199425340035</x:v>
      </x:c>
      <x:c r="P2295" s="10" t="n">
        <x:f>H2295*'Assumptions'!$R$141*'Assumptions'!$D$11*(1+'Assumptions'!$D$13)^(18-1)</x:f>
        <x:v>0</x:v>
      </x:c>
      <x:c r="Q2295" s="10" t="n">
        <x:f>J2295*'Assumptions'!$S$141</x:f>
        <x:v>0</x:v>
      </x:c>
      <x:c r="R2295" s="10" t="n">
        <x:f>H2295*'Assumptions'!$Y$141*'Assumptions'!$Z$141*'Assumptions'!$D$11*(1+'Assumptions'!$D$13)^(18-1)</x:f>
        <x:v>12705.684975437187</x:v>
      </x:c>
      <x:c r="S2295" s="10" t="n">
        <x:f>IF(I2295=0,0,J2295*'Assumptions'!$W$141+H2295*'Assumptions'!$X$141)</x:f>
        <x:v>3633.996983557908</x:v>
      </x:c>
      <x:c r="T2295" s="10" t="n">
        <x:f>N2295*'Assumptions'!$AA$141</x:f>
        <x:v>1740.1579385395064</x:v>
      </x:c>
      <x:c r="U2295" s="10" t="n">
        <x:f>'Assumptions'!$AE$141*'Assumptions'!$D$11*(1+'Assumptions'!$D$13)^(18-1)</x:f>
        <x:v>0</x:v>
      </x:c>
      <x:c r="V2295" s="10" t="n">
        <x:f>0</x:f>
        <x:v>0</x:v>
      </x:c>
      <x:c r="W2295" s="10" t="n">
        <x:f>H2295*('Assumptions'!$P$141+'Assumptions'!$Y$141)</x:f>
        <x:v>427.06379810346175</x:v>
      </x:c>
      <x:c r="X2295" s="10" t="n">
        <x:f>N2295/12*'Assumptions'!$AF$141</x:f>
        <x:v>0</x:v>
      </x:c>
      <x:c r="Y2295" s="10" t="n">
        <x:f>P2295/12</x:f>
        <x:v>0</x:v>
      </x:c>
      <x:c r="Z2295" s="10" t="n">
        <x:f>0</x:f>
        <x:v>0</x:v>
      </x:c>
      <x:c r="AA2295" s="10" t="n">
        <x:f>Z2295*'Assumptions'!$AC$141*'Assumptions'!$D$11*(1+'Assumptions'!$D$13)^(18-1)</x:f>
        <x:v>0</x:v>
      </x:c>
      <x:c r="AB2295" s="10" t="n">
        <x:f>F2295/1</x:f>
        <x:v>548.1272714783698</x:v>
      </x:c>
      <x:c r="AC2295" s="10" t="n">
        <x:f>AB2295/'Assumptions'!$AM$141</x:f>
        <x:v>10962.545429567395</x:v>
      </x:c>
      <x:c r="AD2295" s="10" t="n">
        <x:f>IF(AB2295=0,0,T2295/AB2295)</x:f>
        <x:v>3.174733367756135</x:v>
      </x:c>
      <x:c r="AE2295" s="10" t="n">
        <x:f>AA2295*'Assumptions'!$D$21</x:f>
        <x:v>0</x:v>
      </x:c>
    </x:row>
    <x:row r="2296" ht="16" customHeight="1">
      <x:c r="A2296" s="1"/>
      <x:c r="B2296" s="1"/>
      <x:c r="C2296" s="1" t="str">
        <x:v>DOT-113</x:v>
      </x:c>
      <x:c r="D2296" s="10" t="str">
        <x:v>Learn Anglais</x:v>
      </x:c>
      <x:c r="E2296" s="10" t="n">
        <x:v>18</x:v>
      </x:c>
      <x:c r="F2296" s="21" t="n">
        <x:f>F2168*(1+'Assumptions'!$M$142)</x:f>
        <x:v>328.87636288702174</x:v>
      </x:c>
      <x:c r="G2296" s="21" t="n">
        <x:f>H2168*'Assumptions'!$K$142</x:f>
        <x:v>696.076752561286</x:v>
      </x:c>
      <x:c r="H2296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2296+G2296,NA())</x:f>
        <x:v>1024.9531154483077</x:v>
      </x:c>
      <x:c r="I2296" s="22" t="n">
        <x:f>'Assumptions'!$H$142*IF('Assumptions'!$O$142=1,1,'Assumptions'!$D$10)*(1+'Assumptions'!$N$142)^(18-1)</x:f>
        <x:v>119.0205206313561</x:v>
      </x:c>
      <x:c r="J2296" s="10" t="n">
        <x:f>H2296*I2296</x:f>
        <x:v>121990.45342338803</x:v>
      </x:c>
      <x:c r="K2296" s="10" t="n">
        <x:f>J2296*'Assumptions'!$T$142</x:f>
        <x:v>36597.13602701641</x:v>
      </x:c>
      <x:c r="L2296" s="10" t="n">
        <x:f>K2296*'Assumptions'!$U$142</x:f>
        <x:v>1097.9140808104921</x:v>
      </x:c>
      <x:c r="M2296" s="10" t="n">
        <x:f>K2296*'Assumptions'!$V$142</x:f>
        <x:v>0</x:v>
      </x:c>
      <x:c r="N2296" s="10" t="n">
        <x:f>K2296-L2296-M2296</x:f>
        <x:v>35499.221946205915</x:v>
      </x:c>
      <x:c r="O2296" s="10" t="n">
        <x:f>H2296*'Assumptions'!$P$142*'Assumptions'!$Q$142*'Assumptions'!$D$11*(1+'Assumptions'!$D$13)^(18-1)</x:f>
        <x:v>5929.319655204018</x:v>
      </x:c>
      <x:c r="P2296" s="10" t="n">
        <x:f>H2296*'Assumptions'!$R$142*'Assumptions'!$D$11*(1+'Assumptions'!$D$13)^(18-1)</x:f>
        <x:v>0</x:v>
      </x:c>
      <x:c r="Q2296" s="10" t="n">
        <x:f>J2296*'Assumptions'!$S$142</x:f>
        <x:v>0</x:v>
      </x:c>
      <x:c r="R2296" s="10" t="n">
        <x:f>H2296*'Assumptions'!$Y$142*'Assumptions'!$Z$142*'Assumptions'!$D$11*(1+'Assumptions'!$D$13)^(18-1)</x:f>
        <x:v>7623.41098526231</x:v>
      </x:c>
      <x:c r="S2296" s="10" t="n">
        <x:f>IF(I2296=0,0,J2296*'Assumptions'!$W$142+H2296*'Assumptions'!$X$142)</x:f>
        <x:v>3845.2090839127454</x:v>
      </x:c>
      <x:c r="T2296" s="10" t="n">
        <x:f>N2296*'Assumptions'!$AA$142</x:f>
        <x:v>1774.9610973102958</x:v>
      </x:c>
      <x:c r="U2296" s="10" t="n">
        <x:f>'Assumptions'!$AE$142*'Assumptions'!$D$11*(1+'Assumptions'!$D$13)^(18-1)</x:f>
        <x:v>0</x:v>
      </x:c>
      <x:c r="V2296" s="10" t="n">
        <x:f>0</x:f>
        <x:v>0</x:v>
      </x:c>
      <x:c r="W2296" s="10" t="n">
        <x:f>H2296*('Assumptions'!$P$142+'Assumptions'!$Y$142)</x:f>
        <x:v>256.2382788620769</x:v>
      </x:c>
      <x:c r="X2296" s="10" t="n">
        <x:f>N2296/12*'Assumptions'!$AF$142</x:f>
        <x:v>0</x:v>
      </x:c>
      <x:c r="Y2296" s="10" t="n">
        <x:f>P2296/12</x:f>
        <x:v>0</x:v>
      </x:c>
      <x:c r="Z2296" s="10" t="n">
        <x:f>0</x:f>
        <x:v>0</x:v>
      </x:c>
      <x:c r="AA2296" s="10" t="n">
        <x:f>Z2296*'Assumptions'!$AC$142*'Assumptions'!$D$11*(1+'Assumptions'!$D$13)^(18-1)</x:f>
        <x:v>0</x:v>
      </x:c>
      <x:c r="AB2296" s="10" t="n">
        <x:f>F2296/1</x:f>
        <x:v>328.87636288702174</x:v>
      </x:c>
      <x:c r="AC2296" s="10" t="n">
        <x:f>AB2296/'Assumptions'!$AM$142</x:f>
        <x:v>6577.527257740435</x:v>
      </x:c>
      <x:c r="AD2296" s="10" t="n">
        <x:f>IF(AB2296=0,0,T2296/AB2296)</x:f>
        <x:v>5.39704672518543</x:v>
      </x:c>
      <x:c r="AE2296" s="10" t="n">
        <x:f>AA2296*'Assumptions'!$D$21</x:f>
        <x:v>0</x:v>
      </x:c>
    </x:row>
    <x:row r="2297" ht="16" customHeight="1">
      <x:c r="A2297" s="1"/>
      <x:c r="B2297" s="1"/>
      <x:c r="C2297" s="1" t="str">
        <x:v>DOT-114</x:v>
      </x:c>
      <x:c r="D2297" s="10" t="str">
        <x:v>Learn Anglais</x:v>
      </x:c>
      <x:c r="E2297" s="10" t="n">
        <x:v>18</x:v>
      </x:c>
      <x:c r="F2297" s="21" t="n">
        <x:f>F2169*(1+'Assumptions'!$M$143)</x:f>
        <x:v>462.32543576924917</x:v>
      </x:c>
      <x:c r="G2297" s="21" t="n">
        <x:f>H2169*'Assumptions'!$K$143</x:f>
        <x:v>148.18122920983186</x:v>
      </x:c>
      <x:c r="H2297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2297+G2297,NA())</x:f>
        <x:v>610.506664979081</x:v>
      </x:c>
      <x:c r="I2297" s="22" t="n">
        <x:f>'Assumptions'!$H$143*IF('Assumptions'!$O$143=1,1,'Assumptions'!$D$10)*(1+'Assumptions'!$N$143)^(18-1)</x:f>
        <x:v>40.60700115658032</x:v>
      </x:c>
      <x:c r="J2297" s="10" t="n">
        <x:f>H2297*I2297</x:f>
        <x:v>24790.844850905538</x:v>
      </x:c>
      <x:c r="K2297" s="10" t="n">
        <x:f>J2297*'Assumptions'!$T$143</x:f>
        <x:v>24790.844850905538</x:v>
      </x:c>
      <x:c r="L2297" s="10" t="n">
        <x:f>K2297*'Assumptions'!$U$143</x:f>
        <x:v>743.7253455271662</x:v>
      </x:c>
      <x:c r="M2297" s="10" t="n">
        <x:f>K2297*'Assumptions'!$V$143</x:f>
        <x:v>0</x:v>
      </x:c>
      <x:c r="N2297" s="10" t="n">
        <x:f>K2297-L2297-M2297</x:f>
        <x:v>24047.11950537837</x:v>
      </x:c>
      <x:c r="O2297" s="10" t="n">
        <x:f>H2297*'Assumptions'!$P$143*'Assumptions'!$Q$143*'Assumptions'!$D$11*(1+'Assumptions'!$D$13)^(18-1)</x:f>
        <x:v>5297.641102408188</x:v>
      </x:c>
      <x:c r="P2297" s="10" t="n">
        <x:f>H2297*'Assumptions'!$R$143*'Assumptions'!$D$11*(1+'Assumptions'!$D$13)^(18-1)</x:f>
        <x:v>0</x:v>
      </x:c>
      <x:c r="Q2297" s="10" t="n">
        <x:f>J2297*'Assumptions'!$S$143</x:f>
        <x:v>0</x:v>
      </x:c>
      <x:c r="R2297" s="10" t="n">
        <x:f>H2297*'Assumptions'!$Y$143*'Assumptions'!$Z$143*'Assumptions'!$D$11*(1+'Assumptions'!$D$13)^(18-1)</x:f>
        <x:v>3027.2234870903935</x:v>
      </x:c>
      <x:c r="S2297" s="10" t="n">
        <x:f>IF(I2297=0,0,J2297*'Assumptions'!$W$143+H2297*'Assumptions'!$X$143)</x:f>
        <x:v>902.0865001699849</x:v>
      </x:c>
      <x:c r="T2297" s="10" t="n">
        <x:f>N2297*'Assumptions'!$AA$143</x:f>
        <x:v>1202.3559752689187</x:v>
      </x:c>
      <x:c r="U2297" s="10" t="n">
        <x:f>'Assumptions'!$AE$143*'Assumptions'!$D$11*(1+'Assumptions'!$D$13)^(18-1)</x:f>
        <x:v>0</x:v>
      </x:c>
      <x:c r="V2297" s="10" t="n">
        <x:f>0</x:f>
        <x:v>0</x:v>
      </x:c>
      <x:c r="W2297" s="10" t="n">
        <x:f>H2297*('Assumptions'!$P$143+'Assumptions'!$Y$143)</x:f>
        <x:v>152.62666624477026</x:v>
      </x:c>
      <x:c r="X2297" s="10" t="n">
        <x:f>N2297/12*'Assumptions'!$AF$143</x:f>
        <x:v>0</x:v>
      </x:c>
      <x:c r="Y2297" s="10" t="n">
        <x:f>P2297/12</x:f>
        <x:v>0</x:v>
      </x:c>
      <x:c r="Z2297" s="10" t="n">
        <x:f>0</x:f>
        <x:v>0</x:v>
      </x:c>
      <x:c r="AA2297" s="10" t="n">
        <x:f>Z2297*'Assumptions'!$AC$143*'Assumptions'!$D$11*(1+'Assumptions'!$D$13)^(18-1)</x:f>
        <x:v>0</x:v>
      </x:c>
      <x:c r="AB2297" s="10" t="n">
        <x:f>F2297/1</x:f>
        <x:v>462.32543576924917</x:v>
      </x:c>
      <x:c r="AC2297" s="10" t="n">
        <x:f>AB2297/'Assumptions'!$AM$143</x:f>
        <x:v>9246.508715384984</x:v>
      </x:c>
      <x:c r="AD2297" s="10" t="n">
        <x:f>IF(AB2297=0,0,T2297/AB2297)</x:f>
        <x:v>2.6006701821809894</x:v>
      </x:c>
      <x:c r="AE2297" s="10" t="n">
        <x:f>AA2297*'Assumptions'!$D$21</x:f>
        <x:v>0</x:v>
      </x:c>
    </x:row>
    <x:row r="2298" ht="16" customHeight="1">
      <x:c r="A2298" s="1"/>
      <x:c r="B2298" s="1"/>
      <x:c r="C2298" s="1" t="str">
        <x:v>DOT-115</x:v>
      </x:c>
      <x:c r="D2298" s="10" t="str">
        <x:v>Learn Anglais</x:v>
      </x:c>
      <x:c r="E2298" s="10" t="n">
        <x:v>18</x:v>
      </x:c>
      <x:c r="F2298" s="21" t="n">
        <x:f>F2170*(1+'Assumptions'!$M$144)</x:f>
        <x:v>219.25090859134787</x:v>
      </x:c>
      <x:c r="G2298" s="21" t="n">
        <x:f>H2170*'Assumptions'!$K$144</x:f>
        <x:v>463.9115900657984</x:v>
      </x:c>
      <x:c r="H2298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2298+G2298,NA())</x:f>
        <x:v>683.1624986571462</x:v>
      </x:c>
      <x:c r="I2298" s="22" t="n">
        <x:f>'Assumptions'!$H$144*IF('Assumptions'!$O$144=1,1,'Assumptions'!$D$10)*(1+'Assumptions'!$N$144)^(18-1)</x:f>
        <x:v>63.01086386365912</x:v>
      </x:c>
      <x:c r="J2298" s="10" t="n">
        <x:f>H2298*I2298</x:f>
        <x:v>43046.65919964264</x:v>
      </x:c>
      <x:c r="K2298" s="10" t="n">
        <x:f>J2298*'Assumptions'!$T$144</x:f>
        <x:v>14348.886399880881</x:v>
      </x:c>
      <x:c r="L2298" s="10" t="n">
        <x:f>K2298*'Assumptions'!$U$144</x:f>
        <x:v>430.4665919964264</x:v>
      </x:c>
      <x:c r="M2298" s="10" t="n">
        <x:f>K2298*'Assumptions'!$V$144</x:f>
        <x:v>0</x:v>
      </x:c>
      <x:c r="N2298" s="10" t="n">
        <x:f>K2298-L2298-M2298</x:f>
        <x:v>13918.419807884455</x:v>
      </x:c>
      <x:c r="O2298" s="10" t="n">
        <x:f>H2298*'Assumptions'!$P$144*'Assumptions'!$Q$144*'Assumptions'!$D$11*(1+'Assumptions'!$D$13)^(18-1)</x:f>
        <x:v>5928.108471402169</x:v>
      </x:c>
      <x:c r="P2298" s="10" t="n">
        <x:f>H2298*'Assumptions'!$R$144*'Assumptions'!$D$11*(1+'Assumptions'!$D$13)^(18-1)</x:f>
        <x:v>0</x:v>
      </x:c>
      <x:c r="Q2298" s="10" t="n">
        <x:f>J2298*'Assumptions'!$S$144</x:f>
        <x:v>0</x:v>
      </x:c>
      <x:c r="R2298" s="10" t="n">
        <x:f>H2298*'Assumptions'!$Y$144*'Assumptions'!$Z$144*'Assumptions'!$D$11*(1+'Assumptions'!$D$13)^(18-1)</x:f>
        <x:v>5081.23583263043</x:v>
      </x:c>
      <x:c r="S2298" s="10" t="n">
        <x:f>IF(I2298=0,0,J2298*'Assumptions'!$W$144+H2298*'Assumptions'!$X$144)</x:f>
        <x:v>1453.3018663867806</x:v>
      </x:c>
      <x:c r="T2298" s="10" t="n">
        <x:f>N2298*'Assumptions'!$AA$144</x:f>
        <x:v>695.9209903942228</x:v>
      </x:c>
      <x:c r="U2298" s="10" t="n">
        <x:f>'Assumptions'!$AE$144*'Assumptions'!$D$11*(1+'Assumptions'!$D$13)^(18-1)</x:f>
        <x:v>0</x:v>
      </x:c>
      <x:c r="V2298" s="10" t="n">
        <x:f>0</x:f>
        <x:v>0</x:v>
      </x:c>
      <x:c r="W2298" s="10" t="n">
        <x:f>H2298*('Assumptions'!$P$144+'Assumptions'!$Y$144)</x:f>
        <x:v>204.94874959714386</x:v>
      </x:c>
      <x:c r="X2298" s="10" t="n">
        <x:f>N2298/12*'Assumptions'!$AF$144</x:f>
        <x:v>0</x:v>
      </x:c>
      <x:c r="Y2298" s="10" t="n">
        <x:f>P2298/12</x:f>
        <x:v>0</x:v>
      </x:c>
      <x:c r="Z2298" s="10" t="n">
        <x:f>0</x:f>
        <x:v>0</x:v>
      </x:c>
      <x:c r="AA2298" s="10" t="n">
        <x:f>Z2298*'Assumptions'!$AC$144*'Assumptions'!$D$11*(1+'Assumptions'!$D$13)^(18-1)</x:f>
        <x:v>0</x:v>
      </x:c>
      <x:c r="AB2298" s="10" t="n">
        <x:f>F2298/1</x:f>
        <x:v>219.25090859134787</x:v>
      </x:c>
      <x:c r="AC2298" s="10" t="n">
        <x:f>AB2298/'Assumptions'!$AM$144</x:f>
        <x:v>4385.018171826957</x:v>
      </x:c>
      <x:c r="AD2298" s="10" t="n">
        <x:f>IF(AB2298=0,0,T2298/AB2298)</x:f>
        <x:v>3.1740848640737878</x:v>
      </x:c>
      <x:c r="AE2298" s="10" t="n">
        <x:f>AA2298*'Assumptions'!$D$21</x:f>
        <x:v>0</x:v>
      </x:c>
    </x:row>
    <x:row r="2299" ht="16" customHeight="1">
      <x:c r="A2299" s="1"/>
      <x:c r="B2299" s="1"/>
      <x:c r="C2299" s="1" t="str">
        <x:v>DOT-116</x:v>
      </x:c>
      <x:c r="D2299" s="10" t="str">
        <x:v>Fiefé</x:v>
      </x:c>
      <x:c r="E2299" s="10" t="n">
        <x:v>18</x:v>
      </x:c>
      <x:c r="F2299" s="21" t="n">
        <x:f>F2171*(1+'Assumptions'!$M$145)</x:f>
        <x:v>77.64174529200534</x:v>
      </x:c>
      <x:c r="G2299" s="21" t="n">
        <x:f>H2171*'Assumptions'!$K$145</x:f>
        <x:v>31.907566149883817</x:v>
      </x:c>
      <x:c r="H2299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2299+G2299,NA())</x:f>
        <x:v>109.54931144188916</x:v>
      </x:c>
      <x:c r="I2299" s="22" t="n">
        <x:f>'Assumptions'!$H$145*IF('Assumptions'!$O$145=1,1,'Assumptions'!$D$10)*(1+'Assumptions'!$N$145)^(18-1)</x:f>
        <x:v>630.1086386365912</x:v>
      </x:c>
      <x:c r="J2299" s="10" t="n">
        <x:f>H2299*I2299</x:f>
        <x:v>69027.96749622472</x:v>
      </x:c>
      <x:c r="K2299" s="10" t="n">
        <x:f>J2299*'Assumptions'!$T$145</x:f>
        <x:v>69027.96749622472</x:v>
      </x:c>
      <x:c r="L2299" s="10" t="n">
        <x:f>K2299*'Assumptions'!$U$145</x:f>
        <x:v>2070.8390248867418</x:v>
      </x:c>
      <x:c r="M2299" s="10" t="n">
        <x:f>K2299*'Assumptions'!$V$145</x:f>
        <x:v>1380.5593499244944</x:v>
      </x:c>
      <x:c r="N2299" s="10" t="n">
        <x:f>K2299-L2299-M2299</x:f>
        <x:v>65576.56912141349</x:v>
      </x:c>
      <x:c r="O2299" s="10" t="n">
        <x:f>H2299*'Assumptions'!$P$145*'Assumptions'!$Q$145*'Assumptions'!$D$11*(1+'Assumptions'!$D$13)^(18-1)</x:f>
        <x:v>4526.708000843181</x:v>
      </x:c>
      <x:c r="P2299" s="10" t="n">
        <x:f>H2299*'Assumptions'!$R$145*'Assumptions'!$D$11*(1+'Assumptions'!$D$13)^(18-1)</x:f>
        <x:v>45267.08000843181</x:v>
      </x:c>
      <x:c r="Q2299" s="10" t="n">
        <x:f>J2299*'Assumptions'!$S$145</x:f>
        <x:v>0</x:v>
      </x:c>
      <x:c r="R2299" s="10" t="n">
        <x:f>H2299*'Assumptions'!$Y$145*'Assumptions'!$Z$145*'Assumptions'!$D$11*(1+'Assumptions'!$D$13)^(18-1)</x:f>
        <x:v>814.8074401517725</x:v>
      </x:c>
      <x:c r="S2299" s="10" t="n">
        <x:f>IF(I2299=0,0,J2299*'Assumptions'!$W$145+H2299*'Assumptions'!$X$145)</x:f>
        <x:v>2034.675850823084</x:v>
      </x:c>
      <x:c r="T2299" s="10" t="n">
        <x:f>N2299*'Assumptions'!$AA$145</x:f>
        <x:v>5246.125529713079</x:v>
      </x:c>
      <x:c r="U2299" s="10" t="n">
        <x:f>'Assumptions'!$AE$145*'Assumptions'!$D$11*(1+'Assumptions'!$D$13)^(18-1)</x:f>
        <x:v>0</x:v>
      </x:c>
      <x:c r="V2299" s="10" t="n">
        <x:f>0</x:f>
        <x:v>0</x:v>
      </x:c>
      <x:c r="W2299" s="10" t="n">
        <x:f>H2299*('Assumptions'!$P$145+'Assumptions'!$Y$145)</x:f>
        <x:v>71.20705243722796</x:v>
      </x:c>
      <x:c r="X2299" s="10" t="n">
        <x:f>N2299/12*'Assumptions'!$AF$145</x:f>
        <x:v>0</x:v>
      </x:c>
      <x:c r="Y2299" s="10" t="n">
        <x:f>P2299/12</x:f>
        <x:v>3772.2566673693177</x:v>
      </x:c>
      <x:c r="Z2299" s="10" t="n">
        <x:f>0</x:f>
        <x:v>0</x:v>
      </x:c>
      <x:c r="AA2299" s="10" t="n">
        <x:f>Z2299*'Assumptions'!$AC$145*'Assumptions'!$D$11*(1+'Assumptions'!$D$13)^(18-1)</x:f>
        <x:v>0</x:v>
      </x:c>
      <x:c r="AB2299" s="10" t="n">
        <x:f>F2299/1</x:f>
        <x:v>77.64174529200534</x:v>
      </x:c>
      <x:c r="AC2299" s="10" t="n">
        <x:f>AB2299/'Assumptions'!$AM$145</x:f>
        <x:v>2588.058176400178</x:v>
      </x:c>
      <x:c r="AD2299" s="10" t="n">
        <x:f>IF(AB2299=0,0,T2299/AB2299)</x:f>
        <x:v>67.56836171034998</x:v>
      </x:c>
      <x:c r="AE2299" s="10" t="n">
        <x:f>AA2299*'Assumptions'!$D$21</x:f>
        <x:v>0</x:v>
      </x:c>
    </x:row>
    <x:row r="2300" ht="16" customHeight="1">
      <x:c r="A2300" s="1"/>
      <x:c r="B2300" s="1"/>
      <x:c r="C2300" s="1" t="str">
        <x:v>DOT-117</x:v>
      </x:c>
      <x:c r="D2300" s="10" t="str">
        <x:v>Fiefé</x:v>
      </x:c>
      <x:c r="E2300" s="10" t="n">
        <x:v>18</x:v>
      </x:c>
      <x:c r="F2300" s="21" t="n">
        <x:f>F2172*(1+'Assumptions'!$M$146)</x:f>
        <x:v>97.05218161500669</x:v>
      </x:c>
      <x:c r="G2300" s="21" t="n">
        <x:f>H2172*'Assumptions'!$K$146</x:f>
        <x:v>39.884457687354775</x:v>
      </x:c>
      <x:c r="H2300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2300+G2300,NA())</x:f>
        <x:v>136.93663930236147</x:v>
      </x:c>
      <x:c r="I2300" s="22" t="n">
        <x:f>'Assumptions'!$H$146*IF('Assumptions'!$O$146=1,1,'Assumptions'!$D$10)*(1+'Assumptions'!$N$146)^(18-1)</x:f>
        <x:v>245.04224835867436</x:v>
      </x:c>
      <x:c r="J2300" s="10" t="n">
        <x:f>H2300*I2300</x:f>
        <x:v>33555.261977331465</x:v>
      </x:c>
      <x:c r="K2300" s="10" t="n">
        <x:f>J2300*'Assumptions'!$T$146</x:f>
        <x:v>33555.261977331465</x:v>
      </x:c>
      <x:c r="L2300" s="10" t="n">
        <x:f>K2300*'Assumptions'!$U$146</x:f>
        <x:v>1006.6578593199439</x:v>
      </x:c>
      <x:c r="M2300" s="10" t="n">
        <x:f>K2300*'Assumptions'!$V$146</x:f>
        <x:v>671.1052395466294</x:v>
      </x:c>
      <x:c r="N2300" s="10" t="n">
        <x:f>K2300-L2300-M2300</x:f>
        <x:v>31877.498878464892</x:v>
      </x:c>
      <x:c r="O2300" s="10" t="n">
        <x:f>H2300*'Assumptions'!$P$146*'Assumptions'!$Q$146*'Assumptions'!$D$11*(1+'Assumptions'!$D$13)^(18-1)</x:f>
        <x:v>2546.2732504742894</x:v>
      </x:c>
      <x:c r="P2300" s="10" t="n">
        <x:f>H2300*'Assumptions'!$R$146*'Assumptions'!$D$11*(1+'Assumptions'!$D$13)^(18-1)</x:f>
        <x:v>18106.83200337273</x:v>
      </x:c>
      <x:c r="Q2300" s="10" t="n">
        <x:f>J2300*'Assumptions'!$S$146</x:f>
        <x:v>0</x:v>
      </x:c>
      <x:c r="R2300" s="10" t="n">
        <x:f>H2300*'Assumptions'!$Y$146*'Assumptions'!$Z$146*'Assumptions'!$D$11*(1+'Assumptions'!$D$13)^(18-1)</x:f>
        <x:v>1018.5093001897156</x:v>
      </x:c>
      <x:c r="S2300" s="10" t="n">
        <x:f>IF(I2300=0,0,J2300*'Assumptions'!$W$146+H2300*'Assumptions'!$X$146)</x:f>
        <x:v>1014.183589133321</x:v>
      </x:c>
      <x:c r="T2300" s="10" t="n">
        <x:f>N2300*'Assumptions'!$AA$146</x:f>
        <x:v>2550.1999102771915</x:v>
      </x:c>
      <x:c r="U2300" s="10" t="n">
        <x:f>'Assumptions'!$AE$146*'Assumptions'!$D$11*(1+'Assumptions'!$D$13)^(18-1)</x:f>
        <x:v>0</x:v>
      </x:c>
      <x:c r="V2300" s="10" t="n">
        <x:f>0</x:f>
        <x:v>0</x:v>
      </x:c>
      <x:c r="W2300" s="10" t="n">
        <x:f>H2300*('Assumptions'!$P$146+'Assumptions'!$Y$146)</x:f>
        <x:v>54.774655720944594</x:v>
      </x:c>
      <x:c r="X2300" s="10" t="n">
        <x:f>N2300/12*'Assumptions'!$AF$146</x:f>
        <x:v>0</x:v>
      </x:c>
      <x:c r="Y2300" s="10" t="n">
        <x:f>P2300/12</x:f>
        <x:v>1508.9026669477273</x:v>
      </x:c>
      <x:c r="Z2300" s="10" t="n">
        <x:f>0</x:f>
        <x:v>0</x:v>
      </x:c>
      <x:c r="AA2300" s="10" t="n">
        <x:f>Z2300*'Assumptions'!$AC$146*'Assumptions'!$D$11*(1+'Assumptions'!$D$13)^(18-1)</x:f>
        <x:v>0</x:v>
      </x:c>
      <x:c r="AB2300" s="10" t="n">
        <x:f>F2300/1</x:f>
        <x:v>97.05218161500669</x:v>
      </x:c>
      <x:c r="AC2300" s="10" t="n">
        <x:f>AB2300/'Assumptions'!$AM$146</x:f>
        <x:v>3235.072720500223</x:v>
      </x:c>
      <x:c r="AD2300" s="10" t="n">
        <x:f>IF(AB2300=0,0,T2300/AB2300)</x:f>
        <x:v>26.276585109580544</x:v>
      </x:c>
      <x:c r="AE2300" s="10" t="n">
        <x:f>AA2300*'Assumptions'!$D$21</x:f>
        <x:v>0</x:v>
      </x:c>
    </x:row>
    <x:row r="2301" ht="16" customHeight="1">
      <x:c r="A2301" s="1"/>
      <x:c r="B2301" s="1"/>
      <x:c r="C2301" s="1" t="str">
        <x:v>DOT-118</x:v>
      </x:c>
      <x:c r="D2301" s="10" t="str">
        <x:v>Fiefé Design</x:v>
      </x:c>
      <x:c r="E2301" s="10" t="n">
        <x:v>18</x:v>
      </x:c>
      <x:c r="F2301" s="21" t="n">
        <x:f>F2173*(1+'Assumptions'!$M$147)</x:f>
        <x:v>12.940290882000891</x:v>
      </x:c>
      <x:c r="G2301" s="21" t="n">
        <x:f>H2173*'Assumptions'!$K$147</x:f>
        <x:v>5.317927691647303</x:v>
      </x:c>
      <x:c r="H2301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2301+G2301,NA())</x:f>
        <x:v>18.258218573648193</x:v>
      </x:c>
      <x:c r="I2301" s="22" t="n">
        <x:f>'Assumptions'!$H$147*IF('Assumptions'!$O$147=1,1,'Assumptions'!$D$10)*(1+'Assumptions'!$N$147)^(18-1)</x:f>
        <x:v>3500.603547981062</x:v>
      </x:c>
      <x:c r="J2301" s="10" t="n">
        <x:f>H2301*I2301</x:f>
        <x:v>63914.784718726594</x:v>
      </x:c>
      <x:c r="K2301" s="10" t="n">
        <x:f>J2301*'Assumptions'!$T$147</x:f>
        <x:v>63914.784718726594</x:v>
      </x:c>
      <x:c r="L2301" s="10" t="n">
        <x:f>K2301*'Assumptions'!$U$147</x:f>
        <x:v>1917.4435415617977</x:v>
      </x:c>
      <x:c r="M2301" s="10" t="n">
        <x:f>K2301*'Assumptions'!$V$147</x:f>
        <x:v>1278.2956943745319</x:v>
      </x:c>
      <x:c r="N2301" s="10" t="n">
        <x:f>K2301-L2301-M2301</x:f>
        <x:v>60719.045482790265</x:v>
      </x:c>
      <x:c r="O2301" s="10" t="n">
        <x:f>H2301*'Assumptions'!$P$147*'Assumptions'!$Q$147*'Assumptions'!$D$11*(1+'Assumptions'!$D$13)^(18-1)</x:f>
        <x:v>14485.465602698177</x:v>
      </x:c>
      <x:c r="P2301" s="10" t="n">
        <x:f>H2301*'Assumptions'!$R$147*'Assumptions'!$D$11*(1+'Assumptions'!$D$13)^(18-1)</x:f>
        <x:v>27160.248005059082</x:v>
      </x:c>
      <x:c r="Q2301" s="10" t="n">
        <x:f>J2301*'Assumptions'!$S$147</x:f>
        <x:v>0</x:v>
      </x:c>
      <x:c r="R2301" s="10" t="n">
        <x:f>H2301*'Assumptions'!$Y$147*'Assumptions'!$Z$147*'Assumptions'!$D$11*(1+'Assumptions'!$D$13)^(18-1)</x:f>
        <x:v>135.8012400252954</x:v>
      </x:c>
      <x:c r="S2301" s="10" t="n">
        <x:f>IF(I2301=0,0,J2301*'Assumptions'!$W$147+H2301*'Assumptions'!$X$147)</x:f>
        <x:v>1859.0062224151657</x:v>
      </x:c>
      <x:c r="T2301" s="10" t="n">
        <x:f>N2301*'Assumptions'!$AA$147</x:f>
        <x:v>4857.523638623221</x:v>
      </x:c>
      <x:c r="U2301" s="10" t="n">
        <x:f>'Assumptions'!$AE$147*'Assumptions'!$D$11*(1+'Assumptions'!$D$13)^(18-1)</x:f>
        <x:v>0</x:v>
      </x:c>
      <x:c r="V2301" s="10" t="n">
        <x:f>0</x:f>
        <x:v>0</x:v>
      </x:c>
      <x:c r="W2301" s="10" t="n">
        <x:f>H2301*('Assumptions'!$P$147+'Assumptions'!$Y$147)</x:f>
        <x:v>148.80448137523277</x:v>
      </x:c>
      <x:c r="X2301" s="10" t="n">
        <x:f>N2301/12*'Assumptions'!$AF$147</x:f>
        <x:v>0</x:v>
      </x:c>
      <x:c r="Y2301" s="10" t="n">
        <x:f>P2301/12</x:f>
        <x:v>2263.35400042159</x:v>
      </x:c>
      <x:c r="Z2301" s="10" t="n">
        <x:f>0</x:f>
        <x:v>0</x:v>
      </x:c>
      <x:c r="AA2301" s="10" t="n">
        <x:f>Z2301*'Assumptions'!$AC$147*'Assumptions'!$D$11*(1+'Assumptions'!$D$13)^(18-1)</x:f>
        <x:v>0</x:v>
      </x:c>
      <x:c r="AB2301" s="10" t="n">
        <x:f>F2301/1</x:f>
        <x:v>12.940290882000891</x:v>
      </x:c>
      <x:c r="AC2301" s="10" t="n">
        <x:f>AB2301/'Assumptions'!$AM$147</x:f>
        <x:v>431.3430294000297</x:v>
      </x:c>
      <x:c r="AD2301" s="10" t="n">
        <x:f>IF(AB2301=0,0,T2301/AB2301)</x:f>
        <x:v>375.379787279722</x:v>
      </x:c>
      <x:c r="AE2301" s="10" t="n">
        <x:f>AA2301*'Assumptions'!$D$21</x:f>
        <x:v>0</x:v>
      </x:c>
    </x:row>
    <x:row r="2302" ht="16" customHeight="1">
      <x:c r="A2302" s="1"/>
      <x:c r="B2302" s="1"/>
      <x:c r="C2302" s="1" t="str">
        <x:v>DOT-119</x:v>
      </x:c>
      <x:c r="D2302" s="10" t="str">
        <x:v>OsezArt</x:v>
      </x:c>
      <x:c r="E2302" s="10" t="n">
        <x:v>18</x:v>
      </x:c>
      <x:c r="F2302" s="21" t="n">
        <x:f>F2174*(1+'Assumptions'!$M$148)</x:f>
        <x:v>10.962545429567394</x:v>
      </x:c>
      <x:c r="G2302" s="21" t="n">
        <x:f>H2174*'Assumptions'!$K$148</x:f>
        <x:v>23.195579503289924</x:v>
      </x:c>
      <x:c r="H2302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2302+G2302,NA())</x:f>
        <x:v>34.15812493285732</x:v>
      </x:c>
      <x:c r="I2302" s="22" t="n">
        <x:f>'Assumptions'!$H$148*IF('Assumptions'!$O$148=1,1,'Assumptions'!$D$10)*(1+'Assumptions'!$N$148)^(18-1)</x:f>
        <x:v>7001.207095962124</x:v>
      </x:c>
      <x:c r="J2302" s="10" t="n">
        <x:f>H2302*I2302</x:f>
        <x:v>239148.10666468143</x:v>
      </x:c>
      <x:c r="K2302" s="10" t="n">
        <x:f>J2302*'Assumptions'!$T$148</x:f>
        <x:v>47829.62133293629</x:v>
      </x:c>
      <x:c r="L2302" s="10" t="n">
        <x:f>K2302*'Assumptions'!$U$148</x:f>
        <x:v>1434.8886399880885</x:v>
      </x:c>
      <x:c r="M2302" s="10" t="n">
        <x:f>K2302*'Assumptions'!$V$148</x:f>
        <x:v>0</x:v>
      </x:c>
      <x:c r="N2302" s="10" t="n">
        <x:f>K2302-L2302-M2302</x:f>
        <x:v>46394.7326929482</x:v>
      </x:c>
      <x:c r="O2302" s="10" t="n">
        <x:f>H2302*'Assumptions'!$P$148*'Assumptions'!$Q$148*'Assumptions'!$D$11*(1+'Assumptions'!$D$13)^(18-1)</x:f>
        <x:v>13549.96222034782</x:v>
      </x:c>
      <x:c r="P2302" s="10" t="n">
        <x:f>H2302*'Assumptions'!$R$148*'Assumptions'!$D$11*(1+'Assumptions'!$D$13)^(18-1)</x:f>
        <x:v>0</x:v>
      </x:c>
      <x:c r="Q2302" s="10" t="n">
        <x:f>J2302*'Assumptions'!$S$148</x:f>
        <x:v>0</x:v>
      </x:c>
      <x:c r="R2302" s="10" t="n">
        <x:f>H2302*'Assumptions'!$Y$148*'Assumptions'!$Z$148*'Assumptions'!$D$11*(1+'Assumptions'!$D$13)^(18-1)</x:f>
        <x:v>254.0617916315216</x:v>
      </x:c>
      <x:c r="S2302" s="10" t="n">
        <x:f>IF(I2302=0,0,J2302*'Assumptions'!$W$148+H2302*'Assumptions'!$X$148)</x:f>
        <x:v>6945.54253075562</x:v>
      </x:c>
      <x:c r="T2302" s="10" t="n">
        <x:f>N2302*'Assumptions'!$AA$148</x:f>
        <x:v>2319.73663464741</x:v>
      </x:c>
      <x:c r="U2302" s="10" t="n">
        <x:f>'Assumptions'!$AE$148*'Assumptions'!$D$11*(1+'Assumptions'!$D$13)^(18-1)</x:f>
        <x:v>0</x:v>
      </x:c>
      <x:c r="V2302" s="10" t="n">
        <x:f>0</x:f>
        <x:v>0</x:v>
      </x:c>
      <x:c r="W2302" s="10" t="n">
        <x:f>H2302*('Assumptions'!$P$148+'Assumptions'!$Y$148)</x:f>
        <x:v>141.7562184713579</x:v>
      </x:c>
      <x:c r="X2302" s="10" t="n">
        <x:f>N2302/12*'Assumptions'!$AF$148</x:f>
        <x:v>0</x:v>
      </x:c>
      <x:c r="Y2302" s="10" t="n">
        <x:f>P2302/12</x:f>
        <x:v>0</x:v>
      </x:c>
      <x:c r="Z2302" s="10" t="n">
        <x:f>0</x:f>
        <x:v>0</x:v>
      </x:c>
      <x:c r="AA2302" s="10" t="n">
        <x:f>Z2302*'Assumptions'!$AC$148*'Assumptions'!$D$11*(1+'Assumptions'!$D$13)^(18-1)</x:f>
        <x:v>0</x:v>
      </x:c>
      <x:c r="AB2302" s="10" t="n">
        <x:f>F2302/1</x:f>
        <x:v>10.962545429567394</x:v>
      </x:c>
      <x:c r="AC2302" s="10" t="n">
        <x:f>AB2302/'Assumptions'!$AM$148</x:f>
        <x:v>219.25090859134787</x:v>
      </x:c>
      <x:c r="AD2302" s="10" t="n">
        <x:f>IF(AB2302=0,0,T2302/AB2302)</x:f>
        <x:v>211.60565760491923</x:v>
      </x:c>
      <x:c r="AE2302" s="10" t="n">
        <x:f>AA2302*'Assumptions'!$D$21</x:f>
        <x:v>0</x:v>
      </x:c>
    </x:row>
    <x:row r="2303" ht="16" customHeight="1">
      <x:c r="A2303" s="1"/>
      <x:c r="B2303" s="1"/>
      <x:c r="C2303" s="1" t="str">
        <x:v>DOT-120</x:v>
      </x:c>
      <x:c r="D2303" s="10" t="str">
        <x:v>OsezArt</x:v>
      </x:c>
      <x:c r="E2303" s="10" t="n">
        <x:v>18</x:v>
      </x:c>
      <x:c r="F2303" s="21" t="n">
        <x:f>F2175*(1+'Assumptions'!$M$149)</x:f>
        <x:v>6.450240629593311</x:v>
      </x:c>
      <x:c r="G2303" s="21" t="n">
        <x:f>H2175*'Assumptions'!$K$149</x:f>
        <x:v>6.085066027674078</x:v>
      </x:c>
      <x:c r="H2303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2303+G2303,NA())</x:f>
        <x:v>12.535306657267387</x:v>
      </x:c>
      <x:c r="I2303" s="22" t="n">
        <x:f>'Assumptions'!$H$149*IF('Assumptions'!$O$149=1,1,'Assumptions'!$D$10)*(1+'Assumptions'!$N$149)^(18-1)</x:f>
        <x:v>7001.207095962124</x:v>
      </x:c>
      <x:c r="J2303" s="10" t="n">
        <x:f>H2303*I2303</x:f>
        <x:v>87762.27791892168</x:v>
      </x:c>
      <x:c r="K2303" s="10" t="n">
        <x:f>J2303*'Assumptions'!$T$149</x:f>
        <x:v>87762.27791892168</x:v>
      </x:c>
      <x:c r="L2303" s="10" t="n">
        <x:f>K2303*'Assumptions'!$U$149</x:f>
        <x:v>2632.8683375676505</x:v>
      </x:c>
      <x:c r="M2303" s="10" t="n">
        <x:f>K2303*'Assumptions'!$V$149</x:f>
        <x:v>0</x:v>
      </x:c>
      <x:c r="N2303" s="10" t="n">
        <x:f>K2303-L2303-M2303</x:f>
        <x:v>85129.40958135403</x:v>
      </x:c>
      <x:c r="O2303" s="10" t="n">
        <x:f>H2303*'Assumptions'!$P$149*'Assumptions'!$Q$149*'Assumptions'!$D$11*(1+'Assumptions'!$D$13)^(18-1)</x:f>
        <x:v>40401.95626011622</x:v>
      </x:c>
      <x:c r="P2303" s="10" t="n">
        <x:f>H2303*'Assumptions'!$R$149*'Assumptions'!$D$11*(1+'Assumptions'!$D$13)^(18-1)</x:f>
        <x:v>5179.737982066182</x:v>
      </x:c>
      <x:c r="Q2303" s="10" t="n">
        <x:f>J2303*'Assumptions'!$S$149</x:f>
        <x:v>0</x:v>
      </x:c>
      <x:c r="R2303" s="10" t="n">
        <x:f>H2303*'Assumptions'!$Y$149*'Assumptions'!$Z$149*'Assumptions'!$D$11*(1+'Assumptions'!$D$13)^(18-1)</x:f>
        <x:v>155.39213946198547</x:v>
      </x:c>
      <x:c r="S2303" s="10" t="n">
        <x:f>IF(I2303=0,0,J2303*'Assumptions'!$W$149+H2303*'Assumptions'!$X$149)</x:f>
        <x:v>2548.8666516459093</x:v>
      </x:c>
      <x:c r="T2303" s="10" t="n">
        <x:f>N2303*'Assumptions'!$AA$149</x:f>
        <x:v>3405.1763832541615</x:v>
      </x:c>
      <x:c r="U2303" s="10" t="n">
        <x:f>'Assumptions'!$AE$149*'Assumptions'!$D$11*(1+'Assumptions'!$D$13)^(18-1)</x:f>
        <x:v>0</x:v>
      </x:c>
      <x:c r="V2303" s="10" t="n">
        <x:f>0</x:f>
        <x:v>0</x:v>
      </x:c>
      <x:c r="W2303" s="10" t="n">
        <x:f>H2303*('Assumptions'!$P$149+'Assumptions'!$Y$149)</x:f>
        <x:v>379.1930263823385</x:v>
      </x:c>
      <x:c r="X2303" s="10" t="n">
        <x:f>N2303/12*'Assumptions'!$AF$149</x:f>
        <x:v>7094.117465112836</x:v>
      </x:c>
      <x:c r="Y2303" s="10" t="n">
        <x:f>P2303/12</x:f>
        <x:v>431.64483183884846</x:v>
      </x:c>
      <x:c r="Z2303" s="10" t="n">
        <x:f>0</x:f>
        <x:v>0</x:v>
      </x:c>
      <x:c r="AA2303" s="10" t="n">
        <x:f>Z2303*'Assumptions'!$AC$149*'Assumptions'!$D$11*(1+'Assumptions'!$D$13)^(18-1)</x:f>
        <x:v>0</x:v>
      </x:c>
      <x:c r="AB2303" s="10" t="n">
        <x:f>F2303/1</x:f>
        <x:v>6.450240629593311</x:v>
      </x:c>
      <x:c r="AC2303" s="10" t="n">
        <x:f>AB2303/'Assumptions'!$AM$149</x:f>
        <x:v>32.25120314796655</x:v>
      </x:c>
      <x:c r="AD2303" s="10" t="n">
        <x:f>IF(AB2303=0,0,T2303/AB2303)</x:f>
        <x:v>527.9146281196735</x:v>
      </x:c>
      <x:c r="AE2303" s="10" t="n">
        <x:f>AA2303*'Assumptions'!$D$21</x:f>
        <x:v>0</x:v>
      </x:c>
    </x:row>
    <x:row r="2304" ht="16" customHeight="1">
      <x:c r="A2304" s="1"/>
      <x:c r="B2304" s="1"/>
      <x:c r="C2304" s="1" t="str">
        <x:v>DOT-121</x:v>
      </x:c>
      <x:c r="D2304" s="10" t="str">
        <x:v>OsezArt</x:v>
      </x:c>
      <x:c r="E2304" s="10" t="n">
        <x:v>18</x:v>
      </x:c>
      <x:c r="F2304" s="21" t="n">
        <x:f>F2176*(1+'Assumptions'!$M$150)</x:f>
        <x:v>6.450240629593311</x:v>
      </x:c>
      <x:c r="G2304" s="21" t="n">
        <x:f>H2176*'Assumptions'!$K$150</x:f>
        <x:v>6.085054583582281</x:v>
      </x:c>
      <x:c r="H2304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2304+G2304,NA())</x:f>
        <x:v>12.53529521317559</x:v>
      </x:c>
      <x:c r="I2304" s="22" t="n">
        <x:f>'Assumptions'!$H$150*IF('Assumptions'!$O$150=1,1,'Assumptions'!$D$10)*(1+'Assumptions'!$N$150)^(18-1)</x:f>
        <x:v>4200.724257577274</x:v>
      </x:c>
      <x:c r="J2304" s="10" t="n">
        <x:f>H2304*I2304</x:f>
        <x:v>52657.318677879</x:v>
      </x:c>
      <x:c r="K2304" s="10" t="n">
        <x:f>J2304*'Assumptions'!$T$150</x:f>
        <x:v>52657.318677879</x:v>
      </x:c>
      <x:c r="L2304" s="10" t="n">
        <x:f>K2304*'Assumptions'!$U$150</x:f>
        <x:v>1579.7195603363698</x:v>
      </x:c>
      <x:c r="M2304" s="10" t="n">
        <x:f>K2304*'Assumptions'!$V$150</x:f>
        <x:v>0</x:v>
      </x:c>
      <x:c r="N2304" s="10" t="n">
        <x:f>K2304-L2304-M2304</x:f>
        <x:v>51077.599117542624</x:v>
      </x:c>
      <x:c r="O2304" s="10" t="n">
        <x:f>H2304*'Assumptions'!$P$150*'Assumptions'!$Q$150*'Assumptions'!$D$11*(1+'Assumptions'!$D$13)^(18-1)</x:f>
        <x:v>24241.1516251219</x:v>
      </x:c>
      <x:c r="P2304" s="10" t="n">
        <x:f>H2304*'Assumptions'!$R$150*'Assumptions'!$D$11*(1+'Assumptions'!$D$13)^(18-1)</x:f>
        <x:v>4143.78660258494</x:v>
      </x:c>
      <x:c r="Q2304" s="10" t="n">
        <x:f>J2304*'Assumptions'!$S$150</x:f>
        <x:v>0</x:v>
      </x:c>
      <x:c r="R2304" s="10" t="n">
        <x:f>H2304*'Assumptions'!$Y$150*'Assumptions'!$Z$150*'Assumptions'!$D$11*(1+'Assumptions'!$D$13)^(18-1)</x:f>
        <x:v>155.39199759693523</x:v>
      </x:c>
      <x:c r="S2304" s="10" t="n">
        <x:f>IF(I2304=0,0,J2304*'Assumptions'!$W$150+H2304*'Assumptions'!$X$150)</x:f>
        <x:v>1530.8228302224438</x:v>
      </x:c>
      <x:c r="T2304" s="10" t="n">
        <x:f>N2304*'Assumptions'!$AA$150</x:f>
        <x:v>2043.103964701705</x:v>
      </x:c>
      <x:c r="U2304" s="10" t="n">
        <x:f>'Assumptions'!$AE$150*'Assumptions'!$D$11*(1+'Assumptions'!$D$13)^(18-1)</x:f>
        <x:v>0</x:v>
      </x:c>
      <x:c r="V2304" s="10" t="n">
        <x:f>0</x:f>
        <x:v>0</x:v>
      </x:c>
      <x:c r="W2304" s="10" t="n">
        <x:f>H2304*('Assumptions'!$P$150+'Assumptions'!$Y$150)</x:f>
        <x:v>228.76913764045452</x:v>
      </x:c>
      <x:c r="X2304" s="10" t="n">
        <x:f>N2304/12*'Assumptions'!$AF$150</x:f>
        <x:v>4256.466593128552</x:v>
      </x:c>
      <x:c r="Y2304" s="10" t="n">
        <x:f>P2304/12</x:f>
        <x:v>345.31555021541163</x:v>
      </x:c>
      <x:c r="Z2304" s="10" t="n">
        <x:f>0</x:f>
        <x:v>0</x:v>
      </x:c>
      <x:c r="AA2304" s="10" t="n">
        <x:f>Z2304*'Assumptions'!$AC$150*'Assumptions'!$D$11*(1+'Assumptions'!$D$13)^(18-1)</x:f>
        <x:v>0</x:v>
      </x:c>
      <x:c r="AB2304" s="10" t="n">
        <x:f>F2304/1</x:f>
        <x:v>6.450240629593311</x:v>
      </x:c>
      <x:c r="AC2304" s="10" t="n">
        <x:f>AB2304/'Assumptions'!$AM$150</x:f>
        <x:v>32.25120314796655</x:v>
      </x:c>
      <x:c r="AD2304" s="10" t="n">
        <x:f>IF(AB2304=0,0,T2304/AB2304)</x:f>
        <x:v>316.74848769642307</x:v>
      </x:c>
      <x:c r="AE2304" s="10" t="n">
        <x:f>AA2304*'Assumptions'!$D$21</x:f>
        <x:v>0</x:v>
      </x:c>
    </x:row>
    <x:row r="2305" ht="16" customHeight="1">
      <x:c r="A2305" s="1"/>
      <x:c r="B2305" s="1"/>
      <x:c r="C2305" s="1" t="str">
        <x:v>DOT-122</x:v>
      </x:c>
      <x:c r="D2305" s="10" t="str">
        <x:v>OsezArt</x:v>
      </x:c>
      <x:c r="E2305" s="10" t="n">
        <x:v>18</x:v>
      </x:c>
      <x:c r="F2305" s="21" t="n">
        <x:f>F2177*(1+'Assumptions'!$M$151)</x:f>
        <x:v>2.150080209864437</x:v>
      </x:c>
      <x:c r="G2305" s="21" t="n">
        <x:f>H2177*'Assumptions'!$K$151</x:f>
        <x:v>2.0283515278607602</x:v>
      </x:c>
      <x:c r="H2305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2305+G2305,NA())</x:f>
        <x:v>4.178431737725197</x:v>
      </x:c>
      <x:c r="I2305" s="22" t="n">
        <x:f>'Assumptions'!$H$151*IF('Assumptions'!$O$151=1,1,'Assumptions'!$D$10)*(1+'Assumptions'!$N$151)^(18-1)</x:f>
        <x:v>14002.414191924248</x:v>
      </x:c>
      <x:c r="J2305" s="10" t="n">
        <x:f>H2305*I2305</x:f>
        <x:v>58508.13186431</x:v>
      </x:c>
      <x:c r="K2305" s="10" t="n">
        <x:f>J2305*'Assumptions'!$T$151</x:f>
        <x:v>58508.13186431</x:v>
      </x:c>
      <x:c r="L2305" s="10" t="n">
        <x:f>K2305*'Assumptions'!$U$151</x:f>
        <x:v>1755.2439559293</x:v>
      </x:c>
      <x:c r="M2305" s="10" t="n">
        <x:f>K2305*'Assumptions'!$V$151</x:f>
        <x:v>0</x:v>
      </x:c>
      <x:c r="N2305" s="10" t="n">
        <x:f>K2305-L2305-M2305</x:f>
        <x:v>56752.887908380704</x:v>
      </x:c>
      <x:c r="O2305" s="10" t="n">
        <x:f>H2305*'Assumptions'!$P$151*'Assumptions'!$Q$151*'Assumptions'!$D$11*(1+'Assumptions'!$D$13)^(18-1)</x:f>
        <x:v>26934.61291680211</x:v>
      </x:c>
      <x:c r="P2305" s="10" t="n">
        <x:f>H2305*'Assumptions'!$R$151*'Assumptions'!$D$11*(1+'Assumptions'!$D$13)^(18-1)</x:f>
        <x:v>3453.1555021541167</x:v>
      </x:c>
      <x:c r="Q2305" s="10" t="n">
        <x:f>J2305*'Assumptions'!$S$151</x:f>
        <x:v>0</x:v>
      </x:c>
      <x:c r="R2305" s="10" t="n">
        <x:f>H2305*'Assumptions'!$Y$151*'Assumptions'!$Z$151*'Assumptions'!$D$11*(1+'Assumptions'!$D$13)^(18-1)</x:f>
        <x:v>51.79733253231175</x:v>
      </x:c>
      <x:c r="S2305" s="10" t="n">
        <x:f>IF(I2305=0,0,J2305*'Assumptions'!$W$151+H2305*'Assumptions'!$X$151)</x:f>
        <x:v>1697.9893535863077</x:v>
      </x:c>
      <x:c r="T2305" s="10" t="n">
        <x:f>N2305*'Assumptions'!$AA$151</x:f>
        <x:v>2270.115516335228</x:v>
      </x:c>
      <x:c r="U2305" s="10" t="n">
        <x:f>'Assumptions'!$AE$151*'Assumptions'!$D$11*(1+'Assumptions'!$D$13)^(18-1)</x:f>
        <x:v>0</x:v>
      </x:c>
      <x:c r="V2305" s="10" t="n">
        <x:f>0</x:f>
        <x:v>0</x:v>
      </x:c>
      <x:c r="W2305" s="10" t="n">
        <x:f>H2305*('Assumptions'!$P$151+'Assumptions'!$Y$151)</x:f>
        <x:v>251.75051219794312</x:v>
      </x:c>
      <x:c r="X2305" s="10" t="n">
        <x:f>N2305/12*'Assumptions'!$AF$151</x:f>
        <x:v>4729.407325698392</x:v>
      </x:c>
      <x:c r="Y2305" s="10" t="n">
        <x:f>P2305/12</x:f>
        <x:v>287.76295851284306</x:v>
      </x:c>
      <x:c r="Z2305" s="10" t="n">
        <x:f>0</x:f>
        <x:v>0</x:v>
      </x:c>
      <x:c r="AA2305" s="10" t="n">
        <x:f>Z2305*'Assumptions'!$AC$151*'Assumptions'!$D$11*(1+'Assumptions'!$D$13)^(18-1)</x:f>
        <x:v>0</x:v>
      </x:c>
      <x:c r="AB2305" s="10" t="n">
        <x:f>F2305/1</x:f>
        <x:v>2.150080209864437</x:v>
      </x:c>
      <x:c r="AC2305" s="10" t="n">
        <x:f>AB2305/'Assumptions'!$AM$151</x:f>
        <x:v>10.750401049322184</x:v>
      </x:c>
      <x:c r="AD2305" s="10" t="n">
        <x:f>IF(AB2305=0,0,T2305/AB2305)</x:f>
        <x:v>1055.8282923214103</x:v>
      </x:c>
      <x:c r="AE2305" s="10" t="n">
        <x:f>AA2305*'Assumptions'!$D$21</x:f>
        <x:v>0</x:v>
      </x:c>
    </x:row>
    <x:row r="2306" ht="16" customHeight="1">
      <x:c r="A2306" s="1"/>
      <x:c r="B2306" s="1"/>
      <x:c r="C2306" s="1" t="str">
        <x:v>DOT-123</x:v>
      </x:c>
      <x:c r="D2306" s="10" t="str">
        <x:v>FinBot research</x:v>
      </x:c>
      <x:c r="E2306" s="10" t="n">
        <x:v>18</x:v>
      </x:c>
      <x:c r="F2306" s="21" t="n">
        <x:f>F2178*(1+'Assumptions'!$M$152)</x:f>
        <x:v>231.16271788462458</x:v>
      </x:c>
      <x:c r="G2306" s="21" t="n">
        <x:f>H2178*'Assumptions'!$K$152</x:f>
        <x:v>74.0906146031697</x:v>
      </x:c>
      <x:c r="H2306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2306+G2306,NA())</x:f>
        <x:v>305.2533324877943</x:v>
      </x:c>
      <x:c r="I2306" s="22" t="n">
        <x:f>'Assumptions'!$H$152*IF('Assumptions'!$O$152=1,1,'Assumptions'!$D$10)*(1+'Assumptions'!$N$152)^(18-1)</x:f>
        <x:v>40.60700115658032</x:v>
      </x:c>
      <x:c r="J2306" s="10" t="n">
        <x:f>H2306*I2306</x:f>
        <x:v>12395.42242538186</x:v>
      </x:c>
      <x:c r="K2306" s="10" t="n">
        <x:f>J2306*'Assumptions'!$T$152</x:f>
        <x:v>12395.42242538186</x:v>
      </x:c>
      <x:c r="L2306" s="10" t="n">
        <x:f>K2306*'Assumptions'!$U$152</x:f>
        <x:v>371.86267276145577</x:v>
      </x:c>
      <x:c r="M2306" s="10" t="n">
        <x:f>K2306*'Assumptions'!$V$152</x:f>
        <x:v>0</x:v>
      </x:c>
      <x:c r="N2306" s="10" t="n">
        <x:f>K2306-L2306-M2306</x:f>
        <x:v>12023.559752620404</x:v>
      </x:c>
      <x:c r="O2306" s="10" t="n">
        <x:f>H2306*'Assumptions'!$P$152*'Assumptions'!$Q$152*'Assumptions'!$D$11*(1+'Assumptions'!$D$13)^(18-1)</x:f>
        <x:v>4540.835230609614</x:v>
      </x:c>
      <x:c r="P2306" s="10" t="n">
        <x:f>H2306*'Assumptions'!$R$152*'Assumptions'!$D$11*(1+'Assumptions'!$D$13)^(18-1)</x:f>
        <x:v>0</x:v>
      </x:c>
      <x:c r="Q2306" s="10" t="n">
        <x:f>J2306*'Assumptions'!$S$152</x:f>
        <x:v>0</x:v>
      </x:c>
      <x:c r="R2306" s="10" t="n">
        <x:f>H2306*'Assumptions'!$Y$152*'Assumptions'!$Z$152*'Assumptions'!$D$11*(1+'Assumptions'!$D$13)^(18-1)</x:f>
        <x:v>1513.611743536538</x:v>
      </x:c>
      <x:c r="S2306" s="10" t="n">
        <x:f>IF(I2306=0,0,J2306*'Assumptions'!$W$152+H2306*'Assumptions'!$X$152)</x:f>
        <x:v>451.0432500824122</x:v>
      </x:c>
      <x:c r="T2306" s="10" t="n">
        <x:f>N2306*'Assumptions'!$AA$152</x:f>
        <x:v>601.1779876310202</x:v>
      </x:c>
      <x:c r="U2306" s="10" t="n">
        <x:f>'Assumptions'!$AE$152*'Assumptions'!$D$11*(1+'Assumptions'!$D$13)^(18-1)</x:f>
        <x:v>396.68343174522045</x:v>
      </x:c>
      <x:c r="V2306" s="10" t="n">
        <x:f>0</x:f>
        <x:v>0</x:v>
      </x:c>
      <x:c r="W2306" s="10" t="n">
        <x:f>H2306*('Assumptions'!$P$152+'Assumptions'!$Y$152)</x:f>
        <x:v>91.5759997463383</x:v>
      </x:c>
      <x:c r="X2306" s="10" t="n">
        <x:f>N2306/12*'Assumptions'!$AF$152</x:f>
        <x:v>0</x:v>
      </x:c>
      <x:c r="Y2306" s="10" t="n">
        <x:f>P2306/12</x:f>
        <x:v>0</x:v>
      </x:c>
      <x:c r="Z2306" s="10" t="n">
        <x:f>0</x:f>
        <x:v>0</x:v>
      </x:c>
      <x:c r="AA2306" s="10" t="n">
        <x:f>Z2306*'Assumptions'!$AC$152*'Assumptions'!$D$11*(1+'Assumptions'!$D$13)^(18-1)</x:f>
        <x:v>0</x:v>
      </x:c>
      <x:c r="AB2306" s="10" t="n">
        <x:f>F2306/12</x:f>
        <x:v>19.263559823718715</x:v>
      </x:c>
      <x:c r="AC2306" s="10" t="n">
        <x:f>AB2306/'Assumptions'!$AM$152</x:f>
        <x:v>385.2711964743743</x:v>
      </x:c>
      <x:c r="AD2306" s="10" t="n">
        <x:f>IF(AB2306=0,0,T2306/AB2306)</x:f>
        <x:v>31.208042185993346</x:v>
      </x:c>
      <x:c r="AE2306" s="10" t="n">
        <x:f>AA2306*'Assumptions'!$D$21</x:f>
        <x:v>0</x:v>
      </x:c>
    </x:row>
    <x:row r="2307" ht="16" customHeight="1">
      <x:c r="A2307" s="1"/>
      <x:c r="B2307" s="1"/>
      <x:c r="C2307" s="1" t="str">
        <x:v>DOT-124</x:v>
      </x:c>
      <x:c r="D2307" s="10" t="str">
        <x:v>Functional Analysis</x:v>
      </x:c>
      <x:c r="E2307" s="10" t="n">
        <x:v>18</x:v>
      </x:c>
      <x:c r="F2307" s="21" t="n">
        <x:f>F2179*(1+'Assumptions'!$M$153)</x:f>
        <x:v>462.32543576924917</x:v>
      </x:c>
      <x:c r="G2307" s="21" t="n">
        <x:f>H2179*'Assumptions'!$K$153</x:f>
        <x:v>148.1812292063394</x:v>
      </x:c>
      <x:c r="H2307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2307+G2307,NA())</x:f>
        <x:v>610.5066649755886</x:v>
      </x:c>
      <x:c r="I2307" s="22" t="n">
        <x:f>'Assumptions'!$H$153*IF('Assumptions'!$O$153=1,1,'Assumptions'!$D$10)*(1+'Assumptions'!$N$153)^(18-1)</x:f>
        <x:v>26.60458696465607</x:v>
      </x:c>
      <x:c r="J2307" s="10" t="n">
        <x:f>H2307*I2307</x:f>
        <x:v>16242.277660845195</x:v>
      </x:c>
      <x:c r="K2307" s="10" t="n">
        <x:f>J2307*'Assumptions'!$T$153</x:f>
        <x:v>16242.277660845195</x:v>
      </x:c>
      <x:c r="L2307" s="10" t="n">
        <x:f>K2307*'Assumptions'!$U$153</x:f>
        <x:v>487.2683298253558</x:v>
      </x:c>
      <x:c r="M2307" s="10" t="n">
        <x:f>K2307*'Assumptions'!$V$153</x:f>
        <x:v>0</x:v>
      </x:c>
      <x:c r="N2307" s="10" t="n">
        <x:f>K2307-L2307-M2307</x:f>
        <x:v>15755.009331019839</x:v>
      </x:c>
      <x:c r="O2307" s="10" t="n">
        <x:f>H2307*'Assumptions'!$P$153*'Assumptions'!$Q$153*'Assumptions'!$D$11*(1+'Assumptions'!$D$13)^(18-1)</x:f>
        <x:v>3531.7607349185887</x:v>
      </x:c>
      <x:c r="P2307" s="10" t="n">
        <x:f>H2307*'Assumptions'!$R$153*'Assumptions'!$D$11*(1+'Assumptions'!$D$13)^(18-1)</x:f>
        <x:v>0</x:v>
      </x:c>
      <x:c r="Q2307" s="10" t="n">
        <x:f>J2307*'Assumptions'!$S$153</x:f>
        <x:v>0</x:v>
      </x:c>
      <x:c r="R2307" s="10" t="n">
        <x:f>H2307*'Assumptions'!$Y$153*'Assumptions'!$Z$153*'Assumptions'!$D$11*(1+'Assumptions'!$D$13)^(18-1)</x:f>
        <x:v>3027.223487073076</x:v>
      </x:c>
      <x:c r="S2307" s="10" t="n">
        <x:f>IF(I2307=0,0,J2307*'Assumptions'!$W$153+H2307*'Assumptions'!$X$153)</x:f>
        <x:v>654.1780516571873</x:v>
      </x:c>
      <x:c r="T2307" s="10" t="n">
        <x:f>N2307*'Assumptions'!$AA$153</x:f>
        <x:v>787.750466550992</x:v>
      </x:c>
      <x:c r="U2307" s="10" t="n">
        <x:f>'Assumptions'!$AE$153*'Assumptions'!$D$11*(1+'Assumptions'!$D$13)^(18-1)</x:f>
        <x:v>0</x:v>
      </x:c>
      <x:c r="V2307" s="10" t="n">
        <x:f>0</x:f>
        <x:v>0</x:v>
      </x:c>
      <x:c r="W2307" s="10" t="n">
        <x:f>H2307*('Assumptions'!$P$153+'Assumptions'!$Y$153)</x:f>
        <x:v>122.10133299511773</x:v>
      </x:c>
      <x:c r="X2307" s="10" t="n">
        <x:f>N2307/12*'Assumptions'!$AF$153</x:f>
        <x:v>0</x:v>
      </x:c>
      <x:c r="Y2307" s="10" t="n">
        <x:f>P2307/12</x:f>
        <x:v>0</x:v>
      </x:c>
      <x:c r="Z2307" s="10" t="n">
        <x:f>0</x:f>
        <x:v>0</x:v>
      </x:c>
      <x:c r="AA2307" s="10" t="n">
        <x:f>Z2307*'Assumptions'!$AC$153*'Assumptions'!$D$11*(1+'Assumptions'!$D$13)^(18-1)</x:f>
        <x:v>0</x:v>
      </x:c>
      <x:c r="AB2307" s="10" t="n">
        <x:f>F2307/1</x:f>
        <x:v>462.32543576924917</x:v>
      </x:c>
      <x:c r="AC2307" s="10" t="n">
        <x:f>AB2307/'Assumptions'!$AM$153</x:f>
        <x:v>9246.508715384984</x:v>
      </x:c>
      <x:c r="AD2307" s="10" t="n">
        <x:f>IF(AB2307=0,0,T2307/AB2307)</x:f>
        <x:v>1.7038873607295217</x:v>
      </x:c>
      <x:c r="AE2307" s="10" t="n">
        <x:f>AA2307*'Assumptions'!$D$21</x:f>
        <x:v>0</x:v>
      </x:c>
    </x:row>
    <x:row r="2308" ht="16" customHeight="1">
      <x:c r="A2308" s="1"/>
      <x:c r="B2308" s="1"/>
      <x:c r="C2308" s="1" t="str">
        <x:v>DOT-125</x:v>
      </x:c>
      <x:c r="D2308" s="10" t="str">
        <x:v>Functional Analysis</x:v>
      </x:c>
      <x:c r="E2308" s="10" t="n">
        <x:v>18</x:v>
      </x:c>
      <x:c r="F2308" s="21" t="n">
        <x:f>F2180*(1+'Assumptions'!$M$154)</x:f>
        <x:v>38.701443777559845</x:v>
      </x:c>
      <x:c r="G2308" s="21" t="n">
        <x:f>H2180*'Assumptions'!$K$154</x:f>
        <x:v>36.51032750149366</x:v>
      </x:c>
      <x:c r="H2308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2308+G2308,NA())</x:f>
        <x:v>75.21177127905351</x:v>
      </x:c>
      <x:c r="I2308" s="22" t="n">
        <x:f>'Assumptions'!$H$154*IF('Assumptions'!$O$154=1,1,'Assumptions'!$D$10)*(1+'Assumptions'!$N$154)^(18-1)</x:f>
        <x:v>138.62390050005007</x:v>
      </x:c>
      <x:c r="J2308" s="10" t="n">
        <x:f>H2308*I2308</x:f>
        <x:v>10426.149098220038</x:v>
      </x:c>
      <x:c r="K2308" s="10" t="n">
        <x:f>J2308*'Assumptions'!$T$154</x:f>
        <x:v>10426.149098220038</x:v>
      </x:c>
      <x:c r="L2308" s="10" t="n">
        <x:f>K2308*'Assumptions'!$U$154</x:f>
        <x:v>312.7844729466011</x:v>
      </x:c>
      <x:c r="M2308" s="10" t="n">
        <x:f>K2308*'Assumptions'!$V$154</x:f>
        <x:v>0</x:v>
      </x:c>
      <x:c r="N2308" s="10" t="n">
        <x:f>K2308-L2308-M2308</x:f>
        <x:v>10113.364625273436</x:v>
      </x:c>
      <x:c r="O2308" s="10" t="n">
        <x:f>H2308*'Assumptions'!$P$154*'Assumptions'!$Q$154*'Assumptions'!$D$11*(1+'Assumptions'!$D$13)^(18-1)</x:f>
        <x:v>4972.543923101925</x:v>
      </x:c>
      <x:c r="P2308" s="10" t="n">
        <x:f>H2308*'Assumptions'!$R$154*'Assumptions'!$D$11*(1+'Assumptions'!$D$13)^(18-1)</x:f>
        <x:v>0</x:v>
      </x:c>
      <x:c r="Q2308" s="10" t="n">
        <x:f>J2308*'Assumptions'!$S$154</x:f>
        <x:v>0</x:v>
      </x:c>
      <x:c r="R2308" s="10" t="n">
        <x:f>H2308*'Assumptions'!$Y$154*'Assumptions'!$Z$154*'Assumptions'!$D$11*(1+'Assumptions'!$D$13)^(18-1)</x:f>
        <x:v>932.3519855816111</x:v>
      </x:c>
      <x:c r="S2308" s="10" t="n">
        <x:f>IF(I2308=0,0,J2308*'Assumptions'!$W$154+H2308*'Assumptions'!$X$154)</x:f>
        <x:v>324.9218552320972</x:v>
      </x:c>
      <x:c r="T2308" s="10" t="n">
        <x:f>N2308*'Assumptions'!$AA$154</x:f>
        <x:v>404.53458501093746</x:v>
      </x:c>
      <x:c r="U2308" s="10" t="n">
        <x:f>'Assumptions'!$AE$154*'Assumptions'!$D$11*(1+'Assumptions'!$D$13)^(18-1)</x:f>
        <x:v>0</x:v>
      </x:c>
      <x:c r="V2308" s="10" t="n">
        <x:f>0</x:f>
        <x:v>0</x:v>
      </x:c>
      <x:c r="W2308" s="10" t="n">
        <x:f>H2308*('Assumptions'!$P$154+'Assumptions'!$Y$154)</x:f>
        <x:v>94.01471409881688</x:v>
      </x:c>
      <x:c r="X2308" s="10" t="n">
        <x:f>N2308/12*'Assumptions'!$AF$154</x:f>
        <x:v>842.780385439453</x:v>
      </x:c>
      <x:c r="Y2308" s="10" t="n">
        <x:f>P2308/12</x:f>
        <x:v>0</x:v>
      </x:c>
      <x:c r="Z2308" s="10" t="n">
        <x:f>0</x:f>
        <x:v>0</x:v>
      </x:c>
      <x:c r="AA2308" s="10" t="n">
        <x:f>Z2308*'Assumptions'!$AC$154*'Assumptions'!$D$11*(1+'Assumptions'!$D$13)^(18-1)</x:f>
        <x:v>0</x:v>
      </x:c>
      <x:c r="AB2308" s="10" t="n">
        <x:f>F2308/1</x:f>
        <x:v>38.701443777559845</x:v>
      </x:c>
      <x:c r="AC2308" s="10" t="n">
        <x:f>AB2308/'Assumptions'!$AM$154</x:f>
        <x:v>193.5072188877992</x:v>
      </x:c>
      <x:c r="AD2308" s="10" t="n">
        <x:f>IF(AB2308=0,0,T2308/AB2308)</x:f>
        <x:v>10.452700093981964</x:v>
      </x:c>
      <x:c r="AE2308" s="10" t="n">
        <x:f>AA2308*'Assumptions'!$D$21</x:f>
        <x:v>0</x:v>
      </x:c>
    </x:row>
    <x:row r="2309" ht="16" customHeight="1">
      <x:c r="A2309" s="1"/>
      <x:c r="B2309" s="1"/>
      <x:c r="C2309" s="1" t="str">
        <x:v>DOT-126</x:v>
      </x:c>
      <x:c r="D2309" s="10" t="str">
        <x:v>Independent candy game</x:v>
      </x:c>
      <x:c r="E2309" s="10" t="n">
        <x:v>18</x:v>
      </x:c>
      <x:c r="F2309" s="21" t="n">
        <x:f>F2181*(1+'Assumptions'!$M$155)</x:f>
        <x:v>1155.813589423123</x:v>
      </x:c>
      <x:c r="G2309" s="21" t="n">
        <x:f>H2181*'Assumptions'!$K$155</x:f>
        <x:v>370.45307301584853</x:v>
      </x:c>
      <x:c r="H2309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2309+G2309,NA())</x:f>
        <x:v>1526.2666624389715</x:v>
      </x:c>
      <x:c r="I2309" s="22" t="n">
        <x:f>'Assumptions'!$H$155*IF('Assumptions'!$O$155=1,1,'Assumptions'!$D$10)*(1+'Assumptions'!$N$155)^(18-1)</x:f>
        <x:v>6.9872046817702005</x:v>
      </x:c>
      <x:c r="J2309" s="10" t="n">
        <x:f>H2309*I2309</x:f>
        <x:v>10664.33756942336</x:v>
      </x:c>
      <x:c r="K2309" s="10" t="n">
        <x:f>J2309*'Assumptions'!$T$155</x:f>
        <x:v>10664.33756942336</x:v>
      </x:c>
      <x:c r="L2309" s="10" t="n">
        <x:f>K2309*'Assumptions'!$U$155</x:f>
        <x:v>319.9301270827008</x:v>
      </x:c>
      <x:c r="M2309" s="10" t="n">
        <x:f>K2309*'Assumptions'!$V$155</x:f>
        <x:v>0</x:v>
      </x:c>
      <x:c r="N2309" s="10" t="n">
        <x:f>K2309-L2309-M2309</x:f>
        <x:v>10344.40744234066</x:v>
      </x:c>
      <x:c r="O2309" s="10" t="n">
        <x:f>H2309*'Assumptions'!$P$155*'Assumptions'!$Q$155*'Assumptions'!$D$11*(1+'Assumptions'!$D$13)^(18-1)</x:f>
        <x:v>1765.880367459294</x:v>
      </x:c>
      <x:c r="P2309" s="10" t="n">
        <x:f>H2309*'Assumptions'!$R$155*'Assumptions'!$D$11*(1+'Assumptions'!$D$13)^(18-1)</x:f>
        <x:v>0</x:v>
      </x:c>
      <x:c r="Q2309" s="10" t="n">
        <x:f>J2309*'Assumptions'!$S$155</x:f>
        <x:v>0</x:v>
      </x:c>
      <x:c r="R2309" s="10" t="n">
        <x:f>H2309*'Assumptions'!$Y$155*'Assumptions'!$Z$155*'Assumptions'!$D$11*(1+'Assumptions'!$D$13)^(18-1)</x:f>
        <x:v>7568.058717682689</x:v>
      </x:c>
      <x:c r="S2309" s="10" t="n">
        <x:f>IF(I2309=0,0,J2309*'Assumptions'!$W$155+H2309*'Assumptions'!$X$155)</x:f>
        <x:v>767.1457882449689</x:v>
      </x:c>
      <x:c r="T2309" s="10" t="n">
        <x:f>N2309*'Assumptions'!$AA$155</x:f>
        <x:v>517.220372117033</x:v>
      </x:c>
      <x:c r="U2309" s="10" t="n">
        <x:f>'Assumptions'!$AE$155*'Assumptions'!$D$11*(1+'Assumptions'!$D$13)^(18-1)</x:f>
        <x:v>0</x:v>
      </x:c>
      <x:c r="V2309" s="10" t="n">
        <x:f>0</x:f>
        <x:v>0</x:v>
      </x:c>
      <x:c r="W2309" s="10" t="n">
        <x:f>H2309*('Assumptions'!$P$155+'Assumptions'!$Y$155)</x:f>
        <x:v>183.1519994926766</x:v>
      </x:c>
      <x:c r="X2309" s="10" t="n">
        <x:f>N2309/12*'Assumptions'!$AF$155</x:f>
        <x:v>0</x:v>
      </x:c>
      <x:c r="Y2309" s="10" t="n">
        <x:f>P2309/12</x:f>
        <x:v>0</x:v>
      </x:c>
      <x:c r="Z2309" s="10" t="n">
        <x:f>0</x:f>
        <x:v>0</x:v>
      </x:c>
      <x:c r="AA2309" s="10" t="n">
        <x:f>Z2309*'Assumptions'!$AC$155*'Assumptions'!$D$11*(1+'Assumptions'!$D$13)^(18-1)</x:f>
        <x:v>0</x:v>
      </x:c>
      <x:c r="AB2309" s="10" t="n">
        <x:f>F2309/1</x:f>
        <x:v>1155.813589423123</x:v>
      </x:c>
      <x:c r="AC2309" s="10" t="n">
        <x:f>AB2309/'Assumptions'!$AM$155</x:f>
        <x:v>23116.271788462458</x:v>
      </x:c>
      <x:c r="AD2309" s="10" t="n">
        <x:f>IF(AB2309=0,0,T2309/AB2309)</x:f>
        <x:v>0.4474946278968587</x:v>
      </x:c>
      <x:c r="AE2309" s="10" t="n">
        <x:f>AA2309*'Assumptions'!$D$21</x:f>
        <x:v>0</x:v>
      </x:c>
    </x:row>
    <x:row r="2310" ht="16" customHeight="1">
      <x:c r="A2310" s="1"/>
      <x:c r="B2310" s="1"/>
      <x:c r="C2310" s="1" t="str">
        <x:v>DOT-127</x:v>
      </x:c>
      <x:c r="D2310" s="10" t="str">
        <x:v>Learn Anglais</x:v>
      </x:c>
      <x:c r="E2310" s="10" t="n">
        <x:v>18</x:v>
      </x:c>
      <x:c r="F2310" s="21" t="n">
        <x:f>F2182*(1+'Assumptions'!$M$156)</x:f>
        <x:v>274.0636357391849</x:v>
      </x:c>
      <x:c r="G2310" s="21" t="n">
        <x:f>H2182*'Assumptions'!$K$156</x:f>
        <x:v>580.0639604677386</x:v>
      </x:c>
      <x:c r="H2310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2310+G2310,NA())</x:f>
        <x:v>854.1275962069235</x:v>
      </x:c>
      <x:c r="I2310" s="22" t="n">
        <x:f>'Assumptions'!$H$156*IF('Assumptions'!$O$156=1,1,'Assumptions'!$D$10)*(1+'Assumptions'!$N$156)^(18-1)</x:f>
        <x:v>33.605794060618194</x:v>
      </x:c>
      <x:c r="J2310" s="10" t="n">
        <x:f>H2310*I2310</x:f>
        <x:v>28703.636099620726</x:v>
      </x:c>
      <x:c r="K2310" s="10" t="n">
        <x:f>J2310*'Assumptions'!$T$156</x:f>
        <x:v>9567.878699873574</x:v>
      </x:c>
      <x:c r="L2310" s="10" t="n">
        <x:f>K2310*'Assumptions'!$U$156</x:f>
        <x:v>287.03636099620724</x:v>
      </x:c>
      <x:c r="M2310" s="10" t="n">
        <x:f>K2310*'Assumptions'!$V$156</x:f>
        <x:v>0</x:v>
      </x:c>
      <x:c r="N2310" s="10" t="n">
        <x:f>K2310-L2310-M2310</x:f>
        <x:v>9280.842338877366</x:v>
      </x:c>
      <x:c r="O2310" s="10" t="n">
        <x:f>H2310*'Assumptions'!$P$156*'Assumptions'!$Q$156*'Assumptions'!$D$11*(1+'Assumptions'!$D$13)^(18-1)</x:f>
        <x:v>4941.099712670018</x:v>
      </x:c>
      <x:c r="P2310" s="10" t="n">
        <x:f>H2310*'Assumptions'!$R$156*'Assumptions'!$D$11*(1+'Assumptions'!$D$13)^(18-1)</x:f>
        <x:v>0</x:v>
      </x:c>
      <x:c r="Q2310" s="10" t="n">
        <x:f>J2310*'Assumptions'!$S$156</x:f>
        <x:v>0</x:v>
      </x:c>
      <x:c r="R2310" s="10" t="n">
        <x:f>H2310*'Assumptions'!$Y$156*'Assumptions'!$Z$156*'Assumptions'!$D$11*(1+'Assumptions'!$D$13)^(18-1)</x:f>
        <x:v>6352.8424877185935</x:v>
      </x:c>
      <x:c r="S2310" s="10" t="n">
        <x:f>IF(I2310=0,0,J2310*'Assumptions'!$W$156+H2310*'Assumptions'!$X$156)</x:f>
        <x:v>1088.6437257510781</x:v>
      </x:c>
      <x:c r="T2310" s="10" t="n">
        <x:f>N2310*'Assumptions'!$AA$156</x:f>
        <x:v>464.04211694386834</x:v>
      </x:c>
      <x:c r="U2310" s="10" t="n">
        <x:f>'Assumptions'!$AE$156*'Assumptions'!$D$11*(1+'Assumptions'!$D$13)^(18-1)</x:f>
        <x:v>0</x:v>
      </x:c>
      <x:c r="V2310" s="10" t="n">
        <x:f>0</x:f>
        <x:v>0</x:v>
      </x:c>
      <x:c r="W2310" s="10" t="n">
        <x:f>H2310*('Assumptions'!$P$156+'Assumptions'!$Y$156)</x:f>
        <x:v>213.53189905173087</x:v>
      </x:c>
      <x:c r="X2310" s="10" t="n">
        <x:f>N2310/12*'Assumptions'!$AF$156</x:f>
        <x:v>0</x:v>
      </x:c>
      <x:c r="Y2310" s="10" t="n">
        <x:f>P2310/12</x:f>
        <x:v>0</x:v>
      </x:c>
      <x:c r="Z2310" s="10" t="n">
        <x:f>0</x:f>
        <x:v>0</x:v>
      </x:c>
      <x:c r="AA2310" s="10" t="n">
        <x:f>Z2310*'Assumptions'!$AC$156*'Assumptions'!$D$11*(1+'Assumptions'!$D$13)^(18-1)</x:f>
        <x:v>0</x:v>
      </x:c>
      <x:c r="AB2310" s="10" t="n">
        <x:f>F2310/1</x:f>
        <x:v>274.0636357391849</x:v>
      </x:c>
      <x:c r="AC2310" s="10" t="n">
        <x:f>AB2310/'Assumptions'!$AM$156</x:f>
        <x:v>5481.272714783698</x:v>
      </x:c>
      <x:c r="AD2310" s="10" t="n">
        <x:f>IF(AB2310=0,0,T2310/AB2310)</x:f>
        <x:v>1.6931911294699387</x:v>
      </x:c>
      <x:c r="AE2310" s="10" t="n">
        <x:f>AA2310*'Assumptions'!$D$21</x:f>
        <x:v>0</x:v>
      </x:c>
    </x:row>
    <x:row r="2311" ht="16" customHeight="1">
      <x:c r="A2311" s="1"/>
      <x:c r="B2311" s="1"/>
      <x:c r="C2311" s="1" t="str">
        <x:v>DOT-128</x:v>
      </x:c>
      <x:c r="D2311" s="10" t="str">
        <x:v>Learn Anglais</x:v>
      </x:c>
      <x:c r="E2311" s="10" t="n">
        <x:v>18</x:v>
      </x:c>
      <x:c r="F2311" s="21" t="n">
        <x:f>F2183*(1+'Assumptions'!$M$157)</x:f>
        <x:v>109.62545429567393</x:v>
      </x:c>
      <x:c r="G2311" s="21" t="n">
        <x:f>H2183*'Assumptions'!$K$157</x:f>
        <x:v>232.0255841870954</x:v>
      </x:c>
      <x:c r="H2311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2311+G2311,NA())</x:f>
        <x:v>341.6510384827693</x:v>
      </x:c>
      <x:c r="I2311" s="22" t="n">
        <x:f>'Assumptions'!$H$157*IF('Assumptions'!$O$157=1,1,'Assumptions'!$D$10)*(1+'Assumptions'!$N$157)^(18-1)</x:f>
        <x:v>231.0398341667501</x:v>
      </x:c>
      <x:c r="J2311" s="10" t="n">
        <x:f>H2311*I2311</x:f>
        <x:v>78934.99927395697</x:v>
      </x:c>
      <x:c r="K2311" s="10" t="n">
        <x:f>J2311*'Assumptions'!$T$157</x:f>
        <x:v>23680.49978218709</x:v>
      </x:c>
      <x:c r="L2311" s="10" t="n">
        <x:f>K2311*'Assumptions'!$U$157</x:f>
        <x:v>710.4149934656126</x:v>
      </x:c>
      <x:c r="M2311" s="10" t="n">
        <x:f>K2311*'Assumptions'!$V$157</x:f>
        <x:v>0</x:v>
      </x:c>
      <x:c r="N2311" s="10" t="n">
        <x:f>K2311-L2311-M2311</x:f>
        <x:v>22970.084788721477</x:v>
      </x:c>
      <x:c r="O2311" s="10" t="n">
        <x:f>H2311*'Assumptions'!$P$157*'Assumptions'!$Q$157*'Assumptions'!$D$11*(1+'Assumptions'!$D$13)^(18-1)</x:f>
        <x:v>1976.4398850680068</x:v>
      </x:c>
      <x:c r="P2311" s="10" t="n">
        <x:f>H2311*'Assumptions'!$R$157*'Assumptions'!$D$11*(1+'Assumptions'!$D$13)^(18-1)</x:f>
        <x:v>0</x:v>
      </x:c>
      <x:c r="Q2311" s="10" t="n">
        <x:f>J2311*'Assumptions'!$S$157</x:f>
        <x:v>0</x:v>
      </x:c>
      <x:c r="R2311" s="10" t="n">
        <x:f>H2311*'Assumptions'!$Y$157*'Assumptions'!$Z$157*'Assumptions'!$D$11*(1+'Assumptions'!$D$13)^(18-1)</x:f>
        <x:v>2541.1369950874364</x:v>
      </x:c>
      <x:c r="S2311" s="10" t="n">
        <x:f>IF(I2311=0,0,J2311*'Assumptions'!$W$157+H2311*'Assumptions'!$X$157)</x:f>
        <x:v>2391.610290489583</x:v>
      </x:c>
      <x:c r="T2311" s="10" t="n">
        <x:f>N2311*'Assumptions'!$AA$157</x:f>
        <x:v>1148.504239436074</x:v>
      </x:c>
      <x:c r="U2311" s="10" t="n">
        <x:f>'Assumptions'!$AE$157*'Assumptions'!$D$11*(1+'Assumptions'!$D$13)^(18-1)</x:f>
        <x:v>0</x:v>
      </x:c>
      <x:c r="V2311" s="10" t="n">
        <x:f>0</x:f>
        <x:v>0</x:v>
      </x:c>
      <x:c r="W2311" s="10" t="n">
        <x:f>H2311*('Assumptions'!$P$157+'Assumptions'!$Y$157)</x:f>
        <x:v>85.41275962069233</x:v>
      </x:c>
      <x:c r="X2311" s="10" t="n">
        <x:f>N2311/12*'Assumptions'!$AF$157</x:f>
        <x:v>0</x:v>
      </x:c>
      <x:c r="Y2311" s="10" t="n">
        <x:f>P2311/12</x:f>
        <x:v>0</x:v>
      </x:c>
      <x:c r="Z2311" s="10" t="n">
        <x:f>0</x:f>
        <x:v>0</x:v>
      </x:c>
      <x:c r="AA2311" s="10" t="n">
        <x:f>Z2311*'Assumptions'!$AC$157*'Assumptions'!$D$11*(1+'Assumptions'!$D$13)^(18-1)</x:f>
        <x:v>0</x:v>
      </x:c>
      <x:c r="AB2311" s="10" t="n">
        <x:f>F2311/1</x:f>
        <x:v>109.62545429567393</x:v>
      </x:c>
      <x:c r="AC2311" s="10" t="n">
        <x:f>AB2311/'Assumptions'!$AM$157</x:f>
        <x:v>2192.5090859134784</x:v>
      </x:c>
      <x:c r="AD2311" s="10" t="n">
        <x:f>IF(AB2311=0,0,T2311/AB2311)</x:f>
        <x:v>10.476620113595246</x:v>
      </x:c>
      <x:c r="AE2311" s="10" t="n">
        <x:f>AA2311*'Assumptions'!$D$21</x:f>
        <x:v>0</x:v>
      </x:c>
    </x:row>
    <x:row r="2312" ht="16" customHeight="1">
      <x:c r="A2312" s="1"/>
      <x:c r="B2312" s="1"/>
      <x:c r="C2312" s="1" t="str">
        <x:v>DOT-001</x:v>
      </x:c>
      <x:c r="D2312" s="10" t="str">
        <x:v>ETV courses</x:v>
      </x:c>
      <x:c r="E2312" s="10" t="n">
        <x:v>19</x:v>
      </x:c>
      <x:c r="F2312" s="21" t="n">
        <x:f>F2184*(1+'Assumptions'!$M$30)</x:f>
        <x:v>476.19519884232665</x:v>
      </x:c>
      <x:c r="G2312" s="21" t="n">
        <x:f>H2184*'Assumptions'!$K$30</x:f>
        <x:v>152.62666624564338</x:v>
      </x:c>
      <x:c r="H2312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2312+G2312,NA())</x:f>
        <x:v>628.8218650879701</x:v>
      </x:c>
      <x:c r="I2312" s="22" t="n">
        <x:f>'Assumptions'!$H$30*IF('Assumptions'!$O$30=1,1,'Assumptions'!$D$10)*(1+'Assumptions'!$N$30)^(19-1)</x:f>
        <x:v>29</x:v>
      </x:c>
      <x:c r="J2312" s="10" t="n">
        <x:f>H2312*I2312</x:f>
        <x:v>18235.83408755113</x:v>
      </x:c>
      <x:c r="K2312" s="10" t="n">
        <x:f>J2312*'Assumptions'!$T$30</x:f>
        <x:v>18235.83408755113</x:v>
      </x:c>
      <x:c r="L2312" s="10" t="n">
        <x:f>K2312*'Assumptions'!$U$30</x:f>
        <x:v>547.075022626534</x:v>
      </x:c>
      <x:c r="M2312" s="10" t="n">
        <x:f>K2312*'Assumptions'!$V$30</x:f>
        <x:v>0</x:v>
      </x:c>
      <x:c r="N2312" s="10" t="n">
        <x:f>K2312-L2312-M2312</x:f>
        <x:v>17688.759064924598</x:v>
      </x:c>
      <x:c r="O2312" s="10" t="n">
        <x:f>H2312*'Assumptions'!$P$30*'Assumptions'!$Q$30*'Assumptions'!$D$11*(1+'Assumptions'!$D$13)^(19-1)</x:f>
        <x:v>5620.267446970571</x:v>
      </x:c>
      <x:c r="P2312" s="10" t="n">
        <x:f>H2312*'Assumptions'!$R$30*'Assumptions'!$D$11*(1+'Assumptions'!$D$13)^(19-1)</x:f>
        <x:v>0</x:v>
      </x:c>
      <x:c r="Q2312" s="10" t="n">
        <x:f>J2312*'Assumptions'!$S$30</x:f>
        <x:v>0</x:v>
      </x:c>
      <x:c r="R2312" s="10" t="n">
        <x:f>H2312*'Assumptions'!$Y$30*'Assumptions'!$Z$30*'Assumptions'!$D$11*(1+'Assumptions'!$D$13)^(19-1)</x:f>
        <x:v>3211.581398268898</x:v>
      </x:c>
      <x:c r="S2312" s="10" t="n">
        <x:f>IF(I2312=0,0,J2312*'Assumptions'!$W$30+H2312*'Assumptions'!$X$30)</x:f>
        <x:v>717.4857480653739</x:v>
      </x:c>
      <x:c r="T2312" s="10" t="n">
        <x:f>N2312*'Assumptions'!$AA$30</x:f>
        <x:v>884.4379532462299</x:v>
      </x:c>
      <x:c r="U2312" s="10" t="n">
        <x:f>'Assumptions'!$AE$30*'Assumptions'!$D$11*(1+'Assumptions'!$D$13)^(19-1)</x:f>
        <x:v>0</x:v>
      </x:c>
      <x:c r="V2312" s="10" t="n">
        <x:f>0</x:f>
        <x:v>0</x:v>
      </x:c>
      <x:c r="W2312" s="10" t="n">
        <x:f>H2312*('Assumptions'!$P$30+'Assumptions'!$Y$30)</x:f>
        <x:v>157.20546627199252</x:v>
      </x:c>
      <x:c r="X2312" s="10" t="n">
        <x:f>N2312/12*'Assumptions'!$AF$30</x:f>
        <x:v>0</x:v>
      </x:c>
      <x:c r="Y2312" s="10" t="n">
        <x:f>P2312/12</x:f>
        <x:v>0</x:v>
      </x:c>
      <x:c r="Z2312" s="10" t="n">
        <x:f>0</x:f>
        <x:v>0</x:v>
      </x:c>
      <x:c r="AA2312" s="10" t="n">
        <x:f>Z2312*'Assumptions'!$AC$30*'Assumptions'!$D$11*(1+'Assumptions'!$D$13)^(19-1)</x:f>
        <x:v>0</x:v>
      </x:c>
      <x:c r="AB2312" s="10" t="n">
        <x:f>F2312/1</x:f>
        <x:v>476.19519884232665</x:v>
      </x:c>
      <x:c r="AC2312" s="10" t="n">
        <x:f>AB2312/'Assumptions'!$AM$30</x:f>
        <x:v>9523.903976846532</x:v>
      </x:c>
      <x:c r="AD2312" s="10" t="n">
        <x:f>IF(AB2312=0,0,T2312/AB2312)</x:f>
        <x:v>1.8573012819036774</x:v>
      </x:c>
      <x:c r="AE2312" s="10" t="n">
        <x:f>AA2312*'Assumptions'!$D$21</x:f>
        <x:v>0</x:v>
      </x:c>
    </x:row>
    <x:row r="2313" ht="16" customHeight="1">
      <x:c r="A2313" s="1"/>
      <x:c r="B2313" s="1"/>
      <x:c r="C2313" s="1" t="str">
        <x:v>DOT-002</x:v>
      </x:c>
      <x:c r="D2313" s="10" t="str">
        <x:v>ETV courses</x:v>
      </x:c>
      <x:c r="E2313" s="10" t="n">
        <x:v>19</x:v>
      </x:c>
      <x:c r="F2313" s="21" t="n">
        <x:f>F2185*(1+'Assumptions'!$M$31)</x:f>
        <x:v>753.9757315003507</x:v>
      </x:c>
      <x:c r="G2313" s="21" t="n">
        <x:f>H2185*'Assumptions'!$K$31</x:f>
        <x:v>241.6588882222687</x:v>
      </x:c>
      <x:c r="H2313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2313+G2313,NA())</x:f>
        <x:v>995.6346197226194</x:v>
      </x:c>
      <x:c r="I2313" s="22" t="n">
        <x:f>'Assumptions'!$H$31*IF('Assumptions'!$O$31=1,1,'Assumptions'!$D$10)*(1+'Assumptions'!$N$31)^(19-1)</x:f>
        <x:v>55.70160365547466</x:v>
      </x:c>
      <x:c r="J2313" s="10" t="n">
        <x:f>H2313*I2313</x:f>
        <x:v>55458.44497345858</x:v>
      </x:c>
      <x:c r="K2313" s="10" t="n">
        <x:f>J2313*'Assumptions'!$T$31</x:f>
        <x:v>55458.44497345858</x:v>
      </x:c>
      <x:c r="L2313" s="10" t="n">
        <x:f>K2313*'Assumptions'!$U$31</x:f>
        <x:v>1663.7533492037574</x:v>
      </x:c>
      <x:c r="M2313" s="10" t="n">
        <x:f>K2313*'Assumptions'!$V$31</x:f>
        <x:v>0</x:v>
      </x:c>
      <x:c r="N2313" s="10" t="n">
        <x:f>K2313-L2313-M2313</x:f>
        <x:v>53794.691624254825</x:v>
      </x:c>
      <x:c r="O2313" s="10" t="n">
        <x:f>H2313*'Assumptions'!$P$31*'Assumptions'!$Q$31*'Assumptions'!$D$11*(1+'Assumptions'!$D$13)^(19-1)</x:f>
        <x:v>8898.756791036738</x:v>
      </x:c>
      <x:c r="P2313" s="10" t="n">
        <x:f>H2313*'Assumptions'!$R$31*'Assumptions'!$D$11*(1+'Assumptions'!$D$13)^(19-1)</x:f>
        <x:v>0</x:v>
      </x:c>
      <x:c r="Q2313" s="10" t="n">
        <x:f>J2313*'Assumptions'!$S$31</x:f>
        <x:v>0</x:v>
      </x:c>
      <x:c r="R2313" s="10" t="n">
        <x:f>H2313*'Assumptions'!$Y$31*'Assumptions'!$Z$31*'Assumptions'!$D$11*(1+'Assumptions'!$D$13)^(19-1)</x:f>
        <x:v>5085.003880592422</x:v>
      </x:c>
      <x:c r="S2313" s="10" t="n">
        <x:f>IF(I2313=0,0,J2313*'Assumptions'!$W$31+H2313*'Assumptions'!$X$31)</x:f>
        <x:v>1906.9852901470847</x:v>
      </x:c>
      <x:c r="T2313" s="10" t="n">
        <x:f>N2313*'Assumptions'!$AA$31</x:f>
        <x:v>2689.7345812127414</x:v>
      </x:c>
      <x:c r="U2313" s="10" t="n">
        <x:f>'Assumptions'!$AE$31*'Assumptions'!$D$11*(1+'Assumptions'!$D$13)^(19-1)</x:f>
        <x:v>0</x:v>
      </x:c>
      <x:c r="V2313" s="10" t="n">
        <x:f>0</x:f>
        <x:v>0</x:v>
      </x:c>
      <x:c r="W2313" s="10" t="n">
        <x:f>H2313*('Assumptions'!$P$31+'Assumptions'!$Y$31)</x:f>
        <x:v>248.90865493065485</x:v>
      </x:c>
      <x:c r="X2313" s="10" t="n">
        <x:f>N2313/12*'Assumptions'!$AF$31</x:f>
        <x:v>0</x:v>
      </x:c>
      <x:c r="Y2313" s="10" t="n">
        <x:f>P2313/12</x:f>
        <x:v>0</x:v>
      </x:c>
      <x:c r="Z2313" s="10" t="n">
        <x:f>0</x:f>
        <x:v>0</x:v>
      </x:c>
      <x:c r="AA2313" s="10" t="n">
        <x:f>Z2313*'Assumptions'!$AC$31*'Assumptions'!$D$11*(1+'Assumptions'!$D$13)^(19-1)</x:f>
        <x:v>0</x:v>
      </x:c>
      <x:c r="AB2313" s="10" t="n">
        <x:f>F2313/1</x:f>
        <x:v>753.9757315003507</x:v>
      </x:c>
      <x:c r="AC2313" s="10" t="n">
        <x:f>AB2313/'Assumptions'!$AM$31</x:f>
        <x:v>15079.514630007012</x:v>
      </x:c>
      <x:c r="AD2313" s="10" t="n">
        <x:f>IF(AB2313=0,0,T2313/AB2313)</x:f>
        <x:v>3.567402064600126</x:v>
      </x:c>
      <x:c r="AE2313" s="10" t="n">
        <x:f>AA2313*'Assumptions'!$D$21</x:f>
        <x:v>0</x:v>
      </x:c>
    </x:row>
    <x:row r="2314" ht="16" customHeight="1">
      <x:c r="A2314" s="1"/>
      <x:c r="B2314" s="1"/>
      <x:c r="C2314" s="1" t="str">
        <x:v>DOT-003</x:v>
      </x:c>
      <x:c r="D2314" s="10" t="str">
        <x:v>ETV services</x:v>
      </x:c>
      <x:c r="E2314" s="10" t="n">
        <x:v>19</x:v>
      </x:c>
      <x:c r="F2314" s="21" t="n">
        <x:f>F2186*(1+'Assumptions'!$M$32)</x:f>
        <x:v>13.287495696962221</x:v>
      </x:c>
      <x:c r="G2314" s="21" t="n">
        <x:f>H2186*'Assumptions'!$K$32</x:f>
        <x:v>12.535318101359184</x:v>
      </x:c>
      <x:c r="H2314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2314+G2314,NA())</x:f>
        <x:v>25.822813798321405</x:v>
      </x:c>
      <x:c r="I2314" s="22" t="n">
        <x:f>'Assumptions'!$H$32*IF('Assumptions'!$O$32=1,1,'Assumptions'!$D$10)*(1+'Assumptions'!$N$32)^(19-1)</x:f>
        <x:v>2499.4309332584785</x:v>
      </x:c>
      <x:c r="J2314" s="10" t="n">
        <x:f>H2314*I2314</x:f>
        <x:v>64542.33959129838</x:v>
      </x:c>
      <x:c r="K2314" s="10" t="n">
        <x:f>J2314*'Assumptions'!$T$32</x:f>
        <x:v>64542.33959129838</x:v>
      </x:c>
      <x:c r="L2314" s="10" t="n">
        <x:f>K2314*'Assumptions'!$U$32</x:f>
        <x:v>1936.2701877389513</x:v>
      </x:c>
      <x:c r="M2314" s="10" t="n">
        <x:f>K2314*'Assumptions'!$V$32</x:f>
        <x:v>0</x:v>
      </x:c>
      <x:c r="N2314" s="10" t="n">
        <x:f>K2314-L2314-M2314</x:f>
        <x:v>62606.069403559435</x:v>
      </x:c>
      <x:c r="O2314" s="10" t="n">
        <x:f>H2314*'Assumptions'!$P$32*'Assumptions'!$Q$32*'Assumptions'!$D$11*(1+'Assumptions'!$D$13)^(19-1)</x:f>
        <x:v>39565.450750053926</x:v>
      </x:c>
      <x:c r="P2314" s="10" t="n">
        <x:f>H2314*'Assumptions'!$R$32*'Assumptions'!$D$11*(1+'Assumptions'!$D$13)^(19-1)</x:f>
        <x:v>1099.040298612609</x:v>
      </x:c>
      <x:c r="Q2314" s="10" t="n">
        <x:f>J2314*'Assumptions'!$S$32</x:f>
        <x:v>0</x:v>
      </x:c>
      <x:c r="R2314" s="10" t="n">
        <x:f>H2314*'Assumptions'!$Y$32*'Assumptions'!$Z$32*'Assumptions'!$D$11*(1+'Assumptions'!$D$13)^(19-1)</x:f>
        <x:v>329.7120895837827</x:v>
      </x:c>
      <x:c r="S2314" s="10" t="n">
        <x:f>IF(I2314=0,0,J2314*'Assumptions'!$W$32+H2314*'Assumptions'!$X$32)</x:f>
        <x:v>1879.4746922871498</x:v>
      </x:c>
      <x:c r="T2314" s="10" t="n">
        <x:f>N2314*'Assumptions'!$AA$32</x:f>
        <x:v>2504.2427761423774</x:v>
      </x:c>
      <x:c r="U2314" s="10" t="n">
        <x:f>'Assumptions'!$AE$32*'Assumptions'!$D$11*(1+'Assumptions'!$D$13)^(19-1)</x:f>
        <x:v>0</x:v>
      </x:c>
      <x:c r="V2314" s="10" t="n">
        <x:f>0</x:f>
        <x:v>0</x:v>
      </x:c>
      <x:c r="W2314" s="10" t="n">
        <x:f>H2314*('Assumptions'!$P$32+'Assumptions'!$Y$32)</x:f>
        <x:v>522.9119794160084</x:v>
      </x:c>
      <x:c r="X2314" s="10" t="n">
        <x:f>N2314/12*'Assumptions'!$AF$32</x:f>
        <x:v>5217.17245029662</x:v>
      </x:c>
      <x:c r="Y2314" s="10" t="n">
        <x:f>P2314/12</x:f>
        <x:v>91.58669155105075</x:v>
      </x:c>
      <x:c r="Z2314" s="10" t="n">
        <x:f>0</x:f>
        <x:v>0</x:v>
      </x:c>
      <x:c r="AA2314" s="10" t="n">
        <x:f>Z2314*'Assumptions'!$AC$32*'Assumptions'!$D$11*(1+'Assumptions'!$D$13)^(19-1)</x:f>
        <x:v>0</x:v>
      </x:c>
      <x:c r="AB2314" s="10" t="n">
        <x:f>F2314/1</x:f>
        <x:v>13.287495696962221</x:v>
      </x:c>
      <x:c r="AC2314" s="10" t="n">
        <x:f>AB2314/'Assumptions'!$AM$32</x:f>
        <x:v>66.4374784848111</x:v>
      </x:c>
      <x:c r="AD2314" s="10" t="n">
        <x:f>IF(AB2314=0,0,T2314/AB2314)</x:f>
        <x:v>188.46612132599944</x:v>
      </x:c>
      <x:c r="AE2314" s="10" t="n">
        <x:f>AA2314*'Assumptions'!$D$21</x:f>
        <x:v>0</x:v>
      </x:c>
    </x:row>
    <x:row r="2315" ht="16" customHeight="1">
      <x:c r="A2315" s="1"/>
      <x:c r="B2315" s="1"/>
      <x:c r="C2315" s="1" t="str">
        <x:v>DOT-004</x:v>
      </x:c>
      <x:c r="D2315" s="10" t="str">
        <x:v>ETV services</x:v>
      </x:c>
      <x:c r="E2315" s="10" t="n">
        <x:v>19</x:v>
      </x:c>
      <x:c r="F2315" s="21" t="n">
        <x:f>F2187*(1+'Assumptions'!$M$33)</x:f>
        <x:v>8.85833046464148</x:v>
      </x:c>
      <x:c r="G2315" s="21" t="n">
        <x:f>H2187*'Assumptions'!$K$33</x:f>
        <x:v>8.356878734239457</x:v>
      </x:c>
      <x:c r="H2315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2315+G2315,NA())</x:f>
        <x:v>17.215209198880935</x:v>
      </x:c>
      <x:c r="I2315" s="22" t="n">
        <x:f>'Assumptions'!$H$33*IF('Assumptions'!$O$33=1,1,'Assumptions'!$D$10)*(1+'Assumptions'!$N$33)^(19-1)</x:f>
        <x:v>3570.6156189406834</x:v>
      </x:c>
      <x:c r="J2315" s="10" t="n">
        <x:f>H2315*I2315</x:f>
        <x:v>61468.89484885559</x:v>
      </x:c>
      <x:c r="K2315" s="10" t="n">
        <x:f>J2315*'Assumptions'!$T$33</x:f>
        <x:v>61468.89484885559</x:v>
      </x:c>
      <x:c r="L2315" s="10" t="n">
        <x:f>K2315*'Assumptions'!$U$33</x:f>
        <x:v>1844.0668454656677</x:v>
      </x:c>
      <x:c r="M2315" s="10" t="n">
        <x:f>K2315*'Assumptions'!$V$33</x:f>
        <x:v>0</x:v>
      </x:c>
      <x:c r="N2315" s="10" t="n">
        <x:f>K2315-L2315-M2315</x:f>
        <x:v>59624.82800338992</x:v>
      </x:c>
      <x:c r="O2315" s="10" t="n">
        <x:f>H2315*'Assumptions'!$P$33*'Assumptions'!$Q$33*'Assumptions'!$D$11*(1+'Assumptions'!$D$13)^(19-1)</x:f>
        <x:v>39565.45075005392</x:v>
      </x:c>
      <x:c r="P2315" s="10" t="n">
        <x:f>H2315*'Assumptions'!$R$33*'Assumptions'!$D$11*(1+'Assumptions'!$D$13)^(19-1)</x:f>
        <x:v>732.6935324084059</x:v>
      </x:c>
      <x:c r="Q2315" s="10" t="n">
        <x:f>J2315*'Assumptions'!$S$33</x:f>
        <x:v>0</x:v>
      </x:c>
      <x:c r="R2315" s="10" t="n">
        <x:f>H2315*'Assumptions'!$Y$33*'Assumptions'!$Z$33*'Assumptions'!$D$11*(1+'Assumptions'!$D$13)^(19-1)</x:f>
        <x:v>219.80805972252176</x:v>
      </x:c>
      <x:c r="S2315" s="10" t="n">
        <x:f>IF(I2315=0,0,J2315*'Assumptions'!$W$33+H2315*'Assumptions'!$X$33)</x:f>
        <x:v>1787.7625133764764</x:v>
      </x:c>
      <x:c r="T2315" s="10" t="n">
        <x:f>N2315*'Assumptions'!$AA$33</x:f>
        <x:v>2384.993120135597</x:v>
      </x:c>
      <x:c r="U2315" s="10" t="n">
        <x:f>'Assumptions'!$AE$33*'Assumptions'!$D$11*(1+'Assumptions'!$D$13)^(19-1)</x:f>
        <x:v>0</x:v>
      </x:c>
      <x:c r="V2315" s="10" t="n">
        <x:f>0</x:f>
        <x:v>0</x:v>
      </x:c>
      <x:c r="W2315" s="10" t="n">
        <x:f>H2315*('Assumptions'!$P$33+'Assumptions'!$Y$33)</x:f>
        <x:v>520.7600782661483</x:v>
      </x:c>
      <x:c r="X2315" s="10" t="n">
        <x:f>N2315/12*'Assumptions'!$AF$33</x:f>
        <x:v>4968.73566694916</x:v>
      </x:c>
      <x:c r="Y2315" s="10" t="n">
        <x:f>P2315/12</x:f>
        <x:v>61.05779436736716</x:v>
      </x:c>
      <x:c r="Z2315" s="10" t="n">
        <x:f>0</x:f>
        <x:v>0</x:v>
      </x:c>
      <x:c r="AA2315" s="10" t="n">
        <x:f>Z2315*'Assumptions'!$AC$33*'Assumptions'!$D$11*(1+'Assumptions'!$D$13)^(19-1)</x:f>
        <x:v>0</x:v>
      </x:c>
      <x:c r="AB2315" s="10" t="n">
        <x:f>F2315/1</x:f>
        <x:v>8.85833046464148</x:v>
      </x:c>
      <x:c r="AC2315" s="10" t="n">
        <x:f>AB2315/'Assumptions'!$AM$33</x:f>
        <x:v>44.291652323207394</x:v>
      </x:c>
      <x:c r="AD2315" s="10" t="n">
        <x:f>IF(AB2315=0,0,T2315/AB2315)</x:f>
        <x:v>269.2373161799992</x:v>
      </x:c>
      <x:c r="AE2315" s="10" t="n">
        <x:f>AA2315*'Assumptions'!$D$21</x:f>
        <x:v>0</x:v>
      </x:c>
    </x:row>
    <x:row r="2316" ht="16" customHeight="1">
      <x:c r="A2316" s="1"/>
      <x:c r="B2316" s="1"/>
      <x:c r="C2316" s="1" t="str">
        <x:v>DOT-005</x:v>
      </x:c>
      <x:c r="D2316" s="10" t="str">
        <x:v>ETV services</x:v>
      </x:c>
      <x:c r="E2316" s="10" t="n">
        <x:v>19</x:v>
      </x:c>
      <x:c r="F2316" s="21" t="n">
        <x:f>F2188*(1+'Assumptions'!$M$34)</x:f>
        <x:v>8.85833046464148</x:v>
      </x:c>
      <x:c r="G2316" s="21" t="n">
        <x:f>H2188*'Assumptions'!$K$34</x:f>
        <x:v>8.356878734239457</x:v>
      </x:c>
      <x:c r="H2316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2316+G2316,NA())</x:f>
        <x:v>17.215209198880935</x:v>
      </x:c>
      <x:c r="I2316" s="22" t="n">
        <x:f>'Assumptions'!$H$34*IF('Assumptions'!$O$34=1,1,'Assumptions'!$D$10)*(1+'Assumptions'!$N$34)^(19-1)</x:f>
        <x:v>2142.36937136441</x:v>
      </x:c>
      <x:c r="J2316" s="10" t="n">
        <x:f>H2316*I2316</x:f>
        <x:v>36881.33690931336</x:v>
      </x:c>
      <x:c r="K2316" s="10" t="n">
        <x:f>J2316*'Assumptions'!$T$34</x:f>
        <x:v>36881.33690931336</x:v>
      </x:c>
      <x:c r="L2316" s="10" t="n">
        <x:f>K2316*'Assumptions'!$U$34</x:f>
        <x:v>1106.4401072794008</x:v>
      </x:c>
      <x:c r="M2316" s="10" t="n">
        <x:f>K2316*'Assumptions'!$V$34</x:f>
        <x:v>0</x:v>
      </x:c>
      <x:c r="N2316" s="10" t="n">
        <x:f>K2316-L2316-M2316</x:f>
        <x:v>35774.89680203396</x:v>
      </x:c>
      <x:c r="O2316" s="10" t="n">
        <x:f>H2316*'Assumptions'!$P$34*'Assumptions'!$Q$34*'Assumptions'!$D$11*(1+'Assumptions'!$D$13)^(19-1)</x:f>
        <x:v>23739.27045003235</x:v>
      </x:c>
      <x:c r="P2316" s="10" t="n">
        <x:f>H2316*'Assumptions'!$R$34*'Assumptions'!$D$11*(1+'Assumptions'!$D$13)^(19-1)</x:f>
        <x:v>732.6935324084059</x:v>
      </x:c>
      <x:c r="Q2316" s="10" t="n">
        <x:f>J2316*'Assumptions'!$S$34</x:f>
        <x:v>0</x:v>
      </x:c>
      <x:c r="R2316" s="10" t="n">
        <x:f>H2316*'Assumptions'!$Y$34*'Assumptions'!$Z$34*'Assumptions'!$D$11*(1+'Assumptions'!$D$13)^(19-1)</x:f>
        <x:v>219.80805972252176</x:v>
      </x:c>
      <x:c r="S2316" s="10" t="n">
        <x:f>IF(I2316=0,0,J2316*'Assumptions'!$W$34+H2316*'Assumptions'!$X$34)</x:f>
        <x:v>1074.7233331297516</x:v>
      </x:c>
      <x:c r="T2316" s="10" t="n">
        <x:f>N2316*'Assumptions'!$AA$34</x:f>
        <x:v>1430.9958720813584</x:v>
      </x:c>
      <x:c r="U2316" s="10" t="n">
        <x:f>'Assumptions'!$AE$34*'Assumptions'!$D$11*(1+'Assumptions'!$D$13)^(19-1)</x:f>
        <x:v>0</x:v>
      </x:c>
      <x:c r="V2316" s="10" t="n">
        <x:f>0</x:f>
        <x:v>0</x:v>
      </x:c>
      <x:c r="W2316" s="10" t="n">
        <x:f>H2316*('Assumptions'!$P$34+'Assumptions'!$Y$34)</x:f>
        <x:v>314.17756787957705</x:v>
      </x:c>
      <x:c r="X2316" s="10" t="n">
        <x:f>N2316/12*'Assumptions'!$AF$34</x:f>
        <x:v>2981.2414001694965</x:v>
      </x:c>
      <x:c r="Y2316" s="10" t="n">
        <x:f>P2316/12</x:f>
        <x:v>61.05779436736716</x:v>
      </x:c>
      <x:c r="Z2316" s="10" t="n">
        <x:f>0</x:f>
        <x:v>0</x:v>
      </x:c>
      <x:c r="AA2316" s="10" t="n">
        <x:f>Z2316*'Assumptions'!$AC$34*'Assumptions'!$D$11*(1+'Assumptions'!$D$13)^(19-1)</x:f>
        <x:v>0</x:v>
      </x:c>
      <x:c r="AB2316" s="10" t="n">
        <x:f>F2316/1</x:f>
        <x:v>8.85833046464148</x:v>
      </x:c>
      <x:c r="AC2316" s="10" t="n">
        <x:f>AB2316/'Assumptions'!$AM$34</x:f>
        <x:v>44.291652323207394</x:v>
      </x:c>
      <x:c r="AD2316" s="10" t="n">
        <x:f>IF(AB2316=0,0,T2316/AB2316)</x:f>
        <x:v>161.54238970799952</x:v>
      </x:c>
      <x:c r="AE2316" s="10" t="n">
        <x:f>AA2316*'Assumptions'!$D$21</x:f>
        <x:v>0</x:v>
      </x:c>
    </x:row>
    <x:row r="2317" ht="16" customHeight="1">
      <x:c r="A2317" s="1"/>
      <x:c r="B2317" s="1"/>
      <x:c r="C2317" s="1" t="str">
        <x:v>DOT-006</x:v>
      </x:c>
      <x:c r="D2317" s="10" t="str">
        <x:v>ETV services</x:v>
      </x:c>
      <x:c r="E2317" s="10" t="n">
        <x:v>19</x:v>
      </x:c>
      <x:c r="F2317" s="21" t="n">
        <x:f>F2189*(1+'Assumptions'!$M$35)</x:f>
        <x:v>13.287495696962221</x:v>
      </x:c>
      <x:c r="G2317" s="21" t="n">
        <x:f>H2189*'Assumptions'!$K$35</x:f>
        <x:v>12.535318101359184</x:v>
      </x:c>
      <x:c r="H2317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2317+G2317,NA())</x:f>
        <x:v>25.822813798321405</x:v>
      </x:c>
      <x:c r="I2317" s="22" t="n">
        <x:f>'Assumptions'!$H$35*IF('Assumptions'!$O$35=1,1,'Assumptions'!$D$10)*(1+'Assumptions'!$N$35)^(19-1)</x:f>
        <x:v>1071.184685682205</x:v>
      </x:c>
      <x:c r="J2317" s="10" t="n">
        <x:f>H2317*I2317</x:f>
        <x:v>27661.002681985025</x:v>
      </x:c>
      <x:c r="K2317" s="10" t="n">
        <x:f>J2317*'Assumptions'!$T$35</x:f>
        <x:v>27661.002681985025</x:v>
      </x:c>
      <x:c r="L2317" s="10" t="n">
        <x:f>K2317*'Assumptions'!$U$35</x:f>
        <x:v>829.8300804595507</x:v>
      </x:c>
      <x:c r="M2317" s="10" t="n">
        <x:f>K2317*'Assumptions'!$V$35</x:f>
        <x:v>0</x:v>
      </x:c>
      <x:c r="N2317" s="10" t="n">
        <x:f>K2317-L2317-M2317</x:f>
        <x:v>26831.172601525475</x:v>
      </x:c>
      <x:c r="O2317" s="10" t="n">
        <x:f>H2317*'Assumptions'!$P$35*'Assumptions'!$Q$35*'Assumptions'!$D$11*(1+'Assumptions'!$D$13)^(19-1)</x:f>
        <x:v>15826.18030002157</x:v>
      </x:c>
      <x:c r="P2317" s="10" t="n">
        <x:f>H2317*'Assumptions'!$R$35*'Assumptions'!$D$11*(1+'Assumptions'!$D$13)^(19-1)</x:f>
        <x:v>1099.040298612609</x:v>
      </x:c>
      <x:c r="Q2317" s="10" t="n">
        <x:f>J2317*'Assumptions'!$S$35</x:f>
        <x:v>0</x:v>
      </x:c>
      <x:c r="R2317" s="10" t="n">
        <x:f>H2317*'Assumptions'!$Y$35*'Assumptions'!$Z$35*'Assumptions'!$D$11*(1+'Assumptions'!$D$13)^(19-1)</x:f>
        <x:v>329.7120895837827</x:v>
      </x:c>
      <x:c r="S2317" s="10" t="n">
        <x:f>IF(I2317=0,0,J2317*'Assumptions'!$W$35+H2317*'Assumptions'!$X$35)</x:f>
        <x:v>809.9159219170622</x:v>
      </x:c>
      <x:c r="T2317" s="10" t="n">
        <x:f>N2317*'Assumptions'!$AA$35</x:f>
        <x:v>1073.246904061019</x:v>
      </x:c>
      <x:c r="U2317" s="10" t="n">
        <x:f>'Assumptions'!$AE$35*'Assumptions'!$D$11*(1+'Assumptions'!$D$13)^(19-1)</x:f>
        <x:v>0</x:v>
      </x:c>
      <x:c r="V2317" s="10" t="n">
        <x:f>0</x:f>
        <x:v>0</x:v>
      </x:c>
      <x:c r="W2317" s="10" t="n">
        <x:f>H2317*('Assumptions'!$P$35+'Assumptions'!$Y$35)</x:f>
        <x:v>213.03821383615158</x:v>
      </x:c>
      <x:c r="X2317" s="10" t="n">
        <x:f>N2317/12*'Assumptions'!$AF$35</x:f>
        <x:v>2235.931050127123</x:v>
      </x:c>
      <x:c r="Y2317" s="10" t="n">
        <x:f>P2317/12</x:f>
        <x:v>91.58669155105075</x:v>
      </x:c>
      <x:c r="Z2317" s="10" t="n">
        <x:f>0</x:f>
        <x:v>0</x:v>
      </x:c>
      <x:c r="AA2317" s="10" t="n">
        <x:f>Z2317*'Assumptions'!$AC$35*'Assumptions'!$D$11*(1+'Assumptions'!$D$13)^(19-1)</x:f>
        <x:v>0</x:v>
      </x:c>
      <x:c r="AB2317" s="10" t="n">
        <x:f>F2317/1</x:f>
        <x:v>13.287495696962221</x:v>
      </x:c>
      <x:c r="AC2317" s="10" t="n">
        <x:f>AB2317/'Assumptions'!$AM$35</x:f>
        <x:v>66.4374784848111</x:v>
      </x:c>
      <x:c r="AD2317" s="10" t="n">
        <x:f>IF(AB2317=0,0,T2317/AB2317)</x:f>
        <x:v>80.77119485399977</x:v>
      </x:c>
      <x:c r="AE2317" s="10" t="n">
        <x:f>AA2317*'Assumptions'!$D$21</x:f>
        <x:v>0</x:v>
      </x:c>
    </x:row>
    <x:row r="2318" ht="16" customHeight="1">
      <x:c r="A2318" s="1"/>
      <x:c r="B2318" s="1"/>
      <x:c r="C2318" s="1" t="str">
        <x:v>DOT-007</x:v>
      </x:c>
      <x:c r="D2318" s="10" t="str">
        <x:v>BPA professional services</x:v>
      </x:c>
      <x:c r="E2318" s="10" t="n">
        <x:v>19</x:v>
      </x:c>
      <x:c r="F2318" s="21" t="n">
        <x:f>F2190*(1+'Assumptions'!$M$36)</x:f>
        <x:v>53.149982787848884</x:v>
      </x:c>
      <x:c r="G2318" s="21" t="n">
        <x:f>H2190*'Assumptions'!$K$36</x:f>
        <x:v>50.14122662906955</x:v>
      </x:c>
      <x:c r="H2318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2318+G2318,NA())</x:f>
        <x:v>103.29120941691843</x:v>
      </x:c>
      <x:c r="I2318" s="22" t="n">
        <x:f>'Assumptions'!$H$36*IF('Assumptions'!$O$36=1,1,'Assumptions'!$D$10)*(1+'Assumptions'!$N$36)^(19-1)</x:f>
        <x:v>250</x:v>
      </x:c>
      <x:c r="J2318" s="10" t="n">
        <x:f>H2318*I2318</x:f>
        <x:v>25822.802354229607</x:v>
      </x:c>
      <x:c r="K2318" s="10" t="n">
        <x:f>J2318*'Assumptions'!$T$36</x:f>
        <x:v>25822.802354229607</x:v>
      </x:c>
      <x:c r="L2318" s="10" t="n">
        <x:f>K2318*'Assumptions'!$U$36</x:f>
        <x:v>774.6840706268882</x:v>
      </x:c>
      <x:c r="M2318" s="10" t="n">
        <x:f>K2318*'Assumptions'!$V$36</x:f>
        <x:v>0</x:v>
      </x:c>
      <x:c r="N2318" s="10" t="n">
        <x:f>K2318-L2318-M2318</x:f>
        <x:v>25048.11828360272</x:v>
      </x:c>
      <x:c r="O2318" s="10" t="n">
        <x:f>H2318*'Assumptions'!$P$36*'Assumptions'!$Q$36*'Assumptions'!$D$11*(1+'Assumptions'!$D$13)^(19-1)</x:f>
        <x:v>8788.801564943888</x:v>
      </x:c>
      <x:c r="P2318" s="10" t="n">
        <x:f>H2318*'Assumptions'!$R$36*'Assumptions'!$D$11*(1+'Assumptions'!$D$13)^(19-1)</x:f>
        <x:v>1758.4636984681654</x:v>
      </x:c>
      <x:c r="Q2318" s="10" t="n">
        <x:f>J2318*'Assumptions'!$S$36</x:f>
        <x:v>0</x:v>
      </x:c>
      <x:c r="R2318" s="10" t="n">
        <x:f>H2318*'Assumptions'!$Y$36*'Assumptions'!$Z$36*'Assumptions'!$D$11*(1+'Assumptions'!$D$13)^(19-1)</x:f>
        <x:v>1318.8477738511237</x:v>
      </x:c>
      <x:c r="S2318" s="10" t="n">
        <x:f>IF(I2318=0,0,J2318*'Assumptions'!$W$36+H2318*'Assumptions'!$X$36)</x:f>
        <x:v>779.8486310977341</x:v>
      </x:c>
      <x:c r="T2318" s="10" t="n">
        <x:f>N2318*'Assumptions'!$AA$36</x:f>
        <x:v>1001.9247313441087</x:v>
      </x:c>
      <x:c r="U2318" s="10" t="n">
        <x:f>'Assumptions'!$AE$36*'Assumptions'!$D$11*(1+'Assumptions'!$D$13)^(19-1)</x:f>
        <x:v>0</x:v>
      </x:c>
      <x:c r="V2318" s="10" t="n">
        <x:f>0</x:f>
        <x:v>0</x:v>
      </x:c>
      <x:c r="W2318" s="10" t="n">
        <x:f>H2318*('Assumptions'!$P$36+'Assumptions'!$Y$36)</x:f>
        <x:v>111.86437979852266</x:v>
      </x:c>
      <x:c r="X2318" s="10" t="n">
        <x:f>N2318/12*'Assumptions'!$AF$36</x:f>
        <x:v>2087.3431903002265</x:v>
      </x:c>
      <x:c r="Y2318" s="10" t="n">
        <x:f>P2318/12</x:f>
        <x:v>146.53864153901378</x:v>
      </x:c>
      <x:c r="Z2318" s="10" t="n">
        <x:f>0</x:f>
        <x:v>0</x:v>
      </x:c>
      <x:c r="AA2318" s="10" t="n">
        <x:f>Z2318*'Assumptions'!$AC$36*'Assumptions'!$D$11*(1+'Assumptions'!$D$13)^(19-1)</x:f>
        <x:v>0</x:v>
      </x:c>
      <x:c r="AB2318" s="10" t="n">
        <x:f>F2318/1</x:f>
        <x:v>53.149982787848884</x:v>
      </x:c>
      <x:c r="AC2318" s="10" t="n">
        <x:f>AB2318/'Assumptions'!$AM$36</x:f>
        <x:v>265.7499139392444</x:v>
      </x:c>
      <x:c r="AD2318" s="10" t="n">
        <x:f>IF(AB2318=0,0,T2318/AB2318)</x:f>
        <x:v>18.850894747103627</x:v>
      </x:c>
      <x:c r="AE2318" s="10" t="n">
        <x:f>AA2318*'Assumptions'!$D$21</x:f>
        <x:v>0</x:v>
      </x:c>
    </x:row>
    <x:row r="2319" ht="16" customHeight="1">
      <x:c r="A2319" s="1"/>
      <x:c r="B2319" s="1"/>
      <x:c r="C2319" s="1" t="str">
        <x:v>DOT-008</x:v>
      </x:c>
      <x:c r="D2319" s="10" t="str">
        <x:v>BPA professional services</x:v>
      </x:c>
      <x:c r="E2319" s="10" t="n">
        <x:v>19</x:v>
      </x:c>
      <x:c r="F2319" s="21" t="n">
        <x:f>F2191*(1+'Assumptions'!$M$37)</x:f>
        <x:v>19.93124354544332</x:v>
      </x:c>
      <x:c r="G2319" s="21" t="n">
        <x:f>H2191*'Assumptions'!$K$37</x:f>
        <x:v>18.802959985901072</x:v>
      </x:c>
      <x:c r="H2319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2319+G2319,NA())</x:f>
        <x:v>38.73420353134439</x:v>
      </x:c>
      <x:c r="I2319" s="22" t="n">
        <x:f>'Assumptions'!$H$37*IF('Assumptions'!$O$37=1,1,'Assumptions'!$D$10)*(1+'Assumptions'!$N$37)^(19-1)</x:f>
        <x:v>600</x:v>
      </x:c>
      <x:c r="J2319" s="10" t="n">
        <x:f>H2319*I2319</x:f>
        <x:v>23240.522118806635</x:v>
      </x:c>
      <x:c r="K2319" s="10" t="n">
        <x:f>J2319*'Assumptions'!$T$37</x:f>
        <x:v>23240.522118806635</x:v>
      </x:c>
      <x:c r="L2319" s="10" t="n">
        <x:f>K2319*'Assumptions'!$U$37</x:f>
        <x:v>697.2156635641991</x:v>
      </x:c>
      <x:c r="M2319" s="10" t="n">
        <x:f>K2319*'Assumptions'!$V$37</x:f>
        <x:v>0</x:v>
      </x:c>
      <x:c r="N2319" s="10" t="n">
        <x:f>K2319-L2319-M2319</x:f>
        <x:v>22543.306455242437</x:v>
      </x:c>
      <x:c r="O2319" s="10" t="n">
        <x:f>H2319*'Assumptions'!$P$37*'Assumptions'!$Q$37*'Assumptions'!$D$11*(1+'Assumptions'!$D$13)^(19-1)</x:f>
        <x:v>15826.173286213476</x:v>
      </x:c>
      <x:c r="P2319" s="10" t="n">
        <x:f>H2319*'Assumptions'!$R$37*'Assumptions'!$D$11*(1+'Assumptions'!$D$13)^(19-1)</x:f>
        <x:v>659.4238869255616</x:v>
      </x:c>
      <x:c r="Q2319" s="10" t="n">
        <x:f>J2319*'Assumptions'!$S$37</x:f>
        <x:v>0</x:v>
      </x:c>
      <x:c r="R2319" s="10" t="n">
        <x:f>H2319*'Assumptions'!$Y$37*'Assumptions'!$Z$37*'Assumptions'!$D$11*(1+'Assumptions'!$D$13)^(19-1)</x:f>
        <x:v>494.5679151941711</x:v>
      </x:c>
      <x:c r="S2319" s="10" t="n">
        <x:f>IF(I2319=0,0,J2319*'Assumptions'!$W$37+H2319*'Assumptions'!$X$37)</x:f>
        <x:v>685.5954025047957</x:v>
      </x:c>
      <x:c r="T2319" s="10" t="n">
        <x:f>N2319*'Assumptions'!$AA$37</x:f>
        <x:v>901.7322582096975</x:v>
      </x:c>
      <x:c r="U2319" s="10" t="n">
        <x:f>'Assumptions'!$AE$37*'Assumptions'!$D$11*(1+'Assumptions'!$D$13)^(19-1)</x:f>
        <x:v>0</x:v>
      </x:c>
      <x:c r="V2319" s="10" t="n">
        <x:f>0</x:f>
        <x:v>0</x:v>
      </x:c>
      <x:c r="W2319" s="10" t="n">
        <x:f>H2319*('Assumptions'!$P$37+'Assumptions'!$Y$37)</x:f>
        <x:v>164.62036500821367</x:v>
      </x:c>
      <x:c r="X2319" s="10" t="n">
        <x:f>N2319/12*'Assumptions'!$AF$37</x:f>
        <x:v>1878.608871270203</x:v>
      </x:c>
      <x:c r="Y2319" s="10" t="n">
        <x:f>P2319/12</x:f>
        <x:v>54.95199057713014</x:v>
      </x:c>
      <x:c r="Z2319" s="10" t="n">
        <x:f>0</x:f>
        <x:v>0</x:v>
      </x:c>
      <x:c r="AA2319" s="10" t="n">
        <x:f>Z2319*'Assumptions'!$AC$37*'Assumptions'!$D$11*(1+'Assumptions'!$D$13)^(19-1)</x:f>
        <x:v>0</x:v>
      </x:c>
      <x:c r="AB2319" s="10" t="n">
        <x:f>F2319/1</x:f>
        <x:v>19.93124354544332</x:v>
      </x:c>
      <x:c r="AC2319" s="10" t="n">
        <x:f>AB2319/'Assumptions'!$AM$37</x:f>
        <x:v>99.65621772721659</x:v>
      </x:c>
      <x:c r="AD2319" s="10" t="n">
        <x:f>IF(AB2319=0,0,T2319/AB2319)</x:f>
        <x:v>45.24214739304872</x:v>
      </x:c>
      <x:c r="AE2319" s="10" t="n">
        <x:f>AA2319*'Assumptions'!$D$21</x:f>
        <x:v>0</x:v>
      </x:c>
    </x:row>
    <x:row r="2320" ht="16" customHeight="1">
      <x:c r="A2320" s="1"/>
      <x:c r="B2320" s="1"/>
      <x:c r="C2320" s="1" t="str">
        <x:v>DOT-009</x:v>
      </x:c>
      <x:c r="D2320" s="10" t="str">
        <x:v>BPA professional services</x:v>
      </x:c>
      <x:c r="E2320" s="10" t="n">
        <x:v>19</x:v>
      </x:c>
      <x:c r="F2320" s="21" t="n">
        <x:f>F2192*(1+'Assumptions'!$M$38)</x:f>
        <x:v>13.287495696962221</x:v>
      </x:c>
      <x:c r="G2320" s="21" t="n">
        <x:f>H2192*'Assumptions'!$K$38</x:f>
        <x:v>12.535306657267387</x:v>
      </x:c>
      <x:c r="H2320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2320+G2320,NA())</x:f>
        <x:v>25.82280235422961</x:v>
      </x:c>
      <x:c r="I2320" s="22" t="n">
        <x:f>'Assumptions'!$H$38*IF('Assumptions'!$O$38=1,1,'Assumptions'!$D$10)*(1+'Assumptions'!$N$38)^(19-1)</x:f>
        <x:v>900</x:v>
      </x:c>
      <x:c r="J2320" s="10" t="n">
        <x:f>H2320*I2320</x:f>
        <x:v>23240.522118806646</x:v>
      </x:c>
      <x:c r="K2320" s="10" t="n">
        <x:f>J2320*'Assumptions'!$T$38</x:f>
        <x:v>23240.522118806646</x:v>
      </x:c>
      <x:c r="L2320" s="10" t="n">
        <x:f>K2320*'Assumptions'!$U$38</x:f>
        <x:v>697.2156635641993</x:v>
      </x:c>
      <x:c r="M2320" s="10" t="n">
        <x:f>K2320*'Assumptions'!$V$38</x:f>
        <x:v>0</x:v>
      </x:c>
      <x:c r="N2320" s="10" t="n">
        <x:f>K2320-L2320-M2320</x:f>
        <x:v>22543.306455242448</x:v>
      </x:c>
      <x:c r="O2320" s="10" t="n">
        <x:f>H2320*'Assumptions'!$P$38*'Assumptions'!$Q$38*'Assumptions'!$D$11*(1+'Assumptions'!$D$13)^(19-1)</x:f>
        <x:v>15826.173286213487</x:v>
      </x:c>
      <x:c r="P2320" s="10" t="n">
        <x:f>H2320*'Assumptions'!$R$38*'Assumptions'!$D$11*(1+'Assumptions'!$D$13)^(19-1)</x:f>
        <x:v>439.61592461704134</x:v>
      </x:c>
      <x:c r="Q2320" s="10" t="n">
        <x:f>J2320*'Assumptions'!$S$38</x:f>
        <x:v>0</x:v>
      </x:c>
      <x:c r="R2320" s="10" t="n">
        <x:f>H2320*'Assumptions'!$Y$38*'Assumptions'!$Z$38*'Assumptions'!$D$11*(1+'Assumptions'!$D$13)^(19-1)</x:f>
        <x:v>329.71194346278094</x:v>
      </x:c>
      <x:c r="S2320" s="10" t="n">
        <x:f>IF(I2320=0,0,J2320*'Assumptions'!$W$38+H2320*'Assumptions'!$X$38)</x:f>
        <x:v>681.7219821516617</x:v>
      </x:c>
      <x:c r="T2320" s="10" t="n">
        <x:f>N2320*'Assumptions'!$AA$38</x:f>
        <x:v>901.7322582096979</x:v>
      </x:c>
      <x:c r="U2320" s="10" t="n">
        <x:f>'Assumptions'!$AE$38*'Assumptions'!$D$11*(1+'Assumptions'!$D$13)^(19-1)</x:f>
        <x:v>0</x:v>
      </x:c>
      <x:c r="V2320" s="10" t="n">
        <x:f>0</x:f>
        <x:v>0</x:v>
      </x:c>
      <x:c r="W2320" s="10" t="n">
        <x:f>H2320*('Assumptions'!$P$38+'Assumptions'!$Y$38)</x:f>
        <x:v>161.39251471393504</x:v>
      </x:c>
      <x:c r="X2320" s="10" t="n">
        <x:f>N2320/12*'Assumptions'!$AF$38</x:f>
        <x:v>1878.608871270204</x:v>
      </x:c>
      <x:c r="Y2320" s="10" t="n">
        <x:f>P2320/12</x:f>
        <x:v>36.634660384753445</x:v>
      </x:c>
      <x:c r="Z2320" s="10" t="n">
        <x:f>0</x:f>
        <x:v>0</x:v>
      </x:c>
      <x:c r="AA2320" s="10" t="n">
        <x:f>Z2320*'Assumptions'!$AC$38*'Assumptions'!$D$11*(1+'Assumptions'!$D$13)^(19-1)</x:f>
        <x:v>0</x:v>
      </x:c>
      <x:c r="AB2320" s="10" t="n">
        <x:f>F2320/1</x:f>
        <x:v>13.287495696962221</x:v>
      </x:c>
      <x:c r="AC2320" s="10" t="n">
        <x:f>AB2320/'Assumptions'!$AM$38</x:f>
        <x:v>66.4374784848111</x:v>
      </x:c>
      <x:c r="AD2320" s="10" t="n">
        <x:f>IF(AB2320=0,0,T2320/AB2320)</x:f>
        <x:v>67.86322108957306</x:v>
      </x:c>
      <x:c r="AE2320" s="10" t="n">
        <x:f>AA2320*'Assumptions'!$D$21</x:f>
        <x:v>0</x:v>
      </x:c>
    </x:row>
    <x:row r="2321" ht="16" customHeight="1">
      <x:c r="A2321" s="1"/>
      <x:c r="B2321" s="1"/>
      <x:c r="C2321" s="1" t="str">
        <x:v>DOT-010</x:v>
      </x:c>
      <x:c r="D2321" s="10" t="str">
        <x:v>BPA professional services</x:v>
      </x:c>
      <x:c r="E2321" s="10" t="n">
        <x:v>19</x:v>
      </x:c>
      <x:c r="F2321" s="21" t="n">
        <x:f>F2193*(1+'Assumptions'!$M$39)</x:f>
        <x:v>13.287495696962221</x:v>
      </x:c>
      <x:c r="G2321" s="21" t="n">
        <x:f>H2193*'Assumptions'!$K$39</x:f>
        <x:v>12.535306657267387</x:v>
      </x:c>
      <x:c r="H2321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2321+G2321,NA())</x:f>
        <x:v>25.82280235422961</x:v>
      </x:c>
      <x:c r="I2321" s="22" t="n">
        <x:f>'Assumptions'!$H$39*IF('Assumptions'!$O$39=1,1,'Assumptions'!$D$10)*(1+'Assumptions'!$N$39)^(19-1)</x:f>
        <x:v>1800</x:v>
      </x:c>
      <x:c r="J2321" s="10" t="n">
        <x:f>H2321*I2321</x:f>
        <x:v>46481.04423761329</x:v>
      </x:c>
      <x:c r="K2321" s="10" t="n">
        <x:f>J2321*'Assumptions'!$T$39</x:f>
        <x:v>46481.04423761329</x:v>
      </x:c>
      <x:c r="L2321" s="10" t="n">
        <x:f>K2321*'Assumptions'!$U$39</x:f>
        <x:v>1394.4313271283986</x:v>
      </x:c>
      <x:c r="M2321" s="10" t="n">
        <x:f>K2321*'Assumptions'!$V$39</x:f>
        <x:v>0</x:v>
      </x:c>
      <x:c r="N2321" s="10" t="n">
        <x:f>K2321-L2321-M2321</x:f>
        <x:v>45086.612910484895</x:v>
      </x:c>
      <x:c r="O2321" s="10" t="n">
        <x:f>H2321*'Assumptions'!$P$39*'Assumptions'!$Q$39*'Assumptions'!$D$11*(1+'Assumptions'!$D$13)^(19-1)</x:f>
        <x:v>31652.346572426974</x:v>
      </x:c>
      <x:c r="P2321" s="10" t="n">
        <x:f>H2321*'Assumptions'!$R$39*'Assumptions'!$D$11*(1+'Assumptions'!$D$13)^(19-1)</x:f>
        <x:v>439.61592461704134</x:v>
      </x:c>
      <x:c r="Q2321" s="10" t="n">
        <x:f>J2321*'Assumptions'!$S$39</x:f>
        <x:v>0</x:v>
      </x:c>
      <x:c r="R2321" s="10" t="n">
        <x:f>H2321*'Assumptions'!$Y$39*'Assumptions'!$Z$39*'Assumptions'!$D$11*(1+'Assumptions'!$D$13)^(19-1)</x:f>
        <x:v>329.71194346278094</x:v>
      </x:c>
      <x:c r="S2321" s="10" t="n">
        <x:f>IF(I2321=0,0,J2321*'Assumptions'!$W$39+H2321*'Assumptions'!$X$39)</x:f>
        <x:v>1355.6971235970543</x:v>
      </x:c>
      <x:c r="T2321" s="10" t="n">
        <x:f>N2321*'Assumptions'!$AA$39</x:f>
        <x:v>1803.4645164193957</x:v>
      </x:c>
      <x:c r="U2321" s="10" t="n">
        <x:f>'Assumptions'!$AE$39*'Assumptions'!$D$11*(1+'Assumptions'!$D$13)^(19-1)</x:f>
        <x:v>0</x:v>
      </x:c>
      <x:c r="V2321" s="10" t="n">
        <x:f>0</x:f>
        <x:v>0</x:v>
      </x:c>
      <x:c r="W2321" s="10" t="n">
        <x:f>H2321*('Assumptions'!$P$39+'Assumptions'!$Y$39)</x:f>
        <x:v>316.3293288393127</x:v>
      </x:c>
      <x:c r="X2321" s="10" t="n">
        <x:f>N2321/12*'Assumptions'!$AF$39</x:f>
        <x:v>3757.217742540408</x:v>
      </x:c>
      <x:c r="Y2321" s="10" t="n">
        <x:f>P2321/12</x:f>
        <x:v>36.634660384753445</x:v>
      </x:c>
      <x:c r="Z2321" s="10" t="n">
        <x:f>0</x:f>
        <x:v>0</x:v>
      </x:c>
      <x:c r="AA2321" s="10" t="n">
        <x:f>Z2321*'Assumptions'!$AC$39*'Assumptions'!$D$11*(1+'Assumptions'!$D$13)^(19-1)</x:f>
        <x:v>0</x:v>
      </x:c>
      <x:c r="AB2321" s="10" t="n">
        <x:f>F2321/1</x:f>
        <x:v>13.287495696962221</x:v>
      </x:c>
      <x:c r="AC2321" s="10" t="n">
        <x:f>AB2321/'Assumptions'!$AM$39</x:f>
        <x:v>66.4374784848111</x:v>
      </x:c>
      <x:c r="AD2321" s="10" t="n">
        <x:f>IF(AB2321=0,0,T2321/AB2321)</x:f>
        <x:v>135.72644217914612</x:v>
      </x:c>
      <x:c r="AE2321" s="10" t="n">
        <x:f>AA2321*'Assumptions'!$D$21</x:f>
        <x:v>0</x:v>
      </x:c>
    </x:row>
    <x:row r="2322" ht="16" customHeight="1">
      <x:c r="A2322" s="1"/>
      <x:c r="B2322" s="1"/>
      <x:c r="C2322" s="1" t="str">
        <x:v>DOT-011</x:v>
      </x:c>
      <x:c r="D2322" s="10" t="str">
        <x:v>BPA professional services</x:v>
      </x:c>
      <x:c r="E2322" s="10" t="n">
        <x:v>19</x:v>
      </x:c>
      <x:c r="F2322" s="21" t="n">
        <x:f>F2194*(1+'Assumptions'!$M$40)</x:f>
        <x:v>39.86248709088664</x:v>
      </x:c>
      <x:c r="G2322" s="21" t="n">
        <x:f>H2194*'Assumptions'!$K$40</x:f>
        <x:v>37.605919971802145</x:v>
      </x:c>
      <x:c r="H2322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2322+G2322,NA())</x:f>
        <x:v>77.46840706268878</x:v>
      </x:c>
      <x:c r="I2322" s="22" t="n">
        <x:f>'Assumptions'!$H$40*IF('Assumptions'!$O$40=1,1,'Assumptions'!$D$10)*(1+'Assumptions'!$N$40)^(19-1)</x:f>
        <x:v>600</x:v>
      </x:c>
      <x:c r="J2322" s="10" t="n">
        <x:f>H2322*I2322</x:f>
        <x:v>46481.04423761327</x:v>
      </x:c>
      <x:c r="K2322" s="10" t="n">
        <x:f>J2322*'Assumptions'!$T$40</x:f>
        <x:v>46481.04423761327</x:v>
      </x:c>
      <x:c r="L2322" s="10" t="n">
        <x:f>K2322*'Assumptions'!$U$40</x:f>
        <x:v>1394.4313271283982</x:v>
      </x:c>
      <x:c r="M2322" s="10" t="n">
        <x:f>K2322*'Assumptions'!$V$40</x:f>
        <x:v>0</x:v>
      </x:c>
      <x:c r="N2322" s="10" t="n">
        <x:f>K2322-L2322-M2322</x:f>
        <x:v>45086.61291048487</x:v>
      </x:c>
      <x:c r="O2322" s="10" t="n">
        <x:f>H2322*'Assumptions'!$P$40*'Assumptions'!$Q$40*'Assumptions'!$D$11*(1+'Assumptions'!$D$13)^(19-1)</x:f>
        <x:v>31652.34657242695</x:v>
      </x:c>
      <x:c r="P2322" s="10" t="n">
        <x:f>H2322*'Assumptions'!$R$40*'Assumptions'!$D$11*(1+'Assumptions'!$D$13)^(19-1)</x:f>
        <x:v>1318.8477738511233</x:v>
      </x:c>
      <x:c r="Q2322" s="10" t="n">
        <x:f>J2322*'Assumptions'!$S$40</x:f>
        <x:v>0</x:v>
      </x:c>
      <x:c r="R2322" s="10" t="n">
        <x:f>H2322*'Assumptions'!$Y$40*'Assumptions'!$Z$40*'Assumptions'!$D$11*(1+'Assumptions'!$D$13)^(19-1)</x:f>
        <x:v>989.1358303883422</x:v>
      </x:c>
      <x:c r="S2322" s="10" t="n">
        <x:f>IF(I2322=0,0,J2322*'Assumptions'!$W$40+H2322*'Assumptions'!$X$40)</x:f>
        <x:v>1371.1908050095915</x:v>
      </x:c>
      <x:c r="T2322" s="10" t="n">
        <x:f>N2322*'Assumptions'!$AA$40</x:f>
        <x:v>1803.464516419395</x:v>
      </x:c>
      <x:c r="U2322" s="10" t="n">
        <x:f>'Assumptions'!$AE$40*'Assumptions'!$D$11*(1+'Assumptions'!$D$13)^(19-1)</x:f>
        <x:v>0</x:v>
      </x:c>
      <x:c r="V2322" s="10" t="n">
        <x:f>0</x:f>
        <x:v>0</x:v>
      </x:c>
      <x:c r="W2322" s="10" t="n">
        <x:f>H2322*('Assumptions'!$P$40+'Assumptions'!$Y$40)</x:f>
        <x:v>329.24073001642734</x:v>
      </x:c>
      <x:c r="X2322" s="10" t="n">
        <x:f>N2322/12*'Assumptions'!$AF$40</x:f>
        <x:v>3757.217742540406</x:v>
      </x:c>
      <x:c r="Y2322" s="10" t="n">
        <x:f>P2322/12</x:f>
        <x:v>109.90398115426028</x:v>
      </x:c>
      <x:c r="Z2322" s="10" t="n">
        <x:f>0</x:f>
        <x:v>0</x:v>
      </x:c>
      <x:c r="AA2322" s="10" t="n">
        <x:f>Z2322*'Assumptions'!$AC$40*'Assumptions'!$D$11*(1+'Assumptions'!$D$13)^(19-1)</x:f>
        <x:v>0</x:v>
      </x:c>
      <x:c r="AB2322" s="10" t="n">
        <x:f>F2322/12</x:f>
        <x:v>3.321873924240553</x:v>
      </x:c>
      <x:c r="AC2322" s="10" t="n">
        <x:f>AB2322/'Assumptions'!$AM$40</x:f>
        <x:v>16.609369621202763</x:v>
      </x:c>
      <x:c r="AD2322" s="10" t="n">
        <x:f>IF(AB2322=0,0,T2322/AB2322)</x:f>
        <x:v>542.9057687165846</x:v>
      </x:c>
      <x:c r="AE2322" s="10" t="n">
        <x:f>AA2322*'Assumptions'!$D$21</x:f>
        <x:v>0</x:v>
      </x:c>
    </x:row>
    <x:row r="2323" ht="16" customHeight="1">
      <x:c r="A2323" s="1"/>
      <x:c r="B2323" s="1"/>
      <x:c r="C2323" s="1" t="str">
        <x:v>DOT-012</x:v>
      </x:c>
      <x:c r="D2323" s="10" t="str">
        <x:v>BPA professional services</x:v>
      </x:c>
      <x:c r="E2323" s="10" t="n">
        <x:v>19</x:v>
      </x:c>
      <x:c r="F2323" s="21" t="n">
        <x:f>F2195*(1+'Assumptions'!$M$41)</x:f>
        <x:v>26.574991393924442</x:v>
      </x:c>
      <x:c r="G2323" s="21" t="n">
        <x:f>H2195*'Assumptions'!$K$41</x:f>
        <x:v>25.070613314534775</x:v>
      </x:c>
      <x:c r="H2323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2323+G2323,NA())</x:f>
        <x:v>51.64560470845922</x:v>
      </x:c>
      <x:c r="I2323" s="22" t="n">
        <x:f>'Assumptions'!$H$41*IF('Assumptions'!$O$41=1,1,'Assumptions'!$D$10)*(1+'Assumptions'!$N$41)^(19-1)</x:f>
        <x:v>1080</x:v>
      </x:c>
      <x:c r="J2323" s="10" t="n">
        <x:f>H2323*I2323</x:f>
        <x:v>55777.253085135955</x:v>
      </x:c>
      <x:c r="K2323" s="10" t="n">
        <x:f>J2323*'Assumptions'!$T$41</x:f>
        <x:v>55777.253085135955</x:v>
      </x:c>
      <x:c r="L2323" s="10" t="n">
        <x:f>K2323*'Assumptions'!$U$41</x:f>
        <x:v>1673.3175925540786</x:v>
      </x:c>
      <x:c r="M2323" s="10" t="n">
        <x:f>K2323*'Assumptions'!$V$41</x:f>
        <x:v>0</x:v>
      </x:c>
      <x:c r="N2323" s="10" t="n">
        <x:f>K2323-L2323-M2323</x:f>
        <x:v>54103.93549258188</x:v>
      </x:c>
      <x:c r="O2323" s="10" t="n">
        <x:f>H2323*'Assumptions'!$P$41*'Assumptions'!$Q$41*'Assumptions'!$D$11*(1+'Assumptions'!$D$13)^(19-1)</x:f>
        <x:v>42203.12876323596</x:v>
      </x:c>
      <x:c r="P2323" s="10" t="n">
        <x:f>H2323*'Assumptions'!$R$41*'Assumptions'!$D$11*(1+'Assumptions'!$D$13)^(19-1)</x:f>
        <x:v>879.2318492340827</x:v>
      </x:c>
      <x:c r="Q2323" s="10" t="n">
        <x:f>J2323*'Assumptions'!$S$41</x:f>
        <x:v>0</x:v>
      </x:c>
      <x:c r="R2323" s="10" t="n">
        <x:f>H2323*'Assumptions'!$Y$41*'Assumptions'!$Z$41*'Assumptions'!$D$11*(1+'Assumptions'!$D$13)^(19-1)</x:f>
        <x:v>659.4238869255619</x:v>
      </x:c>
      <x:c r="S2323" s="10" t="n">
        <x:f>IF(I2323=0,0,J2323*'Assumptions'!$W$41+H2323*'Assumptions'!$X$41)</x:f>
        <x:v>1633.0340208814807</x:v>
      </x:c>
      <x:c r="T2323" s="10" t="n">
        <x:f>N2323*'Assumptions'!$AA$41</x:f>
        <x:v>2164.157419703275</x:v>
      </x:c>
      <x:c r="U2323" s="10" t="n">
        <x:f>'Assumptions'!$AE$41*'Assumptions'!$D$11*(1+'Assumptions'!$D$13)^(19-1)</x:f>
        <x:v>0</x:v>
      </x:c>
      <x:c r="V2323" s="10" t="n">
        <x:f>0</x:f>
        <x:v>0</x:v>
      </x:c>
      <x:c r="W2323" s="10" t="n">
        <x:f>H2323*('Assumptions'!$P$41+'Assumptions'!$Y$41)</x:f>
        <x:v>426.0762388447885</x:v>
      </x:c>
      <x:c r="X2323" s="10" t="n">
        <x:f>N2323/12*'Assumptions'!$AF$41</x:f>
        <x:v>4508.66129104849</x:v>
      </x:c>
      <x:c r="Y2323" s="10" t="n">
        <x:f>P2323/12</x:f>
        <x:v>73.26932076950689</x:v>
      </x:c>
      <x:c r="Z2323" s="10" t="n">
        <x:f>0</x:f>
        <x:v>0</x:v>
      </x:c>
      <x:c r="AA2323" s="10" t="n">
        <x:f>Z2323*'Assumptions'!$AC$41*'Assumptions'!$D$11*(1+'Assumptions'!$D$13)^(19-1)</x:f>
        <x:v>0</x:v>
      </x:c>
      <x:c r="AB2323" s="10" t="n">
        <x:f>F2323/12</x:f>
        <x:v>2.2145826161603703</x:v>
      </x:c>
      <x:c r="AC2323" s="10" t="n">
        <x:f>AB2323/'Assumptions'!$AM$41</x:f>
        <x:v>11.07291308080185</x:v>
      </x:c>
      <x:c r="AD2323" s="10" t="n">
        <x:f>IF(AB2323=0,0,T2323/AB2323)</x:f>
        <x:v>977.230383689852</x:v>
      </x:c>
      <x:c r="AE2323" s="10" t="n">
        <x:f>AA2323*'Assumptions'!$D$21</x:f>
        <x:v>0</x:v>
      </x:c>
    </x:row>
    <x:row r="2324" ht="16" customHeight="1">
      <x:c r="A2324" s="1"/>
      <x:c r="B2324" s="1"/>
      <x:c r="C2324" s="1" t="str">
        <x:v>DOT-013</x:v>
      </x:c>
      <x:c r="D2324" s="10" t="str">
        <x:v>BPA professional services</x:v>
      </x:c>
      <x:c r="E2324" s="10" t="n">
        <x:v>19</x:v>
      </x:c>
      <x:c r="F2324" s="21" t="n">
        <x:f>F2196*(1+'Assumptions'!$M$42)</x:f>
        <x:v>19.93124354544332</x:v>
      </x:c>
      <x:c r="G2324" s="21" t="n">
        <x:f>H2196*'Assumptions'!$K$42</x:f>
        <x:v>18.802959985901072</x:v>
      </x:c>
      <x:c r="H2324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2324+G2324,NA())</x:f>
        <x:v>38.73420353134439</x:v>
      </x:c>
      <x:c r="I2324" s="22" t="n">
        <x:f>'Assumptions'!$H$42*IF('Assumptions'!$O$42=1,1,'Assumptions'!$D$10)*(1+'Assumptions'!$N$42)^(19-1)</x:f>
        <x:v>2160</x:v>
      </x:c>
      <x:c r="J2324" s="10" t="n">
        <x:f>H2324*I2324</x:f>
        <x:v>83665.8796277039</x:v>
      </x:c>
      <x:c r="K2324" s="10" t="n">
        <x:f>J2324*'Assumptions'!$T$42</x:f>
        <x:v>83665.8796277039</x:v>
      </x:c>
      <x:c r="L2324" s="10" t="n">
        <x:f>K2324*'Assumptions'!$U$42</x:f>
        <x:v>2509.9763888311168</x:v>
      </x:c>
      <x:c r="M2324" s="10" t="n">
        <x:f>K2324*'Assumptions'!$V$42</x:f>
        <x:v>0</x:v>
      </x:c>
      <x:c r="N2324" s="10" t="n">
        <x:f>K2324-L2324-M2324</x:f>
        <x:v>81155.90323887278</x:v>
      </x:c>
      <x:c r="O2324" s="10" t="n">
        <x:f>H2324*'Assumptions'!$P$42*'Assumptions'!$Q$42*'Assumptions'!$D$11*(1+'Assumptions'!$D$13)^(19-1)</x:f>
        <x:v>63304.6931448539</x:v>
      </x:c>
      <x:c r="P2324" s="10" t="n">
        <x:f>H2324*'Assumptions'!$R$42*'Assumptions'!$D$11*(1+'Assumptions'!$D$13)^(19-1)</x:f>
        <x:v>659.4238869255616</x:v>
      </x:c>
      <x:c r="Q2324" s="10" t="n">
        <x:f>J2324*'Assumptions'!$S$42</x:f>
        <x:v>0</x:v>
      </x:c>
      <x:c r="R2324" s="10" t="n">
        <x:f>H2324*'Assumptions'!$Y$42*'Assumptions'!$Z$42*'Assumptions'!$D$11*(1+'Assumptions'!$D$13)^(19-1)</x:f>
        <x:v>494.5679151941711</x:v>
      </x:c>
      <x:c r="S2324" s="10" t="n">
        <x:f>IF(I2324=0,0,J2324*'Assumptions'!$W$42+H2324*'Assumptions'!$X$42)</x:f>
        <x:v>2437.930770262816</x:v>
      </x:c>
      <x:c r="T2324" s="10" t="n">
        <x:f>N2324*'Assumptions'!$AA$42</x:f>
        <x:v>3246.2361295549113</x:v>
      </x:c>
      <x:c r="U2324" s="10" t="n">
        <x:f>'Assumptions'!$AE$42*'Assumptions'!$D$11*(1+'Assumptions'!$D$13)^(19-1)</x:f>
        <x:v>0</x:v>
      </x:c>
      <x:c r="V2324" s="10" t="n">
        <x:f>0</x:f>
        <x:v>0</x:v>
      </x:c>
      <x:c r="W2324" s="10" t="n">
        <x:f>H2324*('Assumptions'!$P$42+'Assumptions'!$Y$42)</x:f>
        <x:v>629.4308073843464</x:v>
      </x:c>
      <x:c r="X2324" s="10" t="n">
        <x:f>N2324/12*'Assumptions'!$AF$42</x:f>
        <x:v>6762.991936572732</x:v>
      </x:c>
      <x:c r="Y2324" s="10" t="n">
        <x:f>P2324/12</x:f>
        <x:v>54.95199057713014</x:v>
      </x:c>
      <x:c r="Z2324" s="10" t="n">
        <x:f>0</x:f>
        <x:v>0</x:v>
      </x:c>
      <x:c r="AA2324" s="10" t="n">
        <x:f>Z2324*'Assumptions'!$AC$42*'Assumptions'!$D$11*(1+'Assumptions'!$D$13)^(19-1)</x:f>
        <x:v>0</x:v>
      </x:c>
      <x:c r="AB2324" s="10" t="n">
        <x:f>F2324/12</x:f>
        <x:v>1.6609369621202765</x:v>
      </x:c>
      <x:c r="AC2324" s="10" t="n">
        <x:f>AB2324/'Assumptions'!$AM$42</x:f>
        <x:v>8.304684810601382</x:v>
      </x:c>
      <x:c r="AD2324" s="10" t="n">
        <x:f>IF(AB2324=0,0,T2324/AB2324)</x:f>
        <x:v>1954.4607673797047</x:v>
      </x:c>
      <x:c r="AE2324" s="10" t="n">
        <x:f>AA2324*'Assumptions'!$D$21</x:f>
        <x:v>0</x:v>
      </x:c>
    </x:row>
    <x:row r="2325" ht="16" customHeight="1">
      <x:c r="A2325" s="1"/>
      <x:c r="B2325" s="1"/>
      <x:c r="C2325" s="1" t="str">
        <x:v>DOT-014</x:v>
      </x:c>
      <x:c r="D2325" s="10" t="str">
        <x:v>BPA professional services</x:v>
      </x:c>
      <x:c r="E2325" s="10" t="n">
        <x:v>19</x:v>
      </x:c>
      <x:c r="F2325" s="21" t="n">
        <x:f>F2197*(1+'Assumptions'!$M$43)</x:f>
        <x:v>13.287495696962221</x:v>
      </x:c>
      <x:c r="G2325" s="21" t="n">
        <x:f>H2197*'Assumptions'!$K$43</x:f>
        <x:v>12.535306657267387</x:v>
      </x:c>
      <x:c r="H2325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2325+G2325,NA())</x:f>
        <x:v>25.82280235422961</x:v>
      </x:c>
      <x:c r="I2325" s="22" t="n">
        <x:f>'Assumptions'!$H$43*IF('Assumptions'!$O$43=1,1,'Assumptions'!$D$10)*(1+'Assumptions'!$N$43)^(19-1)</x:f>
        <x:v>3000</x:v>
      </x:c>
      <x:c r="J2325" s="10" t="n">
        <x:f>H2325*I2325</x:f>
        <x:v>77468.40706268883</x:v>
      </x:c>
      <x:c r="K2325" s="10" t="n">
        <x:f>J2325*'Assumptions'!$T$43</x:f>
        <x:v>77468.40706268883</x:v>
      </x:c>
      <x:c r="L2325" s="10" t="n">
        <x:f>K2325*'Assumptions'!$U$43</x:f>
        <x:v>2324.052211880665</x:v>
      </x:c>
      <x:c r="M2325" s="10" t="n">
        <x:f>K2325*'Assumptions'!$V$43</x:f>
        <x:v>0</x:v>
      </x:c>
      <x:c r="N2325" s="10" t="n">
        <x:f>K2325-L2325-M2325</x:f>
        <x:v>75144.35485080816</x:v>
      </x:c>
      <x:c r="O2325" s="10" t="n">
        <x:f>H2325*'Assumptions'!$P$43*'Assumptions'!$Q$43*'Assumptions'!$D$11*(1+'Assumptions'!$D$13)^(19-1)</x:f>
        <x:v>52753.910954044964</x:v>
      </x:c>
      <x:c r="P2325" s="10" t="n">
        <x:f>H2325*'Assumptions'!$R$43*'Assumptions'!$D$11*(1+'Assumptions'!$D$13)^(19-1)</x:f>
        <x:v>439.61592461704134</x:v>
      </x:c>
      <x:c r="Q2325" s="10" t="n">
        <x:f>J2325*'Assumptions'!$S$43</x:f>
        <x:v>0</x:v>
      </x:c>
      <x:c r="R2325" s="10" t="n">
        <x:f>H2325*'Assumptions'!$Y$43*'Assumptions'!$Z$43*'Assumptions'!$D$11*(1+'Assumptions'!$D$13)^(19-1)</x:f>
        <x:v>329.71194346278094</x:v>
      </x:c>
      <x:c r="S2325" s="10" t="n">
        <x:f>IF(I2325=0,0,J2325*'Assumptions'!$W$43+H2325*'Assumptions'!$X$43)</x:f>
        <x:v>2254.330645524245</x:v>
      </x:c>
      <x:c r="T2325" s="10" t="n">
        <x:f>N2325*'Assumptions'!$AA$43</x:f>
        <x:v>3005.7741940323262</x:v>
      </x:c>
      <x:c r="U2325" s="10" t="n">
        <x:f>'Assumptions'!$AE$43*'Assumptions'!$D$11*(1+'Assumptions'!$D$13)^(19-1)</x:f>
        <x:v>0</x:v>
      </x:c>
      <x:c r="V2325" s="10" t="n">
        <x:f>0</x:f>
        <x:v>0</x:v>
      </x:c>
      <x:c r="W2325" s="10" t="n">
        <x:f>H2325*('Assumptions'!$P$43+'Assumptions'!$Y$43)</x:f>
        <x:v>522.9117476731495</x:v>
      </x:c>
      <x:c r="X2325" s="10" t="n">
        <x:f>N2325/12*'Assumptions'!$AF$43</x:f>
        <x:v>6262.02957090068</x:v>
      </x:c>
      <x:c r="Y2325" s="10" t="n">
        <x:f>P2325/12</x:f>
        <x:v>36.634660384753445</x:v>
      </x:c>
      <x:c r="Z2325" s="10" t="n">
        <x:f>0</x:f>
        <x:v>0</x:v>
      </x:c>
      <x:c r="AA2325" s="10" t="n">
        <x:f>Z2325*'Assumptions'!$AC$43*'Assumptions'!$D$11*(1+'Assumptions'!$D$13)^(19-1)</x:f>
        <x:v>0</x:v>
      </x:c>
      <x:c r="AB2325" s="10" t="n">
        <x:f>F2325/12</x:f>
        <x:v>1.1072913080801852</x:v>
      </x:c>
      <x:c r="AC2325" s="10" t="n">
        <x:f>AB2325/'Assumptions'!$AM$43</x:f>
        <x:v>5.536456540400925</x:v>
      </x:c>
      <x:c r="AD2325" s="10" t="n">
        <x:f>IF(AB2325=0,0,T2325/AB2325)</x:f>
        <x:v>2714.528843582922</x:v>
      </x:c>
      <x:c r="AE2325" s="10" t="n">
        <x:f>AA2325*'Assumptions'!$D$21</x:f>
        <x:v>0</x:v>
      </x:c>
    </x:row>
    <x:row r="2326" ht="16" customHeight="1">
      <x:c r="A2326" s="1"/>
      <x:c r="B2326" s="1"/>
      <x:c r="C2326" s="1" t="str">
        <x:v>DOT-015</x:v>
      </x:c>
      <x:c r="D2326" s="10" t="str">
        <x:v>BPA professional services</x:v>
      </x:c>
      <x:c r="E2326" s="10" t="n">
        <x:v>19</x:v>
      </x:c>
      <x:c r="F2326" s="21" t="n">
        <x:f>F2198*(1+'Assumptions'!$M$44)</x:f>
        <x:v>11.07291308080185</x:v>
      </x:c>
      <x:c r="G2326" s="21" t="n">
        <x:f>H2198*'Assumptions'!$K$44</x:f>
        <x:v>10.446088881056156</x:v>
      </x:c>
      <x:c r="H2326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2326+G2326,NA())</x:f>
        <x:v>21.519001961858006</x:v>
      </x:c>
      <x:c r="I2326" s="22" t="n">
        <x:f>'Assumptions'!$H$44*IF('Assumptions'!$O$44=1,1,'Assumptions'!$D$10)*(1+'Assumptions'!$N$44)^(19-1)</x:f>
        <x:v>1200</x:v>
      </x:c>
      <x:c r="J2326" s="10" t="n">
        <x:f>H2326*I2326</x:f>
        <x:v>25822.802354229607</x:v>
      </x:c>
      <x:c r="K2326" s="10" t="n">
        <x:f>J2326*'Assumptions'!$T$44</x:f>
        <x:v>25822.802354229607</x:v>
      </x:c>
      <x:c r="L2326" s="10" t="n">
        <x:f>K2326*'Assumptions'!$U$44</x:f>
        <x:v>774.6840706268882</x:v>
      </x:c>
      <x:c r="M2326" s="10" t="n">
        <x:f>K2326*'Assumptions'!$V$44</x:f>
        <x:v>0</x:v>
      </x:c>
      <x:c r="N2326" s="10" t="n">
        <x:f>K2326-L2326-M2326</x:f>
        <x:v>25048.11828360272</x:v>
      </x:c>
      <x:c r="O2326" s="10" t="n">
        <x:f>H2326*'Assumptions'!$P$44*'Assumptions'!$Q$44*'Assumptions'!$D$11*(1+'Assumptions'!$D$13)^(19-1)</x:f>
        <x:v>21980.796230852062</x:v>
      </x:c>
      <x:c r="P2326" s="10" t="n">
        <x:f>H2326*'Assumptions'!$R$44*'Assumptions'!$D$11*(1+'Assumptions'!$D$13)^(19-1)</x:f>
        <x:v>366.34660384753437</x:v>
      </x:c>
      <x:c r="Q2326" s="10" t="n">
        <x:f>J2326*'Assumptions'!$S$44</x:f>
        <x:v>0</x:v>
      </x:c>
      <x:c r="R2326" s="10" t="n">
        <x:f>H2326*'Assumptions'!$Y$44*'Assumptions'!$Z$44*'Assumptions'!$D$11*(1+'Assumptions'!$D$13)^(19-1)</x:f>
        <x:v>274.75995288565076</x:v>
      </x:c>
      <x:c r="S2326" s="10" t="n">
        <x:f>IF(I2326=0,0,J2326*'Assumptions'!$W$44+H2326*'Assumptions'!$X$44)</x:f>
        <x:v>755.3169688612161</x:v>
      </x:c>
      <x:c r="T2326" s="10" t="n">
        <x:f>N2326*'Assumptions'!$AA$44</x:f>
        <x:v>1001.9247313441087</x:v>
      </x:c>
      <x:c r="U2326" s="10" t="n">
        <x:f>'Assumptions'!$AE$44*'Assumptions'!$D$11*(1+'Assumptions'!$D$13)^(19-1)</x:f>
        <x:v>0</x:v>
      </x:c>
      <x:c r="V2326" s="10" t="n">
        <x:f>0</x:f>
        <x:v>0</x:v>
      </x:c>
      <x:c r="W2326" s="10" t="n">
        <x:f>H2326*('Assumptions'!$P$44+'Assumptions'!$Y$44)</x:f>
        <x:v>220.56977010904455</x:v>
      </x:c>
      <x:c r="X2326" s="10" t="n">
        <x:f>N2326/12*'Assumptions'!$AF$44</x:f>
        <x:v>2087.3431903002265</x:v>
      </x:c>
      <x:c r="Y2326" s="10" t="n">
        <x:f>P2326/12</x:f>
        <x:v>30.5288836539612</x:v>
      </x:c>
      <x:c r="Z2326" s="10" t="n">
        <x:f>0</x:f>
        <x:v>0</x:v>
      </x:c>
      <x:c r="AA2326" s="10" t="n">
        <x:f>Z2326*'Assumptions'!$AC$44*'Assumptions'!$D$11*(1+'Assumptions'!$D$13)^(19-1)</x:f>
        <x:v>0</x:v>
      </x:c>
      <x:c r="AB2326" s="10" t="n">
        <x:f>F2326/1</x:f>
        <x:v>11.07291308080185</x:v>
      </x:c>
      <x:c r="AC2326" s="10" t="n">
        <x:f>AB2326/'Assumptions'!$AM$44</x:f>
        <x:v>55.36456540400925</x:v>
      </x:c>
      <x:c r="AD2326" s="10" t="n">
        <x:f>IF(AB2326=0,0,T2326/AB2326)</x:f>
        <x:v>90.48429478609742</x:v>
      </x:c>
      <x:c r="AE2326" s="10" t="n">
        <x:f>AA2326*'Assumptions'!$D$21</x:f>
        <x:v>0</x:v>
      </x:c>
    </x:row>
    <x:row r="2327" ht="16" customHeight="1">
      <x:c r="A2327" s="1"/>
      <x:c r="B2327" s="1"/>
      <x:c r="C2327" s="1" t="str">
        <x:v>DOT-016</x:v>
      </x:c>
      <x:c r="D2327" s="10" t="str">
        <x:v>BPA professional services</x:v>
      </x:c>
      <x:c r="E2327" s="10" t="n">
        <x:v>19</x:v>
      </x:c>
      <x:c r="F2327" s="21" t="n">
        <x:f>F2199*(1+'Assumptions'!$M$45)</x:f>
        <x:v>6.6437478484811106</x:v>
      </x:c>
      <x:c r="G2327" s="21" t="n">
        <x:f>H2199*'Assumptions'!$K$45</x:f>
        <x:v>6.267653328633694</x:v>
      </x:c>
      <x:c r="H2327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2327+G2327,NA())</x:f>
        <x:v>12.911401177114804</x:v>
      </x:c>
      <x:c r="I2327" s="22" t="n">
        <x:f>'Assumptions'!$H$45*IF('Assumptions'!$O$45=1,1,'Assumptions'!$D$10)*(1+'Assumptions'!$N$45)^(19-1)</x:f>
        <x:v>1800</x:v>
      </x:c>
      <x:c r="J2327" s="10" t="n">
        <x:f>H2327*I2327</x:f>
        <x:v>23240.522118806646</x:v>
      </x:c>
      <x:c r="K2327" s="10" t="n">
        <x:f>J2327*'Assumptions'!$T$45</x:f>
        <x:v>23240.522118806646</x:v>
      </x:c>
      <x:c r="L2327" s="10" t="n">
        <x:f>K2327*'Assumptions'!$U$45</x:f>
        <x:v>697.2156635641993</x:v>
      </x:c>
      <x:c r="M2327" s="10" t="n">
        <x:f>K2327*'Assumptions'!$V$45</x:f>
        <x:v>0</x:v>
      </x:c>
      <x:c r="N2327" s="10" t="n">
        <x:f>K2327-L2327-M2327</x:f>
        <x:v>22543.306455242448</x:v>
      </x:c>
      <x:c r="O2327" s="10" t="n">
        <x:f>H2327*'Assumptions'!$P$45*'Assumptions'!$Q$45*'Assumptions'!$D$11*(1+'Assumptions'!$D$13)^(19-1)</x:f>
        <x:v>6594.238869255621</x:v>
      </x:c>
      <x:c r="P2327" s="10" t="n">
        <x:f>H2327*'Assumptions'!$R$45*'Assumptions'!$D$11*(1+'Assumptions'!$D$13)^(19-1)</x:f>
        <x:v>219.80796230852067</x:v>
      </x:c>
      <x:c r="Q2327" s="10" t="n">
        <x:f>J2327*'Assumptions'!$S$45</x:f>
        <x:v>0</x:v>
      </x:c>
      <x:c r="R2327" s="10" t="n">
        <x:f>H2327*'Assumptions'!$Y$45*'Assumptions'!$Z$45*'Assumptions'!$D$11*(1+'Assumptions'!$D$13)^(19-1)</x:f>
        <x:v>164.85597173139047</x:v>
      </x:c>
      <x:c r="S2327" s="10" t="n">
        <x:f>IF(I2327=0,0,J2327*'Assumptions'!$W$45+H2327*'Assumptions'!$X$45)</x:f>
        <x:v>677.8485617985272</x:v>
      </x:c>
      <x:c r="T2327" s="10" t="n">
        <x:f>N2327*'Assumptions'!$AA$45</x:f>
        <x:v>901.7322582096979</x:v>
      </x:c>
      <x:c r="U2327" s="10" t="n">
        <x:f>'Assumptions'!$AE$45*'Assumptions'!$D$11*(1+'Assumptions'!$D$13)^(19-1)</x:f>
        <x:v>0</x:v>
      </x:c>
      <x:c r="V2327" s="10" t="n">
        <x:f>0</x:f>
        <x:v>0</x:v>
      </x:c>
      <x:c r="W2327" s="10" t="n">
        <x:f>H2327*('Assumptions'!$P$45+'Assumptions'!$Y$45)</x:f>
        <x:v>67.78485617985272</x:v>
      </x:c>
      <x:c r="X2327" s="10" t="n">
        <x:f>N2327/12*'Assumptions'!$AF$45</x:f>
        <x:v>1878.608871270204</x:v>
      </x:c>
      <x:c r="Y2327" s="10" t="n">
        <x:f>P2327/12</x:f>
        <x:v>18.317330192376723</x:v>
      </x:c>
      <x:c r="Z2327" s="10" t="n">
        <x:f>0</x:f>
        <x:v>0</x:v>
      </x:c>
      <x:c r="AA2327" s="10" t="n">
        <x:f>Z2327*'Assumptions'!$AC$45*'Assumptions'!$D$11*(1+'Assumptions'!$D$13)^(19-1)</x:f>
        <x:v>0</x:v>
      </x:c>
      <x:c r="AB2327" s="10" t="n">
        <x:f>F2327/1</x:f>
        <x:v>6.6437478484811106</x:v>
      </x:c>
      <x:c r="AC2327" s="10" t="n">
        <x:f>AB2327/'Assumptions'!$AM$45</x:f>
        <x:v>33.21873924240555</x:v>
      </x:c>
      <x:c r="AD2327" s="10" t="n">
        <x:f>IF(AB2327=0,0,T2327/AB2327)</x:f>
        <x:v>135.72644217914612</x:v>
      </x:c>
      <x:c r="AE2327" s="10" t="n">
        <x:f>AA2327*'Assumptions'!$D$21</x:f>
        <x:v>0</x:v>
      </x:c>
    </x:row>
    <x:row r="2328" ht="16" customHeight="1">
      <x:c r="A2328" s="1"/>
      <x:c r="B2328" s="1"/>
      <x:c r="C2328" s="1" t="str">
        <x:v>DOT-017</x:v>
      </x:c>
      <x:c r="D2328" s="10" t="str">
        <x:v>BPA professional services</x:v>
      </x:c>
      <x:c r="E2328" s="10" t="n">
        <x:v>19</x:v>
      </x:c>
      <x:c r="F2328" s="21" t="n">
        <x:f>F2200*(1+'Assumptions'!$M$46)</x:f>
        <x:v>6.6437478484811106</x:v>
      </x:c>
      <x:c r="G2328" s="21" t="n">
        <x:f>H2200*'Assumptions'!$K$46</x:f>
        <x:v>6.267653328633694</x:v>
      </x:c>
      <x:c r="H2328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2328+G2328,NA())</x:f>
        <x:v>12.911401177114804</x:v>
      </x:c>
      <x:c r="I2328" s="22" t="n">
        <x:f>'Assumptions'!$H$46*IF('Assumptions'!$O$46=1,1,'Assumptions'!$D$10)*(1+'Assumptions'!$N$46)^(19-1)</x:f>
        <x:v>1500</x:v>
      </x:c>
      <x:c r="J2328" s="10" t="n">
        <x:f>H2328*I2328</x:f>
        <x:v>19367.101765672207</x:v>
      </x:c>
      <x:c r="K2328" s="10" t="n">
        <x:f>J2328*'Assumptions'!$T$46</x:f>
        <x:v>19367.101765672207</x:v>
      </x:c>
      <x:c r="L2328" s="10" t="n">
        <x:f>K2328*'Assumptions'!$U$46</x:f>
        <x:v>581.0130529701662</x:v>
      </x:c>
      <x:c r="M2328" s="10" t="n">
        <x:f>K2328*'Assumptions'!$V$46</x:f>
        <x:v>0</x:v>
      </x:c>
      <x:c r="N2328" s="10" t="n">
        <x:f>K2328-L2328-M2328</x:f>
        <x:v>18786.08871270204</x:v>
      </x:c>
      <x:c r="O2328" s="10" t="n">
        <x:f>H2328*'Assumptions'!$P$46*'Assumptions'!$Q$46*'Assumptions'!$D$11*(1+'Assumptions'!$D$13)^(19-1)</x:f>
        <x:v>7913.086643106743</x:v>
      </x:c>
      <x:c r="P2328" s="10" t="n">
        <x:f>H2328*'Assumptions'!$R$46*'Assumptions'!$D$11*(1+'Assumptions'!$D$13)^(19-1)</x:f>
        <x:v>219.80796230852067</x:v>
      </x:c>
      <x:c r="Q2328" s="10" t="n">
        <x:f>J2328*'Assumptions'!$S$46</x:f>
        <x:v>0</x:v>
      </x:c>
      <x:c r="R2328" s="10" t="n">
        <x:f>H2328*'Assumptions'!$Y$46*'Assumptions'!$Z$46*'Assumptions'!$D$11*(1+'Assumptions'!$D$13)^(19-1)</x:f>
        <x:v>164.85597173139047</x:v>
      </x:c>
      <x:c r="S2328" s="10" t="n">
        <x:f>IF(I2328=0,0,J2328*'Assumptions'!$W$46+H2328*'Assumptions'!$X$46)</x:f>
        <x:v>565.5193715576285</x:v>
      </x:c>
      <x:c r="T2328" s="10" t="n">
        <x:f>N2328*'Assumptions'!$AA$46</x:f>
        <x:v>751.4435485080816</x:v>
      </x:c>
      <x:c r="U2328" s="10" t="n">
        <x:f>'Assumptions'!$AE$46*'Assumptions'!$D$11*(1+'Assumptions'!$D$13)^(19-1)</x:f>
        <x:v>0</x:v>
      </x:c>
      <x:c r="V2328" s="10" t="n">
        <x:f>0</x:f>
        <x:v>0</x:v>
      </x:c>
      <x:c r="W2328" s="10" t="n">
        <x:f>H2328*('Assumptions'!$P$46+'Assumptions'!$Y$46)</x:f>
        <x:v>80.69625735696752</x:v>
      </x:c>
      <x:c r="X2328" s="10" t="n">
        <x:f>N2328/12*'Assumptions'!$AF$46</x:f>
        <x:v>1565.50739272517</x:v>
      </x:c>
      <x:c r="Y2328" s="10" t="n">
        <x:f>P2328/12</x:f>
        <x:v>18.317330192376723</x:v>
      </x:c>
      <x:c r="Z2328" s="10" t="n">
        <x:f>0</x:f>
        <x:v>0</x:v>
      </x:c>
      <x:c r="AA2328" s="10" t="n">
        <x:f>Z2328*'Assumptions'!$AC$46*'Assumptions'!$D$11*(1+'Assumptions'!$D$13)^(19-1)</x:f>
        <x:v>0</x:v>
      </x:c>
      <x:c r="AB2328" s="10" t="n">
        <x:f>F2328/1</x:f>
        <x:v>6.6437478484811106</x:v>
      </x:c>
      <x:c r="AC2328" s="10" t="n">
        <x:f>AB2328/'Assumptions'!$AM$46</x:f>
        <x:v>33.21873924240555</x:v>
      </x:c>
      <x:c r="AD2328" s="10" t="n">
        <x:f>IF(AB2328=0,0,T2328/AB2328)</x:f>
        <x:v>113.10536848262177</x:v>
      </x:c>
      <x:c r="AE2328" s="10" t="n">
        <x:f>AA2328*'Assumptions'!$D$21</x:f>
        <x:v>0</x:v>
      </x:c>
    </x:row>
    <x:row r="2329" ht="16" customHeight="1">
      <x:c r="A2329" s="1"/>
      <x:c r="B2329" s="1"/>
      <x:c r="C2329" s="1" t="str">
        <x:v>DOT-018</x:v>
      </x:c>
      <x:c r="D2329" s="10" t="str">
        <x:v>BPA professional services</x:v>
      </x:c>
      <x:c r="E2329" s="10" t="n">
        <x:v>19</x:v>
      </x:c>
      <x:c r="F2329" s="21" t="n">
        <x:f>F2201*(1+'Assumptions'!$M$47)</x:f>
        <x:v>8.85833046464148</x:v>
      </x:c>
      <x:c r="G2329" s="21" t="n">
        <x:f>H2201*'Assumptions'!$K$47</x:f>
        <x:v>8.356871104844926</x:v>
      </x:c>
      <x:c r="H2329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2329+G2329,NA())</x:f>
        <x:v>17.215201569486403</x:v>
      </x:c>
      <x:c r="I2329" s="22" t="n">
        <x:f>'Assumptions'!$H$47*IF('Assumptions'!$O$47=1,1,'Assumptions'!$D$10)*(1+'Assumptions'!$N$47)^(19-1)</x:f>
        <x:v>1200</x:v>
      </x:c>
      <x:c r="J2329" s="10" t="n">
        <x:f>H2329*I2329</x:f>
        <x:v>20658.241883383685</x:v>
      </x:c>
      <x:c r="K2329" s="10" t="n">
        <x:f>J2329*'Assumptions'!$T$47</x:f>
        <x:v>20658.241883383685</x:v>
      </x:c>
      <x:c r="L2329" s="10" t="n">
        <x:f>K2329*'Assumptions'!$U$47</x:f>
        <x:v>619.7472565015105</x:v>
      </x:c>
      <x:c r="M2329" s="10" t="n">
        <x:f>K2329*'Assumptions'!$V$47</x:f>
        <x:v>0</x:v>
      </x:c>
      <x:c r="N2329" s="10" t="n">
        <x:f>K2329-L2329-M2329</x:f>
        <x:v>20038.494626882173</x:v>
      </x:c>
      <x:c r="O2329" s="10" t="n">
        <x:f>H2329*'Assumptions'!$P$47*'Assumptions'!$Q$47*'Assumptions'!$D$11*(1+'Assumptions'!$D$13)^(19-1)</x:f>
        <x:v>7033.85479387266</x:v>
      </x:c>
      <x:c r="P2329" s="10" t="n">
        <x:f>H2329*'Assumptions'!$R$47*'Assumptions'!$D$11*(1+'Assumptions'!$D$13)^(19-1)</x:f>
        <x:v>293.07728307802745</x:v>
      </x:c>
      <x:c r="Q2329" s="10" t="n">
        <x:f>J2329*'Assumptions'!$S$47</x:f>
        <x:v>0</x:v>
      </x:c>
      <x:c r="R2329" s="10" t="n">
        <x:f>H2329*'Assumptions'!$Y$47*'Assumptions'!$Z$47*'Assumptions'!$D$11*(1+'Assumptions'!$D$13)^(19-1)</x:f>
        <x:v>219.80796230852062</x:v>
      </x:c>
      <x:c r="S2329" s="10" t="n">
        <x:f>IF(I2329=0,0,J2329*'Assumptions'!$W$47+H2329*'Assumptions'!$X$47)</x:f>
        <x:v>604.2535750889729</x:v>
      </x:c>
      <x:c r="T2329" s="10" t="n">
        <x:f>N2329*'Assumptions'!$AA$47</x:f>
        <x:v>801.539785075287</x:v>
      </x:c>
      <x:c r="U2329" s="10" t="n">
        <x:f>'Assumptions'!$AE$47*'Assumptions'!$D$11*(1+'Assumptions'!$D$13)^(19-1)</x:f>
        <x:v>0</x:v>
      </x:c>
      <x:c r="V2329" s="10" t="n">
        <x:f>0</x:f>
        <x:v>0</x:v>
      </x:c>
      <x:c r="W2329" s="10" t="n">
        <x:f>H2329*('Assumptions'!$P$47+'Assumptions'!$Y$47)</x:f>
        <x:v>73.16460667031721</x:v>
      </x:c>
      <x:c r="X2329" s="10" t="n">
        <x:f>N2329/12*'Assumptions'!$AF$47</x:f>
        <x:v>1669.8745522401812</x:v>
      </x:c>
      <x:c r="Y2329" s="10" t="n">
        <x:f>P2329/12</x:f>
        <x:v>24.423106923168955</x:v>
      </x:c>
      <x:c r="Z2329" s="10" t="n">
        <x:f>0</x:f>
        <x:v>0</x:v>
      </x:c>
      <x:c r="AA2329" s="10" t="n">
        <x:f>Z2329*'Assumptions'!$AC$47*'Assumptions'!$D$11*(1+'Assumptions'!$D$13)^(19-1)</x:f>
        <x:v>0</x:v>
      </x:c>
      <x:c r="AB2329" s="10" t="n">
        <x:f>F2329/1</x:f>
        <x:v>8.85833046464148</x:v>
      </x:c>
      <x:c r="AC2329" s="10" t="n">
        <x:f>AB2329/'Assumptions'!$AM$47</x:f>
        <x:v>44.291652323207394</x:v>
      </x:c>
      <x:c r="AD2329" s="10" t="n">
        <x:f>IF(AB2329=0,0,T2329/AB2329)</x:f>
        <x:v>90.48429478609742</x:v>
      </x:c>
      <x:c r="AE2329" s="10" t="n">
        <x:f>AA2329*'Assumptions'!$D$21</x:f>
        <x:v>0</x:v>
      </x:c>
    </x:row>
    <x:row r="2330" ht="16" customHeight="1">
      <x:c r="A2330" s="1"/>
      <x:c r="B2330" s="1"/>
      <x:c r="C2330" s="1" t="str">
        <x:v>DOT-019</x:v>
      </x:c>
      <x:c r="D2330" s="10" t="str">
        <x:v>BPA professional services</x:v>
      </x:c>
      <x:c r="E2330" s="10" t="n">
        <x:v>19</x:v>
      </x:c>
      <x:c r="F2330" s="21" t="n">
        <x:f>F2202*(1+'Assumptions'!$M$48)</x:f>
        <x:v>4.42916523232074</x:v>
      </x:c>
      <x:c r="G2330" s="21" t="n">
        <x:f>H2202*'Assumptions'!$K$48</x:f>
        <x:v>4.178435552422463</x:v>
      </x:c>
      <x:c r="H2330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2330+G2330,NA())</x:f>
        <x:v>8.607600784743202</x:v>
      </x:c>
      <x:c r="I2330" s="22" t="n">
        <x:f>'Assumptions'!$H$48*IF('Assumptions'!$O$48=1,1,'Assumptions'!$D$10)*(1+'Assumptions'!$N$48)^(19-1)</x:f>
        <x:v>3000</x:v>
      </x:c>
      <x:c r="J2330" s="10" t="n">
        <x:f>H2330*I2330</x:f>
        <x:v>25822.802354229603</x:v>
      </x:c>
      <x:c r="K2330" s="10" t="n">
        <x:f>J2330*'Assumptions'!$T$48</x:f>
        <x:v>25822.802354229603</x:v>
      </x:c>
      <x:c r="L2330" s="10" t="n">
        <x:f>K2330*'Assumptions'!$U$48</x:f>
        <x:v>774.6840706268881</x:v>
      </x:c>
      <x:c r="M2330" s="10" t="n">
        <x:f>K2330*'Assumptions'!$V$48</x:f>
        <x:v>0</x:v>
      </x:c>
      <x:c r="N2330" s="10" t="n">
        <x:f>K2330-L2330-M2330</x:f>
        <x:v>25048.118283602715</x:v>
      </x:c>
      <x:c r="O2330" s="10" t="n">
        <x:f>H2330*'Assumptions'!$P$48*'Assumptions'!$Q$48*'Assumptions'!$D$11*(1+'Assumptions'!$D$13)^(19-1)</x:f>
        <x:v>10550.782190808988</x:v>
      </x:c>
      <x:c r="P2330" s="10" t="n">
        <x:f>H2330*'Assumptions'!$R$48*'Assumptions'!$D$11*(1+'Assumptions'!$D$13)^(19-1)</x:f>
        <x:v>146.53864153901372</x:v>
      </x:c>
      <x:c r="Q2330" s="10" t="n">
        <x:f>J2330*'Assumptions'!$S$48</x:f>
        <x:v>0</x:v>
      </x:c>
      <x:c r="R2330" s="10" t="n">
        <x:f>H2330*'Assumptions'!$Y$48*'Assumptions'!$Z$48*'Assumptions'!$D$11*(1+'Assumptions'!$D$13)^(19-1)</x:f>
        <x:v>109.90398115426031</x:v>
      </x:c>
      <x:c r="S2330" s="10" t="n">
        <x:f>IF(I2330=0,0,J2330*'Assumptions'!$W$48+H2330*'Assumptions'!$X$48)</x:f>
        <x:v>751.4435485080816</x:v>
      </x:c>
      <x:c r="T2330" s="10" t="n">
        <x:f>N2330*'Assumptions'!$AA$48</x:f>
        <x:v>1001.9247313441086</x:v>
      </x:c>
      <x:c r="U2330" s="10" t="n">
        <x:f>'Assumptions'!$AE$48*'Assumptions'!$D$11*(1+'Assumptions'!$D$13)^(19-1)</x:f>
        <x:v>0</x:v>
      </x:c>
      <x:c r="V2330" s="10" t="n">
        <x:f>0</x:f>
        <x:v>0</x:v>
      </x:c>
      <x:c r="W2330" s="10" t="n">
        <x:f>H2330*('Assumptions'!$P$48+'Assumptions'!$Y$48)</x:f>
        <x:v>105.44310961310423</x:v>
      </x:c>
      <x:c r="X2330" s="10" t="n">
        <x:f>N2330/12*'Assumptions'!$AF$48</x:f>
        <x:v>2087.343190300226</x:v>
      </x:c>
      <x:c r="Y2330" s="10" t="n">
        <x:f>P2330/12</x:f>
        <x:v>12.211553461584478</x:v>
      </x:c>
      <x:c r="Z2330" s="10" t="n">
        <x:f>0</x:f>
        <x:v>0</x:v>
      </x:c>
      <x:c r="AA2330" s="10" t="n">
        <x:f>Z2330*'Assumptions'!$AC$48*'Assumptions'!$D$11*(1+'Assumptions'!$D$13)^(19-1)</x:f>
        <x:v>0</x:v>
      </x:c>
      <x:c r="AB2330" s="10" t="n">
        <x:f>F2330/1</x:f>
        <x:v>4.42916523232074</x:v>
      </x:c>
      <x:c r="AC2330" s="10" t="n">
        <x:f>AB2330/'Assumptions'!$AM$48</x:f>
        <x:v>22.145826161603697</x:v>
      </x:c>
      <x:c r="AD2330" s="10" t="n">
        <x:f>IF(AB2330=0,0,T2330/AB2330)</x:f>
        <x:v>226.21073696524354</x:v>
      </x:c>
      <x:c r="AE2330" s="10" t="n">
        <x:f>AA2330*'Assumptions'!$D$21</x:f>
        <x:v>0</x:v>
      </x:c>
    </x:row>
    <x:row r="2331" ht="16" customHeight="1">
      <x:c r="A2331" s="1"/>
      <x:c r="B2331" s="1"/>
      <x:c r="C2331" s="1" t="str">
        <x:v>DOT-020</x:v>
      </x:c>
      <x:c r="D2331" s="10" t="str">
        <x:v>BPA professional services</x:v>
      </x:c>
      <x:c r="E2331" s="10" t="n">
        <x:v>19</x:v>
      </x:c>
      <x:c r="F2331" s="21" t="n">
        <x:f>F2203*(1+'Assumptions'!$M$49)</x:f>
        <x:v>6.6437478484811106</x:v>
      </x:c>
      <x:c r="G2331" s="21" t="n">
        <x:f>H2203*'Assumptions'!$K$49</x:f>
        <x:v>6.267653328633694</x:v>
      </x:c>
      <x:c r="H2331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2331+G2331,NA())</x:f>
        <x:v>12.911401177114804</x:v>
      </x:c>
      <x:c r="I2331" s="22" t="n">
        <x:f>'Assumptions'!$H$49*IF('Assumptions'!$O$49=1,1,'Assumptions'!$D$10)*(1+'Assumptions'!$N$49)^(19-1)</x:f>
        <x:v>1800</x:v>
      </x:c>
      <x:c r="J2331" s="10" t="n">
        <x:f>H2331*I2331</x:f>
        <x:v>23240.522118806646</x:v>
      </x:c>
      <x:c r="K2331" s="10" t="n">
        <x:f>J2331*'Assumptions'!$T$49</x:f>
        <x:v>23240.522118806646</x:v>
      </x:c>
      <x:c r="L2331" s="10" t="n">
        <x:f>K2331*'Assumptions'!$U$49</x:f>
        <x:v>697.2156635641993</x:v>
      </x:c>
      <x:c r="M2331" s="10" t="n">
        <x:f>K2331*'Assumptions'!$V$49</x:f>
        <x:v>0</x:v>
      </x:c>
      <x:c r="N2331" s="10" t="n">
        <x:f>K2331-L2331-M2331</x:f>
        <x:v>22543.306455242448</x:v>
      </x:c>
      <x:c r="O2331" s="10" t="n">
        <x:f>H2331*'Assumptions'!$P$49*'Assumptions'!$Q$49*'Assumptions'!$D$11*(1+'Assumptions'!$D$13)^(19-1)</x:f>
        <x:v>7913.086643106743</x:v>
      </x:c>
      <x:c r="P2331" s="10" t="n">
        <x:f>H2331*'Assumptions'!$R$49*'Assumptions'!$D$11*(1+'Assumptions'!$D$13)^(19-1)</x:f>
        <x:v>219.80796230852067</x:v>
      </x:c>
      <x:c r="Q2331" s="10" t="n">
        <x:f>J2331*'Assumptions'!$S$49</x:f>
        <x:v>0</x:v>
      </x:c>
      <x:c r="R2331" s="10" t="n">
        <x:f>H2331*'Assumptions'!$Y$49*'Assumptions'!$Z$49*'Assumptions'!$D$11*(1+'Assumptions'!$D$13)^(19-1)</x:f>
        <x:v>164.85597173139047</x:v>
      </x:c>
      <x:c r="S2331" s="10" t="n">
        <x:f>IF(I2331=0,0,J2331*'Assumptions'!$W$49+H2331*'Assumptions'!$X$49)</x:f>
        <x:v>677.8485617985272</x:v>
      </x:c>
      <x:c r="T2331" s="10" t="n">
        <x:f>N2331*'Assumptions'!$AA$49</x:f>
        <x:v>901.7322582096979</x:v>
      </x:c>
      <x:c r="U2331" s="10" t="n">
        <x:f>'Assumptions'!$AE$49*'Assumptions'!$D$11*(1+'Assumptions'!$D$13)^(19-1)</x:f>
        <x:v>0</x:v>
      </x:c>
      <x:c r="V2331" s="10" t="n">
        <x:f>0</x:f>
        <x:v>0</x:v>
      </x:c>
      <x:c r="W2331" s="10" t="n">
        <x:f>H2331*('Assumptions'!$P$49+'Assumptions'!$Y$49)</x:f>
        <x:v>80.69625735696752</x:v>
      </x:c>
      <x:c r="X2331" s="10" t="n">
        <x:f>N2331/12*'Assumptions'!$AF$49</x:f>
        <x:v>1878.608871270204</x:v>
      </x:c>
      <x:c r="Y2331" s="10" t="n">
        <x:f>P2331/12</x:f>
        <x:v>18.317330192376723</x:v>
      </x:c>
      <x:c r="Z2331" s="10" t="n">
        <x:f>0</x:f>
        <x:v>0</x:v>
      </x:c>
      <x:c r="AA2331" s="10" t="n">
        <x:f>Z2331*'Assumptions'!$AC$49*'Assumptions'!$D$11*(1+'Assumptions'!$D$13)^(19-1)</x:f>
        <x:v>0</x:v>
      </x:c>
      <x:c r="AB2331" s="10" t="n">
        <x:f>F2331/1</x:f>
        <x:v>6.6437478484811106</x:v>
      </x:c>
      <x:c r="AC2331" s="10" t="n">
        <x:f>AB2331/'Assumptions'!$AM$49</x:f>
        <x:v>33.21873924240555</x:v>
      </x:c>
      <x:c r="AD2331" s="10" t="n">
        <x:f>IF(AB2331=0,0,T2331/AB2331)</x:f>
        <x:v>135.72644217914612</x:v>
      </x:c>
      <x:c r="AE2331" s="10" t="n">
        <x:f>AA2331*'Assumptions'!$D$21</x:f>
        <x:v>0</x:v>
      </x:c>
    </x:row>
    <x:row r="2332" ht="16" customHeight="1">
      <x:c r="A2332" s="1"/>
      <x:c r="B2332" s="1"/>
      <x:c r="C2332" s="1" t="str">
        <x:v>DOT-021</x:v>
      </x:c>
      <x:c r="D2332" s="10" t="str">
        <x:v>BPA professional services</x:v>
      </x:c>
      <x:c r="E2332" s="10" t="n">
        <x:v>19</x:v>
      </x:c>
      <x:c r="F2332" s="21" t="n">
        <x:f>F2204*(1+'Assumptions'!$M$50)</x:f>
        <x:v>4.42916523232074</x:v>
      </x:c>
      <x:c r="G2332" s="21" t="n">
        <x:f>H2204*'Assumptions'!$K$50</x:f>
        <x:v>4.178435552422463</x:v>
      </x:c>
      <x:c r="H2332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2332+G2332,NA())</x:f>
        <x:v>8.607600784743202</x:v>
      </x:c>
      <x:c r="I2332" s="22" t="n">
        <x:f>'Assumptions'!$H$50*IF('Assumptions'!$O$50=1,1,'Assumptions'!$D$10)*(1+'Assumptions'!$N$50)^(19-1)</x:f>
        <x:v>4200</x:v>
      </x:c>
      <x:c r="J2332" s="10" t="n">
        <x:f>H2332*I2332</x:f>
        <x:v>36151.92329592145</x:v>
      </x:c>
      <x:c r="K2332" s="10" t="n">
        <x:f>J2332*'Assumptions'!$T$50</x:f>
        <x:v>36151.92329592145</x:v>
      </x:c>
      <x:c r="L2332" s="10" t="n">
        <x:f>K2332*'Assumptions'!$U$50</x:f>
        <x:v>1084.5576988776434</x:v>
      </x:c>
      <x:c r="M2332" s="10" t="n">
        <x:f>K2332*'Assumptions'!$V$50</x:f>
        <x:v>0</x:v>
      </x:c>
      <x:c r="N2332" s="10" t="n">
        <x:f>K2332-L2332-M2332</x:f>
        <x:v>35067.365597043805</x:v>
      </x:c>
      <x:c r="O2332" s="10" t="n">
        <x:f>H2332*'Assumptions'!$P$50*'Assumptions'!$Q$50*'Assumptions'!$D$11*(1+'Assumptions'!$D$13)^(19-1)</x:f>
        <x:v>10550.782190808988</x:v>
      </x:c>
      <x:c r="P2332" s="10" t="n">
        <x:f>H2332*'Assumptions'!$R$50*'Assumptions'!$D$11*(1+'Assumptions'!$D$13)^(19-1)</x:f>
        <x:v>146.53864153901372</x:v>
      </x:c>
      <x:c r="Q2332" s="10" t="n">
        <x:f>J2332*'Assumptions'!$S$50</x:f>
        <x:v>0</x:v>
      </x:c>
      <x:c r="R2332" s="10" t="n">
        <x:f>H2332*'Assumptions'!$Y$50*'Assumptions'!$Z$50*'Assumptions'!$D$11*(1+'Assumptions'!$D$13)^(19-1)</x:f>
        <x:v>109.90398115426031</x:v>
      </x:c>
      <x:c r="S2332" s="10" t="n">
        <x:f>IF(I2332=0,0,J2332*'Assumptions'!$W$50+H2332*'Assumptions'!$X$50)</x:f>
        <x:v>1050.988055817145</x:v>
      </x:c>
      <x:c r="T2332" s="10" t="n">
        <x:f>N2332*'Assumptions'!$AA$50</x:f>
        <x:v>1402.6946238817522</x:v>
      </x:c>
      <x:c r="U2332" s="10" t="n">
        <x:f>'Assumptions'!$AE$50*'Assumptions'!$D$11*(1+'Assumptions'!$D$13)^(19-1)</x:f>
        <x:v>0</x:v>
      </x:c>
      <x:c r="V2332" s="10" t="n">
        <x:f>0</x:f>
        <x:v>0</x:v>
      </x:c>
      <x:c r="W2332" s="10" t="n">
        <x:f>H2332*('Assumptions'!$P$50+'Assumptions'!$Y$50)</x:f>
        <x:v>105.44310961310423</x:v>
      </x:c>
      <x:c r="X2332" s="10" t="n">
        <x:f>N2332/12*'Assumptions'!$AF$50</x:f>
        <x:v>2922.280466420317</x:v>
      </x:c>
      <x:c r="Y2332" s="10" t="n">
        <x:f>P2332/12</x:f>
        <x:v>12.211553461584478</x:v>
      </x:c>
      <x:c r="Z2332" s="10" t="n">
        <x:f>0</x:f>
        <x:v>0</x:v>
      </x:c>
      <x:c r="AA2332" s="10" t="n">
        <x:f>Z2332*'Assumptions'!$AC$50*'Assumptions'!$D$11*(1+'Assumptions'!$D$13)^(19-1)</x:f>
        <x:v>0</x:v>
      </x:c>
      <x:c r="AB2332" s="10" t="n">
        <x:f>F2332/1</x:f>
        <x:v>4.42916523232074</x:v>
      </x:c>
      <x:c r="AC2332" s="10" t="n">
        <x:f>AB2332/'Assumptions'!$AM$50</x:f>
        <x:v>22.145826161603697</x:v>
      </x:c>
      <x:c r="AD2332" s="10" t="n">
        <x:f>IF(AB2332=0,0,T2332/AB2332)</x:f>
        <x:v>316.695031751341</x:v>
      </x:c>
      <x:c r="AE2332" s="10" t="n">
        <x:f>AA2332*'Assumptions'!$D$21</x:f>
        <x:v>0</x:v>
      </x:c>
    </x:row>
    <x:row r="2333" ht="16" customHeight="1">
      <x:c r="A2333" s="1"/>
      <x:c r="B2333" s="1"/>
      <x:c r="C2333" s="1" t="str">
        <x:v>DOT-022</x:v>
      </x:c>
      <x:c r="D2333" s="10" t="str">
        <x:v>BPA professional services</x:v>
      </x:c>
      <x:c r="E2333" s="10" t="n">
        <x:v>19</x:v>
      </x:c>
      <x:c r="F2333" s="21" t="n">
        <x:f>F2205*(1+'Assumptions'!$M$51)</x:f>
        <x:v>17.71666092928296</x:v>
      </x:c>
      <x:c r="G2333" s="21" t="n">
        <x:f>H2205*'Assumptions'!$K$51</x:f>
        <x:v>16.71374220968985</x:v>
      </x:c>
      <x:c r="H2333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2333+G2333,NA())</x:f>
        <x:v>34.43040313897281</x:v>
      </x:c>
      <x:c r="I2333" s="22" t="n">
        <x:f>'Assumptions'!$H$51*IF('Assumptions'!$O$51=1,1,'Assumptions'!$D$10)*(1+'Assumptions'!$N$51)^(19-1)</x:f>
        <x:v>900</x:v>
      </x:c>
      <x:c r="J2333" s="10" t="n">
        <x:f>H2333*I2333</x:f>
        <x:v>30987.362825075525</x:v>
      </x:c>
      <x:c r="K2333" s="10" t="n">
        <x:f>J2333*'Assumptions'!$T$51</x:f>
        <x:v>30987.362825075525</x:v>
      </x:c>
      <x:c r="L2333" s="10" t="n">
        <x:f>K2333*'Assumptions'!$U$51</x:f>
        <x:v>929.6208847522657</x:v>
      </x:c>
      <x:c r="M2333" s="10" t="n">
        <x:f>K2333*'Assumptions'!$V$51</x:f>
        <x:v>0</x:v>
      </x:c>
      <x:c r="N2333" s="10" t="n">
        <x:f>K2333-L2333-M2333</x:f>
        <x:v>30057.74194032326</x:v>
      </x:c>
      <x:c r="O2333" s="10" t="n">
        <x:f>H2333*'Assumptions'!$P$51*'Assumptions'!$Q$51*'Assumptions'!$D$11*(1+'Assumptions'!$D$13)^(19-1)</x:f>
        <x:v>10550.782190808988</x:v>
      </x:c>
      <x:c r="P2333" s="10" t="n">
        <x:f>H2333*'Assumptions'!$R$51*'Assumptions'!$D$11*(1+'Assumptions'!$D$13)^(19-1)</x:f>
        <x:v>586.1545661560549</x:v>
      </x:c>
      <x:c r="Q2333" s="10" t="n">
        <x:f>J2333*'Assumptions'!$S$51</x:f>
        <x:v>0</x:v>
      </x:c>
      <x:c r="R2333" s="10" t="n">
        <x:f>H2333*'Assumptions'!$Y$51*'Assumptions'!$Z$51*'Assumptions'!$D$11*(1+'Assumptions'!$D$13)^(19-1)</x:f>
        <x:v>439.61592461704123</x:v>
      </x:c>
      <x:c r="S2333" s="10" t="n">
        <x:f>IF(I2333=0,0,J2333*'Assumptions'!$W$51+H2333*'Assumptions'!$X$51)</x:f>
        <x:v>908.9626428688821</x:v>
      </x:c>
      <x:c r="T2333" s="10" t="n">
        <x:f>N2333*'Assumptions'!$AA$51</x:f>
        <x:v>1202.3096776129305</x:v>
      </x:c>
      <x:c r="U2333" s="10" t="n">
        <x:f>'Assumptions'!$AE$51*'Assumptions'!$D$11*(1+'Assumptions'!$D$13)^(19-1)</x:f>
        <x:v>0</x:v>
      </x:c>
      <x:c r="V2333" s="10" t="n">
        <x:f>0</x:f>
        <x:v>0</x:v>
      </x:c>
      <x:c r="W2333" s="10" t="n">
        <x:f>H2333*('Assumptions'!$P$51+'Assumptions'!$Y$51)</x:f>
        <x:v>111.89881020166162</x:v>
      </x:c>
      <x:c r="X2333" s="10" t="n">
        <x:f>N2333/12*'Assumptions'!$AF$51</x:f>
        <x:v>2504.8118283602716</x:v>
      </x:c>
      <x:c r="Y2333" s="10" t="n">
        <x:f>P2333/12</x:f>
        <x:v>48.84621384633791</x:v>
      </x:c>
      <x:c r="Z2333" s="10" t="n">
        <x:f>0</x:f>
        <x:v>0</x:v>
      </x:c>
      <x:c r="AA2333" s="10" t="n">
        <x:f>Z2333*'Assumptions'!$AC$51*'Assumptions'!$D$11*(1+'Assumptions'!$D$13)^(19-1)</x:f>
        <x:v>0</x:v>
      </x:c>
      <x:c r="AB2333" s="10" t="n">
        <x:f>F2333/1</x:f>
        <x:v>17.71666092928296</x:v>
      </x:c>
      <x:c r="AC2333" s="10" t="n">
        <x:f>AB2333/'Assumptions'!$AM$51</x:f>
        <x:v>88.58330464641479</x:v>
      </x:c>
      <x:c r="AD2333" s="10" t="n">
        <x:f>IF(AB2333=0,0,T2333/AB2333)</x:f>
        <x:v>67.86322108957307</x:v>
      </x:c>
      <x:c r="AE2333" s="10" t="n">
        <x:f>AA2333*'Assumptions'!$D$21</x:f>
        <x:v>0</x:v>
      </x:c>
    </x:row>
    <x:row r="2334" ht="16" customHeight="1">
      <x:c r="A2334" s="1"/>
      <x:c r="B2334" s="1"/>
      <x:c r="C2334" s="1" t="str">
        <x:v>DOT-023</x:v>
      </x:c>
      <x:c r="D2334" s="10" t="str">
        <x:v>BPA professional services</x:v>
      </x:c>
      <x:c r="E2334" s="10" t="n">
        <x:v>19</x:v>
      </x:c>
      <x:c r="F2334" s="21" t="n">
        <x:f>F2206*(1+'Assumptions'!$M$52)</x:f>
        <x:v>11.07291308080185</x:v>
      </x:c>
      <x:c r="G2334" s="21" t="n">
        <x:f>H2206*'Assumptions'!$K$52</x:f>
        <x:v>10.446088881056156</x:v>
      </x:c>
      <x:c r="H2334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2334+G2334,NA())</x:f>
        <x:v>21.519001961858006</x:v>
      </x:c>
      <x:c r="I2334" s="22" t="n">
        <x:f>'Assumptions'!$H$52*IF('Assumptions'!$O$52=1,1,'Assumptions'!$D$10)*(1+'Assumptions'!$N$52)^(19-1)</x:f>
        <x:v>1800</x:v>
      </x:c>
      <x:c r="J2334" s="10" t="n">
        <x:f>H2334*I2334</x:f>
        <x:v>38734.203531344414</x:v>
      </x:c>
      <x:c r="K2334" s="10" t="n">
        <x:f>J2334*'Assumptions'!$T$52</x:f>
        <x:v>38734.203531344414</x:v>
      </x:c>
      <x:c r="L2334" s="10" t="n">
        <x:f>K2334*'Assumptions'!$U$52</x:f>
        <x:v>1162.0261059403324</x:v>
      </x:c>
      <x:c r="M2334" s="10" t="n">
        <x:f>K2334*'Assumptions'!$V$52</x:f>
        <x:v>0</x:v>
      </x:c>
      <x:c r="N2334" s="10" t="n">
        <x:f>K2334-L2334-M2334</x:f>
        <x:v>37572.17742540408</x:v>
      </x:c>
      <x:c r="O2334" s="10" t="n">
        <x:f>H2334*'Assumptions'!$P$52*'Assumptions'!$Q$52*'Assumptions'!$D$11*(1+'Assumptions'!$D$13)^(19-1)</x:f>
        <x:v>13188.477738511237</x:v>
      </x:c>
      <x:c r="P2334" s="10" t="n">
        <x:f>H2334*'Assumptions'!$R$52*'Assumptions'!$D$11*(1+'Assumptions'!$D$13)^(19-1)</x:f>
        <x:v>366.34660384753437</x:v>
      </x:c>
      <x:c r="Q2334" s="10" t="n">
        <x:f>J2334*'Assumptions'!$S$52</x:f>
        <x:v>0</x:v>
      </x:c>
      <x:c r="R2334" s="10" t="n">
        <x:f>H2334*'Assumptions'!$Y$52*'Assumptions'!$Z$52*'Assumptions'!$D$11*(1+'Assumptions'!$D$13)^(19-1)</x:f>
        <x:v>274.75995288565076</x:v>
      </x:c>
      <x:c r="S2334" s="10" t="n">
        <x:f>IF(I2334=0,0,J2334*'Assumptions'!$W$52+H2334*'Assumptions'!$X$52)</x:f>
        <x:v>1129.7476029975455</x:v>
      </x:c>
      <x:c r="T2334" s="10" t="n">
        <x:f>N2334*'Assumptions'!$AA$52</x:f>
        <x:v>1502.8870970161631</x:v>
      </x:c>
      <x:c r="U2334" s="10" t="n">
        <x:f>'Assumptions'!$AE$52*'Assumptions'!$D$11*(1+'Assumptions'!$D$13)^(19-1)</x:f>
        <x:v>0</x:v>
      </x:c>
      <x:c r="V2334" s="10" t="n">
        <x:f>0</x:f>
        <x:v>0</x:v>
      </x:c>
      <x:c r="W2334" s="10" t="n">
        <x:f>H2334*('Assumptions'!$P$52+'Assumptions'!$Y$52)</x:f>
        <x:v>134.49376226161255</x:v>
      </x:c>
      <x:c r="X2334" s="10" t="n">
        <x:f>N2334/12*'Assumptions'!$AF$52</x:f>
        <x:v>3131.01478545034</x:v>
      </x:c>
      <x:c r="Y2334" s="10" t="n">
        <x:f>P2334/12</x:f>
        <x:v>30.5288836539612</x:v>
      </x:c>
      <x:c r="Z2334" s="10" t="n">
        <x:f>0</x:f>
        <x:v>0</x:v>
      </x:c>
      <x:c r="AA2334" s="10" t="n">
        <x:f>Z2334*'Assumptions'!$AC$52*'Assumptions'!$D$11*(1+'Assumptions'!$D$13)^(19-1)</x:f>
        <x:v>0</x:v>
      </x:c>
      <x:c r="AB2334" s="10" t="n">
        <x:f>F2334/1</x:f>
        <x:v>11.07291308080185</x:v>
      </x:c>
      <x:c r="AC2334" s="10" t="n">
        <x:f>AB2334/'Assumptions'!$AM$52</x:f>
        <x:v>55.36456540400925</x:v>
      </x:c>
      <x:c r="AD2334" s="10" t="n">
        <x:f>IF(AB2334=0,0,T2334/AB2334)</x:f>
        <x:v>135.72644217914612</x:v>
      </x:c>
      <x:c r="AE2334" s="10" t="n">
        <x:f>AA2334*'Assumptions'!$D$21</x:f>
        <x:v>0</x:v>
      </x:c>
    </x:row>
    <x:row r="2335" ht="16" customHeight="1">
      <x:c r="A2335" s="1"/>
      <x:c r="B2335" s="1"/>
      <x:c r="C2335" s="1" t="str">
        <x:v>DOT-024</x:v>
      </x:c>
      <x:c r="D2335" s="10" t="str">
        <x:v>BPA professional services</x:v>
      </x:c>
      <x:c r="E2335" s="10" t="n">
        <x:v>19</x:v>
      </x:c>
      <x:c r="F2335" s="21" t="n">
        <x:f>F2207*(1+'Assumptions'!$M$53)</x:f>
        <x:v>55.364565404009255</x:v>
      </x:c>
      <x:c r="G2335" s="21" t="n">
        <x:f>H2207*'Assumptions'!$K$53</x:f>
        <x:v>52.23039672156497</x:v>
      </x:c>
      <x:c r="H2335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2335+G2335,NA())</x:f>
        <x:v>107.59496212557423</x:v>
      </x:c>
      <x:c r="I2335" s="22" t="n">
        <x:f>'Assumptions'!$H$53*IF('Assumptions'!$O$53=1,1,'Assumptions'!$D$10)*(1+'Assumptions'!$N$53)^(19-1)</x:f>
        <x:v>540</x:v>
      </x:c>
      <x:c r="J2335" s="10" t="n">
        <x:f>H2335*I2335</x:f>
        <x:v>58101.27954781008</x:v>
      </x:c>
      <x:c r="K2335" s="10" t="n">
        <x:f>J2335*'Assumptions'!$T$53</x:f>
        <x:v>58101.27954781008</x:v>
      </x:c>
      <x:c r="L2335" s="10" t="n">
        <x:f>K2335*'Assumptions'!$U$53</x:f>
        <x:v>1743.0383864343023</x:v>
      </x:c>
      <x:c r="M2335" s="10" t="n">
        <x:f>K2335*'Assumptions'!$V$53</x:f>
        <x:v>0</x:v>
      </x:c>
      <x:c r="N2335" s="10" t="n">
        <x:f>K2335-L2335-M2335</x:f>
        <x:v>56358.24116137578</x:v>
      </x:c>
      <x:c r="O2335" s="10" t="n">
        <x:f>H2335*'Assumptions'!$P$53*'Assumptions'!$Q$53*'Assumptions'!$D$11*(1+'Assumptions'!$D$13)^(19-1)</x:f>
        <x:v>21980.786489451948</x:v>
      </x:c>
      <x:c r="P2335" s="10" t="n">
        <x:f>H2335*'Assumptions'!$R$53*'Assumptions'!$D$11*(1+'Assumptions'!$D$13)^(19-1)</x:f>
        <x:v>1831.7322074543295</x:v>
      </x:c>
      <x:c r="Q2335" s="10" t="n">
        <x:f>J2335*'Assumptions'!$S$53</x:f>
        <x:v>0</x:v>
      </x:c>
      <x:c r="R2335" s="10" t="n">
        <x:f>H2335*'Assumptions'!$Y$53*'Assumptions'!$Z$53*'Assumptions'!$D$11*(1+'Assumptions'!$D$13)^(19-1)</x:f>
        <x:v>1373.7991555907468</x:v>
      </x:c>
      <x:c r="S2335" s="10" t="n">
        <x:f>IF(I2335=0,0,J2335*'Assumptions'!$W$53+H2335*'Assumptions'!$X$53)</x:f>
        <x:v>1717.2155955241649</x:v>
      </x:c>
      <x:c r="T2335" s="10" t="n">
        <x:f>N2335*'Assumptions'!$AA$53</x:f>
        <x:v>2254.3296464550313</x:v>
      </x:c>
      <x:c r="U2335" s="10" t="n">
        <x:f>'Assumptions'!$AE$53*'Assumptions'!$D$11*(1+'Assumptions'!$D$13)^(19-1)</x:f>
        <x:v>0</x:v>
      </x:c>
      <x:c r="V2335" s="10" t="n">
        <x:f>0</x:f>
        <x:v>0</x:v>
      </x:c>
      <x:c r="W2335" s="10" t="n">
        <x:f>H2335*('Assumptions'!$P$53+'Assumptions'!$Y$53)</x:f>
        <x:v>242.08866478254203</x:v>
      </x:c>
      <x:c r="X2335" s="10" t="n">
        <x:f>N2335/12*'Assumptions'!$AF$53</x:f>
        <x:v>4696.520096781315</x:v>
      </x:c>
      <x:c r="Y2335" s="10" t="n">
        <x:f>P2335/12</x:f>
        <x:v>152.64435062119412</x:v>
      </x:c>
      <x:c r="Z2335" s="10" t="n">
        <x:f>0</x:f>
        <x:v>0</x:v>
      </x:c>
      <x:c r="AA2335" s="10" t="n">
        <x:f>Z2335*'Assumptions'!$AC$53*'Assumptions'!$D$11*(1+'Assumptions'!$D$13)^(19-1)</x:f>
        <x:v>0</x:v>
      </x:c>
      <x:c r="AB2335" s="10" t="n">
        <x:f>F2335/1</x:f>
        <x:v>55.364565404009255</x:v>
      </x:c>
      <x:c r="AC2335" s="10" t="n">
        <x:f>AB2335/'Assumptions'!$AM$53</x:f>
        <x:v>276.82282702004625</x:v>
      </x:c>
      <x:c r="AD2335" s="10" t="n">
        <x:f>IF(AB2335=0,0,T2335/AB2335)</x:f>
        <x:v>40.71791460846151</x:v>
      </x:c>
      <x:c r="AE2335" s="10" t="n">
        <x:f>AA2335*'Assumptions'!$D$21</x:f>
        <x:v>0</x:v>
      </x:c>
    </x:row>
    <x:row r="2336" ht="16" customHeight="1">
      <x:c r="A2336" s="1"/>
      <x:c r="B2336" s="1"/>
      <x:c r="C2336" s="1" t="str">
        <x:v>DOT-025</x:v>
      </x:c>
      <x:c r="D2336" s="10" t="str">
        <x:v>BPA professional services</x:v>
      </x:c>
      <x:c r="E2336" s="10" t="n">
        <x:v>19</x:v>
      </x:c>
      <x:c r="F2336" s="21" t="n">
        <x:f>F2208*(1+'Assumptions'!$M$54)</x:f>
        <x:v>22.1458261616037</x:v>
      </x:c>
      <x:c r="G2336" s="21" t="n">
        <x:f>H2208*'Assumptions'!$K$54</x:f>
        <x:v>20.892158688625983</x:v>
      </x:c>
      <x:c r="H2336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2336+G2336,NA())</x:f>
        <x:v>43.037984850229684</x:v>
      </x:c>
      <x:c r="I2336" s="22" t="n">
        <x:f>'Assumptions'!$H$54*IF('Assumptions'!$O$54=1,1,'Assumptions'!$D$10)*(1+'Assumptions'!$N$54)^(19-1)</x:f>
        <x:v>1020</x:v>
      </x:c>
      <x:c r="J2336" s="10" t="n">
        <x:f>H2336*I2336</x:f>
        <x:v>43898.74454723428</x:v>
      </x:c>
      <x:c r="K2336" s="10" t="n">
        <x:f>J2336*'Assumptions'!$T$54</x:f>
        <x:v>43898.74454723428</x:v>
      </x:c>
      <x:c r="L2336" s="10" t="n">
        <x:f>K2336*'Assumptions'!$U$54</x:f>
        <x:v>1316.9623364170284</x:v>
      </x:c>
      <x:c r="M2336" s="10" t="n">
        <x:f>K2336*'Assumptions'!$V$54</x:f>
        <x:v>0</x:v>
      </x:c>
      <x:c r="N2336" s="10" t="n">
        <x:f>K2336-L2336-M2336</x:f>
        <x:v>42581.782210817255</x:v>
      </x:c>
      <x:c r="O2336" s="10" t="n">
        <x:f>H2336*'Assumptions'!$P$54*'Assumptions'!$Q$54*'Assumptions'!$D$11*(1+'Assumptions'!$D$13)^(19-1)</x:f>
        <x:v>21980.786489451948</x:v>
      </x:c>
      <x:c r="P2336" s="10" t="n">
        <x:f>H2336*'Assumptions'!$R$54*'Assumptions'!$D$11*(1+'Assumptions'!$D$13)^(19-1)</x:f>
        <x:v>732.6928829817316</x:v>
      </x:c>
      <x:c r="Q2336" s="10" t="n">
        <x:f>J2336*'Assumptions'!$S$54</x:f>
        <x:v>0</x:v>
      </x:c>
      <x:c r="R2336" s="10" t="n">
        <x:f>H2336*'Assumptions'!$Y$54*'Assumptions'!$Z$54*'Assumptions'!$D$11*(1+'Assumptions'!$D$13)^(19-1)</x:f>
        <x:v>549.5196622362987</x:v>
      </x:c>
      <x:c r="S2336" s="10" t="n">
        <x:f>IF(I2336=0,0,J2336*'Assumptions'!$W$54+H2336*'Assumptions'!$X$54)</x:f>
        <x:v>1285.9749873248632</x:v>
      </x:c>
      <x:c r="T2336" s="10" t="n">
        <x:f>N2336*'Assumptions'!$AA$54</x:f>
        <x:v>1703.2712884326902</x:v>
      </x:c>
      <x:c r="U2336" s="10" t="n">
        <x:f>'Assumptions'!$AE$54*'Assumptions'!$D$11*(1+'Assumptions'!$D$13)^(19-1)</x:f>
        <x:v>0</x:v>
      </x:c>
      <x:c r="V2336" s="10" t="n">
        <x:f>0</x:f>
        <x:v>0</x:v>
      </x:c>
      <x:c r="W2336" s="10" t="n">
        <x:f>H2336*('Assumptions'!$P$54+'Assumptions'!$Y$54)</x:f>
        <x:v>225.94942046370585</x:v>
      </x:c>
      <x:c r="X2336" s="10" t="n">
        <x:f>N2336/12*'Assumptions'!$AF$54</x:f>
        <x:v>3548.481850901438</x:v>
      </x:c>
      <x:c r="Y2336" s="10" t="n">
        <x:f>P2336/12</x:f>
        <x:v>61.057740248477636</x:v>
      </x:c>
      <x:c r="Z2336" s="10" t="n">
        <x:f>0</x:f>
        <x:v>0</x:v>
      </x:c>
      <x:c r="AA2336" s="10" t="n">
        <x:f>Z2336*'Assumptions'!$AC$54*'Assumptions'!$D$11*(1+'Assumptions'!$D$13)^(19-1)</x:f>
        <x:v>0</x:v>
      </x:c>
      <x:c r="AB2336" s="10" t="n">
        <x:f>F2336/1</x:f>
        <x:v>22.1458261616037</x:v>
      </x:c>
      <x:c r="AC2336" s="10" t="n">
        <x:f>AB2336/'Assumptions'!$AM$54</x:f>
        <x:v>110.7291308080185</x:v>
      </x:c>
      <x:c r="AD2336" s="10" t="n">
        <x:f>IF(AB2336=0,0,T2336/AB2336)</x:f>
        <x:v>76.91161648264952</x:v>
      </x:c>
      <x:c r="AE2336" s="10" t="n">
        <x:f>AA2336*'Assumptions'!$D$21</x:f>
        <x:v>0</x:v>
      </x:c>
    </x:row>
    <x:row r="2337" ht="16" customHeight="1">
      <x:c r="A2337" s="1"/>
      <x:c r="B2337" s="1"/>
      <x:c r="C2337" s="1" t="str">
        <x:v>DOT-026</x:v>
      </x:c>
      <x:c r="D2337" s="10" t="str">
        <x:v>BPA professional services</x:v>
      </x:c>
      <x:c r="E2337" s="10" t="n">
        <x:v>19</x:v>
      </x:c>
      <x:c r="F2337" s="21" t="n">
        <x:f>F2209*(1+'Assumptions'!$M$55)</x:f>
        <x:v>8.85833046464148</x:v>
      </x:c>
      <x:c r="G2337" s="21" t="n">
        <x:f>H2209*'Assumptions'!$K$55</x:f>
        <x:v>8.356863475450394</x:v>
      </x:c>
      <x:c r="H2337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2337+G2337,NA())</x:f>
        <x:v>17.215193940091872</x:v>
      </x:c>
      <x:c r="I2337" s="22" t="n">
        <x:f>'Assumptions'!$H$55*IF('Assumptions'!$O$55=1,1,'Assumptions'!$D$10)*(1+'Assumptions'!$N$55)^(19-1)</x:f>
        <x:v>1800</x:v>
      </x:c>
      <x:c r="J2337" s="10" t="n">
        <x:f>H2337*I2337</x:f>
        <x:v>30987.34909216537</x:v>
      </x:c>
      <x:c r="K2337" s="10" t="n">
        <x:f>J2337*'Assumptions'!$T$55</x:f>
        <x:v>30987.34909216537</x:v>
      </x:c>
      <x:c r="L2337" s="10" t="n">
        <x:f>K2337*'Assumptions'!$U$55</x:f>
        <x:v>929.620472764961</x:v>
      </x:c>
      <x:c r="M2337" s="10" t="n">
        <x:f>K2337*'Assumptions'!$V$55</x:f>
        <x:v>0</x:v>
      </x:c>
      <x:c r="N2337" s="10" t="n">
        <x:f>K2337-L2337-M2337</x:f>
        <x:v>30057.72861940041</x:v>
      </x:c>
      <x:c r="O2337" s="10" t="n">
        <x:f>H2337*'Assumptions'!$P$55*'Assumptions'!$Q$55*'Assumptions'!$D$11*(1+'Assumptions'!$D$13)^(19-1)</x:f>
        <x:v>17584.629191561555</x:v>
      </x:c>
      <x:c r="P2337" s="10" t="n">
        <x:f>H2337*'Assumptions'!$R$55*'Assumptions'!$D$11*(1+'Assumptions'!$D$13)^(19-1)</x:f>
        <x:v>293.07715319269255</x:v>
      </x:c>
      <x:c r="Q2337" s="10" t="n">
        <x:f>J2337*'Assumptions'!$S$55</x:f>
        <x:v>0</x:v>
      </x:c>
      <x:c r="R2337" s="10" t="n">
        <x:f>H2337*'Assumptions'!$Y$55*'Assumptions'!$Z$55*'Assumptions'!$D$11*(1+'Assumptions'!$D$13)^(19-1)</x:f>
        <x:v>219.80786489451947</x:v>
      </x:c>
      <x:c r="S2337" s="10" t="n">
        <x:f>IF(I2337=0,0,J2337*'Assumptions'!$W$55+H2337*'Assumptions'!$X$55)</x:f>
        <x:v>903.7976818548233</x:v>
      </x:c>
      <x:c r="T2337" s="10" t="n">
        <x:f>N2337*'Assumptions'!$AA$55</x:f>
        <x:v>1202.3091447760164</x:v>
      </x:c>
      <x:c r="U2337" s="10" t="n">
        <x:f>'Assumptions'!$AE$55*'Assumptions'!$D$11*(1+'Assumptions'!$D$13)^(19-1)</x:f>
        <x:v>0</x:v>
      </x:c>
      <x:c r="V2337" s="10" t="n">
        <x:f>0</x:f>
        <x:v>0</x:v>
      </x:c>
      <x:c r="W2337" s="10" t="n">
        <x:f>H2337*('Assumptions'!$P$55+'Assumptions'!$Y$55)</x:f>
        <x:v>176.4557378859417</x:v>
      </x:c>
      <x:c r="X2337" s="10" t="n">
        <x:f>N2337/12*'Assumptions'!$AF$55</x:f>
        <x:v>2504.8107182833674</x:v>
      </x:c>
      <x:c r="Y2337" s="10" t="n">
        <x:f>P2337/12</x:f>
        <x:v>24.423096099391046</x:v>
      </x:c>
      <x:c r="Z2337" s="10" t="n">
        <x:f>0</x:f>
        <x:v>0</x:v>
      </x:c>
      <x:c r="AA2337" s="10" t="n">
        <x:f>Z2337*'Assumptions'!$AC$55*'Assumptions'!$D$11*(1+'Assumptions'!$D$13)^(19-1)</x:f>
        <x:v>0</x:v>
      </x:c>
      <x:c r="AB2337" s="10" t="n">
        <x:f>F2337/1</x:f>
        <x:v>8.85833046464148</x:v>
      </x:c>
      <x:c r="AC2337" s="10" t="n">
        <x:f>AB2337/'Assumptions'!$AM$55</x:f>
        <x:v>44.291652323207394</x:v>
      </x:c>
      <x:c r="AD2337" s="10" t="n">
        <x:f>IF(AB2337=0,0,T2337/AB2337)</x:f>
        <x:v>135.72638202820502</x:v>
      </x:c>
      <x:c r="AE2337" s="10" t="n">
        <x:f>AA2337*'Assumptions'!$D$21</x:f>
        <x:v>0</x:v>
      </x:c>
    </x:row>
    <x:row r="2338" ht="16" customHeight="1">
      <x:c r="A2338" s="1"/>
      <x:c r="B2338" s="1"/>
      <x:c r="C2338" s="1" t="str">
        <x:v>DOT-027</x:v>
      </x:c>
      <x:c r="D2338" s="10" t="str">
        <x:v>BPA professional services</x:v>
      </x:c>
      <x:c r="E2338" s="10" t="n">
        <x:v>19</x:v>
      </x:c>
      <x:c r="F2338" s="21" t="n">
        <x:f>F2210*(1+'Assumptions'!$M$56)</x:f>
        <x:v>8.85833046464148</x:v>
      </x:c>
      <x:c r="G2338" s="21" t="n">
        <x:f>H2210*'Assumptions'!$K$56</x:f>
        <x:v>8.356863475450394</x:v>
      </x:c>
      <x:c r="H2338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2338+G2338,NA())</x:f>
        <x:v>17.215193940091872</x:v>
      </x:c>
      <x:c r="I2338" s="22" t="n">
        <x:f>'Assumptions'!$H$56*IF('Assumptions'!$O$56=1,1,'Assumptions'!$D$10)*(1+'Assumptions'!$N$56)^(19-1)</x:f>
        <x:v>1800</x:v>
      </x:c>
      <x:c r="J2338" s="10" t="n">
        <x:f>H2338*I2338</x:f>
        <x:v>30987.34909216537</x:v>
      </x:c>
      <x:c r="K2338" s="10" t="n">
        <x:f>J2338*'Assumptions'!$T$56</x:f>
        <x:v>30987.34909216537</x:v>
      </x:c>
      <x:c r="L2338" s="10" t="n">
        <x:f>K2338*'Assumptions'!$U$56</x:f>
        <x:v>929.620472764961</x:v>
      </x:c>
      <x:c r="M2338" s="10" t="n">
        <x:f>K2338*'Assumptions'!$V$56</x:f>
        <x:v>0</x:v>
      </x:c>
      <x:c r="N2338" s="10" t="n">
        <x:f>K2338-L2338-M2338</x:f>
        <x:v>30057.72861940041</x:v>
      </x:c>
      <x:c r="O2338" s="10" t="n">
        <x:f>H2338*'Assumptions'!$P$56*'Assumptions'!$Q$56*'Assumptions'!$D$11*(1+'Assumptions'!$D$13)^(19-1)</x:f>
        <x:v>17584.629191561555</x:v>
      </x:c>
      <x:c r="P2338" s="10" t="n">
        <x:f>H2338*'Assumptions'!$R$56*'Assumptions'!$D$11*(1+'Assumptions'!$D$13)^(19-1)</x:f>
        <x:v>293.07715319269255</x:v>
      </x:c>
      <x:c r="Q2338" s="10" t="n">
        <x:f>J2338*'Assumptions'!$S$56</x:f>
        <x:v>0</x:v>
      </x:c>
      <x:c r="R2338" s="10" t="n">
        <x:f>H2338*'Assumptions'!$Y$56*'Assumptions'!$Z$56*'Assumptions'!$D$11*(1+'Assumptions'!$D$13)^(19-1)</x:f>
        <x:v>219.80786489451947</x:v>
      </x:c>
      <x:c r="S2338" s="10" t="n">
        <x:f>IF(I2338=0,0,J2338*'Assumptions'!$W$56+H2338*'Assumptions'!$X$56)</x:f>
        <x:v>903.7976818548233</x:v>
      </x:c>
      <x:c r="T2338" s="10" t="n">
        <x:f>N2338*'Assumptions'!$AA$56</x:f>
        <x:v>1202.3091447760164</x:v>
      </x:c>
      <x:c r="U2338" s="10" t="n">
        <x:f>'Assumptions'!$AE$56*'Assumptions'!$D$11*(1+'Assumptions'!$D$13)^(19-1)</x:f>
        <x:v>0</x:v>
      </x:c>
      <x:c r="V2338" s="10" t="n">
        <x:f>0</x:f>
        <x:v>0</x:v>
      </x:c>
      <x:c r="W2338" s="10" t="n">
        <x:f>H2338*('Assumptions'!$P$56+'Assumptions'!$Y$56)</x:f>
        <x:v>176.4557378859417</x:v>
      </x:c>
      <x:c r="X2338" s="10" t="n">
        <x:f>N2338/12*'Assumptions'!$AF$56</x:f>
        <x:v>2504.8107182833674</x:v>
      </x:c>
      <x:c r="Y2338" s="10" t="n">
        <x:f>P2338/12</x:f>
        <x:v>24.423096099391046</x:v>
      </x:c>
      <x:c r="Z2338" s="10" t="n">
        <x:f>0</x:f>
        <x:v>0</x:v>
      </x:c>
      <x:c r="AA2338" s="10" t="n">
        <x:f>Z2338*'Assumptions'!$AC$56*'Assumptions'!$D$11*(1+'Assumptions'!$D$13)^(19-1)</x:f>
        <x:v>0</x:v>
      </x:c>
      <x:c r="AB2338" s="10" t="n">
        <x:f>F2338/1</x:f>
        <x:v>8.85833046464148</x:v>
      </x:c>
      <x:c r="AC2338" s="10" t="n">
        <x:f>AB2338/'Assumptions'!$AM$56</x:f>
        <x:v>44.291652323207394</x:v>
      </x:c>
      <x:c r="AD2338" s="10" t="n">
        <x:f>IF(AB2338=0,0,T2338/AB2338)</x:f>
        <x:v>135.72638202820502</x:v>
      </x:c>
      <x:c r="AE2338" s="10" t="n">
        <x:f>AA2338*'Assumptions'!$D$21</x:f>
        <x:v>0</x:v>
      </x:c>
    </x:row>
    <x:row r="2339" ht="16" customHeight="1">
      <x:c r="A2339" s="1"/>
      <x:c r="B2339" s="1"/>
      <x:c r="C2339" s="1" t="str">
        <x:v>DOT-028</x:v>
      </x:c>
      <x:c r="D2339" s="10" t="str">
        <x:v>BPA professional services</x:v>
      </x:c>
      <x:c r="E2339" s="10" t="n">
        <x:v>19</x:v>
      </x:c>
      <x:c r="F2339" s="21" t="n">
        <x:f>F2211*(1+'Assumptions'!$M$57)</x:f>
        <x:v>4.42916523232074</x:v>
      </x:c>
      <x:c r="G2339" s="21" t="n">
        <x:f>H2211*'Assumptions'!$K$57</x:f>
        <x:v>4.178431737725197</x:v>
      </x:c>
      <x:c r="H2339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2339+G2339,NA())</x:f>
        <x:v>8.607596970045936</x:v>
      </x:c>
      <x:c r="I2339" s="22" t="n">
        <x:f>'Assumptions'!$H$57*IF('Assumptions'!$O$57=1,1,'Assumptions'!$D$10)*(1+'Assumptions'!$N$57)^(19-1)</x:f>
        <x:v>1800</x:v>
      </x:c>
      <x:c r="J2339" s="10" t="n">
        <x:f>H2339*I2339</x:f>
        <x:v>15493.674546082684</x:v>
      </x:c>
      <x:c r="K2339" s="10" t="n">
        <x:f>J2339*'Assumptions'!$T$57</x:f>
        <x:v>15493.674546082684</x:v>
      </x:c>
      <x:c r="L2339" s="10" t="n">
        <x:f>K2339*'Assumptions'!$U$57</x:f>
        <x:v>464.8102363824805</x:v>
      </x:c>
      <x:c r="M2339" s="10" t="n">
        <x:f>K2339*'Assumptions'!$V$57</x:f>
        <x:v>0</x:v>
      </x:c>
      <x:c r="N2339" s="10" t="n">
        <x:f>K2339-L2339-M2339</x:f>
        <x:v>15028.864309700204</x:v>
      </x:c>
      <x:c r="O2339" s="10" t="n">
        <x:f>H2339*'Assumptions'!$P$57*'Assumptions'!$Q$57*'Assumptions'!$D$11*(1+'Assumptions'!$D$13)^(19-1)</x:f>
        <x:v>10550.777514936934</x:v>
      </x:c>
      <x:c r="P2339" s="10" t="n">
        <x:f>H2339*'Assumptions'!$R$57*'Assumptions'!$D$11*(1+'Assumptions'!$D$13)^(19-1)</x:f>
        <x:v>146.53857659634627</x:v>
      </x:c>
      <x:c r="Q2339" s="10" t="n">
        <x:f>J2339*'Assumptions'!$S$57</x:f>
        <x:v>0</x:v>
      </x:c>
      <x:c r="R2339" s="10" t="n">
        <x:f>H2339*'Assumptions'!$Y$57*'Assumptions'!$Z$57*'Assumptions'!$D$11*(1+'Assumptions'!$D$13)^(19-1)</x:f>
        <x:v>109.90393244725973</x:v>
      </x:c>
      <x:c r="S2339" s="10" t="n">
        <x:f>IF(I2339=0,0,J2339*'Assumptions'!$W$57+H2339*'Assumptions'!$X$57)</x:f>
        <x:v>451.89884092741164</x:v>
      </x:c>
      <x:c r="T2339" s="10" t="n">
        <x:f>N2339*'Assumptions'!$AA$57</x:f>
        <x:v>601.1545723880082</x:v>
      </x:c>
      <x:c r="U2339" s="10" t="n">
        <x:f>'Assumptions'!$AE$57*'Assumptions'!$D$11*(1+'Assumptions'!$D$13)^(19-1)</x:f>
        <x:v>0</x:v>
      </x:c>
      <x:c r="V2339" s="10" t="n">
        <x:f>0</x:f>
        <x:v>0</x:v>
      </x:c>
      <x:c r="W2339" s="10" t="n">
        <x:f>H2339*('Assumptions'!$P$57+'Assumptions'!$Y$57)</x:f>
        <x:v>105.44306288306272</x:v>
      </x:c>
      <x:c r="X2339" s="10" t="n">
        <x:f>N2339/12*'Assumptions'!$AF$57</x:f>
        <x:v>1252.4053591416837</x:v>
      </x:c>
      <x:c r="Y2339" s="10" t="n">
        <x:f>P2339/12</x:f>
        <x:v>12.211548049695523</x:v>
      </x:c>
      <x:c r="Z2339" s="10" t="n">
        <x:f>0</x:f>
        <x:v>0</x:v>
      </x:c>
      <x:c r="AA2339" s="10" t="n">
        <x:f>Z2339*'Assumptions'!$AC$57*'Assumptions'!$D$11*(1+'Assumptions'!$D$13)^(19-1)</x:f>
        <x:v>0</x:v>
      </x:c>
      <x:c r="AB2339" s="10" t="n">
        <x:f>F2339/1</x:f>
        <x:v>4.42916523232074</x:v>
      </x:c>
      <x:c r="AC2339" s="10" t="n">
        <x:f>AB2339/'Assumptions'!$AM$57</x:f>
        <x:v>22.145826161603697</x:v>
      </x:c>
      <x:c r="AD2339" s="10" t="n">
        <x:f>IF(AB2339=0,0,T2339/AB2339)</x:f>
        <x:v>135.72638202820502</x:v>
      </x:c>
      <x:c r="AE2339" s="10" t="n">
        <x:f>AA2339*'Assumptions'!$D$21</x:f>
        <x:v>0</x:v>
      </x:c>
    </x:row>
    <x:row r="2340" ht="16" customHeight="1">
      <x:c r="A2340" s="1"/>
      <x:c r="B2340" s="1"/>
      <x:c r="C2340" s="1" t="str">
        <x:v>DOT-029</x:v>
      </x:c>
      <x:c r="D2340" s="10" t="str">
        <x:v>BPA professional services</x:v>
      </x:c>
      <x:c r="E2340" s="10" t="n">
        <x:v>19</x:v>
      </x:c>
      <x:c r="F2340" s="21" t="n">
        <x:f>F2212*(1+'Assumptions'!$M$58)</x:f>
        <x:v>44.2916523232074</x:v>
      </x:c>
      <x:c r="G2340" s="21" t="n">
        <x:f>H2212*'Assumptions'!$K$58</x:f>
        <x:v>41.784317377251966</x:v>
      </x:c>
      <x:c r="H2340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2340+G2340,NA())</x:f>
        <x:v>86.07596970045937</x:v>
      </x:c>
      <x:c r="I2340" s="22" t="n">
        <x:f>'Assumptions'!$H$58*IF('Assumptions'!$O$58=1,1,'Assumptions'!$D$10)*(1+'Assumptions'!$N$58)^(19-1)</x:f>
        <x:v>180</x:v>
      </x:c>
      <x:c r="J2340" s="10" t="n">
        <x:f>H2340*I2340</x:f>
        <x:v>15493.674546082686</x:v>
      </x:c>
      <x:c r="K2340" s="10" t="n">
        <x:f>J2340*'Assumptions'!$T$58</x:f>
        <x:v>15493.674546082686</x:v>
      </x:c>
      <x:c r="L2340" s="10" t="n">
        <x:f>K2340*'Assumptions'!$U$58</x:f>
        <x:v>464.8102363824806</x:v>
      </x:c>
      <x:c r="M2340" s="10" t="n">
        <x:f>K2340*'Assumptions'!$V$58</x:f>
        <x:v>0</x:v>
      </x:c>
      <x:c r="N2340" s="10" t="n">
        <x:f>K2340-L2340-M2340</x:f>
        <x:v>15028.864309700206</x:v>
      </x:c>
      <x:c r="O2340" s="10" t="n">
        <x:f>H2340*'Assumptions'!$P$58*'Assumptions'!$Q$58*'Assumptions'!$D$11*(1+'Assumptions'!$D$13)^(19-1)</x:f>
        <x:v>8792.31459578078</x:v>
      </x:c>
      <x:c r="P2340" s="10" t="n">
        <x:f>H2340*'Assumptions'!$R$58*'Assumptions'!$D$11*(1+'Assumptions'!$D$13)^(19-1)</x:f>
        <x:v>1465.3857659634632</x:v>
      </x:c>
      <x:c r="Q2340" s="10" t="n">
        <x:f>J2340*'Assumptions'!$S$58</x:f>
        <x:v>0</x:v>
      </x:c>
      <x:c r="R2340" s="10" t="n">
        <x:f>H2340*'Assumptions'!$Y$58*'Assumptions'!$Z$58*'Assumptions'!$D$11*(1+'Assumptions'!$D$13)^(19-1)</x:f>
        <x:v>1099.0393244725974</x:v>
      </x:c>
      <x:c r="S2340" s="10" t="n">
        <x:f>IF(I2340=0,0,J2340*'Assumptions'!$W$58+H2340*'Assumptions'!$X$58)</x:f>
        <x:v>475.13935274653574</x:v>
      </x:c>
      <x:c r="T2340" s="10" t="n">
        <x:f>N2340*'Assumptions'!$AA$58</x:f>
        <x:v>601.1545723880082</x:v>
      </x:c>
      <x:c r="U2340" s="10" t="n">
        <x:f>'Assumptions'!$AE$58*'Assumptions'!$D$11*(1+'Assumptions'!$D$13)^(19-1)</x:f>
        <x:v>0</x:v>
      </x:c>
      <x:c r="V2340" s="10" t="n">
        <x:f>0</x:f>
        <x:v>0</x:v>
      </x:c>
      <x:c r="W2340" s="10" t="n">
        <x:f>H2340*('Assumptions'!$P$58+'Assumptions'!$Y$58)</x:f>
        <x:v>107.59496212557421</x:v>
      </x:c>
      <x:c r="X2340" s="10" t="n">
        <x:f>N2340/12*'Assumptions'!$AF$58</x:f>
        <x:v>1252.405359141684</x:v>
      </x:c>
      <x:c r="Y2340" s="10" t="n">
        <x:f>P2340/12</x:f>
        <x:v>122.11548049695527</x:v>
      </x:c>
      <x:c r="Z2340" s="10" t="n">
        <x:f>0</x:f>
        <x:v>0</x:v>
      </x:c>
      <x:c r="AA2340" s="10" t="n">
        <x:f>Z2340*'Assumptions'!$AC$58*'Assumptions'!$D$11*(1+'Assumptions'!$D$13)^(19-1)</x:f>
        <x:v>0</x:v>
      </x:c>
      <x:c r="AB2340" s="10" t="n">
        <x:f>F2340/1</x:f>
        <x:v>44.2916523232074</x:v>
      </x:c>
      <x:c r="AC2340" s="10" t="n">
        <x:f>AB2340/'Assumptions'!$AM$58</x:f>
        <x:v>221.458261616037</x:v>
      </x:c>
      <x:c r="AD2340" s="10" t="n">
        <x:f>IF(AB2340=0,0,T2340/AB2340)</x:f>
        <x:v>13.572638202820501</x:v>
      </x:c>
      <x:c r="AE2340" s="10" t="n">
        <x:f>AA2340*'Assumptions'!$D$21</x:f>
        <x:v>0</x:v>
      </x:c>
    </x:row>
    <x:row r="2341" ht="16" customHeight="1">
      <x:c r="A2341" s="1"/>
      <x:c r="B2341" s="1"/>
      <x:c r="C2341" s="1" t="str">
        <x:v>DOT-030</x:v>
      </x:c>
      <x:c r="D2341" s="10" t="str">
        <x:v>BPA professional services</x:v>
      </x:c>
      <x:c r="E2341" s="10" t="n">
        <x:v>19</x:v>
      </x:c>
      <x:c r="F2341" s="21" t="n">
        <x:f>F2213*(1+'Assumptions'!$M$59)</x:f>
        <x:v>8.85833046464148</x:v>
      </x:c>
      <x:c r="G2341" s="21" t="n">
        <x:f>H2213*'Assumptions'!$K$59</x:f>
        <x:v>8.356863475450394</x:v>
      </x:c>
      <x:c r="H2341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2341+G2341,NA())</x:f>
        <x:v>17.215193940091872</x:v>
      </x:c>
      <x:c r="I2341" s="22" t="n">
        <x:f>'Assumptions'!$H$59*IF('Assumptions'!$O$59=1,1,'Assumptions'!$D$10)*(1+'Assumptions'!$N$59)^(19-1)</x:f>
        <x:v>714.1231237881367</x:v>
      </x:c>
      <x:c r="J2341" s="10" t="n">
        <x:f>H2341*I2341</x:f>
        <x:v>12293.76807311701</x:v>
      </x:c>
      <x:c r="K2341" s="10" t="n">
        <x:f>J2341*'Assumptions'!$T$59</x:f>
        <x:v>12293.76807311701</x:v>
      </x:c>
      <x:c r="L2341" s="10" t="n">
        <x:f>K2341*'Assumptions'!$U$59</x:f>
        <x:v>368.8130421935103</x:v>
      </x:c>
      <x:c r="M2341" s="10" t="n">
        <x:f>K2341*'Assumptions'!$V$59</x:f>
        <x:v>0</x:v>
      </x:c>
      <x:c r="N2341" s="10" t="n">
        <x:f>K2341-L2341-M2341</x:f>
        <x:v>11924.955030923498</x:v>
      </x:c>
      <x:c r="O2341" s="10" t="n">
        <x:f>H2341*'Assumptions'!$P$59*'Assumptions'!$Q$59*'Assumptions'!$D$11*(1+'Assumptions'!$D$13)^(19-1)</x:f>
        <x:v>5275.388757468467</x:v>
      </x:c>
      <x:c r="P2341" s="10" t="n">
        <x:f>H2341*'Assumptions'!$R$59*'Assumptions'!$D$11*(1+'Assumptions'!$D$13)^(19-1)</x:f>
        <x:v>293.07715319269255</x:v>
      </x:c>
      <x:c r="Q2341" s="10" t="n">
        <x:f>J2341*'Assumptions'!$S$59</x:f>
        <x:v>0</x:v>
      </x:c>
      <x:c r="R2341" s="10" t="n">
        <x:f>H2341*'Assumptions'!$Y$59*'Assumptions'!$Z$59*'Assumptions'!$D$11*(1+'Assumptions'!$D$13)^(19-1)</x:f>
        <x:v>219.80786489451947</x:v>
      </x:c>
      <x:c r="S2341" s="10" t="n">
        <x:f>IF(I2341=0,0,J2341*'Assumptions'!$W$59+H2341*'Assumptions'!$X$59)</x:f>
        <x:v>361.68383230242085</x:v>
      </x:c>
      <x:c r="T2341" s="10" t="n">
        <x:f>N2341*'Assumptions'!$AA$59</x:f>
        <x:v>476.99820123693996</x:v>
      </x:c>
      <x:c r="U2341" s="10" t="n">
        <x:f>'Assumptions'!$AE$59*'Assumptions'!$D$11*(1+'Assumptions'!$D$13)^(19-1)</x:f>
        <x:v>0</x:v>
      </x:c>
      <x:c r="V2341" s="10" t="n">
        <x:f>0</x:f>
        <x:v>0</x:v>
      </x:c>
      <x:c r="W2341" s="10" t="n">
        <x:f>H2341*('Assumptions'!$P$59+'Assumptions'!$Y$59)</x:f>
        <x:v>55.94938030529858</x:v>
      </x:c>
      <x:c r="X2341" s="10" t="n">
        <x:f>N2341/12*'Assumptions'!$AF$59</x:f>
        <x:v>993.7462525769582</x:v>
      </x:c>
      <x:c r="Y2341" s="10" t="n">
        <x:f>P2341/12</x:f>
        <x:v>24.423096099391046</x:v>
      </x:c>
      <x:c r="Z2341" s="10" t="n">
        <x:f>0</x:f>
        <x:v>0</x:v>
      </x:c>
      <x:c r="AA2341" s="10" t="n">
        <x:f>Z2341*'Assumptions'!$AC$59*'Assumptions'!$D$11*(1+'Assumptions'!$D$13)^(19-1)</x:f>
        <x:v>0</x:v>
      </x:c>
      <x:c r="AB2341" s="10" t="n">
        <x:f>F2341/1</x:f>
        <x:v>8.85833046464148</x:v>
      </x:c>
      <x:c r="AC2341" s="10" t="n">
        <x:f>AB2341/'Assumptions'!$AM$59</x:f>
        <x:v>44.291652323207394</x:v>
      </x:c>
      <x:c r="AD2341" s="10" t="n">
        <x:f>IF(AB2341=0,0,T2341/AB2341)</x:f>
        <x:v>53.847415508024326</x:v>
      </x:c>
      <x:c r="AE2341" s="10" t="n">
        <x:f>AA2341*'Assumptions'!$D$21</x:f>
        <x:v>0</x:v>
      </x:c>
    </x:row>
    <x:row r="2342" ht="16" customHeight="1">
      <x:c r="A2342" s="1"/>
      <x:c r="B2342" s="1"/>
      <x:c r="C2342" s="1" t="str">
        <x:v>DOT-031</x:v>
      </x:c>
      <x:c r="D2342" s="10" t="str">
        <x:v>BPA professional services</x:v>
      </x:c>
      <x:c r="E2342" s="10" t="n">
        <x:v>19</x:v>
      </x:c>
      <x:c r="F2342" s="21" t="n">
        <x:f>F2214*(1+'Assumptions'!$M$60)</x:f>
        <x:v>4.42916523232074</x:v>
      </x:c>
      <x:c r="G2342" s="21" t="n">
        <x:f>H2214*'Assumptions'!$K$60</x:f>
        <x:v>4.178435552422463</x:v>
      </x:c>
      <x:c r="H2342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2342+G2342,NA())</x:f>
        <x:v>8.607600784743202</x:v>
      </x:c>
      <x:c r="I2342" s="22" t="n">
        <x:f>'Assumptions'!$H$60*IF('Assumptions'!$O$60=1,1,'Assumptions'!$D$10)*(1+'Assumptions'!$N$60)^(19-1)</x:f>
        <x:v>7141.231237881367</x:v>
      </x:c>
      <x:c r="J2342" s="10" t="n">
        <x:f>H2342*I2342</x:f>
        <x:v>61468.867607220316</x:v>
      </x:c>
      <x:c r="K2342" s="10" t="n">
        <x:f>J2342*'Assumptions'!$T$60</x:f>
        <x:v>61468.867607220316</x:v>
      </x:c>
      <x:c r="L2342" s="10" t="n">
        <x:f>K2342*'Assumptions'!$U$60</x:f>
        <x:v>1844.0660282166093</x:v>
      </x:c>
      <x:c r="M2342" s="10" t="n">
        <x:f>K2342*'Assumptions'!$V$60</x:f>
        <x:v>0</x:v>
      </x:c>
      <x:c r="N2342" s="10" t="n">
        <x:f>K2342-L2342-M2342</x:f>
        <x:v>59624.80157900371</x:v>
      </x:c>
      <x:c r="O2342" s="10" t="n">
        <x:f>H2342*'Assumptions'!$P$60*'Assumptions'!$Q$60*'Assumptions'!$D$11*(1+'Assumptions'!$D$13)^(19-1)</x:f>
        <x:v>35169.27396936329</x:v>
      </x:c>
      <x:c r="P2342" s="10" t="n">
        <x:f>H2342*'Assumptions'!$R$60*'Assumptions'!$D$11*(1+'Assumptions'!$D$13)^(19-1)</x:f>
        <x:v>146.53864153901372</x:v>
      </x:c>
      <x:c r="Q2342" s="10" t="n">
        <x:f>J2342*'Assumptions'!$S$60</x:f>
        <x:v>0</x:v>
      </x:c>
      <x:c r="R2342" s="10" t="n">
        <x:f>H2342*'Assumptions'!$Y$60*'Assumptions'!$Z$60*'Assumptions'!$D$11*(1+'Assumptions'!$D$13)^(19-1)</x:f>
        <x:v>109.90398115426031</x:v>
      </x:c>
      <x:c r="S2342" s="10" t="n">
        <x:f>IF(I2342=0,0,J2342*'Assumptions'!$W$60+H2342*'Assumptions'!$X$60)</x:f>
        <x:v>1785.1794408448122</x:v>
      </x:c>
      <x:c r="T2342" s="10" t="n">
        <x:f>N2342*'Assumptions'!$AA$60</x:f>
        <x:v>2384.9920631601485</x:v>
      </x:c>
      <x:c r="U2342" s="10" t="n">
        <x:f>'Assumptions'!$AE$60*'Assumptions'!$D$11*(1+'Assumptions'!$D$13)^(19-1)</x:f>
        <x:v>0</x:v>
      </x:c>
      <x:c r="V2342" s="10" t="n">
        <x:f>0</x:f>
        <x:v>0</x:v>
      </x:c>
      <x:c r="W2342" s="10" t="n">
        <x:f>H2342*('Assumptions'!$P$60+'Assumptions'!$Y$60)</x:f>
        <x:v>346.45593158591385</x:v>
      </x:c>
      <x:c r="X2342" s="10" t="n">
        <x:f>N2342/12*'Assumptions'!$AF$60</x:f>
        <x:v>4968.733464916976</x:v>
      </x:c>
      <x:c r="Y2342" s="10" t="n">
        <x:f>P2342/12</x:f>
        <x:v>12.211553461584478</x:v>
      </x:c>
      <x:c r="Z2342" s="10" t="n">
        <x:f>0</x:f>
        <x:v>0</x:v>
      </x:c>
      <x:c r="AA2342" s="10" t="n">
        <x:f>Z2342*'Assumptions'!$AC$60*'Assumptions'!$D$11*(1+'Assumptions'!$D$13)^(19-1)</x:f>
        <x:v>0</x:v>
      </x:c>
      <x:c r="AB2342" s="10" t="n">
        <x:f>F2342/1</x:f>
        <x:v>4.42916523232074</x:v>
      </x:c>
      <x:c r="AC2342" s="10" t="n">
        <x:f>AB2342/'Assumptions'!$AM$60</x:f>
        <x:v>22.145826161603697</x:v>
      </x:c>
      <x:c r="AD2342" s="10" t="n">
        <x:f>IF(AB2342=0,0,T2342/AB2342)</x:f>
        <x:v>538.4743937201208</x:v>
      </x:c>
      <x:c r="AE2342" s="10" t="n">
        <x:f>AA2342*'Assumptions'!$D$21</x:f>
        <x:v>0</x:v>
      </x:c>
    </x:row>
    <x:row r="2343" ht="16" customHeight="1">
      <x:c r="A2343" s="1"/>
      <x:c r="B2343" s="1"/>
      <x:c r="C2343" s="1" t="str">
        <x:v>DOT-032</x:v>
      </x:c>
      <x:c r="D2343" s="10" t="str">
        <x:v>BPA professional services</x:v>
      </x:c>
      <x:c r="E2343" s="10" t="n">
        <x:v>19</x:v>
      </x:c>
      <x:c r="F2343" s="21" t="n">
        <x:f>F2215*(1+'Assumptions'!$M$61)</x:f>
        <x:v>2.21458261616037</x:v>
      </x:c>
      <x:c r="G2343" s="21" t="n">
        <x:f>H2215*'Assumptions'!$K$61</x:f>
        <x:v>2.0892177762112314</x:v>
      </x:c>
      <x:c r="H2343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2343+G2343,NA())</x:f>
        <x:v>4.303800392371601</x:v>
      </x:c>
      <x:c r="I2343" s="22" t="n">
        <x:f>'Assumptions'!$H$61*IF('Assumptions'!$O$61=1,1,'Assumptions'!$D$10)*(1+'Assumptions'!$N$61)^(19-1)</x:f>
        <x:v>10711.84685682205</x:v>
      </x:c>
      <x:c r="J2343" s="10" t="n">
        <x:f>H2343*I2343</x:f>
        <x:v>46101.65070541524</x:v>
      </x:c>
      <x:c r="K2343" s="10" t="n">
        <x:f>J2343*'Assumptions'!$T$61</x:f>
        <x:v>46101.65070541524</x:v>
      </x:c>
      <x:c r="L2343" s="10" t="n">
        <x:f>K2343*'Assumptions'!$U$61</x:f>
        <x:v>1383.049521162457</x:v>
      </x:c>
      <x:c r="M2343" s="10" t="n">
        <x:f>K2343*'Assumptions'!$V$61</x:f>
        <x:v>0</x:v>
      </x:c>
      <x:c r="N2343" s="10" t="n">
        <x:f>K2343-L2343-M2343</x:f>
        <x:v>44718.60118425278</x:v>
      </x:c>
      <x:c r="O2343" s="10" t="n">
        <x:f>H2343*'Assumptions'!$P$61*'Assumptions'!$Q$61*'Assumptions'!$D$11*(1+'Assumptions'!$D$13)^(19-1)</x:f>
        <x:v>26376.955477022475</x:v>
      </x:c>
      <x:c r="P2343" s="10" t="n">
        <x:f>H2343*'Assumptions'!$R$61*'Assumptions'!$D$11*(1+'Assumptions'!$D$13)^(19-1)</x:f>
        <x:v>73.26932076950686</x:v>
      </x:c>
      <x:c r="Q2343" s="10" t="n">
        <x:f>J2343*'Assumptions'!$S$61</x:f>
        <x:v>0</x:v>
      </x:c>
      <x:c r="R2343" s="10" t="n">
        <x:f>H2343*'Assumptions'!$Y$61*'Assumptions'!$Z$61*'Assumptions'!$D$11*(1+'Assumptions'!$D$13)^(19-1)</x:f>
        <x:v>54.951990577130154</x:v>
      </x:c>
      <x:c r="S2343" s="10" t="n">
        <x:f>IF(I2343=0,0,J2343*'Assumptions'!$W$61+H2343*'Assumptions'!$X$61)</x:f>
        <x:v>1338.2390105747534</x:v>
      </x:c>
      <x:c r="T2343" s="10" t="n">
        <x:f>N2343*'Assumptions'!$AA$61</x:f>
        <x:v>1788.7440473701113</x:v>
      </x:c>
      <x:c r="U2343" s="10" t="n">
        <x:f>'Assumptions'!$AE$61*'Assumptions'!$D$11*(1+'Assumptions'!$D$13)^(19-1)</x:f>
        <x:v>0</x:v>
      </x:c>
      <x:c r="V2343" s="10" t="n">
        <x:f>0</x:f>
        <x:v>0</x:v>
      </x:c>
      <x:c r="W2343" s="10" t="n">
        <x:f>H2343*('Assumptions'!$P$61+'Assumptions'!$Y$61)</x:f>
        <x:v>259.30397364038896</x:v>
      </x:c>
      <x:c r="X2343" s="10" t="n">
        <x:f>N2343/12*'Assumptions'!$AF$61</x:f>
        <x:v>3726.550098687732</x:v>
      </x:c>
      <x:c r="Y2343" s="10" t="n">
        <x:f>P2343/12</x:f>
        <x:v>6.105776730792239</x:v>
      </x:c>
      <x:c r="Z2343" s="10" t="n">
        <x:f>0</x:f>
        <x:v>0</x:v>
      </x:c>
      <x:c r="AA2343" s="10" t="n">
        <x:f>Z2343*'Assumptions'!$AC$61*'Assumptions'!$D$11*(1+'Assumptions'!$D$13)^(19-1)</x:f>
        <x:v>0</x:v>
      </x:c>
      <x:c r="AB2343" s="10" t="n">
        <x:f>F2343/1</x:f>
        <x:v>2.21458261616037</x:v>
      </x:c>
      <x:c r="AC2343" s="10" t="n">
        <x:f>AB2343/'Assumptions'!$AM$61</x:f>
        <x:v>11.072913080801849</x:v>
      </x:c>
      <x:c r="AD2343" s="10" t="n">
        <x:f>IF(AB2343=0,0,T2343/AB2343)</x:f>
        <x:v>807.7115905801812</x:v>
      </x:c>
      <x:c r="AE2343" s="10" t="n">
        <x:f>AA2343*'Assumptions'!$D$21</x:f>
        <x:v>0</x:v>
      </x:c>
    </x:row>
    <x:row r="2344" ht="16" customHeight="1">
      <x:c r="A2344" s="1"/>
      <x:c r="B2344" s="1"/>
      <x:c r="C2344" s="1" t="str">
        <x:v>DOT-033</x:v>
      </x:c>
      <x:c r="D2344" s="10" t="str">
        <x:v>CornerFlow</x:v>
      </x:c>
      <x:c r="E2344" s="10" t="n">
        <x:v>19</x:v>
      </x:c>
      <x:c r="F2344" s="21" t="n">
        <x:f>F2216*(1+'Assumptions'!$M$62)</x:f>
        <x:v>112.91421792454415</x:v>
      </x:c>
      <x:c r="G2344" s="21" t="n">
        <x:f>H2216*'Assumptions'!$K$62</x:f>
        <x:v>239.10687453000116</x:v>
      </x:c>
      <x:c r="H2344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2344+G2344,NA())</x:f>
        <x:v>352.0210924545453</x:v>
      </x:c>
      <x:c r="I2344" s="22" t="n">
        <x:f>'Assumptions'!$H$62*IF('Assumptions'!$O$62=1,1,'Assumptions'!$D$10)*(1+'Assumptions'!$N$62)^(19-1)</x:f>
        <x:v>69.9840661312374</x:v>
      </x:c>
      <x:c r="J2344" s="10" t="n">
        <x:f>H2344*I2344</x:f>
        <x:v>24635.867413929333</x:v>
      </x:c>
      <x:c r="K2344" s="10" t="n">
        <x:f>J2344*'Assumptions'!$T$62</x:f>
        <x:v>24635.867413929333</x:v>
      </x:c>
      <x:c r="L2344" s="10" t="n">
        <x:f>K2344*'Assumptions'!$U$62</x:f>
        <x:v>739.0760224178799</x:v>
      </x:c>
      <x:c r="M2344" s="10" t="n">
        <x:f>K2344*'Assumptions'!$V$62</x:f>
        <x:v>0</x:v>
      </x:c>
      <x:c r="N2344" s="10" t="n">
        <x:f>K2344-L2344-M2344</x:f>
        <x:v>23896.79139151145</x:v>
      </x:c>
      <x:c r="O2344" s="10" t="n">
        <x:f>H2344*'Assumptions'!$P$62*'Assumptions'!$Q$62*'Assumptions'!$D$11*(1+'Assumptions'!$D$13)^(19-1)</x:f>
        <x:v>3146.2848167541365</x:v>
      </x:c>
      <x:c r="P2344" s="10" t="n">
        <x:f>H2344*'Assumptions'!$R$62*'Assumptions'!$D$11*(1+'Assumptions'!$D$13)^(19-1)</x:f>
        <x:v>0</x:v>
      </x:c>
      <x:c r="Q2344" s="10" t="n">
        <x:f>J2344*'Assumptions'!$S$62</x:f>
        <x:v>0</x:v>
      </x:c>
      <x:c r="R2344" s="10" t="n">
        <x:f>H2344*'Assumptions'!$Y$62*'Assumptions'!$Z$62*'Assumptions'!$D$11*(1+'Assumptions'!$D$13)^(19-1)</x:f>
        <x:v>2696.8155572178316</x:v>
      </x:c>
      <x:c r="S2344" s="10" t="n">
        <x:f>IF(I2344=0,0,J2344*'Assumptions'!$W$62+H2344*'Assumptions'!$X$62)</x:f>
        <x:v>820.0464827403143</x:v>
      </x:c>
      <x:c r="T2344" s="10" t="n">
        <x:f>N2344*'Assumptions'!$AA$62</x:f>
        <x:v>1194.8395695755726</x:v>
      </x:c>
      <x:c r="U2344" s="10" t="n">
        <x:f>'Assumptions'!$AE$62*'Assumptions'!$D$11*(1+'Assumptions'!$D$13)^(19-1)</x:f>
        <x:v>204.29196734878855</x:v>
      </x:c>
      <x:c r="V2344" s="10" t="n">
        <x:f>0</x:f>
        <x:v>0</x:v>
      </x:c>
      <x:c r="W2344" s="10" t="n">
        <x:f>H2344*('Assumptions'!$P$62+'Assumptions'!$Y$62)</x:f>
        <x:v>105.60632773636358</x:v>
      </x:c>
      <x:c r="X2344" s="10" t="n">
        <x:f>N2344/12*'Assumptions'!$AF$62</x:f>
        <x:v>0</x:v>
      </x:c>
      <x:c r="Y2344" s="10" t="n">
        <x:f>P2344/12</x:f>
        <x:v>0</x:v>
      </x:c>
      <x:c r="Z2344" s="10" t="n">
        <x:f>0</x:f>
        <x:v>0</x:v>
      </x:c>
      <x:c r="AA2344" s="10" t="n">
        <x:f>Z2344*'Assumptions'!$AC$62*'Assumptions'!$D$11*(1+'Assumptions'!$D$13)^(19-1)</x:f>
        <x:v>0</x:v>
      </x:c>
      <x:c r="AB2344" s="10" t="n">
        <x:f>F2344/12</x:f>
        <x:v>9.40951816037868</x:v>
      </x:c>
      <x:c r="AC2344" s="10" t="n">
        <x:f>AB2344/'Assumptions'!$AM$62</x:f>
        <x:v>188.19036320757357</x:v>
      </x:c>
      <x:c r="AD2344" s="10" t="n">
        <x:f>IF(AB2344=0,0,T2344/AB2344)</x:f>
        <x:v>126.98201429768929</x:v>
      </x:c>
      <x:c r="AE2344" s="10" t="n">
        <x:f>AA2344*'Assumptions'!$D$21</x:f>
        <x:v>0</x:v>
      </x:c>
    </x:row>
    <x:row r="2345" ht="16" customHeight="1">
      <x:c r="A2345" s="1"/>
      <x:c r="B2345" s="1"/>
      <x:c r="C2345" s="1" t="str">
        <x:v>DOT-034</x:v>
      </x:c>
      <x:c r="D2345" s="10" t="str">
        <x:v>CornerFlow</x:v>
      </x:c>
      <x:c r="E2345" s="10" t="n">
        <x:v>19</x:v>
      </x:c>
      <x:c r="F2345" s="21" t="n">
        <x:f>F2217*(1+'Assumptions'!$M$63)</x:f>
        <x:v>22.1458261616037</x:v>
      </x:c>
      <x:c r="G2345" s="21" t="n">
        <x:f>H2217*'Assumptions'!$K$63</x:f>
        <x:v>20.892158688625983</x:v>
      </x:c>
      <x:c r="H2345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2345+G2345,NA())</x:f>
        <x:v>43.037984850229684</x:v>
      </x:c>
      <x:c r="I2345" s="22" t="n">
        <x:f>'Assumptions'!$H$63*IF('Assumptions'!$O$63=1,1,'Assumptions'!$D$10)*(1+'Assumptions'!$N$63)^(19-1)</x:f>
        <x:v>284.2210032676784</x:v>
      </x:c>
      <x:c r="J2345" s="10" t="n">
        <x:f>H2345*I2345</x:f>
        <x:v>12232.299232751424</x:v>
      </x:c>
      <x:c r="K2345" s="10" t="n">
        <x:f>J2345*'Assumptions'!$T$63</x:f>
        <x:v>12232.299232751424</x:v>
      </x:c>
      <x:c r="L2345" s="10" t="n">
        <x:f>K2345*'Assumptions'!$U$63</x:f>
        <x:v>366.9689769825427</x:v>
      </x:c>
      <x:c r="M2345" s="10" t="n">
        <x:f>K2345*'Assumptions'!$V$63</x:f>
        <x:v>0</x:v>
      </x:c>
      <x:c r="N2345" s="10" t="n">
        <x:f>K2345-L2345-M2345</x:f>
        <x:v>11865.33025576888</x:v>
      </x:c>
      <x:c r="O2345" s="10" t="n">
        <x:f>H2345*'Assumptions'!$P$63*'Assumptions'!$Q$63*'Assumptions'!$D$11*(1+'Assumptions'!$D$13)^(19-1)</x:f>
        <x:v>5861.543063853853</x:v>
      </x:c>
      <x:c r="P2345" s="10" t="n">
        <x:f>H2345*'Assumptions'!$R$63*'Assumptions'!$D$11*(1+'Assumptions'!$D$13)^(19-1)</x:f>
        <x:v>0</x:v>
      </x:c>
      <x:c r="Q2345" s="10" t="n">
        <x:f>J2345*'Assumptions'!$S$63</x:f>
        <x:v>0</x:v>
      </x:c>
      <x:c r="R2345" s="10" t="n">
        <x:f>H2345*'Assumptions'!$Y$63*'Assumptions'!$Z$63*'Assumptions'!$D$11*(1+'Assumptions'!$D$13)^(19-1)</x:f>
        <x:v>549.5196622362987</x:v>
      </x:c>
      <x:c r="S2345" s="10" t="n">
        <x:f>IF(I2345=0,0,J2345*'Assumptions'!$W$63+H2345*'Assumptions'!$X$63)</x:f>
        <x:v>367.64807320486017</x:v>
      </x:c>
      <x:c r="T2345" s="10" t="n">
        <x:f>N2345*'Assumptions'!$AA$63</x:f>
        <x:v>474.6132102307552</x:v>
      </x:c>
      <x:c r="U2345" s="10" t="n">
        <x:f>'Assumptions'!$AE$63*'Assumptions'!$D$11*(1+'Assumptions'!$D$13)^(19-1)</x:f>
        <x:v>0</x:v>
      </x:c>
      <x:c r="V2345" s="10" t="n">
        <x:f>0</x:f>
        <x:v>0</x:v>
      </x:c>
      <x:c r="W2345" s="10" t="n">
        <x:f>H2345*('Assumptions'!$P$63+'Assumptions'!$Y$63)</x:f>
        <x:v>96.83546591301679</x:v>
      </x:c>
      <x:c r="X2345" s="10" t="n">
        <x:f>N2345/12*'Assumptions'!$AF$63</x:f>
        <x:v>988.7775213140734</x:v>
      </x:c>
      <x:c r="Y2345" s="10" t="n">
        <x:f>P2345/12</x:f>
        <x:v>0</x:v>
      </x:c>
      <x:c r="Z2345" s="10" t="n">
        <x:f>0</x:f>
        <x:v>0</x:v>
      </x:c>
      <x:c r="AA2345" s="10" t="n">
        <x:f>Z2345*'Assumptions'!$AC$63*'Assumptions'!$D$11*(1+'Assumptions'!$D$13)^(19-1)</x:f>
        <x:v>0</x:v>
      </x:c>
      <x:c r="AB2345" s="10" t="n">
        <x:f>F2345/1</x:f>
        <x:v>22.1458261616037</x:v>
      </x:c>
      <x:c r="AC2345" s="10" t="n">
        <x:f>AB2345/'Assumptions'!$AM$63</x:f>
        <x:v>110.7291308080185</x:v>
      </x:c>
      <x:c r="AD2345" s="10" t="n">
        <x:f>IF(AB2345=0,0,T2345/AB2345)</x:f>
        <x:v>21.431271372193677</x:v>
      </x:c>
      <x:c r="AE2345" s="10" t="n">
        <x:f>AA2345*'Assumptions'!$D$21</x:f>
        <x:v>0</x:v>
      </x:c>
    </x:row>
    <x:row r="2346" ht="16" customHeight="1">
      <x:c r="A2346" s="1"/>
      <x:c r="B2346" s="1"/>
      <x:c r="C2346" s="1" t="str">
        <x:v>DOT-035</x:v>
      </x:c>
      <x:c r="D2346" s="10" t="str">
        <x:v>Spindle</x:v>
      </x:c>
      <x:c r="E2346" s="10" t="n">
        <x:v>19</x:v>
      </x:c>
      <x:c r="F2346" s="21" t="n">
        <x:f>F2218*(1+'Assumptions'!$M$64)</x:f>
        <x:v>112.91421792454415</x:v>
      </x:c>
      <x:c r="G2346" s="21" t="n">
        <x:f>H2218*'Assumptions'!$K$64</x:f>
        <x:v>239.10687453000116</x:v>
      </x:c>
      <x:c r="H2346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2346+G2346,NA())</x:f>
        <x:v>352.0210924545453</x:v>
      </x:c>
      <x:c r="I2346" s="22" t="n">
        <x:f>'Assumptions'!$H$64*IF('Assumptions'!$O$64=1,1,'Assumptions'!$D$10)*(1+'Assumptions'!$N$64)^(19-1)</x:f>
        <x:v>69.9840661312374</x:v>
      </x:c>
      <x:c r="J2346" s="10" t="n">
        <x:f>H2346*I2346</x:f>
        <x:v>24635.867413929333</x:v>
      </x:c>
      <x:c r="K2346" s="10" t="n">
        <x:f>J2346*'Assumptions'!$T$64</x:f>
        <x:v>24635.867413929333</x:v>
      </x:c>
      <x:c r="L2346" s="10" t="n">
        <x:f>K2346*'Assumptions'!$U$64</x:f>
        <x:v>739.0760224178799</x:v>
      </x:c>
      <x:c r="M2346" s="10" t="n">
        <x:f>K2346*'Assumptions'!$V$64</x:f>
        <x:v>0</x:v>
      </x:c>
      <x:c r="N2346" s="10" t="n">
        <x:f>K2346-L2346-M2346</x:f>
        <x:v>23896.79139151145</x:v>
      </x:c>
      <x:c r="O2346" s="10" t="n">
        <x:f>H2346*'Assumptions'!$P$64*'Assumptions'!$Q$64*'Assumptions'!$D$11*(1+'Assumptions'!$D$13)^(19-1)</x:f>
        <x:v>3146.2848167541365</x:v>
      </x:c>
      <x:c r="P2346" s="10" t="n">
        <x:f>H2346*'Assumptions'!$R$64*'Assumptions'!$D$11*(1+'Assumptions'!$D$13)^(19-1)</x:f>
        <x:v>0</x:v>
      </x:c>
      <x:c r="Q2346" s="10" t="n">
        <x:f>J2346*'Assumptions'!$S$64</x:f>
        <x:v>0</x:v>
      </x:c>
      <x:c r="R2346" s="10" t="n">
        <x:f>H2346*'Assumptions'!$Y$64*'Assumptions'!$Z$64*'Assumptions'!$D$11*(1+'Assumptions'!$D$13)^(19-1)</x:f>
        <x:v>2696.8155572178316</x:v>
      </x:c>
      <x:c r="S2346" s="10" t="n">
        <x:f>IF(I2346=0,0,J2346*'Assumptions'!$W$64+H2346*'Assumptions'!$X$64)</x:f>
        <x:v>820.0464827403143</x:v>
      </x:c>
      <x:c r="T2346" s="10" t="n">
        <x:f>N2346*'Assumptions'!$AA$64</x:f>
        <x:v>1194.8395695755726</x:v>
      </x:c>
      <x:c r="U2346" s="10" t="n">
        <x:f>'Assumptions'!$AE$64*'Assumptions'!$D$11*(1+'Assumptions'!$D$13)^(19-1)</x:f>
        <x:v>204.29196734878855</x:v>
      </x:c>
      <x:c r="V2346" s="10" t="n">
        <x:f>0</x:f>
        <x:v>0</x:v>
      </x:c>
      <x:c r="W2346" s="10" t="n">
        <x:f>H2346*('Assumptions'!$P$64+'Assumptions'!$Y$64)</x:f>
        <x:v>105.60632773636358</x:v>
      </x:c>
      <x:c r="X2346" s="10" t="n">
        <x:f>N2346/12*'Assumptions'!$AF$64</x:f>
        <x:v>0</x:v>
      </x:c>
      <x:c r="Y2346" s="10" t="n">
        <x:f>P2346/12</x:f>
        <x:v>0</x:v>
      </x:c>
      <x:c r="Z2346" s="10" t="n">
        <x:f>0</x:f>
        <x:v>0</x:v>
      </x:c>
      <x:c r="AA2346" s="10" t="n">
        <x:f>Z2346*'Assumptions'!$AC$64*'Assumptions'!$D$11*(1+'Assumptions'!$D$13)^(19-1)</x:f>
        <x:v>0</x:v>
      </x:c>
      <x:c r="AB2346" s="10" t="n">
        <x:f>F2346/12</x:f>
        <x:v>9.40951816037868</x:v>
      </x:c>
      <x:c r="AC2346" s="10" t="n">
        <x:f>AB2346/'Assumptions'!$AM$64</x:f>
        <x:v>188.19036320757357</x:v>
      </x:c>
      <x:c r="AD2346" s="10" t="n">
        <x:f>IF(AB2346=0,0,T2346/AB2346)</x:f>
        <x:v>126.98201429768929</x:v>
      </x:c>
      <x:c r="AE2346" s="10" t="n">
        <x:f>AA2346*'Assumptions'!$D$21</x:f>
        <x:v>0</x:v>
      </x:c>
    </x:row>
    <x:row r="2347" ht="16" customHeight="1">
      <x:c r="A2347" s="1"/>
      <x:c r="B2347" s="1"/>
      <x:c r="C2347" s="1" t="str">
        <x:v>DOT-036</x:v>
      </x:c>
      <x:c r="D2347" s="10" t="str">
        <x:v>Spindle</x:v>
      </x:c>
      <x:c r="E2347" s="10" t="n">
        <x:v>19</x:v>
      </x:c>
      <x:c r="F2347" s="21" t="n">
        <x:f>F2219*(1+'Assumptions'!$M$65)</x:f>
        <x:v>22.1458261616037</x:v>
      </x:c>
      <x:c r="G2347" s="21" t="n">
        <x:f>H2219*'Assumptions'!$K$65</x:f>
        <x:v>20.892158688625983</x:v>
      </x:c>
      <x:c r="H2347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2347+G2347,NA())</x:f>
        <x:v>43.037984850229684</x:v>
      </x:c>
      <x:c r="I2347" s="22" t="n">
        <x:f>'Assumptions'!$H$65*IF('Assumptions'!$O$65=1,1,'Assumptions'!$D$10)*(1+'Assumptions'!$N$65)^(19-1)</x:f>
        <x:v>284.2210032676784</x:v>
      </x:c>
      <x:c r="J2347" s="10" t="n">
        <x:f>H2347*I2347</x:f>
        <x:v>12232.299232751424</x:v>
      </x:c>
      <x:c r="K2347" s="10" t="n">
        <x:f>J2347*'Assumptions'!$T$65</x:f>
        <x:v>12232.299232751424</x:v>
      </x:c>
      <x:c r="L2347" s="10" t="n">
        <x:f>K2347*'Assumptions'!$U$65</x:f>
        <x:v>366.9689769825427</x:v>
      </x:c>
      <x:c r="M2347" s="10" t="n">
        <x:f>K2347*'Assumptions'!$V$65</x:f>
        <x:v>0</x:v>
      </x:c>
      <x:c r="N2347" s="10" t="n">
        <x:f>K2347-L2347-M2347</x:f>
        <x:v>11865.33025576888</x:v>
      </x:c>
      <x:c r="O2347" s="10" t="n">
        <x:f>H2347*'Assumptions'!$P$65*'Assumptions'!$Q$65*'Assumptions'!$D$11*(1+'Assumptions'!$D$13)^(19-1)</x:f>
        <x:v>5861.543063853853</x:v>
      </x:c>
      <x:c r="P2347" s="10" t="n">
        <x:f>H2347*'Assumptions'!$R$65*'Assumptions'!$D$11*(1+'Assumptions'!$D$13)^(19-1)</x:f>
        <x:v>0</x:v>
      </x:c>
      <x:c r="Q2347" s="10" t="n">
        <x:f>J2347*'Assumptions'!$S$65</x:f>
        <x:v>0</x:v>
      </x:c>
      <x:c r="R2347" s="10" t="n">
        <x:f>H2347*'Assumptions'!$Y$65*'Assumptions'!$Z$65*'Assumptions'!$D$11*(1+'Assumptions'!$D$13)^(19-1)</x:f>
        <x:v>549.5196622362987</x:v>
      </x:c>
      <x:c r="S2347" s="10" t="n">
        <x:f>IF(I2347=0,0,J2347*'Assumptions'!$W$65+H2347*'Assumptions'!$X$65)</x:f>
        <x:v>367.64807320486017</x:v>
      </x:c>
      <x:c r="T2347" s="10" t="n">
        <x:f>N2347*'Assumptions'!$AA$65</x:f>
        <x:v>474.6132102307552</x:v>
      </x:c>
      <x:c r="U2347" s="10" t="n">
        <x:f>'Assumptions'!$AE$65*'Assumptions'!$D$11*(1+'Assumptions'!$D$13)^(19-1)</x:f>
        <x:v>0</x:v>
      </x:c>
      <x:c r="V2347" s="10" t="n">
        <x:f>0</x:f>
        <x:v>0</x:v>
      </x:c>
      <x:c r="W2347" s="10" t="n">
        <x:f>H2347*('Assumptions'!$P$65+'Assumptions'!$Y$65)</x:f>
        <x:v>96.83546591301679</x:v>
      </x:c>
      <x:c r="X2347" s="10" t="n">
        <x:f>N2347/12*'Assumptions'!$AF$65</x:f>
        <x:v>988.7775213140734</x:v>
      </x:c>
      <x:c r="Y2347" s="10" t="n">
        <x:f>P2347/12</x:f>
        <x:v>0</x:v>
      </x:c>
      <x:c r="Z2347" s="10" t="n">
        <x:f>0</x:f>
        <x:v>0</x:v>
      </x:c>
      <x:c r="AA2347" s="10" t="n">
        <x:f>Z2347*'Assumptions'!$AC$65*'Assumptions'!$D$11*(1+'Assumptions'!$D$13)^(19-1)</x:f>
        <x:v>0</x:v>
      </x:c>
      <x:c r="AB2347" s="10" t="n">
        <x:f>F2347/1</x:f>
        <x:v>22.1458261616037</x:v>
      </x:c>
      <x:c r="AC2347" s="10" t="n">
        <x:f>AB2347/'Assumptions'!$AM$65</x:f>
        <x:v>110.7291308080185</x:v>
      </x:c>
      <x:c r="AD2347" s="10" t="n">
        <x:f>IF(AB2347=0,0,T2347/AB2347)</x:f>
        <x:v>21.431271372193677</x:v>
      </x:c>
      <x:c r="AE2347" s="10" t="n">
        <x:f>AA2347*'Assumptions'!$D$21</x:f>
        <x:v>0</x:v>
      </x:c>
    </x:row>
    <x:row r="2348" ht="16" customHeight="1">
      <x:c r="A2348" s="1"/>
      <x:c r="B2348" s="1"/>
      <x:c r="C2348" s="1" t="str">
        <x:v>DOT-037</x:v>
      </x:c>
      <x:c r="D2348" s="10" t="str">
        <x:v>Maison Contour</x:v>
      </x:c>
      <x:c r="E2348" s="10" t="n">
        <x:v>19</x:v>
      </x:c>
      <x:c r="F2348" s="21" t="n">
        <x:f>F2220*(1+'Assumptions'!$M$66)</x:f>
        <x:v>112.91421792454415</x:v>
      </x:c>
      <x:c r="G2348" s="21" t="n">
        <x:f>H2220*'Assumptions'!$K$66</x:f>
        <x:v>239.10687453000116</x:v>
      </x:c>
      <x:c r="H2348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2348+G2348,NA())</x:f>
        <x:v>352.0210924545453</x:v>
      </x:c>
      <x:c r="I2348" s="22" t="n">
        <x:f>'Assumptions'!$H$66*IF('Assumptions'!$O$66=1,1,'Assumptions'!$D$10)*(1+'Assumptions'!$N$66)^(19-1)</x:f>
        <x:v>112.8314535585256</x:v>
      </x:c>
      <x:c r="J2348" s="10" t="n">
        <x:f>H2348*I2348</x:f>
        <x:v>39719.05154490647</x:v>
      </x:c>
      <x:c r="K2348" s="10" t="n">
        <x:f>J2348*'Assumptions'!$T$66</x:f>
        <x:v>39719.05154490647</x:v>
      </x:c>
      <x:c r="L2348" s="10" t="n">
        <x:f>K2348*'Assumptions'!$U$66</x:f>
        <x:v>1191.571546347194</x:v>
      </x:c>
      <x:c r="M2348" s="10" t="n">
        <x:f>K2348*'Assumptions'!$V$66</x:f>
        <x:v>0</x:v>
      </x:c>
      <x:c r="N2348" s="10" t="n">
        <x:f>K2348-L2348-M2348</x:f>
        <x:v>38527.479998559276</x:v>
      </x:c>
      <x:c r="O2348" s="10" t="n">
        <x:f>H2348*'Assumptions'!$P$66*'Assumptions'!$Q$66*'Assumptions'!$D$11*(1+'Assumptions'!$D$13)^(19-1)</x:f>
        <x:v>3146.2848167541365</x:v>
      </x:c>
      <x:c r="P2348" s="10" t="n">
        <x:f>H2348*'Assumptions'!$R$66*'Assumptions'!$D$11*(1+'Assumptions'!$D$13)^(19-1)</x:f>
        <x:v>0</x:v>
      </x:c>
      <x:c r="Q2348" s="10" t="n">
        <x:f>J2348*'Assumptions'!$S$66</x:f>
        <x:v>0</x:v>
      </x:c>
      <x:c r="R2348" s="10" t="n">
        <x:f>H2348*'Assumptions'!$Y$66*'Assumptions'!$Z$66*'Assumptions'!$D$11*(1+'Assumptions'!$D$13)^(19-1)</x:f>
        <x:v>2696.8155572178316</x:v>
      </x:c>
      <x:c r="S2348" s="10" t="n">
        <x:f>IF(I2348=0,0,J2348*'Assumptions'!$W$66+H2348*'Assumptions'!$X$66)</x:f>
        <x:v>1257.4588225386512</x:v>
      </x:c>
      <x:c r="T2348" s="10" t="n">
        <x:f>N2348*'Assumptions'!$AA$66</x:f>
        <x:v>1926.373999927964</x:v>
      </x:c>
      <x:c r="U2348" s="10" t="n">
        <x:f>'Assumptions'!$AE$66*'Assumptions'!$D$11*(1+'Assumptions'!$D$13)^(19-1)</x:f>
        <x:v>204.29196734878855</x:v>
      </x:c>
      <x:c r="V2348" s="10" t="n">
        <x:f>0</x:f>
        <x:v>0</x:v>
      </x:c>
      <x:c r="W2348" s="10" t="n">
        <x:f>H2348*('Assumptions'!$P$66+'Assumptions'!$Y$66)</x:f>
        <x:v>105.60632773636358</x:v>
      </x:c>
      <x:c r="X2348" s="10" t="n">
        <x:f>N2348/12*'Assumptions'!$AF$66</x:f>
        <x:v>0</x:v>
      </x:c>
      <x:c r="Y2348" s="10" t="n">
        <x:f>P2348/12</x:f>
        <x:v>0</x:v>
      </x:c>
      <x:c r="Z2348" s="10" t="n">
        <x:f>0</x:f>
        <x:v>0</x:v>
      </x:c>
      <x:c r="AA2348" s="10" t="n">
        <x:f>Z2348*'Assumptions'!$AC$66*'Assumptions'!$D$11*(1+'Assumptions'!$D$13)^(19-1)</x:f>
        <x:v>0</x:v>
      </x:c>
      <x:c r="AB2348" s="10" t="n">
        <x:f>F2348/12</x:f>
        <x:v>9.40951816037868</x:v>
      </x:c>
      <x:c r="AC2348" s="10" t="n">
        <x:f>AB2348/'Assumptions'!$AM$66</x:f>
        <x:v>188.19036320757357</x:v>
      </x:c>
      <x:c r="AD2348" s="10" t="n">
        <x:f>IF(AB2348=0,0,T2348/AB2348)</x:f>
        <x:v>204.72610468402968</x:v>
      </x:c>
      <x:c r="AE2348" s="10" t="n">
        <x:f>AA2348*'Assumptions'!$D$21</x:f>
        <x:v>0</x:v>
      </x:c>
    </x:row>
    <x:row r="2349" ht="16" customHeight="1">
      <x:c r="A2349" s="1"/>
      <x:c r="B2349" s="1"/>
      <x:c r="C2349" s="1" t="str">
        <x:v>DOT-038</x:v>
      </x:c>
      <x:c r="D2349" s="10" t="str">
        <x:v>Maison Contour</x:v>
      </x:c>
      <x:c r="E2349" s="10" t="n">
        <x:v>19</x:v>
      </x:c>
      <x:c r="F2349" s="21" t="n">
        <x:f>F2221*(1+'Assumptions'!$M$67)</x:f>
        <x:v>22.1458261616037</x:v>
      </x:c>
      <x:c r="G2349" s="21" t="n">
        <x:f>H2221*'Assumptions'!$K$67</x:f>
        <x:v>20.892158688625983</x:v>
      </x:c>
      <x:c r="H2349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2349+G2349,NA())</x:f>
        <x:v>43.037984850229684</x:v>
      </x:c>
      <x:c r="I2349" s="22" t="n">
        <x:f>'Assumptions'!$H$67*IF('Assumptions'!$O$67=1,1,'Assumptions'!$D$10)*(1+'Assumptions'!$N$67)^(19-1)</x:f>
        <x:v>284.2210032676784</x:v>
      </x:c>
      <x:c r="J2349" s="10" t="n">
        <x:f>H2349*I2349</x:f>
        <x:v>12232.299232751424</x:v>
      </x:c>
      <x:c r="K2349" s="10" t="n">
        <x:f>J2349*'Assumptions'!$T$67</x:f>
        <x:v>12232.299232751424</x:v>
      </x:c>
      <x:c r="L2349" s="10" t="n">
        <x:f>K2349*'Assumptions'!$U$67</x:f>
        <x:v>366.9689769825427</x:v>
      </x:c>
      <x:c r="M2349" s="10" t="n">
        <x:f>K2349*'Assumptions'!$V$67</x:f>
        <x:v>0</x:v>
      </x:c>
      <x:c r="N2349" s="10" t="n">
        <x:f>K2349-L2349-M2349</x:f>
        <x:v>11865.33025576888</x:v>
      </x:c>
      <x:c r="O2349" s="10" t="n">
        <x:f>H2349*'Assumptions'!$P$67*'Assumptions'!$Q$67*'Assumptions'!$D$11*(1+'Assumptions'!$D$13)^(19-1)</x:f>
        <x:v>5861.543063853853</x:v>
      </x:c>
      <x:c r="P2349" s="10" t="n">
        <x:f>H2349*'Assumptions'!$R$67*'Assumptions'!$D$11*(1+'Assumptions'!$D$13)^(19-1)</x:f>
        <x:v>0</x:v>
      </x:c>
      <x:c r="Q2349" s="10" t="n">
        <x:f>J2349*'Assumptions'!$S$67</x:f>
        <x:v>0</x:v>
      </x:c>
      <x:c r="R2349" s="10" t="n">
        <x:f>H2349*'Assumptions'!$Y$67*'Assumptions'!$Z$67*'Assumptions'!$D$11*(1+'Assumptions'!$D$13)^(19-1)</x:f>
        <x:v>549.5196622362987</x:v>
      </x:c>
      <x:c r="S2349" s="10" t="n">
        <x:f>IF(I2349=0,0,J2349*'Assumptions'!$W$67+H2349*'Assumptions'!$X$67)</x:f>
        <x:v>367.64807320486017</x:v>
      </x:c>
      <x:c r="T2349" s="10" t="n">
        <x:f>N2349*'Assumptions'!$AA$67</x:f>
        <x:v>474.6132102307552</x:v>
      </x:c>
      <x:c r="U2349" s="10" t="n">
        <x:f>'Assumptions'!$AE$67*'Assumptions'!$D$11*(1+'Assumptions'!$D$13)^(19-1)</x:f>
        <x:v>0</x:v>
      </x:c>
      <x:c r="V2349" s="10" t="n">
        <x:f>0</x:f>
        <x:v>0</x:v>
      </x:c>
      <x:c r="W2349" s="10" t="n">
        <x:f>H2349*('Assumptions'!$P$67+'Assumptions'!$Y$67)</x:f>
        <x:v>96.83546591301679</x:v>
      </x:c>
      <x:c r="X2349" s="10" t="n">
        <x:f>N2349/12*'Assumptions'!$AF$67</x:f>
        <x:v>988.7775213140734</x:v>
      </x:c>
      <x:c r="Y2349" s="10" t="n">
        <x:f>P2349/12</x:f>
        <x:v>0</x:v>
      </x:c>
      <x:c r="Z2349" s="10" t="n">
        <x:f>0</x:f>
        <x:v>0</x:v>
      </x:c>
      <x:c r="AA2349" s="10" t="n">
        <x:f>Z2349*'Assumptions'!$AC$67*'Assumptions'!$D$11*(1+'Assumptions'!$D$13)^(19-1)</x:f>
        <x:v>0</x:v>
      </x:c>
      <x:c r="AB2349" s="10" t="n">
        <x:f>F2349/1</x:f>
        <x:v>22.1458261616037</x:v>
      </x:c>
      <x:c r="AC2349" s="10" t="n">
        <x:f>AB2349/'Assumptions'!$AM$67</x:f>
        <x:v>110.7291308080185</x:v>
      </x:c>
      <x:c r="AD2349" s="10" t="n">
        <x:f>IF(AB2349=0,0,T2349/AB2349)</x:f>
        <x:v>21.431271372193677</x:v>
      </x:c>
      <x:c r="AE2349" s="10" t="n">
        <x:f>AA2349*'Assumptions'!$D$21</x:f>
        <x:v>0</x:v>
      </x:c>
    </x:row>
    <x:row r="2350" ht="16" customHeight="1">
      <x:c r="A2350" s="1"/>
      <x:c r="B2350" s="1"/>
      <x:c r="C2350" s="1" t="str">
        <x:v>DOT-039</x:v>
      </x:c>
      <x:c r="D2350" s="10" t="str">
        <x:v>DishLoom US</x:v>
      </x:c>
      <x:c r="E2350" s="10" t="n">
        <x:v>19</x:v>
      </x:c>
      <x:c r="F2350" s="21" t="n">
        <x:f>F2222*(1+'Assumptions'!$M$68)</x:f>
        <x:v>112.91421792454415</x:v>
      </x:c>
      <x:c r="G2350" s="21" t="n">
        <x:f>H2222*'Assumptions'!$K$68</x:f>
        <x:v>239.10687453000116</x:v>
      </x:c>
      <x:c r="H2350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2350+G2350,NA())</x:f>
        <x:v>352.0210924545453</x:v>
      </x:c>
      <x:c r="I2350" s="22" t="n">
        <x:f>'Assumptions'!$H$68*IF('Assumptions'!$O$68=1,1,'Assumptions'!$D$10)*(1+'Assumptions'!$N$68)^(19-1)</x:f>
        <x:v>55.70160365547466</x:v>
      </x:c>
      <x:c r="J2350" s="10" t="n">
        <x:f>H2350*I2350</x:f>
        <x:v>19608.139370270284</x:v>
      </x:c>
      <x:c r="K2350" s="10" t="n">
        <x:f>J2350*'Assumptions'!$T$68</x:f>
        <x:v>19608.139370270284</x:v>
      </x:c>
      <x:c r="L2350" s="10" t="n">
        <x:f>K2350*'Assumptions'!$U$68</x:f>
        <x:v>588.2441811081085</x:v>
      </x:c>
      <x:c r="M2350" s="10" t="n">
        <x:f>K2350*'Assumptions'!$V$68</x:f>
        <x:v>0</x:v>
      </x:c>
      <x:c r="N2350" s="10" t="n">
        <x:f>K2350-L2350-M2350</x:f>
        <x:v>19019.895189162176</x:v>
      </x:c>
      <x:c r="O2350" s="10" t="n">
        <x:f>H2350*'Assumptions'!$P$68*'Assumptions'!$Q$68*'Assumptions'!$D$11*(1+'Assumptions'!$D$13)^(19-1)</x:f>
        <x:v>3146.2848167541365</x:v>
      </x:c>
      <x:c r="P2350" s="10" t="n">
        <x:f>H2350*'Assumptions'!$R$68*'Assumptions'!$D$11*(1+'Assumptions'!$D$13)^(19-1)</x:f>
        <x:v>0</x:v>
      </x:c>
      <x:c r="Q2350" s="10" t="n">
        <x:f>J2350*'Assumptions'!$S$68</x:f>
        <x:v>0</x:v>
      </x:c>
      <x:c r="R2350" s="10" t="n">
        <x:f>H2350*'Assumptions'!$Y$68*'Assumptions'!$Z$68*'Assumptions'!$D$11*(1+'Assumptions'!$D$13)^(19-1)</x:f>
        <x:v>2696.8155572178316</x:v>
      </x:c>
      <x:c r="S2350" s="10" t="n">
        <x:f>IF(I2350=0,0,J2350*'Assumptions'!$W$68+H2350*'Assumptions'!$X$68)</x:f>
        <x:v>674.2423694742018</x:v>
      </x:c>
      <x:c r="T2350" s="10" t="n">
        <x:f>N2350*'Assumptions'!$AA$68</x:f>
        <x:v>950.9947594581089</x:v>
      </x:c>
      <x:c r="U2350" s="10" t="n">
        <x:f>'Assumptions'!$AE$68*'Assumptions'!$D$11*(1+'Assumptions'!$D$13)^(19-1)</x:f>
        <x:v>204.29196734878855</x:v>
      </x:c>
      <x:c r="V2350" s="10" t="n">
        <x:f>0</x:f>
        <x:v>0</x:v>
      </x:c>
      <x:c r="W2350" s="10" t="n">
        <x:f>H2350*('Assumptions'!$P$68+'Assumptions'!$Y$68)</x:f>
        <x:v>105.60632773636358</x:v>
      </x:c>
      <x:c r="X2350" s="10" t="n">
        <x:f>N2350/12*'Assumptions'!$AF$68</x:f>
        <x:v>0</x:v>
      </x:c>
      <x:c r="Y2350" s="10" t="n">
        <x:f>P2350/12</x:f>
        <x:v>0</x:v>
      </x:c>
      <x:c r="Z2350" s="10" t="n">
        <x:f>0</x:f>
        <x:v>0</x:v>
      </x:c>
      <x:c r="AA2350" s="10" t="n">
        <x:f>Z2350*'Assumptions'!$AC$68*'Assumptions'!$D$11*(1+'Assumptions'!$D$13)^(19-1)</x:f>
        <x:v>0</x:v>
      </x:c>
      <x:c r="AB2350" s="10" t="n">
        <x:f>F2350/12</x:f>
        <x:v>9.40951816037868</x:v>
      </x:c>
      <x:c r="AC2350" s="10" t="n">
        <x:f>AB2350/'Assumptions'!$AM$68</x:f>
        <x:v>188.19036320757357</x:v>
      </x:c>
      <x:c r="AD2350" s="10" t="n">
        <x:f>IF(AB2350=0,0,T2350/AB2350)</x:f>
        <x:v>101.06731750224252</x:v>
      </x:c>
      <x:c r="AE2350" s="10" t="n">
        <x:f>AA2350*'Assumptions'!$D$21</x:f>
        <x:v>0</x:v>
      </x:c>
    </x:row>
    <x:row r="2351" ht="16" customHeight="1">
      <x:c r="A2351" s="1"/>
      <x:c r="B2351" s="1"/>
      <x:c r="C2351" s="1" t="str">
        <x:v>DOT-040</x:v>
      </x:c>
      <x:c r="D2351" s="10" t="str">
        <x:v>DishLoom US</x:v>
      </x:c>
      <x:c r="E2351" s="10" t="n">
        <x:v>19</x:v>
      </x:c>
      <x:c r="F2351" s="21" t="n">
        <x:f>F2223*(1+'Assumptions'!$M$69)</x:f>
        <x:v>225.8284358490883</x:v>
      </x:c>
      <x:c r="G2351" s="21" t="n">
        <x:f>H2223*'Assumptions'!$K$69</x:f>
        <x:v>478.2137490600023</x:v>
      </x:c>
      <x:c r="H2351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2351+G2351,NA())</x:f>
        <x:v>704.0421849090906</x:v>
      </x:c>
      <x:c r="I2351" s="22" t="n">
        <x:f>'Assumptions'!$H$69*IF('Assumptions'!$O$69=1,1,'Assumptions'!$D$10)*(1+'Assumptions'!$N$69)^(19-1)</x:f>
        <x:v>12.854216228186461</x:v>
      </x:c>
      <x:c r="J2351" s="10" t="n">
        <x:f>H2351*I2351</x:f>
        <x:v>9049.910478586286</x:v>
      </x:c>
      <x:c r="K2351" s="10" t="n">
        <x:f>J2351*'Assumptions'!$T$69</x:f>
        <x:v>9049.910478586286</x:v>
      </x:c>
      <x:c r="L2351" s="10" t="n">
        <x:f>K2351*'Assumptions'!$U$69</x:f>
        <x:v>271.49731435758855</x:v>
      </x:c>
      <x:c r="M2351" s="10" t="n">
        <x:f>K2351*'Assumptions'!$V$69</x:f>
        <x:v>0</x:v>
      </x:c>
      <x:c r="N2351" s="10" t="n">
        <x:f>K2351-L2351-M2351</x:f>
        <x:v>8778.413164228697</x:v>
      </x:c>
      <x:c r="O2351" s="10" t="n">
        <x:f>H2351*'Assumptions'!$P$69*'Assumptions'!$Q$69*'Assumptions'!$D$11*(1+'Assumptions'!$D$13)^(19-1)</x:f>
        <x:v>2097.5232111694245</x:v>
      </x:c>
      <x:c r="P2351" s="10" t="n">
        <x:f>H2351*'Assumptions'!$R$69*'Assumptions'!$D$11*(1+'Assumptions'!$D$13)^(19-1)</x:f>
        <x:v>0</x:v>
      </x:c>
      <x:c r="Q2351" s="10" t="n">
        <x:f>J2351*'Assumptions'!$S$69</x:f>
        <x:v>0</x:v>
      </x:c>
      <x:c r="R2351" s="10" t="n">
        <x:f>H2351*'Assumptions'!$Y$69*'Assumptions'!$Z$69*'Assumptions'!$D$11*(1+'Assumptions'!$D$13)^(19-1)</x:f>
        <x:v>5393.631114435663</x:v>
      </x:c>
      <x:c r="S2351" s="10" t="n">
        <x:f>IF(I2351=0,0,J2351*'Assumptions'!$W$69+H2351*'Assumptions'!$X$69)</x:f>
        <x:v>473.6600593517295</x:v>
      </x:c>
      <x:c r="T2351" s="10" t="n">
        <x:f>N2351*'Assumptions'!$AA$69</x:f>
        <x:v>438.9206582114349</x:v>
      </x:c>
      <x:c r="U2351" s="10" t="n">
        <x:f>'Assumptions'!$AE$69*'Assumptions'!$D$11*(1+'Assumptions'!$D$13)^(19-1)</x:f>
        <x:v>0</x:v>
      </x:c>
      <x:c r="V2351" s="10" t="n">
        <x:f>0</x:f>
        <x:v>0</x:v>
      </x:c>
      <x:c r="W2351" s="10" t="n">
        <x:f>H2351*('Assumptions'!$P$69+'Assumptions'!$Y$69)</x:f>
        <x:v>140.80843698181812</x:v>
      </x:c>
      <x:c r="X2351" s="10" t="n">
        <x:f>N2351/12*'Assumptions'!$AF$69</x:f>
        <x:v>0</x:v>
      </x:c>
      <x:c r="Y2351" s="10" t="n">
        <x:f>P2351/12</x:f>
        <x:v>0</x:v>
      </x:c>
      <x:c r="Z2351" s="10" t="n">
        <x:f>0</x:f>
        <x:v>0</x:v>
      </x:c>
      <x:c r="AA2351" s="10" t="n">
        <x:f>Z2351*'Assumptions'!$AC$69*'Assumptions'!$D$11*(1+'Assumptions'!$D$13)^(19-1)</x:f>
        <x:v>0</x:v>
      </x:c>
      <x:c r="AB2351" s="10" t="n">
        <x:f>F2351/1</x:f>
        <x:v>225.8284358490883</x:v>
      </x:c>
      <x:c r="AC2351" s="10" t="n">
        <x:f>AB2351/'Assumptions'!$AM$69</x:f>
        <x:v>4516.568716981766</x:v>
      </x:c>
      <x:c r="AD2351" s="10" t="n">
        <x:f>IF(AB2351=0,0,T2351/AB2351)</x:f>
        <x:v>1.94360225965851</x:v>
      </x:c>
      <x:c r="AE2351" s="10" t="n">
        <x:f>AA2351*'Assumptions'!$D$21</x:f>
        <x:v>0</x:v>
      </x:c>
    </x:row>
    <x:row r="2352" ht="16" customHeight="1">
      <x:c r="A2352" s="1"/>
      <x:c r="B2352" s="1"/>
      <x:c r="C2352" s="1" t="str">
        <x:v>DOT-041</x:v>
      </x:c>
      <x:c r="D2352" s="10" t="str">
        <x:v>DishLoom US</x:v>
      </x:c>
      <x:c r="E2352" s="10" t="n">
        <x:v>19</x:v>
      </x:c>
      <x:c r="F2352" s="21" t="n">
        <x:f>F2224*(1+'Assumptions'!$M$70)</x:f>
        <x:v>282.28554481136047</x:v>
      </x:c>
      <x:c r="G2352" s="21" t="n">
        <x:f>H2224*'Assumptions'!$K$70</x:f>
        <x:v>597.767186325003</x:v>
      </x:c>
      <x:c r="H2352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2352+G2352,NA())</x:f>
        <x:v>880.0527311363635</x:v>
      </x:c>
      <x:c r="I2352" s="22" t="n">
        <x:f>'Assumptions'!$H$70*IF('Assumptions'!$O$70=1,1,'Assumptions'!$D$10)*(1+'Assumptions'!$N$70)^(19-1)</x:f>
        <x:v>142.82462475762733</x:v>
      </x:c>
      <x:c r="J2352" s="10" t="n">
        <x:f>H2352*I2352</x:f>
        <x:v>125693.2010914762</x:v>
      </x:c>
      <x:c r="K2352" s="10" t="n">
        <x:f>J2352*'Assumptions'!$T$70</x:f>
        <x:v>18853.98016372143</x:v>
      </x:c>
      <x:c r="L2352" s="10" t="n">
        <x:f>K2352*'Assumptions'!$U$70</x:f>
        <x:v>565.6194049116428</x:v>
      </x:c>
      <x:c r="M2352" s="10" t="n">
        <x:f>K2352*'Assumptions'!$V$70</x:f>
        <x:v>0</x:v>
      </x:c>
      <x:c r="N2352" s="10" t="n">
        <x:f>K2352-L2352-M2352</x:f>
        <x:v>18288.360758809788</x:v>
      </x:c>
      <x:c r="O2352" s="10" t="n">
        <x:f>H2352*'Assumptions'!$P$70*'Assumptions'!$Q$70*'Assumptions'!$D$11*(1+'Assumptions'!$D$13)^(19-1)</x:f>
        <x:v>5243.808027923563</x:v>
      </x:c>
      <x:c r="P2352" s="10" t="n">
        <x:f>H2352*'Assumptions'!$R$70*'Assumptions'!$D$11*(1+'Assumptions'!$D$13)^(19-1)</x:f>
        <x:v>0</x:v>
      </x:c>
      <x:c r="Q2352" s="10" t="n">
        <x:f>J2352*'Assumptions'!$S$70</x:f>
        <x:v>0</x:v>
      </x:c>
      <x:c r="R2352" s="10" t="n">
        <x:f>H2352*'Assumptions'!$Y$70*'Assumptions'!$Z$70*'Assumptions'!$D$11*(1+'Assumptions'!$D$13)^(19-1)</x:f>
        <x:v>6742.0388930445815</x:v>
      </x:c>
      <x:c r="S2352" s="10" t="n">
        <x:f>IF(I2352=0,0,J2352*'Assumptions'!$W$70+H2352*'Assumptions'!$X$70)</x:f>
        <x:v>3909.118650993719</x:v>
      </x:c>
      <x:c r="T2352" s="10" t="n">
        <x:f>N2352*'Assumptions'!$AA$70</x:f>
        <x:v>914.4180379404894</x:v>
      </x:c>
      <x:c r="U2352" s="10" t="n">
        <x:f>'Assumptions'!$AE$70*'Assumptions'!$D$11*(1+'Assumptions'!$D$13)^(19-1)</x:f>
        <x:v>0</x:v>
      </x:c>
      <x:c r="V2352" s="10" t="n">
        <x:f>0</x:f>
        <x:v>0</x:v>
      </x:c>
      <x:c r="W2352" s="10" t="n">
        <x:f>H2352*('Assumptions'!$P$70+'Assumptions'!$Y$70)</x:f>
        <x:v>220.01318278409087</x:v>
      </x:c>
      <x:c r="X2352" s="10" t="n">
        <x:f>N2352/12*'Assumptions'!$AF$70</x:f>
        <x:v>0</x:v>
      </x:c>
      <x:c r="Y2352" s="10" t="n">
        <x:f>P2352/12</x:f>
        <x:v>0</x:v>
      </x:c>
      <x:c r="Z2352" s="10" t="n">
        <x:f>0</x:f>
        <x:v>0</x:v>
      </x:c>
      <x:c r="AA2352" s="10" t="n">
        <x:f>Z2352*'Assumptions'!$AC$70*'Assumptions'!$D$11*(1+'Assumptions'!$D$13)^(19-1)</x:f>
        <x:v>0</x:v>
      </x:c>
      <x:c r="AB2352" s="10" t="n">
        <x:f>F2352/1</x:f>
        <x:v>282.28554481136047</x:v>
      </x:c>
      <x:c r="AC2352" s="10" t="n">
        <x:f>AB2352/'Assumptions'!$AM$70</x:f>
        <x:v>5645.710896227209</x:v>
      </x:c>
      <x:c r="AD2352" s="10" t="n">
        <x:f>IF(AB2352=0,0,T2352/AB2352)</x:f>
        <x:v>3.2393370994308492</x:v>
      </x:c>
      <x:c r="AE2352" s="10" t="n">
        <x:f>AA2352*'Assumptions'!$D$21</x:f>
        <x:v>0</x:v>
      </x:c>
    </x:row>
    <x:row r="2353" ht="16" customHeight="1">
      <x:c r="A2353" s="1"/>
      <x:c r="B2353" s="1"/>
      <x:c r="C2353" s="1" t="str">
        <x:v>DOT-042</x:v>
      </x:c>
      <x:c r="D2353" s="10" t="str">
        <x:v>Is Makes Travel Easy</x:v>
      </x:c>
      <x:c r="E2353" s="10" t="n">
        <x:v>19</x:v>
      </x:c>
      <x:c r="F2353" s="21" t="n">
        <x:f>F2225*(1+'Assumptions'!$M$71)</x:f>
        <x:v>338.7426537736324</x:v>
      </x:c>
      <x:c r="G2353" s="21" t="n">
        <x:f>H2225*'Assumptions'!$K$71</x:f>
        <x:v>717.4671808138154</x:v>
      </x:c>
      <x:c r="H2353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2353+G2353,NA())</x:f>
        <x:v>1056.2098345874479</x:v>
      </x:c>
      <x:c r="I2353" s="22" t="n">
        <x:f>'Assumptions'!$H$71*IF('Assumptions'!$O$71=1,1,'Assumptions'!$D$10)*(1+'Assumptions'!$N$71)^(19-1)</x:f>
        <x:v>41.41914117971193</x:v>
      </x:c>
      <x:c r="J2353" s="10" t="n">
        <x:f>H2353*I2353</x:f>
        <x:v>43747.30425417769</x:v>
      </x:c>
      <x:c r="K2353" s="10" t="n">
        <x:f>J2353*'Assumptions'!$T$71</x:f>
        <x:v>43747.30425417769</x:v>
      </x:c>
      <x:c r="L2353" s="10" t="n">
        <x:f>K2353*'Assumptions'!$U$71</x:f>
        <x:v>1312.4191276253307</x:v>
      </x:c>
      <x:c r="M2353" s="10" t="n">
        <x:f>K2353*'Assumptions'!$V$71</x:f>
        <x:v>0</x:v>
      </x:c>
      <x:c r="N2353" s="10" t="n">
        <x:f>K2353-L2353-M2353</x:f>
        <x:v>42434.885126552355</x:v>
      </x:c>
      <x:c r="O2353" s="10" t="n">
        <x:f>H2353*'Assumptions'!$P$71*'Assumptions'!$Q$71*'Assumptions'!$D$11*(1+'Assumptions'!$D$13)^(19-1)</x:f>
        <x:v>6293.4428970294075</x:v>
      </x:c>
      <x:c r="P2353" s="10" t="n">
        <x:f>H2353*'Assumptions'!$R$71*'Assumptions'!$D$11*(1+'Assumptions'!$D$13)^(19-1)</x:f>
        <x:v>0</x:v>
      </x:c>
      <x:c r="Q2353" s="10" t="n">
        <x:f>J2353*'Assumptions'!$S$71</x:f>
        <x:v>0</x:v>
      </x:c>
      <x:c r="R2353" s="10" t="n">
        <x:f>H2353*'Assumptions'!$Y$71*'Assumptions'!$Z$71*'Assumptions'!$D$11*(1+'Assumptions'!$D$13)^(19-1)</x:f>
        <x:v>8091.569439037809</x:v>
      </x:c>
      <x:c r="S2353" s="10" t="n">
        <x:f>IF(I2353=0,0,J2353*'Assumptions'!$W$71+H2353*'Assumptions'!$X$71)</x:f>
        <x:v>1585.5347737473874</x:v>
      </x:c>
      <x:c r="T2353" s="10" t="n">
        <x:f>N2353*'Assumptions'!$AA$71</x:f>
        <x:v>2121.7442563276177</x:v>
      </x:c>
      <x:c r="U2353" s="10" t="n">
        <x:f>'Assumptions'!$AE$71*'Assumptions'!$D$11*(1+'Assumptions'!$D$13)^(19-1)</x:f>
        <x:v>408.5839346975771</x:v>
      </x:c>
      <x:c r="V2353" s="10" t="n">
        <x:f>0</x:f>
        <x:v>0</x:v>
      </x:c>
      <x:c r="W2353" s="10" t="n">
        <x:f>H2353*('Assumptions'!$P$71+'Assumptions'!$Y$71)</x:f>
        <x:v>264.05245864686196</x:v>
      </x:c>
      <x:c r="X2353" s="10" t="n">
        <x:f>N2353/12*'Assumptions'!$AF$71</x:f>
        <x:v>0</x:v>
      </x:c>
      <x:c r="Y2353" s="10" t="n">
        <x:f>P2353/12</x:f>
        <x:v>0</x:v>
      </x:c>
      <x:c r="Z2353" s="10" t="n">
        <x:f>0</x:f>
        <x:v>0</x:v>
      </x:c>
      <x:c r="AA2353" s="10" t="n">
        <x:f>Z2353*'Assumptions'!$AC$71*'Assumptions'!$D$11*(1+'Assumptions'!$D$13)^(19-1)</x:f>
        <x:v>0</x:v>
      </x:c>
      <x:c r="AB2353" s="10" t="n">
        <x:f>F2353/1</x:f>
        <x:v>338.7426537736324</x:v>
      </x:c>
      <x:c r="AC2353" s="10" t="n">
        <x:f>AB2353/'Assumptions'!$AM$71</x:f>
        <x:v>6774.853075472648</x:v>
      </x:c>
      <x:c r="AD2353" s="10" t="n">
        <x:f>IF(AB2353=0,0,T2353/AB2353)</x:f>
        <x:v>6.263587513090368</x:v>
      </x:c>
      <x:c r="AE2353" s="10" t="n">
        <x:f>AA2353*'Assumptions'!$D$21</x:f>
        <x:v>0</x:v>
      </x:c>
    </x:row>
    <x:row r="2354" ht="16" customHeight="1">
      <x:c r="A2354" s="1"/>
      <x:c r="B2354" s="1"/>
      <x:c r="C2354" s="1" t="str">
        <x:v>DOT-043</x:v>
      </x:c>
      <x:c r="D2354" s="10" t="str">
        <x:v>Is Makes Travel Easy</x:v>
      </x:c>
      <x:c r="E2354" s="10" t="n">
        <x:v>19</x:v>
      </x:c>
      <x:c r="F2354" s="21" t="n">
        <x:f>F2226*(1+'Assumptions'!$M$72)</x:f>
        <x:v>169.3713268868162</x:v>
      </x:c>
      <x:c r="G2354" s="21" t="n">
        <x:f>H2226*'Assumptions'!$K$72</x:f>
        <x:v>358.7335904069077</x:v>
      </x:c>
      <x:c r="H2354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2354+G2354,NA())</x:f>
        <x:v>528.1049172937239</x:v>
      </x:c>
      <x:c r="I2354" s="22" t="n">
        <x:f>'Assumptions'!$H$72*IF('Assumptions'!$O$72=1,1,'Assumptions'!$D$10)*(1+'Assumptions'!$N$72)^(19-1)</x:f>
        <x:v>27.136678703949194</x:v>
      </x:c>
      <x:c r="J2354" s="10" t="n">
        <x:f>H2354*I2354</x:f>
        <x:v>14331.013462575449</x:v>
      </x:c>
      <x:c r="K2354" s="10" t="n">
        <x:f>J2354*'Assumptions'!$T$72</x:f>
        <x:v>14331.013462575449</x:v>
      </x:c>
      <x:c r="L2354" s="10" t="n">
        <x:f>K2354*'Assumptions'!$U$72</x:f>
        <x:v>429.9304038772635</x:v>
      </x:c>
      <x:c r="M2354" s="10" t="n">
        <x:f>K2354*'Assumptions'!$V$72</x:f>
        <x:v>0</x:v>
      </x:c>
      <x:c r="N2354" s="10" t="n">
        <x:f>K2354-L2354-M2354</x:f>
        <x:v>13901.083058698185</x:v>
      </x:c>
      <x:c r="O2354" s="10" t="n">
        <x:f>H2354*'Assumptions'!$P$72*'Assumptions'!$Q$72*'Assumptions'!$D$11*(1+'Assumptions'!$D$13)^(19-1)</x:f>
        <x:v>3146.7214485147038</x:v>
      </x:c>
      <x:c r="P2354" s="10" t="n">
        <x:f>H2354*'Assumptions'!$R$72*'Assumptions'!$D$11*(1+'Assumptions'!$D$13)^(19-1)</x:f>
        <x:v>0</x:v>
      </x:c>
      <x:c r="Q2354" s="10" t="n">
        <x:f>J2354*'Assumptions'!$S$72</x:f>
        <x:v>0</x:v>
      </x:c>
      <x:c r="R2354" s="10" t="n">
        <x:f>H2354*'Assumptions'!$Y$72*'Assumptions'!$Z$72*'Assumptions'!$D$11*(1+'Assumptions'!$D$13)^(19-1)</x:f>
        <x:v>4045.7847195189047</x:v>
      </x:c>
      <x:c r="S2354" s="10" t="n">
        <x:f>IF(I2354=0,0,J2354*'Assumptions'!$W$72+H2354*'Assumptions'!$X$72)</x:f>
        <x:v>574.0308656028052</x:v>
      </x:c>
      <x:c r="T2354" s="10" t="n">
        <x:f>N2354*'Assumptions'!$AA$72</x:f>
        <x:v>695.0541529349093</x:v>
      </x:c>
      <x:c r="U2354" s="10" t="n">
        <x:f>'Assumptions'!$AE$72*'Assumptions'!$D$11*(1+'Assumptions'!$D$13)^(19-1)</x:f>
        <x:v>0</x:v>
      </x:c>
      <x:c r="V2354" s="10" t="n">
        <x:f>0</x:f>
        <x:v>0</x:v>
      </x:c>
      <x:c r="W2354" s="10" t="n">
        <x:f>H2354*('Assumptions'!$P$72+'Assumptions'!$Y$72)</x:f>
        <x:v>132.02622932343098</x:v>
      </x:c>
      <x:c r="X2354" s="10" t="n">
        <x:f>N2354/12*'Assumptions'!$AF$72</x:f>
        <x:v>0</x:v>
      </x:c>
      <x:c r="Y2354" s="10" t="n">
        <x:f>P2354/12</x:f>
        <x:v>0</x:v>
      </x:c>
      <x:c r="Z2354" s="10" t="n">
        <x:f>0</x:f>
        <x:v>0</x:v>
      </x:c>
      <x:c r="AA2354" s="10" t="n">
        <x:f>Z2354*'Assumptions'!$AC$72*'Assumptions'!$D$11*(1+'Assumptions'!$D$13)^(19-1)</x:f>
        <x:v>0</x:v>
      </x:c>
      <x:c r="AB2354" s="10" t="n">
        <x:f>F2354/12</x:f>
        <x:v>14.114277240568017</x:v>
      </x:c>
      <x:c r="AC2354" s="10" t="n">
        <x:f>AB2354/'Assumptions'!$AM$72</x:f>
        <x:v>282.2855448113603</x:v>
      </x:c>
      <x:c r="AD2354" s="10" t="n">
        <x:f>IF(AB2354=0,0,T2354/AB2354)</x:f>
        <x:v>49.244756999469104</x:v>
      </x:c>
      <x:c r="AE2354" s="10" t="n">
        <x:f>AA2354*'Assumptions'!$D$21</x:f>
        <x:v>0</x:v>
      </x:c>
    </x:row>
    <x:row r="2355" ht="16" customHeight="1">
      <x:c r="A2355" s="1"/>
      <x:c r="B2355" s="1"/>
      <x:c r="C2355" s="1" t="str">
        <x:v>DOT-044</x:v>
      </x:c>
      <x:c r="D2355" s="10" t="str">
        <x:v>Is Makes Travel Easy</x:v>
      </x:c>
      <x:c r="E2355" s="10" t="n">
        <x:v>19</x:v>
      </x:c>
      <x:c r="F2355" s="21" t="n">
        <x:f>F2227*(1+'Assumptions'!$M$73)</x:f>
        <x:v>69.09497762420355</x:v>
      </x:c>
      <x:c r="G2355" s="21" t="n">
        <x:f>H2227*'Assumptions'!$K$73</x:f>
        <x:v>35.56359045520104</x:v>
      </x:c>
      <x:c r="H2355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2355+G2355,NA())</x:f>
        <x:v>104.65856807940459</x:v>
      </x:c>
      <x:c r="I2355" s="22" t="n">
        <x:f>'Assumptions'!$H$73*IF('Assumptions'!$O$73=1,1,'Assumptions'!$D$10)*(1+'Assumptions'!$N$73)^(19-1)</x:f>
        <x:v>69.9840661312374</x:v>
      </x:c>
      <x:c r="J2355" s="10" t="n">
        <x:f>H2355*I2355</x:f>
        <x:v>7324.432149669662</x:v>
      </x:c>
      <x:c r="K2355" s="10" t="n">
        <x:f>J2355*'Assumptions'!$T$73</x:f>
        <x:v>7324.432149669662</x:v>
      </x:c>
      <x:c r="L2355" s="10" t="n">
        <x:f>K2355*'Assumptions'!$U$73</x:f>
        <x:v>219.73296449008984</x:v>
      </x:c>
      <x:c r="M2355" s="10" t="n">
        <x:f>K2355*'Assumptions'!$V$73</x:f>
        <x:v>0</x:v>
      </x:c>
      <x:c r="N2355" s="10" t="n">
        <x:f>K2355-L2355-M2355</x:f>
        <x:v>7104.699185179572</x:v>
      </x:c>
      <x:c r="O2355" s="10" t="n">
        <x:f>H2355*'Assumptions'!$P$73*'Assumptions'!$Q$73*'Assumptions'!$D$11*(1+'Assumptions'!$D$13)^(19-1)</x:f>
        <x:v>1559.02430635355</x:v>
      </x:c>
      <x:c r="P2355" s="10" t="n">
        <x:f>H2355*'Assumptions'!$R$73*'Assumptions'!$D$11*(1+'Assumptions'!$D$13)^(19-1)</x:f>
        <x:v>0</x:v>
      </x:c>
      <x:c r="Q2355" s="10" t="n">
        <x:f>J2355*'Assumptions'!$S$73</x:f>
        <x:v>0</x:v>
      </x:c>
      <x:c r="R2355" s="10" t="n">
        <x:f>H2355*'Assumptions'!$Y$73*'Assumptions'!$Z$73*'Assumptions'!$D$11*(1+'Assumptions'!$D$13)^(19-1)</x:f>
        <x:v>2672.6130966060855</x:v>
      </x:c>
      <x:c r="S2355" s="10" t="n">
        <x:f>IF(I2355=0,0,J2355*'Assumptions'!$W$73+H2355*'Assumptions'!$X$73)</x:f>
        <x:v>243.8061027642416</x:v>
      </x:c>
      <x:c r="T2355" s="10" t="n">
        <x:f>N2355*'Assumptions'!$AA$73</x:f>
        <x:v>568.3759348143658</x:v>
      </x:c>
      <x:c r="U2355" s="10" t="n">
        <x:f>'Assumptions'!$AE$73*'Assumptions'!$D$11*(1+'Assumptions'!$D$13)^(19-1)</x:f>
        <x:v>0</x:v>
      </x:c>
      <x:c r="V2355" s="10" t="n">
        <x:f>0</x:f>
        <x:v>0</x:v>
      </x:c>
      <x:c r="W2355" s="10" t="n">
        <x:f>H2355*('Assumptions'!$P$73+'Assumptions'!$Y$73)</x:f>
        <x:v>78.49392605955344</x:v>
      </x:c>
      <x:c r="X2355" s="10" t="n">
        <x:f>N2355/12*'Assumptions'!$AF$73</x:f>
        <x:v>592.058265431631</x:v>
      </x:c>
      <x:c r="Y2355" s="10" t="n">
        <x:f>P2355/12</x:f>
        <x:v>0</x:v>
      </x:c>
      <x:c r="Z2355" s="10" t="n">
        <x:f>0</x:f>
        <x:v>0</x:v>
      </x:c>
      <x:c r="AA2355" s="10" t="n">
        <x:f>Z2355*'Assumptions'!$AC$73*'Assumptions'!$D$11*(1+'Assumptions'!$D$13)^(19-1)</x:f>
        <x:v>0</x:v>
      </x:c>
      <x:c r="AB2355" s="10" t="n">
        <x:f>F2355/1</x:f>
        <x:v>69.09497762420355</x:v>
      </x:c>
      <x:c r="AC2355" s="10" t="n">
        <x:f>AB2355/'Assumptions'!$AM$73</x:f>
        <x:v>690.9497762420355</x:v>
      </x:c>
      <x:c r="AD2355" s="10" t="n">
        <x:f>IF(AB2355=0,0,T2355/AB2355)</x:f>
        <x:v>8.226009391097438</x:v>
      </x:c>
      <x:c r="AE2355" s="10" t="n">
        <x:f>AA2355*'Assumptions'!$D$21</x:f>
        <x:v>0</x:v>
      </x:c>
    </x:row>
    <x:row r="2356" ht="16" customHeight="1">
      <x:c r="A2356" s="1"/>
      <x:c r="B2356" s="1"/>
      <x:c r="C2356" s="1" t="str">
        <x:v>DOT-045</x:v>
      </x:c>
      <x:c r="D2356" s="10" t="str">
        <x:v>Is Makes Travel Easy</x:v>
      </x:c>
      <x:c r="E2356" s="10" t="n">
        <x:v>19</x:v>
      </x:c>
      <x:c r="F2356" s="21" t="n">
        <x:f>F2228*(1+'Assumptions'!$M$74)</x:f>
        <x:v>225.8284358490883</x:v>
      </x:c>
      <x:c r="G2356" s="21" t="n">
        <x:f>H2228*'Assumptions'!$K$74</x:f>
        <x:v>478.311453875877</x:v>
      </x:c>
      <x:c r="H2356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2356+G2356,NA())</x:f>
        <x:v>704.1398897249653</x:v>
      </x:c>
      <x:c r="I2356" s="22" t="n">
        <x:f>'Assumptions'!$H$74*IF('Assumptions'!$O$74=1,1,'Assumptions'!$D$10)*(1+'Assumptions'!$N$74)^(19-1)</x:f>
        <x:v>214.23693713644101</x:v>
      </x:c>
      <x:c r="J2356" s="10" t="n">
        <x:f>H2356*I2356</x:f>
        <x:v>150852.7732902679</x:v>
      </x:c>
      <x:c r="K2356" s="10" t="n">
        <x:f>J2356*'Assumptions'!$T$74</x:f>
        <x:v>15085.277329026792</x:v>
      </x:c>
      <x:c r="L2356" s="10" t="n">
        <x:f>K2356*'Assumptions'!$U$74</x:f>
        <x:v>452.55831987080376</x:v>
      </x:c>
      <x:c r="M2356" s="10" t="n">
        <x:f>K2356*'Assumptions'!$V$74</x:f>
        <x:v>0</x:v>
      </x:c>
      <x:c r="N2356" s="10" t="n">
        <x:f>K2356-L2356-M2356</x:f>
        <x:v>14632.719009155988</x:v>
      </x:c>
      <x:c r="O2356" s="10" t="n">
        <x:f>H2356*'Assumptions'!$P$74*'Assumptions'!$Q$74*'Assumptions'!$D$11*(1+'Assumptions'!$D$13)^(19-1)</x:f>
        <x:v>4195.628598019606</x:v>
      </x:c>
      <x:c r="P2356" s="10" t="n">
        <x:f>H2356*'Assumptions'!$R$74*'Assumptions'!$D$11*(1+'Assumptions'!$D$13)^(19-1)</x:f>
        <x:v>0</x:v>
      </x:c>
      <x:c r="Q2356" s="10" t="n">
        <x:f>J2356*'Assumptions'!$S$74</x:f>
        <x:v>0</x:v>
      </x:c>
      <x:c r="R2356" s="10" t="n">
        <x:f>H2356*'Assumptions'!$Y$74*'Assumptions'!$Z$74*'Assumptions'!$D$11*(1+'Assumptions'!$D$13)^(19-1)</x:f>
        <x:v>5394.379626025207</x:v>
      </x:c>
      <x:c r="S2356" s="10" t="n">
        <x:f>IF(I2356=0,0,J2356*'Assumptions'!$W$74+H2356*'Assumptions'!$X$74)</x:f>
        <x:v>4585.972392335259</x:v>
      </x:c>
      <x:c r="T2356" s="10" t="n">
        <x:f>N2356*'Assumptions'!$AA$74</x:f>
        <x:v>731.6359504577995</x:v>
      </x:c>
      <x:c r="U2356" s="10" t="n">
        <x:f>'Assumptions'!$AE$74*'Assumptions'!$D$11*(1+'Assumptions'!$D$13)^(19-1)</x:f>
        <x:v>0</x:v>
      </x:c>
      <x:c r="V2356" s="10" t="n">
        <x:f>0</x:f>
        <x:v>0</x:v>
      </x:c>
      <x:c r="W2356" s="10" t="n">
        <x:f>H2356*('Assumptions'!$P$74+'Assumptions'!$Y$74)</x:f>
        <x:v>176.03497243124133</x:v>
      </x:c>
      <x:c r="X2356" s="10" t="n">
        <x:f>N2356/12*'Assumptions'!$AF$74</x:f>
        <x:v>0</x:v>
      </x:c>
      <x:c r="Y2356" s="10" t="n">
        <x:f>P2356/12</x:f>
        <x:v>0</x:v>
      </x:c>
      <x:c r="Z2356" s="10" t="n">
        <x:f>0</x:f>
        <x:v>0</x:v>
      </x:c>
      <x:c r="AA2356" s="10" t="n">
        <x:f>Z2356*'Assumptions'!$AC$74*'Assumptions'!$D$11*(1+'Assumptions'!$D$13)^(19-1)</x:f>
        <x:v>0</x:v>
      </x:c>
      <x:c r="AB2356" s="10" t="n">
        <x:f>F2356/1</x:f>
        <x:v>225.8284358490883</x:v>
      </x:c>
      <x:c r="AC2356" s="10" t="n">
        <x:f>AB2356/'Assumptions'!$AM$74</x:f>
        <x:v>4516.568716981766</x:v>
      </x:c>
      <x:c r="AD2356" s="10" t="n">
        <x:f>IF(AB2356=0,0,T2356/AB2356)</x:f>
        <x:v>3.2397866447019155</x:v>
      </x:c>
      <x:c r="AE2356" s="10" t="n">
        <x:f>AA2356*'Assumptions'!$D$21</x:f>
        <x:v>0</x:v>
      </x:c>
    </x:row>
    <x:row r="2357" ht="16" customHeight="1">
      <x:c r="A2357" s="1"/>
      <x:c r="B2357" s="1"/>
      <x:c r="C2357" s="1" t="str">
        <x:v>DOT-046</x:v>
      </x:c>
      <x:c r="D2357" s="10" t="str">
        <x:v>Turbo Tax - Made Easy!</x:v>
      </x:c>
      <x:c r="E2357" s="10" t="n">
        <x:v>19</x:v>
      </x:c>
      <x:c r="F2357" s="21" t="n">
        <x:f>F2229*(1+'Assumptions'!$M$75)</x:f>
        <x:v>595.2439985529084</x:v>
      </x:c>
      <x:c r="G2357" s="21" t="n">
        <x:f>H2229*'Assumptions'!$K$75</x:f>
        <x:v>190.78333280632663</x:v>
      </x:c>
      <x:c r="H2357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2357+G2357,NA())</x:f>
        <x:v>786.027331359235</x:v>
      </x:c>
      <x:c r="I2357" s="22" t="n">
        <x:f>'Assumptions'!$H$75*IF('Assumptions'!$O$75=1,1,'Assumptions'!$D$10)*(1+'Assumptions'!$N$75)^(19-1)</x:f>
        <x:v>149</x:v>
      </x:c>
      <x:c r="J2357" s="10" t="n">
        <x:f>H2357*I2357</x:f>
        <x:v>117118.072372526</x:v>
      </x:c>
      <x:c r="K2357" s="10" t="n">
        <x:f>J2357*'Assumptions'!$T$75</x:f>
        <x:v>117118.072372526</x:v>
      </x:c>
      <x:c r="L2357" s="10" t="n">
        <x:f>K2357*'Assumptions'!$U$75</x:f>
        <x:v>3513.54217117578</x:v>
      </x:c>
      <x:c r="M2357" s="10" t="n">
        <x:f>K2357*'Assumptions'!$V$75</x:f>
        <x:v>0</x:v>
      </x:c>
      <x:c r="N2357" s="10" t="n">
        <x:f>K2357-L2357-M2357</x:f>
        <x:v>113604.53020135022</x:v>
      </x:c>
      <x:c r="O2357" s="10" t="n">
        <x:f>H2357*'Assumptions'!$P$75*'Assumptions'!$Q$75*'Assumptions'!$D$11*(1+'Assumptions'!$D$13)^(19-1)</x:f>
        <x:v>7025.33430870671</x:v>
      </x:c>
      <x:c r="P2357" s="10" t="n">
        <x:f>H2357*'Assumptions'!$R$75*'Assumptions'!$D$11*(1+'Assumptions'!$D$13)^(19-1)</x:f>
        <x:v>0</x:v>
      </x:c>
      <x:c r="Q2357" s="10" t="n">
        <x:f>J2357*'Assumptions'!$S$75</x:f>
        <x:v>0</x:v>
      </x:c>
      <x:c r="R2357" s="10" t="n">
        <x:f>H2357*'Assumptions'!$Y$75*'Assumptions'!$Z$75*'Assumptions'!$D$11*(1+'Assumptions'!$D$13)^(19-1)</x:f>
        <x:v>4014.476747832406</x:v>
      </x:c>
      <x:c r="S2357" s="10" t="n">
        <x:f>IF(I2357=0,0,J2357*'Assumptions'!$W$75+H2357*'Assumptions'!$X$75)</x:f>
        <x:v>3632.232298211025</x:v>
      </x:c>
      <x:c r="T2357" s="10" t="n">
        <x:f>N2357*'Assumptions'!$AA$75</x:f>
        <x:v>5680.226510067511</x:v>
      </x:c>
      <x:c r="U2357" s="10" t="n">
        <x:f>'Assumptions'!$AE$75*'Assumptions'!$D$11*(1+'Assumptions'!$D$13)^(19-1)</x:f>
        <x:v>0</x:v>
      </x:c>
      <x:c r="V2357" s="10" t="n">
        <x:f>0</x:f>
        <x:v>0</x:v>
      </x:c>
      <x:c r="W2357" s="10" t="n">
        <x:f>H2357*('Assumptions'!$P$75+'Assumptions'!$Y$75)</x:f>
        <x:v>196.50683283980874</x:v>
      </x:c>
      <x:c r="X2357" s="10" t="n">
        <x:f>N2357/12*'Assumptions'!$AF$75</x:f>
        <x:v>0</x:v>
      </x:c>
      <x:c r="Y2357" s="10" t="n">
        <x:f>P2357/12</x:f>
        <x:v>0</x:v>
      </x:c>
      <x:c r="Z2357" s="10" t="n">
        <x:f>0</x:f>
        <x:v>0</x:v>
      </x:c>
      <x:c r="AA2357" s="10" t="n">
        <x:f>Z2357*'Assumptions'!$AC$75*'Assumptions'!$D$11*(1+'Assumptions'!$D$13)^(19-1)</x:f>
        <x:v>0</x:v>
      </x:c>
      <x:c r="AB2357" s="10" t="n">
        <x:f>F2357/1</x:f>
        <x:v>595.2439985529084</x:v>
      </x:c>
      <x:c r="AC2357" s="10" t="n">
        <x:f>AB2357/'Assumptions'!$AM$75</x:f>
        <x:v>11904.879971058166</x:v>
      </x:c>
      <x:c r="AD2357" s="10" t="n">
        <x:f>IF(AB2357=0,0,T2357/AB2357)</x:f>
        <x:v>9.542685896668681</x:v>
      </x:c>
      <x:c r="AE2357" s="10" t="n">
        <x:f>AA2357*'Assumptions'!$D$21</x:f>
        <x:v>0</x:v>
      </x:c>
    </x:row>
    <x:row r="2358" ht="16" customHeight="1">
      <x:c r="A2358" s="1"/>
      <x:c r="B2358" s="1"/>
      <x:c r="C2358" s="1" t="str">
        <x:v>DOT-047</x:v>
      </x:c>
      <x:c r="D2358" s="10" t="str">
        <x:v>LavaLearning adult</x:v>
      </x:c>
      <x:c r="E2358" s="10" t="n">
        <x:v>19</x:v>
      </x:c>
      <x:c r="F2358" s="21" t="n">
        <x:f>F2230*(1+'Assumptions'!$M$76)</x:f>
        <x:v>396.8293323686055</x:v>
      </x:c>
      <x:c r="G2358" s="21" t="n">
        <x:f>H2230*'Assumptions'!$K$76</x:f>
        <x:v>127.18888853730854</x:v>
      </x:c>
      <x:c r="H2358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2358+G2358,NA())</x:f>
        <x:v>524.0182209059141</x:v>
      </x:c>
      <x:c r="I2358" s="22" t="n">
        <x:f>'Assumptions'!$H$76*IF('Assumptions'!$O$76=1,1,'Assumptions'!$D$10)*(1+'Assumptions'!$N$76)^(19-1)</x:f>
        <x:v>79</x:v>
      </x:c>
      <x:c r="J2358" s="10" t="n">
        <x:f>H2358*I2358</x:f>
        <x:v>41397.43945156721</x:v>
      </x:c>
      <x:c r="K2358" s="10" t="n">
        <x:f>J2358*'Assumptions'!$T$76</x:f>
        <x:v>41397.43945156721</x:v>
      </x:c>
      <x:c r="L2358" s="10" t="n">
        <x:f>K2358*'Assumptions'!$U$76</x:f>
        <x:v>1241.9231835470162</x:v>
      </x:c>
      <x:c r="M2358" s="10" t="n">
        <x:f>K2358*'Assumptions'!$V$76</x:f>
        <x:v>0</x:v>
      </x:c>
      <x:c r="N2358" s="10" t="n">
        <x:f>K2358-L2358-M2358</x:f>
        <x:v>40155.5162680202</x:v>
      </x:c>
      <x:c r="O2358" s="10" t="n">
        <x:f>H2358*'Assumptions'!$P$76*'Assumptions'!$Q$76*'Assumptions'!$D$11*(1+'Assumptions'!$D$13)^(19-1)</x:f>
        <x:v>4683.556205802305</x:v>
      </x:c>
      <x:c r="P2358" s="10" t="n">
        <x:f>H2358*'Assumptions'!$R$76*'Assumptions'!$D$11*(1+'Assumptions'!$D$13)^(19-1)</x:f>
        <x:v>0</x:v>
      </x:c>
      <x:c r="Q2358" s="10" t="n">
        <x:f>J2358*'Assumptions'!$S$76</x:f>
        <x:v>0</x:v>
      </x:c>
      <x:c r="R2358" s="10" t="n">
        <x:f>H2358*'Assumptions'!$Y$76*'Assumptions'!$Z$76*'Assumptions'!$D$11*(1+'Assumptions'!$D$13)^(19-1)</x:f>
        <x:v>2676.317831887032</x:v>
      </x:c>
      <x:c r="S2358" s="10" t="n">
        <x:f>IF(I2358=0,0,J2358*'Assumptions'!$W$76+H2358*'Assumptions'!$X$76)</x:f>
        <x:v>1357.7312103672234</x:v>
      </x:c>
      <x:c r="T2358" s="10" t="n">
        <x:f>N2358*'Assumptions'!$AA$76</x:f>
        <x:v>2007.77581340101</x:v>
      </x:c>
      <x:c r="U2358" s="10" t="n">
        <x:f>'Assumptions'!$AE$76*'Assumptions'!$D$11*(1+'Assumptions'!$D$13)^(19-1)</x:f>
        <x:v>0</x:v>
      </x:c>
      <x:c r="V2358" s="10" t="n">
        <x:f>0</x:f>
        <x:v>0</x:v>
      </x:c>
      <x:c r="W2358" s="10" t="n">
        <x:f>H2358*('Assumptions'!$P$76+'Assumptions'!$Y$76)</x:f>
        <x:v>131.00455522647852</x:v>
      </x:c>
      <x:c r="X2358" s="10" t="n">
        <x:f>N2358/12*'Assumptions'!$AF$76</x:f>
        <x:v>0</x:v>
      </x:c>
      <x:c r="Y2358" s="10" t="n">
        <x:f>P2358/12</x:f>
        <x:v>0</x:v>
      </x:c>
      <x:c r="Z2358" s="10" t="n">
        <x:f>0</x:f>
        <x:v>0</x:v>
      </x:c>
      <x:c r="AA2358" s="10" t="n">
        <x:f>Z2358*'Assumptions'!$AC$76*'Assumptions'!$D$11*(1+'Assumptions'!$D$13)^(19-1)</x:f>
        <x:v>0</x:v>
      </x:c>
      <x:c r="AB2358" s="10" t="n">
        <x:f>F2358/1</x:f>
        <x:v>396.8293323686055</x:v>
      </x:c>
      <x:c r="AC2358" s="10" t="n">
        <x:f>AB2358/'Assumptions'!$AM$76</x:f>
        <x:v>7936.58664737211</x:v>
      </x:c>
      <x:c r="AD2358" s="10" t="n">
        <x:f>IF(AB2358=0,0,T2358/AB2358)</x:f>
        <x:v>5.059544871385753</x:v>
      </x:c>
      <x:c r="AE2358" s="10" t="n">
        <x:f>AA2358*'Assumptions'!$D$21</x:f>
        <x:v>0</x:v>
      </x:c>
    </x:row>
    <x:row r="2359" ht="16" customHeight="1">
      <x:c r="A2359" s="1"/>
      <x:c r="B2359" s="1"/>
      <x:c r="C2359" s="1" t="str">
        <x:v>DOT-048</x:v>
      </x:c>
      <x:c r="D2359" s="10" t="str">
        <x:v>Turbo Tax - Made Easy!</x:v>
      </x:c>
      <x:c r="E2359" s="10" t="n">
        <x:v>19</x:v>
      </x:c>
      <x:c r="F2359" s="21" t="n">
        <x:f>F2231*(1+'Assumptions'!$M$77)</x:f>
        <x:v>1190.4879971058167</x:v>
      </x:c>
      <x:c r="G2359" s="21" t="n">
        <x:f>H2231*'Assumptions'!$K$77</x:f>
        <x:v>381.56666561265325</x:v>
      </x:c>
      <x:c r="H2359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2359+G2359,NA())</x:f>
        <x:v>1572.05466271847</x:v>
      </x:c>
      <x:c r="I2359" s="22" t="n">
        <x:f>'Assumptions'!$H$77*IF('Assumptions'!$O$77=1,1,'Assumptions'!$D$10)*(1+'Assumptions'!$N$77)^(19-1)</x:f>
        <x:v>27.136678703949194</x:v>
      </x:c>
      <x:c r="J2359" s="10" t="n">
        <x:f>H2359*I2359</x:f>
        <x:v>42660.34228723634</x:v>
      </x:c>
      <x:c r="K2359" s="10" t="n">
        <x:f>J2359*'Assumptions'!$T$77</x:f>
        <x:v>42660.34228723634</x:v>
      </x:c>
      <x:c r="L2359" s="10" t="n">
        <x:f>K2359*'Assumptions'!$U$77</x:f>
        <x:v>1279.81026861709</x:v>
      </x:c>
      <x:c r="M2359" s="10" t="n">
        <x:f>K2359*'Assumptions'!$V$77</x:f>
        <x:v>0</x:v>
      </x:c>
      <x:c r="N2359" s="10" t="n">
        <x:f>K2359-L2359-M2359</x:f>
        <x:v>41380.53201861925</x:v>
      </x:c>
      <x:c r="O2359" s="10" t="n">
        <x:f>H2359*'Assumptions'!$P$77*'Assumptions'!$Q$77*'Assumptions'!$D$11*(1+'Assumptions'!$D$13)^(19-1)</x:f>
        <x:v>14050.66861741342</x:v>
      </x:c>
      <x:c r="P2359" s="10" t="n">
        <x:f>H2359*'Assumptions'!$R$77*'Assumptions'!$D$11*(1+'Assumptions'!$D$13)^(19-1)</x:f>
        <x:v>0</x:v>
      </x:c>
      <x:c r="Q2359" s="10" t="n">
        <x:f>J2359*'Assumptions'!$S$77</x:f>
        <x:v>0</x:v>
      </x:c>
      <x:c r="R2359" s="10" t="n">
        <x:f>H2359*'Assumptions'!$Y$77*'Assumptions'!$Z$77*'Assumptions'!$D$11*(1+'Assumptions'!$D$13)^(19-1)</x:f>
        <x:v>8028.953495664812</x:v>
      </x:c>
      <x:c r="S2359" s="10" t="n">
        <x:f>IF(I2359=0,0,J2359*'Assumptions'!$W$77+H2359*'Assumptions'!$X$77)</x:f>
        <x:v>1708.7663251453946</x:v>
      </x:c>
      <x:c r="T2359" s="10" t="n">
        <x:f>N2359*'Assumptions'!$AA$77</x:f>
        <x:v>2069.0266009309626</x:v>
      </x:c>
      <x:c r="U2359" s="10" t="n">
        <x:f>'Assumptions'!$AE$77*'Assumptions'!$D$11*(1+'Assumptions'!$D$13)^(19-1)</x:f>
        <x:v>0</x:v>
      </x:c>
      <x:c r="V2359" s="10" t="n">
        <x:f>0</x:f>
        <x:v>0</x:v>
      </x:c>
      <x:c r="W2359" s="10" t="n">
        <x:f>H2359*('Assumptions'!$P$77+'Assumptions'!$Y$77)</x:f>
        <x:v>393.0136656796175</x:v>
      </x:c>
      <x:c r="X2359" s="10" t="n">
        <x:f>N2359/12*'Assumptions'!$AF$77</x:f>
        <x:v>0</x:v>
      </x:c>
      <x:c r="Y2359" s="10" t="n">
        <x:f>P2359/12</x:f>
        <x:v>0</x:v>
      </x:c>
      <x:c r="Z2359" s="10" t="n">
        <x:f>0</x:f>
        <x:v>0</x:v>
      </x:c>
      <x:c r="AA2359" s="10" t="n">
        <x:f>Z2359*'Assumptions'!$AC$77*'Assumptions'!$D$11*(1+'Assumptions'!$D$13)^(19-1)</x:f>
        <x:v>0</x:v>
      </x:c>
      <x:c r="AB2359" s="10" t="n">
        <x:f>F2359/1</x:f>
        <x:v>1190.4879971058167</x:v>
      </x:c>
      <x:c r="AC2359" s="10" t="n">
        <x:f>AB2359/'Assumptions'!$AM$77</x:f>
        <x:v>23809.759942116332</x:v>
      </x:c>
      <x:c r="AD2359" s="10" t="n">
        <x:f>IF(AB2359=0,0,T2359/AB2359)</x:f>
        <x:v>1.7379651083933245</x:v>
      </x:c>
      <x:c r="AE2359" s="10" t="n">
        <x:f>AA2359*'Assumptions'!$D$21</x:f>
        <x:v>0</x:v>
      </x:c>
    </x:row>
    <x:row r="2360" ht="16" customHeight="1">
      <x:c r="A2360" s="1"/>
      <x:c r="B2360" s="1"/>
      <x:c r="C2360" s="1" t="str">
        <x:v>DOT-049</x:v>
      </x:c>
      <x:c r="D2360" s="10" t="str">
        <x:v>Turbo Tax - Made Easy!</x:v>
      </x:c>
      <x:c r="E2360" s="10" t="n">
        <x:v>19</x:v>
      </x:c>
      <x:c r="F2360" s="21" t="n">
        <x:f>F2232*(1+'Assumptions'!$M$78)</x:f>
        <x:v>396.8293323686055</x:v>
      </x:c>
      <x:c r="G2360" s="21" t="n">
        <x:f>H2232*'Assumptions'!$K$78</x:f>
        <x:v>127.18888853658095</x:v>
      </x:c>
      <x:c r="H2360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2360+G2360,NA())</x:f>
        <x:v>524.0182209051865</x:v>
      </x:c>
      <x:c r="I2360" s="22" t="n">
        <x:f>'Assumptions'!$H$78*IF('Assumptions'!$O$78=1,1,'Assumptions'!$D$10)*(1+'Assumptions'!$N$78)^(19-1)</x:f>
        <x:v>27.136678703949194</x:v>
      </x:c>
      <x:c r="J2360" s="10" t="n">
        <x:f>H2360*I2360</x:f>
        <x:v>14220.114095719118</x:v>
      </x:c>
      <x:c r="K2360" s="10" t="n">
        <x:f>J2360*'Assumptions'!$T$78</x:f>
        <x:v>14220.114095719118</x:v>
      </x:c>
      <x:c r="L2360" s="10" t="n">
        <x:f>K2360*'Assumptions'!$U$78</x:f>
        <x:v>426.6034228715735</x:v>
      </x:c>
      <x:c r="M2360" s="10" t="n">
        <x:f>K2360*'Assumptions'!$V$78</x:f>
        <x:v>0</x:v>
      </x:c>
      <x:c r="N2360" s="10" t="n">
        <x:f>K2360-L2360-M2360</x:f>
        <x:v>13793.510672847544</x:v>
      </x:c>
      <x:c r="O2360" s="10" t="n">
        <x:f>H2360*'Assumptions'!$P$78*'Assumptions'!$Q$78*'Assumptions'!$D$11*(1+'Assumptions'!$D$13)^(19-1)</x:f>
        <x:v>4683.556205795802</x:v>
      </x:c>
      <x:c r="P2360" s="10" t="n">
        <x:f>H2360*'Assumptions'!$R$78*'Assumptions'!$D$11*(1+'Assumptions'!$D$13)^(19-1)</x:f>
        <x:v>0</x:v>
      </x:c>
      <x:c r="Q2360" s="10" t="n">
        <x:f>J2360*'Assumptions'!$S$78</x:f>
        <x:v>0</x:v>
      </x:c>
      <x:c r="R2360" s="10" t="n">
        <x:f>H2360*'Assumptions'!$Y$78*'Assumptions'!$Z$78*'Assumptions'!$D$11*(1+'Assumptions'!$D$13)^(19-1)</x:f>
        <x:v>2676.3178318833156</x:v>
      </x:c>
      <x:c r="S2360" s="10" t="n">
        <x:f>IF(I2360=0,0,J2360*'Assumptions'!$W$78+H2360*'Assumptions'!$X$78)</x:f>
        <x:v>569.5887750474104</x:v>
      </x:c>
      <x:c r="T2360" s="10" t="n">
        <x:f>N2360*'Assumptions'!$AA$78</x:f>
        <x:v>689.6755336423772</x:v>
      </x:c>
      <x:c r="U2360" s="10" t="n">
        <x:f>'Assumptions'!$AE$78*'Assumptions'!$D$11*(1+'Assumptions'!$D$13)^(19-1)</x:f>
        <x:v>0</x:v>
      </x:c>
      <x:c r="V2360" s="10" t="n">
        <x:f>0</x:f>
        <x:v>0</x:v>
      </x:c>
      <x:c r="W2360" s="10" t="n">
        <x:f>H2360*('Assumptions'!$P$78+'Assumptions'!$Y$78)</x:f>
        <x:v>131.00455522629662</x:v>
      </x:c>
      <x:c r="X2360" s="10" t="n">
        <x:f>N2360/12*'Assumptions'!$AF$78</x:f>
        <x:v>0</x:v>
      </x:c>
      <x:c r="Y2360" s="10" t="n">
        <x:f>P2360/12</x:f>
        <x:v>0</x:v>
      </x:c>
      <x:c r="Z2360" s="10" t="n">
        <x:f>0</x:f>
        <x:v>0</x:v>
      </x:c>
      <x:c r="AA2360" s="10" t="n">
        <x:f>Z2360*'Assumptions'!$AC$78*'Assumptions'!$D$11*(1+'Assumptions'!$D$13)^(19-1)</x:f>
        <x:v>0</x:v>
      </x:c>
      <x:c r="AB2360" s="10" t="n">
        <x:f>F2360/1</x:f>
        <x:v>396.8293323686055</x:v>
      </x:c>
      <x:c r="AC2360" s="10" t="n">
        <x:f>AB2360/'Assumptions'!$AM$78</x:f>
        <x:v>7936.58664737211</x:v>
      </x:c>
      <x:c r="AD2360" s="10" t="n">
        <x:f>IF(AB2360=0,0,T2360/AB2360)</x:f>
        <x:v>1.7379651083901069</x:v>
      </x:c>
      <x:c r="AE2360" s="10" t="n">
        <x:f>AA2360*'Assumptions'!$D$21</x:f>
        <x:v>0</x:v>
      </x:c>
    </x:row>
    <x:row r="2361" ht="16" customHeight="1">
      <x:c r="A2361" s="1"/>
      <x:c r="B2361" s="1"/>
      <x:c r="C2361" s="1" t="str">
        <x:v>DOT-050</x:v>
      </x:c>
      <x:c r="D2361" s="10" t="str">
        <x:v>LavaLearning adult</x:v>
      </x:c>
      <x:c r="E2361" s="10" t="n">
        <x:v>19</x:v>
      </x:c>
      <x:c r="F2361" s="21" t="n">
        <x:f>F2233*(1+'Assumptions'!$M$79)</x:f>
        <x:v>1190.4879971058167</x:v>
      </x:c>
      <x:c r="G2361" s="21" t="n">
        <x:f>H2233*'Assumptions'!$K$79</x:f>
        <x:v>381.56666561192566</x:v>
      </x:c>
      <x:c r="H2361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2361+G2361,NA())</x:f>
        <x:v>1572.0546627177423</x:v>
      </x:c>
      <x:c r="I2361" s="22" t="n">
        <x:f>'Assumptions'!$H$79*IF('Assumptions'!$O$79=1,1,'Assumptions'!$D$10)*(1+'Assumptions'!$N$79)^(19-1)</x:f>
        <x:v>27.136678703949194</x:v>
      </x:c>
      <x:c r="J2361" s="10" t="n">
        <x:f>H2361*I2361</x:f>
        <x:v>42660.34228721659</x:v>
      </x:c>
      <x:c r="K2361" s="10" t="n">
        <x:f>J2361*'Assumptions'!$T$79</x:f>
        <x:v>42660.34228721659</x:v>
      </x:c>
      <x:c r="L2361" s="10" t="n">
        <x:f>K2361*'Assumptions'!$U$79</x:f>
        <x:v>1279.8102686164978</x:v>
      </x:c>
      <x:c r="M2361" s="10" t="n">
        <x:f>K2361*'Assumptions'!$V$79</x:f>
        <x:v>0</x:v>
      </x:c>
      <x:c r="N2361" s="10" t="n">
        <x:f>K2361-L2361-M2361</x:f>
        <x:v>41380.53201860009</x:v>
      </x:c>
      <x:c r="O2361" s="10" t="n">
        <x:f>H2361*'Assumptions'!$P$79*'Assumptions'!$Q$79*'Assumptions'!$D$11*(1+'Assumptions'!$D$13)^(19-1)</x:f>
        <x:v>14050.668617406916</x:v>
      </x:c>
      <x:c r="P2361" s="10" t="n">
        <x:f>H2361*'Assumptions'!$R$79*'Assumptions'!$D$11*(1+'Assumptions'!$D$13)^(19-1)</x:f>
        <x:v>0</x:v>
      </x:c>
      <x:c r="Q2361" s="10" t="n">
        <x:f>J2361*'Assumptions'!$S$79</x:f>
        <x:v>0</x:v>
      </x:c>
      <x:c r="R2361" s="10" t="n">
        <x:f>H2361*'Assumptions'!$Y$79*'Assumptions'!$Z$79*'Assumptions'!$D$11*(1+'Assumptions'!$D$13)^(19-1)</x:f>
        <x:v>8028.953495661096</x:v>
      </x:c>
      <x:c r="S2361" s="10" t="n">
        <x:f>IF(I2361=0,0,J2361*'Assumptions'!$W$79+H2361*'Assumptions'!$X$79)</x:f>
        <x:v>1708.7663251446038</x:v>
      </x:c>
      <x:c r="T2361" s="10" t="n">
        <x:f>N2361*'Assumptions'!$AA$79</x:f>
        <x:v>2069.0266009300044</x:v>
      </x:c>
      <x:c r="U2361" s="10" t="n">
        <x:f>'Assumptions'!$AE$79*'Assumptions'!$D$11*(1+'Assumptions'!$D$13)^(19-1)</x:f>
        <x:v>0</x:v>
      </x:c>
      <x:c r="V2361" s="10" t="n">
        <x:f>0</x:f>
        <x:v>0</x:v>
      </x:c>
      <x:c r="W2361" s="10" t="n">
        <x:f>H2361*('Assumptions'!$P$79+'Assumptions'!$Y$79)</x:f>
        <x:v>393.0136656794356</x:v>
      </x:c>
      <x:c r="X2361" s="10" t="n">
        <x:f>N2361/12*'Assumptions'!$AF$79</x:f>
        <x:v>0</x:v>
      </x:c>
      <x:c r="Y2361" s="10" t="n">
        <x:f>P2361/12</x:f>
        <x:v>0</x:v>
      </x:c>
      <x:c r="Z2361" s="10" t="n">
        <x:f>0</x:f>
        <x:v>0</x:v>
      </x:c>
      <x:c r="AA2361" s="10" t="n">
        <x:f>Z2361*'Assumptions'!$AC$79*'Assumptions'!$D$11*(1+'Assumptions'!$D$13)^(19-1)</x:f>
        <x:v>0</x:v>
      </x:c>
      <x:c r="AB2361" s="10" t="n">
        <x:f>F2361/1</x:f>
        <x:v>1190.4879971058167</x:v>
      </x:c>
      <x:c r="AC2361" s="10" t="n">
        <x:f>AB2361/'Assumptions'!$AM$79</x:f>
        <x:v>23809.759942116332</x:v>
      </x:c>
      <x:c r="AD2361" s="10" t="n">
        <x:f>IF(AB2361=0,0,T2361/AB2361)</x:f>
        <x:v>1.7379651083925196</x:v>
      </x:c>
      <x:c r="AE2361" s="10" t="n">
        <x:f>AA2361*'Assumptions'!$D$21</x:f>
        <x:v>0</x:v>
      </x:c>
    </x:row>
    <x:row r="2362" ht="16" customHeight="1">
      <x:c r="A2362" s="1"/>
      <x:c r="B2362" s="1"/>
      <x:c r="C2362" s="1" t="str">
        <x:v>DOT-051</x:v>
      </x:c>
      <x:c r="D2362" s="10" t="str">
        <x:v>LavaLearning adult</x:v>
      </x:c>
      <x:c r="E2362" s="10" t="n">
        <x:v>19</x:v>
      </x:c>
      <x:c r="F2362" s="21" t="n">
        <x:f>F2234*(1+'Assumptions'!$M$80)</x:f>
        <x:v>238.09759942116332</x:v>
      </x:c>
      <x:c r="G2362" s="21" t="n">
        <x:f>H2234*'Assumptions'!$K$80</x:f>
        <x:v>76.31333312194857</x:v>
      </x:c>
      <x:c r="H2362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2362+G2362,NA())</x:f>
        <x:v>314.4109325431119</x:v>
      </x:c>
      <x:c r="I2362" s="22" t="n">
        <x:f>'Assumptions'!$H$80*IF('Assumptions'!$O$80=1,1,'Assumptions'!$D$10)*(1+'Assumptions'!$N$80)^(19-1)</x:f>
        <x:v>41.41914117971193</x:v>
      </x:c>
      <x:c r="J2362" s="10" t="n">
        <x:f>H2362*I2362</x:f>
        <x:v>13022.630803448037</x:v>
      </x:c>
      <x:c r="K2362" s="10" t="n">
        <x:f>J2362*'Assumptions'!$T$80</x:f>
        <x:v>13022.630803448037</x:v>
      </x:c>
      <x:c r="L2362" s="10" t="n">
        <x:f>K2362*'Assumptions'!$U$80</x:f>
        <x:v>390.6789241034411</x:v>
      </x:c>
      <x:c r="M2362" s="10" t="n">
        <x:f>K2362*'Assumptions'!$V$80</x:f>
        <x:v>0</x:v>
      </x:c>
      <x:c r="N2362" s="10" t="n">
        <x:f>K2362-L2362-M2362</x:f>
        <x:v>12631.951879344597</x:v>
      </x:c>
      <x:c r="O2362" s="10" t="n">
        <x:f>H2362*'Assumptions'!$P$80*'Assumptions'!$Q$80*'Assumptions'!$D$11*(1+'Assumptions'!$D$13)^(19-1)</x:f>
        <x:v>2810.133723477482</x:v>
      </x:c>
      <x:c r="P2362" s="10" t="n">
        <x:f>H2362*'Assumptions'!$R$80*'Assumptions'!$D$11*(1+'Assumptions'!$D$13)^(19-1)</x:f>
        <x:v>0</x:v>
      </x:c>
      <x:c r="Q2362" s="10" t="n">
        <x:f>J2362*'Assumptions'!$S$80</x:f>
        <x:v>0</x:v>
      </x:c>
      <x:c r="R2362" s="10" t="n">
        <x:f>H2362*'Assumptions'!$Y$80*'Assumptions'!$Z$80*'Assumptions'!$D$11*(1+'Assumptions'!$D$13)^(19-1)</x:f>
        <x:v>1605.7906991299897</x:v>
      </x:c>
      <x:c r="S2362" s="10" t="n">
        <x:f>IF(I2362=0,0,J2362*'Assumptions'!$W$80+H2362*'Assumptions'!$X$80)</x:f>
        <x:v>471.97957306292665</x:v>
      </x:c>
      <x:c r="T2362" s="10" t="n">
        <x:f>N2362*'Assumptions'!$AA$80</x:f>
        <x:v>631.5975939672298</x:v>
      </x:c>
      <x:c r="U2362" s="10" t="n">
        <x:f>'Assumptions'!$AE$80*'Assumptions'!$D$11*(1+'Assumptions'!$D$13)^(19-1)</x:f>
        <x:v>0</x:v>
      </x:c>
      <x:c r="V2362" s="10" t="n">
        <x:f>0</x:f>
        <x:v>0</x:v>
      </x:c>
      <x:c r="W2362" s="10" t="n">
        <x:f>H2362*('Assumptions'!$P$80+'Assumptions'!$Y$80)</x:f>
        <x:v>78.60273313577798</x:v>
      </x:c>
      <x:c r="X2362" s="10" t="n">
        <x:f>N2362/12*'Assumptions'!$AF$80</x:f>
        <x:v>0</x:v>
      </x:c>
      <x:c r="Y2362" s="10" t="n">
        <x:f>P2362/12</x:f>
        <x:v>0</x:v>
      </x:c>
      <x:c r="Z2362" s="10" t="n">
        <x:f>0</x:f>
        <x:v>0</x:v>
      </x:c>
      <x:c r="AA2362" s="10" t="n">
        <x:f>Z2362*'Assumptions'!$AC$80*'Assumptions'!$D$11*(1+'Assumptions'!$D$13)^(19-1)</x:f>
        <x:v>0</x:v>
      </x:c>
      <x:c r="AB2362" s="10" t="n">
        <x:f>F2362/1</x:f>
        <x:v>238.09759942116332</x:v>
      </x:c>
      <x:c r="AC2362" s="10" t="n">
        <x:f>AB2362/'Assumptions'!$AM$80</x:f>
        <x:v>4761.951988423266</x:v>
      </x:c>
      <x:c r="AD2362" s="10" t="n">
        <x:f>IF(AB2362=0,0,T2362/AB2362)</x:f>
        <x:v>2.6526835864901637</x:v>
      </x:c>
      <x:c r="AE2362" s="10" t="n">
        <x:f>AA2362*'Assumptions'!$D$21</x:f>
        <x:v>0</x:v>
      </x:c>
    </x:row>
    <x:row r="2363" ht="16" customHeight="1">
      <x:c r="A2363" s="1"/>
      <x:c r="B2363" s="1"/>
      <x:c r="C2363" s="1" t="str">
        <x:v>DOT-052</x:v>
      </x:c>
      <x:c r="D2363" s="10" t="str">
        <x:v>LavaLearning Model Life</x:v>
      </x:c>
      <x:c r="E2363" s="10" t="n">
        <x:v>19</x:v>
      </x:c>
      <x:c r="F2363" s="21" t="n">
        <x:f>F2235*(1+'Assumptions'!$M$81)</x:f>
        <x:v>0</x:v>
      </x:c>
      <x:c r="G2363" s="21" t="n">
        <x:f>H2235*'Assumptions'!$K$81</x:f>
        <x:v>0</x:v>
      </x:c>
      <x:c r="H2363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2363+G2363,NA())</x:f>
        <x:v>0</x:v>
      </x:c>
      <x:c r="I2363" s="22" t="n">
        <x:f>'Assumptions'!$H$81*IF('Assumptions'!$O$81=1,1,'Assumptions'!$D$10)*(1+'Assumptions'!$N$81)^(19-1)</x:f>
        <x:v>0</x:v>
      </x:c>
      <x:c r="J2363" s="10" t="n">
        <x:f>H2363*I2363</x:f>
        <x:v>0</x:v>
      </x:c>
      <x:c r="K2363" s="10" t="n">
        <x:f>J2363*'Assumptions'!$T$81</x:f>
        <x:v>0</x:v>
      </x:c>
      <x:c r="L2363" s="10" t="n">
        <x:f>K2363*'Assumptions'!$U$81</x:f>
        <x:v>0</x:v>
      </x:c>
      <x:c r="M2363" s="10" t="n">
        <x:f>K2363*'Assumptions'!$V$81</x:f>
        <x:v>0</x:v>
      </x:c>
      <x:c r="N2363" s="10" t="n">
        <x:f>K2363-L2363-M2363</x:f>
        <x:v>0</x:v>
      </x:c>
      <x:c r="O2363" s="10" t="n">
        <x:f>H2363*'Assumptions'!$P$81*'Assumptions'!$Q$81*'Assumptions'!$D$11*(1+'Assumptions'!$D$13)^(19-1)</x:f>
        <x:v>0</x:v>
      </x:c>
      <x:c r="P2363" s="10" t="n">
        <x:f>H2363*'Assumptions'!$R$81*'Assumptions'!$D$11*(1+'Assumptions'!$D$13)^(19-1)</x:f>
        <x:v>0</x:v>
      </x:c>
      <x:c r="Q2363" s="10" t="n">
        <x:f>J2363*'Assumptions'!$S$81</x:f>
        <x:v>0</x:v>
      </x:c>
      <x:c r="R2363" s="10" t="n">
        <x:f>H2363*'Assumptions'!$Y$81*'Assumptions'!$Z$81*'Assumptions'!$D$11*(1+'Assumptions'!$D$13)^(19-1)</x:f>
        <x:v>0</x:v>
      </x:c>
      <x:c r="S2363" s="10" t="n">
        <x:f>IF(I2363=0,0,J2363*'Assumptions'!$W$81+H2363*'Assumptions'!$X$81)</x:f>
        <x:v>0</x:v>
      </x:c>
      <x:c r="T2363" s="10" t="n">
        <x:f>N2363*'Assumptions'!$AA$81</x:f>
        <x:v>0</x:v>
      </x:c>
      <x:c r="U2363" s="10" t="n">
        <x:f>'Assumptions'!$AE$81*'Assumptions'!$D$11*(1+'Assumptions'!$D$13)^(19-1)</x:f>
        <x:v>0</x:v>
      </x:c>
      <x:c r="V2363" s="10" t="n">
        <x:f>0</x:f>
        <x:v>0</x:v>
      </x:c>
      <x:c r="W2363" s="10" t="n">
        <x:f>H2363*('Assumptions'!$P$81+'Assumptions'!$Y$81)</x:f>
        <x:v>0</x:v>
      </x:c>
      <x:c r="X2363" s="10" t="n">
        <x:f>N2363/12*'Assumptions'!$AF$81</x:f>
        <x:v>0</x:v>
      </x:c>
      <x:c r="Y2363" s="10" t="n">
        <x:f>P2363/12</x:f>
        <x:v>0</x:v>
      </x:c>
      <x:c r="Z2363" s="10" t="n">
        <x:f>0</x:f>
        <x:v>0</x:v>
      </x:c>
      <x:c r="AA2363" s="10" t="n">
        <x:f>Z2363*'Assumptions'!$AC$81*'Assumptions'!$D$11*(1+'Assumptions'!$D$13)^(19-1)</x:f>
        <x:v>0</x:v>
      </x:c>
      <x:c r="AB2363" s="10" t="n">
        <x:f>F2363/1</x:f>
        <x:v>0</x:v>
      </x:c>
      <x:c r="AC2363" s="10" t="n">
        <x:f>AB2363/'Assumptions'!$AM$81</x:f>
        <x:v>0</x:v>
      </x:c>
      <x:c r="AD2363" s="10" t="n">
        <x:f>IF(AB2363=0,0,T2363/AB2363)</x:f>
        <x:v>0</x:v>
      </x:c>
      <x:c r="AE2363" s="10" t="n">
        <x:f>AA2363*'Assumptions'!$D$21</x:f>
        <x:v>0</x:v>
      </x:c>
    </x:row>
    <x:row r="2364" ht="16" customHeight="1">
      <x:c r="A2364" s="1"/>
      <x:c r="B2364" s="1"/>
      <x:c r="C2364" s="1" t="str">
        <x:v>DOT-053</x:v>
      </x:c>
      <x:c r="D2364" s="10" t="str">
        <x:v>LavaLearning Kids</x:v>
      </x:c>
      <x:c r="E2364" s="10" t="n">
        <x:v>19</x:v>
      </x:c>
      <x:c r="F2364" s="21" t="n">
        <x:f>F2236*(1+'Assumptions'!$M$82)</x:f>
        <x:v>1190.4879971058167</x:v>
      </x:c>
      <x:c r="G2364" s="21" t="n">
        <x:f>H2236*'Assumptions'!$K$82</x:f>
        <x:v>381.56666560974287</x:v>
      </x:c>
      <x:c r="H2364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2364+G2364,NA())</x:f>
        <x:v>1572.0546627155595</x:v>
      </x:c>
      <x:c r="I2364" s="22" t="n">
        <x:f>'Assumptions'!$H$82*IF('Assumptions'!$O$82=1,1,'Assumptions'!$D$10)*(1+'Assumptions'!$N$82)^(19-1)</x:f>
        <x:v>27.136678703949194</x:v>
      </x:c>
      <x:c r="J2364" s="10" t="n">
        <x:f>H2364*I2364</x:f>
        <x:v>42660.34228715736</x:v>
      </x:c>
      <x:c r="K2364" s="10" t="n">
        <x:f>J2364*'Assumptions'!$T$82</x:f>
        <x:v>42660.34228715736</x:v>
      </x:c>
      <x:c r="L2364" s="10" t="n">
        <x:f>K2364*'Assumptions'!$U$82</x:f>
        <x:v>1279.8102686147206</x:v>
      </x:c>
      <x:c r="M2364" s="10" t="n">
        <x:f>K2364*'Assumptions'!$V$82</x:f>
        <x:v>0</x:v>
      </x:c>
      <x:c r="N2364" s="10" t="n">
        <x:f>K2364-L2364-M2364</x:f>
        <x:v>41380.53201854264</x:v>
      </x:c>
      <x:c r="O2364" s="10" t="n">
        <x:f>H2364*'Assumptions'!$P$82*'Assumptions'!$Q$82*'Assumptions'!$D$11*(1+'Assumptions'!$D$13)^(19-1)</x:f>
        <x:v>14050.668617387406</x:v>
      </x:c>
      <x:c r="P2364" s="10" t="n">
        <x:f>H2364*'Assumptions'!$R$82*'Assumptions'!$D$11*(1+'Assumptions'!$D$13)^(19-1)</x:f>
        <x:v>0</x:v>
      </x:c>
      <x:c r="Q2364" s="10" t="n">
        <x:f>J2364*'Assumptions'!$S$82</x:f>
        <x:v>0</x:v>
      </x:c>
      <x:c r="R2364" s="10" t="n">
        <x:f>H2364*'Assumptions'!$Y$82*'Assumptions'!$Z$82*'Assumptions'!$D$11*(1+'Assumptions'!$D$13)^(19-1)</x:f>
        <x:v>8028.953495649947</x:v>
      </x:c>
      <x:c r="S2364" s="10" t="n">
        <x:f>IF(I2364=0,0,J2364*'Assumptions'!$W$82+H2364*'Assumptions'!$X$82)</x:f>
        <x:v>1708.7663251422314</x:v>
      </x:c>
      <x:c r="T2364" s="10" t="n">
        <x:f>N2364*'Assumptions'!$AA$82</x:f>
        <x:v>2069.026600927132</x:v>
      </x:c>
      <x:c r="U2364" s="10" t="n">
        <x:f>'Assumptions'!$AE$82*'Assumptions'!$D$11*(1+'Assumptions'!$D$13)^(19-1)</x:f>
        <x:v>408.5839346975771</x:v>
      </x:c>
      <x:c r="V2364" s="10" t="n">
        <x:f>0</x:f>
        <x:v>0</x:v>
      </x:c>
      <x:c r="W2364" s="10" t="n">
        <x:f>H2364*('Assumptions'!$P$82+'Assumptions'!$Y$82)</x:f>
        <x:v>393.0136656788899</x:v>
      </x:c>
      <x:c r="X2364" s="10" t="n">
        <x:f>N2364/12*'Assumptions'!$AF$82</x:f>
        <x:v>0</x:v>
      </x:c>
      <x:c r="Y2364" s="10" t="n">
        <x:f>P2364/12</x:f>
        <x:v>0</x:v>
      </x:c>
      <x:c r="Z2364" s="10" t="n">
        <x:f>0</x:f>
        <x:v>0</x:v>
      </x:c>
      <x:c r="AA2364" s="10" t="n">
        <x:f>Z2364*'Assumptions'!$AC$82*'Assumptions'!$D$11*(1+'Assumptions'!$D$13)^(19-1)</x:f>
        <x:v>0</x:v>
      </x:c>
      <x:c r="AB2364" s="10" t="n">
        <x:f>F2364/1</x:f>
        <x:v>1190.4879971058167</x:v>
      </x:c>
      <x:c r="AC2364" s="10" t="n">
        <x:f>AB2364/'Assumptions'!$AM$82</x:f>
        <x:v>23809.759942116332</x:v>
      </x:c>
      <x:c r="AD2364" s="10" t="n">
        <x:f>IF(AB2364=0,0,T2364/AB2364)</x:f>
        <x:v>1.737965108390107</x:v>
      </x:c>
      <x:c r="AE2364" s="10" t="n">
        <x:f>AA2364*'Assumptions'!$D$21</x:f>
        <x:v>0</x:v>
      </x:c>
    </x:row>
    <x:row r="2365" ht="16" customHeight="1">
      <x:c r="A2365" s="1"/>
      <x:c r="B2365" s="1"/>
      <x:c r="C2365" s="1" t="str">
        <x:v>DOT-054</x:v>
      </x:c>
      <x:c r="D2365" s="10" t="str">
        <x:v>VraiSkill adult</x:v>
      </x:c>
      <x:c r="E2365" s="10" t="n">
        <x:v>19</x:v>
      </x:c>
      <x:c r="F2365" s="21" t="n">
        <x:f>F2237*(1+'Assumptions'!$M$83)</x:f>
        <x:v>2380.9759942116334</x:v>
      </x:c>
      <x:c r="G2365" s="21" t="n">
        <x:f>H2237*'Assumptions'!$K$83</x:f>
        <x:v>763.1333312238513</x:v>
      </x:c>
      <x:c r="H2365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2365+G2365,NA())</x:f>
        <x:v>3144.1093254354846</x:v>
      </x:c>
      <x:c r="I2365" s="22" t="n">
        <x:f>'Assumptions'!$H$83*IF('Assumptions'!$O$83=1,1,'Assumptions'!$D$10)*(1+'Assumptions'!$N$83)^(19-1)</x:f>
        <x:v>14.26818001328697</x:v>
      </x:c>
      <x:c r="J2365" s="10" t="n">
        <x:f>H2365*I2365</x:f>
        <x:v>44860.71783676776</x:v>
      </x:c>
      <x:c r="K2365" s="10" t="n">
        <x:f>J2365*'Assumptions'!$T$83</x:f>
        <x:v>44860.71783676776</x:v>
      </x:c>
      <x:c r="L2365" s="10" t="n">
        <x:f>K2365*'Assumptions'!$U$83</x:f>
        <x:v>1345.8215351030328</x:v>
      </x:c>
      <x:c r="M2365" s="10" t="n">
        <x:f>K2365*'Assumptions'!$V$83</x:f>
        <x:v>0</x:v>
      </x:c>
      <x:c r="N2365" s="10" t="n">
        <x:f>K2365-L2365-M2365</x:f>
        <x:v>43514.89630166473</x:v>
      </x:c>
      <x:c r="O2365" s="10" t="n">
        <x:f>H2365*'Assumptions'!$P$83*'Assumptions'!$Q$83*'Assumptions'!$D$11*(1+'Assumptions'!$D$13)^(19-1)</x:f>
        <x:v>28101.337234813833</x:v>
      </x:c>
      <x:c r="P2365" s="10" t="n">
        <x:f>H2365*'Assumptions'!$R$83*'Assumptions'!$D$11*(1+'Assumptions'!$D$13)^(19-1)</x:f>
        <x:v>0</x:v>
      </x:c>
      <x:c r="Q2365" s="10" t="n">
        <x:f>J2365*'Assumptions'!$S$83</x:f>
        <x:v>0</x:v>
      </x:c>
      <x:c r="R2365" s="10" t="n">
        <x:f>H2365*'Assumptions'!$Y$83*'Assumptions'!$Z$83*'Assumptions'!$D$11*(1+'Assumptions'!$D$13)^(19-1)</x:f>
        <x:v>16057.906991322192</x:v>
      </x:c>
      <x:c r="S2365" s="10" t="n">
        <x:f>IF(I2365=0,0,J2365*'Assumptions'!$W$83+H2365*'Assumptions'!$X$83)</x:f>
        <x:v>2244.1936148969107</x:v>
      </x:c>
      <x:c r="T2365" s="10" t="n">
        <x:f>N2365*'Assumptions'!$AA$83</x:f>
        <x:v>2175.7448150832365</x:v>
      </x:c>
      <x:c r="U2365" s="10" t="n">
        <x:f>'Assumptions'!$AE$83*'Assumptions'!$D$11*(1+'Assumptions'!$D$13)^(19-1)</x:f>
        <x:v>408.5839346975771</x:v>
      </x:c>
      <x:c r="V2365" s="10" t="n">
        <x:f>0</x:f>
        <x:v>0</x:v>
      </x:c>
      <x:c r="W2365" s="10" t="n">
        <x:f>H2365*('Assumptions'!$P$83+'Assumptions'!$Y$83)</x:f>
        <x:v>786.0273313588712</x:v>
      </x:c>
      <x:c r="X2365" s="10" t="n">
        <x:f>N2365/12*'Assumptions'!$AF$83</x:f>
        <x:v>0</x:v>
      </x:c>
      <x:c r="Y2365" s="10" t="n">
        <x:f>P2365/12</x:f>
        <x:v>0</x:v>
      </x:c>
      <x:c r="Z2365" s="10" t="n">
        <x:f>0</x:f>
        <x:v>0</x:v>
      </x:c>
      <x:c r="AA2365" s="10" t="n">
        <x:f>Z2365*'Assumptions'!$AC$83*'Assumptions'!$D$11*(1+'Assumptions'!$D$13)^(19-1)</x:f>
        <x:v>0</x:v>
      </x:c>
      <x:c r="AB2365" s="10" t="n">
        <x:f>F2365/1</x:f>
        <x:v>2380.9759942116334</x:v>
      </x:c>
      <x:c r="AC2365" s="10" t="n">
        <x:f>AB2365/'Assumptions'!$AM$83</x:f>
        <x:v>47619.519884232664</x:v>
      </x:c>
      <x:c r="AD2365" s="10" t="n">
        <x:f>IF(AB2365=0,0,T2365/AB2365)</x:f>
        <x:v>0.9138037596232249</x:v>
      </x:c>
      <x:c r="AE2365" s="10" t="n">
        <x:f>AA2365*'Assumptions'!$D$21</x:f>
        <x:v>0</x:v>
      </x:c>
    </x:row>
    <x:row r="2366" ht="16" customHeight="1">
      <x:c r="A2366" s="1"/>
      <x:c r="B2366" s="1"/>
      <x:c r="C2366" s="1" t="str">
        <x:v>DOT-055</x:v>
      </x:c>
      <x:c r="D2366" s="10" t="str">
        <x:v>VraiSkill adult</x:v>
      </x:c>
      <x:c r="E2366" s="10" t="n">
        <x:v>19</x:v>
      </x:c>
      <x:c r="F2366" s="21" t="n">
        <x:f>F2238*(1+'Assumptions'!$M$84)</x:f>
        <x:v>793.658664737211</x:v>
      </x:c>
      <x:c r="G2366" s="21" t="n">
        <x:f>H2238*'Assumptions'!$K$84</x:f>
        <x:v>254.3777770746171</x:v>
      </x:c>
      <x:c r="H2366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2366+G2366,NA())</x:f>
        <x:v>1048.0364418118281</x:v>
      </x:c>
      <x:c r="I2366" s="22" t="n">
        <x:f>'Assumptions'!$H$84*IF('Assumptions'!$O$84=1,1,'Assumptions'!$D$10)*(1+'Assumptions'!$N$84)^(19-1)</x:f>
        <x:v>34.27790994183056</x:v>
      </x:c>
      <x:c r="J2366" s="10" t="n">
        <x:f>H2366*I2366</x:f>
        <x:v>35924.498768182384</x:v>
      </x:c>
      <x:c r="K2366" s="10" t="n">
        <x:f>J2366*'Assumptions'!$T$84</x:f>
        <x:v>35924.498768182384</x:v>
      </x:c>
      <x:c r="L2366" s="10" t="n">
        <x:f>K2366*'Assumptions'!$U$84</x:f>
        <x:v>1077.7349630454714</x:v>
      </x:c>
      <x:c r="M2366" s="10" t="n">
        <x:f>K2366*'Assumptions'!$V$84</x:f>
        <x:v>0</x:v>
      </x:c>
      <x:c r="N2366" s="10" t="n">
        <x:f>K2366-L2366-M2366</x:f>
        <x:v>34846.763805136914</x:v>
      </x:c>
      <x:c r="O2366" s="10" t="n">
        <x:f>H2366*'Assumptions'!$P$84*'Assumptions'!$Q$84*'Assumptions'!$D$11*(1+'Assumptions'!$D$13)^(19-1)</x:f>
        <x:v>9367.11241160461</x:v>
      </x:c>
      <x:c r="P2366" s="10" t="n">
        <x:f>H2366*'Assumptions'!$R$84*'Assumptions'!$D$11*(1+'Assumptions'!$D$13)^(19-1)</x:f>
        <x:v>0</x:v>
      </x:c>
      <x:c r="Q2366" s="10" t="n">
        <x:f>J2366*'Assumptions'!$S$84</x:f>
        <x:v>0</x:v>
      </x:c>
      <x:c r="R2366" s="10" t="n">
        <x:f>H2366*'Assumptions'!$Y$84*'Assumptions'!$Z$84*'Assumptions'!$D$11*(1+'Assumptions'!$D$13)^(19-1)</x:f>
        <x:v>5352.635663774064</x:v>
      </x:c>
      <x:c r="S2366" s="10" t="n">
        <x:f>IF(I2366=0,0,J2366*'Assumptions'!$W$84+H2366*'Assumptions'!$X$84)</x:f>
        <x:v>1356.2213968208375</x:v>
      </x:c>
      <x:c r="T2366" s="10" t="n">
        <x:f>N2366*'Assumptions'!$AA$84</x:f>
        <x:v>1742.3381902568458</x:v>
      </x:c>
      <x:c r="U2366" s="10" t="n">
        <x:f>'Assumptions'!$AE$84*'Assumptions'!$D$11*(1+'Assumptions'!$D$13)^(19-1)</x:f>
        <x:v>0</x:v>
      </x:c>
      <x:c r="V2366" s="10" t="n">
        <x:f>0</x:f>
        <x:v>0</x:v>
      </x:c>
      <x:c r="W2366" s="10" t="n">
        <x:f>H2366*('Assumptions'!$P$84+'Assumptions'!$Y$84)</x:f>
        <x:v>262.00911045295703</x:v>
      </x:c>
      <x:c r="X2366" s="10" t="n">
        <x:f>N2366/12*'Assumptions'!$AF$84</x:f>
        <x:v>0</x:v>
      </x:c>
      <x:c r="Y2366" s="10" t="n">
        <x:f>P2366/12</x:f>
        <x:v>0</x:v>
      </x:c>
      <x:c r="Z2366" s="10" t="n">
        <x:f>0</x:f>
        <x:v>0</x:v>
      </x:c>
      <x:c r="AA2366" s="10" t="n">
        <x:f>Z2366*'Assumptions'!$AC$84*'Assumptions'!$D$11*(1+'Assumptions'!$D$13)^(19-1)</x:f>
        <x:v>0</x:v>
      </x:c>
      <x:c r="AB2366" s="10" t="n">
        <x:f>F2366/1</x:f>
        <x:v>793.658664737211</x:v>
      </x:c>
      <x:c r="AC2366" s="10" t="n">
        <x:f>AB2366/'Assumptions'!$AM$84</x:f>
        <x:v>15873.17329474422</x:v>
      </x:c>
      <x:c r="AD2366" s="10" t="n">
        <x:f>IF(AB2366=0,0,T2366/AB2366)</x:f>
        <x:v>2.1953243474431834</x:v>
      </x:c>
      <x:c r="AE2366" s="10" t="n">
        <x:f>AA2366*'Assumptions'!$D$21</x:f>
        <x:v>0</x:v>
      </x:c>
    </x:row>
    <x:row r="2367" ht="16" customHeight="1">
      <x:c r="A2367" s="1"/>
      <x:c r="B2367" s="1"/>
      <x:c r="C2367" s="1" t="str">
        <x:v>DOT-056</x:v>
      </x:c>
      <x:c r="D2367" s="10" t="str">
        <x:v>VraiSkill teen</x:v>
      </x:c>
      <x:c r="E2367" s="10" t="n">
        <x:v>19</x:v>
      </x:c>
      <x:c r="F2367" s="21" t="n">
        <x:f>F2239*(1+'Assumptions'!$M$85)</x:f>
        <x:v>793.658664737211</x:v>
      </x:c>
      <x:c r="G2367" s="21" t="n">
        <x:f>H2239*'Assumptions'!$K$85</x:f>
        <x:v>254.3777770731619</x:v>
      </x:c>
      <x:c r="H2367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2367+G2367,NA())</x:f>
        <x:v>1048.036441810373</x:v>
      </x:c>
      <x:c r="I2367" s="22" t="n">
        <x:f>'Assumptions'!$H$85*IF('Assumptions'!$O$85=1,1,'Assumptions'!$D$10)*(1+'Assumptions'!$N$85)^(19-1)</x:f>
        <x:v>34.27790994183056</x:v>
      </x:c>
      <x:c r="J2367" s="10" t="n">
        <x:f>H2367*I2367</x:f>
        <x:v>35924.49876813251</x:v>
      </x:c>
      <x:c r="K2367" s="10" t="n">
        <x:f>J2367*'Assumptions'!$T$85</x:f>
        <x:v>35924.49876813251</x:v>
      </x:c>
      <x:c r="L2367" s="10" t="n">
        <x:f>K2367*'Assumptions'!$U$85</x:f>
        <x:v>1077.734963043975</x:v>
      </x:c>
      <x:c r="M2367" s="10" t="n">
        <x:f>K2367*'Assumptions'!$V$85</x:f>
        <x:v>0</x:v>
      </x:c>
      <x:c r="N2367" s="10" t="n">
        <x:f>K2367-L2367-M2367</x:f>
        <x:v>34846.76380508853</x:v>
      </x:c>
      <x:c r="O2367" s="10" t="n">
        <x:f>H2367*'Assumptions'!$P$85*'Assumptions'!$Q$85*'Assumptions'!$D$11*(1+'Assumptions'!$D$13)^(19-1)</x:f>
        <x:v>9367.112411591605</x:v>
      </x:c>
      <x:c r="P2367" s="10" t="n">
        <x:f>H2367*'Assumptions'!$R$85*'Assumptions'!$D$11*(1+'Assumptions'!$D$13)^(19-1)</x:f>
        <x:v>0</x:v>
      </x:c>
      <x:c r="Q2367" s="10" t="n">
        <x:f>J2367*'Assumptions'!$S$85</x:f>
        <x:v>0</x:v>
      </x:c>
      <x:c r="R2367" s="10" t="n">
        <x:f>H2367*'Assumptions'!$Y$85*'Assumptions'!$Z$85*'Assumptions'!$D$11*(1+'Assumptions'!$D$13)^(19-1)</x:f>
        <x:v>5352.635663766631</x:v>
      </x:c>
      <x:c r="S2367" s="10" t="n">
        <x:f>IF(I2367=0,0,J2367*'Assumptions'!$W$85+H2367*'Assumptions'!$X$85)</x:f>
        <x:v>1356.2213968189546</x:v>
      </x:c>
      <x:c r="T2367" s="10" t="n">
        <x:f>N2367*'Assumptions'!$AA$85</x:f>
        <x:v>1742.3381902544265</x:v>
      </x:c>
      <x:c r="U2367" s="10" t="n">
        <x:f>'Assumptions'!$AE$85*'Assumptions'!$D$11*(1+'Assumptions'!$D$13)^(19-1)</x:f>
        <x:v>408.5839346975771</x:v>
      </x:c>
      <x:c r="V2367" s="10" t="n">
        <x:f>0</x:f>
        <x:v>0</x:v>
      </x:c>
      <x:c r="W2367" s="10" t="n">
        <x:f>H2367*('Assumptions'!$P$85+'Assumptions'!$Y$85)</x:f>
        <x:v>262.00911045259323</x:v>
      </x:c>
      <x:c r="X2367" s="10" t="n">
        <x:f>N2367/12*'Assumptions'!$AF$85</x:f>
        <x:v>0</x:v>
      </x:c>
      <x:c r="Y2367" s="10" t="n">
        <x:f>P2367/12</x:f>
        <x:v>0</x:v>
      </x:c>
      <x:c r="Z2367" s="10" t="n">
        <x:f>0</x:f>
        <x:v>0</x:v>
      </x:c>
      <x:c r="AA2367" s="10" t="n">
        <x:f>Z2367*'Assumptions'!$AC$85*'Assumptions'!$D$11*(1+'Assumptions'!$D$13)^(19-1)</x:f>
        <x:v>0</x:v>
      </x:c>
      <x:c r="AB2367" s="10" t="n">
        <x:f>F2367/1</x:f>
        <x:v>793.658664737211</x:v>
      </x:c>
      <x:c r="AC2367" s="10" t="n">
        <x:f>AB2367/'Assumptions'!$AM$85</x:f>
        <x:v>15873.17329474422</x:v>
      </x:c>
      <x:c r="AD2367" s="10" t="n">
        <x:f>IF(AB2367=0,0,T2367/AB2367)</x:f>
        <x:v>2.1953243474401347</x:v>
      </x:c>
      <x:c r="AE2367" s="10" t="n">
        <x:f>AA2367*'Assumptions'!$D$21</x:f>
        <x:v>0</x:v>
      </x:c>
    </x:row>
    <x:row r="2368" ht="16" customHeight="1">
      <x:c r="A2368" s="1"/>
      <x:c r="B2368" s="1"/>
      <x:c r="C2368" s="1" t="str">
        <x:v>DOT-057</x:v>
      </x:c>
      <x:c r="D2368" s="10" t="str">
        <x:v>VraiSkill Model Life</x:v>
      </x:c>
      <x:c r="E2368" s="10" t="n">
        <x:v>19</x:v>
      </x:c>
      <x:c r="F2368" s="21" t="n">
        <x:f>F2240*(1+'Assumptions'!$M$86)</x:f>
        <x:v>0</x:v>
      </x:c>
      <x:c r="G2368" s="21" t="n">
        <x:f>H2240*'Assumptions'!$K$86</x:f>
        <x:v>0</x:v>
      </x:c>
      <x:c r="H2368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2368+G2368,NA())</x:f>
        <x:v>0</x:v>
      </x:c>
      <x:c r="I2368" s="22" t="n">
        <x:f>'Assumptions'!$H$86*IF('Assumptions'!$O$86=1,1,'Assumptions'!$D$10)*(1+'Assumptions'!$N$86)^(19-1)</x:f>
        <x:v>0</x:v>
      </x:c>
      <x:c r="J2368" s="10" t="n">
        <x:f>H2368*I2368</x:f>
        <x:v>0</x:v>
      </x:c>
      <x:c r="K2368" s="10" t="n">
        <x:f>J2368*'Assumptions'!$T$86</x:f>
        <x:v>0</x:v>
      </x:c>
      <x:c r="L2368" s="10" t="n">
        <x:f>K2368*'Assumptions'!$U$86</x:f>
        <x:v>0</x:v>
      </x:c>
      <x:c r="M2368" s="10" t="n">
        <x:f>K2368*'Assumptions'!$V$86</x:f>
        <x:v>0</x:v>
      </x:c>
      <x:c r="N2368" s="10" t="n">
        <x:f>K2368-L2368-M2368</x:f>
        <x:v>0</x:v>
      </x:c>
      <x:c r="O2368" s="10" t="n">
        <x:f>H2368*'Assumptions'!$P$86*'Assumptions'!$Q$86*'Assumptions'!$D$11*(1+'Assumptions'!$D$13)^(19-1)</x:f>
        <x:v>0</x:v>
      </x:c>
      <x:c r="P2368" s="10" t="n">
        <x:f>H2368*'Assumptions'!$R$86*'Assumptions'!$D$11*(1+'Assumptions'!$D$13)^(19-1)</x:f>
        <x:v>0</x:v>
      </x:c>
      <x:c r="Q2368" s="10" t="n">
        <x:f>J2368*'Assumptions'!$S$86</x:f>
        <x:v>0</x:v>
      </x:c>
      <x:c r="R2368" s="10" t="n">
        <x:f>H2368*'Assumptions'!$Y$86*'Assumptions'!$Z$86*'Assumptions'!$D$11*(1+'Assumptions'!$D$13)^(19-1)</x:f>
        <x:v>0</x:v>
      </x:c>
      <x:c r="S2368" s="10" t="n">
        <x:f>IF(I2368=0,0,J2368*'Assumptions'!$W$86+H2368*'Assumptions'!$X$86)</x:f>
        <x:v>0</x:v>
      </x:c>
      <x:c r="T2368" s="10" t="n">
        <x:f>N2368*'Assumptions'!$AA$86</x:f>
        <x:v>0</x:v>
      </x:c>
      <x:c r="U2368" s="10" t="n">
        <x:f>'Assumptions'!$AE$86*'Assumptions'!$D$11*(1+'Assumptions'!$D$13)^(19-1)</x:f>
        <x:v>0</x:v>
      </x:c>
      <x:c r="V2368" s="10" t="n">
        <x:f>0</x:f>
        <x:v>0</x:v>
      </x:c>
      <x:c r="W2368" s="10" t="n">
        <x:f>H2368*('Assumptions'!$P$86+'Assumptions'!$Y$86)</x:f>
        <x:v>0</x:v>
      </x:c>
      <x:c r="X2368" s="10" t="n">
        <x:f>N2368/12*'Assumptions'!$AF$86</x:f>
        <x:v>0</x:v>
      </x:c>
      <x:c r="Y2368" s="10" t="n">
        <x:f>P2368/12</x:f>
        <x:v>0</x:v>
      </x:c>
      <x:c r="Z2368" s="10" t="n">
        <x:f>0</x:f>
        <x:v>0</x:v>
      </x:c>
      <x:c r="AA2368" s="10" t="n">
        <x:f>Z2368*'Assumptions'!$AC$86*'Assumptions'!$D$11*(1+'Assumptions'!$D$13)^(19-1)</x:f>
        <x:v>0</x:v>
      </x:c>
      <x:c r="AB2368" s="10" t="n">
        <x:f>F2368/1</x:f>
        <x:v>0</x:v>
      </x:c>
      <x:c r="AC2368" s="10" t="n">
        <x:f>AB2368/'Assumptions'!$AM$86</x:f>
        <x:v>0</x:v>
      </x:c>
      <x:c r="AD2368" s="10" t="n">
        <x:f>IF(AB2368=0,0,T2368/AB2368)</x:f>
        <x:v>0</x:v>
      </x:c>
      <x:c r="AE2368" s="10" t="n">
        <x:f>AA2368*'Assumptions'!$D$21</x:f>
        <x:v>0</x:v>
      </x:c>
    </x:row>
    <x:row r="2369" ht="16" customHeight="1">
      <x:c r="A2369" s="1"/>
      <x:c r="B2369" s="1"/>
      <x:c r="C2369" s="1" t="str">
        <x:v>DOT-058</x:v>
      </x:c>
      <x:c r="D2369" s="10" t="str">
        <x:v>Model Life</x:v>
      </x:c>
      <x:c r="E2369" s="10" t="n">
        <x:v>19</x:v>
      </x:c>
      <x:c r="F2369" s="21" t="n">
        <x:f>F2241*(1+'Assumptions'!$M$87)</x:f>
        <x:v>451.6568716981766</x:v>
      </x:c>
      <x:c r="G2369" s="21" t="n">
        <x:f>H2241*'Assumptions'!$K$87</x:f>
        <x:v>956.4274981200047</x:v>
      </x:c>
      <x:c r="H2369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2369+G2369,NA())</x:f>
        <x:v>1408.0843698181811</x:v>
      </x:c>
      <x:c r="I2369" s="22" t="n">
        <x:f>'Assumptions'!$H$87*IF('Assumptions'!$O$87=1,1,'Assumptions'!$D$10)*(1+'Assumptions'!$N$87)^(19-1)</x:f>
        <x:v>21.423693713644102</x:v>
      </x:c>
      <x:c r="J2369" s="10" t="n">
        <x:f>H2369*I2369</x:f>
        <x:v>30166.368261954285</x:v>
      </x:c>
      <x:c r="K2369" s="10" t="n">
        <x:f>J2369*'Assumptions'!$T$87</x:f>
        <x:v>30166.368261954285</x:v>
      </x:c>
      <x:c r="L2369" s="10" t="n">
        <x:f>K2369*'Assumptions'!$U$87</x:f>
        <x:v>904.9910478586286</x:v>
      </x:c>
      <x:c r="M2369" s="10" t="n">
        <x:f>K2369*'Assumptions'!$V$87</x:f>
        <x:v>0</x:v>
      </x:c>
      <x:c r="N2369" s="10" t="n">
        <x:f>K2369-L2369-M2369</x:f>
        <x:v>29261.377214095657</x:v>
      </x:c>
      <x:c r="O2369" s="10" t="n">
        <x:f>H2369*'Assumptions'!$P$87*'Assumptions'!$Q$87*'Assumptions'!$D$11*(1+'Assumptions'!$D$13)^(19-1)</x:f>
        <x:v>8390.092844677698</x:v>
      </x:c>
      <x:c r="P2369" s="10" t="n">
        <x:f>H2369*'Assumptions'!$R$87*'Assumptions'!$D$11*(1+'Assumptions'!$D$13)^(19-1)</x:f>
        <x:v>0</x:v>
      </x:c>
      <x:c r="Q2369" s="10" t="n">
        <x:f>J2369*'Assumptions'!$S$87</x:f>
        <x:v>0</x:v>
      </x:c>
      <x:c r="R2369" s="10" t="n">
        <x:f>H2369*'Assumptions'!$Y$87*'Assumptions'!$Z$87*'Assumptions'!$D$11*(1+'Assumptions'!$D$13)^(19-1)</x:f>
        <x:v>10787.262228871326</x:v>
      </x:c>
      <x:c r="S2369" s="10" t="n">
        <x:f>IF(I2369=0,0,J2369*'Assumptions'!$W$87+H2369*'Assumptions'!$X$87)</x:f>
        <x:v>1297.2499905421287</x:v>
      </x:c>
      <x:c r="T2369" s="10" t="n">
        <x:f>N2369*'Assumptions'!$AA$87</x:f>
        <x:v>1463.068860704783</x:v>
      </x:c>
      <x:c r="U2369" s="10" t="n">
        <x:f>'Assumptions'!$AE$87*'Assumptions'!$D$11*(1+'Assumptions'!$D$13)^(19-1)</x:f>
        <x:v>102.14598367439427</x:v>
      </x:c>
      <x:c r="V2369" s="10" t="n">
        <x:f>0</x:f>
        <x:v>0</x:v>
      </x:c>
      <x:c r="W2369" s="10" t="n">
        <x:f>H2369*('Assumptions'!$P$87+'Assumptions'!$Y$87)</x:f>
        <x:v>352.0210924545453</x:v>
      </x:c>
      <x:c r="X2369" s="10" t="n">
        <x:f>N2369/12*'Assumptions'!$AF$87</x:f>
        <x:v>0</x:v>
      </x:c>
      <x:c r="Y2369" s="10" t="n">
        <x:f>P2369/12</x:f>
        <x:v>0</x:v>
      </x:c>
      <x:c r="Z2369" s="10" t="n">
        <x:f>0</x:f>
        <x:v>0</x:v>
      </x:c>
      <x:c r="AA2369" s="10" t="n">
        <x:f>Z2369*'Assumptions'!$AC$87*'Assumptions'!$D$11*(1+'Assumptions'!$D$13)^(19-1)</x:f>
        <x:v>0</x:v>
      </x:c>
      <x:c r="AB2369" s="10" t="n">
        <x:f>F2369/12</x:f>
        <x:v>37.63807264151472</x:v>
      </x:c>
      <x:c r="AC2369" s="10" t="n">
        <x:f>AB2369/'Assumptions'!$AM$87</x:f>
        <x:v>752.7614528302943</x:v>
      </x:c>
      <x:c r="AD2369" s="10" t="n">
        <x:f>IF(AB2369=0,0,T2369/AB2369)</x:f>
        <x:v>38.8720451931702</x:v>
      </x:c>
      <x:c r="AE2369" s="10" t="n">
        <x:f>AA2369*'Assumptions'!$D$21</x:f>
        <x:v>0</x:v>
      </x:c>
    </x:row>
    <x:row r="2370" ht="16" customHeight="1">
      <x:c r="A2370" s="1"/>
      <x:c r="B2370" s="1"/>
      <x:c r="C2370" s="1" t="str">
        <x:v>DOT-059</x:v>
      </x:c>
      <x:c r="D2370" s="10" t="str">
        <x:v>Model Life</x:v>
      </x:c>
      <x:c r="E2370" s="10" t="n">
        <x:v>19</x:v>
      </x:c>
      <x:c r="F2370" s="21" t="n">
        <x:f>F2242*(1+'Assumptions'!$M$88)</x:f>
        <x:v>112.91421792454415</x:v>
      </x:c>
      <x:c r="G2370" s="21" t="n">
        <x:f>H2242*'Assumptions'!$K$88</x:f>
        <x:v>239.10687453000116</x:v>
      </x:c>
      <x:c r="H2370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2370+G2370,NA())</x:f>
        <x:v>352.0210924545453</x:v>
      </x:c>
      <x:c r="I2370" s="22" t="n">
        <x:f>'Assumptions'!$H$88*IF('Assumptions'!$O$88=1,1,'Assumptions'!$D$10)*(1+'Assumptions'!$N$88)^(19-1)</x:f>
        <x:v>112.8314535585256</x:v>
      </x:c>
      <x:c r="J2370" s="10" t="n">
        <x:f>H2370*I2370</x:f>
        <x:v>39719.05154490647</x:v>
      </x:c>
      <x:c r="K2370" s="10" t="n">
        <x:f>J2370*'Assumptions'!$T$88</x:f>
        <x:v>39719.05154490647</x:v>
      </x:c>
      <x:c r="L2370" s="10" t="n">
        <x:f>K2370*'Assumptions'!$U$88</x:f>
        <x:v>1191.571546347194</x:v>
      </x:c>
      <x:c r="M2370" s="10" t="n">
        <x:f>K2370*'Assumptions'!$V$88</x:f>
        <x:v>0</x:v>
      </x:c>
      <x:c r="N2370" s="10" t="n">
        <x:f>K2370-L2370-M2370</x:f>
        <x:v>38527.479998559276</x:v>
      </x:c>
      <x:c r="O2370" s="10" t="n">
        <x:f>H2370*'Assumptions'!$P$88*'Assumptions'!$Q$88*'Assumptions'!$D$11*(1+'Assumptions'!$D$13)^(19-1)</x:f>
        <x:v>2097.5232111694245</x:v>
      </x:c>
      <x:c r="P2370" s="10" t="n">
        <x:f>H2370*'Assumptions'!$R$88*'Assumptions'!$D$11*(1+'Assumptions'!$D$13)^(19-1)</x:f>
        <x:v>0</x:v>
      </x:c>
      <x:c r="Q2370" s="10" t="n">
        <x:f>J2370*'Assumptions'!$S$88</x:f>
        <x:v>0</x:v>
      </x:c>
      <x:c r="R2370" s="10" t="n">
        <x:f>H2370*'Assumptions'!$Y$88*'Assumptions'!$Z$88*'Assumptions'!$D$11*(1+'Assumptions'!$D$13)^(19-1)</x:f>
        <x:v>2696.8155572178316</x:v>
      </x:c>
      <x:c r="S2370" s="10" t="n">
        <x:f>IF(I2370=0,0,J2370*'Assumptions'!$W$88+H2370*'Assumptions'!$X$88)</x:f>
        <x:v>1257.4588225386512</x:v>
      </x:c>
      <x:c r="T2370" s="10" t="n">
        <x:f>N2370*'Assumptions'!$AA$88</x:f>
        <x:v>1926.373999927964</x:v>
      </x:c>
      <x:c r="U2370" s="10" t="n">
        <x:f>'Assumptions'!$AE$88*'Assumptions'!$D$11*(1+'Assumptions'!$D$13)^(19-1)</x:f>
        <x:v>102.14598367439427</x:v>
      </x:c>
      <x:c r="V2370" s="10" t="n">
        <x:f>0</x:f>
        <x:v>0</x:v>
      </x:c>
      <x:c r="W2370" s="10" t="n">
        <x:f>H2370*('Assumptions'!$P$88+'Assumptions'!$Y$88)</x:f>
        <x:v>88.00527311363632</x:v>
      </x:c>
      <x:c r="X2370" s="10" t="n">
        <x:f>N2370/12*'Assumptions'!$AF$88</x:f>
        <x:v>0</x:v>
      </x:c>
      <x:c r="Y2370" s="10" t="n">
        <x:f>P2370/12</x:f>
        <x:v>0</x:v>
      </x:c>
      <x:c r="Z2370" s="10" t="n">
        <x:f>0</x:f>
        <x:v>0</x:v>
      </x:c>
      <x:c r="AA2370" s="10" t="n">
        <x:f>Z2370*'Assumptions'!$AC$88*'Assumptions'!$D$11*(1+'Assumptions'!$D$13)^(19-1)</x:f>
        <x:v>0</x:v>
      </x:c>
      <x:c r="AB2370" s="10" t="n">
        <x:f>F2370/12</x:f>
        <x:v>9.40951816037868</x:v>
      </x:c>
      <x:c r="AC2370" s="10" t="n">
        <x:f>AB2370/'Assumptions'!$AM$88</x:f>
        <x:v>188.19036320757357</x:v>
      </x:c>
      <x:c r="AD2370" s="10" t="n">
        <x:f>IF(AB2370=0,0,T2370/AB2370)</x:f>
        <x:v>204.72610468402968</x:v>
      </x:c>
      <x:c r="AE2370" s="10" t="n">
        <x:f>AA2370*'Assumptions'!$D$21</x:f>
        <x:v>0</x:v>
      </x:c>
    </x:row>
    <x:row r="2371" ht="16" customHeight="1">
      <x:c r="A2371" s="1"/>
      <x:c r="B2371" s="1"/>
      <x:c r="C2371" s="1" t="str">
        <x:v>DOT-060</x:v>
      </x:c>
      <x:c r="D2371" s="10" t="str">
        <x:v>Model Life</x:v>
      </x:c>
      <x:c r="E2371" s="10" t="n">
        <x:v>19</x:v>
      </x:c>
      <x:c r="F2371" s="21" t="n">
        <x:f>F2243*(1+'Assumptions'!$M$89)</x:f>
        <x:v>112.91421792454415</x:v>
      </x:c>
      <x:c r="G2371" s="21" t="n">
        <x:f>H2243*'Assumptions'!$K$89</x:f>
        <x:v>239.10687453000116</x:v>
      </x:c>
      <x:c r="H2371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2371+G2371,NA())</x:f>
        <x:v>352.0210924545453</x:v>
      </x:c>
      <x:c r="I2371" s="22" t="n">
        <x:f>'Assumptions'!$H$89*IF('Assumptions'!$O$89=1,1,'Assumptions'!$D$10)*(1+'Assumptions'!$N$89)^(19-1)</x:f>
        <x:v>84.26652860700013</x:v>
      </x:c>
      <x:c r="J2371" s="10" t="n">
        <x:f>H2371*I2371</x:f>
        <x:v>29663.595457588377</x:v>
      </x:c>
      <x:c r="K2371" s="10" t="n">
        <x:f>J2371*'Assumptions'!$T$89</x:f>
        <x:v>29663.595457588377</x:v>
      </x:c>
      <x:c r="L2371" s="10" t="n">
        <x:f>K2371*'Assumptions'!$U$89</x:f>
        <x:v>889.9078637276513</x:v>
      </x:c>
      <x:c r="M2371" s="10" t="n">
        <x:f>K2371*'Assumptions'!$V$89</x:f>
        <x:v>0</x:v>
      </x:c>
      <x:c r="N2371" s="10" t="n">
        <x:f>K2371-L2371-M2371</x:f>
        <x:v>28773.687593860726</x:v>
      </x:c>
      <x:c r="O2371" s="10" t="n">
        <x:f>H2371*'Assumptions'!$P$89*'Assumptions'!$Q$89*'Assumptions'!$D$11*(1+'Assumptions'!$D$13)^(19-1)</x:f>
        <x:v>2097.5232111694245</x:v>
      </x:c>
      <x:c r="P2371" s="10" t="n">
        <x:f>H2371*'Assumptions'!$R$89*'Assumptions'!$D$11*(1+'Assumptions'!$D$13)^(19-1)</x:f>
        <x:v>0</x:v>
      </x:c>
      <x:c r="Q2371" s="10" t="n">
        <x:f>J2371*'Assumptions'!$S$89</x:f>
        <x:v>0</x:v>
      </x:c>
      <x:c r="R2371" s="10" t="n">
        <x:f>H2371*'Assumptions'!$Y$89*'Assumptions'!$Z$89*'Assumptions'!$D$11*(1+'Assumptions'!$D$13)^(19-1)</x:f>
        <x:v>2696.8155572178316</x:v>
      </x:c>
      <x:c r="S2371" s="10" t="n">
        <x:f>IF(I2371=0,0,J2371*'Assumptions'!$W$89+H2371*'Assumptions'!$X$89)</x:f>
        <x:v>965.8505960064266</x:v>
      </x:c>
      <x:c r="T2371" s="10" t="n">
        <x:f>N2371*'Assumptions'!$AA$89</x:f>
        <x:v>1438.6843796930364</x:v>
      </x:c>
      <x:c r="U2371" s="10" t="n">
        <x:f>'Assumptions'!$AE$89*'Assumptions'!$D$11*(1+'Assumptions'!$D$13)^(19-1)</x:f>
        <x:v>102.14598367439427</x:v>
      </x:c>
      <x:c r="V2371" s="10" t="n">
        <x:f>0</x:f>
        <x:v>0</x:v>
      </x:c>
      <x:c r="W2371" s="10" t="n">
        <x:f>H2371*('Assumptions'!$P$89+'Assumptions'!$Y$89)</x:f>
        <x:v>88.00527311363632</x:v>
      </x:c>
      <x:c r="X2371" s="10" t="n">
        <x:f>N2371/12*'Assumptions'!$AF$89</x:f>
        <x:v>0</x:v>
      </x:c>
      <x:c r="Y2371" s="10" t="n">
        <x:f>P2371/12</x:f>
        <x:v>0</x:v>
      </x:c>
      <x:c r="Z2371" s="10" t="n">
        <x:f>0</x:f>
        <x:v>0</x:v>
      </x:c>
      <x:c r="AA2371" s="10" t="n">
        <x:f>Z2371*'Assumptions'!$AC$89*'Assumptions'!$D$11*(1+'Assumptions'!$D$13)^(19-1)</x:f>
        <x:v>0</x:v>
      </x:c>
      <x:c r="AB2371" s="10" t="n">
        <x:f>F2371/12</x:f>
        <x:v>9.40951816037868</x:v>
      </x:c>
      <x:c r="AC2371" s="10" t="n">
        <x:f>AB2371/'Assumptions'!$AM$89</x:f>
        <x:v>188.19036320757357</x:v>
      </x:c>
      <x:c r="AD2371" s="10" t="n">
        <x:f>IF(AB2371=0,0,T2371/AB2371)</x:f>
        <x:v>152.8967110931361</x:v>
      </x:c>
      <x:c r="AE2371" s="10" t="n">
        <x:f>AA2371*'Assumptions'!$D$21</x:f>
        <x:v>0</x:v>
      </x:c>
    </x:row>
    <x:row r="2372" ht="16" customHeight="1">
      <x:c r="A2372" s="1"/>
      <x:c r="B2372" s="1"/>
      <x:c r="C2372" s="1" t="str">
        <x:v>DOT-061</x:v>
      </x:c>
      <x:c r="D2372" s="10" t="str">
        <x:v>Model Life</x:v>
      </x:c>
      <x:c r="E2372" s="10" t="n">
        <x:v>19</x:v>
      </x:c>
      <x:c r="F2372" s="21" t="n">
        <x:f>F2244*(1+'Assumptions'!$M$90)</x:f>
        <x:v>56.45710896227207</x:v>
      </x:c>
      <x:c r="G2372" s="21" t="n">
        <x:f>H2244*'Assumptions'!$K$90</x:f>
        <x:v>119.55343726500058</x:v>
      </x:c>
      <x:c r="H2372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2372+G2372,NA())</x:f>
        <x:v>176.01054622727264</x:v>
      </x:c>
      <x:c r="I2372" s="22" t="n">
        <x:f>'Assumptions'!$H$90*IF('Assumptions'!$O$90=1,1,'Assumptions'!$D$10)*(1+'Assumptions'!$N$90)^(19-1)</x:f>
        <x:v>141.39637851005108</x:v>
      </x:c>
      <x:c r="J2372" s="10" t="n">
        <x:f>H2372*I2372</x:f>
        <x:v>24887.253816112287</x:v>
      </x:c>
      <x:c r="K2372" s="10" t="n">
        <x:f>J2372*'Assumptions'!$T$90</x:f>
        <x:v>24887.253816112287</x:v>
      </x:c>
      <x:c r="L2372" s="10" t="n">
        <x:f>K2372*'Assumptions'!$U$90</x:f>
        <x:v>746.6176144833686</x:v>
      </x:c>
      <x:c r="M2372" s="10" t="n">
        <x:f>K2372*'Assumptions'!$V$90</x:f>
        <x:v>0</x:v>
      </x:c>
      <x:c r="N2372" s="10" t="n">
        <x:f>K2372-L2372-M2372</x:f>
        <x:v>24140.636201628917</x:v>
      </x:c>
      <x:c r="O2372" s="10" t="n">
        <x:f>H2372*'Assumptions'!$P$90*'Assumptions'!$Q$90*'Assumptions'!$D$11*(1+'Assumptions'!$D$13)^(19-1)</x:f>
        <x:v>1048.7616055847122</x:v>
      </x:c>
      <x:c r="P2372" s="10" t="n">
        <x:f>H2372*'Assumptions'!$R$90*'Assumptions'!$D$11*(1+'Assumptions'!$D$13)^(19-1)</x:f>
        <x:v>0</x:v>
      </x:c>
      <x:c r="Q2372" s="10" t="n">
        <x:f>J2372*'Assumptions'!$S$90</x:f>
        <x:v>0</x:v>
      </x:c>
      <x:c r="R2372" s="10" t="n">
        <x:f>H2372*'Assumptions'!$Y$90*'Assumptions'!$Z$90*'Assumptions'!$D$11*(1+'Assumptions'!$D$13)^(19-1)</x:f>
        <x:v>1348.4077786089158</x:v>
      </x:c>
      <x:c r="S2372" s="10" t="n">
        <x:f>IF(I2372=0,0,J2372*'Assumptions'!$W$90+H2372*'Assumptions'!$X$90)</x:f>
        <x:v>774.5335245354381</x:v>
      </x:c>
      <x:c r="T2372" s="10" t="n">
        <x:f>N2372*'Assumptions'!$AA$90</x:f>
        <x:v>1207.0318100814459</x:v>
      </x:c>
      <x:c r="U2372" s="10" t="n">
        <x:f>'Assumptions'!$AE$90*'Assumptions'!$D$11*(1+'Assumptions'!$D$13)^(19-1)</x:f>
        <x:v>102.14598367439427</x:v>
      </x:c>
      <x:c r="V2372" s="10" t="n">
        <x:f>0</x:f>
        <x:v>0</x:v>
      </x:c>
      <x:c r="W2372" s="10" t="n">
        <x:f>H2372*('Assumptions'!$P$90+'Assumptions'!$Y$90)</x:f>
        <x:v>44.00263655681816</x:v>
      </x:c>
      <x:c r="X2372" s="10" t="n">
        <x:f>N2372/12*'Assumptions'!$AF$90</x:f>
        <x:v>0</x:v>
      </x:c>
      <x:c r="Y2372" s="10" t="n">
        <x:f>P2372/12</x:f>
        <x:v>0</x:v>
      </x:c>
      <x:c r="Z2372" s="10" t="n">
        <x:f>0</x:f>
        <x:v>0</x:v>
      </x:c>
      <x:c r="AA2372" s="10" t="n">
        <x:f>Z2372*'Assumptions'!$AC$90*'Assumptions'!$D$11*(1+'Assumptions'!$D$13)^(19-1)</x:f>
        <x:v>0</x:v>
      </x:c>
      <x:c r="AB2372" s="10" t="n">
        <x:f>F2372/12</x:f>
        <x:v>4.70475908018934</x:v>
      </x:c>
      <x:c r="AC2372" s="10" t="n">
        <x:f>AB2372/'Assumptions'!$AM$90</x:f>
        <x:v>94.09518160378678</x:v>
      </x:c>
      <x:c r="AD2372" s="10" t="n">
        <x:f>IF(AB2372=0,0,T2372/AB2372)</x:f>
        <x:v>256.5554982749233</x:v>
      </x:c>
      <x:c r="AE2372" s="10" t="n">
        <x:f>AA2372*'Assumptions'!$D$21</x:f>
        <x:v>0</x:v>
      </x:c>
    </x:row>
    <x:row r="2373" ht="16" customHeight="1">
      <x:c r="A2373" s="1"/>
      <x:c r="B2373" s="1"/>
      <x:c r="C2373" s="1" t="str">
        <x:v>DOT-062</x:v>
      </x:c>
      <x:c r="D2373" s="10" t="str">
        <x:v>Model Life</x:v>
      </x:c>
      <x:c r="E2373" s="10" t="n">
        <x:v>19</x:v>
      </x:c>
      <x:c r="F2373" s="21" t="n">
        <x:f>F2245*(1+'Assumptions'!$M$91)</x:f>
        <x:v>56.45710896227207</x:v>
      </x:c>
      <x:c r="G2373" s="21" t="n">
        <x:f>H2245*'Assumptions'!$K$91</x:f>
        <x:v>119.55343726500058</x:v>
      </x:c>
      <x:c r="H2373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2373+G2373,NA())</x:f>
        <x:v>176.01054622727264</x:v>
      </x:c>
      <x:c r="I2373" s="22" t="n">
        <x:f>'Assumptions'!$H$91*IF('Assumptions'!$O$91=1,1,'Assumptions'!$D$10)*(1+'Assumptions'!$N$91)^(19-1)</x:f>
        <x:v>69.9840661312374</x:v>
      </x:c>
      <x:c r="J2373" s="10" t="n">
        <x:f>H2373*I2373</x:f>
        <x:v>12317.933706964666</x:v>
      </x:c>
      <x:c r="K2373" s="10" t="n">
        <x:f>J2373*'Assumptions'!$T$91</x:f>
        <x:v>12317.933706964666</x:v>
      </x:c>
      <x:c r="L2373" s="10" t="n">
        <x:f>K2373*'Assumptions'!$U$91</x:f>
        <x:v>369.53801120893996</x:v>
      </x:c>
      <x:c r="M2373" s="10" t="n">
        <x:f>K2373*'Assumptions'!$V$91</x:f>
        <x:v>0</x:v>
      </x:c>
      <x:c r="N2373" s="10" t="n">
        <x:f>K2373-L2373-M2373</x:f>
        <x:v>11948.395695755726</x:v>
      </x:c>
      <x:c r="O2373" s="10" t="n">
        <x:f>H2373*'Assumptions'!$P$91*'Assumptions'!$Q$91*'Assumptions'!$D$11*(1+'Assumptions'!$D$13)^(19-1)</x:f>
        <x:v>1048.7616055847122</x:v>
      </x:c>
      <x:c r="P2373" s="10" t="n">
        <x:f>H2373*'Assumptions'!$R$91*'Assumptions'!$D$11*(1+'Assumptions'!$D$13)^(19-1)</x:f>
        <x:v>0</x:v>
      </x:c>
      <x:c r="Q2373" s="10" t="n">
        <x:f>J2373*'Assumptions'!$S$91</x:f>
        <x:v>0</x:v>
      </x:c>
      <x:c r="R2373" s="10" t="n">
        <x:f>H2373*'Assumptions'!$Y$91*'Assumptions'!$Z$91*'Assumptions'!$D$11*(1+'Assumptions'!$D$13)^(19-1)</x:f>
        <x:v>1348.4077786089158</x:v>
      </x:c>
      <x:c r="S2373" s="10" t="n">
        <x:f>IF(I2373=0,0,J2373*'Assumptions'!$W$91+H2373*'Assumptions'!$X$91)</x:f>
        <x:v>410.02324137015717</x:v>
      </x:c>
      <x:c r="T2373" s="10" t="n">
        <x:f>N2373*'Assumptions'!$AA$91</x:f>
        <x:v>597.4197847877863</x:v>
      </x:c>
      <x:c r="U2373" s="10" t="n">
        <x:f>'Assumptions'!$AE$91*'Assumptions'!$D$11*(1+'Assumptions'!$D$13)^(19-1)</x:f>
        <x:v>102.14598367439427</x:v>
      </x:c>
      <x:c r="V2373" s="10" t="n">
        <x:f>0</x:f>
        <x:v>0</x:v>
      </x:c>
      <x:c r="W2373" s="10" t="n">
        <x:f>H2373*('Assumptions'!$P$91+'Assumptions'!$Y$91)</x:f>
        <x:v>44.00263655681816</x:v>
      </x:c>
      <x:c r="X2373" s="10" t="n">
        <x:f>N2373/12*'Assumptions'!$AF$91</x:f>
        <x:v>0</x:v>
      </x:c>
      <x:c r="Y2373" s="10" t="n">
        <x:f>P2373/12</x:f>
        <x:v>0</x:v>
      </x:c>
      <x:c r="Z2373" s="10" t="n">
        <x:f>0</x:f>
        <x:v>0</x:v>
      </x:c>
      <x:c r="AA2373" s="10" t="n">
        <x:f>Z2373*'Assumptions'!$AC$91*'Assumptions'!$D$11*(1+'Assumptions'!$D$13)^(19-1)</x:f>
        <x:v>0</x:v>
      </x:c>
      <x:c r="AB2373" s="10" t="n">
        <x:f>F2373/12</x:f>
        <x:v>4.70475908018934</x:v>
      </x:c>
      <x:c r="AC2373" s="10" t="n">
        <x:f>AB2373/'Assumptions'!$AM$91</x:f>
        <x:v>94.09518160378678</x:v>
      </x:c>
      <x:c r="AD2373" s="10" t="n">
        <x:f>IF(AB2373=0,0,T2373/AB2373)</x:f>
        <x:v>126.98201429768929</x:v>
      </x:c>
      <x:c r="AE2373" s="10" t="n">
        <x:f>AA2373*'Assumptions'!$D$21</x:f>
        <x:v>0</x:v>
      </x:c>
    </x:row>
    <x:row r="2374" ht="16" customHeight="1">
      <x:c r="A2374" s="1"/>
      <x:c r="B2374" s="1"/>
      <x:c r="C2374" s="1" t="str">
        <x:v>DOT-063</x:v>
      </x:c>
      <x:c r="D2374" s="10" t="str">
        <x:v>S’otality cleaning</x:v>
      </x:c>
      <x:c r="E2374" s="10" t="n">
        <x:v>19</x:v>
      </x:c>
      <x:c r="F2374" s="21" t="n">
        <x:f>F2246*(1+'Assumptions'!$M$92)</x:f>
        <x:v>106.29996557569777</x:v>
      </x:c>
      <x:c r="G2374" s="21" t="n">
        <x:f>H2246*'Assumptions'!$K$92</x:f>
        <x:v>148.31319080877196</x:v>
      </x:c>
      <x:c r="H2374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2374+G2374,NA())</x:f>
        <x:v>254.61315638446973</x:v>
      </x:c>
      <x:c r="I2374" s="22" t="n">
        <x:f>'Assumptions'!$H$92*IF('Assumptions'!$O$92=1,1,'Assumptions'!$D$10)*(1+'Assumptions'!$N$92)^(19-1)</x:f>
        <x:v>212.80869088886473</x:v>
      </x:c>
      <x:c r="J2374" s="10" t="n">
        <x:f>H2374*I2374</x:f>
        <x:v>54183.89249326079</x:v>
      </x:c>
      <x:c r="K2374" s="10" t="n">
        <x:f>J2374*'Assumptions'!$T$92</x:f>
        <x:v>54183.89249326079</x:v>
      </x:c>
      <x:c r="L2374" s="10" t="n">
        <x:f>K2374*'Assumptions'!$U$92</x:f>
        <x:v>1625.5167747978237</x:v>
      </x:c>
      <x:c r="M2374" s="10" t="n">
        <x:f>K2374*'Assumptions'!$V$92</x:f>
        <x:v>0</x:v>
      </x:c>
      <x:c r="N2374" s="10" t="n">
        <x:f>K2374-L2374-M2374</x:f>
        <x:v>52558.375718462965</x:v>
      </x:c>
      <x:c r="O2374" s="10" t="n">
        <x:f>H2374*'Assumptions'!$P$92*'Assumptions'!$Q$92*'Assumptions'!$D$11*(1+'Assumptions'!$D$13)^(19-1)</x:f>
        <x:v>1517.116493394486</x:v>
      </x:c>
      <x:c r="P2374" s="10" t="n">
        <x:f>H2374*'Assumptions'!$R$92*'Assumptions'!$D$11*(1+'Assumptions'!$D$13)^(19-1)</x:f>
        <x:v>3467.6948420445387</x:v>
      </x:c>
      <x:c r="Q2374" s="10" t="n">
        <x:f>J2374*'Assumptions'!$S$92</x:f>
        <x:v>35219.530120619514</x:v>
      </x:c>
      <x:c r="R2374" s="10" t="n">
        <x:f>H2374*'Assumptions'!$Y$92*'Assumptions'!$Z$92*'Assumptions'!$D$11*(1+'Assumptions'!$D$13)^(19-1)</x:f>
        <x:v>2600.7711315334045</x:v>
      </x:c>
      <x:c r="S2374" s="10" t="n">
        <x:f>IF(I2374=0,0,J2374*'Assumptions'!$W$92+H2374*'Assumptions'!$X$92)</x:f>
        <x:v>1647.716829219904</x:v>
      </x:c>
      <x:c r="T2374" s="10" t="n">
        <x:f>N2374*'Assumptions'!$AA$92</x:f>
        <x:v>2102.3350287385188</x:v>
      </x:c>
      <x:c r="U2374" s="10" t="n">
        <x:f>'Assumptions'!$AE$92*'Assumptions'!$D$11*(1+'Assumptions'!$D$13)^(19-1)</x:f>
        <x:v>0</x:v>
      </x:c>
      <x:c r="V2374" s="10" t="n">
        <x:f>0</x:f>
        <x:v>0</x:v>
      </x:c>
      <x:c r="W2374" s="10" t="n">
        <x:f>H2374*('Assumptions'!$P$92+'Assumptions'!$Y$92)</x:f>
        <x:v>76.38394691534093</x:v>
      </x:c>
      <x:c r="X2374" s="10" t="n">
        <x:f>N2374/12*'Assumptions'!$AF$92</x:f>
        <x:v>0</x:v>
      </x:c>
      <x:c r="Y2374" s="10" t="n">
        <x:f>P2374/12</x:f>
        <x:v>288.97457017037823</x:v>
      </x:c>
      <x:c r="Z2374" s="10" t="n">
        <x:f>0</x:f>
        <x:v>0</x:v>
      </x:c>
      <x:c r="AA2374" s="10" t="n">
        <x:f>Z2374*'Assumptions'!$AC$92*'Assumptions'!$D$11*(1+'Assumptions'!$D$13)^(19-1)</x:f>
        <x:v>0</x:v>
      </x:c>
      <x:c r="AB2374" s="10" t="n">
        <x:f>F2374/1</x:f>
        <x:v>106.29996557569777</x:v>
      </x:c>
      <x:c r="AC2374" s="10" t="n">
        <x:f>AB2374/'Assumptions'!$AM$92</x:f>
        <x:v>708.6664371713185</x:v>
      </x:c>
      <x:c r="AD2374" s="10" t="n">
        <x:f>IF(AB2374=0,0,T2374/AB2374)</x:f>
        <x:v>19.77738202785602</x:v>
      </x:c>
      <x:c r="AE2374" s="10" t="n">
        <x:f>AA2374*'Assumptions'!$D$21</x:f>
        <x:v>0</x:v>
      </x:c>
    </x:row>
    <x:row r="2375" ht="16" customHeight="1">
      <x:c r="A2375" s="1"/>
      <x:c r="B2375" s="1"/>
      <x:c r="C2375" s="1" t="str">
        <x:v>DOT-064</x:v>
      </x:c>
      <x:c r="D2375" s="10" t="str">
        <x:v>S’otality cleaning</x:v>
      </x:c>
      <x:c r="E2375" s="10" t="n">
        <x:v>19</x:v>
      </x:c>
      <x:c r="F2375" s="21" t="n">
        <x:f>F2247*(1+'Assumptions'!$M$93)</x:f>
        <x:v>159.44994836354655</x:v>
      </x:c>
      <x:c r="G2375" s="21" t="n">
        <x:f>H2247*'Assumptions'!$K$93</x:f>
        <x:v>222.46978621315782</x:v>
      </x:c>
      <x:c r="H2375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2375+G2375,NA())</x:f>
        <x:v>381.9197345767044</x:v>
      </x:c>
      <x:c r="I2375" s="22" t="n">
        <x:f>'Assumptions'!$H$93*IF('Assumptions'!$O$93=1,1,'Assumptions'!$D$10)*(1+'Assumptions'!$N$93)^(19-1)</x:f>
        <x:v>198.526228413102</x:v>
      </x:c>
      <x:c r="J2375" s="10" t="n">
        <x:f>H2375*I2375</x:f>
        <x:v>75821.0844620461</x:v>
      </x:c>
      <x:c r="K2375" s="10" t="n">
        <x:f>J2375*'Assumptions'!$T$93</x:f>
        <x:v>75821.0844620461</x:v>
      </x:c>
      <x:c r="L2375" s="10" t="n">
        <x:f>K2375*'Assumptions'!$U$93</x:f>
        <x:v>2274.632533861383</x:v>
      </x:c>
      <x:c r="M2375" s="10" t="n">
        <x:f>K2375*'Assumptions'!$V$93</x:f>
        <x:v>0</x:v>
      </x:c>
      <x:c r="N2375" s="10" t="n">
        <x:f>K2375-L2375-M2375</x:f>
        <x:v>73546.45192818472</x:v>
      </x:c>
      <x:c r="O2375" s="10" t="n">
        <x:f>H2375*'Assumptions'!$P$93*'Assumptions'!$Q$93*'Assumptions'!$D$11*(1+'Assumptions'!$D$13)^(19-1)</x:f>
        <x:v>2275.6747400917275</x:v>
      </x:c>
      <x:c r="P2375" s="10" t="n">
        <x:f>H2375*'Assumptions'!$R$93*'Assumptions'!$D$11*(1+'Assumptions'!$D$13)^(19-1)</x:f>
        <x:v>5201.542263066805</x:v>
      </x:c>
      <x:c r="Q2375" s="10" t="n">
        <x:f>J2375*'Assumptions'!$S$93</x:f>
        <x:v>49283.70490032997</x:v>
      </x:c>
      <x:c r="R2375" s="10" t="n">
        <x:f>H2375*'Assumptions'!$Y$93*'Assumptions'!$Z$93*'Assumptions'!$D$11*(1+'Assumptions'!$D$13)^(19-1)</x:f>
        <x:v>3901.1566973001045</x:v>
      </x:c>
      <x:c r="S2375" s="10" t="n">
        <x:f>IF(I2375=0,0,J2375*'Assumptions'!$W$93+H2375*'Assumptions'!$X$93)</x:f>
        <x:v>2313.3873697723484</x:v>
      </x:c>
      <x:c r="T2375" s="10" t="n">
        <x:f>N2375*'Assumptions'!$AA$93</x:f>
        <x:v>2941.8580771273887</x:v>
      </x:c>
      <x:c r="U2375" s="10" t="n">
        <x:f>'Assumptions'!$AE$93*'Assumptions'!$D$11*(1+'Assumptions'!$D$13)^(19-1)</x:f>
        <x:v>0</x:v>
      </x:c>
      <x:c r="V2375" s="10" t="n">
        <x:f>0</x:f>
        <x:v>0</x:v>
      </x:c>
      <x:c r="W2375" s="10" t="n">
        <x:f>H2375*('Assumptions'!$P$93+'Assumptions'!$Y$93)</x:f>
        <x:v>114.57592037301134</x:v>
      </x:c>
      <x:c r="X2375" s="10" t="n">
        <x:f>N2375/12*'Assumptions'!$AF$93</x:f>
        <x:v>0</x:v>
      </x:c>
      <x:c r="Y2375" s="10" t="n">
        <x:f>P2375/12</x:f>
        <x:v>433.4618552555671</x:v>
      </x:c>
      <x:c r="Z2375" s="10" t="n">
        <x:f>0</x:f>
        <x:v>0</x:v>
      </x:c>
      <x:c r="AA2375" s="10" t="n">
        <x:f>Z2375*'Assumptions'!$AC$93*'Assumptions'!$D$11*(1+'Assumptions'!$D$13)^(19-1)</x:f>
        <x:v>0</x:v>
      </x:c>
      <x:c r="AB2375" s="10" t="n">
        <x:f>F2375/1</x:f>
        <x:v>159.44994836354655</x:v>
      </x:c>
      <x:c r="AC2375" s="10" t="n">
        <x:f>AB2375/'Assumptions'!$AM$93</x:f>
        <x:v>1062.999655756977</x:v>
      </x:c>
      <x:c r="AD2375" s="10" t="n">
        <x:f>IF(AB2375=0,0,T2375/AB2375)</x:f>
        <x:v>18.450040952160986</x:v>
      </x:c>
      <x:c r="AE2375" s="10" t="n">
        <x:f>AA2375*'Assumptions'!$D$21</x:f>
        <x:v>0</x:v>
      </x:c>
    </x:row>
    <x:row r="2376" ht="16" customHeight="1">
      <x:c r="A2376" s="1"/>
      <x:c r="B2376" s="1"/>
      <x:c r="C2376" s="1" t="str">
        <x:v>DOT-065</x:v>
      </x:c>
      <x:c r="D2376" s="10" t="str">
        <x:v>S’otality cleaning</x:v>
      </x:c>
      <x:c r="E2376" s="10" t="n">
        <x:v>19</x:v>
      </x:c>
      <x:c r="F2376" s="21" t="n">
        <x:f>F2248*(1+'Assumptions'!$M$94)</x:f>
        <x:v>106.29996557569777</x:v>
      </x:c>
      <x:c r="G2376" s="21" t="n">
        <x:f>H2248*'Assumptions'!$K$94</x:f>
        <x:v>148.31319080877196</x:v>
      </x:c>
      <x:c r="H2376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2376+G2376,NA())</x:f>
        <x:v>254.61315638446973</x:v>
      </x:c>
      <x:c r="I2376" s="22" t="n">
        <x:f>'Assumptions'!$H$94*IF('Assumptions'!$O$94=1,1,'Assumptions'!$D$10)*(1+'Assumptions'!$N$94)^(19-1)</x:f>
        <x:v>227.09115336462747</x:v>
      </x:c>
      <x:c r="J2376" s="10" t="n">
        <x:f>H2376*I2376</x:f>
        <x:v>57820.39534515749</x:v>
      </x:c>
      <x:c r="K2376" s="10" t="n">
        <x:f>J2376*'Assumptions'!$T$94</x:f>
        <x:v>57820.39534515749</x:v>
      </x:c>
      <x:c r="L2376" s="10" t="n">
        <x:f>K2376*'Assumptions'!$U$94</x:f>
        <x:v>1734.6118603547247</x:v>
      </x:c>
      <x:c r="M2376" s="10" t="n">
        <x:f>K2376*'Assumptions'!$V$94</x:f>
        <x:v>0</x:v>
      </x:c>
      <x:c r="N2376" s="10" t="n">
        <x:f>K2376-L2376-M2376</x:f>
        <x:v>56085.78348480277</x:v>
      </x:c>
      <x:c r="O2376" s="10" t="n">
        <x:f>H2376*'Assumptions'!$P$94*'Assumptions'!$Q$94*'Assumptions'!$D$11*(1+'Assumptions'!$D$13)^(19-1)</x:f>
        <x:v>1517.116493394486</x:v>
      </x:c>
      <x:c r="P2376" s="10" t="n">
        <x:f>H2376*'Assumptions'!$R$94*'Assumptions'!$D$11*(1+'Assumptions'!$D$13)^(19-1)</x:f>
        <x:v>3467.6948420445387</x:v>
      </x:c>
      <x:c r="Q2376" s="10" t="n">
        <x:f>J2376*'Assumptions'!$S$94</x:f>
        <x:v>37583.25697435237</x:v>
      </x:c>
      <x:c r="R2376" s="10" t="n">
        <x:f>H2376*'Assumptions'!$Y$94*'Assumptions'!$Z$94*'Assumptions'!$D$11*(1+'Assumptions'!$D$13)^(19-1)</x:f>
        <x:v>2600.7711315334045</x:v>
      </x:c>
      <x:c r="S2376" s="10" t="n">
        <x:f>IF(I2376=0,0,J2376*'Assumptions'!$W$94+H2376*'Assumptions'!$X$94)</x:f>
        <x:v>1753.1754119249083</x:v>
      </x:c>
      <x:c r="T2376" s="10" t="n">
        <x:f>N2376*'Assumptions'!$AA$94</x:f>
        <x:v>2243.4313393921107</x:v>
      </x:c>
      <x:c r="U2376" s="10" t="n">
        <x:f>'Assumptions'!$AE$94*'Assumptions'!$D$11*(1+'Assumptions'!$D$13)^(19-1)</x:f>
        <x:v>0</x:v>
      </x:c>
      <x:c r="V2376" s="10" t="n">
        <x:f>0</x:f>
        <x:v>0</x:v>
      </x:c>
      <x:c r="W2376" s="10" t="n">
        <x:f>H2376*('Assumptions'!$P$94+'Assumptions'!$Y$94)</x:f>
        <x:v>76.38394691534093</x:v>
      </x:c>
      <x:c r="X2376" s="10" t="n">
        <x:f>N2376/12*'Assumptions'!$AF$94</x:f>
        <x:v>0</x:v>
      </x:c>
      <x:c r="Y2376" s="10" t="n">
        <x:f>P2376/12</x:f>
        <x:v>288.97457017037823</x:v>
      </x:c>
      <x:c r="Z2376" s="10" t="n">
        <x:f>0</x:f>
        <x:v>0</x:v>
      </x:c>
      <x:c r="AA2376" s="10" t="n">
        <x:f>Z2376*'Assumptions'!$AC$94*'Assumptions'!$D$11*(1+'Assumptions'!$D$13)^(19-1)</x:f>
        <x:v>0</x:v>
      </x:c>
      <x:c r="AB2376" s="10" t="n">
        <x:f>F2376/1</x:f>
        <x:v>106.29996557569777</x:v>
      </x:c>
      <x:c r="AC2376" s="10" t="n">
        <x:f>AB2376/'Assumptions'!$AM$94</x:f>
        <x:v>708.6664371713185</x:v>
      </x:c>
      <x:c r="AD2376" s="10" t="n">
        <x:f>IF(AB2376=0,0,T2376/AB2376)</x:f>
        <x:v>21.104723103551056</x:v>
      </x:c>
      <x:c r="AE2376" s="10" t="n">
        <x:f>AA2376*'Assumptions'!$D$21</x:f>
        <x:v>0</x:v>
      </x:c>
    </x:row>
    <x:row r="2377" ht="16" customHeight="1">
      <x:c r="A2377" s="1"/>
      <x:c r="B2377" s="1"/>
      <x:c r="C2377" s="1" t="str">
        <x:v>DOT-066</x:v>
      </x:c>
      <x:c r="D2377" s="10" t="str">
        <x:v>S’otality cleaning</x:v>
      </x:c>
      <x:c r="E2377" s="10" t="n">
        <x:v>19</x:v>
      </x:c>
      <x:c r="F2377" s="21" t="n">
        <x:f>F2249*(1+'Assumptions'!$M$95)</x:f>
        <x:v>159.44994836354655</x:v>
      </x:c>
      <x:c r="G2377" s="21" t="n">
        <x:f>H2249*'Assumptions'!$K$95</x:f>
        <x:v>222.46978621315782</x:v>
      </x:c>
      <x:c r="H2377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2377+G2377,NA())</x:f>
        <x:v>381.9197345767044</x:v>
      </x:c>
      <x:c r="I2377" s="22" t="n">
        <x:f>'Assumptions'!$H$95*IF('Assumptions'!$O$95=1,1,'Assumptions'!$D$10)*(1+'Assumptions'!$N$95)^(19-1)</x:f>
        <x:v>212.80869088886473</x:v>
      </x:c>
      <x:c r="J2377" s="10" t="n">
        <x:f>H2377*I2377</x:f>
        <x:v>81275.83873989114</x:v>
      </x:c>
      <x:c r="K2377" s="10" t="n">
        <x:f>J2377*'Assumptions'!$T$95</x:f>
        <x:v>81275.83873989114</x:v>
      </x:c>
      <x:c r="L2377" s="10" t="n">
        <x:f>K2377*'Assumptions'!$U$95</x:f>
        <x:v>2438.275162196734</x:v>
      </x:c>
      <x:c r="M2377" s="10" t="n">
        <x:f>K2377*'Assumptions'!$V$95</x:f>
        <x:v>0</x:v>
      </x:c>
      <x:c r="N2377" s="10" t="n">
        <x:f>K2377-L2377-M2377</x:f>
        <x:v>78837.56357769441</x:v>
      </x:c>
      <x:c r="O2377" s="10" t="n">
        <x:f>H2377*'Assumptions'!$P$95*'Assumptions'!$Q$95*'Assumptions'!$D$11*(1+'Assumptions'!$D$13)^(19-1)</x:f>
        <x:v>2275.6747400917275</x:v>
      </x:c>
      <x:c r="P2377" s="10" t="n">
        <x:f>H2377*'Assumptions'!$R$95*'Assumptions'!$D$11*(1+'Assumptions'!$D$13)^(19-1)</x:f>
        <x:v>5201.542263066805</x:v>
      </x:c>
      <x:c r="Q2377" s="10" t="n">
        <x:f>J2377*'Assumptions'!$S$95</x:f>
        <x:v>52829.29518092924</x:v>
      </x:c>
      <x:c r="R2377" s="10" t="n">
        <x:f>H2377*'Assumptions'!$Y$95*'Assumptions'!$Z$95*'Assumptions'!$D$11*(1+'Assumptions'!$D$13)^(19-1)</x:f>
        <x:v>3901.1566973001045</x:v>
      </x:c>
      <x:c r="S2377" s="10" t="n">
        <x:f>IF(I2377=0,0,J2377*'Assumptions'!$W$95+H2377*'Assumptions'!$X$95)</x:f>
        <x:v>2471.5752438298546</x:v>
      </x:c>
      <x:c r="T2377" s="10" t="n">
        <x:f>N2377*'Assumptions'!$AA$95</x:f>
        <x:v>3153.5025431077765</x:v>
      </x:c>
      <x:c r="U2377" s="10" t="n">
        <x:f>'Assumptions'!$AE$95*'Assumptions'!$D$11*(1+'Assumptions'!$D$13)^(19-1)</x:f>
        <x:v>0</x:v>
      </x:c>
      <x:c r="V2377" s="10" t="n">
        <x:f>0</x:f>
        <x:v>0</x:v>
      </x:c>
      <x:c r="W2377" s="10" t="n">
        <x:f>H2377*('Assumptions'!$P$95+'Assumptions'!$Y$95)</x:f>
        <x:v>114.57592037301134</x:v>
      </x:c>
      <x:c r="X2377" s="10" t="n">
        <x:f>N2377/12*'Assumptions'!$AF$95</x:f>
        <x:v>0</x:v>
      </x:c>
      <x:c r="Y2377" s="10" t="n">
        <x:f>P2377/12</x:f>
        <x:v>433.4618552555671</x:v>
      </x:c>
      <x:c r="Z2377" s="10" t="n">
        <x:f>0</x:f>
        <x:v>0</x:v>
      </x:c>
      <x:c r="AA2377" s="10" t="n">
        <x:f>Z2377*'Assumptions'!$AC$95*'Assumptions'!$D$11*(1+'Assumptions'!$D$13)^(19-1)</x:f>
        <x:v>0</x:v>
      </x:c>
      <x:c r="AB2377" s="10" t="n">
        <x:f>F2377/1</x:f>
        <x:v>159.44994836354655</x:v>
      </x:c>
      <x:c r="AC2377" s="10" t="n">
        <x:f>AB2377/'Assumptions'!$AM$95</x:f>
        <x:v>1062.999655756977</x:v>
      </x:c>
      <x:c r="AD2377" s="10" t="n">
        <x:f>IF(AB2377=0,0,T2377/AB2377)</x:f>
        <x:v>19.777382027856024</x:v>
      </x:c>
      <x:c r="AE2377" s="10" t="n">
        <x:f>AA2377*'Assumptions'!$D$21</x:f>
        <x:v>0</x:v>
      </x:c>
    </x:row>
    <x:row r="2378" ht="16" customHeight="1">
      <x:c r="A2378" s="1"/>
      <x:c r="B2378" s="1"/>
      <x:c r="C2378" s="1" t="str">
        <x:v>DOT-067</x:v>
      </x:c>
      <x:c r="D2378" s="10" t="str">
        <x:v>S’otality cleaning</x:v>
      </x:c>
      <x:c r="E2378" s="10" t="n">
        <x:v>19</x:v>
      </x:c>
      <x:c r="F2378" s="21" t="n">
        <x:f>F2250*(1+'Assumptions'!$M$96)</x:f>
        <x:v>70.86664371713184</x:v>
      </x:c>
      <x:c r="G2378" s="21" t="n">
        <x:f>H2250*'Assumptions'!$K$96</x:f>
        <x:v>98.87546053918133</x:v>
      </x:c>
      <x:c r="H2378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2378+G2378,NA())</x:f>
        <x:v>169.74210425631316</x:v>
      </x:c>
      <x:c r="I2378" s="22" t="n">
        <x:f>'Assumptions'!$H$96*IF('Assumptions'!$O$96=1,1,'Assumptions'!$D$10)*(1+'Assumptions'!$N$96)^(19-1)</x:f>
        <x:v>284.2210032676784</x:v>
      </x:c>
      <x:c r="J2378" s="10" t="n">
        <x:f>H2378*I2378</x:f>
        <x:v>48244.27116849618</x:v>
      </x:c>
      <x:c r="K2378" s="10" t="n">
        <x:f>J2378*'Assumptions'!$T$96</x:f>
        <x:v>48244.27116849618</x:v>
      </x:c>
      <x:c r="L2378" s="10" t="n">
        <x:f>K2378*'Assumptions'!$U$96</x:f>
        <x:v>1447.3281350548855</x:v>
      </x:c>
      <x:c r="M2378" s="10" t="n">
        <x:f>K2378*'Assumptions'!$V$96</x:f>
        <x:v>0</x:v>
      </x:c>
      <x:c r="N2378" s="10" t="n">
        <x:f>K2378-L2378-M2378</x:f>
        <x:v>46796.9430334413</x:v>
      </x:c>
      <x:c r="O2378" s="10" t="n">
        <x:f>H2378*'Assumptions'!$P$96*'Assumptions'!$Q$96*'Assumptions'!$D$11*(1+'Assumptions'!$D$13)^(19-1)</x:f>
        <x:v>1011.4109955963239</x:v>
      </x:c>
      <x:c r="P2378" s="10" t="n">
        <x:f>H2378*'Assumptions'!$R$96*'Assumptions'!$D$11*(1+'Assumptions'!$D$13)^(19-1)</x:f>
        <x:v>2311.796561363026</x:v>
      </x:c>
      <x:c r="Q2378" s="10" t="n">
        <x:f>J2378*'Assumptions'!$S$96</x:f>
        <x:v>31358.77625952252</x:v>
      </x:c>
      <x:c r="R2378" s="10" t="n">
        <x:f>H2378*'Assumptions'!$Y$96*'Assumptions'!$Z$96*'Assumptions'!$D$11*(1+'Assumptions'!$D$13)^(19-1)</x:f>
        <x:v>1733.8474210222694</x:v>
      </x:c>
      <x:c r="S2378" s="10" t="n">
        <x:f>IF(I2378=0,0,J2378*'Assumptions'!$W$96+H2378*'Assumptions'!$X$96)</x:f>
        <x:v>1450.0064951632833</x:v>
      </x:c>
      <x:c r="T2378" s="10" t="n">
        <x:f>N2378*'Assumptions'!$AA$96</x:f>
        <x:v>1871.877721337652</x:v>
      </x:c>
      <x:c r="U2378" s="10" t="n">
        <x:f>'Assumptions'!$AE$96*'Assumptions'!$D$11*(1+'Assumptions'!$D$13)^(19-1)</x:f>
        <x:v>0</x:v>
      </x:c>
      <x:c r="V2378" s="10" t="n">
        <x:f>0</x:f>
        <x:v>0</x:v>
      </x:c>
      <x:c r="W2378" s="10" t="n">
        <x:f>H2378*('Assumptions'!$P$96+'Assumptions'!$Y$96)</x:f>
        <x:v>50.92263127689395</x:v>
      </x:c>
      <x:c r="X2378" s="10" t="n">
        <x:f>N2378/12*'Assumptions'!$AF$96</x:f>
        <x:v>0</x:v>
      </x:c>
      <x:c r="Y2378" s="10" t="n">
        <x:f>P2378/12</x:f>
        <x:v>192.6497134469188</x:v>
      </x:c>
      <x:c r="Z2378" s="10" t="n">
        <x:f>0</x:f>
        <x:v>0</x:v>
      </x:c>
      <x:c r="AA2378" s="10" t="n">
        <x:f>Z2378*'Assumptions'!$AC$96*'Assumptions'!$D$11*(1+'Assumptions'!$D$13)^(19-1)</x:f>
        <x:v>0</x:v>
      </x:c>
      <x:c r="AB2378" s="10" t="n">
        <x:f>F2378/1</x:f>
        <x:v>70.86664371713184</x:v>
      </x:c>
      <x:c r="AC2378" s="10" t="n">
        <x:f>AB2378/'Assumptions'!$AM$96</x:f>
        <x:v>472.4442914475456</x:v>
      </x:c>
      <x:c r="AD2378" s="10" t="n">
        <x:f>IF(AB2378=0,0,T2378/AB2378)</x:f>
        <x:v>26.4140874063312</x:v>
      </x:c>
      <x:c r="AE2378" s="10" t="n">
        <x:f>AA2378*'Assumptions'!$D$21</x:f>
        <x:v>0</x:v>
      </x:c>
    </x:row>
    <x:row r="2379" ht="16" customHeight="1">
      <x:c r="A2379" s="1"/>
      <x:c r="B2379" s="1"/>
      <x:c r="C2379" s="1" t="str">
        <x:v>DOT-068</x:v>
      </x:c>
      <x:c r="D2379" s="10" t="str">
        <x:v>S’otality cleaning</x:v>
      </x:c>
      <x:c r="E2379" s="10" t="n">
        <x:v>19</x:v>
      </x:c>
      <x:c r="F2379" s="21" t="n">
        <x:f>F2251*(1+'Assumptions'!$M$97)</x:f>
        <x:v>106.29996557569777</x:v>
      </x:c>
      <x:c r="G2379" s="21" t="n">
        <x:f>H2251*'Assumptions'!$K$97</x:f>
        <x:v>148.31319080877196</x:v>
      </x:c>
      <x:c r="H2379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2379+G2379,NA())</x:f>
        <x:v>254.61315638446973</x:v>
      </x:c>
      <x:c r="I2379" s="22" t="n">
        <x:f>'Assumptions'!$H$97*IF('Assumptions'!$O$97=1,1,'Assumptions'!$D$10)*(1+'Assumptions'!$N$97)^(19-1)</x:f>
        <x:v>269.93854079191567</x:v>
      </x:c>
      <x:c r="J2379" s="10" t="n">
        <x:f>H2379*I2379</x:f>
        <x:v>68729.90390084758</x:v>
      </x:c>
      <x:c r="K2379" s="10" t="n">
        <x:f>J2379*'Assumptions'!$T$97</x:f>
        <x:v>68729.90390084758</x:v>
      </x:c>
      <x:c r="L2379" s="10" t="n">
        <x:f>K2379*'Assumptions'!$U$97</x:f>
        <x:v>2061.897117025427</x:v>
      </x:c>
      <x:c r="M2379" s="10" t="n">
        <x:f>K2379*'Assumptions'!$V$97</x:f>
        <x:v>0</x:v>
      </x:c>
      <x:c r="N2379" s="10" t="n">
        <x:f>K2379-L2379-M2379</x:f>
        <x:v>66668.00678382216</x:v>
      </x:c>
      <x:c r="O2379" s="10" t="n">
        <x:f>H2379*'Assumptions'!$P$97*'Assumptions'!$Q$97*'Assumptions'!$D$11*(1+'Assumptions'!$D$13)^(19-1)</x:f>
        <x:v>1517.116493394486</x:v>
      </x:c>
      <x:c r="P2379" s="10" t="n">
        <x:f>H2379*'Assumptions'!$R$97*'Assumptions'!$D$11*(1+'Assumptions'!$D$13)^(19-1)</x:f>
        <x:v>3467.6948420445387</x:v>
      </x:c>
      <x:c r="Q2379" s="10" t="n">
        <x:f>J2379*'Assumptions'!$S$97</x:f>
        <x:v>44674.43753555093</x:v>
      </x:c>
      <x:c r="R2379" s="10" t="n">
        <x:f>H2379*'Assumptions'!$Y$97*'Assumptions'!$Z$97*'Assumptions'!$D$11*(1+'Assumptions'!$D$13)^(19-1)</x:f>
        <x:v>2600.7711315334045</x:v>
      </x:c>
      <x:c r="S2379" s="10" t="n">
        <x:f>IF(I2379=0,0,J2379*'Assumptions'!$W$97+H2379*'Assumptions'!$X$97)</x:f>
        <x:v>2069.551160039921</x:v>
      </x:c>
      <x:c r="T2379" s="10" t="n">
        <x:f>N2379*'Assumptions'!$AA$97</x:f>
        <x:v>2666.7202713528864</x:v>
      </x:c>
      <x:c r="U2379" s="10" t="n">
        <x:f>'Assumptions'!$AE$97*'Assumptions'!$D$11*(1+'Assumptions'!$D$13)^(19-1)</x:f>
        <x:v>0</x:v>
      </x:c>
      <x:c r="V2379" s="10" t="n">
        <x:f>0</x:f>
        <x:v>0</x:v>
      </x:c>
      <x:c r="W2379" s="10" t="n">
        <x:f>H2379*('Assumptions'!$P$97+'Assumptions'!$Y$97)</x:f>
        <x:v>76.38394691534093</x:v>
      </x:c>
      <x:c r="X2379" s="10" t="n">
        <x:f>N2379/12*'Assumptions'!$AF$97</x:f>
        <x:v>0</x:v>
      </x:c>
      <x:c r="Y2379" s="10" t="n">
        <x:f>P2379/12</x:f>
        <x:v>288.97457017037823</x:v>
      </x:c>
      <x:c r="Z2379" s="10" t="n">
        <x:f>0</x:f>
        <x:v>0</x:v>
      </x:c>
      <x:c r="AA2379" s="10" t="n">
        <x:f>Z2379*'Assumptions'!$AC$97*'Assumptions'!$D$11*(1+'Assumptions'!$D$13)^(19-1)</x:f>
        <x:v>0</x:v>
      </x:c>
      <x:c r="AB2379" s="10" t="n">
        <x:f>F2379/1</x:f>
        <x:v>106.29996557569777</x:v>
      </x:c>
      <x:c r="AC2379" s="10" t="n">
        <x:f>AB2379/'Assumptions'!$AM$97</x:f>
        <x:v>708.6664371713185</x:v>
      </x:c>
      <x:c r="AD2379" s="10" t="n">
        <x:f>IF(AB2379=0,0,T2379/AB2379)</x:f>
        <x:v>25.086746330636164</x:v>
      </x:c>
      <x:c r="AE2379" s="10" t="n">
        <x:f>AA2379*'Assumptions'!$D$21</x:f>
        <x:v>0</x:v>
      </x:c>
    </x:row>
    <x:row r="2380" ht="16" customHeight="1">
      <x:c r="A2380" s="1"/>
      <x:c r="B2380" s="1"/>
      <x:c r="C2380" s="1" t="str">
        <x:v>DOT-069</x:v>
      </x:c>
      <x:c r="D2380" s="10" t="str">
        <x:v>S’otality cleaning</x:v>
      </x:c>
      <x:c r="E2380" s="10" t="n">
        <x:v>19</x:v>
      </x:c>
      <x:c r="F2380" s="21" t="n">
        <x:f>F2252*(1+'Assumptions'!$M$98)</x:f>
        <x:v>35.43332185856592</x:v>
      </x:c>
      <x:c r="G2380" s="21" t="n">
        <x:f>H2252*'Assumptions'!$K$98</x:f>
        <x:v>49.437730269590666</x:v>
      </x:c>
      <x:c r="H2380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2380+G2380,NA())</x:f>
        <x:v>84.87105212815658</x:v>
      </x:c>
      <x:c r="I2380" s="22" t="n">
        <x:f>'Assumptions'!$H$98*IF('Assumptions'!$O$98=1,1,'Assumptions'!$D$10)*(1+'Assumptions'!$N$98)^(19-1)</x:f>
        <x:v>427.04562802530575</x:v>
      </x:c>
      <x:c r="J2380" s="10" t="n">
        <x:f>H2380*I2380</x:f>
        <x:v>36243.81175723709</x:v>
      </x:c>
      <x:c r="K2380" s="10" t="n">
        <x:f>J2380*'Assumptions'!$T$98</x:f>
        <x:v>36243.81175723709</x:v>
      </x:c>
      <x:c r="L2380" s="10" t="n">
        <x:f>K2380*'Assumptions'!$U$98</x:f>
        <x:v>1087.3143527171126</x:v>
      </x:c>
      <x:c r="M2380" s="10" t="n">
        <x:f>K2380*'Assumptions'!$V$98</x:f>
        <x:v>0</x:v>
      </x:c>
      <x:c r="N2380" s="10" t="n">
        <x:f>K2380-L2380-M2380</x:f>
        <x:v>35156.49740451998</x:v>
      </x:c>
      <x:c r="O2380" s="10" t="n">
        <x:f>H2380*'Assumptions'!$P$98*'Assumptions'!$Q$98*'Assumptions'!$D$11*(1+'Assumptions'!$D$13)^(19-1)</x:f>
        <x:v>505.70549779816196</x:v>
      </x:c>
      <x:c r="P2380" s="10" t="n">
        <x:f>H2380*'Assumptions'!$R$98*'Assumptions'!$D$11*(1+'Assumptions'!$D$13)^(19-1)</x:f>
        <x:v>1155.898280681513</x:v>
      </x:c>
      <x:c r="Q2380" s="10" t="n">
        <x:f>J2380*'Assumptions'!$S$98</x:f>
        <x:v>23558.47764220411</x:v>
      </x:c>
      <x:c r="R2380" s="10" t="n">
        <x:f>H2380*'Assumptions'!$Y$98*'Assumptions'!$Z$98*'Assumptions'!$D$11*(1+'Assumptions'!$D$13)^(19-1)</x:f>
        <x:v>866.9237105111347</x:v>
      </x:c>
      <x:c r="S2380" s="10" t="n">
        <x:f>IF(I2380=0,0,J2380*'Assumptions'!$W$98+H2380*'Assumptions'!$X$98)</x:f>
        <x:v>1076.5318565983225</x:v>
      </x:c>
      <x:c r="T2380" s="10" t="n">
        <x:f>N2380*'Assumptions'!$AA$98</x:f>
        <x:v>1406.2598961807992</x:v>
      </x:c>
      <x:c r="U2380" s="10" t="n">
        <x:f>'Assumptions'!$AE$98*'Assumptions'!$D$11*(1+'Assumptions'!$D$13)^(19-1)</x:f>
        <x:v>0</x:v>
      </x:c>
      <x:c r="V2380" s="10" t="n">
        <x:f>0</x:f>
        <x:v>0</x:v>
      </x:c>
      <x:c r="W2380" s="10" t="n">
        <x:f>H2380*('Assumptions'!$P$98+'Assumptions'!$Y$98)</x:f>
        <x:v>25.461315638446976</x:v>
      </x:c>
      <x:c r="X2380" s="10" t="n">
        <x:f>N2380/12*'Assumptions'!$AF$98</x:f>
        <x:v>0</x:v>
      </x:c>
      <x:c r="Y2380" s="10" t="n">
        <x:f>P2380/12</x:f>
        <x:v>96.3248567234594</x:v>
      </x:c>
      <x:c r="Z2380" s="10" t="n">
        <x:f>0</x:f>
        <x:v>0</x:v>
      </x:c>
      <x:c r="AA2380" s="10" t="n">
        <x:f>Z2380*'Assumptions'!$AC$98*'Assumptions'!$D$11*(1+'Assumptions'!$D$13)^(19-1)</x:f>
        <x:v>0</x:v>
      </x:c>
      <x:c r="AB2380" s="10" t="n">
        <x:f>F2380/1</x:f>
        <x:v>35.43332185856592</x:v>
      </x:c>
      <x:c r="AC2380" s="10" t="n">
        <x:f>AB2380/'Assumptions'!$AM$98</x:f>
        <x:v>236.2221457237728</x:v>
      </x:c>
      <x:c r="AD2380" s="10" t="n">
        <x:f>IF(AB2380=0,0,T2380/AB2380)</x:f>
        <x:v>39.68749816328156</x:v>
      </x:c>
      <x:c r="AE2380" s="10" t="n">
        <x:f>AA2380*'Assumptions'!$D$21</x:f>
        <x:v>0</x:v>
      </x:c>
    </x:row>
    <x:row r="2381" ht="16" customHeight="1">
      <x:c r="A2381" s="1"/>
      <x:c r="B2381" s="1"/>
      <x:c r="C2381" s="1" t="str">
        <x:v>DOT-070</x:v>
      </x:c>
      <x:c r="D2381" s="10" t="str">
        <x:v>S’otality laundry</x:v>
      </x:c>
      <x:c r="E2381" s="10" t="n">
        <x:v>19</x:v>
      </x:c>
      <x:c r="F2381" s="21" t="n">
        <x:f>F2253*(1+'Assumptions'!$M$99)</x:f>
        <x:v>318.8998967270931</x:v>
      </x:c>
      <x:c r="G2381" s="21" t="n">
        <x:f>H2253*'Assumptions'!$K$99</x:f>
        <x:v>444.93957242631564</x:v>
      </x:c>
      <x:c r="H2381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2381+G2381,NA())</x:f>
        <x:v>763.8394691534088</x:v>
      </x:c>
      <x:c r="I2381" s="22" t="n">
        <x:f>'Assumptions'!$H$99*IF('Assumptions'!$O$99=1,1,'Assumptions'!$D$10)*(1+'Assumptions'!$N$99)^(19-1)</x:f>
        <x:v>85.69477485457641</x:v>
      </x:c>
      <x:c r="J2381" s="10" t="n">
        <x:f>H2381*I2381</x:f>
        <x:v>65457.05133414053</x:v>
      </x:c>
      <x:c r="K2381" s="10" t="n">
        <x:f>J2381*'Assumptions'!$T$99</x:f>
        <x:v>65457.05133414053</x:v>
      </x:c>
      <x:c r="L2381" s="10" t="n">
        <x:f>K2381*'Assumptions'!$U$99</x:f>
        <x:v>1963.7115400242158</x:v>
      </x:c>
      <x:c r="M2381" s="10" t="n">
        <x:f>K2381*'Assumptions'!$V$99</x:f>
        <x:v>0</x:v>
      </x:c>
      <x:c r="N2381" s="10" t="n">
        <x:f>K2381-L2381-M2381</x:f>
        <x:v>63493.33979411631</x:v>
      </x:c>
      <x:c r="O2381" s="10" t="n">
        <x:f>H2381*'Assumptions'!$P$99*'Assumptions'!$Q$99*'Assumptions'!$D$11*(1+'Assumptions'!$D$13)^(19-1)</x:f>
        <x:v>4551.349480183455</x:v>
      </x:c>
      <x:c r="P2381" s="10" t="n">
        <x:f>H2381*'Assumptions'!$R$99*'Assumptions'!$D$11*(1+'Assumptions'!$D$13)^(19-1)</x:f>
        <x:v>0</x:v>
      </x:c>
      <x:c r="Q2381" s="10" t="n">
        <x:f>J2381*'Assumptions'!$S$99</x:f>
        <x:v>42547.08336719135</x:v>
      </x:c>
      <x:c r="R2381" s="10" t="n">
        <x:f>H2381*'Assumptions'!$Y$99*'Assumptions'!$Z$99*'Assumptions'!$D$11*(1+'Assumptions'!$D$13)^(19-1)</x:f>
        <x:v>7802.313394600209</x:v>
      </x:c>
      <x:c r="S2381" s="10" t="n">
        <x:f>IF(I2381=0,0,J2381*'Assumptions'!$W$99+H2381*'Assumptions'!$X$99)</x:f>
        <x:v>2127.406329436098</x:v>
      </x:c>
      <x:c r="T2381" s="10" t="n">
        <x:f>N2381*'Assumptions'!$AA$99</x:f>
        <x:v>2539.7335917646524</x:v>
      </x:c>
      <x:c r="U2381" s="10" t="n">
        <x:f>'Assumptions'!$AE$99*'Assumptions'!$D$11*(1+'Assumptions'!$D$13)^(19-1)</x:f>
        <x:v>0</x:v>
      </x:c>
      <x:c r="V2381" s="10" t="n">
        <x:f>0</x:f>
        <x:v>0</x:v>
      </x:c>
      <x:c r="W2381" s="10" t="n">
        <x:f>H2381*('Assumptions'!$P$99+'Assumptions'!$Y$99)</x:f>
        <x:v>229.15184074602269</x:v>
      </x:c>
      <x:c r="X2381" s="10" t="n">
        <x:f>N2381/12*'Assumptions'!$AF$99</x:f>
        <x:v>0</x:v>
      </x:c>
      <x:c r="Y2381" s="10" t="n">
        <x:f>P2381/12</x:f>
        <x:v>0</x:v>
      </x:c>
      <x:c r="Z2381" s="10" t="n">
        <x:f>0</x:f>
        <x:v>0</x:v>
      </x:c>
      <x:c r="AA2381" s="10" t="n">
        <x:f>Z2381*'Assumptions'!$AC$99*'Assumptions'!$D$11*(1+'Assumptions'!$D$13)^(19-1)</x:f>
        <x:v>0</x:v>
      </x:c>
      <x:c r="AB2381" s="10" t="n">
        <x:f>F2381/1</x:f>
        <x:v>318.8998967270931</x:v>
      </x:c>
      <x:c r="AC2381" s="10" t="n">
        <x:f>AB2381/'Assumptions'!$AM$99</x:f>
        <x:v>2125.999311513954</x:v>
      </x:c>
      <x:c r="AD2381" s="10" t="n">
        <x:f>IF(AB2381=0,0,T2381/AB2381)</x:f>
        <x:v>7.964046454170211</x:v>
      </x:c>
      <x:c r="AE2381" s="10" t="n">
        <x:f>AA2381*'Assumptions'!$D$21</x:f>
        <x:v>0</x:v>
      </x:c>
    </x:row>
    <x:row r="2382" ht="16" customHeight="1">
      <x:c r="A2382" s="1"/>
      <x:c r="B2382" s="1"/>
      <x:c r="C2382" s="1" t="str">
        <x:v>DOT-071</x:v>
      </x:c>
      <x:c r="D2382" s="10" t="str">
        <x:v>S’otality Personal Chef</x:v>
      </x:c>
      <x:c r="E2382" s="10" t="n">
        <x:v>19</x:v>
      </x:c>
      <x:c r="F2382" s="21" t="n">
        <x:f>F2254*(1+'Assumptions'!$M$100)</x:f>
        <x:v>53.149982787848884</x:v>
      </x:c>
      <x:c r="G2382" s="21" t="n">
        <x:f>H2254*'Assumptions'!$K$100</x:f>
        <x:v>74.15507200503596</x:v>
      </x:c>
      <x:c r="H2382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2382+G2382,NA())</x:f>
        <x:v>127.30505479288485</x:v>
      </x:c>
      <x:c r="I2382" s="22" t="n">
        <x:f>'Assumptions'!$H$100*IF('Assumptions'!$O$100=1,1,'Assumptions'!$D$10)*(1+'Assumptions'!$N$100)^(19-1)</x:f>
        <x:v>928.3600609245777</x:v>
      </x:c>
      <x:c r="J2382" s="10" t="n">
        <x:f>H2382*I2382</x:f>
        <x:v>118184.92842352929</x:v>
      </x:c>
      <x:c r="K2382" s="10" t="n">
        <x:f>J2382*'Assumptions'!$T$100</x:f>
        <x:v>118184.92842352929</x:v>
      </x:c>
      <x:c r="L2382" s="10" t="n">
        <x:f>K2382*'Assumptions'!$U$100</x:f>
        <x:v>3545.5478527058785</x:v>
      </x:c>
      <x:c r="M2382" s="10" t="n">
        <x:f>K2382*'Assumptions'!$V$100</x:f>
        <x:v>0</x:v>
      </x:c>
      <x:c r="N2382" s="10" t="n">
        <x:f>K2382-L2382-M2382</x:f>
        <x:v>114639.38057082341</x:v>
      </x:c>
      <x:c r="O2382" s="10" t="n">
        <x:f>H2382*'Assumptions'!$P$100*'Assumptions'!$Q$100*'Assumptions'!$D$11*(1+'Assumptions'!$D$13)^(19-1)</x:f>
        <x:v>4334.566682847295</x:v>
      </x:c>
      <x:c r="P2382" s="10" t="n">
        <x:f>H2382*'Assumptions'!$R$100*'Assumptions'!$D$11*(1+'Assumptions'!$D$13)^(19-1)</x:f>
        <x:v>21672.833414236473</x:v>
      </x:c>
      <x:c r="Q2382" s="10" t="n">
        <x:f>J2382*'Assumptions'!$S$100</x:f>
        <x:v>59092.46421176464</x:v>
      </x:c>
      <x:c r="R2382" s="10" t="n">
        <x:f>H2382*'Assumptions'!$Y$100*'Assumptions'!$Z$100*'Assumptions'!$D$11*(1+'Assumptions'!$D$13)^(19-1)</x:f>
        <x:v>1300.3700048541884</x:v>
      </x:c>
      <x:c r="S2382" s="10" t="n">
        <x:f>IF(I2382=0,0,J2382*'Assumptions'!$W$100+H2382*'Assumptions'!$X$100)</x:f>
        <x:v>3465.554440720215</x:v>
      </x:c>
      <x:c r="T2382" s="10" t="n">
        <x:f>N2382*'Assumptions'!$AA$100</x:f>
        <x:v>4585.575222832937</x:v>
      </x:c>
      <x:c r="U2382" s="10" t="n">
        <x:f>'Assumptions'!$AE$100*'Assumptions'!$D$11*(1+'Assumptions'!$D$13)^(19-1)</x:f>
        <x:v>0</x:v>
      </x:c>
      <x:c r="V2382" s="10" t="n">
        <x:f>0</x:f>
        <x:v>0</x:v>
      </x:c>
      <x:c r="W2382" s="10" t="n">
        <x:f>H2382*('Assumptions'!$P$100+'Assumptions'!$Y$100)</x:f>
        <x:v>89.11353835501939</x:v>
      </x:c>
      <x:c r="X2382" s="10" t="n">
        <x:f>N2382/12*'Assumptions'!$AF$100</x:f>
        <x:v>0</x:v>
      </x:c>
      <x:c r="Y2382" s="10" t="n">
        <x:f>P2382/12</x:f>
        <x:v>1806.0694511863728</x:v>
      </x:c>
      <x:c r="Z2382" s="10" t="n">
        <x:f>0</x:f>
        <x:v>0</x:v>
      </x:c>
      <x:c r="AA2382" s="10" t="n">
        <x:f>Z2382*'Assumptions'!$AC$100*'Assumptions'!$D$11*(1+'Assumptions'!$D$13)^(19-1)</x:f>
        <x:v>0</x:v>
      </x:c>
      <x:c r="AB2382" s="10" t="n">
        <x:f>F2382/1</x:f>
        <x:v>53.149982787848884</x:v>
      </x:c>
      <x:c r="AC2382" s="10" t="n">
        <x:f>AB2382/'Assumptions'!$AM$100</x:f>
        <x:v>354.33321858565927</x:v>
      </x:c>
      <x:c r="AD2382" s="10" t="n">
        <x:f>IF(AB2382=0,0,T2382/AB2382)</x:f>
        <x:v>86.27613749446571</x:v>
      </x:c>
      <x:c r="AE2382" s="10" t="n">
        <x:f>AA2382*'Assumptions'!$D$21</x:f>
        <x:v>0</x:v>
      </x:c>
    </x:row>
    <x:row r="2383" ht="16" customHeight="1">
      <x:c r="A2383" s="1"/>
      <x:c r="B2383" s="1"/>
      <x:c r="C2383" s="1" t="str">
        <x:v>DOT-072</x:v>
      </x:c>
      <x:c r="D2383" s="10" t="str">
        <x:v>S’otality interiors</x:v>
      </x:c>
      <x:c r="E2383" s="10" t="n">
        <x:v>19</x:v>
      </x:c>
      <x:c r="F2383" s="21" t="n">
        <x:f>F2255*(1+'Assumptions'!$M$101)</x:f>
        <x:v>19.93124354544332</x:v>
      </x:c>
      <x:c r="G2383" s="21" t="n">
        <x:f>H2255*'Assumptions'!$K$101</x:f>
        <x:v>18.802959985901072</x:v>
      </x:c>
      <x:c r="H2383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2383+G2383,NA())</x:f>
        <x:v>38.73420353134439</x:v>
      </x:c>
      <x:c r="I2383" s="22" t="n">
        <x:f>'Assumptions'!$H$101*IF('Assumptions'!$O$101=1,1,'Assumptions'!$D$10)*(1+'Assumptions'!$N$101)^(19-1)</x:f>
        <x:v>2142.36937136441</x:v>
      </x:c>
      <x:c r="J2383" s="10" t="n">
        <x:f>H2383*I2383</x:f>
        <x:v>82982.9712697474</x:v>
      </x:c>
      <x:c r="K2383" s="10" t="n">
        <x:f>J2383*'Assumptions'!$T$101</x:f>
        <x:v>82982.9712697474</x:v>
      </x:c>
      <x:c r="L2383" s="10" t="n">
        <x:f>K2383*'Assumptions'!$U$101</x:f>
        <x:v>2489.489138092422</x:v>
      </x:c>
      <x:c r="M2383" s="10" t="n">
        <x:f>K2383*'Assumptions'!$V$101</x:f>
        <x:v>0</x:v>
      </x:c>
      <x:c r="N2383" s="10" t="n">
        <x:f>K2383-L2383-M2383</x:f>
        <x:v>80493.48213165498</x:v>
      </x:c>
      <x:c r="O2383" s="10" t="n">
        <x:f>H2383*'Assumptions'!$P$101*'Assumptions'!$Q$101*'Assumptions'!$D$11*(1+'Assumptions'!$D$13)^(19-1)</x:f>
        <x:v>36268.31378090588</x:v>
      </x:c>
      <x:c r="P2383" s="10" t="n">
        <x:f>H2383*'Assumptions'!$R$101*'Assumptions'!$D$11*(1+'Assumptions'!$D$13)^(19-1)</x:f>
        <x:v>3297.1194346278075</x:v>
      </x:c>
      <x:c r="Q2383" s="10" t="n">
        <x:f>J2383*'Assumptions'!$S$101</x:f>
        <x:v>0</x:v>
      </x:c>
      <x:c r="R2383" s="10" t="n">
        <x:f>H2383*'Assumptions'!$Y$101*'Assumptions'!$Z$101*'Assumptions'!$D$11*(1+'Assumptions'!$D$13)^(19-1)</x:f>
        <x:v>494.5679151941711</x:v>
      </x:c>
      <x:c r="S2383" s="10" t="n">
        <x:f>IF(I2383=0,0,J2383*'Assumptions'!$W$101+H2383*'Assumptions'!$X$101)</x:f>
        <x:v>2418.126427882078</x:v>
      </x:c>
      <x:c r="T2383" s="10" t="n">
        <x:f>N2383*'Assumptions'!$AA$101</x:f>
        <x:v>3219.739285266199</x:v>
      </x:c>
      <x:c r="U2383" s="10" t="n">
        <x:f>'Assumptions'!$AE$101*'Assumptions'!$D$11*(1+'Assumptions'!$D$13)^(19-1)</x:f>
        <x:v>0</x:v>
      </x:c>
      <x:c r="V2383" s="10" t="n">
        <x:f>0</x:f>
        <x:v>0</x:v>
      </x:c>
      <x:c r="W2383" s="10" t="n">
        <x:f>H2383*('Assumptions'!$P$101+'Assumptions'!$Y$101)</x:f>
        <x:v>397.02558619628</x:v>
      </x:c>
      <x:c r="X2383" s="10" t="n">
        <x:f>N2383/12*'Assumptions'!$AF$101</x:f>
        <x:v>6707.790177637915</x:v>
      </x:c>
      <x:c r="Y2383" s="10" t="n">
        <x:f>P2383/12</x:f>
        <x:v>274.75995288565065</x:v>
      </x:c>
      <x:c r="Z2383" s="10" t="n">
        <x:f>0</x:f>
        <x:v>0</x:v>
      </x:c>
      <x:c r="AA2383" s="10" t="n">
        <x:f>Z2383*'Assumptions'!$AC$101*'Assumptions'!$D$11*(1+'Assumptions'!$D$13)^(19-1)</x:f>
        <x:v>0</x:v>
      </x:c>
      <x:c r="AB2383" s="10" t="n">
        <x:f>F2383/1</x:f>
        <x:v>19.93124354544332</x:v>
      </x:c>
      <x:c r="AC2383" s="10" t="n">
        <x:f>AB2383/'Assumptions'!$AM$101</x:f>
        <x:v>99.65621772721659</x:v>
      </x:c>
      <x:c r="AD2383" s="10" t="n">
        <x:f>IF(AB2383=0,0,T2383/AB2383)</x:f>
        <x:v>161.54231811603626</x:v>
      </x:c>
      <x:c r="AE2383" s="10" t="n">
        <x:f>AA2383*'Assumptions'!$D$21</x:f>
        <x:v>0</x:v>
      </x:c>
    </x:row>
    <x:row r="2384" ht="16" customHeight="1">
      <x:c r="A2384" s="1"/>
      <x:c r="B2384" s="1"/>
      <x:c r="C2384" s="1" t="str">
        <x:v>DOT-073</x:v>
      </x:c>
      <x:c r="D2384" s="10" t="str">
        <x:v>S’otality interiors</x:v>
      </x:c>
      <x:c r="E2384" s="10" t="n">
        <x:v>19</x:v>
      </x:c>
      <x:c r="F2384" s="21" t="n">
        <x:f>F2256*(1+'Assumptions'!$M$102)</x:f>
        <x:v>53.149982787848884</x:v>
      </x:c>
      <x:c r="G2384" s="21" t="n">
        <x:f>H2256*'Assumptions'!$K$102</x:f>
        <x:v>74.15659540438598</x:v>
      </x:c>
      <x:c r="H2384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2384+G2384,NA())</x:f>
        <x:v>127.30657819223487</x:v>
      </x:c>
      <x:c r="I2384" s="22" t="n">
        <x:f>'Assumptions'!$H$102*IF('Assumptions'!$O$102=1,1,'Assumptions'!$D$10)*(1+'Assumptions'!$N$102)^(19-1)</x:f>
        <x:v>428.47387427288203</x:v>
      </x:c>
      <x:c r="J2384" s="10" t="n">
        <x:f>H2384*I2384</x:f>
        <x:v>54547.542778450465</x:v>
      </x:c>
      <x:c r="K2384" s="10" t="n">
        <x:f>J2384*'Assumptions'!$T$102</x:f>
        <x:v>54547.542778450465</x:v>
      </x:c>
      <x:c r="L2384" s="10" t="n">
        <x:f>K2384*'Assumptions'!$U$102</x:f>
        <x:v>1636.4262833535138</x:v>
      </x:c>
      <x:c r="M2384" s="10" t="n">
        <x:f>K2384*'Assumptions'!$V$102</x:f>
        <x:v>0</x:v>
      </x:c>
      <x:c r="N2384" s="10" t="n">
        <x:f>K2384-L2384-M2384</x:f>
        <x:v>52911.116495096954</x:v>
      </x:c>
      <x:c r="O2384" s="10" t="n">
        <x:f>H2384*'Assumptions'!$P$102*'Assumptions'!$Q$102*'Assumptions'!$D$11*(1+'Assumptions'!$D$13)^(19-1)</x:f>
        <x:v>1896.395616743107</x:v>
      </x:c>
      <x:c r="P2384" s="10" t="n">
        <x:f>H2384*'Assumptions'!$R$102*'Assumptions'!$D$11*(1+'Assumptions'!$D$13)^(19-1)</x:f>
        <x:v>0</x:v>
      </x:c>
      <x:c r="Q2384" s="10" t="n">
        <x:f>J2384*'Assumptions'!$S$102</x:f>
        <x:v>32728.525667070277</x:v>
      </x:c>
      <x:c r="R2384" s="10" t="n">
        <x:f>H2384*'Assumptions'!$Y$102*'Assumptions'!$Z$102*'Assumptions'!$D$11*(1+'Assumptions'!$D$13)^(19-1)</x:f>
        <x:v>1300.3855657667023</x:v>
      </x:c>
      <x:c r="S2384" s="10" t="n">
        <x:f>IF(I2384=0,0,J2384*'Assumptions'!$W$102+H2384*'Assumptions'!$X$102)</x:f>
        <x:v>1620.070714032734</x:v>
      </x:c>
      <x:c r="T2384" s="10" t="n">
        <x:f>N2384*'Assumptions'!$AA$102</x:f>
        <x:v>2116.444659803878</x:v>
      </x:c>
      <x:c r="U2384" s="10" t="n">
        <x:f>'Assumptions'!$AE$102*'Assumptions'!$D$11*(1+'Assumptions'!$D$13)^(19-1)</x:f>
        <x:v>0</x:v>
      </x:c>
      <x:c r="V2384" s="10" t="n">
        <x:f>0</x:f>
        <x:v>0</x:v>
      </x:c>
      <x:c r="W2384" s="10" t="n">
        <x:f>H2384*('Assumptions'!$P$102+'Assumptions'!$Y$102)</x:f>
        <x:v>57.28796018650569</x:v>
      </x:c>
      <x:c r="X2384" s="10" t="n">
        <x:f>N2384/12*'Assumptions'!$AF$102</x:f>
        <x:v>0</x:v>
      </x:c>
      <x:c r="Y2384" s="10" t="n">
        <x:f>P2384/12</x:f>
        <x:v>0</x:v>
      </x:c>
      <x:c r="Z2384" s="10" t="n">
        <x:f>0</x:f>
        <x:v>0</x:v>
      </x:c>
      <x:c r="AA2384" s="10" t="n">
        <x:f>Z2384*'Assumptions'!$AC$102*'Assumptions'!$D$11*(1+'Assumptions'!$D$13)^(19-1)</x:f>
        <x:v>0</x:v>
      </x:c>
      <x:c r="AB2384" s="10" t="n">
        <x:f>F2384/1</x:f>
        <x:v>53.149982787848884</x:v>
      </x:c>
      <x:c r="AC2384" s="10" t="n">
        <x:f>AB2384/'Assumptions'!$AM$102</x:f>
        <x:v>354.33321858565927</x:v>
      </x:c>
      <x:c r="AD2384" s="10" t="n">
        <x:f>IF(AB2384=0,0,T2384/AB2384)</x:f>
        <x:v>39.82023227085105</x:v>
      </x:c>
      <x:c r="AE2384" s="10" t="n">
        <x:f>AA2384*'Assumptions'!$D$21</x:f>
        <x:v>0</x:v>
      </x:c>
    </x:row>
    <x:row r="2385" ht="16" customHeight="1">
      <x:c r="A2385" s="1"/>
      <x:c r="B2385" s="1"/>
      <x:c r="C2385" s="1" t="str">
        <x:v>DOT-074</x:v>
      </x:c>
      <x:c r="D2385" s="10" t="str">
        <x:v>S’otality interiors</x:v>
      </x:c>
      <x:c r="E2385" s="10" t="n">
        <x:v>19</x:v>
      </x:c>
      <x:c r="F2385" s="21" t="n">
        <x:f>F2257*(1+'Assumptions'!$M$103)</x:f>
        <x:v>22.582843584908833</x:v>
      </x:c>
      <x:c r="G2385" s="21" t="n">
        <x:f>H2257*'Assumptions'!$K$103</x:f>
        <x:v>47.831145387587696</x:v>
      </x:c>
      <x:c r="H2385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2385+G2385,NA())</x:f>
        <x:v>70.41398897249653</x:v>
      </x:c>
      <x:c r="I2385" s="22" t="n">
        <x:f>'Assumptions'!$H$103*IF('Assumptions'!$O$103=1,1,'Assumptions'!$D$10)*(1+'Assumptions'!$N$103)^(19-1)</x:f>
        <x:v>2142.36937136441</x:v>
      </x:c>
      <x:c r="J2385" s="10" t="n">
        <x:f>H2385*I2385</x:f>
        <x:v>150852.77329026788</x:v>
      </x:c>
      <x:c r="K2385" s="10" t="n">
        <x:f>J2385*'Assumptions'!$T$103</x:f>
        <x:v>15085.277329026789</x:v>
      </x:c>
      <x:c r="L2385" s="10" t="n">
        <x:f>K2385*'Assumptions'!$U$103</x:f>
        <x:v>452.55831987080364</x:v>
      </x:c>
      <x:c r="M2385" s="10" t="n">
        <x:f>K2385*'Assumptions'!$V$103</x:f>
        <x:v>0</x:v>
      </x:c>
      <x:c r="N2385" s="10" t="n">
        <x:f>K2385-L2385-M2385</x:f>
        <x:v>14632.719009155986</x:v>
      </x:c>
      <x:c r="O2385" s="10" t="n">
        <x:f>H2385*'Assumptions'!$P$103*'Assumptions'!$Q$103*'Assumptions'!$D$11*(1+'Assumptions'!$D$13)^(19-1)</x:f>
        <x:v>4795.004112022406</x:v>
      </x:c>
      <x:c r="P2385" s="10" t="n">
        <x:f>H2385*'Assumptions'!$R$103*'Assumptions'!$D$11*(1+'Assumptions'!$D$13)^(19-1)</x:f>
        <x:v>0</x:v>
      </x:c>
      <x:c r="Q2385" s="10" t="n">
        <x:f>J2385*'Assumptions'!$S$103</x:f>
        <x:v>0</x:v>
      </x:c>
      <x:c r="R2385" s="10" t="n">
        <x:f>H2385*'Assumptions'!$Y$103*'Assumptions'!$Z$103*'Assumptions'!$D$11*(1+'Assumptions'!$D$13)^(19-1)</x:f>
        <x:v>539.4379626025205</x:v>
      </x:c>
      <x:c r="S2385" s="10" t="n">
        <x:f>IF(I2385=0,0,J2385*'Assumptions'!$W$103+H2385*'Assumptions'!$X$103)</x:f>
        <x:v>4395.854622109518</x:v>
      </x:c>
      <x:c r="T2385" s="10" t="n">
        <x:f>N2385*'Assumptions'!$AA$103</x:f>
        <x:v>731.6359504577994</x:v>
      </x:c>
      <x:c r="U2385" s="10" t="n">
        <x:f>'Assumptions'!$AE$103*'Assumptions'!$D$11*(1+'Assumptions'!$D$13)^(19-1)</x:f>
        <x:v>0</x:v>
      </x:c>
      <x:c r="V2385" s="10" t="n">
        <x:f>0</x:f>
        <x:v>0</x:v>
      </x:c>
      <x:c r="W2385" s="10" t="n">
        <x:f>H2385*('Assumptions'!$P$103+'Assumptions'!$Y$103)</x:f>
        <x:v>80.976087318371</x:v>
      </x:c>
      <x:c r="X2385" s="10" t="n">
        <x:f>N2385/12*'Assumptions'!$AF$103</x:f>
        <x:v>0</x:v>
      </x:c>
      <x:c r="Y2385" s="10" t="n">
        <x:f>P2385/12</x:f>
        <x:v>0</x:v>
      </x:c>
      <x:c r="Z2385" s="10" t="n">
        <x:f>0</x:f>
        <x:v>0</x:v>
      </x:c>
      <x:c r="AA2385" s="10" t="n">
        <x:f>Z2385*'Assumptions'!$AC$103*'Assumptions'!$D$11*(1+'Assumptions'!$D$13)^(19-1)</x:f>
        <x:v>0</x:v>
      </x:c>
      <x:c r="AB2385" s="10" t="n">
        <x:f>F2385/1</x:f>
        <x:v>22.582843584908833</x:v>
      </x:c>
      <x:c r="AC2385" s="10" t="n">
        <x:f>AB2385/'Assumptions'!$AM$103</x:f>
        <x:v>451.65687169817664</x:v>
      </x:c>
      <x:c r="AD2385" s="10" t="n">
        <x:f>IF(AB2385=0,0,T2385/AB2385)</x:f>
        <x:v>32.39786644701914</x:v>
      </x:c>
      <x:c r="AE2385" s="10" t="n">
        <x:f>AA2385*'Assumptions'!$D$21</x:f>
        <x:v>0</x:v>
      </x:c>
    </x:row>
    <x:row r="2386" ht="16" customHeight="1">
      <x:c r="A2386" s="1"/>
      <x:c r="B2386" s="1"/>
      <x:c r="C2386" s="1" t="str">
        <x:v>DOT-075</x:v>
      </x:c>
      <x:c r="D2386" s="10" t="str">
        <x:v>S’otality concierge</x:v>
      </x:c>
      <x:c r="E2386" s="10" t="n">
        <x:v>19</x:v>
      </x:c>
      <x:c r="F2386" s="21" t="n">
        <x:f>F2258*(1+'Assumptions'!$M$104)</x:f>
        <x:v>265.7499139392444</x:v>
      </x:c>
      <x:c r="G2386" s="21" t="n">
        <x:f>H2258*'Assumptions'!$K$104</x:f>
        <x:v>250.7061331453477</x:v>
      </x:c>
      <x:c r="H2386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2386+G2386,NA())</x:f>
        <x:v>516.4560470845921</x:v>
      </x:c>
      <x:c r="I2386" s="22" t="n">
        <x:f>'Assumptions'!$H$104*IF('Assumptions'!$O$104=1,1,'Assumptions'!$D$10)*(1+'Assumptions'!$N$104)^(19-1)</x:f>
        <x:v>107.11846856822051</x:v>
      </x:c>
      <x:c r="J2386" s="10" t="n">
        <x:f>H2386*I2386</x:f>
        <x:v>55321.98084649829</x:v>
      </x:c>
      <x:c r="K2386" s="10" t="n">
        <x:f>J2386*'Assumptions'!$T$104</x:f>
        <x:v>55321.98084649829</x:v>
      </x:c>
      <x:c r="L2386" s="10" t="n">
        <x:f>K2386*'Assumptions'!$U$104</x:f>
        <x:v>1659.6594253949488</x:v>
      </x:c>
      <x:c r="M2386" s="10" t="n">
        <x:f>K2386*'Assumptions'!$V$104</x:f>
        <x:v>0</x:v>
      </x:c>
      <x:c r="N2386" s="10" t="n">
        <x:f>K2386-L2386-M2386</x:f>
        <x:v>53662.32142110334</x:v>
      </x:c>
      <x:c r="O2386" s="10" t="n">
        <x:f>H2386*'Assumptions'!$P$104*'Assumptions'!$Q$104*'Assumptions'!$D$11*(1+'Assumptions'!$D$13)^(19-1)</x:f>
        <x:v>23079.836042394665</x:v>
      </x:c>
      <x:c r="P2386" s="10" t="n">
        <x:f>H2386*'Assumptions'!$R$104*'Assumptions'!$D$11*(1+'Assumptions'!$D$13)^(19-1)</x:f>
        <x:v>0</x:v>
      </x:c>
      <x:c r="Q2386" s="10" t="n">
        <x:f>J2386*'Assumptions'!$S$104</x:f>
        <x:v>0</x:v>
      </x:c>
      <x:c r="R2386" s="10" t="n">
        <x:f>H2386*'Assumptions'!$Y$104*'Assumptions'!$Z$104*'Assumptions'!$D$11*(1+'Assumptions'!$D$13)^(19-1)</x:f>
        <x:v>6594.238869255619</x:v>
      </x:c>
      <x:c r="S2386" s="10" t="n">
        <x:f>IF(I2386=0,0,J2386*'Assumptions'!$W$104+H2386*'Assumptions'!$X$104)</x:f>
        <x:v>1759.2742586738282</x:v>
      </x:c>
      <x:c r="T2386" s="10" t="n">
        <x:f>N2386*'Assumptions'!$AA$104</x:f>
        <x:v>2146.4928568441337</x:v>
      </x:c>
      <x:c r="U2386" s="10" t="n">
        <x:f>'Assumptions'!$AE$104*'Assumptions'!$D$11*(1+'Assumptions'!$D$13)^(19-1)</x:f>
        <x:v>0</x:v>
      </x:c>
      <x:c r="V2386" s="10" t="n">
        <x:f>0</x:f>
        <x:v>0</x:v>
      </x:c>
      <x:c r="W2386" s="10" t="n">
        <x:f>H2386*('Assumptions'!$P$104+'Assumptions'!$Y$104)</x:f>
        <x:v>516.4560470845921</x:v>
      </x:c>
      <x:c r="X2386" s="10" t="n">
        <x:f>N2386/12*'Assumptions'!$AF$104</x:f>
        <x:v>4471.860118425278</x:v>
      </x:c>
      <x:c r="Y2386" s="10" t="n">
        <x:f>P2386/12</x:f>
        <x:v>0</x:v>
      </x:c>
      <x:c r="Z2386" s="10" t="n">
        <x:f>0</x:f>
        <x:v>0</x:v>
      </x:c>
      <x:c r="AA2386" s="10" t="n">
        <x:f>Z2386*'Assumptions'!$AC$104*'Assumptions'!$D$11*(1+'Assumptions'!$D$13)^(19-1)</x:f>
        <x:v>0</x:v>
      </x:c>
      <x:c r="AB2386" s="10" t="n">
        <x:f>F2386/1</x:f>
        <x:v>265.7499139392444</x:v>
      </x:c>
      <x:c r="AC2386" s="10" t="n">
        <x:f>AB2386/'Assumptions'!$AM$104</x:f>
        <x:v>1328.749569696222</x:v>
      </x:c>
      <x:c r="AD2386" s="10" t="n">
        <x:f>IF(AB2386=0,0,T2386/AB2386)</x:f>
        <x:v>8.077115905801813</x:v>
      </x:c>
      <x:c r="AE2386" s="10" t="n">
        <x:f>AA2386*'Assumptions'!$D$21</x:f>
        <x:v>0</x:v>
      </x:c>
    </x:row>
    <x:row r="2387" ht="16" customHeight="1">
      <x:c r="A2387" s="1"/>
      <x:c r="B2387" s="1"/>
      <x:c r="C2387" s="1" t="str">
        <x:v>DOT-076</x:v>
      </x:c>
      <x:c r="D2387" s="10" t="str">
        <x:v>S’otality administration</x:v>
      </x:c>
      <x:c r="E2387" s="10" t="n">
        <x:v>19</x:v>
      </x:c>
      <x:c r="F2387" s="21" t="n">
        <x:f>F2259*(1+'Assumptions'!$M$105)</x:f>
        <x:v>531.4998278784888</x:v>
      </x:c>
      <x:c r="G2387" s="21" t="n">
        <x:f>H2259*'Assumptions'!$K$105</x:f>
        <x:v>501.4122662906954</x:v>
      </x:c>
      <x:c r="H2387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2387+G2387,NA())</x:f>
        <x:v>1032.9120941691842</x:v>
      </x:c>
      <x:c r="I2387" s="22" t="n">
        <x:f>'Assumptions'!$H$105*IF('Assumptions'!$O$105=1,1,'Assumptions'!$D$10)*(1+'Assumptions'!$N$105)^(19-1)</x:f>
        <x:v>85.69477485457641</x:v>
      </x:c>
      <x:c r="J2387" s="10" t="n">
        <x:f>H2387*I2387</x:f>
        <x:v>88515.16935439727</x:v>
      </x:c>
      <x:c r="K2387" s="10" t="n">
        <x:f>J2387*'Assumptions'!$T$105</x:f>
        <x:v>88515.16935439727</x:v>
      </x:c>
      <x:c r="L2387" s="10" t="n">
        <x:f>K2387*'Assumptions'!$U$105</x:f>
        <x:v>2655.455080631918</x:v>
      </x:c>
      <x:c r="M2387" s="10" t="n">
        <x:f>K2387*'Assumptions'!$V$105</x:f>
        <x:v>0</x:v>
      </x:c>
      <x:c r="N2387" s="10" t="n">
        <x:f>K2387-L2387-M2387</x:f>
        <x:v>85859.71427376535</x:v>
      </x:c>
      <x:c r="O2387" s="10" t="n">
        <x:f>H2387*'Assumptions'!$P$105*'Assumptions'!$Q$105*'Assumptions'!$D$11*(1+'Assumptions'!$D$13)^(19-1)</x:f>
        <x:v>52753.91095404495</x:v>
      </x:c>
      <x:c r="P2387" s="10" t="n">
        <x:f>H2387*'Assumptions'!$R$105*'Assumptions'!$D$11*(1+'Assumptions'!$D$13)^(19-1)</x:f>
        <x:v>0</x:v>
      </x:c>
      <x:c r="Q2387" s="10" t="n">
        <x:f>J2387*'Assumptions'!$S$105</x:f>
        <x:v>0</x:v>
      </x:c>
      <x:c r="R2387" s="10" t="n">
        <x:f>H2387*'Assumptions'!$Y$105*'Assumptions'!$Z$105*'Assumptions'!$D$11*(1+'Assumptions'!$D$13)^(19-1)</x:f>
        <x:v>13188.477738511237</x:v>
      </x:c>
      <x:c r="S2387" s="10" t="n">
        <x:f>IF(I2387=0,0,J2387*'Assumptions'!$W$105+H2387*'Assumptions'!$X$105)</x:f>
        <x:v>2876.813539528276</x:v>
      </x:c>
      <x:c r="T2387" s="10" t="n">
        <x:f>N2387*'Assumptions'!$AA$105</x:f>
        <x:v>3434.388570950614</x:v>
      </x:c>
      <x:c r="U2387" s="10" t="n">
        <x:f>'Assumptions'!$AE$105*'Assumptions'!$D$11*(1+'Assumptions'!$D$13)^(19-1)</x:f>
        <x:v>0</x:v>
      </x:c>
      <x:c r="V2387" s="10" t="n">
        <x:f>0</x:f>
        <x:v>0</x:v>
      </x:c>
      <x:c r="W2387" s="10" t="n">
        <x:f>H2387*('Assumptions'!$P$105+'Assumptions'!$Y$105)</x:f>
        <x:v>1291.1401177114803</x:v>
      </x:c>
      <x:c r="X2387" s="10" t="n">
        <x:f>N2387/12*'Assumptions'!$AF$105</x:f>
        <x:v>7154.976189480446</x:v>
      </x:c>
      <x:c r="Y2387" s="10" t="n">
        <x:f>P2387/12</x:f>
        <x:v>0</x:v>
      </x:c>
      <x:c r="Z2387" s="10" t="n">
        <x:f>0</x:f>
        <x:v>0</x:v>
      </x:c>
      <x:c r="AA2387" s="10" t="n">
        <x:f>Z2387*'Assumptions'!$AC$105*'Assumptions'!$D$11*(1+'Assumptions'!$D$13)^(19-1)</x:f>
        <x:v>0</x:v>
      </x:c>
      <x:c r="AB2387" s="10" t="n">
        <x:f>F2387/1</x:f>
        <x:v>531.4998278784888</x:v>
      </x:c>
      <x:c r="AC2387" s="10" t="n">
        <x:f>AB2387/'Assumptions'!$AM$105</x:f>
        <x:v>2657.499139392444</x:v>
      </x:c>
      <x:c r="AD2387" s="10" t="n">
        <x:f>IF(AB2387=0,0,T2387/AB2387)</x:f>
        <x:v>6.46169272464145</x:v>
      </x:c>
      <x:c r="AE2387" s="10" t="n">
        <x:f>AA2387*'Assumptions'!$D$21</x:f>
        <x:v>0</x:v>
      </x:c>
    </x:row>
    <x:row r="2388" ht="16" customHeight="1">
      <x:c r="A2388" s="1"/>
      <x:c r="B2388" s="1"/>
      <x:c r="C2388" s="1" t="str">
        <x:v>DOT-077</x:v>
      </x:c>
      <x:c r="D2388" s="10" t="str">
        <x:v>S’otality bike tours</x:v>
      </x:c>
      <x:c r="E2388" s="10" t="n">
        <x:v>19</x:v>
      </x:c>
      <x:c r="F2388" s="21" t="n">
        <x:f>F2260*(1+'Assumptions'!$M$106)</x:f>
        <x:v>212.59993115139554</x:v>
      </x:c>
      <x:c r="G2388" s="21" t="n">
        <x:f>H2260*'Assumptions'!$K$106</x:f>
        <x:v>296.62028802014385</x:v>
      </x:c>
      <x:c r="H2388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2388+G2388,NA())</x:f>
        <x:v>509.2202191715394</x:v>
      </x:c>
      <x:c r="I2388" s="22" t="n">
        <x:f>'Assumptions'!$H$106*IF('Assumptions'!$O$106=1,1,'Assumptions'!$D$10)*(1+'Assumptions'!$N$106)^(19-1)</x:f>
        <x:v>92.83600609245777</x:v>
      </x:c>
      <x:c r="J2388" s="10" t="n">
        <x:f>H2388*I2388</x:f>
        <x:v>47273.97136941171</x:v>
      </x:c>
      <x:c r="K2388" s="10" t="n">
        <x:f>J2388*'Assumptions'!$T$106</x:f>
        <x:v>47273.97136941171</x:v>
      </x:c>
      <x:c r="L2388" s="10" t="n">
        <x:f>K2388*'Assumptions'!$U$106</x:f>
        <x:v>1418.2191410823511</x:v>
      </x:c>
      <x:c r="M2388" s="10" t="n">
        <x:f>K2388*'Assumptions'!$V$106</x:f>
        <x:v>0</x:v>
      </x:c>
      <x:c r="N2388" s="10" t="n">
        <x:f>K2388-L2388-M2388</x:f>
        <x:v>45855.75222832936</x:v>
      </x:c>
      <x:c r="O2388" s="10" t="n">
        <x:f>H2388*'Assumptions'!$P$106*'Assumptions'!$Q$106*'Assumptions'!$D$11*(1+'Assumptions'!$D$13)^(19-1)</x:f>
        <x:v>4551.295016989659</x:v>
      </x:c>
      <x:c r="P2388" s="10" t="n">
        <x:f>H2388*'Assumptions'!$R$106*'Assumptions'!$D$11*(1+'Assumptions'!$D$13)^(19-1)</x:f>
        <x:v>4334.566682847295</x:v>
      </x:c>
      <x:c r="Q2388" s="10" t="n">
        <x:f>J2388*'Assumptions'!$S$106</x:f>
        <x:v>21273.28711623527</x:v>
      </x:c>
      <x:c r="R2388" s="10" t="n">
        <x:f>H2388*'Assumptions'!$Y$106*'Assumptions'!$Z$106*'Assumptions'!$D$11*(1+'Assumptions'!$D$13)^(19-1)</x:f>
        <x:v>5201.480019416754</x:v>
      </x:c>
      <x:c r="S2388" s="10" t="n">
        <x:f>IF(I2388=0,0,J2388*'Assumptions'!$W$106+H2388*'Assumptions'!$X$106)</x:f>
        <x:v>1523.7112354644014</x:v>
      </x:c>
      <x:c r="T2388" s="10" t="n">
        <x:f>N2388*'Assumptions'!$AA$106</x:f>
        <x:v>1834.2300891331743</x:v>
      </x:c>
      <x:c r="U2388" s="10" t="n">
        <x:f>'Assumptions'!$AE$106*'Assumptions'!$D$11*(1+'Assumptions'!$D$13)^(19-1)</x:f>
        <x:v>0</x:v>
      </x:c>
      <x:c r="V2388" s="10" t="n">
        <x:f>0</x:f>
        <x:v>0</x:v>
      </x:c>
      <x:c r="W2388" s="10" t="n">
        <x:f>H2388*('Assumptions'!$P$106+'Assumptions'!$Y$106)</x:f>
        <x:v>178.22707671003877</x:v>
      </x:c>
      <x:c r="X2388" s="10" t="n">
        <x:f>N2388/12*'Assumptions'!$AF$106</x:f>
        <x:v>0</x:v>
      </x:c>
      <x:c r="Y2388" s="10" t="n">
        <x:f>P2388/12</x:f>
        <x:v>361.2138902372746</x:v>
      </x:c>
      <x:c r="Z2388" s="10" t="n">
        <x:f>0</x:f>
        <x:v>0</x:v>
      </x:c>
      <x:c r="AA2388" s="10" t="n">
        <x:f>Z2388*'Assumptions'!$AC$106*'Assumptions'!$D$11*(1+'Assumptions'!$D$13)^(19-1)</x:f>
        <x:v>0</x:v>
      </x:c>
      <x:c r="AB2388" s="10" t="n">
        <x:f>F2388/1</x:f>
        <x:v>212.59993115139554</x:v>
      </x:c>
      <x:c r="AC2388" s="10" t="n">
        <x:f>AB2388/'Assumptions'!$AM$106</x:f>
        <x:v>1417.332874342637</x:v>
      </x:c>
      <x:c r="AD2388" s="10" t="n">
        <x:f>IF(AB2388=0,0,T2388/AB2388)</x:f>
        <x:v>8.627613749446569</x:v>
      </x:c>
      <x:c r="AE2388" s="10" t="n">
        <x:f>AA2388*'Assumptions'!$D$21</x:f>
        <x:v>0</x:v>
      </x:c>
    </x:row>
    <x:row r="2389" ht="16" customHeight="1">
      <x:c r="A2389" s="1"/>
      <x:c r="B2389" s="1"/>
      <x:c r="C2389" s="1" t="str">
        <x:v>DOT-078</x:v>
      </x:c>
      <x:c r="D2389" s="10" t="str">
        <x:v>S’otality editorial</x:v>
      </x:c>
      <x:c r="E2389" s="10" t="n">
        <x:v>19</x:v>
      </x:c>
      <x:c r="F2389" s="21" t="n">
        <x:f>F2261*(1+'Assumptions'!$M$107)</x:f>
        <x:v>17.273744406050888</x:v>
      </x:c>
      <x:c r="G2389" s="21" t="n">
        <x:f>H2261*'Assumptions'!$K$107</x:f>
        <x:v>8.890897595164546</x:v>
      </x:c>
      <x:c r="H2389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2389+G2389,NA())</x:f>
        <x:v>26.164642001215434</x:v>
      </x:c>
      <x:c r="I2389" s="22" t="n">
        <x:f>'Assumptions'!$H$107*IF('Assumptions'!$O$107=1,1,'Assumptions'!$D$10)*(1+'Assumptions'!$N$107)^(19-1)</x:f>
        <x:v>357.06156189406835</x:v>
      </x:c>
      <x:c r="J2389" s="10" t="n">
        <x:f>H2389*I2389</x:f>
        <x:v>9342.387939353124</x:v>
      </x:c>
      <x:c r="K2389" s="10" t="n">
        <x:f>J2389*'Assumptions'!$T$107</x:f>
        <x:v>9342.387939353124</x:v>
      </x:c>
      <x:c r="L2389" s="10" t="n">
        <x:f>K2389*'Assumptions'!$U$107</x:f>
        <x:v>280.2716381805937</x:v>
      </x:c>
      <x:c r="M2389" s="10" t="n">
        <x:f>K2389*'Assumptions'!$V$107</x:f>
        <x:v>0</x:v>
      </x:c>
      <x:c r="N2389" s="10" t="n">
        <x:f>K2389-L2389-M2389</x:f>
        <x:v>9062.116301172531</x:v>
      </x:c>
      <x:c r="O2389" s="10" t="n">
        <x:f>H2389*'Assumptions'!$P$107*'Assumptions'!$Q$107*'Assumptions'!$D$11*(1+'Assumptions'!$D$13)^(19-1)</x:f>
        <x:v>3563.48412627003</x:v>
      </x:c>
      <x:c r="P2389" s="10" t="n">
        <x:f>H2389*'Assumptions'!$R$107*'Assumptions'!$D$11*(1+'Assumptions'!$D$13)^(19-1)</x:f>
        <x:v>0</x:v>
      </x:c>
      <x:c r="Q2389" s="10" t="n">
        <x:f>J2389*'Assumptions'!$S$107</x:f>
        <x:v>0</x:v>
      </x:c>
      <x:c r="R2389" s="10" t="n">
        <x:f>H2389*'Assumptions'!$Y$107*'Assumptions'!$Z$107*'Assumptions'!$D$11*(1+'Assumptions'!$D$13)^(19-1)</x:f>
        <x:v>668.1532736756305</x:v>
      </x:c>
      <x:c r="S2389" s="10" t="n">
        <x:f>IF(I2389=0,0,J2389*'Assumptions'!$W$107+H2389*'Assumptions'!$X$107)</x:f>
        <x:v>278.77864284160523</x:v>
      </x:c>
      <x:c r="T2389" s="10" t="n">
        <x:f>N2389*'Assumptions'!$AA$107</x:f>
        <x:v>724.9693040938025</x:v>
      </x:c>
      <x:c r="U2389" s="10" t="n">
        <x:f>'Assumptions'!$AE$107*'Assumptions'!$D$11*(1+'Assumptions'!$D$13)^(19-1)</x:f>
        <x:v>0</x:v>
      </x:c>
      <x:c r="V2389" s="10" t="n">
        <x:f>0</x:f>
        <x:v>0</x:v>
      </x:c>
      <x:c r="W2389" s="10" t="n">
        <x:f>H2389*('Assumptions'!$P$107+'Assumptions'!$Y$107)</x:f>
        <x:v>65.41160500303859</x:v>
      </x:c>
      <x:c r="X2389" s="10" t="n">
        <x:f>N2389/12*'Assumptions'!$AF$107</x:f>
        <x:v>755.1763584310443</x:v>
      </x:c>
      <x:c r="Y2389" s="10" t="n">
        <x:f>P2389/12</x:f>
        <x:v>0</x:v>
      </x:c>
      <x:c r="Z2389" s="10" t="n">
        <x:f>0</x:f>
        <x:v>0</x:v>
      </x:c>
      <x:c r="AA2389" s="10" t="n">
        <x:f>Z2389*'Assumptions'!$AC$107*'Assumptions'!$D$11*(1+'Assumptions'!$D$13)^(19-1)</x:f>
        <x:v>0</x:v>
      </x:c>
      <x:c r="AB2389" s="10" t="n">
        <x:f>F2389/1</x:f>
        <x:v>17.273744406050888</x:v>
      </x:c>
      <x:c r="AC2389" s="10" t="n">
        <x:f>AB2389/'Assumptions'!$AM$107</x:f>
        <x:v>172.73744406050886</x:v>
      </x:c>
      <x:c r="AD2389" s="10" t="n">
        <x:f>IF(AB2389=0,0,T2389/AB2389)</x:f>
        <x:v>41.96943563897184</x:v>
      </x:c>
      <x:c r="AE2389" s="10" t="n">
        <x:f>AA2389*'Assumptions'!$D$21</x:f>
        <x:v>0</x:v>
      </x:c>
    </x:row>
    <x:row r="2390" ht="16" customHeight="1">
      <x:c r="A2390" s="1"/>
      <x:c r="B2390" s="1"/>
      <x:c r="C2390" s="1" t="str">
        <x:v>DOT-079</x:v>
      </x:c>
      <x:c r="D2390" s="10" t="str">
        <x:v>S’otality editorial</x:v>
      </x:c>
      <x:c r="E2390" s="10" t="n">
        <x:v>19</x:v>
      </x:c>
      <x:c r="F2390" s="21" t="n">
        <x:f>F2262*(1+'Assumptions'!$M$108)</x:f>
        <x:v>5.757914802016962</x:v>
      </x:c>
      <x:c r="G2390" s="21" t="n">
        <x:f>H2262*'Assumptions'!$K$108</x:f>
        <x:v>2.963632531721515</x:v>
      </x:c>
      <x:c r="H2390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2390+G2390,NA())</x:f>
        <x:v>8.721547333738476</x:v>
      </x:c>
      <x:c r="I2390" s="22" t="n">
        <x:f>'Assumptions'!$H$108*IF('Assumptions'!$O$108=1,1,'Assumptions'!$D$10)*(1+'Assumptions'!$N$108)^(19-1)</x:f>
        <x:v>1428.2462475762734</x:v>
      </x:c>
      <x:c r="J2390" s="10" t="n">
        <x:f>H2390*I2390</x:f>
        <x:v>12456.51725247083</x:v>
      </x:c>
      <x:c r="K2390" s="10" t="n">
        <x:f>J2390*'Assumptions'!$T$108</x:f>
        <x:v>12456.51725247083</x:v>
      </x:c>
      <x:c r="L2390" s="10" t="n">
        <x:f>K2390*'Assumptions'!$U$108</x:f>
        <x:v>373.6955175741249</x:v>
      </x:c>
      <x:c r="M2390" s="10" t="n">
        <x:f>K2390*'Assumptions'!$V$108</x:f>
        <x:v>0</x:v>
      </x:c>
      <x:c r="N2390" s="10" t="n">
        <x:f>K2390-L2390-M2390</x:f>
        <x:v>12082.821734896706</x:v>
      </x:c>
      <x:c r="O2390" s="10" t="n">
        <x:f>H2390*'Assumptions'!$P$108*'Assumptions'!$Q$108*'Assumptions'!$D$11*(1+'Assumptions'!$D$13)^(19-1)</x:f>
        <x:v>4751.312168360039</x:v>
      </x:c>
      <x:c r="P2390" s="10" t="n">
        <x:f>H2390*'Assumptions'!$R$108*'Assumptions'!$D$11*(1+'Assumptions'!$D$13)^(19-1)</x:f>
        <x:v>1484.7850526125121</x:v>
      </x:c>
      <x:c r="Q2390" s="10" t="n">
        <x:f>J2390*'Assumptions'!$S$108</x:f>
        <x:v>0</x:v>
      </x:c>
      <x:c r="R2390" s="10" t="n">
        <x:f>H2390*'Assumptions'!$Y$108*'Assumptions'!$Z$108*'Assumptions'!$D$11*(1+'Assumptions'!$D$13)^(19-1)</x:f>
        <x:v>222.71775789187683</x:v>
      </x:c>
      <x:c r="S2390" s="10" t="n">
        <x:f>IF(I2390=0,0,J2390*'Assumptions'!$W$108+H2390*'Assumptions'!$X$108)</x:f>
        <x:v>363.8554645217756</x:v>
      </x:c>
      <x:c r="T2390" s="10" t="n">
        <x:f>N2390*'Assumptions'!$AA$108</x:f>
        <x:v>966.6257387917366</x:v>
      </x:c>
      <x:c r="U2390" s="10" t="n">
        <x:f>'Assumptions'!$AE$108*'Assumptions'!$D$11*(1+'Assumptions'!$D$13)^(19-1)</x:f>
        <x:v>0</x:v>
      </x:c>
      <x:c r="V2390" s="10" t="n">
        <x:f>0</x:f>
        <x:v>0</x:v>
      </x:c>
      <x:c r="W2390" s="10" t="n">
        <x:f>H2390*('Assumptions'!$P$108+'Assumptions'!$Y$108)</x:f>
        <x:v>74.13315233677704</x:v>
      </x:c>
      <x:c r="X2390" s="10" t="n">
        <x:f>N2390/12*'Assumptions'!$AF$108</x:f>
        <x:v>1006.9018112413922</x:v>
      </x:c>
      <x:c r="Y2390" s="10" t="n">
        <x:f>P2390/12</x:f>
        <x:v>123.73208771770935</x:v>
      </x:c>
      <x:c r="Z2390" s="10" t="n">
        <x:f>0</x:f>
        <x:v>0</x:v>
      </x:c>
      <x:c r="AA2390" s="10" t="n">
        <x:f>Z2390*'Assumptions'!$AC$108*'Assumptions'!$D$11*(1+'Assumptions'!$D$13)^(19-1)</x:f>
        <x:v>0</x:v>
      </x:c>
      <x:c r="AB2390" s="10" t="n">
        <x:f>F2390/1</x:f>
        <x:v>5.757914802016962</x:v>
      </x:c>
      <x:c r="AC2390" s="10" t="n">
        <x:f>AB2390/'Assumptions'!$AM$108</x:f>
        <x:v>57.57914802016961</x:v>
      </x:c>
      <x:c r="AD2390" s="10" t="n">
        <x:f>IF(AB2390=0,0,T2390/AB2390)</x:f>
        <x:v>167.87774255588735</x:v>
      </x:c>
      <x:c r="AE2390" s="10" t="n">
        <x:f>AA2390*'Assumptions'!$D$21</x:f>
        <x:v>0</x:v>
      </x:c>
    </x:row>
    <x:row r="2391" ht="16" customHeight="1">
      <x:c r="A2391" s="1"/>
      <x:c r="B2391" s="1"/>
      <x:c r="C2391" s="1" t="str">
        <x:v>DOT-080</x:v>
      </x:c>
      <x:c r="D2391" s="10" t="str">
        <x:v>Tomato Odyssey</x:v>
      </x:c>
      <x:c r="E2391" s="10" t="n">
        <x:v>19</x:v>
      </x:c>
      <x:c r="F2391" s="21" t="n">
        <x:f>F2263*(1+'Assumptions'!$M$109)</x:f>
        <x:v>17.273744406050888</x:v>
      </x:c>
      <x:c r="G2391" s="21" t="n">
        <x:f>H2263*'Assumptions'!$K$109</x:f>
        <x:v>8.890897595164546</x:v>
      </x:c>
      <x:c r="H2391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2391+G2391,NA())</x:f>
        <x:v>26.164642001215434</x:v>
      </x:c>
      <x:c r="I2391" s="22" t="n">
        <x:f>'Assumptions'!$H$109*IF('Assumptions'!$O$109=1,1,'Assumptions'!$D$10)*(1+'Assumptions'!$N$109)^(19-1)</x:f>
        <x:v>357.06156189406835</x:v>
      </x:c>
      <x:c r="J2391" s="10" t="n">
        <x:f>H2391*I2391</x:f>
        <x:v>9342.387939353124</x:v>
      </x:c>
      <x:c r="K2391" s="10" t="n">
        <x:f>J2391*'Assumptions'!$T$109</x:f>
        <x:v>9342.387939353124</x:v>
      </x:c>
      <x:c r="L2391" s="10" t="n">
        <x:f>K2391*'Assumptions'!$U$109</x:f>
        <x:v>280.2716381805937</x:v>
      </x:c>
      <x:c r="M2391" s="10" t="n">
        <x:f>K2391*'Assumptions'!$V$109</x:f>
        <x:v>0</x:v>
      </x:c>
      <x:c r="N2391" s="10" t="n">
        <x:f>K2391-L2391-M2391</x:f>
        <x:v>9062.116301172531</x:v>
      </x:c>
      <x:c r="O2391" s="10" t="n">
        <x:f>H2391*'Assumptions'!$P$109*'Assumptions'!$Q$109*'Assumptions'!$D$11*(1+'Assumptions'!$D$13)^(19-1)</x:f>
        <x:v>3563.48412627003</x:v>
      </x:c>
      <x:c r="P2391" s="10" t="n">
        <x:f>H2391*'Assumptions'!$R$109*'Assumptions'!$D$11*(1+'Assumptions'!$D$13)^(19-1)</x:f>
        <x:v>0</x:v>
      </x:c>
      <x:c r="Q2391" s="10" t="n">
        <x:f>J2391*'Assumptions'!$S$109</x:f>
        <x:v>0</x:v>
      </x:c>
      <x:c r="R2391" s="10" t="n">
        <x:f>H2391*'Assumptions'!$Y$109*'Assumptions'!$Z$109*'Assumptions'!$D$11*(1+'Assumptions'!$D$13)^(19-1)</x:f>
        <x:v>668.1532736756305</x:v>
      </x:c>
      <x:c r="S2391" s="10" t="n">
        <x:f>IF(I2391=0,0,J2391*'Assumptions'!$W$109+H2391*'Assumptions'!$X$109)</x:f>
        <x:v>278.77864284160523</x:v>
      </x:c>
      <x:c r="T2391" s="10" t="n">
        <x:f>N2391*'Assumptions'!$AA$109</x:f>
        <x:v>724.9693040938025</x:v>
      </x:c>
      <x:c r="U2391" s="10" t="n">
        <x:f>'Assumptions'!$AE$109*'Assumptions'!$D$11*(1+'Assumptions'!$D$13)^(19-1)</x:f>
        <x:v>0</x:v>
      </x:c>
      <x:c r="V2391" s="10" t="n">
        <x:f>0</x:f>
        <x:v>0</x:v>
      </x:c>
      <x:c r="W2391" s="10" t="n">
        <x:f>H2391*('Assumptions'!$P$109+'Assumptions'!$Y$109)</x:f>
        <x:v>65.41160500303859</x:v>
      </x:c>
      <x:c r="X2391" s="10" t="n">
        <x:f>N2391/12*'Assumptions'!$AF$109</x:f>
        <x:v>755.1763584310443</x:v>
      </x:c>
      <x:c r="Y2391" s="10" t="n">
        <x:f>P2391/12</x:f>
        <x:v>0</x:v>
      </x:c>
      <x:c r="Z2391" s="10" t="n">
        <x:f>0</x:f>
        <x:v>0</x:v>
      </x:c>
      <x:c r="AA2391" s="10" t="n">
        <x:f>Z2391*'Assumptions'!$AC$109*'Assumptions'!$D$11*(1+'Assumptions'!$D$13)^(19-1)</x:f>
        <x:v>0</x:v>
      </x:c>
      <x:c r="AB2391" s="10" t="n">
        <x:f>F2391/1</x:f>
        <x:v>17.273744406050888</x:v>
      </x:c>
      <x:c r="AC2391" s="10" t="n">
        <x:f>AB2391/'Assumptions'!$AM$109</x:f>
        <x:v>172.73744406050886</x:v>
      </x:c>
      <x:c r="AD2391" s="10" t="n">
        <x:f>IF(AB2391=0,0,T2391/AB2391)</x:f>
        <x:v>41.96943563897184</x:v>
      </x:c>
      <x:c r="AE2391" s="10" t="n">
        <x:f>AA2391*'Assumptions'!$D$21</x:f>
        <x:v>0</x:v>
      </x:c>
    </x:row>
    <x:row r="2392" ht="16" customHeight="1">
      <x:c r="A2392" s="1"/>
      <x:c r="B2392" s="1"/>
      <x:c r="C2392" s="1" t="str">
        <x:v>DOT-081</x:v>
      </x:c>
      <x:c r="D2392" s="10" t="str">
        <x:v>Tomato Odyssey</x:v>
      </x:c>
      <x:c r="E2392" s="10" t="n">
        <x:v>19</x:v>
      </x:c>
      <x:c r="F2392" s="21" t="n">
        <x:f>F2264*(1+'Assumptions'!$M$110)</x:f>
        <x:v>5.757914802016962</x:v>
      </x:c>
      <x:c r="G2392" s="21" t="n">
        <x:f>H2264*'Assumptions'!$K$110</x:f>
        <x:v>2.963632531721515</x:v>
      </x:c>
      <x:c r="H2392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2392+G2392,NA())</x:f>
        <x:v>8.721547333738476</x:v>
      </x:c>
      <x:c r="I2392" s="22" t="n">
        <x:f>'Assumptions'!$H$110*IF('Assumptions'!$O$110=1,1,'Assumptions'!$D$10)*(1+'Assumptions'!$N$110)^(19-1)</x:f>
        <x:v>1428.2462475762734</x:v>
      </x:c>
      <x:c r="J2392" s="10" t="n">
        <x:f>H2392*I2392</x:f>
        <x:v>12456.51725247083</x:v>
      </x:c>
      <x:c r="K2392" s="10" t="n">
        <x:f>J2392*'Assumptions'!$T$110</x:f>
        <x:v>12456.51725247083</x:v>
      </x:c>
      <x:c r="L2392" s="10" t="n">
        <x:f>K2392*'Assumptions'!$U$110</x:f>
        <x:v>373.6955175741249</x:v>
      </x:c>
      <x:c r="M2392" s="10" t="n">
        <x:f>K2392*'Assumptions'!$V$110</x:f>
        <x:v>0</x:v>
      </x:c>
      <x:c r="N2392" s="10" t="n">
        <x:f>K2392-L2392-M2392</x:f>
        <x:v>12082.821734896706</x:v>
      </x:c>
      <x:c r="O2392" s="10" t="n">
        <x:f>H2392*'Assumptions'!$P$110*'Assumptions'!$Q$110*'Assumptions'!$D$11*(1+'Assumptions'!$D$13)^(19-1)</x:f>
        <x:v>4751.312168360039</x:v>
      </x:c>
      <x:c r="P2392" s="10" t="n">
        <x:f>H2392*'Assumptions'!$R$110*'Assumptions'!$D$11*(1+'Assumptions'!$D$13)^(19-1)</x:f>
        <x:v>1484.7850526125121</x:v>
      </x:c>
      <x:c r="Q2392" s="10" t="n">
        <x:f>J2392*'Assumptions'!$S$110</x:f>
        <x:v>0</x:v>
      </x:c>
      <x:c r="R2392" s="10" t="n">
        <x:f>H2392*'Assumptions'!$Y$110*'Assumptions'!$Z$110*'Assumptions'!$D$11*(1+'Assumptions'!$D$13)^(19-1)</x:f>
        <x:v>222.71775789187683</x:v>
      </x:c>
      <x:c r="S2392" s="10" t="n">
        <x:f>IF(I2392=0,0,J2392*'Assumptions'!$W$110+H2392*'Assumptions'!$X$110)</x:f>
        <x:v>363.8554645217756</x:v>
      </x:c>
      <x:c r="T2392" s="10" t="n">
        <x:f>N2392*'Assumptions'!$AA$110</x:f>
        <x:v>966.6257387917366</x:v>
      </x:c>
      <x:c r="U2392" s="10" t="n">
        <x:f>'Assumptions'!$AE$110*'Assumptions'!$D$11*(1+'Assumptions'!$D$13)^(19-1)</x:f>
        <x:v>0</x:v>
      </x:c>
      <x:c r="V2392" s="10" t="n">
        <x:f>0</x:f>
        <x:v>0</x:v>
      </x:c>
      <x:c r="W2392" s="10" t="n">
        <x:f>H2392*('Assumptions'!$P$110+'Assumptions'!$Y$110)</x:f>
        <x:v>74.13315233677704</x:v>
      </x:c>
      <x:c r="X2392" s="10" t="n">
        <x:f>N2392/12*'Assumptions'!$AF$110</x:f>
        <x:v>1006.9018112413922</x:v>
      </x:c>
      <x:c r="Y2392" s="10" t="n">
        <x:f>P2392/12</x:f>
        <x:v>123.73208771770935</x:v>
      </x:c>
      <x:c r="Z2392" s="10" t="n">
        <x:f>0</x:f>
        <x:v>0</x:v>
      </x:c>
      <x:c r="AA2392" s="10" t="n">
        <x:f>Z2392*'Assumptions'!$AC$110*'Assumptions'!$D$11*(1+'Assumptions'!$D$13)^(19-1)</x:f>
        <x:v>0</x:v>
      </x:c>
      <x:c r="AB2392" s="10" t="n">
        <x:f>F2392/1</x:f>
        <x:v>5.757914802016962</x:v>
      </x:c>
      <x:c r="AC2392" s="10" t="n">
        <x:f>AB2392/'Assumptions'!$AM$110</x:f>
        <x:v>57.57914802016961</x:v>
      </x:c>
      <x:c r="AD2392" s="10" t="n">
        <x:f>IF(AB2392=0,0,T2392/AB2392)</x:f>
        <x:v>167.87774255588735</x:v>
      </x:c>
      <x:c r="AE2392" s="10" t="n">
        <x:f>AA2392*'Assumptions'!$D$21</x:f>
        <x:v>0</x:v>
      </x:c>
    </x:row>
    <x:row r="2393" ht="16" customHeight="1">
      <x:c r="A2393" s="1"/>
      <x:c r="B2393" s="1"/>
      <x:c r="C2393" s="1" t="str">
        <x:v>DOT-082</x:v>
      </x:c>
      <x:c r="D2393" s="10" t="str">
        <x:v>Semajes Studio</x:v>
      </x:c>
      <x:c r="E2393" s="10" t="n">
        <x:v>19</x:v>
      </x:c>
      <x:c r="F2393" s="21" t="n">
        <x:f>F2265*(1+'Assumptions'!$M$111)</x:f>
        <x:v>39.86248709088664</x:v>
      </x:c>
      <x:c r="G2393" s="21" t="n">
        <x:f>H2265*'Assumptions'!$K$111</x:f>
        <x:v>37.605919971802145</x:v>
      </x:c>
      <x:c r="H2393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2393+G2393,NA())</x:f>
        <x:v>77.46840706268878</x:v>
      </x:c>
      <x:c r="I2393" s="22" t="n">
        <x:f>'Assumptions'!$H$111*IF('Assumptions'!$O$111=1,1,'Assumptions'!$D$10)*(1+'Assumptions'!$N$111)^(19-1)</x:f>
        <x:v>785.5354361669504</x:v>
      </x:c>
      <x:c r="J2393" s="10" t="n">
        <x:f>H2393*I2393</x:f>
        <x:v>60854.17893114809</x:v>
      </x:c>
      <x:c r="K2393" s="10" t="n">
        <x:f>J2393*'Assumptions'!$T$111</x:f>
        <x:v>60854.17893114809</x:v>
      </x:c>
      <x:c r="L2393" s="10" t="n">
        <x:f>K2393*'Assumptions'!$U$111</x:f>
        <x:v>1825.6253679344427</x:v>
      </x:c>
      <x:c r="M2393" s="10" t="n">
        <x:f>K2393*'Assumptions'!$V$111</x:f>
        <x:v>0</x:v>
      </x:c>
      <x:c r="N2393" s="10" t="n">
        <x:f>K2393-L2393-M2393</x:f>
        <x:v>59028.553563213645</x:v>
      </x:c>
      <x:c r="O2393" s="10" t="n">
        <x:f>H2393*'Assumptions'!$P$111*'Assumptions'!$Q$111*'Assumptions'!$D$11*(1+'Assumptions'!$D$13)^(19-1)</x:f>
        <x:v>39565.433215533696</x:v>
      </x:c>
      <x:c r="P2393" s="10" t="n">
        <x:f>H2393*'Assumptions'!$R$111*'Assumptions'!$D$11*(1+'Assumptions'!$D$13)^(19-1)</x:f>
        <x:v>10550.782190808986</x:v>
      </x:c>
      <x:c r="Q2393" s="10" t="n">
        <x:f>J2393*'Assumptions'!$S$111</x:f>
        <x:v>0</x:v>
      </x:c>
      <x:c r="R2393" s="10" t="n">
        <x:f>H2393*'Assumptions'!$Y$111*'Assumptions'!$Z$111*'Assumptions'!$D$11*(1+'Assumptions'!$D$13)^(19-1)</x:f>
        <x:v>989.1358303883422</x:v>
      </x:c>
      <x:c r="S2393" s="10" t="n">
        <x:f>IF(I2393=0,0,J2393*'Assumptions'!$W$111+H2393*'Assumptions'!$X$111)</x:f>
        <x:v>1788.0117111221014</x:v>
      </x:c>
      <x:c r="T2393" s="10" t="n">
        <x:f>N2393*'Assumptions'!$AA$111</x:f>
        <x:v>2361.1421425285457</x:v>
      </x:c>
      <x:c r="U2393" s="10" t="n">
        <x:f>'Assumptions'!$AE$111*'Assumptions'!$D$11*(1+'Assumptions'!$D$13)^(19-1)</x:f>
        <x:v>0</x:v>
      </x:c>
      <x:c r="V2393" s="10" t="n">
        <x:f>0</x:f>
        <x:v>0</x:v>
      </x:c>
      <x:c r="W2393" s="10" t="n">
        <x:f>H2393*('Assumptions'!$P$111+'Assumptions'!$Y$111)</x:f>
        <x:v>484.1775441418049</x:v>
      </x:c>
      <x:c r="X2393" s="10" t="n">
        <x:f>N2393/12*'Assumptions'!$AF$111</x:f>
        <x:v>4919.046130267804</x:v>
      </x:c>
      <x:c r="Y2393" s="10" t="n">
        <x:f>P2393/12</x:f>
        <x:v>879.2318492340822</x:v>
      </x:c>
      <x:c r="Z2393" s="10" t="n">
        <x:f>0</x:f>
        <x:v>0</x:v>
      </x:c>
      <x:c r="AA2393" s="10" t="n">
        <x:f>Z2393*'Assumptions'!$AC$111*'Assumptions'!$D$11*(1+'Assumptions'!$D$13)^(19-1)</x:f>
        <x:v>0</x:v>
      </x:c>
      <x:c r="AB2393" s="10" t="n">
        <x:f>F2393/1</x:f>
        <x:v>39.86248709088664</x:v>
      </x:c>
      <x:c r="AC2393" s="10" t="n">
        <x:f>AB2393/'Assumptions'!$AM$111</x:f>
        <x:v>199.31243545443317</x:v>
      </x:c>
      <x:c r="AD2393" s="10" t="n">
        <x:f>IF(AB2393=0,0,T2393/AB2393)</x:f>
        <x:v>59.23218330921329</x:v>
      </x:c>
      <x:c r="AE2393" s="10" t="n">
        <x:f>AA2393*'Assumptions'!$D$21</x:f>
        <x:v>0</x:v>
      </x:c>
    </x:row>
    <x:row r="2394" ht="16" customHeight="1">
      <x:c r="A2394" s="1"/>
      <x:c r="B2394" s="1"/>
      <x:c r="C2394" s="1" t="str">
        <x:v>DOT-083</x:v>
      </x:c>
      <x:c r="D2394" s="10" t="str">
        <x:v>Semajes Studio</x:v>
      </x:c>
      <x:c r="E2394" s="10" t="n">
        <x:v>19</x:v>
      </x:c>
      <x:c r="F2394" s="21" t="n">
        <x:f>F2266*(1+'Assumptions'!$M$112)</x:f>
        <x:v>19.93124354544332</x:v>
      </x:c>
      <x:c r="G2394" s="21" t="n">
        <x:f>H2266*'Assumptions'!$K$112</x:f>
        <x:v>18.802959985901072</x:v>
      </x:c>
      <x:c r="H2394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2394+G2394,NA())</x:f>
        <x:v>38.73420353134439</x:v>
      </x:c>
      <x:c r="I2394" s="22" t="n">
        <x:f>'Assumptions'!$H$112*IF('Assumptions'!$O$112=1,1,'Assumptions'!$D$10)*(1+'Assumptions'!$N$112)^(19-1)</x:f>
        <x:v>1713.8954970915281</x:v>
      </x:c>
      <x:c r="J2394" s="10" t="n">
        <x:f>H2394*I2394</x:f>
        <x:v>66386.37701579792</x:v>
      </x:c>
      <x:c r="K2394" s="10" t="n">
        <x:f>J2394*'Assumptions'!$T$112</x:f>
        <x:v>66386.37701579792</x:v>
      </x:c>
      <x:c r="L2394" s="10" t="n">
        <x:f>K2394*'Assumptions'!$U$112</x:f>
        <x:v>1991.5913104739375</x:v>
      </x:c>
      <x:c r="M2394" s="10" t="n">
        <x:f>K2394*'Assumptions'!$V$112</x:f>
        <x:v>0</x:v>
      </x:c>
      <x:c r="N2394" s="10" t="n">
        <x:f>K2394-L2394-M2394</x:f>
        <x:v>64394.78570532398</x:v>
      </x:c>
      <x:c r="O2394" s="10" t="n">
        <x:f>H2394*'Assumptions'!$P$112*'Assumptions'!$Q$112*'Assumptions'!$D$11*(1+'Assumptions'!$D$13)^(19-1)</x:f>
        <x:v>32971.19434627808</x:v>
      </x:c>
      <x:c r="P2394" s="10" t="n">
        <x:f>H2394*'Assumptions'!$R$112*'Assumptions'!$D$11*(1+'Assumptions'!$D$13)^(19-1)</x:f>
        <x:v>9891.358303883424</x:v>
      </x:c>
      <x:c r="Q2394" s="10" t="n">
        <x:f>J2394*'Assumptions'!$S$112</x:f>
        <x:v>0</x:v>
      </x:c>
      <x:c r="R2394" s="10" t="n">
        <x:f>H2394*'Assumptions'!$Y$112*'Assumptions'!$Z$112*'Assumptions'!$D$11*(1+'Assumptions'!$D$13)^(19-1)</x:f>
        <x:v>494.5679151941711</x:v>
      </x:c>
      <x:c r="S2394" s="10" t="n">
        <x:f>IF(I2394=0,0,J2394*'Assumptions'!$W$112+H2394*'Assumptions'!$X$112)</x:f>
        <x:v>1936.825194517543</x:v>
      </x:c>
      <x:c r="T2394" s="10" t="n">
        <x:f>N2394*'Assumptions'!$AA$112</x:f>
        <x:v>2575.791428212959</x:v>
      </x:c>
      <x:c r="U2394" s="10" t="n">
        <x:f>'Assumptions'!$AE$112*'Assumptions'!$D$11*(1+'Assumptions'!$D$13)^(19-1)</x:f>
        <x:v>0</x:v>
      </x:c>
      <x:c r="V2394" s="10" t="n">
        <x:f>0</x:f>
        <x:v>0</x:v>
      </x:c>
      <x:c r="W2394" s="10" t="n">
        <x:f>H2394*('Assumptions'!$P$112+'Assumptions'!$Y$112)</x:f>
        <x:v>397.02558619628</x:v>
      </x:c>
      <x:c r="X2394" s="10" t="n">
        <x:f>N2394/12*'Assumptions'!$AF$112</x:f>
        <x:v>5366.232142110332</x:v>
      </x:c>
      <x:c r="Y2394" s="10" t="n">
        <x:f>P2394/12</x:f>
        <x:v>824.279858656952</x:v>
      </x:c>
      <x:c r="Z2394" s="10" t="n">
        <x:f>0</x:f>
        <x:v>0</x:v>
      </x:c>
      <x:c r="AA2394" s="10" t="n">
        <x:f>Z2394*'Assumptions'!$AC$112*'Assumptions'!$D$11*(1+'Assumptions'!$D$13)^(19-1)</x:f>
        <x:v>0</x:v>
      </x:c>
      <x:c r="AB2394" s="10" t="n">
        <x:f>F2394/1</x:f>
        <x:v>19.93124354544332</x:v>
      </x:c>
      <x:c r="AC2394" s="10" t="n">
        <x:f>AB2394/'Assumptions'!$AM$112</x:f>
        <x:v>99.65621772721659</x:v>
      </x:c>
      <x:c r="AD2394" s="10" t="n">
        <x:f>IF(AB2394=0,0,T2394/AB2394)</x:f>
        <x:v>129.233854492829</x:v>
      </x:c>
      <x:c r="AE2394" s="10" t="n">
        <x:f>AA2394*'Assumptions'!$D$21</x:f>
        <x:v>0</x:v>
      </x:c>
    </x:row>
    <x:row r="2395" ht="16" customHeight="1">
      <x:c r="A2395" s="1"/>
      <x:c r="B2395" s="1"/>
      <x:c r="C2395" s="1" t="str">
        <x:v>DOT-084</x:v>
      </x:c>
      <x:c r="D2395" s="10" t="str">
        <x:v>Semajes Studio</x:v>
      </x:c>
      <x:c r="E2395" s="10" t="n">
        <x:v>19</x:v>
      </x:c>
      <x:c r="F2395" s="21" t="n">
        <x:f>F2267*(1+'Assumptions'!$M$113)</x:f>
        <x:v>132.8749569696222</x:v>
      </x:c>
      <x:c r="G2395" s="21" t="n">
        <x:f>H2267*'Assumptions'!$K$113</x:f>
        <x:v>125.35306657267385</x:v>
      </x:c>
      <x:c r="H2395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2395+G2395,NA())</x:f>
        <x:v>258.22802354229606</x:v>
      </x:c>
      <x:c r="I2395" s="22" t="n">
        <x:f>'Assumptions'!$H$113*IF('Assumptions'!$O$113=1,1,'Assumptions'!$D$10)*(1+'Assumptions'!$N$113)^(19-1)</x:f>
        <x:v>49.98861866516957</x:v>
      </x:c>
      <x:c r="J2395" s="10" t="n">
        <x:f>H2395*I2395</x:f>
        <x:v>12908.462197516268</x:v>
      </x:c>
      <x:c r="K2395" s="10" t="n">
        <x:f>J2395*'Assumptions'!$T$113</x:f>
        <x:v>12908.462197516268</x:v>
      </x:c>
      <x:c r="L2395" s="10" t="n">
        <x:f>K2395*'Assumptions'!$U$113</x:f>
        <x:v>387.253865925488</x:v>
      </x:c>
      <x:c r="M2395" s="10" t="n">
        <x:f>K2395*'Assumptions'!$V$113</x:f>
        <x:v>0</x:v>
      </x:c>
      <x:c r="N2395" s="10" t="n">
        <x:f>K2395-L2395-M2395</x:f>
        <x:v>12521.20833159078</x:v>
      </x:c>
      <x:c r="O2395" s="10" t="n">
        <x:f>H2395*'Assumptions'!$P$113*'Assumptions'!$Q$113*'Assumptions'!$D$11*(1+'Assumptions'!$D$13)^(19-1)</x:f>
        <x:v>2198.079623085206</x:v>
      </x:c>
      <x:c r="P2395" s="10" t="n">
        <x:f>H2395*'Assumptions'!$R$113*'Assumptions'!$D$11*(1+'Assumptions'!$D$13)^(19-1)</x:f>
        <x:v>0</x:v>
      </x:c>
      <x:c r="Q2395" s="10" t="n">
        <x:f>J2395*'Assumptions'!$S$113</x:f>
        <x:v>0</x:v>
      </x:c>
      <x:c r="R2395" s="10" t="n">
        <x:f>H2395*'Assumptions'!$Y$113*'Assumptions'!$Z$113*'Assumptions'!$D$11*(1+'Assumptions'!$D$13)^(19-1)</x:f>
        <x:v>3297.1194346278094</x:v>
      </x:c>
      <x:c r="S2395" s="10" t="n">
        <x:f>IF(I2395=0,0,J2395*'Assumptions'!$W$113+H2395*'Assumptions'!$X$113)</x:f>
        <x:v>451.8138107906606</x:v>
      </x:c>
      <x:c r="T2395" s="10" t="n">
        <x:f>N2395*'Assumptions'!$AA$113</x:f>
        <x:v>500.8483332636312</x:v>
      </x:c>
      <x:c r="U2395" s="10" t="n">
        <x:f>'Assumptions'!$AE$113*'Assumptions'!$D$11*(1+'Assumptions'!$D$13)^(19-1)</x:f>
        <x:v>0</x:v>
      </x:c>
      <x:c r="V2395" s="10" t="n">
        <x:f>0</x:f>
        <x:v>0</x:v>
      </x:c>
      <x:c r="W2395" s="10" t="n">
        <x:f>H2395*('Assumptions'!$P$113+'Assumptions'!$Y$113)</x:f>
        <x:v>90.37980823980361</x:v>
      </x:c>
      <x:c r="X2395" s="10" t="n">
        <x:f>N2395/12*'Assumptions'!$AF$113</x:f>
        <x:v>1043.434027632565</x:v>
      </x:c>
      <x:c r="Y2395" s="10" t="n">
        <x:f>P2395/12</x:f>
        <x:v>0</x:v>
      </x:c>
      <x:c r="Z2395" s="10" t="n">
        <x:f>0</x:f>
        <x:v>0</x:v>
      </x:c>
      <x:c r="AA2395" s="10" t="n">
        <x:f>Z2395*'Assumptions'!$AC$113*'Assumptions'!$D$11*(1+'Assumptions'!$D$13)^(19-1)</x:f>
        <x:v>0</x:v>
      </x:c>
      <x:c r="AB2395" s="10" t="n">
        <x:f>F2395/1</x:f>
        <x:v>132.8749569696222</x:v>
      </x:c>
      <x:c r="AC2395" s="10" t="n">
        <x:f>AB2395/'Assumptions'!$AM$113</x:f>
        <x:v>664.374784848111</x:v>
      </x:c>
      <x:c r="AD2395" s="10" t="n">
        <x:f>IF(AB2395=0,0,T2395/AB2395)</x:f>
        <x:v>3.7693207560408464</x:v>
      </x:c>
      <x:c r="AE2395" s="10" t="n">
        <x:f>AA2395*'Assumptions'!$D$21</x:f>
        <x:v>0</x:v>
      </x:c>
    </x:row>
    <x:row r="2396" ht="16" customHeight="1">
      <x:c r="A2396" s="1"/>
      <x:c r="B2396" s="1"/>
      <x:c r="C2396" s="1" t="str">
        <x:v>DOT-085</x:v>
      </x:c>
      <x:c r="D2396" s="10" t="str">
        <x:v>Semajes Studio</x:v>
      </x:c>
      <x:c r="E2396" s="10" t="n">
        <x:v>19</x:v>
      </x:c>
      <x:c r="F2396" s="21" t="n">
        <x:f>F2268*(1+'Assumptions'!$M$114)</x:f>
        <x:v>39.86248709088664</x:v>
      </x:c>
      <x:c r="G2396" s="21" t="n">
        <x:f>H2268*'Assumptions'!$K$114</x:f>
        <x:v>37.605919971802145</x:v>
      </x:c>
      <x:c r="H2396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2396+G2396,NA())</x:f>
        <x:v>77.46840706268878</x:v>
      </x:c>
      <x:c r="I2396" s="22" t="n">
        <x:f>'Assumptions'!$H$114*IF('Assumptions'!$O$114=1,1,'Assumptions'!$D$10)*(1+'Assumptions'!$N$114)^(19-1)</x:f>
        <x:v>214.23693713644101</x:v>
      </x:c>
      <x:c r="J2396" s="10" t="n">
        <x:f>H2396*I2396</x:f>
        <x:v>16596.59425394948</x:v>
      </x:c>
      <x:c r="K2396" s="10" t="n">
        <x:f>J2396*'Assumptions'!$T$114</x:f>
        <x:v>16596.59425394948</x:v>
      </x:c>
      <x:c r="L2396" s="10" t="n">
        <x:f>K2396*'Assumptions'!$U$114</x:f>
        <x:v>497.89782761848437</x:v>
      </x:c>
      <x:c r="M2396" s="10" t="n">
        <x:f>K2396*'Assumptions'!$V$114</x:f>
        <x:v>0</x:v>
      </x:c>
      <x:c r="N2396" s="10" t="n">
        <x:f>K2396-L2396-M2396</x:f>
        <x:v>16098.696426330995</x:v>
      </x:c>
      <x:c r="O2396" s="10" t="n">
        <x:f>H2396*'Assumptions'!$P$114*'Assumptions'!$Q$114*'Assumptions'!$D$11*(1+'Assumptions'!$D$13)^(19-1)</x:f>
        <x:v>1648.5597173139038</x:v>
      </x:c>
      <x:c r="P2396" s="10" t="n">
        <x:f>H2396*'Assumptions'!$R$114*'Assumptions'!$D$11*(1+'Assumptions'!$D$13)^(19-1)</x:f>
        <x:v>0</x:v>
      </x:c>
      <x:c r="Q2396" s="10" t="n">
        <x:f>J2396*'Assumptions'!$S$114</x:f>
        <x:v>0</x:v>
      </x:c>
      <x:c r="R2396" s="10" t="n">
        <x:f>H2396*'Assumptions'!$Y$114*'Assumptions'!$Z$114*'Assumptions'!$D$11*(1+'Assumptions'!$D$13)^(19-1)</x:f>
        <x:v>989.1358303883422</x:v>
      </x:c>
      <x:c r="S2396" s="10" t="n">
        <x:f>IF(I2396=0,0,J2396*'Assumptions'!$W$114+H2396*'Assumptions'!$X$114)</x:f>
        <x:v>504.54175548334155</x:v>
      </x:c>
      <x:c r="T2396" s="10" t="n">
        <x:f>N2396*'Assumptions'!$AA$114</x:f>
        <x:v>643.9478570532398</x:v>
      </x:c>
      <x:c r="U2396" s="10" t="n">
        <x:f>'Assumptions'!$AE$114*'Assumptions'!$D$11*(1+'Assumptions'!$D$13)^(19-1)</x:f>
        <x:v>0</x:v>
      </x:c>
      <x:c r="V2396" s="10" t="n">
        <x:f>0</x:f>
        <x:v>0</x:v>
      </x:c>
      <x:c r="W2396" s="10" t="n">
        <x:f>H2396*('Assumptions'!$P$114+'Assumptions'!$Y$114)</x:f>
        <x:v>38.73420353134439</x:v>
      </x:c>
      <x:c r="X2396" s="10" t="n">
        <x:f>N2396/12*'Assumptions'!$AF$114</x:f>
        <x:v>1341.558035527583</x:v>
      </x:c>
      <x:c r="Y2396" s="10" t="n">
        <x:f>P2396/12</x:f>
        <x:v>0</x:v>
      </x:c>
      <x:c r="Z2396" s="10" t="n">
        <x:f>0</x:f>
        <x:v>0</x:v>
      </x:c>
      <x:c r="AA2396" s="10" t="n">
        <x:f>Z2396*'Assumptions'!$AC$114*'Assumptions'!$D$11*(1+'Assumptions'!$D$13)^(19-1)</x:f>
        <x:v>0</x:v>
      </x:c>
      <x:c r="AB2396" s="10" t="n">
        <x:f>F2396/1</x:f>
        <x:v>39.86248709088664</x:v>
      </x:c>
      <x:c r="AC2396" s="10" t="n">
        <x:f>AB2396/'Assumptions'!$AM$114</x:f>
        <x:v>199.31243545443317</x:v>
      </x:c>
      <x:c r="AD2396" s="10" t="n">
        <x:f>IF(AB2396=0,0,T2396/AB2396)</x:f>
        <x:v>16.154231811603626</x:v>
      </x:c>
      <x:c r="AE2396" s="10" t="n">
        <x:f>AA2396*'Assumptions'!$D$21</x:f>
        <x:v>0</x:v>
      </x:c>
    </x:row>
    <x:row r="2397" ht="16" customHeight="1">
      <x:c r="A2397" s="1"/>
      <x:c r="B2397" s="1"/>
      <x:c r="C2397" s="1" t="str">
        <x:v>DOT-086</x:v>
      </x:c>
      <x:c r="D2397" s="10" t="str">
        <x:v>Semajes Studio</x:v>
      </x:c>
      <x:c r="E2397" s="10" t="n">
        <x:v>19</x:v>
      </x:c>
      <x:c r="F2397" s="21" t="n">
        <x:f>F2269*(1+'Assumptions'!$M$115)</x:f>
        <x:v>19.93124354544332</x:v>
      </x:c>
      <x:c r="G2397" s="21" t="n">
        <x:f>H2269*'Assumptions'!$K$115</x:f>
        <x:v>18.802959985901072</x:v>
      </x:c>
      <x:c r="H2397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2397+G2397,NA())</x:f>
        <x:v>38.73420353134439</x:v>
      </x:c>
      <x:c r="I2397" s="22" t="n">
        <x:f>'Assumptions'!$H$115*IF('Assumptions'!$O$115=1,1,'Assumptions'!$D$10)*(1+'Assumptions'!$N$115)^(19-1)</x:f>
        <x:v>714.1231237881367</x:v>
      </x:c>
      <x:c r="J2397" s="10" t="n">
        <x:f>H2397*I2397</x:f>
        <x:v>27660.99042324913</x:v>
      </x:c>
      <x:c r="K2397" s="10" t="n">
        <x:f>J2397*'Assumptions'!$T$115</x:f>
        <x:v>27660.99042324913</x:v>
      </x:c>
      <x:c r="L2397" s="10" t="n">
        <x:f>K2397*'Assumptions'!$U$115</x:f>
        <x:v>829.829712697474</x:v>
      </x:c>
      <x:c r="M2397" s="10" t="n">
        <x:f>K2397*'Assumptions'!$V$115</x:f>
        <x:v>0</x:v>
      </x:c>
      <x:c r="N2397" s="10" t="n">
        <x:f>K2397-L2397-M2397</x:f>
        <x:v>26831.16071055166</x:v>
      </x:c>
      <x:c r="O2397" s="10" t="n">
        <x:f>H2397*'Assumptions'!$P$115*'Assumptions'!$Q$115*'Assumptions'!$D$11*(1+'Assumptions'!$D$13)^(19-1)</x:f>
        <x:v>3297.1194346278075</x:v>
      </x:c>
      <x:c r="P2397" s="10" t="n">
        <x:f>H2397*'Assumptions'!$R$115*'Assumptions'!$D$11*(1+'Assumptions'!$D$13)^(19-1)</x:f>
        <x:v>0</x:v>
      </x:c>
      <x:c r="Q2397" s="10" t="n">
        <x:f>J2397*'Assumptions'!$S$115</x:f>
        <x:v>0</x:v>
      </x:c>
      <x:c r="R2397" s="10" t="n">
        <x:f>H2397*'Assumptions'!$Y$115*'Assumptions'!$Z$115*'Assumptions'!$D$11*(1+'Assumptions'!$D$13)^(19-1)</x:f>
        <x:v>494.5679151941711</x:v>
      </x:c>
      <x:c r="S2397" s="10" t="n">
        <x:f>IF(I2397=0,0,J2397*'Assumptions'!$W$115+H2397*'Assumptions'!$X$115)</x:f>
        <x:v>813.7889833336282</x:v>
      </x:c>
      <x:c r="T2397" s="10" t="n">
        <x:f>N2397*'Assumptions'!$AA$115</x:f>
        <x:v>1073.2464284220664</x:v>
      </x:c>
      <x:c r="U2397" s="10" t="n">
        <x:f>'Assumptions'!$AE$115*'Assumptions'!$D$11*(1+'Assumptions'!$D$13)^(19-1)</x:f>
        <x:v>0</x:v>
      </x:c>
      <x:c r="V2397" s="10" t="n">
        <x:f>0</x:f>
        <x:v>0</x:v>
      </x:c>
      <x:c r="W2397" s="10" t="n">
        <x:f>H2397*('Assumptions'!$P$115+'Assumptions'!$Y$115)</x:f>
        <x:v>48.41775441418049</x:v>
      </x:c>
      <x:c r="X2397" s="10" t="n">
        <x:f>N2397/12*'Assumptions'!$AF$115</x:f>
        <x:v>2235.9300592126383</x:v>
      </x:c>
      <x:c r="Y2397" s="10" t="n">
        <x:f>P2397/12</x:f>
        <x:v>0</x:v>
      </x:c>
      <x:c r="Z2397" s="10" t="n">
        <x:f>0</x:f>
        <x:v>0</x:v>
      </x:c>
      <x:c r="AA2397" s="10" t="n">
        <x:f>Z2397*'Assumptions'!$AC$115*'Assumptions'!$D$11*(1+'Assumptions'!$D$13)^(19-1)</x:f>
        <x:v>0</x:v>
      </x:c>
      <x:c r="AB2397" s="10" t="n">
        <x:f>F2397/1</x:f>
        <x:v>19.93124354544332</x:v>
      </x:c>
      <x:c r="AC2397" s="10" t="n">
        <x:f>AB2397/'Assumptions'!$AM$115</x:f>
        <x:v>99.65621772721659</x:v>
      </x:c>
      <x:c r="AD2397" s="10" t="n">
        <x:f>IF(AB2397=0,0,T2397/AB2397)</x:f>
        <x:v>53.84743937201209</x:v>
      </x:c>
      <x:c r="AE2397" s="10" t="n">
        <x:f>AA2397*'Assumptions'!$D$21</x:f>
        <x:v>0</x:v>
      </x:c>
    </x:row>
    <x:row r="2398" ht="16" customHeight="1">
      <x:c r="A2398" s="1"/>
      <x:c r="B2398" s="1"/>
      <x:c r="C2398" s="1" t="str">
        <x:v>DOT-087</x:v>
      </x:c>
      <x:c r="D2398" s="10" t="str">
        <x:v>Semajes Studio</x:v>
      </x:c>
      <x:c r="E2398" s="10" t="n">
        <x:v>19</x:v>
      </x:c>
      <x:c r="F2398" s="21" t="n">
        <x:f>F2270*(1+'Assumptions'!$M$116)</x:f>
        <x:v>199.92749412691379</x:v>
      </x:c>
      <x:c r="G2398" s="21" t="n">
        <x:f>H2270*'Assumptions'!$K$116</x:f>
        <x:v>82.1619835930395</x:v>
      </x:c>
      <x:c r="H2398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2398+G2398,NA())</x:f>
        <x:v>282.08947771995327</x:v>
      </x:c>
      <x:c r="I2398" s="22" t="n">
        <x:f>'Assumptions'!$H$116*IF('Assumptions'!$O$116=1,1,'Assumptions'!$D$10)*(1+'Assumptions'!$N$116)^(19-1)</x:f>
        <x:v>135.68339351974598</x:v>
      </x:c>
      <x:c r="J2398" s="10" t="n">
        <x:f>H2398*I2398</x:f>
        <x:v>38274.857613256034</x:v>
      </x:c>
      <x:c r="K2398" s="10" t="n">
        <x:f>J2398*'Assumptions'!$T$116</x:f>
        <x:v>38274.857613256034</x:v>
      </x:c>
      <x:c r="L2398" s="10" t="n">
        <x:f>K2398*'Assumptions'!$U$116</x:f>
        <x:v>1148.245728397681</x:v>
      </x:c>
      <x:c r="M2398" s="10" t="n">
        <x:f>K2398*'Assumptions'!$V$116</x:f>
        <x:v>765.4971522651207</x:v>
      </x:c>
      <x:c r="N2398" s="10" t="n">
        <x:f>K2398-L2398-M2398</x:f>
        <x:v>36361.11473259323</x:v>
      </x:c>
      <x:c r="O2398" s="10" t="n">
        <x:f>H2398*'Assumptions'!$P$116*'Assumptions'!$Q$116*'Assumptions'!$D$11*(1+'Assumptions'!$D$13)^(19-1)</x:f>
        <x:v>3601.788398237594</x:v>
      </x:c>
      <x:c r="P2398" s="10" t="n">
        <x:f>H2398*'Assumptions'!$R$116*'Assumptions'!$D$11*(1+'Assumptions'!$D$13)^(19-1)</x:f>
        <x:v>16808.345858442106</x:v>
      </x:c>
      <x:c r="Q2398" s="10" t="n">
        <x:f>J2398*'Assumptions'!$S$116</x:f>
        <x:v>0</x:v>
      </x:c>
      <x:c r="R2398" s="10" t="n">
        <x:f>H2398*'Assumptions'!$Y$116*'Assumptions'!$Z$116*'Assumptions'!$D$11*(1+'Assumptions'!$D$13)^(19-1)</x:f>
        <x:v>2161.0730389425566</x:v>
      </x:c>
      <x:c r="S2398" s="10" t="n">
        <x:f>IF(I2398=0,0,J2398*'Assumptions'!$W$116+H2398*'Assumptions'!$X$116)</x:f>
        <x:v>1194.597714100411</x:v>
      </x:c>
      <x:c r="T2398" s="10" t="n">
        <x:f>N2398*'Assumptions'!$AA$116</x:f>
        <x:v>2908.8891786074587</x:v>
      </x:c>
      <x:c r="U2398" s="10" t="n">
        <x:f>'Assumptions'!$AE$116*'Assumptions'!$D$11*(1+'Assumptions'!$D$13)^(19-1)</x:f>
        <x:v>0</x:v>
      </x:c>
      <x:c r="V2398" s="10" t="n">
        <x:f>0</x:f>
        <x:v>0</x:v>
      </x:c>
      <x:c r="W2398" s="10" t="n">
        <x:f>H2398*('Assumptions'!$P$116+'Assumptions'!$Y$116)</x:f>
        <x:v>84.62684331598598</x:v>
      </x:c>
      <x:c r="X2398" s="10" t="n">
        <x:f>N2398/12*'Assumptions'!$AF$116</x:f>
        <x:v>0</x:v>
      </x:c>
      <x:c r="Y2398" s="10" t="n">
        <x:f>P2398/12</x:f>
        <x:v>1400.6954882035088</x:v>
      </x:c>
      <x:c r="Z2398" s="10" t="n">
        <x:f>0</x:f>
        <x:v>0</x:v>
      </x:c>
      <x:c r="AA2398" s="10" t="n">
        <x:f>Z2398*'Assumptions'!$AC$116*'Assumptions'!$D$11*(1+'Assumptions'!$D$13)^(19-1)</x:f>
        <x:v>0</x:v>
      </x:c>
      <x:c r="AB2398" s="10" t="n">
        <x:f>F2398/1</x:f>
        <x:v>199.92749412691379</x:v>
      </x:c>
      <x:c r="AC2398" s="10" t="n">
        <x:f>AB2398/'Assumptions'!$AM$116</x:f>
        <x:v>6664.24980423046</x:v>
      </x:c>
      <x:c r="AD2398" s="10" t="n">
        <x:f>IF(AB2398=0,0,T2398/AB2398)</x:f>
        <x:v>14.54972059401144</x:v>
      </x:c>
      <x:c r="AE2398" s="10" t="n">
        <x:f>AA2398*'Assumptions'!$D$21</x:f>
        <x:v>0</x:v>
      </x:c>
    </x:row>
    <x:row r="2399" ht="16" customHeight="1">
      <x:c r="A2399" s="1"/>
      <x:c r="B2399" s="1"/>
      <x:c r="C2399" s="1" t="str">
        <x:v>DOT-088</x:v>
      </x:c>
      <x:c r="D2399" s="10" t="str">
        <x:v>Semajes Studio</x:v>
      </x:c>
      <x:c r="E2399" s="10" t="n">
        <x:v>19</x:v>
      </x:c>
      <x:c r="F2399" s="21" t="n">
        <x:f>F2271*(1+'Assumptions'!$M$117)</x:f>
        <x:v>99.96374706345689</x:v>
      </x:c>
      <x:c r="G2399" s="21" t="n">
        <x:f>H2271*'Assumptions'!$K$117</x:f>
        <x:v>41.08099179651975</x:v>
      </x:c>
      <x:c r="H2399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2399+G2399,NA())</x:f>
        <x:v>141.04473885997663</x:v>
      </x:c>
      <x:c r="I2399" s="22" t="n">
        <x:f>'Assumptions'!$H$117*IF('Assumptions'!$O$117=1,1,'Assumptions'!$D$10)*(1+'Assumptions'!$N$117)^(19-1)</x:f>
        <x:v>357.06156189406835</x:v>
      </x:c>
      <x:c r="J2399" s="10" t="n">
        <x:f>H2399*I2399</x:f>
        <x:v>50361.65475428425</x:v>
      </x:c>
      <x:c r="K2399" s="10" t="n">
        <x:f>J2399*'Assumptions'!$T$117</x:f>
        <x:v>50361.65475428425</x:v>
      </x:c>
      <x:c r="L2399" s="10" t="n">
        <x:f>K2399*'Assumptions'!$U$117</x:f>
        <x:v>1510.8496426285276</x:v>
      </x:c>
      <x:c r="M2399" s="10" t="n">
        <x:f>K2399*'Assumptions'!$V$117</x:f>
        <x:v>1007.233095085685</x:v>
      </x:c>
      <x:c r="N2399" s="10" t="n">
        <x:f>K2399-L2399-M2399</x:f>
        <x:v>47843.57201657004</x:v>
      </x:c>
      <x:c r="O2399" s="10" t="n">
        <x:f>H2399*'Assumptions'!$P$117*'Assumptions'!$Q$117*'Assumptions'!$D$11*(1+'Assumptions'!$D$13)^(19-1)</x:f>
        <x:v>3001.490331864662</x:v>
      </x:c>
      <x:c r="P2399" s="10" t="n">
        <x:f>H2399*'Assumptions'!$R$117*'Assumptions'!$D$11*(1+'Assumptions'!$D$13)^(19-1)</x:f>
        <x:v>26413.11492040902</x:v>
      </x:c>
      <x:c r="Q2399" s="10" t="n">
        <x:f>J2399*'Assumptions'!$S$117</x:f>
        <x:v>0</x:v>
      </x:c>
      <x:c r="R2399" s="10" t="n">
        <x:f>H2399*'Assumptions'!$Y$117*'Assumptions'!$Z$117*'Assumptions'!$D$11*(1+'Assumptions'!$D$13)^(19-1)</x:f>
        <x:v>1080.5365194712783</x:v>
      </x:c>
      <x:c r="S2399" s="10" t="n">
        <x:f>IF(I2399=0,0,J2399*'Assumptions'!$W$117+H2399*'Assumptions'!$X$117)</x:f>
        <x:v>1502.8014095322364</x:v>
      </x:c>
      <x:c r="T2399" s="10" t="n">
        <x:f>N2399*'Assumptions'!$AA$117</x:f>
        <x:v>3827.485761325603</x:v>
      </x:c>
      <x:c r="U2399" s="10" t="n">
        <x:f>'Assumptions'!$AE$117*'Assumptions'!$D$11*(1+'Assumptions'!$D$13)^(19-1)</x:f>
        <x:v>0</x:v>
      </x:c>
      <x:c r="V2399" s="10" t="n">
        <x:f>0</x:f>
        <x:v>0</x:v>
      </x:c>
      <x:c r="W2399" s="10" t="n">
        <x:f>H2399*('Assumptions'!$P$117+'Assumptions'!$Y$117)</x:f>
        <x:v>56.41789554399065</x:v>
      </x:c>
      <x:c r="X2399" s="10" t="n">
        <x:f>N2399/12*'Assumptions'!$AF$117</x:f>
        <x:v>0</x:v>
      </x:c>
      <x:c r="Y2399" s="10" t="n">
        <x:f>P2399/12</x:f>
        <x:v>2201.092910034085</x:v>
      </x:c>
      <x:c r="Z2399" s="10" t="n">
        <x:f>0</x:f>
        <x:v>0</x:v>
      </x:c>
      <x:c r="AA2399" s="10" t="n">
        <x:f>Z2399*'Assumptions'!$AC$117*'Assumptions'!$D$11*(1+'Assumptions'!$D$13)^(19-1)</x:f>
        <x:v>0</x:v>
      </x:c>
      <x:c r="AB2399" s="10" t="n">
        <x:f>F2399/1</x:f>
        <x:v>99.96374706345689</x:v>
      </x:c>
      <x:c r="AC2399" s="10" t="n">
        <x:f>AB2399/'Assumptions'!$AM$117</x:f>
        <x:v>3332.12490211523</x:v>
      </x:c>
      <x:c r="AD2399" s="10" t="n">
        <x:f>IF(AB2399=0,0,T2399/AB2399)</x:f>
        <x:v>38.28873840529326</x:v>
      </x:c>
      <x:c r="AE2399" s="10" t="n">
        <x:f>AA2399*'Assumptions'!$D$21</x:f>
        <x:v>0</x:v>
      </x:c>
    </x:row>
    <x:row r="2400" ht="16" customHeight="1">
      <x:c r="A2400" s="1"/>
      <x:c r="B2400" s="1"/>
      <x:c r="C2400" s="1" t="str">
        <x:v>DOT-089</x:v>
      </x:c>
      <x:c r="D2400" s="10" t="str">
        <x:v>Semajes Studio</x:v>
      </x:c>
      <x:c r="E2400" s="10" t="n">
        <x:v>19</x:v>
      </x:c>
      <x:c r="F2400" s="21" t="n">
        <x:f>F2272*(1+'Assumptions'!$M$118)</x:f>
        <x:v>39.98549882538275</x:v>
      </x:c>
      <x:c r="G2400" s="21" t="n">
        <x:f>H2272*'Assumptions'!$K$118</x:f>
        <x:v>16.432396718607894</x:v>
      </x:c>
      <x:c r="H2400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2400+G2400,NA())</x:f>
        <x:v>56.41789554399064</x:v>
      </x:c>
      <x:c r="I2400" s="22" t="n">
        <x:f>'Assumptions'!$H$118*IF('Assumptions'!$O$118=1,1,'Assumptions'!$D$10)*(1+'Assumptions'!$N$118)^(19-1)</x:f>
        <x:v>249.94309332584785</x:v>
      </x:c>
      <x:c r="J2400" s="10" t="n">
        <x:f>H2400*I2400</x:f>
        <x:v>14101.263331199589</x:v>
      </x:c>
      <x:c r="K2400" s="10" t="n">
        <x:f>J2400*'Assumptions'!$T$118</x:f>
        <x:v>14101.263331199589</x:v>
      </x:c>
      <x:c r="L2400" s="10" t="n">
        <x:f>K2400*'Assumptions'!$U$118</x:f>
        <x:v>423.03789993598764</x:v>
      </x:c>
      <x:c r="M2400" s="10" t="n">
        <x:f>K2400*'Assumptions'!$V$118</x:f>
        <x:v>282.0252666239918</x:v>
      </x:c>
      <x:c r="N2400" s="10" t="n">
        <x:f>K2400-L2400-M2400</x:f>
        <x:v>13396.20016463961</x:v>
      </x:c>
      <x:c r="O2400" s="10" t="n">
        <x:f>H2400*'Assumptions'!$P$118*'Assumptions'!$Q$118*'Assumptions'!$D$11*(1+'Assumptions'!$D$13)^(19-1)</x:f>
        <x:v>2401.192265491729</x:v>
      </x:c>
      <x:c r="P2400" s="10" t="n">
        <x:f>H2400*'Assumptions'!$R$118*'Assumptions'!$D$11*(1+'Assumptions'!$D$13)^(19-1)</x:f>
        <x:v>8644.292155770225</x:v>
      </x:c>
      <x:c r="Q2400" s="10" t="n">
        <x:f>J2400*'Assumptions'!$S$118</x:f>
        <x:v>0</x:v>
      </x:c>
      <x:c r="R2400" s="10" t="n">
        <x:f>H2400*'Assumptions'!$Y$118*'Assumptions'!$Z$118*'Assumptions'!$D$11*(1+'Assumptions'!$D$13)^(19-1)</x:f>
        <x:v>432.21460778851116</x:v>
      </x:c>
      <x:c r="S2400" s="10" t="n">
        <x:f>IF(I2400=0,0,J2400*'Assumptions'!$W$118+H2400*'Assumptions'!$X$118)</x:f>
        <x:v>425.8620052679853</x:v>
      </x:c>
      <x:c r="T2400" s="10" t="n">
        <x:f>N2400*'Assumptions'!$AA$118</x:f>
        <x:v>1071.6960131711687</x:v>
      </x:c>
      <x:c r="U2400" s="10" t="n">
        <x:f>'Assumptions'!$AE$118*'Assumptions'!$D$11*(1+'Assumptions'!$D$13)^(19-1)</x:f>
        <x:v>0</x:v>
      </x:c>
      <x:c r="V2400" s="10" t="n">
        <x:f>0</x:f>
        <x:v>0</x:v>
      </x:c>
      <x:c r="W2400" s="10" t="n">
        <x:f>H2400*('Assumptions'!$P$118+'Assumptions'!$Y$118)</x:f>
        <x:v>36.671632103593915</x:v>
      </x:c>
      <x:c r="X2400" s="10" t="n">
        <x:f>N2400/12*'Assumptions'!$AF$118</x:f>
        <x:v>0</x:v>
      </x:c>
      <x:c r="Y2400" s="10" t="n">
        <x:f>P2400/12</x:f>
        <x:v>720.3576796475187</x:v>
      </x:c>
      <x:c r="Z2400" s="10" t="n">
        <x:f>0</x:f>
        <x:v>0</x:v>
      </x:c>
      <x:c r="AA2400" s="10" t="n">
        <x:f>Z2400*'Assumptions'!$AC$118*'Assumptions'!$D$11*(1+'Assumptions'!$D$13)^(19-1)</x:f>
        <x:v>0</x:v>
      </x:c>
      <x:c r="AB2400" s="10" t="n">
        <x:f>F2400/1</x:f>
        <x:v>39.98549882538275</x:v>
      </x:c>
      <x:c r="AC2400" s="10" t="n">
        <x:f>AB2400/'Assumptions'!$AM$118</x:f>
        <x:v>1332.8499608460916</x:v>
      </x:c>
      <x:c r="AD2400" s="10" t="n">
        <x:f>IF(AB2400=0,0,T2400/AB2400)</x:f>
        <x:v>26.80211688370528</x:v>
      </x:c>
      <x:c r="AE2400" s="10" t="n">
        <x:f>AA2400*'Assumptions'!$D$21</x:f>
        <x:v>0</x:v>
      </x:c>
    </x:row>
    <x:row r="2401" ht="16" customHeight="1">
      <x:c r="A2401" s="1"/>
      <x:c r="B2401" s="1"/>
      <x:c r="C2401" s="1" t="str">
        <x:v>DOT-090</x:v>
      </x:c>
      <x:c r="D2401" s="10" t="str">
        <x:v>Semajes Marketplace</x:v>
      </x:c>
      <x:c r="E2401" s="10" t="n">
        <x:v>19</x:v>
      </x:c>
      <x:c r="F2401" s="21" t="n">
        <x:f>F2273*(1+'Assumptions'!$M$119)</x:f>
        <x:v>112.91421792454415</x:v>
      </x:c>
      <x:c r="G2401" s="21" t="n">
        <x:f>H2273*'Assumptions'!$K$119</x:f>
        <x:v>239.10687453000116</x:v>
      </x:c>
      <x:c r="H2401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2401+G2401,NA())</x:f>
        <x:v>352.0210924545453</x:v>
      </x:c>
      <x:c r="I2401" s="22" t="n">
        <x:f>'Assumptions'!$H$119*IF('Assumptions'!$O$119=1,1,'Assumptions'!$D$10)*(1+'Assumptions'!$N$119)^(19-1)</x:f>
        <x:v>856.9477485457641</x:v>
      </x:c>
      <x:c r="J2401" s="10" t="n">
        <x:f>H2401*I2401</x:f>
        <x:v>301663.6826195428</x:v>
      </x:c>
      <x:c r="K2401" s="10" t="n">
        <x:f>J2401*'Assumptions'!$T$119</x:f>
        <x:v>45249.55239293142</x:v>
      </x:c>
      <x:c r="L2401" s="10" t="n">
        <x:f>K2401*'Assumptions'!$U$119</x:f>
        <x:v>1357.4865717879427</x:v>
      </x:c>
      <x:c r="M2401" s="10" t="n">
        <x:f>K2401*'Assumptions'!$V$119</x:f>
        <x:v>0</x:v>
      </x:c>
      <x:c r="N2401" s="10" t="n">
        <x:f>K2401-L2401-M2401</x:f>
        <x:v>43892.06582114348</x:v>
      </x:c>
      <x:c r="O2401" s="10" t="n">
        <x:f>H2401*'Assumptions'!$P$119*'Assumptions'!$Q$119*'Assumptions'!$D$11*(1+'Assumptions'!$D$13)^(19-1)</x:f>
        <x:v>5243.808027923561</x:v>
      </x:c>
      <x:c r="P2401" s="10" t="n">
        <x:f>H2401*'Assumptions'!$R$119*'Assumptions'!$D$11*(1+'Assumptions'!$D$13)^(19-1)</x:f>
        <x:v>0</x:v>
      </x:c>
      <x:c r="Q2401" s="10" t="n">
        <x:f>J2401*'Assumptions'!$S$119</x:f>
        <x:v>0</x:v>
      </x:c>
      <x:c r="R2401" s="10" t="n">
        <x:f>H2401*'Assumptions'!$Y$119*'Assumptions'!$Z$119*'Assumptions'!$D$11*(1+'Assumptions'!$D$13)^(19-1)</x:f>
        <x:v>2696.8155572178316</x:v>
      </x:c>
      <x:c r="S2401" s="10" t="n">
        <x:f>IF(I2401=0,0,J2401*'Assumptions'!$W$119+H2401*'Assumptions'!$X$119)</x:f>
        <x:v>8853.853123703106</x:v>
      </x:c>
      <x:c r="T2401" s="10" t="n">
        <x:f>N2401*'Assumptions'!$AA$119</x:f>
        <x:v>2194.603291057174</x:v>
      </x:c>
      <x:c r="U2401" s="10" t="n">
        <x:f>'Assumptions'!$AE$119*'Assumptions'!$D$11*(1+'Assumptions'!$D$13)^(19-1)</x:f>
        <x:v>408.5839346975771</x:v>
      </x:c>
      <x:c r="V2401" s="10" t="n">
        <x:f>0</x:f>
        <x:v>0</x:v>
      </x:c>
      <x:c r="W2401" s="10" t="n">
        <x:f>H2401*('Assumptions'!$P$119+'Assumptions'!$Y$119)</x:f>
        <x:v>140.80843698181812</x:v>
      </x:c>
      <x:c r="X2401" s="10" t="n">
        <x:f>N2401/12*'Assumptions'!$AF$119</x:f>
        <x:v>0</x:v>
      </x:c>
      <x:c r="Y2401" s="10" t="n">
        <x:f>P2401/12</x:f>
        <x:v>0</x:v>
      </x:c>
      <x:c r="Z2401" s="10" t="n">
        <x:f>0</x:f>
        <x:v>0</x:v>
      </x:c>
      <x:c r="AA2401" s="10" t="n">
        <x:f>Z2401*'Assumptions'!$AC$119*'Assumptions'!$D$11*(1+'Assumptions'!$D$13)^(19-1)</x:f>
        <x:v>0</x:v>
      </x:c>
      <x:c r="AB2401" s="10" t="n">
        <x:f>F2401/1</x:f>
        <x:v>112.91421792454415</x:v>
      </x:c>
      <x:c r="AC2401" s="10" t="n">
        <x:f>AB2401/'Assumptions'!$AM$119</x:f>
        <x:v>2258.284358490883</x:v>
      </x:c>
      <x:c r="AD2401" s="10" t="n">
        <x:f>IF(AB2401=0,0,T2401/AB2401)</x:f>
        <x:v>19.436022596585097</x:v>
      </x:c>
      <x:c r="AE2401" s="10" t="n">
        <x:f>AA2401*'Assumptions'!$D$21</x:f>
        <x:v>0</x:v>
      </x:c>
    </x:row>
    <x:row r="2402" ht="16" customHeight="1">
      <x:c r="A2402" s="1"/>
      <x:c r="B2402" s="1"/>
      <x:c r="C2402" s="1" t="str">
        <x:v>DOT-091</x:v>
      </x:c>
      <x:c r="D2402" s="10" t="str">
        <x:v>Semajes Marketplace</x:v>
      </x:c>
      <x:c r="E2402" s="10" t="n">
        <x:v>19</x:v>
      </x:c>
      <x:c r="F2402" s="21" t="n">
        <x:f>F2274*(1+'Assumptions'!$M$120)</x:f>
        <x:v>225.8284358490883</x:v>
      </x:c>
      <x:c r="G2402" s="21" t="n">
        <x:f>H2274*'Assumptions'!$K$120</x:f>
        <x:v>478.2137490600023</x:v>
      </x:c>
      <x:c r="H2402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2402+G2402,NA())</x:f>
        <x:v>704.0421849090906</x:v>
      </x:c>
      <x:c r="I2402" s="22" t="n">
        <x:f>'Assumptions'!$H$120*IF('Assumptions'!$O$120=1,1,'Assumptions'!$D$10)*(1+'Assumptions'!$N$120)^(19-1)</x:f>
        <x:v>107.11846856822051</x:v>
      </x:c>
      <x:c r="J2402" s="10" t="n">
        <x:f>H2402*I2402</x:f>
        <x:v>75415.9206548857</x:v>
      </x:c>
      <x:c r="K2402" s="10" t="n">
        <x:f>J2402*'Assumptions'!$T$120</x:f>
        <x:v>15083.18413097714</x:v>
      </x:c>
      <x:c r="L2402" s="10" t="n">
        <x:f>K2402*'Assumptions'!$U$120</x:f>
        <x:v>452.49552392931423</x:v>
      </x:c>
      <x:c r="M2402" s="10" t="n">
        <x:f>K2402*'Assumptions'!$V$120</x:f>
        <x:v>0</x:v>
      </x:c>
      <x:c r="N2402" s="10" t="n">
        <x:f>K2402-L2402-M2402</x:f>
        <x:v>14630.688607047827</x:v>
      </x:c>
      <x:c r="O2402" s="10" t="n">
        <x:f>H2402*'Assumptions'!$P$120*'Assumptions'!$Q$120*'Assumptions'!$D$11*(1+'Assumptions'!$D$13)^(19-1)</x:f>
        <x:v>4195.046422338849</x:v>
      </x:c>
      <x:c r="P2402" s="10" t="n">
        <x:f>H2402*'Assumptions'!$R$120*'Assumptions'!$D$11*(1+'Assumptions'!$D$13)^(19-1)</x:f>
        <x:v>0</x:v>
      </x:c>
      <x:c r="Q2402" s="10" t="n">
        <x:f>J2402*'Assumptions'!$S$120</x:f>
        <x:v>0</x:v>
      </x:c>
      <x:c r="R2402" s="10" t="n">
        <x:f>H2402*'Assumptions'!$Y$120*'Assumptions'!$Z$120*'Assumptions'!$D$11*(1+'Assumptions'!$D$13)^(19-1)</x:f>
        <x:v>5393.631114435663</x:v>
      </x:c>
      <x:c r="S2402" s="10" t="n">
        <x:f>IF(I2402=0,0,J2402*'Assumptions'!$W$120+H2402*'Assumptions'!$X$120)</x:f>
        <x:v>2398.2743544644127</x:v>
      </x:c>
      <x:c r="T2402" s="10" t="n">
        <x:f>N2402*'Assumptions'!$AA$120</x:f>
        <x:v>731.5344303523914</x:v>
      </x:c>
      <x:c r="U2402" s="10" t="n">
        <x:f>'Assumptions'!$AE$120*'Assumptions'!$D$11*(1+'Assumptions'!$D$13)^(19-1)</x:f>
        <x:v>0</x:v>
      </x:c>
      <x:c r="V2402" s="10" t="n">
        <x:f>0</x:f>
        <x:v>0</x:v>
      </x:c>
      <x:c r="W2402" s="10" t="n">
        <x:f>H2402*('Assumptions'!$P$120+'Assumptions'!$Y$120)</x:f>
        <x:v>176.01054622727264</x:v>
      </x:c>
      <x:c r="X2402" s="10" t="n">
        <x:f>N2402/12*'Assumptions'!$AF$120</x:f>
        <x:v>0</x:v>
      </x:c>
      <x:c r="Y2402" s="10" t="n">
        <x:f>P2402/12</x:f>
        <x:v>0</x:v>
      </x:c>
      <x:c r="Z2402" s="10" t="n">
        <x:f>0</x:f>
        <x:v>0</x:v>
      </x:c>
      <x:c r="AA2402" s="10" t="n">
        <x:f>Z2402*'Assumptions'!$AC$120*'Assumptions'!$D$11*(1+'Assumptions'!$D$13)^(19-1)</x:f>
        <x:v>0</x:v>
      </x:c>
      <x:c r="AB2402" s="10" t="n">
        <x:f>F2402/1</x:f>
        <x:v>225.8284358490883</x:v>
      </x:c>
      <x:c r="AC2402" s="10" t="n">
        <x:f>AB2402/'Assumptions'!$AM$120</x:f>
        <x:v>4516.568716981766</x:v>
      </x:c>
      <x:c r="AD2402" s="10" t="n">
        <x:f>IF(AB2402=0,0,T2402/AB2402)</x:f>
        <x:v>3.2393370994308497</x:v>
      </x:c>
      <x:c r="AE2402" s="10" t="n">
        <x:f>AA2402*'Assumptions'!$D$21</x:f>
        <x:v>0</x:v>
      </x:c>
    </x:row>
    <x:row r="2403" ht="16" customHeight="1">
      <x:c r="A2403" s="1"/>
      <x:c r="B2403" s="1"/>
      <x:c r="C2403" s="1" t="str">
        <x:v>DOT-092</x:v>
      </x:c>
      <x:c r="D2403" s="10" t="str">
        <x:v>Semajes Marketplace</x:v>
      </x:c>
      <x:c r="E2403" s="10" t="n">
        <x:v>19</x:v>
      </x:c>
      <x:c r="F2403" s="21" t="n">
        <x:f>F2275*(1+'Assumptions'!$M$121)</x:f>
        <x:v>112.91421792454415</x:v>
      </x:c>
      <x:c r="G2403" s="21" t="n">
        <x:f>H2275*'Assumptions'!$K$121</x:f>
        <x:v>239.10687453000116</x:v>
      </x:c>
      <x:c r="H2403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2403+G2403,NA())</x:f>
        <x:v>352.0210924545453</x:v>
      </x:c>
      <x:c r="I2403" s="22" t="n">
        <x:f>'Assumptions'!$H$121*IF('Assumptions'!$O$121=1,1,'Assumptions'!$D$10)*(1+'Assumptions'!$N$121)^(19-1)</x:f>
        <x:v>357.06156189406835</x:v>
      </x:c>
      <x:c r="J2403" s="10" t="n">
        <x:f>H2403*I2403</x:f>
        <x:v>125693.20109147618</x:v>
      </x:c>
      <x:c r="K2403" s="10" t="n">
        <x:f>J2403*'Assumptions'!$T$121</x:f>
        <x:v>25138.640218295237</x:v>
      </x:c>
      <x:c r="L2403" s="10" t="n">
        <x:f>K2403*'Assumptions'!$U$121</x:f>
        <x:v>754.1592065488571</x:v>
      </x:c>
      <x:c r="M2403" s="10" t="n">
        <x:f>K2403*'Assumptions'!$V$121</x:f>
        <x:v>0</x:v>
      </x:c>
      <x:c r="N2403" s="10" t="n">
        <x:f>K2403-L2403-M2403</x:f>
        <x:v>24384.48101174638</x:v>
      </x:c>
      <x:c r="O2403" s="10" t="n">
        <x:f>H2403*'Assumptions'!$P$121*'Assumptions'!$Q$121*'Assumptions'!$D$11*(1+'Assumptions'!$D$13)^(19-1)</x:f>
        <x:v>3146.2848167541365</x:v>
      </x:c>
      <x:c r="P2403" s="10" t="n">
        <x:f>H2403*'Assumptions'!$R$121*'Assumptions'!$D$11*(1+'Assumptions'!$D$13)^(19-1)</x:f>
        <x:v>0</x:v>
      </x:c>
      <x:c r="Q2403" s="10" t="n">
        <x:f>J2403*'Assumptions'!$S$121</x:f>
        <x:v>0</x:v>
      </x:c>
      <x:c r="R2403" s="10" t="n">
        <x:f>H2403*'Assumptions'!$Y$121*'Assumptions'!$Z$121*'Assumptions'!$D$11*(1+'Assumptions'!$D$13)^(19-1)</x:f>
        <x:v>2696.8155572178316</x:v>
      </x:c>
      <x:c r="S2403" s="10" t="n">
        <x:f>IF(I2403=0,0,J2403*'Assumptions'!$W$121+H2403*'Assumptions'!$X$121)</x:f>
        <x:v>3750.7091593891732</x:v>
      </x:c>
      <x:c r="T2403" s="10" t="n">
        <x:f>N2403*'Assumptions'!$AA$121</x:f>
        <x:v>1219.224050587319</x:v>
      </x:c>
      <x:c r="U2403" s="10" t="n">
        <x:f>'Assumptions'!$AE$121*'Assumptions'!$D$11*(1+'Assumptions'!$D$13)^(19-1)</x:f>
        <x:v>0</x:v>
      </x:c>
      <x:c r="V2403" s="10" t="n">
        <x:f>0</x:f>
        <x:v>0</x:v>
      </x:c>
      <x:c r="W2403" s="10" t="n">
        <x:f>H2403*('Assumptions'!$P$121+'Assumptions'!$Y$121)</x:f>
        <x:v>105.60632773636358</x:v>
      </x:c>
      <x:c r="X2403" s="10" t="n">
        <x:f>N2403/12*'Assumptions'!$AF$121</x:f>
        <x:v>0</x:v>
      </x:c>
      <x:c r="Y2403" s="10" t="n">
        <x:f>P2403/12</x:f>
        <x:v>0</x:v>
      </x:c>
      <x:c r="Z2403" s="10" t="n">
        <x:f>0</x:f>
        <x:v>0</x:v>
      </x:c>
      <x:c r="AA2403" s="10" t="n">
        <x:f>Z2403*'Assumptions'!$AC$121*'Assumptions'!$D$11*(1+'Assumptions'!$D$13)^(19-1)</x:f>
        <x:v>0</x:v>
      </x:c>
      <x:c r="AB2403" s="10" t="n">
        <x:f>F2403/1</x:f>
        <x:v>112.91421792454415</x:v>
      </x:c>
      <x:c r="AC2403" s="10" t="n">
        <x:f>AB2403/'Assumptions'!$AM$121</x:f>
        <x:v>2258.284358490883</x:v>
      </x:c>
      <x:c r="AD2403" s="10" t="n">
        <x:f>IF(AB2403=0,0,T2403/AB2403)</x:f>
        <x:v>10.797790331436165</x:v>
      </x:c>
      <x:c r="AE2403" s="10" t="n">
        <x:f>AA2403*'Assumptions'!$D$21</x:f>
        <x:v>0</x:v>
      </x:c>
    </x:row>
    <x:row r="2404" ht="16" customHeight="1">
      <x:c r="A2404" s="1"/>
      <x:c r="B2404" s="1"/>
      <x:c r="C2404" s="1" t="str">
        <x:v>DOT-093</x:v>
      </x:c>
      <x:c r="D2404" s="10" t="str">
        <x:v>Semajes Marketplace</x:v>
      </x:c>
      <x:c r="E2404" s="10" t="n">
        <x:v>19</x:v>
      </x:c>
      <x:c r="F2404" s="21" t="n">
        <x:f>F2276*(1+'Assumptions'!$M$122)</x:f>
        <x:v>22.582843584908833</x:v>
      </x:c>
      <x:c r="G2404" s="21" t="n">
        <x:f>H2276*'Assumptions'!$K$122</x:f>
        <x:v>47.821374906000244</x:v>
      </x:c>
      <x:c r="H2404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2404+G2404,NA())</x:f>
        <x:v>70.40421849090907</x:v>
      </x:c>
      <x:c r="I2404" s="22" t="n">
        <x:f>'Assumptions'!$H$122*IF('Assumptions'!$O$122=1,1,'Assumptions'!$D$10)*(1+'Assumptions'!$N$122)^(19-1)</x:f>
        <x:v>714.1231237881367</x:v>
      </x:c>
      <x:c r="J2404" s="10" t="n">
        <x:f>H2404*I2404</x:f>
        <x:v>50277.28043659048</x:v>
      </x:c>
      <x:c r="K2404" s="10" t="n">
        <x:f>J2404*'Assumptions'!$T$122</x:f>
        <x:v>7541.592065488572</x:v>
      </x:c>
      <x:c r="L2404" s="10" t="n">
        <x:f>K2404*'Assumptions'!$U$122</x:f>
        <x:v>226.24776196465714</x:v>
      </x:c>
      <x:c r="M2404" s="10" t="n">
        <x:f>K2404*'Assumptions'!$V$122</x:f>
        <x:v>0</x:v>
      </x:c>
      <x:c r="N2404" s="10" t="n">
        <x:f>K2404-L2404-M2404</x:f>
        <x:v>7315.344303523915</x:v>
      </x:c>
      <x:c r="O2404" s="10" t="n">
        <x:f>H2404*'Assumptions'!$P$122*'Assumptions'!$Q$122*'Assumptions'!$D$11*(1+'Assumptions'!$D$13)^(19-1)</x:f>
        <x:v>1048.7616055847125</x:v>
      </x:c>
      <x:c r="P2404" s="10" t="n">
        <x:f>H2404*'Assumptions'!$R$122*'Assumptions'!$D$11*(1+'Assumptions'!$D$13)^(19-1)</x:f>
        <x:v>0</x:v>
      </x:c>
      <x:c r="Q2404" s="10" t="n">
        <x:f>J2404*'Assumptions'!$S$122</x:f>
        <x:v>0</x:v>
      </x:c>
      <x:c r="R2404" s="10" t="n">
        <x:f>H2404*'Assumptions'!$Y$122*'Assumptions'!$Z$122*'Assumptions'!$D$11*(1+'Assumptions'!$D$13)^(19-1)</x:f>
        <x:v>539.3631114435664</x:v>
      </x:c>
      <x:c r="S2404" s="10" t="n">
        <x:f>IF(I2404=0,0,J2404*'Assumptions'!$W$122+H2404*'Assumptions'!$X$122)</x:f>
        <x:v>1479.1623982083968</x:v>
      </x:c>
      <x:c r="T2404" s="10" t="n">
        <x:f>N2404*'Assumptions'!$AA$122</x:f>
        <x:v>365.7672151761958</x:v>
      </x:c>
      <x:c r="U2404" s="10" t="n">
        <x:f>'Assumptions'!$AE$122*'Assumptions'!$D$11*(1+'Assumptions'!$D$13)^(19-1)</x:f>
        <x:v>0</x:v>
      </x:c>
      <x:c r="V2404" s="10" t="n">
        <x:f>0</x:f>
        <x:v>0</x:v>
      </x:c>
      <x:c r="W2404" s="10" t="n">
        <x:f>H2404*('Assumptions'!$P$122+'Assumptions'!$Y$122)</x:f>
        <x:v>28.161687396363632</x:v>
      </x:c>
      <x:c r="X2404" s="10" t="n">
        <x:f>N2404/12*'Assumptions'!$AF$122</x:f>
        <x:v>0</x:v>
      </x:c>
      <x:c r="Y2404" s="10" t="n">
        <x:f>P2404/12</x:f>
        <x:v>0</x:v>
      </x:c>
      <x:c r="Z2404" s="10" t="n">
        <x:f>0</x:f>
        <x:v>0</x:v>
      </x:c>
      <x:c r="AA2404" s="10" t="n">
        <x:f>Z2404*'Assumptions'!$AC$122*'Assumptions'!$D$11*(1+'Assumptions'!$D$13)^(19-1)</x:f>
        <x:v>0</x:v>
      </x:c>
      <x:c r="AB2404" s="10" t="n">
        <x:f>F2404/1</x:f>
        <x:v>22.582843584908833</x:v>
      </x:c>
      <x:c r="AC2404" s="10" t="n">
        <x:f>AB2404/'Assumptions'!$AM$122</x:f>
        <x:v>451.65687169817664</x:v>
      </x:c>
      <x:c r="AD2404" s="10" t="n">
        <x:f>IF(AB2404=0,0,T2404/AB2404)</x:f>
        <x:v>16.196685497154252</x:v>
      </x:c>
      <x:c r="AE2404" s="10" t="n">
        <x:f>AA2404*'Assumptions'!$D$21</x:f>
        <x:v>0</x:v>
      </x:c>
    </x:row>
    <x:row r="2405" ht="16" customHeight="1">
      <x:c r="A2405" s="1"/>
      <x:c r="B2405" s="1"/>
      <x:c r="C2405" s="1" t="str">
        <x:v>DOT-094</x:v>
      </x:c>
      <x:c r="D2405" s="10" t="str">
        <x:v>Semajes premium and media</x:v>
      </x:c>
      <x:c r="E2405" s="10" t="n">
        <x:v>19</x:v>
      </x:c>
      <x:c r="F2405" s="21" t="n">
        <x:f>F2277*(1+'Assumptions'!$M$123)</x:f>
        <x:v>112.91421792454415</x:v>
      </x:c>
      <x:c r="G2405" s="21" t="n">
        <x:f>H2277*'Assumptions'!$K$123</x:f>
        <x:v>239.10687453000116</x:v>
      </x:c>
      <x:c r="H2405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2405+G2405,NA())</x:f>
        <x:v>352.0210924545453</x:v>
      </x:c>
      <x:c r="I2405" s="22" t="n">
        <x:f>'Assumptions'!$H$123*IF('Assumptions'!$O$123=1,1,'Assumptions'!$D$10)*(1+'Assumptions'!$N$123)^(19-1)</x:f>
        <x:v>12.854216228186461</x:v>
      </x:c>
      <x:c r="J2405" s="10" t="n">
        <x:f>H2405*I2405</x:f>
        <x:v>4524.955239293143</x:v>
      </x:c>
      <x:c r="K2405" s="10" t="n">
        <x:f>J2405*'Assumptions'!$T$123</x:f>
        <x:v>4524.955239293143</x:v>
      </x:c>
      <x:c r="L2405" s="10" t="n">
        <x:f>K2405*'Assumptions'!$U$123</x:f>
        <x:v>135.74865717879428</x:v>
      </x:c>
      <x:c r="M2405" s="10" t="n">
        <x:f>K2405*'Assumptions'!$V$123</x:f>
        <x:v>0</x:v>
      </x:c>
      <x:c r="N2405" s="10" t="n">
        <x:f>K2405-L2405-M2405</x:f>
        <x:v>4389.206582114349</x:v>
      </x:c>
      <x:c r="O2405" s="10" t="n">
        <x:f>H2405*'Assumptions'!$P$123*'Assumptions'!$Q$123*'Assumptions'!$D$11*(1+'Assumptions'!$D$13)^(19-1)</x:f>
        <x:v>1048.7616055847122</x:v>
      </x:c>
      <x:c r="P2405" s="10" t="n">
        <x:f>H2405*'Assumptions'!$R$123*'Assumptions'!$D$11*(1+'Assumptions'!$D$13)^(19-1)</x:f>
        <x:v>0</x:v>
      </x:c>
      <x:c r="Q2405" s="10" t="n">
        <x:f>J2405*'Assumptions'!$S$123</x:f>
        <x:v>0</x:v>
      </x:c>
      <x:c r="R2405" s="10" t="n">
        <x:f>H2405*'Assumptions'!$Y$123*'Assumptions'!$Z$123*'Assumptions'!$D$11*(1+'Assumptions'!$D$13)^(19-1)</x:f>
        <x:v>2696.8155572178316</x:v>
      </x:c>
      <x:c r="S2405" s="10" t="n">
        <x:f>IF(I2405=0,0,J2405*'Assumptions'!$W$123+H2405*'Assumptions'!$X$123)</x:f>
        <x:v>236.83002967586475</x:v>
      </x:c>
      <x:c r="T2405" s="10" t="n">
        <x:f>N2405*'Assumptions'!$AA$123</x:f>
        <x:v>219.46032910571745</x:v>
      </x:c>
      <x:c r="U2405" s="10" t="n">
        <x:f>'Assumptions'!$AE$123*'Assumptions'!$D$11*(1+'Assumptions'!$D$13)^(19-1)</x:f>
        <x:v>0</x:v>
      </x:c>
      <x:c r="V2405" s="10" t="n">
        <x:f>0</x:f>
        <x:v>0</x:v>
      </x:c>
      <x:c r="W2405" s="10" t="n">
        <x:f>H2405*('Assumptions'!$P$123+'Assumptions'!$Y$123)</x:f>
        <x:v>70.40421849090906</x:v>
      </x:c>
      <x:c r="X2405" s="10" t="n">
        <x:f>N2405/12*'Assumptions'!$AF$123</x:f>
        <x:v>0</x:v>
      </x:c>
      <x:c r="Y2405" s="10" t="n">
        <x:f>P2405/12</x:f>
        <x:v>0</x:v>
      </x:c>
      <x:c r="Z2405" s="10" t="n">
        <x:f>0</x:f>
        <x:v>0</x:v>
      </x:c>
      <x:c r="AA2405" s="10" t="n">
        <x:f>Z2405*'Assumptions'!$AC$123*'Assumptions'!$D$11*(1+'Assumptions'!$D$13)^(19-1)</x:f>
        <x:v>0</x:v>
      </x:c>
      <x:c r="AB2405" s="10" t="n">
        <x:f>F2405/12</x:f>
        <x:v>9.40951816037868</x:v>
      </x:c>
      <x:c r="AC2405" s="10" t="n">
        <x:f>AB2405/'Assumptions'!$AM$123</x:f>
        <x:v>188.19036320757357</x:v>
      </x:c>
      <x:c r="AD2405" s="10" t="n">
        <x:f>IF(AB2405=0,0,T2405/AB2405)</x:f>
        <x:v>23.32322711590212</x:v>
      </x:c>
      <x:c r="AE2405" s="10" t="n">
        <x:f>AA2405*'Assumptions'!$D$21</x:f>
        <x:v>0</x:v>
      </x:c>
    </x:row>
    <x:row r="2406" ht="16" customHeight="1">
      <x:c r="A2406" s="1"/>
      <x:c r="B2406" s="1"/>
      <x:c r="C2406" s="1" t="str">
        <x:v>DOT-095</x:v>
      </x:c>
      <x:c r="D2406" s="10" t="str">
        <x:v>Semajes premium and media</x:v>
      </x:c>
      <x:c r="E2406" s="10" t="n">
        <x:v>19</x:v>
      </x:c>
      <x:c r="F2406" s="21" t="n">
        <x:f>F2278*(1+'Assumptions'!$M$124)</x:f>
        <x:v>112.91421792454415</x:v>
      </x:c>
      <x:c r="G2406" s="21" t="n">
        <x:f>H2278*'Assumptions'!$K$124</x:f>
        <x:v>239.10687453000116</x:v>
      </x:c>
      <x:c r="H2406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2406+G2406,NA())</x:f>
        <x:v>352.0210924545453</x:v>
      </x:c>
      <x:c r="I2406" s="22" t="n">
        <x:f>'Assumptions'!$H$124*IF('Assumptions'!$O$124=1,1,'Assumptions'!$D$10)*(1+'Assumptions'!$N$124)^(19-1)</x:f>
        <x:v>27.136678703949194</x:v>
      </x:c>
      <x:c r="J2406" s="10" t="n">
        <x:f>H2406*I2406</x:f>
        <x:v>9552.68328295219</x:v>
      </x:c>
      <x:c r="K2406" s="10" t="n">
        <x:f>J2406*'Assumptions'!$T$124</x:f>
        <x:v>9552.68328295219</x:v>
      </x:c>
      <x:c r="L2406" s="10" t="n">
        <x:f>K2406*'Assumptions'!$U$124</x:f>
        <x:v>286.5804984885657</x:v>
      </x:c>
      <x:c r="M2406" s="10" t="n">
        <x:f>K2406*'Assumptions'!$V$124</x:f>
        <x:v>0</x:v>
      </x:c>
      <x:c r="N2406" s="10" t="n">
        <x:f>K2406-L2406-M2406</x:f>
        <x:v>9266.102784463625</x:v>
      </x:c>
      <x:c r="O2406" s="10" t="n">
        <x:f>H2406*'Assumptions'!$P$124*'Assumptions'!$Q$124*'Assumptions'!$D$11*(1+'Assumptions'!$D$13)^(19-1)</x:f>
        <x:v>2097.5232111694245</x:v>
      </x:c>
      <x:c r="P2406" s="10" t="n">
        <x:f>H2406*'Assumptions'!$R$124*'Assumptions'!$D$11*(1+'Assumptions'!$D$13)^(19-1)</x:f>
        <x:v>0</x:v>
      </x:c>
      <x:c r="Q2406" s="10" t="n">
        <x:f>J2406*'Assumptions'!$S$124</x:f>
        <x:v>0</x:v>
      </x:c>
      <x:c r="R2406" s="10" t="n">
        <x:f>H2406*'Assumptions'!$Y$124*'Assumptions'!$Z$124*'Assumptions'!$D$11*(1+'Assumptions'!$D$13)^(19-1)</x:f>
        <x:v>2696.8155572178316</x:v>
      </x:c>
      <x:c r="S2406" s="10" t="n">
        <x:f>IF(I2406=0,0,J2406*'Assumptions'!$W$124+H2406*'Assumptions'!$X$124)</x:f>
        <x:v>382.63414294197713</x:v>
      </x:c>
      <x:c r="T2406" s="10" t="n">
        <x:f>N2406*'Assumptions'!$AA$124</x:f>
        <x:v>463.30513922318124</x:v>
      </x:c>
      <x:c r="U2406" s="10" t="n">
        <x:f>'Assumptions'!$AE$124*'Assumptions'!$D$11*(1+'Assumptions'!$D$13)^(19-1)</x:f>
        <x:v>0</x:v>
      </x:c>
      <x:c r="V2406" s="10" t="n">
        <x:f>0</x:f>
        <x:v>0</x:v>
      </x:c>
      <x:c r="W2406" s="10" t="n">
        <x:f>H2406*('Assumptions'!$P$124+'Assumptions'!$Y$124)</x:f>
        <x:v>88.00527311363632</x:v>
      </x:c>
      <x:c r="X2406" s="10" t="n">
        <x:f>N2406/12*'Assumptions'!$AF$124</x:f>
        <x:v>0</x:v>
      </x:c>
      <x:c r="Y2406" s="10" t="n">
        <x:f>P2406/12</x:f>
        <x:v>0</x:v>
      </x:c>
      <x:c r="Z2406" s="10" t="n">
        <x:f>0</x:f>
        <x:v>0</x:v>
      </x:c>
      <x:c r="AA2406" s="10" t="n">
        <x:f>Z2406*'Assumptions'!$AC$124*'Assumptions'!$D$11*(1+'Assumptions'!$D$13)^(19-1)</x:f>
        <x:v>0</x:v>
      </x:c>
      <x:c r="AB2406" s="10" t="n">
        <x:f>F2406/12</x:f>
        <x:v>9.40951816037868</x:v>
      </x:c>
      <x:c r="AC2406" s="10" t="n">
        <x:f>AB2406/'Assumptions'!$AM$124</x:f>
        <x:v>188.19036320757357</x:v>
      </x:c>
      <x:c r="AD2406" s="10" t="n">
        <x:f>IF(AB2406=0,0,T2406/AB2406)</x:f>
        <x:v>49.237923911348915</x:v>
      </x:c>
      <x:c r="AE2406" s="10" t="n">
        <x:f>AA2406*'Assumptions'!$D$21</x:f>
        <x:v>0</x:v>
      </x:c>
    </x:row>
    <x:row r="2407" ht="16" customHeight="1">
      <x:c r="A2407" s="1"/>
      <x:c r="B2407" s="1"/>
      <x:c r="C2407" s="1" t="str">
        <x:v>DOT-096</x:v>
      </x:c>
      <x:c r="D2407" s="10" t="str">
        <x:v>Semajes premium and media</x:v>
      </x:c>
      <x:c r="E2407" s="10" t="n">
        <x:v>19</x:v>
      </x:c>
      <x:c r="F2407" s="21" t="n">
        <x:f>F2279*(1+'Assumptions'!$M$125)</x:f>
        <x:v>56.45710896227207</x:v>
      </x:c>
      <x:c r="G2407" s="21" t="n">
        <x:f>H2279*'Assumptions'!$K$125</x:f>
        <x:v>119.55343726500058</x:v>
      </x:c>
      <x:c r="H2407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2407+G2407,NA())</x:f>
        <x:v>176.01054622727264</x:v>
      </x:c>
      <x:c r="I2407" s="22" t="n">
        <x:f>'Assumptions'!$H$125*IF('Assumptions'!$O$125=1,1,'Assumptions'!$D$10)*(1+'Assumptions'!$N$125)^(19-1)</x:f>
        <x:v>55.70160365547466</x:v>
      </x:c>
      <x:c r="J2407" s="10" t="n">
        <x:f>H2407*I2407</x:f>
        <x:v>9804.069685135142</x:v>
      </x:c>
      <x:c r="K2407" s="10" t="n">
        <x:f>J2407*'Assumptions'!$T$125</x:f>
        <x:v>9804.069685135142</x:v>
      </x:c>
      <x:c r="L2407" s="10" t="n">
        <x:f>K2407*'Assumptions'!$U$125</x:f>
        <x:v>294.12209055405424</x:v>
      </x:c>
      <x:c r="M2407" s="10" t="n">
        <x:f>K2407*'Assumptions'!$V$125</x:f>
        <x:v>0</x:v>
      </x:c>
      <x:c r="N2407" s="10" t="n">
        <x:f>K2407-L2407-M2407</x:f>
        <x:v>9509.947594581088</x:v>
      </x:c>
      <x:c r="O2407" s="10" t="n">
        <x:f>H2407*'Assumptions'!$P$125*'Assumptions'!$Q$125*'Assumptions'!$D$11*(1+'Assumptions'!$D$13)^(19-1)</x:f>
        <x:v>2097.5232111694245</x:v>
      </x:c>
      <x:c r="P2407" s="10" t="n">
        <x:f>H2407*'Assumptions'!$R$125*'Assumptions'!$D$11*(1+'Assumptions'!$D$13)^(19-1)</x:f>
        <x:v>0</x:v>
      </x:c>
      <x:c r="Q2407" s="10" t="n">
        <x:f>J2407*'Assumptions'!$S$125</x:f>
        <x:v>0</x:v>
      </x:c>
      <x:c r="R2407" s="10" t="n">
        <x:f>H2407*'Assumptions'!$Y$125*'Assumptions'!$Z$125*'Assumptions'!$D$11*(1+'Assumptions'!$D$13)^(19-1)</x:f>
        <x:v>1348.4077786089158</x:v>
      </x:c>
      <x:c r="S2407" s="10" t="n">
        <x:f>IF(I2407=0,0,J2407*'Assumptions'!$W$125+H2407*'Assumptions'!$X$125)</x:f>
        <x:v>337.1211847371009</x:v>
      </x:c>
      <x:c r="T2407" s="10" t="n">
        <x:f>N2407*'Assumptions'!$AA$125</x:f>
        <x:v>475.49737972905444</x:v>
      </x:c>
      <x:c r="U2407" s="10" t="n">
        <x:f>'Assumptions'!$AE$125*'Assumptions'!$D$11*(1+'Assumptions'!$D$13)^(19-1)</x:f>
        <x:v>0</x:v>
      </x:c>
      <x:c r="V2407" s="10" t="n">
        <x:f>0</x:f>
        <x:v>0</x:v>
      </x:c>
      <x:c r="W2407" s="10" t="n">
        <x:f>H2407*('Assumptions'!$P$125+'Assumptions'!$Y$125)</x:f>
        <x:v>61.60369117954542</x:v>
      </x:c>
      <x:c r="X2407" s="10" t="n">
        <x:f>N2407/12*'Assumptions'!$AF$125</x:f>
        <x:v>0</x:v>
      </x:c>
      <x:c r="Y2407" s="10" t="n">
        <x:f>P2407/12</x:f>
        <x:v>0</x:v>
      </x:c>
      <x:c r="Z2407" s="10" t="n">
        <x:f>0</x:f>
        <x:v>0</x:v>
      </x:c>
      <x:c r="AA2407" s="10" t="n">
        <x:f>Z2407*'Assumptions'!$AC$125*'Assumptions'!$D$11*(1+'Assumptions'!$D$13)^(19-1)</x:f>
        <x:v>0</x:v>
      </x:c>
      <x:c r="AB2407" s="10" t="n">
        <x:f>F2407/12</x:f>
        <x:v>4.70475908018934</x:v>
      </x:c>
      <x:c r="AC2407" s="10" t="n">
        <x:f>AB2407/'Assumptions'!$AM$125</x:f>
        <x:v>94.09518160378678</x:v>
      </x:c>
      <x:c r="AD2407" s="10" t="n">
        <x:f>IF(AB2407=0,0,T2407/AB2407)</x:f>
        <x:v>101.06731750224252</x:v>
      </x:c>
      <x:c r="AE2407" s="10" t="n">
        <x:f>AA2407*'Assumptions'!$D$21</x:f>
        <x:v>0</x:v>
      </x:c>
    </x:row>
    <x:row r="2408" ht="16" customHeight="1">
      <x:c r="A2408" s="1"/>
      <x:c r="B2408" s="1"/>
      <x:c r="C2408" s="1" t="str">
        <x:v>DOT-097</x:v>
      </x:c>
      <x:c r="D2408" s="10" t="str">
        <x:v>Semajes premium and media</x:v>
      </x:c>
      <x:c r="E2408" s="10" t="n">
        <x:v>19</x:v>
      </x:c>
      <x:c r="F2408" s="21" t="n">
        <x:f>F2280*(1+'Assumptions'!$M$126)</x:f>
        <x:v>33.874265377363244</x:v>
      </x:c>
      <x:c r="G2408" s="21" t="n">
        <x:f>H2280*'Assumptions'!$K$126</x:f>
        <x:v>71.73206235900034</x:v>
      </x:c>
      <x:c r="H2408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2408+G2408,NA())</x:f>
        <x:v>105.60632773636358</x:v>
      </x:c>
      <x:c r="I2408" s="22" t="n">
        <x:f>'Assumptions'!$H$126*IF('Assumptions'!$O$126=1,1,'Assumptions'!$D$10)*(1+'Assumptions'!$N$126)^(19-1)</x:f>
        <x:v>141.39637851005108</x:v>
      </x:c>
      <x:c r="J2408" s="10" t="n">
        <x:f>H2408*I2408</x:f>
        <x:v>14932.352289667371</x:v>
      </x:c>
      <x:c r="K2408" s="10" t="n">
        <x:f>J2408*'Assumptions'!$T$126</x:f>
        <x:v>14932.352289667371</x:v>
      </x:c>
      <x:c r="L2408" s="10" t="n">
        <x:f>K2408*'Assumptions'!$U$126</x:f>
        <x:v>447.97056869002114</x:v>
      </x:c>
      <x:c r="M2408" s="10" t="n">
        <x:f>K2408*'Assumptions'!$V$126</x:f>
        <x:v>0</x:v>
      </x:c>
      <x:c r="N2408" s="10" t="n">
        <x:f>K2408-L2408-M2408</x:f>
        <x:v>14484.38172097735</x:v>
      </x:c>
      <x:c r="O2408" s="10" t="n">
        <x:f>H2408*'Assumptions'!$P$126*'Assumptions'!$Q$126*'Assumptions'!$D$11*(1+'Assumptions'!$D$13)^(19-1)</x:f>
        <x:v>6292.569633508273</x:v>
      </x:c>
      <x:c r="P2408" s="10" t="n">
        <x:f>H2408*'Assumptions'!$R$126*'Assumptions'!$D$11*(1+'Assumptions'!$D$13)^(19-1)</x:f>
        <x:v>0</x:v>
      </x:c>
      <x:c r="Q2408" s="10" t="n">
        <x:f>J2408*'Assumptions'!$S$126</x:f>
        <x:v>0</x:v>
      </x:c>
      <x:c r="R2408" s="10" t="n">
        <x:f>H2408*'Assumptions'!$Y$126*'Assumptions'!$Z$126*'Assumptions'!$D$11*(1+'Assumptions'!$D$13)^(19-1)</x:f>
        <x:v>809.0446671653494</x:v>
      </x:c>
      <x:c r="S2408" s="10" t="n">
        <x:f>IF(I2408=0,0,J2408*'Assumptions'!$W$126+H2408*'Assumptions'!$X$126)</x:f>
        <x:v>464.72011472126286</x:v>
      </x:c>
      <x:c r="T2408" s="10" t="n">
        <x:f>N2408*'Assumptions'!$AA$126</x:f>
        <x:v>724.2190860488676</x:v>
      </x:c>
      <x:c r="U2408" s="10" t="n">
        <x:f>'Assumptions'!$AE$126*'Assumptions'!$D$11*(1+'Assumptions'!$D$13)^(19-1)</x:f>
        <x:v>0</x:v>
      </x:c>
      <x:c r="V2408" s="10" t="n">
        <x:f>0</x:f>
        <x:v>0</x:v>
      </x:c>
      <x:c r="W2408" s="10" t="n">
        <x:f>H2408*('Assumptions'!$P$126+'Assumptions'!$Y$126)</x:f>
        <x:v>121.44727689681811</x:v>
      </x:c>
      <x:c r="X2408" s="10" t="n">
        <x:f>N2408/12*'Assumptions'!$AF$126</x:f>
        <x:v>0</x:v>
      </x:c>
      <x:c r="Y2408" s="10" t="n">
        <x:f>P2408/12</x:f>
        <x:v>0</x:v>
      </x:c>
      <x:c r="Z2408" s="10" t="n">
        <x:f>0</x:f>
        <x:v>0</x:v>
      </x:c>
      <x:c r="AA2408" s="10" t="n">
        <x:f>Z2408*'Assumptions'!$AC$126*'Assumptions'!$D$11*(1+'Assumptions'!$D$13)^(19-1)</x:f>
        <x:v>0</x:v>
      </x:c>
      <x:c r="AB2408" s="10" t="n">
        <x:f>F2408/1</x:f>
        <x:v>33.874265377363244</x:v>
      </x:c>
      <x:c r="AC2408" s="10" t="n">
        <x:f>AB2408/'Assumptions'!$AM$126</x:f>
        <x:v>677.4853075472648</x:v>
      </x:c>
      <x:c r="AD2408" s="10" t="n">
        <x:f>IF(AB2408=0,0,T2408/AB2408)</x:f>
        <x:v>21.37962485624361</x:v>
      </x:c>
      <x:c r="AE2408" s="10" t="n">
        <x:f>AA2408*'Assumptions'!$D$21</x:f>
        <x:v>0</x:v>
      </x:c>
    </x:row>
    <x:row r="2409" ht="16" customHeight="1">
      <x:c r="A2409" s="1"/>
      <x:c r="B2409" s="1"/>
      <x:c r="C2409" s="1" t="str">
        <x:v>DOT-098</x:v>
      </x:c>
      <x:c r="D2409" s="10" t="str">
        <x:v>Semajes premium and media</x:v>
      </x:c>
      <x:c r="E2409" s="10" t="n">
        <x:v>19</x:v>
      </x:c>
      <x:c r="F2409" s="21" t="n">
        <x:f>F2281*(1+'Assumptions'!$M$127)</x:f>
        <x:v>16.937132688681622</x:v>
      </x:c>
      <x:c r="G2409" s="21" t="n">
        <x:f>H2281*'Assumptions'!$K$127</x:f>
        <x:v>35.86603117950017</x:v>
      </x:c>
      <x:c r="H2409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2409+G2409,NA())</x:f>
        <x:v>52.80316386818179</x:v>
      </x:c>
      <x:c r="I2409" s="22" t="n">
        <x:f>'Assumptions'!$H$127*IF('Assumptions'!$O$127=1,1,'Assumptions'!$D$10)*(1+'Assumptions'!$N$127)^(19-1)</x:f>
        <x:v>355.63331564649206</x:v>
      </x:c>
      <x:c r="J2409" s="10" t="n">
        <x:f>H2409*I2409</x:f>
        <x:v>18778.56424306654</x:v>
      </x:c>
      <x:c r="K2409" s="10" t="n">
        <x:f>J2409*'Assumptions'!$T$127</x:f>
        <x:v>18778.56424306654</x:v>
      </x:c>
      <x:c r="L2409" s="10" t="n">
        <x:f>K2409*'Assumptions'!$U$127</x:f>
        <x:v>563.3569272919962</x:v>
      </x:c>
      <x:c r="M2409" s="10" t="n">
        <x:f>K2409*'Assumptions'!$V$127</x:f>
        <x:v>0</x:v>
      </x:c>
      <x:c r="N2409" s="10" t="n">
        <x:f>K2409-L2409-M2409</x:f>
        <x:v>18215.207315774544</x:v>
      </x:c>
      <x:c r="O2409" s="10" t="n">
        <x:f>H2409*'Assumptions'!$P$127*'Assumptions'!$Q$127*'Assumptions'!$D$11*(1+'Assumptions'!$D$13)^(19-1)</x:f>
        <x:v>9438.85445026241</x:v>
      </x:c>
      <x:c r="P2409" s="10" t="n">
        <x:f>H2409*'Assumptions'!$R$127*'Assumptions'!$D$11*(1+'Assumptions'!$D$13)^(19-1)</x:f>
        <x:v>0</x:v>
      </x:c>
      <x:c r="Q2409" s="10" t="n">
        <x:f>J2409*'Assumptions'!$S$127</x:f>
        <x:v>0</x:v>
      </x:c>
      <x:c r="R2409" s="10" t="n">
        <x:f>H2409*'Assumptions'!$Y$127*'Assumptions'!$Z$127*'Assumptions'!$D$11*(1+'Assumptions'!$D$13)^(19-1)</x:f>
        <x:v>404.5223335826747</x:v>
      </x:c>
      <x:c r="S2409" s="10" t="n">
        <x:f>IF(I2409=0,0,J2409*'Assumptions'!$W$127+H2409*'Assumptions'!$X$127)</x:f>
        <x:v>560.4193122093842</x:v>
      </x:c>
      <x:c r="T2409" s="10" t="n">
        <x:f>N2409*'Assumptions'!$AA$127</x:f>
        <x:v>910.7603657887272</x:v>
      </x:c>
      <x:c r="U2409" s="10" t="n">
        <x:f>'Assumptions'!$AE$127*'Assumptions'!$D$11*(1+'Assumptions'!$D$13)^(19-1)</x:f>
        <x:v>0</x:v>
      </x:c>
      <x:c r="V2409" s="10" t="n">
        <x:f>0</x:f>
        <x:v>0</x:v>
      </x:c>
      <x:c r="W2409" s="10" t="n">
        <x:f>H2409*('Assumptions'!$P$127+'Assumptions'!$Y$127)</x:f>
        <x:v>166.32996618477264</x:v>
      </x:c>
      <x:c r="X2409" s="10" t="n">
        <x:f>N2409/12*'Assumptions'!$AF$127</x:f>
        <x:v>0</x:v>
      </x:c>
      <x:c r="Y2409" s="10" t="n">
        <x:f>P2409/12</x:f>
        <x:v>0</x:v>
      </x:c>
      <x:c r="Z2409" s="10" t="n">
        <x:f>0</x:f>
        <x:v>0</x:v>
      </x:c>
      <x:c r="AA2409" s="10" t="n">
        <x:f>Z2409*'Assumptions'!$AC$127*'Assumptions'!$D$11*(1+'Assumptions'!$D$13)^(19-1)</x:f>
        <x:v>0</x:v>
      </x:c>
      <x:c r="AB2409" s="10" t="n">
        <x:f>F2409/1</x:f>
        <x:v>16.937132688681622</x:v>
      </x:c>
      <x:c r="AC2409" s="10" t="n">
        <x:f>AB2409/'Assumptions'!$AM$127</x:f>
        <x:v>338.7426537736324</x:v>
      </x:c>
      <x:c r="AD2409" s="10" t="n">
        <x:f>IF(AB2409=0,0,T2409/AB2409)</x:f>
        <x:v>53.7729958505521</x:v>
      </x:c>
      <x:c r="AE2409" s="10" t="n">
        <x:f>AA2409*'Assumptions'!$D$21</x:f>
        <x:v>0</x:v>
      </x:c>
    </x:row>
    <x:row r="2410" ht="16" customHeight="1">
      <x:c r="A2410" s="1"/>
      <x:c r="B2410" s="1"/>
      <x:c r="C2410" s="1" t="str">
        <x:v>DOT-099</x:v>
      </x:c>
      <x:c r="D2410" s="10" t="str">
        <x:v>Semajes premium and media</x:v>
      </x:c>
      <x:c r="E2410" s="10" t="n">
        <x:v>19</x:v>
      </x:c>
      <x:c r="F2410" s="21" t="n">
        <x:f>F2282*(1+'Assumptions'!$M$128)</x:f>
        <x:v>56.45710896227207</x:v>
      </x:c>
      <x:c r="G2410" s="21" t="n">
        <x:f>H2282*'Assumptions'!$K$128</x:f>
        <x:v>119.55343726500058</x:v>
      </x:c>
      <x:c r="H2410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2410+G2410,NA())</x:f>
        <x:v>176.01054622727264</x:v>
      </x:c>
      <x:c r="I2410" s="22" t="n">
        <x:f>'Assumptions'!$H$128*IF('Assumptions'!$O$128=1,1,'Assumptions'!$D$10)*(1+'Assumptions'!$N$128)^(19-1)</x:f>
        <x:v>41.41914117971193</x:v>
      </x:c>
      <x:c r="J2410" s="10" t="n">
        <x:f>H2410*I2410</x:f>
        <x:v>7290.205663305618</x:v>
      </x:c>
      <x:c r="K2410" s="10" t="n">
        <x:f>J2410*'Assumptions'!$T$128</x:f>
        <x:v>7290.205663305618</x:v>
      </x:c>
      <x:c r="L2410" s="10" t="n">
        <x:f>K2410*'Assumptions'!$U$128</x:f>
        <x:v>218.70616989916854</x:v>
      </x:c>
      <x:c r="M2410" s="10" t="n">
        <x:f>K2410*'Assumptions'!$V$128</x:f>
        <x:v>0</x:v>
      </x:c>
      <x:c r="N2410" s="10" t="n">
        <x:f>K2410-L2410-M2410</x:f>
        <x:v>7071.49949340645</x:v>
      </x:c>
      <x:c r="O2410" s="10" t="n">
        <x:f>H2410*'Assumptions'!$P$128*'Assumptions'!$Q$128*'Assumptions'!$D$11*(1+'Assumptions'!$D$13)^(19-1)</x:f>
        <x:v>1573.1424083770683</x:v>
      </x:c>
      <x:c r="P2410" s="10" t="n">
        <x:f>H2410*'Assumptions'!$R$128*'Assumptions'!$D$11*(1+'Assumptions'!$D$13)^(19-1)</x:f>
        <x:v>0</x:v>
      </x:c>
      <x:c r="Q2410" s="10" t="n">
        <x:f>J2410*'Assumptions'!$S$128</x:f>
        <x:v>0</x:v>
      </x:c>
      <x:c r="R2410" s="10" t="n">
        <x:f>H2410*'Assumptions'!$Y$128*'Assumptions'!$Z$128*'Assumptions'!$D$11*(1+'Assumptions'!$D$13)^(19-1)</x:f>
        <x:v>1348.4077786089158</x:v>
      </x:c>
      <x:c r="S2410" s="10" t="n">
        <x:f>IF(I2410=0,0,J2410*'Assumptions'!$W$128+H2410*'Assumptions'!$X$128)</x:f>
        <x:v>264.2191281040447</x:v>
      </x:c>
      <x:c r="T2410" s="10" t="n">
        <x:f>N2410*'Assumptions'!$AA$128</x:f>
        <x:v>353.5749746703225</x:v>
      </x:c>
      <x:c r="U2410" s="10" t="n">
        <x:f>'Assumptions'!$AE$128*'Assumptions'!$D$11*(1+'Assumptions'!$D$13)^(19-1)</x:f>
        <x:v>0</x:v>
      </x:c>
      <x:c r="V2410" s="10" t="n">
        <x:f>0</x:f>
        <x:v>0</x:v>
      </x:c>
      <x:c r="W2410" s="10" t="n">
        <x:f>H2410*('Assumptions'!$P$128+'Assumptions'!$Y$128)</x:f>
        <x:v>52.80316386818179</x:v>
      </x:c>
      <x:c r="X2410" s="10" t="n">
        <x:f>N2410/12*'Assumptions'!$AF$128</x:f>
        <x:v>0</x:v>
      </x:c>
      <x:c r="Y2410" s="10" t="n">
        <x:f>P2410/12</x:f>
        <x:v>0</x:v>
      </x:c>
      <x:c r="Z2410" s="10" t="n">
        <x:f>0</x:f>
        <x:v>0</x:v>
      </x:c>
      <x:c r="AA2410" s="10" t="n">
        <x:f>Z2410*'Assumptions'!$AC$128*'Assumptions'!$D$11*(1+'Assumptions'!$D$13)^(19-1)</x:f>
        <x:v>0</x:v>
      </x:c>
      <x:c r="AB2410" s="10" t="n">
        <x:f>F2410/1</x:f>
        <x:v>56.45710896227207</x:v>
      </x:c>
      <x:c r="AC2410" s="10" t="n">
        <x:f>AB2410/'Assumptions'!$AM$128</x:f>
        <x:v>1129.1421792454414</x:v>
      </x:c>
      <x:c r="AD2410" s="10" t="n">
        <x:f>IF(AB2410=0,0,T2410/AB2410)</x:f>
        <x:v>6.262718392232975</x:v>
      </x:c>
      <x:c r="AE2410" s="10" t="n">
        <x:f>AA2410*'Assumptions'!$D$21</x:f>
        <x:v>0</x:v>
      </x:c>
    </x:row>
    <x:row r="2411" ht="16" customHeight="1">
      <x:c r="A2411" s="1"/>
      <x:c r="B2411" s="1"/>
      <x:c r="C2411" s="1" t="str">
        <x:v>DOT-100</x:v>
      </x:c>
      <x:c r="D2411" s="10" t="str">
        <x:v>Semajes courses</x:v>
      </x:c>
      <x:c r="E2411" s="10" t="n">
        <x:v>19</x:v>
      </x:c>
      <x:c r="F2411" s="21" t="n">
        <x:f>F2283*(1+'Assumptions'!$M$129)</x:f>
        <x:v>476.19519884232665</x:v>
      </x:c>
      <x:c r="G2411" s="21" t="n">
        <x:f>H2283*'Assumptions'!$K$129</x:f>
        <x:v>152.62666624477026</x:v>
      </x:c>
      <x:c r="H2411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2411+G2411,NA())</x:f>
        <x:v>628.821865087097</x:v>
      </x:c>
      <x:c r="I2411" s="22" t="n">
        <x:f>'Assumptions'!$H$129*IF('Assumptions'!$O$129=1,1,'Assumptions'!$D$10)*(1+'Assumptions'!$N$129)^(19-1)</x:f>
        <x:v>55.70160365547466</x:v>
      </x:c>
      <x:c r="J2411" s="10" t="n">
        <x:f>H2411*I2411</x:f>
        <x:v>35026.386298977835</x:v>
      </x:c>
      <x:c r="K2411" s="10" t="n">
        <x:f>J2411*'Assumptions'!$T$129</x:f>
        <x:v>35026.386298977835</x:v>
      </x:c>
      <x:c r="L2411" s="10" t="n">
        <x:f>K2411*'Assumptions'!$U$129</x:f>
        <x:v>1050.791588969335</x:v>
      </x:c>
      <x:c r="M2411" s="10" t="n">
        <x:f>K2411*'Assumptions'!$V$129</x:f>
        <x:v>0</x:v>
      </x:c>
      <x:c r="N2411" s="10" t="n">
        <x:f>K2411-L2411-M2411</x:f>
        <x:v>33975.5947100085</x:v>
      </x:c>
      <x:c r="O2411" s="10" t="n">
        <x:f>H2411*'Assumptions'!$P$129*'Assumptions'!$Q$129*'Assumptions'!$D$11*(1+'Assumptions'!$D$13)^(19-1)</x:f>
        <x:v>5620.267446962767</x:v>
      </x:c>
      <x:c r="P2411" s="10" t="n">
        <x:f>H2411*'Assumptions'!$R$129*'Assumptions'!$D$11*(1+'Assumptions'!$D$13)^(19-1)</x:f>
        <x:v>0</x:v>
      </x:c>
      <x:c r="Q2411" s="10" t="n">
        <x:f>J2411*'Assumptions'!$S$129</x:f>
        <x:v>0</x:v>
      </x:c>
      <x:c r="R2411" s="10" t="n">
        <x:f>H2411*'Assumptions'!$Y$129*'Assumptions'!$Z$129*'Assumptions'!$D$11*(1+'Assumptions'!$D$13)^(19-1)</x:f>
        <x:v>3211.5813982644386</x:v>
      </x:c>
      <x:c r="S2411" s="10" t="n">
        <x:f>IF(I2411=0,0,J2411*'Assumptions'!$W$129+H2411*'Assumptions'!$X$129)</x:f>
        <x:v>1204.4117621964865</x:v>
      </x:c>
      <x:c r="T2411" s="10" t="n">
        <x:f>N2411*'Assumptions'!$AA$129</x:f>
        <x:v>1698.7797355004252</x:v>
      </x:c>
      <x:c r="U2411" s="10" t="n">
        <x:f>'Assumptions'!$AE$129*'Assumptions'!$D$11*(1+'Assumptions'!$D$13)^(19-1)</x:f>
        <x:v>0</x:v>
      </x:c>
      <x:c r="V2411" s="10" t="n">
        <x:f>0</x:f>
        <x:v>0</x:v>
      </x:c>
      <x:c r="W2411" s="10" t="n">
        <x:f>H2411*('Assumptions'!$P$129+'Assumptions'!$Y$129)</x:f>
        <x:v>157.20546627177424</x:v>
      </x:c>
      <x:c r="X2411" s="10" t="n">
        <x:f>N2411/12*'Assumptions'!$AF$129</x:f>
        <x:v>0</x:v>
      </x:c>
      <x:c r="Y2411" s="10" t="n">
        <x:f>P2411/12</x:f>
        <x:v>0</x:v>
      </x:c>
      <x:c r="Z2411" s="10" t="n">
        <x:f>0</x:f>
        <x:v>0</x:v>
      </x:c>
      <x:c r="AA2411" s="10" t="n">
        <x:f>Z2411*'Assumptions'!$AC$129*'Assumptions'!$D$11*(1+'Assumptions'!$D$13)^(19-1)</x:f>
        <x:v>0</x:v>
      </x:c>
      <x:c r="AB2411" s="10" t="n">
        <x:f>F2411/1</x:f>
        <x:v>476.19519884232665</x:v>
      </x:c>
      <x:c r="AC2411" s="10" t="n">
        <x:f>AB2411/'Assumptions'!$AM$129</x:f>
        <x:v>9523.903976846532</x:v>
      </x:c>
      <x:c r="AD2411" s="10" t="n">
        <x:f>IF(AB2411=0,0,T2411/AB2411)</x:f>
        <x:v>3.567402064595173</x:v>
      </x:c>
      <x:c r="AE2411" s="10" t="n">
        <x:f>AA2411*'Assumptions'!$D$21</x:f>
        <x:v>0</x:v>
      </x:c>
    </x:row>
    <x:row r="2412" ht="16" customHeight="1">
      <x:c r="A2412" s="1"/>
      <x:c r="B2412" s="1"/>
      <x:c r="C2412" s="1" t="str">
        <x:v>DOT-101</x:v>
      </x:c>
      <x:c r="D2412" s="10" t="str">
        <x:v>Sleepy Face</x:v>
      </x:c>
      <x:c r="E2412" s="10" t="n">
        <x:v>19</x:v>
      </x:c>
      <x:c r="F2412" s="21" t="n">
        <x:f>F2284*(1+'Assumptions'!$M$130)</x:f>
        <x:v>399.85498825382757</x:v>
      </x:c>
      <x:c r="G2412" s="21" t="n">
        <x:f>H2284*'Assumptions'!$K$130</x:f>
        <x:v>164.32396716283375</x:v>
      </x:c>
      <x:c r="H2412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2412+G2412,NA())</x:f>
        <x:v>564.1789554166613</x:v>
      </x:c>
      <x:c r="I2412" s="22" t="n">
        <x:f>'Assumptions'!$H$130*IF('Assumptions'!$O$130=1,1,'Assumptions'!$D$10)*(1+'Assumptions'!$N$130)^(19-1)</x:f>
        <x:v>135.68339351974598</x:v>
      </x:c>
      <x:c r="J2412" s="10" t="n">
        <x:f>H2412*I2412</x:f>
        <x:v>76549.71522335809</x:v>
      </x:c>
      <x:c r="K2412" s="10" t="n">
        <x:f>J2412*'Assumptions'!$T$130</x:f>
        <x:v>76549.71522335809</x:v>
      </x:c>
      <x:c r="L2412" s="10" t="n">
        <x:f>K2412*'Assumptions'!$U$130</x:f>
        <x:v>6123.977217868647</x:v>
      </x:c>
      <x:c r="M2412" s="10" t="n">
        <x:f>K2412*'Assumptions'!$V$130</x:f>
        <x:v>1530.9943044671618</x:v>
      </x:c>
      <x:c r="N2412" s="10" t="n">
        <x:f>K2412-L2412-M2412</x:f>
        <x:v>68894.74370102226</x:v>
      </x:c>
      <x:c r="O2412" s="10" t="n">
        <x:f>H2412*'Assumptions'!$P$130*'Assumptions'!$Q$130*'Assumptions'!$D$11*(1+'Assumptions'!$D$13)^(19-1)</x:f>
        <x:v>5042.503757324871</x:v>
      </x:c>
      <x:c r="P2412" s="10" t="n">
        <x:f>H2412*'Assumptions'!$R$130*'Assumptions'!$D$11*(1+'Assumptions'!$D$13)^(19-1)</x:f>
        <x:v>28814.307184713554</x:v>
      </x:c>
      <x:c r="Q2412" s="10" t="n">
        <x:f>J2412*'Assumptions'!$S$130</x:f>
        <x:v>0</x:v>
      </x:c>
      <x:c r="R2412" s="10" t="n">
        <x:f>H2412*'Assumptions'!$Y$130*'Assumptions'!$Z$130*'Assumptions'!$D$11*(1+'Assumptions'!$D$13)^(19-1)</x:f>
        <x:v>4322.146077707032</x:v>
      </x:c>
      <x:c r="S2412" s="10" t="n">
        <x:f>IF(I2412=0,0,J2412*'Assumptions'!$W$130+H2412*'Assumptions'!$X$130)</x:f>
        <x:v>2389.195428102383</x:v>
      </x:c>
      <x:c r="T2412" s="10" t="n">
        <x:f>N2412*'Assumptions'!$AA$130</x:f>
        <x:v>5511.579496081781</x:v>
      </x:c>
      <x:c r="U2412" s="10" t="n">
        <x:f>'Assumptions'!$AE$130*'Assumptions'!$D$11*(1+'Assumptions'!$D$13)^(19-1)</x:f>
        <x:v>0</x:v>
      </x:c>
      <x:c r="V2412" s="10" t="n">
        <x:f>0</x:f>
        <x:v>0</x:v>
      </x:c>
      <x:c r="W2412" s="10" t="n">
        <x:f>H2412*('Assumptions'!$P$130+'Assumptions'!$Y$130)</x:f>
        <x:v>169.25368662499838</x:v>
      </x:c>
      <x:c r="X2412" s="10" t="n">
        <x:f>N2412/12*'Assumptions'!$AF$130</x:f>
        <x:v>0</x:v>
      </x:c>
      <x:c r="Y2412" s="10" t="n">
        <x:f>P2412/12</x:f>
        <x:v>2401.1922653927963</x:v>
      </x:c>
      <x:c r="Z2412" s="10" t="n">
        <x:f>0</x:f>
        <x:v>0</x:v>
      </x:c>
      <x:c r="AA2412" s="10" t="n">
        <x:f>Z2412*'Assumptions'!$AC$130*'Assumptions'!$D$11*(1+'Assumptions'!$D$13)^(19-1)</x:f>
        <x:v>0</x:v>
      </x:c>
      <x:c r="AB2412" s="10" t="n">
        <x:f>F2412/1</x:f>
        <x:v>399.85498825382757</x:v>
      </x:c>
      <x:c r="AC2412" s="10" t="n">
        <x:f>AB2412/'Assumptions'!$AM$130</x:f>
        <x:v>13328.49960846092</x:v>
      </x:c>
      <x:c r="AD2412" s="10" t="n">
        <x:f>IF(AB2412=0,0,T2412/AB2412)</x:f>
        <x:v>13.783945825337648</x:v>
      </x:c>
      <x:c r="AE2412" s="10" t="n">
        <x:f>AA2412*'Assumptions'!$D$21</x:f>
        <x:v>0</x:v>
      </x:c>
    </x:row>
    <x:row r="2413" ht="16" customHeight="1">
      <x:c r="A2413" s="1"/>
      <x:c r="B2413" s="1"/>
      <x:c r="C2413" s="1" t="str">
        <x:v>DOT-102</x:v>
      </x:c>
      <x:c r="D2413" s="10" t="str">
        <x:v>Sleepy Face</x:v>
      </x:c>
      <x:c r="E2413" s="10" t="n">
        <x:v>19</x:v>
      </x:c>
      <x:c r="F2413" s="21" t="n">
        <x:f>F2285*(1+'Assumptions'!$M$131)</x:f>
        <x:v>599.782482380741</x:v>
      </x:c>
      <x:c r="G2413" s="21" t="n">
        <x:f>H2285*'Assumptions'!$K$131</x:f>
        <x:v>246.48595074425054</x:v>
      </x:c>
      <x:c r="H2413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2413+G2413,NA())</x:f>
        <x:v>846.2684331249916</x:v>
      </x:c>
      <x:c r="I2413" s="22" t="n">
        <x:f>'Assumptions'!$H$131*IF('Assumptions'!$O$131=1,1,'Assumptions'!$D$10)*(1+'Assumptions'!$N$131)^(19-1)</x:f>
        <x:v>235.6606308500851</x:v>
      </x:c>
      <x:c r="J2413" s="10" t="n">
        <x:f>H2413*I2413</x:f>
        <x:v>199432.15281874858</x:v>
      </x:c>
      <x:c r="K2413" s="10" t="n">
        <x:f>J2413*'Assumptions'!$T$131</x:f>
        <x:v>199432.15281874858</x:v>
      </x:c>
      <x:c r="L2413" s="10" t="n">
        <x:f>K2413*'Assumptions'!$U$131</x:f>
        <x:v>15954.572225499887</x:v>
      </x:c>
      <x:c r="M2413" s="10" t="n">
        <x:f>K2413*'Assumptions'!$V$131</x:f>
        <x:v>3988.643056374972</x:v>
      </x:c>
      <x:c r="N2413" s="10" t="n">
        <x:f>K2413-L2413-M2413</x:f>
        <x:v>179488.9375368737</x:v>
      </x:c>
      <x:c r="O2413" s="10" t="n">
        <x:f>H2413*'Assumptions'!$P$131*'Assumptions'!$Q$131*'Assumptions'!$D$11*(1+'Assumptions'!$D$13)^(19-1)</x:f>
        <x:v>7563.755635987304</x:v>
      </x:c>
      <x:c r="P2413" s="10" t="n">
        <x:f>H2413*'Assumptions'!$R$131*'Assumptions'!$D$11*(1+'Assumptions'!$D$13)^(19-1)</x:f>
        <x:v>86442.92155414062</x:v>
      </x:c>
      <x:c r="Q2413" s="10" t="n">
        <x:f>J2413*'Assumptions'!$S$131</x:f>
        <x:v>0</x:v>
      </x:c>
      <x:c r="R2413" s="10" t="n">
        <x:f>H2413*'Assumptions'!$Y$131*'Assumptions'!$Z$131*'Assumptions'!$D$11*(1+'Assumptions'!$D$13)^(19-1)</x:f>
        <x:v>6483.219116560545</x:v>
      </x:c>
      <x:c r="S2413" s="10" t="n">
        <x:f>IF(I2413=0,0,J2413*'Assumptions'!$W$131+H2413*'Assumptions'!$X$131)</x:f>
        <x:v>6037.412961681206</x:v>
      </x:c>
      <x:c r="T2413" s="10" t="n">
        <x:f>N2413*'Assumptions'!$AA$131</x:f>
        <x:v>14359.115002949897</x:v>
      </x:c>
      <x:c r="U2413" s="10" t="n">
        <x:f>'Assumptions'!$AE$131*'Assumptions'!$D$11*(1+'Assumptions'!$D$13)^(19-1)</x:f>
        <x:v>0</x:v>
      </x:c>
      <x:c r="V2413" s="10" t="n">
        <x:f>0</x:f>
        <x:v>0</x:v>
      </x:c>
      <x:c r="W2413" s="10" t="n">
        <x:f>H2413*('Assumptions'!$P$131+'Assumptions'!$Y$131)</x:f>
        <x:v>253.88052993749747</x:v>
      </x:c>
      <x:c r="X2413" s="10" t="n">
        <x:f>N2413/12*'Assumptions'!$AF$131</x:f>
        <x:v>0</x:v>
      </x:c>
      <x:c r="Y2413" s="10" t="n">
        <x:f>P2413/12</x:f>
        <x:v>7203.576796178385</x:v>
      </x:c>
      <x:c r="Z2413" s="10" t="n">
        <x:f>0</x:f>
        <x:v>0</x:v>
      </x:c>
      <x:c r="AA2413" s="10" t="n">
        <x:f>Z2413*'Assumptions'!$AC$131*'Assumptions'!$D$11*(1+'Assumptions'!$D$13)^(19-1)</x:f>
        <x:v>0</x:v>
      </x:c>
      <x:c r="AB2413" s="10" t="n">
        <x:f>F2413/1</x:f>
        <x:v>599.782482380741</x:v>
      </x:c>
      <x:c r="AC2413" s="10" t="n">
        <x:f>AB2413/'Assumptions'!$AM$131</x:f>
        <x:v>19992.74941269137</x:v>
      </x:c>
      <x:c r="AD2413" s="10" t="n">
        <x:f>IF(AB2413=0,0,T2413/AB2413)</x:f>
        <x:v>23.94053748611276</x:v>
      </x:c>
      <x:c r="AE2413" s="10" t="n">
        <x:f>AA2413*'Assumptions'!$D$21</x:f>
        <x:v>0</x:v>
      </x:c>
    </x:row>
    <x:row r="2414" ht="16" customHeight="1">
      <x:c r="A2414" s="1"/>
      <x:c r="B2414" s="1"/>
      <x:c r="C2414" s="1" t="str">
        <x:v>DOT-103</x:v>
      </x:c>
      <x:c r="D2414" s="10" t="str">
        <x:v>Sleepy Face</x:v>
      </x:c>
      <x:c r="E2414" s="10" t="n">
        <x:v>19</x:v>
      </x:c>
      <x:c r="F2414" s="21" t="n">
        <x:f>F2286*(1+'Assumptions'!$M$132)</x:f>
        <x:v>133.2849960846091</x:v>
      </x:c>
      <x:c r="G2414" s="21" t="n">
        <x:f>H2286*'Assumptions'!$K$132</x:f>
        <x:v>54.77465572094455</x:v>
      </x:c>
      <x:c r="H2414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2414+G2414,NA())</x:f>
        <x:v>188.05965180555364</x:v>
      </x:c>
      <x:c r="I2414" s="22" t="n">
        <x:f>'Assumptions'!$H$132*IF('Assumptions'!$O$132=1,1,'Assumptions'!$D$10)*(1+'Assumptions'!$N$132)^(19-1)</x:f>
        <x:v>321.3554057046615</x:v>
      </x:c>
      <x:c r="J2414" s="10" t="n">
        <x:f>H2414*I2414</x:f>
        <x:v>60433.98570265107</x:v>
      </x:c>
      <x:c r="K2414" s="10" t="n">
        <x:f>J2414*'Assumptions'!$T$132</x:f>
        <x:v>60433.98570265107</x:v>
      </x:c>
      <x:c r="L2414" s="10" t="n">
        <x:f>K2414*'Assumptions'!$U$132</x:f>
        <x:v>4834.7188562120855</x:v>
      </x:c>
      <x:c r="M2414" s="10" t="n">
        <x:f>K2414*'Assumptions'!$V$132</x:f>
        <x:v>1208.6797140530214</x:v>
      </x:c>
      <x:c r="N2414" s="10" t="n">
        <x:f>K2414-L2414-M2414</x:f>
        <x:v>54390.58713238597</x:v>
      </x:c>
      <x:c r="O2414" s="10" t="n">
        <x:f>H2414*'Assumptions'!$P$132*'Assumptions'!$Q$132*'Assumptions'!$D$11*(1+'Assumptions'!$D$13)^(19-1)</x:f>
        <x:v>1680.834585774956</x:v>
      </x:c>
      <x:c r="P2414" s="10" t="n">
        <x:f>H2414*'Assumptions'!$R$132*'Assumptions'!$D$11*(1+'Assumptions'!$D$13)^(19-1)</x:f>
        <x:v>28814.30718471353</x:v>
      </x:c>
      <x:c r="Q2414" s="10" t="n">
        <x:f>J2414*'Assumptions'!$S$132</x:f>
        <x:v>0</x:v>
      </x:c>
      <x:c r="R2414" s="10" t="n">
        <x:f>H2414*'Assumptions'!$Y$132*'Assumptions'!$Z$132*'Assumptions'!$D$11*(1+'Assumptions'!$D$13)^(19-1)</x:f>
        <x:v>1440.7153592356765</x:v>
      </x:c>
      <x:c r="S2414" s="10" t="n">
        <x:f>IF(I2414=0,0,J2414*'Assumptions'!$W$132+H2414*'Assumptions'!$X$132)</x:f>
        <x:v>1809.0034809185472</x:v>
      </x:c>
      <x:c r="T2414" s="10" t="n">
        <x:f>N2414*'Assumptions'!$AA$132</x:f>
        <x:v>4351.246970590878</x:v>
      </x:c>
      <x:c r="U2414" s="10" t="n">
        <x:f>'Assumptions'!$AE$132*'Assumptions'!$D$11*(1+'Assumptions'!$D$13)^(19-1)</x:f>
        <x:v>0</x:v>
      </x:c>
      <x:c r="V2414" s="10" t="n">
        <x:f>0</x:f>
        <x:v>0</x:v>
      </x:c>
      <x:c r="W2414" s="10" t="n">
        <x:f>H2414*('Assumptions'!$P$132+'Assumptions'!$Y$132)</x:f>
        <x:v>56.41789554166609</x:v>
      </x:c>
      <x:c r="X2414" s="10" t="n">
        <x:f>N2414/12*'Assumptions'!$AF$132</x:f>
        <x:v>0</x:v>
      </x:c>
      <x:c r="Y2414" s="10" t="n">
        <x:f>P2414/12</x:f>
        <x:v>2401.192265392794</x:v>
      </x:c>
      <x:c r="Z2414" s="10" t="n">
        <x:f>0</x:f>
        <x:v>0</x:v>
      </x:c>
      <x:c r="AA2414" s="10" t="n">
        <x:f>Z2414*'Assumptions'!$AC$132*'Assumptions'!$D$11*(1+'Assumptions'!$D$13)^(19-1)</x:f>
        <x:v>0</x:v>
      </x:c>
      <x:c r="AB2414" s="10" t="n">
        <x:f>F2414/1</x:f>
        <x:v>133.2849960846091</x:v>
      </x:c>
      <x:c r="AC2414" s="10" t="n">
        <x:f>AB2414/'Assumptions'!$AM$132</x:f>
        <x:v>4442.833202820304</x:v>
      </x:c>
      <x:c r="AD2414" s="10" t="n">
        <x:f>IF(AB2414=0,0,T2414/AB2414)</x:f>
        <x:v>32.64618748106286</x:v>
      </x:c>
      <x:c r="AE2414" s="10" t="n">
        <x:f>AA2414*'Assumptions'!$D$21</x:f>
        <x:v>0</x:v>
      </x:c>
    </x:row>
    <x:row r="2415" ht="16" customHeight="1">
      <x:c r="A2415" s="1"/>
      <x:c r="B2415" s="1"/>
      <x:c r="C2415" s="1" t="str">
        <x:v>DOT-104</x:v>
      </x:c>
      <x:c r="D2415" s="10" t="str">
        <x:v>Sleepy Face</x:v>
      </x:c>
      <x:c r="E2415" s="10" t="n">
        <x:v>19</x:v>
      </x:c>
      <x:c r="F2415" s="21" t="n">
        <x:f>F2287*(1+'Assumptions'!$M$133)</x:f>
        <x:v>399.85498825382757</x:v>
      </x:c>
      <x:c r="G2415" s="21" t="n">
        <x:f>H2287*'Assumptions'!$K$133</x:f>
        <x:v>164.32396716283375</x:v>
      </x:c>
      <x:c r="H2415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2415+G2415,NA())</x:f>
        <x:v>564.1789554166613</x:v>
      </x:c>
      <x:c r="I2415" s="22" t="n">
        <x:f>'Assumptions'!$H$133*IF('Assumptions'!$O$133=1,1,'Assumptions'!$D$10)*(1+'Assumptions'!$N$133)^(19-1)</x:f>
        <x:v>135.68339351974598</x:v>
      </x:c>
      <x:c r="J2415" s="10" t="n">
        <x:f>H2415*I2415</x:f>
        <x:v>76549.71522335809</x:v>
      </x:c>
      <x:c r="K2415" s="10" t="n">
        <x:f>J2415*'Assumptions'!$T$133</x:f>
        <x:v>76549.71522335809</x:v>
      </x:c>
      <x:c r="L2415" s="10" t="n">
        <x:f>K2415*'Assumptions'!$U$133</x:f>
        <x:v>6123.977217868647</x:v>
      </x:c>
      <x:c r="M2415" s="10" t="n">
        <x:f>K2415*'Assumptions'!$V$133</x:f>
        <x:v>1530.9943044671618</x:v>
      </x:c>
      <x:c r="N2415" s="10" t="n">
        <x:f>K2415-L2415-M2415</x:f>
        <x:v>68894.74370102226</x:v>
      </x:c>
      <x:c r="O2415" s="10" t="n">
        <x:f>H2415*'Assumptions'!$P$133*'Assumptions'!$Q$133*'Assumptions'!$D$11*(1+'Assumptions'!$D$13)^(19-1)</x:f>
        <x:v>5042.503757324871</x:v>
      </x:c>
      <x:c r="P2415" s="10" t="n">
        <x:f>H2415*'Assumptions'!$R$133*'Assumptions'!$D$11*(1+'Assumptions'!$D$13)^(19-1)</x:f>
        <x:v>33616.69171549914</x:v>
      </x:c>
      <x:c r="Q2415" s="10" t="n">
        <x:f>J2415*'Assumptions'!$S$133</x:f>
        <x:v>0</x:v>
      </x:c>
      <x:c r="R2415" s="10" t="n">
        <x:f>H2415*'Assumptions'!$Y$133*'Assumptions'!$Z$133*'Assumptions'!$D$11*(1+'Assumptions'!$D$13)^(19-1)</x:f>
        <x:v>4322.146077707032</x:v>
      </x:c>
      <x:c r="S2415" s="10" t="n">
        <x:f>IF(I2415=0,0,J2415*'Assumptions'!$W$133+H2415*'Assumptions'!$X$133)</x:f>
        <x:v>2389.195428102383</x:v>
      </x:c>
      <x:c r="T2415" s="10" t="n">
        <x:f>N2415*'Assumptions'!$AA$133</x:f>
        <x:v>5511.579496081781</x:v>
      </x:c>
      <x:c r="U2415" s="10" t="n">
        <x:f>'Assumptions'!$AE$133*'Assumptions'!$D$11*(1+'Assumptions'!$D$13)^(19-1)</x:f>
        <x:v>0</x:v>
      </x:c>
      <x:c r="V2415" s="10" t="n">
        <x:f>0</x:f>
        <x:v>0</x:v>
      </x:c>
      <x:c r="W2415" s="10" t="n">
        <x:f>H2415*('Assumptions'!$P$133+'Assumptions'!$Y$133)</x:f>
        <x:v>169.25368662499838</x:v>
      </x:c>
      <x:c r="X2415" s="10" t="n">
        <x:f>N2415/12*'Assumptions'!$AF$133</x:f>
        <x:v>0</x:v>
      </x:c>
      <x:c r="Y2415" s="10" t="n">
        <x:f>P2415/12</x:f>
        <x:v>2801.390976291595</x:v>
      </x:c>
      <x:c r="Z2415" s="10" t="n">
        <x:f>0</x:f>
        <x:v>0</x:v>
      </x:c>
      <x:c r="AA2415" s="10" t="n">
        <x:f>Z2415*'Assumptions'!$AC$133*'Assumptions'!$D$11*(1+'Assumptions'!$D$13)^(19-1)</x:f>
        <x:v>0</x:v>
      </x:c>
      <x:c r="AB2415" s="10" t="n">
        <x:f>F2415/1</x:f>
        <x:v>399.85498825382757</x:v>
      </x:c>
      <x:c r="AC2415" s="10" t="n">
        <x:f>AB2415/'Assumptions'!$AM$133</x:f>
        <x:v>13328.49960846092</x:v>
      </x:c>
      <x:c r="AD2415" s="10" t="n">
        <x:f>IF(AB2415=0,0,T2415/AB2415)</x:f>
        <x:v>13.783945825337648</x:v>
      </x:c>
      <x:c r="AE2415" s="10" t="n">
        <x:f>AA2415*'Assumptions'!$D$21</x:f>
        <x:v>0</x:v>
      </x:c>
    </x:row>
    <x:row r="2416" ht="16" customHeight="1">
      <x:c r="A2416" s="1"/>
      <x:c r="B2416" s="1"/>
      <x:c r="C2416" s="1" t="str">
        <x:v>DOT-105</x:v>
      </x:c>
      <x:c r="D2416" s="10" t="str">
        <x:v>Sleepy Face</x:v>
      </x:c>
      <x:c r="E2416" s="10" t="n">
        <x:v>19</x:v>
      </x:c>
      <x:c r="F2416" s="21" t="n">
        <x:f>F2288*(1+'Assumptions'!$M$134)</x:f>
        <x:v>199.92749412691379</x:v>
      </x:c>
      <x:c r="G2416" s="21" t="n">
        <x:f>H2288*'Assumptions'!$K$134</x:f>
        <x:v>82.16198358141688</x:v>
      </x:c>
      <x:c r="H2416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2416+G2416,NA())</x:f>
        <x:v>282.08947770833066</x:v>
      </x:c>
      <x:c r="I2416" s="22" t="n">
        <x:f>'Assumptions'!$H$134*IF('Assumptions'!$O$134=1,1,'Assumptions'!$D$10)*(1+'Assumptions'!$N$134)^(19-1)</x:f>
        <x:v>249.94309332584785</x:v>
      </x:c>
      <x:c r="J2416" s="10" t="n">
        <x:f>H2416*I2416</x:f>
        <x:v>70506.31665309297</x:v>
      </x:c>
      <x:c r="K2416" s="10" t="n">
        <x:f>J2416*'Assumptions'!$T$134</x:f>
        <x:v>70506.31665309297</x:v>
      </x:c>
      <x:c r="L2416" s="10" t="n">
        <x:f>K2416*'Assumptions'!$U$134</x:f>
        <x:v>5640.505332247438</x:v>
      </x:c>
      <x:c r="M2416" s="10" t="n">
        <x:f>K2416*'Assumptions'!$V$134</x:f>
        <x:v>1410.1263330618594</x:v>
      </x:c>
      <x:c r="N2416" s="10" t="n">
        <x:f>K2416-L2416-M2416</x:f>
        <x:v>63455.68498778367</x:v>
      </x:c>
      <x:c r="O2416" s="10" t="n">
        <x:f>H2416*'Assumptions'!$P$134*'Assumptions'!$Q$134*'Assumptions'!$D$11*(1+'Assumptions'!$D$13)^(19-1)</x:f>
        <x:v>2521.2518786624355</x:v>
      </x:c>
      <x:c r="P2416" s="10" t="n">
        <x:f>H2416*'Assumptions'!$R$134*'Assumptions'!$D$11*(1+'Assumptions'!$D$13)^(19-1)</x:f>
        <x:v>31215.49945010635</x:v>
      </x:c>
      <x:c r="Q2416" s="10" t="n">
        <x:f>J2416*'Assumptions'!$S$134</x:f>
        <x:v>0</x:v>
      </x:c>
      <x:c r="R2416" s="10" t="n">
        <x:f>H2416*'Assumptions'!$Y$134*'Assumptions'!$Z$134*'Assumptions'!$D$11*(1+'Assumptions'!$D$13)^(19-1)</x:f>
        <x:v>2161.073038853516</x:v>
      </x:c>
      <x:c r="S2416" s="10" t="n">
        <x:f>IF(I2416=0,0,J2416*'Assumptions'!$W$134+H2416*'Assumptions'!$X$134)</x:f>
        <x:v>2129.3100262521953</x:v>
      </x:c>
      <x:c r="T2416" s="10" t="n">
        <x:f>N2416*'Assumptions'!$AA$134</x:f>
        <x:v>5076.454799022694</x:v>
      </x:c>
      <x:c r="U2416" s="10" t="n">
        <x:f>'Assumptions'!$AE$134*'Assumptions'!$D$11*(1+'Assumptions'!$D$13)^(19-1)</x:f>
        <x:v>0</x:v>
      </x:c>
      <x:c r="V2416" s="10" t="n">
        <x:f>0</x:f>
        <x:v>0</x:v>
      </x:c>
      <x:c r="W2416" s="10" t="n">
        <x:f>H2416*('Assumptions'!$P$134+'Assumptions'!$Y$134)</x:f>
        <x:v>84.62684331249919</x:v>
      </x:c>
      <x:c r="X2416" s="10" t="n">
        <x:f>N2416/12*'Assumptions'!$AF$134</x:f>
        <x:v>0</x:v>
      </x:c>
      <x:c r="Y2416" s="10" t="n">
        <x:f>P2416/12</x:f>
        <x:v>2601.2916208421957</x:v>
      </x:c>
      <x:c r="Z2416" s="10" t="n">
        <x:f>0</x:f>
        <x:v>0</x:v>
      </x:c>
      <x:c r="AA2416" s="10" t="n">
        <x:f>Z2416*'Assumptions'!$AC$134*'Assumptions'!$D$11*(1+'Assumptions'!$D$13)^(19-1)</x:f>
        <x:v>0</x:v>
      </x:c>
      <x:c r="AB2416" s="10" t="n">
        <x:f>F2416/1</x:f>
        <x:v>199.92749412691379</x:v>
      </x:c>
      <x:c r="AC2416" s="10" t="n">
        <x:f>AB2416/'Assumptions'!$AM$134</x:f>
        <x:v>6664.24980423046</x:v>
      </x:c>
      <x:c r="AD2416" s="10" t="n">
        <x:f>IF(AB2416=0,0,T2416/AB2416)</x:f>
        <x:v>25.391479151937776</x:v>
      </x:c>
      <x:c r="AE2416" s="10" t="n">
        <x:f>AA2416*'Assumptions'!$D$21</x:f>
        <x:v>0</x:v>
      </x:c>
    </x:row>
    <x:row r="2417" ht="16" customHeight="1">
      <x:c r="A2417" s="1"/>
      <x:c r="B2417" s="1"/>
      <x:c r="C2417" s="1" t="str">
        <x:v>DOT-106</x:v>
      </x:c>
      <x:c r="D2417" s="10" t="str">
        <x:v>QzoticMusic</x:v>
      </x:c>
      <x:c r="E2417" s="10" t="n">
        <x:v>19</x:v>
      </x:c>
      <x:c r="F2417" s="21" t="n">
        <x:f>F2289*(1+'Assumptions'!$M$135)</x:f>
        <x:v>1190.4879971058167</x:v>
      </x:c>
      <x:c r="G2417" s="21" t="n">
        <x:f>H2289*'Assumptions'!$K$135</x:f>
        <x:v>381.56666560974287</x:v>
      </x:c>
      <x:c r="H2417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2417+G2417,NA())</x:f>
        <x:v>1572.0546627155595</x:v>
      </x:c>
      <x:c r="I2417" s="22" t="n">
        <x:f>'Assumptions'!$H$135*IF('Assumptions'!$O$135=1,1,'Assumptions'!$D$10)*(1+'Assumptions'!$N$135)^(19-1)</x:f>
        <x:v>7.141231237881367</x:v>
      </x:c>
      <x:c r="J2417" s="10" t="n">
        <x:f>H2417*I2417</x:f>
        <x:v>11226.40586504141</x:v>
      </x:c>
      <x:c r="K2417" s="10" t="n">
        <x:f>J2417*'Assumptions'!$T$135</x:f>
        <x:v>11226.40586504141</x:v>
      </x:c>
      <x:c r="L2417" s="10" t="n">
        <x:f>K2417*'Assumptions'!$U$135</x:f>
        <x:v>336.7921759512423</x:v>
      </x:c>
      <x:c r="M2417" s="10" t="n">
        <x:f>K2417*'Assumptions'!$V$135</x:f>
        <x:v>0</x:v>
      </x:c>
      <x:c r="N2417" s="10" t="n">
        <x:f>K2417-L2417-M2417</x:f>
        <x:v>10889.613689090167</x:v>
      </x:c>
      <x:c r="O2417" s="10" t="n">
        <x:f>H2417*'Assumptions'!$P$135*'Assumptions'!$Q$135*'Assumptions'!$D$11*(1+'Assumptions'!$D$13)^(19-1)</x:f>
        <x:v>1873.4224823183213</x:v>
      </x:c>
      <x:c r="P2417" s="10" t="n">
        <x:f>H2417*'Assumptions'!$R$135*'Assumptions'!$D$11*(1+'Assumptions'!$D$13)^(19-1)</x:f>
        <x:v>0</x:v>
      </x:c>
      <x:c r="Q2417" s="10" t="n">
        <x:f>J2417*'Assumptions'!$S$135</x:f>
        <x:v>0</x:v>
      </x:c>
      <x:c r="R2417" s="10" t="n">
        <x:f>H2417*'Assumptions'!$Y$135*'Assumptions'!$Z$135*'Assumptions'!$D$11*(1+'Assumptions'!$D$13)^(19-1)</x:f>
        <x:v>8028.953495649947</x:v>
      </x:c>
      <x:c r="S2417" s="10" t="n">
        <x:f>IF(I2417=0,0,J2417*'Assumptions'!$W$135+H2417*'Assumptions'!$X$135)</x:f>
        <x:v>797.1821689008688</x:v>
      </x:c>
      <x:c r="T2417" s="10" t="n">
        <x:f>N2417*'Assumptions'!$AA$135</x:f>
        <x:v>544.4806844545084</x:v>
      </x:c>
      <x:c r="U2417" s="10" t="n">
        <x:f>'Assumptions'!$AE$135*'Assumptions'!$D$11*(1+'Assumptions'!$D$13)^(19-1)</x:f>
        <x:v>0</x:v>
      </x:c>
      <x:c r="V2417" s="10" t="n">
        <x:f>0</x:f>
        <x:v>0</x:v>
      </x:c>
      <x:c r="W2417" s="10" t="n">
        <x:f>H2417*('Assumptions'!$P$135+'Assumptions'!$Y$135)</x:f>
        <x:v>188.64655952586716</x:v>
      </x:c>
      <x:c r="X2417" s="10" t="n">
        <x:f>N2417/12*'Assumptions'!$AF$135</x:f>
        <x:v>0</x:v>
      </x:c>
      <x:c r="Y2417" s="10" t="n">
        <x:f>P2417/12</x:f>
        <x:v>0</x:v>
      </x:c>
      <x:c r="Z2417" s="10" t="n">
        <x:f>0</x:f>
        <x:v>0</x:v>
      </x:c>
      <x:c r="AA2417" s="10" t="n">
        <x:f>Z2417*'Assumptions'!$AC$135*'Assumptions'!$D$11*(1+'Assumptions'!$D$13)^(19-1)</x:f>
        <x:v>0</x:v>
      </x:c>
      <x:c r="AB2417" s="10" t="n">
        <x:f>F2417/12</x:f>
        <x:v>99.20733309215139</x:v>
      </x:c>
      <x:c r="AC2417" s="10" t="n">
        <x:f>AB2417/'Assumptions'!$AM$135</x:f>
        <x:v>1984.1466618430277</x:v>
      </x:c>
      <x:c r="AD2417" s="10" t="n">
        <x:f>IF(AB2417=0,0,T2417/AB2417)</x:f>
        <x:v>5.488310868600338</x:v>
      </x:c>
      <x:c r="AE2417" s="10" t="n">
        <x:f>AA2417*'Assumptions'!$D$21</x:f>
        <x:v>0</x:v>
      </x:c>
    </x:row>
    <x:row r="2418" ht="16" customHeight="1">
      <x:c r="A2418" s="1"/>
      <x:c r="B2418" s="1"/>
      <x:c r="C2418" s="1" t="str">
        <x:v>DOT-107</x:v>
      </x:c>
      <x:c r="D2418" s="10" t="str">
        <x:v>QzoticMusic</x:v>
      </x:c>
      <x:c r="E2418" s="10" t="n">
        <x:v>19</x:v>
      </x:c>
      <x:c r="F2418" s="21" t="n">
        <x:f>F2290*(1+'Assumptions'!$M$136)</x:f>
        <x:v>345.47488812101767</x:v>
      </x:c>
      <x:c r="G2418" s="21" t="n">
        <x:f>H2290*'Assumptions'!$K$136</x:f>
        <x:v>177.81795190329086</x:v>
      </x:c>
      <x:c r="H2418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2418+G2418,NA())</x:f>
        <x:v>523.2928400243086</x:v>
      </x:c>
      <x:c r="I2418" s="22" t="n">
        <x:f>'Assumptions'!$H$136*IF('Assumptions'!$O$136=1,1,'Assumptions'!$D$10)*(1+'Assumptions'!$N$136)^(19-1)</x:f>
        <x:v>35.70615618940683</x:v>
      </x:c>
      <x:c r="J2418" s="10" t="n">
        <x:f>H2418*I2418</x:f>
        <x:v>18684.775878706245</x:v>
      </x:c>
      <x:c r="K2418" s="10" t="n">
        <x:f>J2418*'Assumptions'!$T$136</x:f>
        <x:v>18684.775878706245</x:v>
      </x:c>
      <x:c r="L2418" s="10" t="n">
        <x:f>K2418*'Assumptions'!$U$136</x:f>
        <x:v>560.5432763611873</x:v>
      </x:c>
      <x:c r="M2418" s="10" t="n">
        <x:f>K2418*'Assumptions'!$V$136</x:f>
        <x:v>0</x:v>
      </x:c>
      <x:c r="N2418" s="10" t="n">
        <x:f>K2418-L2418-M2418</x:f>
        <x:v>18124.23260234506</x:v>
      </x:c>
      <x:c r="O2418" s="10" t="n">
        <x:f>H2418*'Assumptions'!$P$136*'Assumptions'!$Q$136*'Assumptions'!$D$11*(1+'Assumptions'!$D$13)^(19-1)</x:f>
        <x:v>4677.072915729413</x:v>
      </x:c>
      <x:c r="P2418" s="10" t="n">
        <x:f>H2418*'Assumptions'!$R$136*'Assumptions'!$D$11*(1+'Assumptions'!$D$13)^(19-1)</x:f>
        <x:v>8908.710315675073</x:v>
      </x:c>
      <x:c r="Q2418" s="10" t="n">
        <x:f>J2418*'Assumptions'!$S$136</x:f>
        <x:v>0</x:v>
      </x:c>
      <x:c r="R2418" s="10" t="n">
        <x:f>H2418*'Assumptions'!$Y$136*'Assumptions'!$Z$136*'Assumptions'!$D$11*(1+'Assumptions'!$D$13)^(19-1)</x:f>
        <x:v>13363.06547351261</x:v>
      </x:c>
      <x:c r="S2418" s="10" t="n">
        <x:f>IF(I2418=0,0,J2418*'Assumptions'!$W$136+H2418*'Assumptions'!$X$136)</x:f>
        <x:v>698.8463524897736</x:v>
      </x:c>
      <x:c r="T2418" s="10" t="n">
        <x:f>N2418*'Assumptions'!$AA$136</x:f>
        <x:v>1449.9386081876048</x:v>
      </x:c>
      <x:c r="U2418" s="10" t="n">
        <x:f>'Assumptions'!$AE$136*'Assumptions'!$D$11*(1+'Assumptions'!$D$13)^(19-1)</x:f>
        <x:v>0</x:v>
      </x:c>
      <x:c r="V2418" s="10" t="n">
        <x:f>0</x:f>
        <x:v>0</x:v>
      </x:c>
      <x:c r="W2418" s="10" t="n">
        <x:f>H2418*('Assumptions'!$P$136+'Assumptions'!$Y$136)</x:f>
        <x:v>340.1403460158006</x:v>
      </x:c>
      <x:c r="X2418" s="10" t="n">
        <x:f>N2418/12*'Assumptions'!$AF$136</x:f>
        <x:v>1510.3527168620883</x:v>
      </x:c>
      <x:c r="Y2418" s="10" t="n">
        <x:f>P2418/12</x:f>
        <x:v>742.3925263062561</x:v>
      </x:c>
      <x:c r="Z2418" s="10" t="n">
        <x:f>0</x:f>
        <x:v>0</x:v>
      </x:c>
      <x:c r="AA2418" s="10" t="n">
        <x:f>Z2418*'Assumptions'!$AC$136*'Assumptions'!$D$11*(1+'Assumptions'!$D$13)^(19-1)</x:f>
        <x:v>0</x:v>
      </x:c>
      <x:c r="AB2418" s="10" t="n">
        <x:f>F2418/1</x:f>
        <x:v>345.47488812101767</x:v>
      </x:c>
      <x:c r="AC2418" s="10" t="n">
        <x:f>AB2418/'Assumptions'!$AM$136</x:f>
        <x:v>3454.7488812101765</x:v>
      </x:c>
      <x:c r="AD2418" s="10" t="n">
        <x:f>IF(AB2418=0,0,T2418/AB2418)</x:f>
        <x:v>4.196943563897184</x:v>
      </x:c>
      <x:c r="AE2418" s="10" t="n">
        <x:f>AA2418*'Assumptions'!$D$21</x:f>
        <x:v>0</x:v>
      </x:c>
    </x:row>
    <x:row r="2419" ht="16" customHeight="1">
      <x:c r="A2419" s="1"/>
      <x:c r="B2419" s="1"/>
      <x:c r="C2419" s="1" t="str">
        <x:v>DOT-108</x:v>
      </x:c>
      <x:c r="D2419" s="10" t="str">
        <x:v>QzoticMusic</x:v>
      </x:c>
      <x:c r="E2419" s="10" t="n">
        <x:v>19</x:v>
      </x:c>
      <x:c r="F2419" s="21" t="n">
        <x:f>F2291*(1+'Assumptions'!$M$137)</x:f>
        <x:v>17.273744406050888</x:v>
      </x:c>
      <x:c r="G2419" s="21" t="n">
        <x:f>H2291*'Assumptions'!$K$137</x:f>
        <x:v>8.890897595164546</x:v>
      </x:c>
      <x:c r="H2419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2419+G2419,NA())</x:f>
        <x:v>26.164642001215434</x:v>
      </x:c>
      <x:c r="I2419" s="22" t="n">
        <x:f>'Assumptions'!$H$137*IF('Assumptions'!$O$137=1,1,'Assumptions'!$D$10)*(1+'Assumptions'!$N$137)^(19-1)</x:f>
        <x:v>357.06156189406835</x:v>
      </x:c>
      <x:c r="J2419" s="10" t="n">
        <x:f>H2419*I2419</x:f>
        <x:v>9342.387939353124</x:v>
      </x:c>
      <x:c r="K2419" s="10" t="n">
        <x:f>J2419*'Assumptions'!$T$137</x:f>
        <x:v>9342.387939353124</x:v>
      </x:c>
      <x:c r="L2419" s="10" t="n">
        <x:f>K2419*'Assumptions'!$U$137</x:f>
        <x:v>280.2716381805937</x:v>
      </x:c>
      <x:c r="M2419" s="10" t="n">
        <x:f>K2419*'Assumptions'!$V$137</x:f>
        <x:v>0</x:v>
      </x:c>
      <x:c r="N2419" s="10" t="n">
        <x:f>K2419-L2419-M2419</x:f>
        <x:v>9062.116301172531</x:v>
      </x:c>
      <x:c r="O2419" s="10" t="n">
        <x:f>H2419*'Assumptions'!$P$137*'Assumptions'!$Q$137*'Assumptions'!$D$11*(1+'Assumptions'!$D$13)^(19-1)</x:f>
        <x:v>3563.48412627003</x:v>
      </x:c>
      <x:c r="P2419" s="10" t="n">
        <x:f>H2419*'Assumptions'!$R$137*'Assumptions'!$D$11*(1+'Assumptions'!$D$13)^(19-1)</x:f>
        <x:v>0</x:v>
      </x:c>
      <x:c r="Q2419" s="10" t="n">
        <x:f>J2419*'Assumptions'!$S$137</x:f>
        <x:v>0</x:v>
      </x:c>
      <x:c r="R2419" s="10" t="n">
        <x:f>H2419*'Assumptions'!$Y$137*'Assumptions'!$Z$137*'Assumptions'!$D$11*(1+'Assumptions'!$D$13)^(19-1)</x:f>
        <x:v>668.1532736756305</x:v>
      </x:c>
      <x:c r="S2419" s="10" t="n">
        <x:f>IF(I2419=0,0,J2419*'Assumptions'!$W$137+H2419*'Assumptions'!$X$137)</x:f>
        <x:v>278.77864284160523</x:v>
      </x:c>
      <x:c r="T2419" s="10" t="n">
        <x:f>N2419*'Assumptions'!$AA$137</x:f>
        <x:v>724.9693040938025</x:v>
      </x:c>
      <x:c r="U2419" s="10" t="n">
        <x:f>'Assumptions'!$AE$137*'Assumptions'!$D$11*(1+'Assumptions'!$D$13)^(19-1)</x:f>
        <x:v>0</x:v>
      </x:c>
      <x:c r="V2419" s="10" t="n">
        <x:f>0</x:f>
        <x:v>0</x:v>
      </x:c>
      <x:c r="W2419" s="10" t="n">
        <x:f>H2419*('Assumptions'!$P$137+'Assumptions'!$Y$137)</x:f>
        <x:v>65.41160500303859</x:v>
      </x:c>
      <x:c r="X2419" s="10" t="n">
        <x:f>N2419/12*'Assumptions'!$AF$137</x:f>
        <x:v>755.1763584310443</x:v>
      </x:c>
      <x:c r="Y2419" s="10" t="n">
        <x:f>P2419/12</x:f>
        <x:v>0</x:v>
      </x:c>
      <x:c r="Z2419" s="10" t="n">
        <x:f>0</x:f>
        <x:v>0</x:v>
      </x:c>
      <x:c r="AA2419" s="10" t="n">
        <x:f>Z2419*'Assumptions'!$AC$137*'Assumptions'!$D$11*(1+'Assumptions'!$D$13)^(19-1)</x:f>
        <x:v>0</x:v>
      </x:c>
      <x:c r="AB2419" s="10" t="n">
        <x:f>F2419/1</x:f>
        <x:v>17.273744406050888</x:v>
      </x:c>
      <x:c r="AC2419" s="10" t="n">
        <x:f>AB2419/'Assumptions'!$AM$137</x:f>
        <x:v>172.73744406050886</x:v>
      </x:c>
      <x:c r="AD2419" s="10" t="n">
        <x:f>IF(AB2419=0,0,T2419/AB2419)</x:f>
        <x:v>41.96943563897184</x:v>
      </x:c>
      <x:c r="AE2419" s="10" t="n">
        <x:f>AA2419*'Assumptions'!$D$21</x:f>
        <x:v>0</x:v>
      </x:c>
    </x:row>
    <x:row r="2420" ht="16" customHeight="1">
      <x:c r="A2420" s="1"/>
      <x:c r="B2420" s="1"/>
      <x:c r="C2420" s="1" t="str">
        <x:v>DOT-109</x:v>
      </x:c>
      <x:c r="D2420" s="10" t="str">
        <x:v>LesPetitFilms</x:v>
      </x:c>
      <x:c r="E2420" s="10" t="n">
        <x:v>19</x:v>
      </x:c>
      <x:c r="F2420" s="21" t="n">
        <x:f>F2292*(1+'Assumptions'!$M$138)</x:f>
        <x:v>11.515829604033923</x:v>
      </x:c>
      <x:c r="G2420" s="21" t="n">
        <x:f>H2292*'Assumptions'!$K$138</x:f>
        <x:v>5.92726506344303</x:v>
      </x:c>
      <x:c r="H2420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2420+G2420,NA())</x:f>
        <x:v>17.443094667476952</x:v>
      </x:c>
      <x:c r="I2420" s="22" t="n">
        <x:f>'Assumptions'!$H$138*IF('Assumptions'!$O$138=1,1,'Assumptions'!$D$10)*(1+'Assumptions'!$N$138)^(19-1)</x:f>
        <x:v>4998.861866516957</x:v>
      </x:c>
      <x:c r="J2420" s="10" t="n">
        <x:f>H2420*I2420</x:f>
        <x:v>87195.62076729581</x:v>
      </x:c>
      <x:c r="K2420" s="10" t="n">
        <x:f>J2420*'Assumptions'!$T$138</x:f>
        <x:v>87195.62076729581</x:v>
      </x:c>
      <x:c r="L2420" s="10" t="n">
        <x:f>K2420*'Assumptions'!$U$138</x:f>
        <x:v>2615.868623018874</x:v>
      </x:c>
      <x:c r="M2420" s="10" t="n">
        <x:f>K2420*'Assumptions'!$V$138</x:f>
        <x:v>0</x:v>
      </x:c>
      <x:c r="N2420" s="10" t="n">
        <x:f>K2420-L2420-M2420</x:f>
        <x:v>84579.75214427694</x:v>
      </x:c>
      <x:c r="O2420" s="10" t="n">
        <x:f>H2420*'Assumptions'!$P$138*'Assumptions'!$Q$138*'Assumptions'!$D$11*(1+'Assumptions'!$D$13)^(19-1)</x:f>
        <x:v>33407.663683781524</x:v>
      </x:c>
      <x:c r="P2420" s="10" t="n">
        <x:f>H2420*'Assumptions'!$R$138*'Assumptions'!$D$11*(1+'Assumptions'!$D$13)^(19-1)</x:f>
        <x:v>10393.495368287584</x:v>
      </x:c>
      <x:c r="Q2420" s="10" t="n">
        <x:f>J2420*'Assumptions'!$S$138</x:f>
        <x:v>0</x:v>
      </x:c>
      <x:c r="R2420" s="10" t="n">
        <x:f>H2420*'Assumptions'!$Y$138*'Assumptions'!$Z$138*'Assumptions'!$D$11*(1+'Assumptions'!$D$13)^(19-1)</x:f>
        <x:v>445.43551578375366</x:v>
      </x:c>
      <x:c r="S2420" s="10" t="n">
        <x:f>IF(I2420=0,0,J2420*'Assumptions'!$W$138+H2420*'Assumptions'!$X$138)</x:f>
        <x:v>2533.9059306518216</x:v>
      </x:c>
      <x:c r="T2420" s="10" t="n">
        <x:f>N2420*'Assumptions'!$AA$138</x:f>
        <x:v>6766.380171542155</x:v>
      </x:c>
      <x:c r="U2420" s="10" t="n">
        <x:f>'Assumptions'!$AE$138*'Assumptions'!$D$11*(1+'Assumptions'!$D$13)^(19-1)</x:f>
        <x:v>0</x:v>
      </x:c>
      <x:c r="V2420" s="10" t="n">
        <x:f>0</x:f>
        <x:v>0</x:v>
      </x:c>
      <x:c r="W2420" s="10" t="n">
        <x:f>H2420*('Assumptions'!$P$138+'Assumptions'!$Y$138)</x:f>
        <x:v>444.79891402066227</x:v>
      </x:c>
      <x:c r="X2420" s="10" t="n">
        <x:f>N2420/12*'Assumptions'!$AF$138</x:f>
        <x:v>7048.312678689745</x:v>
      </x:c>
      <x:c r="Y2420" s="10" t="n">
        <x:f>P2420/12</x:f>
        <x:v>866.1246140239654</x:v>
      </x:c>
      <x:c r="Z2420" s="10" t="n">
        <x:f>0</x:f>
        <x:v>0</x:v>
      </x:c>
      <x:c r="AA2420" s="10" t="n">
        <x:f>Z2420*'Assumptions'!$AC$138*'Assumptions'!$D$11*(1+'Assumptions'!$D$13)^(19-1)</x:f>
        <x:v>0</x:v>
      </x:c>
      <x:c r="AB2420" s="10" t="n">
        <x:f>F2420/1</x:f>
        <x:v>11.515829604033923</x:v>
      </x:c>
      <x:c r="AC2420" s="10" t="n">
        <x:f>AB2420/'Assumptions'!$AM$138</x:f>
        <x:v>115.15829604033922</x:v>
      </x:c>
      <x:c r="AD2420" s="10" t="n">
        <x:f>IF(AB2420=0,0,T2420/AB2420)</x:f>
        <x:v>587.5720989456056</x:v>
      </x:c>
      <x:c r="AE2420" s="10" t="n">
        <x:f>AA2420*'Assumptions'!$D$21</x:f>
        <x:v>0</x:v>
      </x:c>
    </x:row>
    <x:row r="2421" ht="16" customHeight="1">
      <x:c r="A2421" s="1"/>
      <x:c r="B2421" s="1"/>
      <x:c r="C2421" s="1" t="str">
        <x:v>DOT-110</x:v>
      </x:c>
      <x:c r="D2421" s="10" t="str">
        <x:v>LesPetitFilms</x:v>
      </x:c>
      <x:c r="E2421" s="10" t="n">
        <x:v>19</x:v>
      </x:c>
      <x:c r="F2421" s="21" t="n">
        <x:f>F2293*(1+'Assumptions'!$M$139)</x:f>
        <x:v>11.515829604033923</x:v>
      </x:c>
      <x:c r="G2421" s="21" t="n">
        <x:f>H2293*'Assumptions'!$K$139</x:f>
        <x:v>5.92726506344303</x:v>
      </x:c>
      <x:c r="H2421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2421+G2421,NA())</x:f>
        <x:v>17.443094667476952</x:v>
      </x:c>
      <x:c r="I2421" s="22" t="n">
        <x:f>'Assumptions'!$H$139*IF('Assumptions'!$O$139=1,1,'Assumptions'!$D$10)*(1+'Assumptions'!$N$139)^(19-1)</x:f>
        <x:v>2142.36937136441</x:v>
      </x:c>
      <x:c r="J2421" s="10" t="n">
        <x:f>H2421*I2421</x:f>
        <x:v>37369.5517574125</x:v>
      </x:c>
      <x:c r="K2421" s="10" t="n">
        <x:f>J2421*'Assumptions'!$T$139</x:f>
        <x:v>37369.5517574125</x:v>
      </x:c>
      <x:c r="L2421" s="10" t="n">
        <x:f>K2421*'Assumptions'!$U$139</x:f>
        <x:v>1121.0865527223748</x:v>
      </x:c>
      <x:c r="M2421" s="10" t="n">
        <x:f>K2421*'Assumptions'!$V$139</x:f>
        <x:v>0</x:v>
      </x:c>
      <x:c r="N2421" s="10" t="n">
        <x:f>K2421-L2421-M2421</x:f>
        <x:v>36248.465204690125</x:v>
      </x:c>
      <x:c r="O2421" s="10" t="n">
        <x:f>H2421*'Assumptions'!$P$139*'Assumptions'!$Q$139*'Assumptions'!$D$11*(1+'Assumptions'!$D$13)^(19-1)</x:f>
        <x:v>13363.06547351261</x:v>
      </x:c>
      <x:c r="P2421" s="10" t="n">
        <x:f>H2421*'Assumptions'!$R$139*'Assumptions'!$D$11*(1+'Assumptions'!$D$13)^(19-1)</x:f>
        <x:v>5939.1402104500485</x:v>
      </x:c>
      <x:c r="Q2421" s="10" t="n">
        <x:f>J2421*'Assumptions'!$S$139</x:f>
        <x:v>0</x:v>
      </x:c>
      <x:c r="R2421" s="10" t="n">
        <x:f>H2421*'Assumptions'!$Y$139*'Assumptions'!$Z$139*'Assumptions'!$D$11*(1+'Assumptions'!$D$13)^(19-1)</x:f>
        <x:v>445.43551578375366</x:v>
      </x:c>
      <x:c r="S2421" s="10" t="n">
        <x:f>IF(I2421=0,0,J2421*'Assumptions'!$W$139+H2421*'Assumptions'!$X$139)</x:f>
        <x:v>1088.9499293652054</x:v>
      </x:c>
      <x:c r="T2421" s="10" t="n">
        <x:f>N2421*'Assumptions'!$AA$139</x:f>
        <x:v>2899.87721637521</x:v>
      </x:c>
      <x:c r="U2421" s="10" t="n">
        <x:f>'Assumptions'!$AE$139*'Assumptions'!$D$11*(1+'Assumptions'!$D$13)^(19-1)</x:f>
        <x:v>0</x:v>
      </x:c>
      <x:c r="V2421" s="10" t="n">
        <x:f>0</x:f>
        <x:v>0</x:v>
      </x:c>
      <x:c r="W2421" s="10" t="n">
        <x:f>H2421*('Assumptions'!$P$139+'Assumptions'!$Y$139)</x:f>
        <x:v>183.152494008508</x:v>
      </x:c>
      <x:c r="X2421" s="10" t="n">
        <x:f>N2421/12*'Assumptions'!$AF$139</x:f>
        <x:v>3020.705433724177</x:v>
      </x:c>
      <x:c r="Y2421" s="10" t="n">
        <x:f>P2421/12</x:f>
        <x:v>494.9283508708374</x:v>
      </x:c>
      <x:c r="Z2421" s="10" t="n">
        <x:f>0</x:f>
        <x:v>0</x:v>
      </x:c>
      <x:c r="AA2421" s="10" t="n">
        <x:f>Z2421*'Assumptions'!$AC$139*'Assumptions'!$D$11*(1+'Assumptions'!$D$13)^(19-1)</x:f>
        <x:v>0</x:v>
      </x:c>
      <x:c r="AB2421" s="10" t="n">
        <x:f>F2421/1</x:f>
        <x:v>11.515829604033923</x:v>
      </x:c>
      <x:c r="AC2421" s="10" t="n">
        <x:f>AB2421/'Assumptions'!$AM$139</x:f>
        <x:v>115.15829604033922</x:v>
      </x:c>
      <x:c r="AD2421" s="10" t="n">
        <x:f>IF(AB2421=0,0,T2421/AB2421)</x:f>
        <x:v>251.81661383383104</x:v>
      </x:c>
      <x:c r="AE2421" s="10" t="n">
        <x:f>AA2421*'Assumptions'!$D$21</x:f>
        <x:v>0</x:v>
      </x:c>
    </x:row>
    <x:row r="2422" ht="16" customHeight="1">
      <x:c r="A2422" s="1"/>
      <x:c r="B2422" s="1"/>
      <x:c r="C2422" s="1" t="str">
        <x:v>DOT-111</x:v>
      </x:c>
      <x:c r="D2422" s="10" t="str">
        <x:v>LesPetitFilms</x:v>
      </x:c>
      <x:c r="E2422" s="10" t="n">
        <x:v>19</x:v>
      </x:c>
      <x:c r="F2422" s="21" t="n">
        <x:f>F2294*(1+'Assumptions'!$M$140)</x:f>
        <x:v>17.273744406050888</x:v>
      </x:c>
      <x:c r="G2422" s="21" t="n">
        <x:f>H2294*'Assumptions'!$K$140</x:f>
        <x:v>8.890897595164546</x:v>
      </x:c>
      <x:c r="H2422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2422+G2422,NA())</x:f>
        <x:v>26.164642001215434</x:v>
      </x:c>
      <x:c r="I2422" s="22" t="n">
        <x:f>'Assumptions'!$H$140*IF('Assumptions'!$O$140=1,1,'Assumptions'!$D$10)*(1+'Assumptions'!$N$140)^(19-1)</x:f>
        <x:v>714.1231237881367</x:v>
      </x:c>
      <x:c r="J2422" s="10" t="n">
        <x:f>H2422*I2422</x:f>
        <x:v>18684.77587870625</x:v>
      </x:c>
      <x:c r="K2422" s="10" t="n">
        <x:f>J2422*'Assumptions'!$T$140</x:f>
        <x:v>18684.77587870625</x:v>
      </x:c>
      <x:c r="L2422" s="10" t="n">
        <x:f>K2422*'Assumptions'!$U$140</x:f>
        <x:v>560.5432763611874</x:v>
      </x:c>
      <x:c r="M2422" s="10" t="n">
        <x:f>K2422*'Assumptions'!$V$140</x:f>
        <x:v>0</x:v>
      </x:c>
      <x:c r="N2422" s="10" t="n">
        <x:f>K2422-L2422-M2422</x:f>
        <x:v>18124.232602345062</x:v>
      </x:c>
      <x:c r="O2422" s="10" t="n">
        <x:f>H2422*'Assumptions'!$P$140*'Assumptions'!$Q$140*'Assumptions'!$D$11*(1+'Assumptions'!$D$13)^(19-1)</x:f>
        <x:v>5345.226189405044</x:v>
      </x:c>
      <x:c r="P2422" s="10" t="n">
        <x:f>H2422*'Assumptions'!$R$140*'Assumptions'!$D$11*(1+'Assumptions'!$D$13)^(19-1)</x:f>
        <x:v>2227.1775789187686</x:v>
      </x:c>
      <x:c r="Q2422" s="10" t="n">
        <x:f>J2422*'Assumptions'!$S$140</x:f>
        <x:v>0</x:v>
      </x:c>
      <x:c r="R2422" s="10" t="n">
        <x:f>H2422*'Assumptions'!$Y$140*'Assumptions'!$Z$140*'Assumptions'!$D$11*(1+'Assumptions'!$D$13)^(19-1)</x:f>
        <x:v>668.1532736756305</x:v>
      </x:c>
      <x:c r="S2422" s="10" t="n">
        <x:f>IF(I2422=0,0,J2422*'Assumptions'!$W$140+H2422*'Assumptions'!$X$140)</x:f>
        <x:v>549.7078930828458</x:v>
      </x:c>
      <x:c r="T2422" s="10" t="n">
        <x:f>N2422*'Assumptions'!$AA$140</x:f>
        <x:v>1449.938608187605</x:v>
      </x:c>
      <x:c r="U2422" s="10" t="n">
        <x:f>'Assumptions'!$AE$140*'Assumptions'!$D$11*(1+'Assumptions'!$D$13)^(19-1)</x:f>
        <x:v>0</x:v>
      </x:c>
      <x:c r="V2422" s="10" t="n">
        <x:f>0</x:f>
        <x:v>0</x:v>
      </x:c>
      <x:c r="W2422" s="10" t="n">
        <x:f>H2422*('Assumptions'!$P$140+'Assumptions'!$Y$140)</x:f>
        <x:v>91.57624700425401</x:v>
      </x:c>
      <x:c r="X2422" s="10" t="n">
        <x:f>N2422/12*'Assumptions'!$AF$140</x:f>
        <x:v>1510.3527168620885</x:v>
      </x:c>
      <x:c r="Y2422" s="10" t="n">
        <x:f>P2422/12</x:f>
        <x:v>185.59813157656404</x:v>
      </x:c>
      <x:c r="Z2422" s="10" t="n">
        <x:f>0</x:f>
        <x:v>0</x:v>
      </x:c>
      <x:c r="AA2422" s="10" t="n">
        <x:f>Z2422*'Assumptions'!$AC$140*'Assumptions'!$D$11*(1+'Assumptions'!$D$13)^(19-1)</x:f>
        <x:v>0</x:v>
      </x:c>
      <x:c r="AB2422" s="10" t="n">
        <x:f>F2422/1</x:f>
        <x:v>17.273744406050888</x:v>
      </x:c>
      <x:c r="AC2422" s="10" t="n">
        <x:f>AB2422/'Assumptions'!$AM$140</x:f>
        <x:v>172.73744406050886</x:v>
      </x:c>
      <x:c r="AD2422" s="10" t="n">
        <x:f>IF(AB2422=0,0,T2422/AB2422)</x:f>
        <x:v>83.93887127794368</x:v>
      </x:c>
      <x:c r="AE2422" s="10" t="n">
        <x:f>AA2422*'Assumptions'!$D$21</x:f>
        <x:v>0</x:v>
      </x:c>
    </x:row>
    <x:row r="2423" ht="16" customHeight="1">
      <x:c r="A2423" s="1"/>
      <x:c r="B2423" s="1"/>
      <x:c r="C2423" s="1" t="str">
        <x:v>DOT-112</x:v>
      </x:c>
      <x:c r="D2423" s="10" t="str">
        <x:v>Learn Anglais</x:v>
      </x:c>
      <x:c r="E2423" s="10" t="n">
        <x:v>19</x:v>
      </x:c>
      <x:c r="F2423" s="21" t="n">
        <x:f>F2295*(1+'Assumptions'!$M$141)</x:f>
        <x:v>564.5710896227209</x:v>
      </x:c>
      <x:c r="G2423" s="21" t="n">
        <x:f>H2295*'Assumptions'!$K$141</x:f>
        <x:v>1195.7786346896928</x:v>
      </x:c>
      <x:c r="H2423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2423+G2423,NA())</x:f>
        <x:v>1760.3497243124139</x:v>
      </x:c>
      <x:c r="I2423" s="22" t="n">
        <x:f>'Assumptions'!$H$141*IF('Assumptions'!$O$141=1,1,'Assumptions'!$D$10)*(1+'Assumptions'!$N$141)^(19-1)</x:f>
        <x:v>64.2710811409323</x:v>
      </x:c>
      <x:c r="J2423" s="10" t="n">
        <x:f>H2423*I2423</x:f>
        <x:v>113139.57996770095</x:v>
      </x:c>
      <x:c r="K2423" s="10" t="n">
        <x:f>J2423*'Assumptions'!$T$141</x:f>
        <x:v>37713.19332256698</x:v>
      </x:c>
      <x:c r="L2423" s="10" t="n">
        <x:f>K2423*'Assumptions'!$U$141</x:f>
        <x:v>1131.3957996770093</x:v>
      </x:c>
      <x:c r="M2423" s="10" t="n">
        <x:f>K2423*'Assumptions'!$V$141</x:f>
        <x:v>0</x:v>
      </x:c>
      <x:c r="N2423" s="10" t="n">
        <x:f>K2423-L2423-M2423</x:f>
        <x:v>36581.79752288997</x:v>
      </x:c>
      <x:c r="O2423" s="10" t="n">
        <x:f>H2423*'Assumptions'!$P$141*'Assumptions'!$Q$141*'Assumptions'!$D$11*(1+'Assumptions'!$D$13)^(19-1)</x:f>
        <x:v>10489.071495049016</x:v>
      </x:c>
      <x:c r="P2423" s="10" t="n">
        <x:f>H2423*'Assumptions'!$R$141*'Assumptions'!$D$11*(1+'Assumptions'!$D$13)^(19-1)</x:f>
        <x:v>0</x:v>
      </x:c>
      <x:c r="Q2423" s="10" t="n">
        <x:f>J2423*'Assumptions'!$S$141</x:f>
        <x:v>0</x:v>
      </x:c>
      <x:c r="R2423" s="10" t="n">
        <x:f>H2423*'Assumptions'!$Y$141*'Assumptions'!$Z$141*'Assumptions'!$D$11*(1+'Assumptions'!$D$13)^(19-1)</x:f>
        <x:v>13485.949065063021</x:v>
      </x:c>
      <x:c r="S2423" s="10" t="n">
        <x:f>IF(I2423=0,0,J2423*'Assumptions'!$W$141+H2423*'Assumptions'!$X$141)</x:f>
        <x:v>3809.1527363570517</x:v>
      </x:c>
      <x:c r="T2423" s="10" t="n">
        <x:f>N2423*'Assumptions'!$AA$141</x:f>
        <x:v>1829.0898761444985</x:v>
      </x:c>
      <x:c r="U2423" s="10" t="n">
        <x:f>'Assumptions'!$AE$141*'Assumptions'!$D$11*(1+'Assumptions'!$D$13)^(19-1)</x:f>
        <x:v>0</x:v>
      </x:c>
      <x:c r="V2423" s="10" t="n">
        <x:f>0</x:f>
        <x:v>0</x:v>
      </x:c>
      <x:c r="W2423" s="10" t="n">
        <x:f>H2423*('Assumptions'!$P$141+'Assumptions'!$Y$141)</x:f>
        <x:v>440.08743107810346</x:v>
      </x:c>
      <x:c r="X2423" s="10" t="n">
        <x:f>N2423/12*'Assumptions'!$AF$141</x:f>
        <x:v>0</x:v>
      </x:c>
      <x:c r="Y2423" s="10" t="n">
        <x:f>P2423/12</x:f>
        <x:v>0</x:v>
      </x:c>
      <x:c r="Z2423" s="10" t="n">
        <x:f>0</x:f>
        <x:v>0</x:v>
      </x:c>
      <x:c r="AA2423" s="10" t="n">
        <x:f>Z2423*'Assumptions'!$AC$141*'Assumptions'!$D$11*(1+'Assumptions'!$D$13)^(19-1)</x:f>
        <x:v>0</x:v>
      </x:c>
      <x:c r="AB2423" s="10" t="n">
        <x:f>F2423/1</x:f>
        <x:v>564.5710896227209</x:v>
      </x:c>
      <x:c r="AC2423" s="10" t="n">
        <x:f>AB2423/'Assumptions'!$AM$141</x:f>
        <x:v>11291.421792454417</x:v>
      </x:c>
      <x:c r="AD2423" s="10" t="n">
        <x:f>IF(AB2423=0,0,T2423/AB2423)</x:f>
        <x:v>3.2397866447019137</x:v>
      </x:c>
      <x:c r="AE2423" s="10" t="n">
        <x:f>AA2423*'Assumptions'!$D$21</x:f>
        <x:v>0</x:v>
      </x:c>
    </x:row>
    <x:row r="2424" ht="16" customHeight="1">
      <x:c r="A2424" s="1"/>
      <x:c r="B2424" s="1"/>
      <x:c r="C2424" s="1" t="str">
        <x:v>DOT-113</x:v>
      </x:c>
      <x:c r="D2424" s="10" t="str">
        <x:v>Learn Anglais</x:v>
      </x:c>
      <x:c r="E2424" s="10" t="n">
        <x:v>19</x:v>
      </x:c>
      <x:c r="F2424" s="21" t="n">
        <x:f>F2296*(1+'Assumptions'!$M$142)</x:f>
        <x:v>338.7426537736324</x:v>
      </x:c>
      <x:c r="G2424" s="21" t="n">
        <x:f>H2296*'Assumptions'!$K$142</x:f>
        <x:v>717.4671808138154</x:v>
      </x:c>
      <x:c r="H2424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2424+G2424,NA())</x:f>
        <x:v>1056.2098345874479</x:v>
      </x:c>
      <x:c r="I2424" s="22" t="n">
        <x:f>'Assumptions'!$H$142*IF('Assumptions'!$O$142=1,1,'Assumptions'!$D$10)*(1+'Assumptions'!$N$142)^(19-1)</x:f>
        <x:v>121.40093104398323</x:v>
      </x:c>
      <x:c r="J2424" s="10" t="n">
        <x:f>H2424*I2424</x:f>
        <x:v>128224.8572967277</x:v>
      </x:c>
      <x:c r="K2424" s="10" t="n">
        <x:f>J2424*'Assumptions'!$T$142</x:f>
        <x:v>38467.45718901831</x:v>
      </x:c>
      <x:c r="L2424" s="10" t="n">
        <x:f>K2424*'Assumptions'!$U$142</x:f>
        <x:v>1154.023715670549</x:v>
      </x:c>
      <x:c r="M2424" s="10" t="n">
        <x:f>K2424*'Assumptions'!$V$142</x:f>
        <x:v>0</x:v>
      </x:c>
      <x:c r="N2424" s="10" t="n">
        <x:f>K2424-L2424-M2424</x:f>
        <x:v>37313.43347334776</x:v>
      </x:c>
      <x:c r="O2424" s="10" t="n">
        <x:f>H2424*'Assumptions'!$P$142*'Assumptions'!$Q$142*'Assumptions'!$D$11*(1+'Assumptions'!$D$13)^(19-1)</x:f>
        <x:v>6293.4428970294075</x:v>
      </x:c>
      <x:c r="P2424" s="10" t="n">
        <x:f>H2424*'Assumptions'!$R$142*'Assumptions'!$D$11*(1+'Assumptions'!$D$13)^(19-1)</x:f>
        <x:v>0</x:v>
      </x:c>
      <x:c r="Q2424" s="10" t="n">
        <x:f>J2424*'Assumptions'!$S$142</x:f>
        <x:v>0</x:v>
      </x:c>
      <x:c r="R2424" s="10" t="n">
        <x:f>H2424*'Assumptions'!$Y$142*'Assumptions'!$Z$142*'Assumptions'!$D$11*(1+'Assumptions'!$D$13)^(19-1)</x:f>
        <x:v>8091.569439037809</x:v>
      </x:c>
      <x:c r="S2424" s="10" t="n">
        <x:f>IF(I2424=0,0,J2424*'Assumptions'!$W$142+H2424*'Assumptions'!$X$142)</x:f>
        <x:v>4035.383811981338</x:v>
      </x:c>
      <x:c r="T2424" s="10" t="n">
        <x:f>N2424*'Assumptions'!$AA$142</x:f>
        <x:v>1865.671673667388</x:v>
      </x:c>
      <x:c r="U2424" s="10" t="n">
        <x:f>'Assumptions'!$AE$142*'Assumptions'!$D$11*(1+'Assumptions'!$D$13)^(19-1)</x:f>
        <x:v>0</x:v>
      </x:c>
      <x:c r="V2424" s="10" t="n">
        <x:f>0</x:f>
        <x:v>0</x:v>
      </x:c>
      <x:c r="W2424" s="10" t="n">
        <x:f>H2424*('Assumptions'!$P$142+'Assumptions'!$Y$142)</x:f>
        <x:v>264.05245864686196</x:v>
      </x:c>
      <x:c r="X2424" s="10" t="n">
        <x:f>N2424/12*'Assumptions'!$AF$142</x:f>
        <x:v>0</x:v>
      </x:c>
      <x:c r="Y2424" s="10" t="n">
        <x:f>P2424/12</x:f>
        <x:v>0</x:v>
      </x:c>
      <x:c r="Z2424" s="10" t="n">
        <x:f>0</x:f>
        <x:v>0</x:v>
      </x:c>
      <x:c r="AA2424" s="10" t="n">
        <x:f>Z2424*'Assumptions'!$AC$142*'Assumptions'!$D$11*(1+'Assumptions'!$D$13)^(19-1)</x:f>
        <x:v>0</x:v>
      </x:c>
      <x:c r="AB2424" s="10" t="n">
        <x:f>F2424/1</x:f>
        <x:v>338.7426537736324</x:v>
      </x:c>
      <x:c r="AC2424" s="10" t="n">
        <x:f>AB2424/'Assumptions'!$AM$142</x:f>
        <x:v>6774.853075472648</x:v>
      </x:c>
      <x:c r="AD2424" s="10" t="n">
        <x:f>IF(AB2424=0,0,T2424/AB2424)</x:f>
        <x:v>5.507637295993255</x:v>
      </x:c>
      <x:c r="AE2424" s="10" t="n">
        <x:f>AA2424*'Assumptions'!$D$21</x:f>
        <x:v>0</x:v>
      </x:c>
    </x:row>
    <x:row r="2425" ht="16" customHeight="1">
      <x:c r="A2425" s="1"/>
      <x:c r="B2425" s="1"/>
      <x:c r="C2425" s="1" t="str">
        <x:v>DOT-114</x:v>
      </x:c>
      <x:c r="D2425" s="10" t="str">
        <x:v>Learn Anglais</x:v>
      </x:c>
      <x:c r="E2425" s="10" t="n">
        <x:v>19</x:v>
      </x:c>
      <x:c r="F2425" s="21" t="n">
        <x:f>F2297*(1+'Assumptions'!$M$143)</x:f>
        <x:v>476.19519884232665</x:v>
      </x:c>
      <x:c r="G2425" s="21" t="n">
        <x:f>H2297*'Assumptions'!$K$143</x:f>
        <x:v>152.62666624477026</x:v>
      </x:c>
      <x:c r="H2425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2425+G2425,NA())</x:f>
        <x:v>628.821865087097</x:v>
      </x:c>
      <x:c r="I2425" s="22" t="n">
        <x:f>'Assumptions'!$H$143*IF('Assumptions'!$O$143=1,1,'Assumptions'!$D$10)*(1+'Assumptions'!$N$143)^(19-1)</x:f>
        <x:v>41.41914117971193</x:v>
      </x:c>
      <x:c r="J2425" s="10" t="n">
        <x:f>H2425*I2425</x:f>
        <x:v>26045.261606932236</x:v>
      </x:c>
      <x:c r="K2425" s="10" t="n">
        <x:f>J2425*'Assumptions'!$T$143</x:f>
        <x:v>26045.261606932236</x:v>
      </x:c>
      <x:c r="L2425" s="10" t="n">
        <x:f>K2425*'Assumptions'!$U$143</x:f>
        <x:v>781.3578482079671</x:v>
      </x:c>
      <x:c r="M2425" s="10" t="n">
        <x:f>K2425*'Assumptions'!$V$143</x:f>
        <x:v>0</x:v>
      </x:c>
      <x:c r="N2425" s="10" t="n">
        <x:f>K2425-L2425-M2425</x:f>
        <x:v>25263.903758724267</x:v>
      </x:c>
      <x:c r="O2425" s="10" t="n">
        <x:f>H2425*'Assumptions'!$P$143*'Assumptions'!$Q$143*'Assumptions'!$D$11*(1+'Assumptions'!$D$13)^(19-1)</x:f>
        <x:v>5620.267446962767</x:v>
      </x:c>
      <x:c r="P2425" s="10" t="n">
        <x:f>H2425*'Assumptions'!$R$143*'Assumptions'!$D$11*(1+'Assumptions'!$D$13)^(19-1)</x:f>
        <x:v>0</x:v>
      </x:c>
      <x:c r="Q2425" s="10" t="n">
        <x:f>J2425*'Assumptions'!$S$143</x:f>
        <x:v>0</x:v>
      </x:c>
      <x:c r="R2425" s="10" t="n">
        <x:f>H2425*'Assumptions'!$Y$143*'Assumptions'!$Z$143*'Assumptions'!$D$11*(1+'Assumptions'!$D$13)^(19-1)</x:f>
        <x:v>3211.5813982644386</x:v>
      </x:c>
      <x:c r="S2425" s="10" t="n">
        <x:f>IF(I2425=0,0,J2425*'Assumptions'!$W$143+H2425*'Assumptions'!$X$143)</x:f>
        <x:v>943.959146127164</x:v>
      </x:c>
      <x:c r="T2425" s="10" t="n">
        <x:f>N2425*'Assumptions'!$AA$143</x:f>
        <x:v>1263.1951879362134</x:v>
      </x:c>
      <x:c r="U2425" s="10" t="n">
        <x:f>'Assumptions'!$AE$143*'Assumptions'!$D$11*(1+'Assumptions'!$D$13)^(19-1)</x:f>
        <x:v>0</x:v>
      </x:c>
      <x:c r="V2425" s="10" t="n">
        <x:f>0</x:f>
        <x:v>0</x:v>
      </x:c>
      <x:c r="W2425" s="10" t="n">
        <x:f>H2425*('Assumptions'!$P$143+'Assumptions'!$Y$143)</x:f>
        <x:v>157.20546627177424</x:v>
      </x:c>
      <x:c r="X2425" s="10" t="n">
        <x:f>N2425/12*'Assumptions'!$AF$143</x:f>
        <x:v>0</x:v>
      </x:c>
      <x:c r="Y2425" s="10" t="n">
        <x:f>P2425/12</x:f>
        <x:v>0</x:v>
      </x:c>
      <x:c r="Z2425" s="10" t="n">
        <x:f>0</x:f>
        <x:v>0</x:v>
      </x:c>
      <x:c r="AA2425" s="10" t="n">
        <x:f>Z2425*'Assumptions'!$AC$143*'Assumptions'!$D$11*(1+'Assumptions'!$D$13)^(19-1)</x:f>
        <x:v>0</x:v>
      </x:c>
      <x:c r="AB2425" s="10" t="n">
        <x:f>F2425/1</x:f>
        <x:v>476.19519884232665</x:v>
      </x:c>
      <x:c r="AC2425" s="10" t="n">
        <x:f>AB2425/'Assumptions'!$AM$143</x:f>
        <x:v>9523.903976846532</x:v>
      </x:c>
      <x:c r="AD2425" s="10" t="n">
        <x:f>IF(AB2425=0,0,T2425/AB2425)</x:f>
        <x:v>2.6526835864938465</x:v>
      </x:c>
      <x:c r="AE2425" s="10" t="n">
        <x:f>AA2425*'Assumptions'!$D$21</x:f>
        <x:v>0</x:v>
      </x:c>
    </x:row>
    <x:row r="2426" ht="16" customHeight="1">
      <x:c r="A2426" s="1"/>
      <x:c r="B2426" s="1"/>
      <x:c r="C2426" s="1" t="str">
        <x:v>DOT-115</x:v>
      </x:c>
      <x:c r="D2426" s="10" t="str">
        <x:v>Learn Anglais</x:v>
      </x:c>
      <x:c r="E2426" s="10" t="n">
        <x:v>19</x:v>
      </x:c>
      <x:c r="F2426" s="21" t="n">
        <x:f>F2298*(1+'Assumptions'!$M$144)</x:f>
        <x:v>225.8284358490883</x:v>
      </x:c>
      <x:c r="G2426" s="21" t="n">
        <x:f>H2298*'Assumptions'!$K$144</x:f>
        <x:v>478.2137490600023</x:v>
      </x:c>
      <x:c r="H2426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2426+G2426,NA())</x:f>
        <x:v>704.0421849090906</x:v>
      </x:c>
      <x:c r="I2426" s="22" t="n">
        <x:f>'Assumptions'!$H$144*IF('Assumptions'!$O$144=1,1,'Assumptions'!$D$10)*(1+'Assumptions'!$N$144)^(19-1)</x:f>
        <x:v>64.2710811409323</x:v>
      </x:c>
      <x:c r="J2426" s="10" t="n">
        <x:f>H2426*I2426</x:f>
        <x:v>45249.55239293142</x:v>
      </x:c>
      <x:c r="K2426" s="10" t="n">
        <x:f>J2426*'Assumptions'!$T$144</x:f>
        <x:v>15083.18413097714</x:v>
      </x:c>
      <x:c r="L2426" s="10" t="n">
        <x:f>K2426*'Assumptions'!$U$144</x:f>
        <x:v>452.49552392931423</x:v>
      </x:c>
      <x:c r="M2426" s="10" t="n">
        <x:f>K2426*'Assumptions'!$V$144</x:f>
        <x:v>0</x:v>
      </x:c>
      <x:c r="N2426" s="10" t="n">
        <x:f>K2426-L2426-M2426</x:f>
        <x:v>14630.688607047827</x:v>
      </x:c>
      <x:c r="O2426" s="10" t="n">
        <x:f>H2426*'Assumptions'!$P$144*'Assumptions'!$Q$144*'Assumptions'!$D$11*(1+'Assumptions'!$D$13)^(19-1)</x:f>
        <x:v>6292.569633508273</x:v>
      </x:c>
      <x:c r="P2426" s="10" t="n">
        <x:f>H2426*'Assumptions'!$R$144*'Assumptions'!$D$11*(1+'Assumptions'!$D$13)^(19-1)</x:f>
        <x:v>0</x:v>
      </x:c>
      <x:c r="Q2426" s="10" t="n">
        <x:f>J2426*'Assumptions'!$S$144</x:f>
        <x:v>0</x:v>
      </x:c>
      <x:c r="R2426" s="10" t="n">
        <x:f>H2426*'Assumptions'!$Y$144*'Assumptions'!$Z$144*'Assumptions'!$D$11*(1+'Assumptions'!$D$13)^(19-1)</x:f>
        <x:v>5393.631114435663</x:v>
      </x:c>
      <x:c r="S2426" s="10" t="n">
        <x:f>IF(I2426=0,0,J2426*'Assumptions'!$W$144+H2426*'Assumptions'!$X$144)</x:f>
        <x:v>1523.4496748677384</x:v>
      </x:c>
      <x:c r="T2426" s="10" t="n">
        <x:f>N2426*'Assumptions'!$AA$144</x:f>
        <x:v>731.5344303523914</x:v>
      </x:c>
      <x:c r="U2426" s="10" t="n">
        <x:f>'Assumptions'!$AE$144*'Assumptions'!$D$11*(1+'Assumptions'!$D$13)^(19-1)</x:f>
        <x:v>0</x:v>
      </x:c>
      <x:c r="V2426" s="10" t="n">
        <x:f>0</x:f>
        <x:v>0</x:v>
      </x:c>
      <x:c r="W2426" s="10" t="n">
        <x:f>H2426*('Assumptions'!$P$144+'Assumptions'!$Y$144)</x:f>
        <x:v>211.21265547272716</x:v>
      </x:c>
      <x:c r="X2426" s="10" t="n">
        <x:f>N2426/12*'Assumptions'!$AF$144</x:f>
        <x:v>0</x:v>
      </x:c>
      <x:c r="Y2426" s="10" t="n">
        <x:f>P2426/12</x:f>
        <x:v>0</x:v>
      </x:c>
      <x:c r="Z2426" s="10" t="n">
        <x:f>0</x:f>
        <x:v>0</x:v>
      </x:c>
      <x:c r="AA2426" s="10" t="n">
        <x:f>Z2426*'Assumptions'!$AC$144*'Assumptions'!$D$11*(1+'Assumptions'!$D$13)^(19-1)</x:f>
        <x:v>0</x:v>
      </x:c>
      <x:c r="AB2426" s="10" t="n">
        <x:f>F2426/1</x:f>
        <x:v>225.8284358490883</x:v>
      </x:c>
      <x:c r="AC2426" s="10" t="n">
        <x:f>AB2426/'Assumptions'!$AM$144</x:f>
        <x:v>4516.568716981766</x:v>
      </x:c>
      <x:c r="AD2426" s="10" t="n">
        <x:f>IF(AB2426=0,0,T2426/AB2426)</x:f>
        <x:v>3.2393370994308497</x:v>
      </x:c>
      <x:c r="AE2426" s="10" t="n">
        <x:f>AA2426*'Assumptions'!$D$21</x:f>
        <x:v>0</x:v>
      </x:c>
    </x:row>
    <x:row r="2427" ht="16" customHeight="1">
      <x:c r="A2427" s="1"/>
      <x:c r="B2427" s="1"/>
      <x:c r="C2427" s="1" t="str">
        <x:v>DOT-116</x:v>
      </x:c>
      <x:c r="D2427" s="10" t="str">
        <x:v>Fiefé</x:v>
      </x:c>
      <x:c r="E2427" s="10" t="n">
        <x:v>19</x:v>
      </x:c>
      <x:c r="F2427" s="21" t="n">
        <x:f>F2299*(1+'Assumptions'!$M$145)</x:f>
        <x:v>79.9709976507655</x:v>
      </x:c>
      <x:c r="G2427" s="21" t="n">
        <x:f>H2299*'Assumptions'!$K$145</x:f>
        <x:v>32.86479343256675</x:v>
      </x:c>
      <x:c r="H2427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2427+G2427,NA())</x:f>
        <x:v>112.83579108333225</x:v>
      </x:c>
      <x:c r="I2427" s="22" t="n">
        <x:f>'Assumptions'!$H$145*IF('Assumptions'!$O$145=1,1,'Assumptions'!$D$10)*(1+'Assumptions'!$N$145)^(19-1)</x:f>
        <x:v>642.710811409323</x:v>
      </x:c>
      <x:c r="J2427" s="10" t="n">
        <x:f>H2427*I2427</x:f>
        <x:v>72520.78284318133</x:v>
      </x:c>
      <x:c r="K2427" s="10" t="n">
        <x:f>J2427*'Assumptions'!$T$145</x:f>
        <x:v>72520.78284318133</x:v>
      </x:c>
      <x:c r="L2427" s="10" t="n">
        <x:f>K2427*'Assumptions'!$U$145</x:f>
        <x:v>2175.62348529544</x:v>
      </x:c>
      <x:c r="M2427" s="10" t="n">
        <x:f>K2427*'Assumptions'!$V$145</x:f>
        <x:v>1450.4156568636265</x:v>
      </x:c>
      <x:c r="N2427" s="10" t="n">
        <x:f>K2427-L2427-M2427</x:f>
        <x:v>68894.74370102226</x:v>
      </x:c>
      <x:c r="O2427" s="10" t="n">
        <x:f>H2427*'Assumptions'!$P$145*'Assumptions'!$Q$145*'Assumptions'!$D$11*(1+'Assumptions'!$D$13)^(19-1)</x:f>
        <x:v>4802.384530785592</x:v>
      </x:c>
      <x:c r="P2427" s="10" t="n">
        <x:f>H2427*'Assumptions'!$R$145*'Assumptions'!$D$11*(1+'Assumptions'!$D$13)^(19-1)</x:f>
        <x:v>48023.84530785591</x:v>
      </x:c>
      <x:c r="Q2427" s="10" t="n">
        <x:f>J2427*'Assumptions'!$S$145</x:f>
        <x:v>0</x:v>
      </x:c>
      <x:c r="R2427" s="10" t="n">
        <x:f>H2427*'Assumptions'!$Y$145*'Assumptions'!$Z$145*'Assumptions'!$D$11*(1+'Assumptions'!$D$13)^(19-1)</x:f>
        <x:v>864.4292155414065</x:v>
      </x:c>
      <x:c r="S2427" s="10" t="n">
        <x:f>IF(I2427=0,0,J2427*'Assumptions'!$W$145+H2427*'Assumptions'!$X$145)</x:f>
        <x:v>2136.953439777258</x:v>
      </x:c>
      <x:c r="T2427" s="10" t="n">
        <x:f>N2427*'Assumptions'!$AA$145</x:f>
        <x:v>5511.579496081781</x:v>
      </x:c>
      <x:c r="U2427" s="10" t="n">
        <x:f>'Assumptions'!$AE$145*'Assumptions'!$D$11*(1+'Assumptions'!$D$13)^(19-1)</x:f>
        <x:v>0</x:v>
      </x:c>
      <x:c r="V2427" s="10" t="n">
        <x:f>0</x:f>
        <x:v>0</x:v>
      </x:c>
      <x:c r="W2427" s="10" t="n">
        <x:f>H2427*('Assumptions'!$P$145+'Assumptions'!$Y$145)</x:f>
        <x:v>73.34326420416596</x:v>
      </x:c>
      <x:c r="X2427" s="10" t="n">
        <x:f>N2427/12*'Assumptions'!$AF$145</x:f>
        <x:v>0</x:v>
      </x:c>
      <x:c r="Y2427" s="10" t="n">
        <x:f>P2427/12</x:f>
        <x:v>4001.9871089879925</x:v>
      </x:c>
      <x:c r="Z2427" s="10" t="n">
        <x:f>0</x:f>
        <x:v>0</x:v>
      </x:c>
      <x:c r="AA2427" s="10" t="n">
        <x:f>Z2427*'Assumptions'!$AC$145*'Assumptions'!$D$11*(1+'Assumptions'!$D$13)^(19-1)</x:f>
        <x:v>0</x:v>
      </x:c>
      <x:c r="AB2427" s="10" t="n">
        <x:f>F2427/1</x:f>
        <x:v>79.9709976507655</x:v>
      </x:c>
      <x:c r="AC2427" s="10" t="n">
        <x:f>AB2427/'Assumptions'!$AM$145</x:f>
        <x:v>2665.699921692183</x:v>
      </x:c>
      <x:c r="AD2427" s="10" t="n">
        <x:f>IF(AB2427=0,0,T2427/AB2427)</x:f>
        <x:v>68.91972912668825</x:v>
      </x:c>
      <x:c r="AE2427" s="10" t="n">
        <x:f>AA2427*'Assumptions'!$D$21</x:f>
        <x:v>0</x:v>
      </x:c>
    </x:row>
    <x:row r="2428" ht="16" customHeight="1">
      <x:c r="A2428" s="1"/>
      <x:c r="B2428" s="1"/>
      <x:c r="C2428" s="1" t="str">
        <x:v>DOT-117</x:v>
      </x:c>
      <x:c r="D2428" s="10" t="str">
        <x:v>Fiefé</x:v>
      </x:c>
      <x:c r="E2428" s="10" t="n">
        <x:v>19</x:v>
      </x:c>
      <x:c r="F2428" s="21" t="n">
        <x:f>F2300*(1+'Assumptions'!$M$146)</x:f>
        <x:v>99.96374706345689</x:v>
      </x:c>
      <x:c r="G2428" s="21" t="n">
        <x:f>H2300*'Assumptions'!$K$146</x:f>
        <x:v>41.08099179070844</x:v>
      </x:c>
      <x:c r="H2428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2428+G2428,NA())</x:f>
        <x:v>141.04473885416533</x:v>
      </x:c>
      <x:c r="I2428" s="22" t="n">
        <x:f>'Assumptions'!$H$146*IF('Assumptions'!$O$146=1,1,'Assumptions'!$D$10)*(1+'Assumptions'!$N$146)^(19-1)</x:f>
        <x:v>249.94309332584785</x:v>
      </x:c>
      <x:c r="J2428" s="10" t="n">
        <x:f>H2428*I2428</x:f>
        <x:v>35253.15832654649</x:v>
      </x:c>
      <x:c r="K2428" s="10" t="n">
        <x:f>J2428*'Assumptions'!$T$146</x:f>
        <x:v>35253.15832654649</x:v>
      </x:c>
      <x:c r="L2428" s="10" t="n">
        <x:f>K2428*'Assumptions'!$U$146</x:f>
        <x:v>1057.5947497963946</x:v>
      </x:c>
      <x:c r="M2428" s="10" t="n">
        <x:f>K2428*'Assumptions'!$V$146</x:f>
        <x:v>705.0631665309297</x:v>
      </x:c>
      <x:c r="N2428" s="10" t="n">
        <x:f>K2428-L2428-M2428</x:f>
        <x:v>33490.50041021917</x:v>
      </x:c>
      <x:c r="O2428" s="10" t="n">
        <x:f>H2428*'Assumptions'!$P$146*'Assumptions'!$Q$146*'Assumptions'!$D$11*(1+'Assumptions'!$D$13)^(19-1)</x:f>
        <x:v>2701.3412985668956</x:v>
      </x:c>
      <x:c r="P2428" s="10" t="n">
        <x:f>H2428*'Assumptions'!$R$146*'Assumptions'!$D$11*(1+'Assumptions'!$D$13)^(19-1)</x:f>
        <x:v>19209.538123142367</x:v>
      </x:c>
      <x:c r="Q2428" s="10" t="n">
        <x:f>J2428*'Assumptions'!$S$146</x:f>
        <x:v>0</x:v>
      </x:c>
      <x:c r="R2428" s="10" t="n">
        <x:f>H2428*'Assumptions'!$Y$146*'Assumptions'!$Z$146*'Assumptions'!$D$11*(1+'Assumptions'!$D$13)^(19-1)</x:f>
        <x:v>1080.536519426758</x:v>
      </x:c>
      <x:c r="S2428" s="10" t="n">
        <x:f>IF(I2428=0,0,J2428*'Assumptions'!$W$146+H2428*'Assumptions'!$X$146)</x:f>
        <x:v>1064.6550131260976</x:v>
      </x:c>
      <x:c r="T2428" s="10" t="n">
        <x:f>N2428*'Assumptions'!$AA$146</x:f>
        <x:v>2679.2400328175336</x:v>
      </x:c>
      <x:c r="U2428" s="10" t="n">
        <x:f>'Assumptions'!$AE$146*'Assumptions'!$D$11*(1+'Assumptions'!$D$13)^(19-1)</x:f>
        <x:v>0</x:v>
      </x:c>
      <x:c r="V2428" s="10" t="n">
        <x:f>0</x:f>
        <x:v>0</x:v>
      </x:c>
      <x:c r="W2428" s="10" t="n">
        <x:f>H2428*('Assumptions'!$P$146+'Assumptions'!$Y$146)</x:f>
        <x:v>56.417895541666134</x:v>
      </x:c>
      <x:c r="X2428" s="10" t="n">
        <x:f>N2428/12*'Assumptions'!$AF$146</x:f>
        <x:v>0</x:v>
      </x:c>
      <x:c r="Y2428" s="10" t="n">
        <x:f>P2428/12</x:f>
        <x:v>1600.7948435951973</x:v>
      </x:c>
      <x:c r="Z2428" s="10" t="n">
        <x:f>0</x:f>
        <x:v>0</x:v>
      </x:c>
      <x:c r="AA2428" s="10" t="n">
        <x:f>Z2428*'Assumptions'!$AC$146*'Assumptions'!$D$11*(1+'Assumptions'!$D$13)^(19-1)</x:f>
        <x:v>0</x:v>
      </x:c>
      <x:c r="AB2428" s="10" t="n">
        <x:f>F2428/1</x:f>
        <x:v>99.96374706345689</x:v>
      </x:c>
      <x:c r="AC2428" s="10" t="n">
        <x:f>AB2428/'Assumptions'!$AM$146</x:f>
        <x:v>3332.12490211523</x:v>
      </x:c>
      <x:c r="AD2428" s="10" t="n">
        <x:f>IF(AB2428=0,0,T2428/AB2428)</x:f>
        <x:v>26.802116882600995</x:v>
      </x:c>
      <x:c r="AE2428" s="10" t="n">
        <x:f>AA2428*'Assumptions'!$D$21</x:f>
        <x:v>0</x:v>
      </x:c>
    </x:row>
    <x:row r="2429" ht="16" customHeight="1">
      <x:c r="A2429" s="1"/>
      <x:c r="B2429" s="1"/>
      <x:c r="C2429" s="1" t="str">
        <x:v>DOT-118</x:v>
      </x:c>
      <x:c r="D2429" s="10" t="str">
        <x:v>Fiefé Design</x:v>
      </x:c>
      <x:c r="E2429" s="10" t="n">
        <x:v>19</x:v>
      </x:c>
      <x:c r="F2429" s="21" t="n">
        <x:f>F2301*(1+'Assumptions'!$M$147)</x:f>
        <x:v>13.328499608460918</x:v>
      </x:c>
      <x:c r="G2429" s="21" t="n">
        <x:f>H2301*'Assumptions'!$K$147</x:f>
        <x:v>5.477465572094458</x:v>
      </x:c>
      <x:c r="H2429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2429+G2429,NA())</x:f>
        <x:v>18.805965180555376</x:v>
      </x:c>
      <x:c r="I2429" s="22" t="n">
        <x:f>'Assumptions'!$H$147*IF('Assumptions'!$O$147=1,1,'Assumptions'!$D$10)*(1+'Assumptions'!$N$147)^(19-1)</x:f>
        <x:v>3570.6156189406834</x:v>
      </x:c>
      <x:c r="J2429" s="10" t="n">
        <x:f>H2429*I2429</x:f>
        <x:v>67148.87300294568</x:v>
      </x:c>
      <x:c r="K2429" s="10" t="n">
        <x:f>J2429*'Assumptions'!$T$147</x:f>
        <x:v>67148.87300294568</x:v>
      </x:c>
      <x:c r="L2429" s="10" t="n">
        <x:f>K2429*'Assumptions'!$U$147</x:f>
        <x:v>2014.4661900883702</x:v>
      </x:c>
      <x:c r="M2429" s="10" t="n">
        <x:f>K2429*'Assumptions'!$V$147</x:f>
        <x:v>1342.9774600589135</x:v>
      </x:c>
      <x:c r="N2429" s="10" t="n">
        <x:f>K2429-L2429-M2429</x:f>
        <x:v>63791.42935279839</x:v>
      </x:c>
      <x:c r="O2429" s="10" t="n">
        <x:f>H2429*'Assumptions'!$P$147*'Assumptions'!$Q$147*'Assumptions'!$D$11*(1+'Assumptions'!$D$13)^(19-1)</x:f>
        <x:v>15367.63049851389</x:v>
      </x:c>
      <x:c r="P2429" s="10" t="n">
        <x:f>H2429*'Assumptions'!$R$147*'Assumptions'!$D$11*(1+'Assumptions'!$D$13)^(19-1)</x:f>
        <x:v>28814.307184713547</x:v>
      </x:c>
      <x:c r="Q2429" s="10" t="n">
        <x:f>J2429*'Assumptions'!$S$147</x:f>
        <x:v>0</x:v>
      </x:c>
      <x:c r="R2429" s="10" t="n">
        <x:f>H2429*'Assumptions'!$Y$147*'Assumptions'!$Z$147*'Assumptions'!$D$11*(1+'Assumptions'!$D$13)^(19-1)</x:f>
        <x:v>144.07153592356775</x:v>
      </x:c>
      <x:c r="S2429" s="10" t="n">
        <x:f>IF(I2429=0,0,J2429*'Assumptions'!$W$147+H2429*'Assumptions'!$X$147)</x:f>
        <x:v>1952.9591066395913</x:v>
      </x:c>
      <x:c r="T2429" s="10" t="n">
        <x:f>N2429*'Assumptions'!$AA$147</x:f>
        <x:v>5103.314348223871</x:v>
      </x:c>
      <x:c r="U2429" s="10" t="n">
        <x:f>'Assumptions'!$AE$147*'Assumptions'!$D$11*(1+'Assumptions'!$D$13)^(19-1)</x:f>
        <x:v>0</x:v>
      </x:c>
      <x:c r="V2429" s="10" t="n">
        <x:f>0</x:f>
        <x:v>0</x:v>
      </x:c>
      <x:c r="W2429" s="10" t="n">
        <x:f>H2429*('Assumptions'!$P$147+'Assumptions'!$Y$147)</x:f>
        <x:v>153.26861622152632</x:v>
      </x:c>
      <x:c r="X2429" s="10" t="n">
        <x:f>N2429/12*'Assumptions'!$AF$147</x:f>
        <x:v>0</x:v>
      </x:c>
      <x:c r="Y2429" s="10" t="n">
        <x:f>P2429/12</x:f>
        <x:v>2401.1922653927954</x:v>
      </x:c>
      <x:c r="Z2429" s="10" t="n">
        <x:f>0</x:f>
        <x:v>0</x:v>
      </x:c>
      <x:c r="AA2429" s="10" t="n">
        <x:f>Z2429*'Assumptions'!$AC$147*'Assumptions'!$D$11*(1+'Assumptions'!$D$13)^(19-1)</x:f>
        <x:v>0</x:v>
      </x:c>
      <x:c r="AB2429" s="10" t="n">
        <x:f>F2429/1</x:f>
        <x:v>13.328499608460918</x:v>
      </x:c>
      <x:c r="AC2429" s="10" t="n">
        <x:f>AB2429/'Assumptions'!$AM$147</x:f>
        <x:v>444.2833202820306</x:v>
      </x:c>
      <x:c r="AD2429" s="10" t="n">
        <x:f>IF(AB2429=0,0,T2429/AB2429)</x:f>
        <x:v>382.8873840371569</x:v>
      </x:c>
      <x:c r="AE2429" s="10" t="n">
        <x:f>AA2429*'Assumptions'!$D$21</x:f>
        <x:v>0</x:v>
      </x:c>
    </x:row>
    <x:row r="2430" ht="16" customHeight="1">
      <x:c r="A2430" s="1"/>
      <x:c r="B2430" s="1"/>
      <x:c r="C2430" s="1" t="str">
        <x:v>DOT-119</x:v>
      </x:c>
      <x:c r="D2430" s="10" t="str">
        <x:v>OsezArt</x:v>
      </x:c>
      <x:c r="E2430" s="10" t="n">
        <x:v>19</x:v>
      </x:c>
      <x:c r="F2430" s="21" t="n">
        <x:f>F2302*(1+'Assumptions'!$M$148)</x:f>
        <x:v>11.291421792454416</x:v>
      </x:c>
      <x:c r="G2430" s="21" t="n">
        <x:f>H2302*'Assumptions'!$K$148</x:f>
        <x:v>23.910687453000122</x:v>
      </x:c>
      <x:c r="H2430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2430+G2430,NA())</x:f>
        <x:v>35.20210924545454</x:v>
      </x:c>
      <x:c r="I2430" s="22" t="n">
        <x:f>'Assumptions'!$H$148*IF('Assumptions'!$O$148=1,1,'Assumptions'!$D$10)*(1+'Assumptions'!$N$148)^(19-1)</x:f>
        <x:v>7141.231237881367</x:v>
      </x:c>
      <x:c r="J2430" s="10" t="n">
        <x:f>H2430*I2430</x:f>
        <x:v>251386.4021829524</x:v>
      </x:c>
      <x:c r="K2430" s="10" t="n">
        <x:f>J2430*'Assumptions'!$T$148</x:f>
        <x:v>50277.28043659049</x:v>
      </x:c>
      <x:c r="L2430" s="10" t="n">
        <x:f>K2430*'Assumptions'!$U$148</x:f>
        <x:v>1508.3184130977147</x:v>
      </x:c>
      <x:c r="M2430" s="10" t="n">
        <x:f>K2430*'Assumptions'!$V$148</x:f>
        <x:v>0</x:v>
      </x:c>
      <x:c r="N2430" s="10" t="n">
        <x:f>K2430-L2430-M2430</x:f>
        <x:v>48768.96202349277</x:v>
      </x:c>
      <x:c r="O2430" s="10" t="n">
        <x:f>H2430*'Assumptions'!$P$148*'Assumptions'!$Q$148*'Assumptions'!$D$11*(1+'Assumptions'!$D$13)^(19-1)</x:f>
        <x:v>14383.016305161773</x:v>
      </x:c>
      <x:c r="P2430" s="10" t="n">
        <x:f>H2430*'Assumptions'!$R$148*'Assumptions'!$D$11*(1+'Assumptions'!$D$13)^(19-1)</x:f>
        <x:v>0</x:v>
      </x:c>
      <x:c r="Q2430" s="10" t="n">
        <x:f>J2430*'Assumptions'!$S$148</x:f>
        <x:v>0</x:v>
      </x:c>
      <x:c r="R2430" s="10" t="n">
        <x:f>H2430*'Assumptions'!$Y$148*'Assumptions'!$Z$148*'Assumptions'!$D$11*(1+'Assumptions'!$D$13)^(19-1)</x:f>
        <x:v>269.6815557217832</x:v>
      </x:c>
      <x:c r="S2430" s="10" t="n">
        <x:f>IF(I2430=0,0,J2430*'Assumptions'!$W$148+H2430*'Assumptions'!$X$148)</x:f>
        <x:v>7300.766296079256</x:v>
      </x:c>
      <x:c r="T2430" s="10" t="n">
        <x:f>N2430*'Assumptions'!$AA$148</x:f>
        <x:v>2438.448101174639</x:v>
      </x:c>
      <x:c r="U2430" s="10" t="n">
        <x:f>'Assumptions'!$AE$148*'Assumptions'!$D$11*(1+'Assumptions'!$D$13)^(19-1)</x:f>
        <x:v>0</x:v>
      </x:c>
      <x:c r="V2430" s="10" t="n">
        <x:f>0</x:f>
        <x:v>0</x:v>
      </x:c>
      <x:c r="W2430" s="10" t="n">
        <x:f>H2430*('Assumptions'!$P$148+'Assumptions'!$Y$148)</x:f>
        <x:v>146.08875336863633</x:v>
      </x:c>
      <x:c r="X2430" s="10" t="n">
        <x:f>N2430/12*'Assumptions'!$AF$148</x:f>
        <x:v>0</x:v>
      </x:c>
      <x:c r="Y2430" s="10" t="n">
        <x:f>P2430/12</x:f>
        <x:v>0</x:v>
      </x:c>
      <x:c r="Z2430" s="10" t="n">
        <x:f>0</x:f>
        <x:v>0</x:v>
      </x:c>
      <x:c r="AA2430" s="10" t="n">
        <x:f>Z2430*'Assumptions'!$AC$148*'Assumptions'!$D$11*(1+'Assumptions'!$D$13)^(19-1)</x:f>
        <x:v>0</x:v>
      </x:c>
      <x:c r="AB2430" s="10" t="n">
        <x:f>F2430/1</x:f>
        <x:v>11.291421792454416</x:v>
      </x:c>
      <x:c r="AC2430" s="10" t="n">
        <x:f>AB2430/'Assumptions'!$AM$148</x:f>
        <x:v>225.82843584908832</x:v>
      </x:c>
      <x:c r="AD2430" s="10" t="n">
        <x:f>IF(AB2430=0,0,T2430/AB2430)</x:f>
        <x:v>215.95580662872337</x:v>
      </x:c>
      <x:c r="AE2430" s="10" t="n">
        <x:f>AA2430*'Assumptions'!$D$21</x:f>
        <x:v>0</x:v>
      </x:c>
    </x:row>
    <x:row r="2431" ht="16" customHeight="1">
      <x:c r="A2431" s="1"/>
      <x:c r="B2431" s="1"/>
      <x:c r="C2431" s="1" t="str">
        <x:v>DOT-120</x:v>
      </x:c>
      <x:c r="D2431" s="10" t="str">
        <x:v>OsezArt</x:v>
      </x:c>
      <x:c r="E2431" s="10" t="n">
        <x:v>19</x:v>
      </x:c>
      <x:c r="F2431" s="21" t="n">
        <x:f>F2303*(1+'Assumptions'!$M$149)</x:f>
        <x:v>6.6437478484811106</x:v>
      </x:c>
      <x:c r="G2431" s="21" t="n">
        <x:f>H2303*'Assumptions'!$K$149</x:f>
        <x:v>6.267653328633694</x:v>
      </x:c>
      <x:c r="H2431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2431+G2431,NA())</x:f>
        <x:v>12.911401177114804</x:v>
      </x:c>
      <x:c r="I2431" s="22" t="n">
        <x:f>'Assumptions'!$H$149*IF('Assumptions'!$O$149=1,1,'Assumptions'!$D$10)*(1+'Assumptions'!$N$149)^(19-1)</x:f>
        <x:v>7141.231237881367</x:v>
      </x:c>
      <x:c r="J2431" s="10" t="n">
        <x:f>H2431*I2431</x:f>
        <x:v>92203.30141083049</x:v>
      </x:c>
      <x:c r="K2431" s="10" t="n">
        <x:f>J2431*'Assumptions'!$T$149</x:f>
        <x:v>92203.30141083049</x:v>
      </x:c>
      <x:c r="L2431" s="10" t="n">
        <x:f>K2431*'Assumptions'!$U$149</x:f>
        <x:v>2766.0990423249145</x:v>
      </x:c>
      <x:c r="M2431" s="10" t="n">
        <x:f>K2431*'Assumptions'!$V$149</x:f>
        <x:v>0</x:v>
      </x:c>
      <x:c r="N2431" s="10" t="n">
        <x:f>K2431-L2431-M2431</x:f>
        <x:v>89437.20236850558</x:v>
      </x:c>
      <x:c r="O2431" s="10" t="n">
        <x:f>H2431*'Assumptions'!$P$149*'Assumptions'!$Q$149*'Assumptions'!$D$11*(1+'Assumptions'!$D$13)^(19-1)</x:f>
        <x:v>42862.55265016152</x:v>
      </x:c>
      <x:c r="P2431" s="10" t="n">
        <x:f>H2431*'Assumptions'!$R$149*'Assumptions'!$D$11*(1+'Assumptions'!$D$13)^(19-1)</x:f>
        <x:v>5495.1990577130155</x:v>
      </x:c>
      <x:c r="Q2431" s="10" t="n">
        <x:f>J2431*'Assumptions'!$S$149</x:f>
        <x:v>0</x:v>
      </x:c>
      <x:c r="R2431" s="10" t="n">
        <x:f>H2431*'Assumptions'!$Y$149*'Assumptions'!$Z$149*'Assumptions'!$D$11*(1+'Assumptions'!$D$13)^(19-1)</x:f>
        <x:v>164.85597173139047</x:v>
      </x:c>
      <x:c r="S2431" s="10" t="n">
        <x:f>IF(I2431=0,0,J2431*'Assumptions'!$W$149+H2431*'Assumptions'!$X$149)</x:f>
        <x:v>2677.769161267219</x:v>
      </x:c>
      <x:c r="T2431" s="10" t="n">
        <x:f>N2431*'Assumptions'!$AA$149</x:f>
        <x:v>3577.488094740223</x:v>
      </x:c>
      <x:c r="U2431" s="10" t="n">
        <x:f>'Assumptions'!$AE$149*'Assumptions'!$D$11*(1+'Assumptions'!$D$13)^(19-1)</x:f>
        <x:v>0</x:v>
      </x:c>
      <x:c r="V2431" s="10" t="n">
        <x:f>0</x:f>
        <x:v>0</x:v>
      </x:c>
      <x:c r="W2431" s="10" t="n">
        <x:f>H2431*('Assumptions'!$P$149+'Assumptions'!$Y$149)</x:f>
        <x:v>390.5698856077228</x:v>
      </x:c>
      <x:c r="X2431" s="10" t="n">
        <x:f>N2431/12*'Assumptions'!$AF$149</x:f>
        <x:v>7453.100197375465</x:v>
      </x:c>
      <x:c r="Y2431" s="10" t="n">
        <x:f>P2431/12</x:f>
        <x:v>457.933254809418</x:v>
      </x:c>
      <x:c r="Z2431" s="10" t="n">
        <x:f>0</x:f>
        <x:v>0</x:v>
      </x:c>
      <x:c r="AA2431" s="10" t="n">
        <x:f>Z2431*'Assumptions'!$AC$149*'Assumptions'!$D$11*(1+'Assumptions'!$D$13)^(19-1)</x:f>
        <x:v>0</x:v>
      </x:c>
      <x:c r="AB2431" s="10" t="n">
        <x:f>F2431/1</x:f>
        <x:v>6.6437478484811106</x:v>
      </x:c>
      <x:c r="AC2431" s="10" t="n">
        <x:f>AB2431/'Assumptions'!$AM$149</x:f>
        <x:v>33.21873924240555</x:v>
      </x:c>
      <x:c r="AD2431" s="10" t="n">
        <x:f>IF(AB2431=0,0,T2431/AB2431)</x:f>
        <x:v>538.4743937201208</x:v>
      </x:c>
      <x:c r="AE2431" s="10" t="n">
        <x:f>AA2431*'Assumptions'!$D$21</x:f>
        <x:v>0</x:v>
      </x:c>
    </x:row>
    <x:row r="2432" ht="16" customHeight="1">
      <x:c r="A2432" s="1"/>
      <x:c r="B2432" s="1"/>
      <x:c r="C2432" s="1" t="str">
        <x:v>DOT-121</x:v>
      </x:c>
      <x:c r="D2432" s="10" t="str">
        <x:v>OsezArt</x:v>
      </x:c>
      <x:c r="E2432" s="10" t="n">
        <x:v>19</x:v>
      </x:c>
      <x:c r="F2432" s="21" t="n">
        <x:f>F2304*(1+'Assumptions'!$M$150)</x:f>
        <x:v>6.6437478484811106</x:v>
      </x:c>
      <x:c r="G2432" s="21" t="n">
        <x:f>H2304*'Assumptions'!$K$150</x:f>
        <x:v>6.267647606587795</x:v>
      </x:c>
      <x:c r="H2432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2432+G2432,NA())</x:f>
        <x:v>12.911395455068906</x:v>
      </x:c>
      <x:c r="I2432" s="22" t="n">
        <x:f>'Assumptions'!$H$150*IF('Assumptions'!$O$150=1,1,'Assumptions'!$D$10)*(1+'Assumptions'!$N$150)^(19-1)</x:f>
        <x:v>4284.73874272882</x:v>
      </x:c>
      <x:c r="J2432" s="10" t="n">
        <x:f>H2432*I2432</x:f>
        <x:v>55321.95632902655</x:v>
      </x:c>
      <x:c r="K2432" s="10" t="n">
        <x:f>J2432*'Assumptions'!$T$150</x:f>
        <x:v>55321.95632902655</x:v>
      </x:c>
      <x:c r="L2432" s="10" t="n">
        <x:f>K2432*'Assumptions'!$U$150</x:f>
        <x:v>1659.6586898707965</x:v>
      </x:c>
      <x:c r="M2432" s="10" t="n">
        <x:f>K2432*'Assumptions'!$V$150</x:f>
        <x:v>0</x:v>
      </x:c>
      <x:c r="N2432" s="10" t="n">
        <x:f>K2432-L2432-M2432</x:f>
        <x:v>53662.29763915575</x:v>
      </x:c>
      <x:c r="O2432" s="10" t="n">
        <x:f>H2432*'Assumptions'!$P$150*'Assumptions'!$Q$150*'Assumptions'!$D$11*(1+'Assumptions'!$D$13)^(19-1)</x:f>
        <x:v>25717.52019265878</x:v>
      </x:c>
      <x:c r="P2432" s="10" t="n">
        <x:f>H2432*'Assumptions'!$R$150*'Assumptions'!$D$11*(1+'Assumptions'!$D$13)^(19-1)</x:f>
        <x:v>4396.15729789039</x:v>
      </x:c>
      <x:c r="Q2432" s="10" t="n">
        <x:f>J2432*'Assumptions'!$S$150</x:f>
        <x:v>0</x:v>
      </x:c>
      <x:c r="R2432" s="10" t="n">
        <x:f>H2432*'Assumptions'!$Y$150*'Assumptions'!$Z$150*'Assumptions'!$D$11*(1+'Assumptions'!$D$13)^(19-1)</x:f>
        <x:v>164.85589867088962</x:v>
      </x:c>
      <x:c r="S2432" s="10" t="n">
        <x:f>IF(I2432=0,0,J2432*'Assumptions'!$W$150+H2432*'Assumptions'!$X$150)</x:f>
        <x:v>1608.2101521782906</x:v>
      </x:c>
      <x:c r="T2432" s="10" t="n">
        <x:f>N2432*'Assumptions'!$AA$150</x:f>
        <x:v>2146.4919055662303</x:v>
      </x:c>
      <x:c r="U2432" s="10" t="n">
        <x:f>'Assumptions'!$AE$150*'Assumptions'!$D$11*(1+'Assumptions'!$D$13)^(19-1)</x:f>
        <x:v>0</x:v>
      </x:c>
      <x:c r="V2432" s="10" t="n">
        <x:f>0</x:f>
        <x:v>0</x:v>
      </x:c>
      <x:c r="W2432" s="10" t="n">
        <x:f>H2432*('Assumptions'!$P$150+'Assumptions'!$Y$150)</x:f>
        <x:v>235.63296705500753</x:v>
      </x:c>
      <x:c r="X2432" s="10" t="n">
        <x:f>N2432/12*'Assumptions'!$AF$150</x:f>
        <x:v>4471.858136596313</x:v>
      </x:c>
      <x:c r="Y2432" s="10" t="n">
        <x:f>P2432/12</x:f>
        <x:v>366.3464414908658</x:v>
      </x:c>
      <x:c r="Z2432" s="10" t="n">
        <x:f>0</x:f>
        <x:v>0</x:v>
      </x:c>
      <x:c r="AA2432" s="10" t="n">
        <x:f>Z2432*'Assumptions'!$AC$150*'Assumptions'!$D$11*(1+'Assumptions'!$D$13)^(19-1)</x:f>
        <x:v>0</x:v>
      </x:c>
      <x:c r="AB2432" s="10" t="n">
        <x:f>F2432/1</x:f>
        <x:v>6.6437478484811106</x:v>
      </x:c>
      <x:c r="AC2432" s="10" t="n">
        <x:f>AB2432/'Assumptions'!$AM$150</x:f>
        <x:v>33.21873924240555</x:v>
      </x:c>
      <x:c r="AD2432" s="10" t="n">
        <x:f>IF(AB2432=0,0,T2432/AB2432)</x:f>
        <x:v>323.084493048146</x:v>
      </x:c>
      <x:c r="AE2432" s="10" t="n">
        <x:f>AA2432*'Assumptions'!$D$21</x:f>
        <x:v>0</x:v>
      </x:c>
    </x:row>
    <x:row r="2433" ht="16" customHeight="1">
      <x:c r="A2433" s="1"/>
      <x:c r="B2433" s="1"/>
      <x:c r="C2433" s="1" t="str">
        <x:v>DOT-122</x:v>
      </x:c>
      <x:c r="D2433" s="10" t="str">
        <x:v>OsezArt</x:v>
      </x:c>
      <x:c r="E2433" s="10" t="n">
        <x:v>19</x:v>
      </x:c>
      <x:c r="F2433" s="21" t="n">
        <x:f>F2305*(1+'Assumptions'!$M$151)</x:f>
        <x:v>2.21458261616037</x:v>
      </x:c>
      <x:c r="G2433" s="21" t="n">
        <x:f>H2305*'Assumptions'!$K$151</x:f>
        <x:v>2.0892158688625986</x:v>
      </x:c>
      <x:c r="H2433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2433+G2433,NA())</x:f>
        <x:v>4.303798485022968</x:v>
      </x:c>
      <x:c r="I2433" s="22" t="n">
        <x:f>'Assumptions'!$H$151*IF('Assumptions'!$O$151=1,1,'Assumptions'!$D$10)*(1+'Assumptions'!$N$151)^(19-1)</x:f>
        <x:v>14282.462475762733</x:v>
      </x:c>
      <x:c r="J2433" s="10" t="n">
        <x:f>H2433*I2433</x:f>
        <x:v>61468.84036558504</x:v>
      </x:c>
      <x:c r="K2433" s="10" t="n">
        <x:f>J2433*'Assumptions'!$T$151</x:f>
        <x:v>61468.84036558504</x:v>
      </x:c>
      <x:c r="L2433" s="10" t="n">
        <x:f>K2433*'Assumptions'!$U$151</x:f>
        <x:v>1844.0652109675511</x:v>
      </x:c>
      <x:c r="M2433" s="10" t="n">
        <x:f>K2433*'Assumptions'!$V$151</x:f>
        <x:v>0</x:v>
      </x:c>
      <x:c r="N2433" s="10" t="n">
        <x:f>K2433-L2433-M2433</x:f>
        <x:v>59624.77515461749</x:v>
      </x:c>
      <x:c r="O2433" s="10" t="n">
        <x:f>H2433*'Assumptions'!$P$151*'Assumptions'!$Q$151*'Assumptions'!$D$11*(1+'Assumptions'!$D$13)^(19-1)</x:f>
        <x:v>28575.022436287527</x:v>
      </x:c>
      <x:c r="P2433" s="10" t="n">
        <x:f>H2433*'Assumptions'!$R$151*'Assumptions'!$D$11*(1+'Assumptions'!$D$13)^(19-1)</x:f>
        <x:v>3663.464414908657</x:v>
      </x:c>
      <x:c r="Q2433" s="10" t="n">
        <x:f>J2433*'Assumptions'!$S$151</x:f>
        <x:v>0</x:v>
      </x:c>
      <x:c r="R2433" s="10" t="n">
        <x:f>H2433*'Assumptions'!$Y$151*'Assumptions'!$Z$151*'Assumptions'!$D$11*(1+'Assumptions'!$D$13)^(19-1)</x:f>
        <x:v>54.95196622362987</x:v>
      </x:c>
      <x:c r="S2433" s="10" t="n">
        <x:f>IF(I2433=0,0,J2433*'Assumptions'!$W$151+H2433*'Assumptions'!$X$151)</x:f>
        <x:v>1783.8875101474732</x:v>
      </x:c>
      <x:c r="T2433" s="10" t="n">
        <x:f>N2433*'Assumptions'!$AA$151</x:f>
        <x:v>2384.9910061847</x:v>
      </x:c>
      <x:c r="U2433" s="10" t="n">
        <x:f>'Assumptions'!$AE$151*'Assumptions'!$D$11*(1+'Assumptions'!$D$13)^(19-1)</x:f>
        <x:v>0</x:v>
      </x:c>
      <x:c r="V2433" s="10" t="n">
        <x:f>0</x:f>
        <x:v>0</x:v>
      </x:c>
      <x:c r="W2433" s="10" t="n">
        <x:f>H2433*('Assumptions'!$P$151+'Assumptions'!$Y$151)</x:f>
        <x:v>259.30385872263383</x:v>
      </x:c>
      <x:c r="X2433" s="10" t="n">
        <x:f>N2433/12*'Assumptions'!$AF$151</x:f>
        <x:v>4968.731262884791</x:v>
      </x:c>
      <x:c r="Y2433" s="10" t="n">
        <x:f>P2433/12</x:f>
        <x:v>305.2887012423881</x:v>
      </x:c>
      <x:c r="Z2433" s="10" t="n">
        <x:f>0</x:f>
        <x:v>0</x:v>
      </x:c>
      <x:c r="AA2433" s="10" t="n">
        <x:f>Z2433*'Assumptions'!$AC$151*'Assumptions'!$D$11*(1+'Assumptions'!$D$13)^(19-1)</x:f>
        <x:v>0</x:v>
      </x:c>
      <x:c r="AB2433" s="10" t="n">
        <x:f>F2433/1</x:f>
        <x:v>2.21458261616037</x:v>
      </x:c>
      <x:c r="AC2433" s="10" t="n">
        <x:f>AB2433/'Assumptions'!$AM$151</x:f>
        <x:v>11.072913080801849</x:v>
      </x:c>
      <x:c r="AD2433" s="10" t="n">
        <x:f>IF(AB2433=0,0,T2433/AB2433)</x:f>
        <x:v>1076.9483101604867</x:v>
      </x:c>
      <x:c r="AE2433" s="10" t="n">
        <x:f>AA2433*'Assumptions'!$D$21</x:f>
        <x:v>0</x:v>
      </x:c>
    </x:row>
    <x:row r="2434" ht="16" customHeight="1">
      <x:c r="A2434" s="1"/>
      <x:c r="B2434" s="1"/>
      <x:c r="C2434" s="1" t="str">
        <x:v>DOT-123</x:v>
      </x:c>
      <x:c r="D2434" s="10" t="str">
        <x:v>FinBot research</x:v>
      </x:c>
      <x:c r="E2434" s="10" t="n">
        <x:v>19</x:v>
      </x:c>
      <x:c r="F2434" s="21" t="n">
        <x:f>F2306*(1+'Assumptions'!$M$152)</x:f>
        <x:v>238.09759942116332</x:v>
      </x:c>
      <x:c r="G2434" s="21" t="n">
        <x:f>H2306*'Assumptions'!$K$152</x:f>
        <x:v>76.31333312194857</x:v>
      </x:c>
      <x:c r="H2434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2434+G2434,NA())</x:f>
        <x:v>314.4109325431119</x:v>
      </x:c>
      <x:c r="I2434" s="22" t="n">
        <x:f>'Assumptions'!$H$152*IF('Assumptions'!$O$152=1,1,'Assumptions'!$D$10)*(1+'Assumptions'!$N$152)^(19-1)</x:f>
        <x:v>41.41914117971193</x:v>
      </x:c>
      <x:c r="J2434" s="10" t="n">
        <x:f>H2434*I2434</x:f>
        <x:v>13022.630803448037</x:v>
      </x:c>
      <x:c r="K2434" s="10" t="n">
        <x:f>J2434*'Assumptions'!$T$152</x:f>
        <x:v>13022.630803448037</x:v>
      </x:c>
      <x:c r="L2434" s="10" t="n">
        <x:f>K2434*'Assumptions'!$U$152</x:f>
        <x:v>390.6789241034411</x:v>
      </x:c>
      <x:c r="M2434" s="10" t="n">
        <x:f>K2434*'Assumptions'!$V$152</x:f>
        <x:v>0</x:v>
      </x:c>
      <x:c r="N2434" s="10" t="n">
        <x:f>K2434-L2434-M2434</x:f>
        <x:v>12631.951879344597</x:v>
      </x:c>
      <x:c r="O2434" s="10" t="n">
        <x:f>H2434*'Assumptions'!$P$152*'Assumptions'!$Q$152*'Assumptions'!$D$11*(1+'Assumptions'!$D$13)^(19-1)</x:f>
        <x:v>4817.372097389969</x:v>
      </x:c>
      <x:c r="P2434" s="10" t="n">
        <x:f>H2434*'Assumptions'!$R$152*'Assumptions'!$D$11*(1+'Assumptions'!$D$13)^(19-1)</x:f>
        <x:v>0</x:v>
      </x:c>
      <x:c r="Q2434" s="10" t="n">
        <x:f>J2434*'Assumptions'!$S$152</x:f>
        <x:v>0</x:v>
      </x:c>
      <x:c r="R2434" s="10" t="n">
        <x:f>H2434*'Assumptions'!$Y$152*'Assumptions'!$Z$152*'Assumptions'!$D$11*(1+'Assumptions'!$D$13)^(19-1)</x:f>
        <x:v>1605.7906991299897</x:v>
      </x:c>
      <x:c r="S2434" s="10" t="n">
        <x:f>IF(I2434=0,0,J2434*'Assumptions'!$W$152+H2434*'Assumptions'!$X$152)</x:f>
        <x:v>471.97957306292665</x:v>
      </x:c>
      <x:c r="T2434" s="10" t="n">
        <x:f>N2434*'Assumptions'!$AA$152</x:f>
        <x:v>631.5975939672298</x:v>
      </x:c>
      <x:c r="U2434" s="10" t="n">
        <x:f>'Assumptions'!$AE$152*'Assumptions'!$D$11*(1+'Assumptions'!$D$13)^(19-1)</x:f>
        <x:v>408.5839346975771</x:v>
      </x:c>
      <x:c r="V2434" s="10" t="n">
        <x:f>0</x:f>
        <x:v>0</x:v>
      </x:c>
      <x:c r="W2434" s="10" t="n">
        <x:f>H2434*('Assumptions'!$P$152+'Assumptions'!$Y$152)</x:f>
        <x:v>94.3232797629336</x:v>
      </x:c>
      <x:c r="X2434" s="10" t="n">
        <x:f>N2434/12*'Assumptions'!$AF$152</x:f>
        <x:v>0</x:v>
      </x:c>
      <x:c r="Y2434" s="10" t="n">
        <x:f>P2434/12</x:f>
        <x:v>0</x:v>
      </x:c>
      <x:c r="Z2434" s="10" t="n">
        <x:f>0</x:f>
        <x:v>0</x:v>
      </x:c>
      <x:c r="AA2434" s="10" t="n">
        <x:f>Z2434*'Assumptions'!$AC$152*'Assumptions'!$D$11*(1+'Assumptions'!$D$13)^(19-1)</x:f>
        <x:v>0</x:v>
      </x:c>
      <x:c r="AB2434" s="10" t="n">
        <x:f>F2434/12</x:f>
        <x:v>19.841466618430278</x:v>
      </x:c>
      <x:c r="AC2434" s="10" t="n">
        <x:f>AB2434/'Assumptions'!$AM$152</x:f>
        <x:v>396.82933236860555</x:v>
      </x:c>
      <x:c r="AD2434" s="10" t="n">
        <x:f>IF(AB2434=0,0,T2434/AB2434)</x:f>
        <x:v>31.83220303788196</x:v>
      </x:c>
      <x:c r="AE2434" s="10" t="n">
        <x:f>AA2434*'Assumptions'!$D$21</x:f>
        <x:v>0</x:v>
      </x:c>
    </x:row>
    <x:row r="2435" ht="16" customHeight="1">
      <x:c r="A2435" s="1"/>
      <x:c r="B2435" s="1"/>
      <x:c r="C2435" s="1" t="str">
        <x:v>DOT-124</x:v>
      </x:c>
      <x:c r="D2435" s="10" t="str">
        <x:v>Functional Analysis</x:v>
      </x:c>
      <x:c r="E2435" s="10" t="n">
        <x:v>19</x:v>
      </x:c>
      <x:c r="F2435" s="21" t="n">
        <x:f>F2307*(1+'Assumptions'!$M$153)</x:f>
        <x:v>476.19519884232665</x:v>
      </x:c>
      <x:c r="G2435" s="21" t="n">
        <x:f>H2307*'Assumptions'!$K$153</x:f>
        <x:v>152.62666624389715</x:v>
      </x:c>
      <x:c r="H2435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2435+G2435,NA())</x:f>
        <x:v>628.8218650862239</x:v>
      </x:c>
      <x:c r="I2435" s="22" t="n">
        <x:f>'Assumptions'!$H$153*IF('Assumptions'!$O$153=1,1,'Assumptions'!$D$10)*(1+'Assumptions'!$N$153)^(19-1)</x:f>
        <x:v>27.136678703949194</x:v>
      </x:c>
      <x:c r="J2435" s="10" t="n">
        <x:f>H2435*I2435</x:f>
        <x:v>17064.136914862946</x:v>
      </x:c>
      <x:c r="K2435" s="10" t="n">
        <x:f>J2435*'Assumptions'!$T$153</x:f>
        <x:v>17064.136914862946</x:v>
      </x:c>
      <x:c r="L2435" s="10" t="n">
        <x:f>K2435*'Assumptions'!$U$153</x:f>
        <x:v>511.92410744588835</x:v>
      </x:c>
      <x:c r="M2435" s="10" t="n">
        <x:f>K2435*'Assumptions'!$V$153</x:f>
        <x:v>0</x:v>
      </x:c>
      <x:c r="N2435" s="10" t="n">
        <x:f>K2435-L2435-M2435</x:f>
        <x:v>16552.212807417058</x:v>
      </x:c>
      <x:c r="O2435" s="10" t="n">
        <x:f>H2435*'Assumptions'!$P$153*'Assumptions'!$Q$153*'Assumptions'!$D$11*(1+'Assumptions'!$D$13)^(19-1)</x:f>
        <x:v>3746.8449646366425</x:v>
      </x:c>
      <x:c r="P2435" s="10" t="n">
        <x:f>H2435*'Assumptions'!$R$153*'Assumptions'!$D$11*(1+'Assumptions'!$D$13)^(19-1)</x:f>
        <x:v>0</x:v>
      </x:c>
      <x:c r="Q2435" s="10" t="n">
        <x:f>J2435*'Assumptions'!$S$153</x:f>
        <x:v>0</x:v>
      </x:c>
      <x:c r="R2435" s="10" t="n">
        <x:f>H2435*'Assumptions'!$Y$153*'Assumptions'!$Z$153*'Assumptions'!$D$11*(1+'Assumptions'!$D$13)^(19-1)</x:f>
        <x:v>3211.5813982599793</x:v>
      </x:c>
      <x:c r="S2435" s="10" t="n">
        <x:f>IF(I2435=0,0,J2435*'Assumptions'!$W$153+H2435*'Assumptions'!$X$153)</x:f>
        <x:v>683.5065300568926</x:v>
      </x:c>
      <x:c r="T2435" s="10" t="n">
        <x:f>N2435*'Assumptions'!$AA$153</x:f>
        <x:v>827.6106403708529</x:v>
      </x:c>
      <x:c r="U2435" s="10" t="n">
        <x:f>'Assumptions'!$AE$153*'Assumptions'!$D$11*(1+'Assumptions'!$D$13)^(19-1)</x:f>
        <x:v>0</x:v>
      </x:c>
      <x:c r="V2435" s="10" t="n">
        <x:f>0</x:f>
        <x:v>0</x:v>
      </x:c>
      <x:c r="W2435" s="10" t="n">
        <x:f>H2435*('Assumptions'!$P$153+'Assumptions'!$Y$153)</x:f>
        <x:v>125.76437301724478</x:v>
      </x:c>
      <x:c r="X2435" s="10" t="n">
        <x:f>N2435/12*'Assumptions'!$AF$153</x:f>
        <x:v>0</x:v>
      </x:c>
      <x:c r="Y2435" s="10" t="n">
        <x:f>P2435/12</x:f>
        <x:v>0</x:v>
      </x:c>
      <x:c r="Z2435" s="10" t="n">
        <x:f>0</x:f>
        <x:v>0</x:v>
      </x:c>
      <x:c r="AA2435" s="10" t="n">
        <x:f>Z2435*'Assumptions'!$AC$153*'Assumptions'!$D$11*(1+'Assumptions'!$D$13)^(19-1)</x:f>
        <x:v>0</x:v>
      </x:c>
      <x:c r="AB2435" s="10" t="n">
        <x:f>F2435/1</x:f>
        <x:v>476.19519884232665</x:v>
      </x:c>
      <x:c r="AC2435" s="10" t="n">
        <x:f>AB2435/'Assumptions'!$AM$153</x:f>
        <x:v>9523.903976846532</x:v>
      </x:c>
      <x:c r="AD2435" s="10" t="n">
        <x:f>IF(AB2435=0,0,T2435/AB2435)</x:f>
        <x:v>1.7379651083901073</x:v>
      </x:c>
      <x:c r="AE2435" s="10" t="n">
        <x:f>AA2435*'Assumptions'!$D$21</x:f>
        <x:v>0</x:v>
      </x:c>
    </x:row>
    <x:row r="2436" ht="16" customHeight="1">
      <x:c r="A2436" s="1"/>
      <x:c r="B2436" s="1"/>
      <x:c r="C2436" s="1" t="str">
        <x:v>DOT-125</x:v>
      </x:c>
      <x:c r="D2436" s="10" t="str">
        <x:v>Functional Analysis</x:v>
      </x:c>
      <x:c r="E2436" s="10" t="n">
        <x:v>19</x:v>
      </x:c>
      <x:c r="F2436" s="21" t="n">
        <x:f>F2308*(1+'Assumptions'!$M$154)</x:f>
        <x:v>39.86248709088664</x:v>
      </x:c>
      <x:c r="G2436" s="21" t="n">
        <x:f>H2308*'Assumptions'!$K$154</x:f>
        <x:v>37.605885639526754</x:v>
      </x:c>
      <x:c r="H2436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2436+G2436,NA())</x:f>
        <x:v>77.46837273041339</x:v>
      </x:c>
      <x:c r="I2436" s="22" t="n">
        <x:f>'Assumptions'!$H$154*IF('Assumptions'!$O$154=1,1,'Assumptions'!$D$10)*(1+'Assumptions'!$N$154)^(19-1)</x:f>
        <x:v>141.39637851005108</x:v>
      </x:c>
      <x:c r="J2436" s="10" t="n">
        <x:f>H2436*I2436</x:f>
        <x:v>10953.747353147251</x:v>
      </x:c>
      <x:c r="K2436" s="10" t="n">
        <x:f>J2436*'Assumptions'!$T$154</x:f>
        <x:v>10953.747353147251</x:v>
      </x:c>
      <x:c r="L2436" s="10" t="n">
        <x:f>K2436*'Assumptions'!$U$154</x:f>
        <x:v>328.61242059441753</x:v>
      </x:c>
      <x:c r="M2436" s="10" t="n">
        <x:f>K2436*'Assumptions'!$V$154</x:f>
        <x:v>0</x:v>
      </x:c>
      <x:c r="N2436" s="10" t="n">
        <x:f>K2436-L2436-M2436</x:f>
        <x:v>10625.134932552834</x:v>
      </x:c>
      <x:c r="O2436" s="10" t="n">
        <x:f>H2436*'Assumptions'!$P$154*'Assumptions'!$Q$154*'Assumptions'!$D$11*(1+'Assumptions'!$D$13)^(19-1)</x:f>
        <x:v>5275.388757468465</x:v>
      </x:c>
      <x:c r="P2436" s="10" t="n">
        <x:f>H2436*'Assumptions'!$R$154*'Assumptions'!$D$11*(1+'Assumptions'!$D$13)^(19-1)</x:f>
        <x:v>0</x:v>
      </x:c>
      <x:c r="Q2436" s="10" t="n">
        <x:f>J2436*'Assumptions'!$S$154</x:f>
        <x:v>0</x:v>
      </x:c>
      <x:c r="R2436" s="10" t="n">
        <x:f>H2436*'Assumptions'!$Y$154*'Assumptions'!$Z$154*'Assumptions'!$D$11*(1+'Assumptions'!$D$13)^(19-1)</x:f>
        <x:v>989.1353920253371</x:v>
      </x:c>
      <x:c r="S2436" s="10" t="n">
        <x:f>IF(I2436=0,0,J2436*'Assumptions'!$W$154+H2436*'Assumptions'!$X$154)</x:f>
        <x:v>340.89918506039436</x:v>
      </x:c>
      <x:c r="T2436" s="10" t="n">
        <x:f>N2436*'Assumptions'!$AA$154</x:f>
        <x:v>425.00539730211335</x:v>
      </x:c>
      <x:c r="U2436" s="10" t="n">
        <x:f>'Assumptions'!$AE$154*'Assumptions'!$D$11*(1+'Assumptions'!$D$13)^(19-1)</x:f>
        <x:v>0</x:v>
      </x:c>
      <x:c r="V2436" s="10" t="n">
        <x:f>0</x:f>
        <x:v>0</x:v>
      </x:c>
      <x:c r="W2436" s="10" t="n">
        <x:f>H2436*('Assumptions'!$P$154+'Assumptions'!$Y$154)</x:f>
        <x:v>96.83546591301675</x:v>
      </x:c>
      <x:c r="X2436" s="10" t="n">
        <x:f>N2436/12*'Assumptions'!$AF$154</x:f>
        <x:v>885.4279110460694</x:v>
      </x:c>
      <x:c r="Y2436" s="10" t="n">
        <x:f>P2436/12</x:f>
        <x:v>0</x:v>
      </x:c>
      <x:c r="Z2436" s="10" t="n">
        <x:f>0</x:f>
        <x:v>0</x:v>
      </x:c>
      <x:c r="AA2436" s="10" t="n">
        <x:f>Z2436*'Assumptions'!$AC$154*'Assumptions'!$D$11*(1+'Assumptions'!$D$13)^(19-1)</x:f>
        <x:v>0</x:v>
      </x:c>
      <x:c r="AB2436" s="10" t="n">
        <x:f>F2436/1</x:f>
        <x:v>39.86248709088664</x:v>
      </x:c>
      <x:c r="AC2436" s="10" t="n">
        <x:f>AB2436/'Assumptions'!$AM$154</x:f>
        <x:v>199.31243545443317</x:v>
      </x:c>
      <x:c r="AD2436" s="10" t="n">
        <x:f>IF(AB2436=0,0,T2436/AB2436)</x:f>
        <x:v>10.661788270588819</x:v>
      </x:c>
      <x:c r="AE2436" s="10" t="n">
        <x:f>AA2436*'Assumptions'!$D$21</x:f>
        <x:v>0</x:v>
      </x:c>
    </x:row>
    <x:row r="2437" ht="16" customHeight="1">
      <x:c r="A2437" s="1"/>
      <x:c r="B2437" s="1"/>
      <x:c r="C2437" s="1" t="str">
        <x:v>DOT-126</x:v>
      </x:c>
      <x:c r="D2437" s="10" t="str">
        <x:v>Independent candy game</x:v>
      </x:c>
      <x:c r="E2437" s="10" t="n">
        <x:v>19</x:v>
      </x:c>
      <x:c r="F2437" s="21" t="n">
        <x:f>F2309*(1+'Assumptions'!$M$155)</x:f>
        <x:v>1190.4879971058167</x:v>
      </x:c>
      <x:c r="G2437" s="21" t="n">
        <x:f>H2309*'Assumptions'!$K$155</x:f>
        <x:v>381.56666560974287</x:v>
      </x:c>
      <x:c r="H2437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2437+G2437,NA())</x:f>
        <x:v>1572.0546627155595</x:v>
      </x:c>
      <x:c r="I2437" s="22" t="n">
        <x:f>'Assumptions'!$H$155*IF('Assumptions'!$O$155=1,1,'Assumptions'!$D$10)*(1+'Assumptions'!$N$155)^(19-1)</x:f>
        <x:v>7.126948775405604</x:v>
      </x:c>
      <x:c r="J2437" s="10" t="n">
        <x:f>H2437*I2437</x:f>
        <x:v>11203.953053311327</x:v>
      </x:c>
      <x:c r="K2437" s="10" t="n">
        <x:f>J2437*'Assumptions'!$T$155</x:f>
        <x:v>11203.953053311327</x:v>
      </x:c>
      <x:c r="L2437" s="10" t="n">
        <x:f>K2437*'Assumptions'!$U$155</x:f>
        <x:v>336.11859159933977</x:v>
      </x:c>
      <x:c r="M2437" s="10" t="n">
        <x:f>K2437*'Assumptions'!$V$155</x:f>
        <x:v>0</x:v>
      </x:c>
      <x:c r="N2437" s="10" t="n">
        <x:f>K2437-L2437-M2437</x:f>
        <x:v>10867.834461711987</x:v>
      </x:c>
      <x:c r="O2437" s="10" t="n">
        <x:f>H2437*'Assumptions'!$P$155*'Assumptions'!$Q$155*'Assumptions'!$D$11*(1+'Assumptions'!$D$13)^(19-1)</x:f>
        <x:v>1873.4224823183213</x:v>
      </x:c>
      <x:c r="P2437" s="10" t="n">
        <x:f>H2437*'Assumptions'!$R$155*'Assumptions'!$D$11*(1+'Assumptions'!$D$13)^(19-1)</x:f>
        <x:v>0</x:v>
      </x:c>
      <x:c r="Q2437" s="10" t="n">
        <x:f>J2437*'Assumptions'!$S$155</x:f>
        <x:v>0</x:v>
      </x:c>
      <x:c r="R2437" s="10" t="n">
        <x:f>H2437*'Assumptions'!$Y$155*'Assumptions'!$Z$155*'Assumptions'!$D$11*(1+'Assumptions'!$D$13)^(19-1)</x:f>
        <x:v>8028.953495649947</x:v>
      </x:c>
      <x:c r="S2437" s="10" t="n">
        <x:f>IF(I2437=0,0,J2437*'Assumptions'!$W$155+H2437*'Assumptions'!$X$155)</x:f>
        <x:v>796.5310373606962</x:v>
      </x:c>
      <x:c r="T2437" s="10" t="n">
        <x:f>N2437*'Assumptions'!$AA$155</x:f>
        <x:v>543.3917230855994</x:v>
      </x:c>
      <x:c r="U2437" s="10" t="n">
        <x:f>'Assumptions'!$AE$155*'Assumptions'!$D$11*(1+'Assumptions'!$D$13)^(19-1)</x:f>
        <x:v>0</x:v>
      </x:c>
      <x:c r="V2437" s="10" t="n">
        <x:f>0</x:f>
        <x:v>0</x:v>
      </x:c>
      <x:c r="W2437" s="10" t="n">
        <x:f>H2437*('Assumptions'!$P$155+'Assumptions'!$Y$155)</x:f>
        <x:v>188.64655952586716</x:v>
      </x:c>
      <x:c r="X2437" s="10" t="n">
        <x:f>N2437/12*'Assumptions'!$AF$155</x:f>
        <x:v>0</x:v>
      </x:c>
      <x:c r="Y2437" s="10" t="n">
        <x:f>P2437/12</x:f>
        <x:v>0</x:v>
      </x:c>
      <x:c r="Z2437" s="10" t="n">
        <x:f>0</x:f>
        <x:v>0</x:v>
      </x:c>
      <x:c r="AA2437" s="10" t="n">
        <x:f>Z2437*'Assumptions'!$AC$155*'Assumptions'!$D$11*(1+'Assumptions'!$D$13)^(19-1)</x:f>
        <x:v>0</x:v>
      </x:c>
      <x:c r="AB2437" s="10" t="n">
        <x:f>F2437/1</x:f>
        <x:v>1190.4879971058167</x:v>
      </x:c>
      <x:c r="AC2437" s="10" t="n">
        <x:f>AB2437/'Assumptions'!$AM$155</x:f>
        <x:v>23809.759942116332</x:v>
      </x:c>
      <x:c r="AD2437" s="10" t="n">
        <x:f>IF(AB2437=0,0,T2437/AB2437)</x:f>
        <x:v>0.4564445205719281</x:v>
      </x:c>
      <x:c r="AE2437" s="10" t="n">
        <x:f>AA2437*'Assumptions'!$D$21</x:f>
        <x:v>0</x:v>
      </x:c>
    </x:row>
    <x:row r="2438" ht="16" customHeight="1">
      <x:c r="A2438" s="1"/>
      <x:c r="B2438" s="1"/>
      <x:c r="C2438" s="1" t="str">
        <x:v>DOT-127</x:v>
      </x:c>
      <x:c r="D2438" s="10" t="str">
        <x:v>Learn Anglais</x:v>
      </x:c>
      <x:c r="E2438" s="10" t="n">
        <x:v>19</x:v>
      </x:c>
      <x:c r="F2438" s="21" t="n">
        <x:f>F2310*(1+'Assumptions'!$M$156)</x:f>
        <x:v>282.28554481136047</x:v>
      </x:c>
      <x:c r="G2438" s="21" t="n">
        <x:f>H2310*'Assumptions'!$K$156</x:f>
        <x:v>597.8893173448464</x:v>
      </x:c>
      <x:c r="H2438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2438+G2438,NA())</x:f>
        <x:v>880.1748621562069</x:v>
      </x:c>
      <x:c r="I2438" s="22" t="n">
        <x:f>'Assumptions'!$H$156*IF('Assumptions'!$O$156=1,1,'Assumptions'!$D$10)*(1+'Assumptions'!$N$156)^(19-1)</x:f>
        <x:v>34.27790994183056</x:v>
      </x:c>
      <x:c r="J2438" s="10" t="n">
        <x:f>H2438*I2438</x:f>
        <x:v>30170.554658053585</x:v>
      </x:c>
      <x:c r="K2438" s="10" t="n">
        <x:f>J2438*'Assumptions'!$T$156</x:f>
        <x:v>10056.851552684528</x:v>
      </x:c>
      <x:c r="L2438" s="10" t="n">
        <x:f>K2438*'Assumptions'!$U$156</x:f>
        <x:v>301.70554658053584</x:v>
      </x:c>
      <x:c r="M2438" s="10" t="n">
        <x:f>K2438*'Assumptions'!$V$156</x:f>
        <x:v>0</x:v>
      </x:c>
      <x:c r="N2438" s="10" t="n">
        <x:f>K2438-L2438-M2438</x:f>
        <x:v>9755.146006103992</x:v>
      </x:c>
      <x:c r="O2438" s="10" t="n">
        <x:f>H2438*'Assumptions'!$P$156*'Assumptions'!$Q$156*'Assumptions'!$D$11*(1+'Assumptions'!$D$13)^(19-1)</x:f>
        <x:v>5244.535747524508</x:v>
      </x:c>
      <x:c r="P2438" s="10" t="n">
        <x:f>H2438*'Assumptions'!$R$156*'Assumptions'!$D$11*(1+'Assumptions'!$D$13)^(19-1)</x:f>
        <x:v>0</x:v>
      </x:c>
      <x:c r="Q2438" s="10" t="n">
        <x:f>J2438*'Assumptions'!$S$156</x:f>
        <x:v>0</x:v>
      </x:c>
      <x:c r="R2438" s="10" t="n">
        <x:f>H2438*'Assumptions'!$Y$156*'Assumptions'!$Z$156*'Assumptions'!$D$11*(1+'Assumptions'!$D$13)^(19-1)</x:f>
        <x:v>6742.974532531511</x:v>
      </x:c>
      <x:c r="S2438" s="10" t="n">
        <x:f>IF(I2438=0,0,J2438*'Assumptions'!$W$156+H2438*'Assumptions'!$X$156)</x:f>
        <x:v>1138.998543730416</x:v>
      </x:c>
      <x:c r="T2438" s="10" t="n">
        <x:f>N2438*'Assumptions'!$AA$156</x:f>
        <x:v>487.75730030519964</x:v>
      </x:c>
      <x:c r="U2438" s="10" t="n">
        <x:f>'Assumptions'!$AE$156*'Assumptions'!$D$11*(1+'Assumptions'!$D$13)^(19-1)</x:f>
        <x:v>0</x:v>
      </x:c>
      <x:c r="V2438" s="10" t="n">
        <x:f>0</x:f>
        <x:v>0</x:v>
      </x:c>
      <x:c r="W2438" s="10" t="n">
        <x:f>H2438*('Assumptions'!$P$156+'Assumptions'!$Y$156)</x:f>
        <x:v>220.04371553905173</x:v>
      </x:c>
      <x:c r="X2438" s="10" t="n">
        <x:f>N2438/12*'Assumptions'!$AF$156</x:f>
        <x:v>0</x:v>
      </x:c>
      <x:c r="Y2438" s="10" t="n">
        <x:f>P2438/12</x:f>
        <x:v>0</x:v>
      </x:c>
      <x:c r="Z2438" s="10" t="n">
        <x:f>0</x:f>
        <x:v>0</x:v>
      </x:c>
      <x:c r="AA2438" s="10" t="n">
        <x:f>Z2438*'Assumptions'!$AC$156*'Assumptions'!$D$11*(1+'Assumptions'!$D$13)^(19-1)</x:f>
        <x:v>0</x:v>
      </x:c>
      <x:c r="AB2438" s="10" t="n">
        <x:f>F2438/1</x:f>
        <x:v>282.28554481136047</x:v>
      </x:c>
      <x:c r="AC2438" s="10" t="n">
        <x:f>AB2438/'Assumptions'!$AM$156</x:f>
        <x:v>5645.710896227209</x:v>
      </x:c>
      <x:c r="AD2438" s="10" t="n">
        <x:f>IF(AB2438=0,0,T2438/AB2438)</x:f>
        <x:v>1.7278862105076875</x:v>
      </x:c>
      <x:c r="AE2438" s="10" t="n">
        <x:f>AA2438*'Assumptions'!$D$21</x:f>
        <x:v>0</x:v>
      </x:c>
    </x:row>
    <x:row r="2439" ht="16" customHeight="1">
      <x:c r="A2439" s="1"/>
      <x:c r="B2439" s="1"/>
      <x:c r="C2439" s="1" t="str">
        <x:v>DOT-128</x:v>
      </x:c>
      <x:c r="D2439" s="10" t="str">
        <x:v>Learn Anglais</x:v>
      </x:c>
      <x:c r="E2439" s="10" t="n">
        <x:v>19</x:v>
      </x:c>
      <x:c r="F2439" s="21" t="n">
        <x:f>F2311*(1+'Assumptions'!$M$157)</x:f>
        <x:v>112.91421792454415</x:v>
      </x:c>
      <x:c r="G2439" s="21" t="n">
        <x:f>H2311*'Assumptions'!$K$157</x:f>
        <x:v>239.1557269379385</x:v>
      </x:c>
      <x:c r="H2439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2439+G2439,NA())</x:f>
        <x:v>352.06994486248266</x:v>
      </x:c>
      <x:c r="I2439" s="22" t="n">
        <x:f>'Assumptions'!$H$157*IF('Assumptions'!$O$157=1,1,'Assumptions'!$D$10)*(1+'Assumptions'!$N$157)^(19-1)</x:f>
        <x:v>235.6606308500851</x:v>
      </x:c>
      <x:c r="J2439" s="10" t="n">
        <x:f>H2439*I2439</x:f>
        <x:v>82969.02530964735</x:v>
      </x:c>
      <x:c r="K2439" s="10" t="n">
        <x:f>J2439*'Assumptions'!$T$157</x:f>
        <x:v>24890.707592894203</x:v>
      </x:c>
      <x:c r="L2439" s="10" t="n">
        <x:f>K2439*'Assumptions'!$U$157</x:f>
        <x:v>746.721227786826</x:v>
      </x:c>
      <x:c r="M2439" s="10" t="n">
        <x:f>K2439*'Assumptions'!$V$157</x:f>
        <x:v>0</x:v>
      </x:c>
      <x:c r="N2439" s="10" t="n">
        <x:f>K2439-L2439-M2439</x:f>
        <x:v>24143.986365107376</x:v>
      </x:c>
      <x:c r="O2439" s="10" t="n">
        <x:f>H2439*'Assumptions'!$P$157*'Assumptions'!$Q$157*'Assumptions'!$D$11*(1+'Assumptions'!$D$13)^(19-1)</x:f>
        <x:v>2097.814299009803</x:v>
      </x:c>
      <x:c r="P2439" s="10" t="n">
        <x:f>H2439*'Assumptions'!$R$157*'Assumptions'!$D$11*(1+'Assumptions'!$D$13)^(19-1)</x:f>
        <x:v>0</x:v>
      </x:c>
      <x:c r="Q2439" s="10" t="n">
        <x:f>J2439*'Assumptions'!$S$157</x:f>
        <x:v>0</x:v>
      </x:c>
      <x:c r="R2439" s="10" t="n">
        <x:f>H2439*'Assumptions'!$Y$157*'Assumptions'!$Z$157*'Assumptions'!$D$11*(1+'Assumptions'!$D$13)^(19-1)</x:f>
        <x:v>2697.1898130126033</x:v>
      </x:c>
      <x:c r="S2439" s="10" t="n">
        <x:f>IF(I2439=0,0,J2439*'Assumptions'!$W$157+H2439*'Assumptions'!$X$157)</x:f>
        <x:v>2511.722717438518</x:v>
      </x:c>
      <x:c r="T2439" s="10" t="n">
        <x:f>N2439*'Assumptions'!$AA$157</x:f>
        <x:v>1207.1993182553688</x:v>
      </x:c>
      <x:c r="U2439" s="10" t="n">
        <x:f>'Assumptions'!$AE$157*'Assumptions'!$D$11*(1+'Assumptions'!$D$13)^(19-1)</x:f>
        <x:v>0</x:v>
      </x:c>
      <x:c r="V2439" s="10" t="n">
        <x:f>0</x:f>
        <x:v>0</x:v>
      </x:c>
      <x:c r="W2439" s="10" t="n">
        <x:f>H2439*('Assumptions'!$P$157+'Assumptions'!$Y$157)</x:f>
        <x:v>88.01748621562066</x:v>
      </x:c>
      <x:c r="X2439" s="10" t="n">
        <x:f>N2439/12*'Assumptions'!$AF$157</x:f>
        <x:v>0</x:v>
      </x:c>
      <x:c r="Y2439" s="10" t="n">
        <x:f>P2439/12</x:f>
        <x:v>0</x:v>
      </x:c>
      <x:c r="Z2439" s="10" t="n">
        <x:f>0</x:f>
        <x:v>0</x:v>
      </x:c>
      <x:c r="AA2439" s="10" t="n">
        <x:f>Z2439*'Assumptions'!$AC$157*'Assumptions'!$D$11*(1+'Assumptions'!$D$13)^(19-1)</x:f>
        <x:v>0</x:v>
      </x:c>
      <x:c r="AB2439" s="10" t="n">
        <x:f>F2439/1</x:f>
        <x:v>112.91421792454415</x:v>
      </x:c>
      <x:c r="AC2439" s="10" t="n">
        <x:f>AB2439/'Assumptions'!$AM$157</x:f>
        <x:v>2258.284358490883</x:v>
      </x:c>
      <x:c r="AD2439" s="10" t="n">
        <x:f>IF(AB2439=0,0,T2439/AB2439)</x:f>
        <x:v>10.691295927516316</x:v>
      </x:c>
      <x:c r="AE2439" s="10" t="n">
        <x:f>AA2439*'Assumptions'!$D$21</x:f>
        <x:v>0</x:v>
      </x:c>
    </x:row>
    <x:row r="2440" ht="16" customHeight="1">
      <x:c r="A2440" s="1"/>
      <x:c r="B2440" s="1"/>
      <x:c r="C2440" s="1" t="str">
        <x:v>DOT-001</x:v>
      </x:c>
      <x:c r="D2440" s="10" t="str">
        <x:v>ETV courses</x:v>
      </x:c>
      <x:c r="E2440" s="10" t="n">
        <x:v>20</x:v>
      </x:c>
      <x:c r="F2440" s="21" t="n">
        <x:f>F2312*(1+'Assumptions'!$M$30)</x:f>
        <x:v>490.4810548075965</x:v>
      </x:c>
      <x:c r="G2440" s="21" t="n">
        <x:f>H2312*'Assumptions'!$K$30</x:f>
        <x:v>157.20546627199252</x:v>
      </x:c>
      <x:c r="H2440" s="21" t="n">
        <x:f>IF(AND(COUNT('Assumptions'!$H$30,'Assumptions'!$I$30,'Assumptions'!$J$30,'Assumptions'!$K$30,'Assumptions'!$L$30,'Assumptions'!$M$30,'Assumptions'!$P$30,'Assumptions'!$Q$30,'Assumptions'!$R$30,'Assumptions'!$S$30,'Assumptions'!$T$30,'Assumptions'!$U$30,'Assumptions'!$V$30,'Assumptions'!$W$30,'Assumptions'!$X$30,'Assumptions'!$Y$30,'Assumptions'!$Z$30,'Assumptions'!$AA$30,'Assumptions'!$AD$30,'Assumptions'!$AE$30,'Assumptions'!$AF$30)=21,COUNT('Assumptions'!$D$8:$D$21)=14,'Assumptions'!$J$30&gt;=1,'Assumptions'!$J$30&lt;=12,'Assumptions'!$D$8&gt;=0,'Assumptions'!$D$15&gt;0),F2440+G2440,NA())</x:f>
        <x:v>647.686521079589</x:v>
      </x:c>
      <x:c r="I2440" s="22" t="n">
        <x:f>'Assumptions'!$H$30*IF('Assumptions'!$O$30=1,1,'Assumptions'!$D$10)*(1+'Assumptions'!$N$30)^(20-1)</x:f>
        <x:v>29</x:v>
      </x:c>
      <x:c r="J2440" s="10" t="n">
        <x:f>H2440*I2440</x:f>
        <x:v>18782.909111308083</x:v>
      </x:c>
      <x:c r="K2440" s="10" t="n">
        <x:f>J2440*'Assumptions'!$T$30</x:f>
        <x:v>18782.909111308083</x:v>
      </x:c>
      <x:c r="L2440" s="10" t="n">
        <x:f>K2440*'Assumptions'!$U$30</x:f>
        <x:v>563.4872733392425</x:v>
      </x:c>
      <x:c r="M2440" s="10" t="n">
        <x:f>K2440*'Assumptions'!$V$30</x:f>
        <x:v>0</x:v>
      </x:c>
      <x:c r="N2440" s="10" t="n">
        <x:f>K2440-L2440-M2440</x:f>
        <x:v>18219.42183796884</x:v>
      </x:c>
      <x:c r="O2440" s="10" t="n">
        <x:f>H2440*'Assumptions'!$P$30*'Assumptions'!$Q$30*'Assumptions'!$D$11*(1+'Assumptions'!$D$13)^(20-1)</x:f>
        <x:v>5962.541734849922</x:v>
      </x:c>
      <x:c r="P2440" s="10" t="n">
        <x:f>H2440*'Assumptions'!$R$30*'Assumptions'!$D$11*(1+'Assumptions'!$D$13)^(20-1)</x:f>
        <x:v>0</x:v>
      </x:c>
      <x:c r="Q2440" s="10" t="n">
        <x:f>J2440*'Assumptions'!$S$30</x:f>
        <x:v>0</x:v>
      </x:c>
      <x:c r="R2440" s="10" t="n">
        <x:f>H2440*'Assumptions'!$Y$30*'Assumptions'!$Z$30*'Assumptions'!$D$11*(1+'Assumptions'!$D$13)^(20-1)</x:f>
        <x:v>3407.166705628528</x:v>
      </x:c>
      <x:c r="S2440" s="10" t="n">
        <x:f>IF(I2440=0,0,J2440*'Assumptions'!$W$30+H2440*'Assumptions'!$X$30)</x:f>
        <x:v>739.0103205518111</x:v>
      </x:c>
      <x:c r="T2440" s="10" t="n">
        <x:f>N2440*'Assumptions'!$AA$30</x:f>
        <x:v>910.971091898442</x:v>
      </x:c>
      <x:c r="U2440" s="10" t="n">
        <x:f>'Assumptions'!$AE$30*'Assumptions'!$D$11*(1+'Assumptions'!$D$13)^(20-1)</x:f>
        <x:v>0</x:v>
      </x:c>
      <x:c r="V2440" s="10" t="n">
        <x:f>0</x:f>
        <x:v>0</x:v>
      </x:c>
      <x:c r="W2440" s="10" t="n">
        <x:f>H2440*('Assumptions'!$P$30+'Assumptions'!$Y$30)</x:f>
        <x:v>161.92163026989726</x:v>
      </x:c>
      <x:c r="X2440" s="10" t="n">
        <x:f>N2440/12*'Assumptions'!$AF$30</x:f>
        <x:v>0</x:v>
      </x:c>
      <x:c r="Y2440" s="10" t="n">
        <x:f>P2440/12</x:f>
        <x:v>0</x:v>
      </x:c>
      <x:c r="Z2440" s="10" t="n">
        <x:f>0</x:f>
        <x:v>0</x:v>
      </x:c>
      <x:c r="AA2440" s="10" t="n">
        <x:f>Z2440*'Assumptions'!$AC$30*'Assumptions'!$D$11*(1+'Assumptions'!$D$13)^(20-1)</x:f>
        <x:v>0</x:v>
      </x:c>
      <x:c r="AB2440" s="10" t="n">
        <x:f>F2440/1</x:f>
        <x:v>490.4810548075965</x:v>
      </x:c>
      <x:c r="AC2440" s="10" t="n">
        <x:f>AB2440/'Assumptions'!$AM$30</x:f>
        <x:v>9809.621096151928</x:v>
      </x:c>
      <x:c r="AD2440" s="10" t="n">
        <x:f>IF(AB2440=0,0,T2440/AB2440)</x:f>
        <x:v>1.8573012820154557</x:v>
      </x:c>
      <x:c r="AE2440" s="10" t="n">
        <x:f>AA2440*'Assumptions'!$D$21</x:f>
        <x:v>0</x:v>
      </x:c>
    </x:row>
    <x:row r="2441" ht="16" customHeight="1">
      <x:c r="A2441" s="1"/>
      <x:c r="B2441" s="1"/>
      <x:c r="C2441" s="1" t="str">
        <x:v>DOT-002</x:v>
      </x:c>
      <x:c r="D2441" s="10" t="str">
        <x:v>ETV courses</x:v>
      </x:c>
      <x:c r="E2441" s="10" t="n">
        <x:v>20</x:v>
      </x:c>
      <x:c r="F2441" s="21" t="n">
        <x:f>F2313*(1+'Assumptions'!$M$31)</x:f>
        <x:v>776.5950034453612</x:v>
      </x:c>
      <x:c r="G2441" s="21" t="n">
        <x:f>H2313*'Assumptions'!$K$31</x:f>
        <x:v>248.90865493065485</x:v>
      </x:c>
      <x:c r="H2441" s="21" t="n">
        <x:f>IF(AND(COUNT('Assumptions'!$H$31,'Assumptions'!$I$31,'Assumptions'!$J$31,'Assumptions'!$K$31,'Assumptions'!$L$31,'Assumptions'!$M$31,'Assumptions'!$P$31,'Assumptions'!$Q$31,'Assumptions'!$R$31,'Assumptions'!$S$31,'Assumptions'!$T$31,'Assumptions'!$U$31,'Assumptions'!$V$31,'Assumptions'!$W$31,'Assumptions'!$X$31,'Assumptions'!$Y$31,'Assumptions'!$Z$31,'Assumptions'!$AA$31,'Assumptions'!$AD$31,'Assumptions'!$AE$31,'Assumptions'!$AF$31)=21,COUNT('Assumptions'!$D$8:$D$21)=14,'Assumptions'!$J$31&gt;=1,'Assumptions'!$J$31&lt;=12,'Assumptions'!$D$8&gt;=0,'Assumptions'!$D$15&gt;0),F2441+G2441,NA())</x:f>
        <x:v>1025.5036583760161</x:v>
      </x:c>
      <x:c r="I2441" s="22" t="n">
        <x:f>'Assumptions'!$H$31*IF('Assumptions'!$O$31=1,1,'Assumptions'!$D$10)*(1+'Assumptions'!$N$31)^(20-1)</x:f>
        <x:v>56.815635728584155</x:v>
      </x:c>
      <x:c r="J2441" s="10" t="n">
        <x:f>H2441*I2441</x:f>
        <x:v>58264.64229262214</x:v>
      </x:c>
      <x:c r="K2441" s="10" t="n">
        <x:f>J2441*'Assumptions'!$T$31</x:f>
        <x:v>58264.64229262214</x:v>
      </x:c>
      <x:c r="L2441" s="10" t="n">
        <x:f>K2441*'Assumptions'!$U$31</x:f>
        <x:v>1747.9392687786642</x:v>
      </x:c>
      <x:c r="M2441" s="10" t="n">
        <x:f>K2441*'Assumptions'!$V$31</x:f>
        <x:v>0</x:v>
      </x:c>
      <x:c r="N2441" s="10" t="n">
        <x:f>K2441-L2441-M2441</x:f>
        <x:v>56516.703023843475</x:v>
      </x:c>
      <x:c r="O2441" s="10" t="n">
        <x:f>H2441*'Assumptions'!$P$31*'Assumptions'!$Q$31*'Assumptions'!$D$11*(1+'Assumptions'!$D$13)^(20-1)</x:f>
        <x:v>9440.691080179045</x:v>
      </x:c>
      <x:c r="P2441" s="10" t="n">
        <x:f>H2441*'Assumptions'!$R$31*'Assumptions'!$D$11*(1+'Assumptions'!$D$13)^(20-1)</x:f>
        <x:v>0</x:v>
      </x:c>
      <x:c r="Q2441" s="10" t="n">
        <x:f>J2441*'Assumptions'!$S$31</x:f>
        <x:v>0</x:v>
      </x:c>
      <x:c r="R2441" s="10" t="n">
        <x:f>H2441*'Assumptions'!$Y$31*'Assumptions'!$Z$31*'Assumptions'!$D$11*(1+'Assumptions'!$D$13)^(20-1)</x:f>
        <x:v>5394.680617245169</x:v>
      </x:c>
      <x:c r="S2441" s="10" t="n">
        <x:f>IF(I2441=0,0,J2441*'Assumptions'!$W$31+H2441*'Assumptions'!$X$31)</x:f>
        <x:v>1997.325723998847</x:v>
      </x:c>
      <x:c r="T2441" s="10" t="n">
        <x:f>N2441*'Assumptions'!$AA$31</x:f>
        <x:v>2825.8351511921737</x:v>
      </x:c>
      <x:c r="U2441" s="10" t="n">
        <x:f>'Assumptions'!$AE$31*'Assumptions'!$D$11*(1+'Assumptions'!$D$13)^(20-1)</x:f>
        <x:v>0</x:v>
      </x:c>
      <x:c r="V2441" s="10" t="n">
        <x:f>0</x:f>
        <x:v>0</x:v>
      </x:c>
      <x:c r="W2441" s="10" t="n">
        <x:f>H2441*('Assumptions'!$P$31+'Assumptions'!$Y$31)</x:f>
        <x:v>256.37591459400403</x:v>
      </x:c>
      <x:c r="X2441" s="10" t="n">
        <x:f>N2441/12*'Assumptions'!$AF$31</x:f>
        <x:v>0</x:v>
      </x:c>
      <x:c r="Y2441" s="10" t="n">
        <x:f>P2441/12</x:f>
        <x:v>0</x:v>
      </x:c>
      <x:c r="Z2441" s="10" t="n">
        <x:f>0</x:f>
        <x:v>0</x:v>
      </x:c>
      <x:c r="AA2441" s="10" t="n">
        <x:f>Z2441*'Assumptions'!$AC$31*'Assumptions'!$D$11*(1+'Assumptions'!$D$13)^(20-1)</x:f>
        <x:v>0</x:v>
      </x:c>
      <x:c r="AB2441" s="10" t="n">
        <x:f>F2441/1</x:f>
        <x:v>776.5950034453612</x:v>
      </x:c>
      <x:c r="AC2441" s="10" t="n">
        <x:f>AB2441/'Assumptions'!$AM$31</x:f>
        <x:v>15531.900068907222</x:v>
      </x:c>
      <x:c r="AD2441" s="10" t="n">
        <x:f>IF(AB2441=0,0,T2441/AB2441)</x:f>
        <x:v>3.6387501061111203</x:v>
      </x:c>
      <x:c r="AE2441" s="10" t="n">
        <x:f>AA2441*'Assumptions'!$D$21</x:f>
        <x:v>0</x:v>
      </x:c>
    </x:row>
    <x:row r="2442" ht="16" customHeight="1">
      <x:c r="A2442" s="1"/>
      <x:c r="B2442" s="1"/>
      <x:c r="C2442" s="1" t="str">
        <x:v>DOT-003</x:v>
      </x:c>
      <x:c r="D2442" s="10" t="str">
        <x:v>ETV services</x:v>
      </x:c>
      <x:c r="E2442" s="10" t="n">
        <x:v>20</x:v>
      </x:c>
      <x:c r="F2442" s="21" t="n">
        <x:f>F2314*(1+'Assumptions'!$M$32)</x:f>
        <x:v>13.686120567871088</x:v>
      </x:c>
      <x:c r="G2442" s="21" t="n">
        <x:f>H2314*'Assumptions'!$K$32</x:f>
        <x:v>12.911406899160703</x:v>
      </x:c>
      <x:c r="H2442" s="21" t="n">
        <x:f>IF(AND(COUNT('Assumptions'!$H$32,'Assumptions'!$I$32,'Assumptions'!$J$32,'Assumptions'!$K$32,'Assumptions'!$L$32,'Assumptions'!$M$32,'Assumptions'!$P$32,'Assumptions'!$Q$32,'Assumptions'!$R$32,'Assumptions'!$S$32,'Assumptions'!$T$32,'Assumptions'!$U$32,'Assumptions'!$V$32,'Assumptions'!$W$32,'Assumptions'!$X$32,'Assumptions'!$Y$32,'Assumptions'!$Z$32,'Assumptions'!$AA$32,'Assumptions'!$AD$32,'Assumptions'!$AE$32,'Assumptions'!$AF$32)=21,COUNT('Assumptions'!$D$8:$D$21)=14,'Assumptions'!$J$32&gt;=1,'Assumptions'!$J$32&lt;=12,'Assumptions'!$D$8&gt;=0,'Assumptions'!$D$15&gt;0),F2442+G2442,NA())</x:f>
        <x:v>26.59752746703179</x:v>
      </x:c>
      <x:c r="I2442" s="22" t="n">
        <x:f>'Assumptions'!$H$32*IF('Assumptions'!$O$32=1,1,'Assumptions'!$D$10)*(1+'Assumptions'!$N$32)^(20-1)</x:f>
        <x:v>2549.4195519236478</x:v>
      </x:c>
      <x:c r="J2442" s="10" t="n">
        <x:f>H2442*I2442</x:f>
        <x:v>67808.2565572771</x:v>
      </x:c>
      <x:c r="K2442" s="10" t="n">
        <x:f>J2442*'Assumptions'!$T$32</x:f>
        <x:v>67808.2565572771</x:v>
      </x:c>
      <x:c r="L2442" s="10" t="n">
        <x:f>K2442*'Assumptions'!$U$32</x:f>
        <x:v>2034.247696718313</x:v>
      </x:c>
      <x:c r="M2442" s="10" t="n">
        <x:f>K2442*'Assumptions'!$V$32</x:f>
        <x:v>0</x:v>
      </x:c>
      <x:c r="N2442" s="10" t="n">
        <x:f>K2442-L2442-M2442</x:f>
        <x:v>65774.00886055878</x:v>
      </x:c>
      <x:c r="O2442" s="10" t="n">
        <x:f>H2442*'Assumptions'!$P$32*'Assumptions'!$Q$32*'Assumptions'!$D$11*(1+'Assumptions'!$D$13)^(20-1)</x:f>
        <x:v>41975.03286929225</x:v>
      </x:c>
      <x:c r="P2442" s="10" t="n">
        <x:f>H2442*'Assumptions'!$R$32*'Assumptions'!$D$11*(1+'Assumptions'!$D$13)^(20-1)</x:f>
        <x:v>1165.9731352581177</x:v>
      </x:c>
      <x:c r="Q2442" s="10" t="n">
        <x:f>J2442*'Assumptions'!$S$32</x:f>
        <x:v>0</x:v>
      </x:c>
      <x:c r="R2442" s="10" t="n">
        <x:f>H2442*'Assumptions'!$Y$32*'Assumptions'!$Z$32*'Assumptions'!$D$11*(1+'Assumptions'!$D$13)^(20-1)</x:f>
        <x:v>349.79194057743535</x:v>
      </x:c>
      <x:c r="S2442" s="10" t="n">
        <x:f>IF(I2442=0,0,J2442*'Assumptions'!$W$32+H2442*'Assumptions'!$X$32)</x:f>
        <x:v>1974.4186984011455</x:v>
      </x:c>
      <x:c r="T2442" s="10" t="n">
        <x:f>N2442*'Assumptions'!$AA$32</x:f>
        <x:v>2630.9603544223514</x:v>
      </x:c>
      <x:c r="U2442" s="10" t="n">
        <x:f>'Assumptions'!$AE$32*'Assumptions'!$D$11*(1+'Assumptions'!$D$13)^(20-1)</x:f>
        <x:v>0</x:v>
      </x:c>
      <x:c r="V2442" s="10" t="n">
        <x:f>0</x:f>
        <x:v>0</x:v>
      </x:c>
      <x:c r="W2442" s="10" t="n">
        <x:f>H2442*('Assumptions'!$P$32+'Assumptions'!$Y$32)</x:f>
        <x:v>538.5999312073938</x:v>
      </x:c>
      <x:c r="X2442" s="10" t="n">
        <x:f>N2442/12*'Assumptions'!$AF$32</x:f>
        <x:v>5481.167405046565</x:v>
      </x:c>
      <x:c r="Y2442" s="10" t="n">
        <x:f>P2442/12</x:f>
        <x:v>97.16442793817647</x:v>
      </x:c>
      <x:c r="Z2442" s="10" t="n">
        <x:f>0</x:f>
        <x:v>0</x:v>
      </x:c>
      <x:c r="AA2442" s="10" t="n">
        <x:f>Z2442*'Assumptions'!$AC$32*'Assumptions'!$D$11*(1+'Assumptions'!$D$13)^(20-1)</x:f>
        <x:v>0</x:v>
      </x:c>
      <x:c r="AB2442" s="10" t="n">
        <x:f>F2442/1</x:f>
        <x:v>13.686120567871088</x:v>
      </x:c>
      <x:c r="AC2442" s="10" t="n">
        <x:f>AB2442/'Assumptions'!$AM$32</x:f>
        <x:v>68.43060283935543</x:v>
      </x:c>
      <x:c r="AD2442" s="10" t="n">
        <x:f>IF(AB2442=0,0,T2442/AB2442)</x:f>
        <x:v>192.23565519353045</x:v>
      </x:c>
      <x:c r="AE2442" s="10" t="n">
        <x:f>AA2442*'Assumptions'!$D$21</x:f>
        <x:v>0</x:v>
      </x:c>
    </x:row>
    <x:row r="2443" ht="16" customHeight="1">
      <x:c r="A2443" s="1"/>
      <x:c r="B2443" s="1"/>
      <x:c r="C2443" s="1" t="str">
        <x:v>DOT-004</x:v>
      </x:c>
      <x:c r="D2443" s="10" t="str">
        <x:v>ETV services</x:v>
      </x:c>
      <x:c r="E2443" s="10" t="n">
        <x:v>20</x:v>
      </x:c>
      <x:c r="F2443" s="21" t="n">
        <x:f>F2315*(1+'Assumptions'!$M$33)</x:f>
        <x:v>9.124080378580723</x:v>
      </x:c>
      <x:c r="G2443" s="21" t="n">
        <x:f>H2315*'Assumptions'!$K$33</x:f>
        <x:v>8.607604599440467</x:v>
      </x:c>
      <x:c r="H2443" s="21" t="n">
        <x:f>IF(AND(COUNT('Assumptions'!$H$33,'Assumptions'!$I$33,'Assumptions'!$J$33,'Assumptions'!$K$33,'Assumptions'!$L$33,'Assumptions'!$M$33,'Assumptions'!$P$33,'Assumptions'!$Q$33,'Assumptions'!$R$33,'Assumptions'!$S$33,'Assumptions'!$T$33,'Assumptions'!$U$33,'Assumptions'!$V$33,'Assumptions'!$W$33,'Assumptions'!$X$33,'Assumptions'!$Y$33,'Assumptions'!$Z$33,'Assumptions'!$AA$33,'Assumptions'!$AD$33,'Assumptions'!$AE$33,'Assumptions'!$AF$33)=21,COUNT('Assumptions'!$D$8:$D$21)=14,'Assumptions'!$J$33&gt;=1,'Assumptions'!$J$33&lt;=12,'Assumptions'!$D$8&gt;=0,'Assumptions'!$D$15&gt;0),F2443+G2443,NA())</x:f>
        <x:v>17.731684978021192</x:v>
      </x:c>
      <x:c r="I2443" s="22" t="n">
        <x:f>'Assumptions'!$H$33*IF('Assumptions'!$O$33=1,1,'Assumptions'!$D$10)*(1+'Assumptions'!$N$33)^(20-1)</x:f>
        <x:v>3642.027931319497</x:v>
      </x:c>
      <x:c r="J2443" s="10" t="n">
        <x:f>H2443*I2443</x:f>
        <x:v>64579.29195931152</x:v>
      </x:c>
      <x:c r="K2443" s="10" t="n">
        <x:f>J2443*'Assumptions'!$T$33</x:f>
        <x:v>64579.29195931152</x:v>
      </x:c>
      <x:c r="L2443" s="10" t="n">
        <x:f>K2443*'Assumptions'!$U$33</x:f>
        <x:v>1937.3787587793456</x:v>
      </x:c>
      <x:c r="M2443" s="10" t="n">
        <x:f>K2443*'Assumptions'!$V$33</x:f>
        <x:v>0</x:v>
      </x:c>
      <x:c r="N2443" s="10" t="n">
        <x:f>K2443-L2443-M2443</x:f>
        <x:v>62641.91320053217</x:v>
      </x:c>
      <x:c r="O2443" s="10" t="n">
        <x:f>H2443*'Assumptions'!$P$33*'Assumptions'!$Q$33*'Assumptions'!$D$11*(1+'Assumptions'!$D$13)^(20-1)</x:f>
        <x:v>41975.03286929225</x:v>
      </x:c>
      <x:c r="P2443" s="10" t="n">
        <x:f>H2443*'Assumptions'!$R$33*'Assumptions'!$D$11*(1+'Assumptions'!$D$13)^(20-1)</x:f>
        <x:v>777.3154235054118</x:v>
      </x:c>
      <x:c r="Q2443" s="10" t="n">
        <x:f>J2443*'Assumptions'!$S$33</x:f>
        <x:v>0</x:v>
      </x:c>
      <x:c r="R2443" s="10" t="n">
        <x:f>H2443*'Assumptions'!$Y$33*'Assumptions'!$Z$33*'Assumptions'!$D$11*(1+'Assumptions'!$D$13)^(20-1)</x:f>
        <x:v>233.19462705162357</x:v>
      </x:c>
      <x:c r="S2443" s="10" t="n">
        <x:f>IF(I2443=0,0,J2443*'Assumptions'!$W$33+H2443*'Assumptions'!$X$33)</x:f>
        <x:v>1878.1189723134405</x:v>
      </x:c>
      <x:c r="T2443" s="10" t="n">
        <x:f>N2443*'Assumptions'!$AA$33</x:f>
        <x:v>2505.676528021287</x:v>
      </x:c>
      <x:c r="U2443" s="10" t="n">
        <x:f>'Assumptions'!$AE$33*'Assumptions'!$D$11*(1+'Assumptions'!$D$13)^(20-1)</x:f>
        <x:v>0</x:v>
      </x:c>
      <x:c r="V2443" s="10" t="n">
        <x:f>0</x:f>
        <x:v>0</x:v>
      </x:c>
      <x:c r="W2443" s="10" t="n">
        <x:f>H2443*('Assumptions'!$P$33+'Assumptions'!$Y$33)</x:f>
        <x:v>536.383470585141</x:v>
      </x:c>
      <x:c r="X2443" s="10" t="n">
        <x:f>N2443/12*'Assumptions'!$AF$33</x:f>
        <x:v>5220.159433377681</x:v>
      </x:c>
      <x:c r="Y2443" s="10" t="n">
        <x:f>P2443/12</x:f>
        <x:v>64.77628529211765</x:v>
      </x:c>
      <x:c r="Z2443" s="10" t="n">
        <x:f>0</x:f>
        <x:v>0</x:v>
      </x:c>
      <x:c r="AA2443" s="10" t="n">
        <x:f>Z2443*'Assumptions'!$AC$33*'Assumptions'!$D$11*(1+'Assumptions'!$D$13)^(20-1)</x:f>
        <x:v>0</x:v>
      </x:c>
      <x:c r="AB2443" s="10" t="n">
        <x:f>F2443/1</x:f>
        <x:v>9.124080378580723</x:v>
      </x:c>
      <x:c r="AC2443" s="10" t="n">
        <x:f>AB2443/'Assumptions'!$AM$33</x:f>
        <x:v>45.620401892903615</x:v>
      </x:c>
      <x:c r="AD2443" s="10" t="n">
        <x:f>IF(AB2443=0,0,T2443/AB2443)</x:f>
        <x:v>274.6223645621864</x:v>
      </x:c>
      <x:c r="AE2443" s="10" t="n">
        <x:f>AA2443*'Assumptions'!$D$21</x:f>
        <x:v>0</x:v>
      </x:c>
    </x:row>
    <x:row r="2444" ht="16" customHeight="1">
      <x:c r="A2444" s="1"/>
      <x:c r="B2444" s="1"/>
      <x:c r="C2444" s="1" t="str">
        <x:v>DOT-005</x:v>
      </x:c>
      <x:c r="D2444" s="10" t="str">
        <x:v>ETV services</x:v>
      </x:c>
      <x:c r="E2444" s="10" t="n">
        <x:v>20</x:v>
      </x:c>
      <x:c r="F2444" s="21" t="n">
        <x:f>F2316*(1+'Assumptions'!$M$34)</x:f>
        <x:v>9.124080378580723</x:v>
      </x:c>
      <x:c r="G2444" s="21" t="n">
        <x:f>H2316*'Assumptions'!$K$34</x:f>
        <x:v>8.607604599440467</x:v>
      </x:c>
      <x:c r="H2444" s="21" t="n">
        <x:f>IF(AND(COUNT('Assumptions'!$H$34,'Assumptions'!$I$34,'Assumptions'!$J$34,'Assumptions'!$K$34,'Assumptions'!$L$34,'Assumptions'!$M$34,'Assumptions'!$P$34,'Assumptions'!$Q$34,'Assumptions'!$R$34,'Assumptions'!$S$34,'Assumptions'!$T$34,'Assumptions'!$U$34,'Assumptions'!$V$34,'Assumptions'!$W$34,'Assumptions'!$X$34,'Assumptions'!$Y$34,'Assumptions'!$Z$34,'Assumptions'!$AA$34,'Assumptions'!$AD$34,'Assumptions'!$AE$34,'Assumptions'!$AF$34)=21,COUNT('Assumptions'!$D$8:$D$21)=14,'Assumptions'!$J$34&gt;=1,'Assumptions'!$J$34&lt;=12,'Assumptions'!$D$8&gt;=0,'Assumptions'!$D$15&gt;0),F2444+G2444,NA())</x:f>
        <x:v>17.731684978021192</x:v>
      </x:c>
      <x:c r="I2444" s="22" t="n">
        <x:f>'Assumptions'!$H$34*IF('Assumptions'!$O$34=1,1,'Assumptions'!$D$10)*(1+'Assumptions'!$N$34)^(20-1)</x:f>
        <x:v>2185.2167587916983</x:v>
      </x:c>
      <x:c r="J2444" s="10" t="n">
        <x:f>H2444*I2444</x:f>
        <x:v>38747.57517558692</x:v>
      </x:c>
      <x:c r="K2444" s="10" t="n">
        <x:f>J2444*'Assumptions'!$T$34</x:f>
        <x:v>38747.57517558692</x:v>
      </x:c>
      <x:c r="L2444" s="10" t="n">
        <x:f>K2444*'Assumptions'!$U$34</x:f>
        <x:v>1162.4272552676075</x:v>
      </x:c>
      <x:c r="M2444" s="10" t="n">
        <x:f>K2444*'Assumptions'!$V$34</x:f>
        <x:v>0</x:v>
      </x:c>
      <x:c r="N2444" s="10" t="n">
        <x:f>K2444-L2444-M2444</x:f>
        <x:v>37585.147920319316</x:v>
      </x:c>
      <x:c r="O2444" s="10" t="n">
        <x:f>H2444*'Assumptions'!$P$34*'Assumptions'!$Q$34*'Assumptions'!$D$11*(1+'Assumptions'!$D$13)^(20-1)</x:f>
        <x:v>25185.019721575343</x:v>
      </x:c>
      <x:c r="P2444" s="10" t="n">
        <x:f>H2444*'Assumptions'!$R$34*'Assumptions'!$D$11*(1+'Assumptions'!$D$13)^(20-1)</x:f>
        <x:v>777.3154235054118</x:v>
      </x:c>
      <x:c r="Q2444" s="10" t="n">
        <x:f>J2444*'Assumptions'!$S$34</x:f>
        <x:v>0</x:v>
      </x:c>
      <x:c r="R2444" s="10" t="n">
        <x:f>H2444*'Assumptions'!$Y$34*'Assumptions'!$Z$34*'Assumptions'!$D$11*(1+'Assumptions'!$D$13)^(20-1)</x:f>
        <x:v>233.19462705162357</x:v>
      </x:c>
      <x:c r="S2444" s="10" t="n">
        <x:f>IF(I2444=0,0,J2444*'Assumptions'!$W$34+H2444*'Assumptions'!$X$34)</x:f>
        <x:v>1128.999185585427</x:v>
      </x:c>
      <x:c r="T2444" s="10" t="n">
        <x:f>N2444*'Assumptions'!$AA$34</x:f>
        <x:v>1503.4059168127726</x:v>
      </x:c>
      <x:c r="U2444" s="10" t="n">
        <x:f>'Assumptions'!$AE$34*'Assumptions'!$D$11*(1+'Assumptions'!$D$13)^(20-1)</x:f>
        <x:v>0</x:v>
      </x:c>
      <x:c r="V2444" s="10" t="n">
        <x:f>0</x:f>
        <x:v>0</x:v>
      </x:c>
      <x:c r="W2444" s="10" t="n">
        <x:f>H2444*('Assumptions'!$P$34+'Assumptions'!$Y$34)</x:f>
        <x:v>323.6032508488868</x:v>
      </x:c>
      <x:c r="X2444" s="10" t="n">
        <x:f>N2444/12*'Assumptions'!$AF$34</x:f>
        <x:v>3132.0956600266095</x:v>
      </x:c>
      <x:c r="Y2444" s="10" t="n">
        <x:f>P2444/12</x:f>
        <x:v>64.77628529211765</x:v>
      </x:c>
      <x:c r="Z2444" s="10" t="n">
        <x:f>0</x:f>
        <x:v>0</x:v>
      </x:c>
      <x:c r="AA2444" s="10" t="n">
        <x:f>Z2444*'Assumptions'!$AC$34*'Assumptions'!$D$11*(1+'Assumptions'!$D$13)^(20-1)</x:f>
        <x:v>0</x:v>
      </x:c>
      <x:c r="AB2444" s="10" t="n">
        <x:f>F2444/1</x:f>
        <x:v>9.124080378580723</x:v>
      </x:c>
      <x:c r="AC2444" s="10" t="n">
        <x:f>AB2444/'Assumptions'!$AM$34</x:f>
        <x:v>45.620401892903615</x:v>
      </x:c>
      <x:c r="AD2444" s="10" t="n">
        <x:f>IF(AB2444=0,0,T2444/AB2444)</x:f>
        <x:v>164.77341873731189</x:v>
      </x:c>
      <x:c r="AE2444" s="10" t="n">
        <x:f>AA2444*'Assumptions'!$D$21</x:f>
        <x:v>0</x:v>
      </x:c>
    </x:row>
    <x:row r="2445" ht="16" customHeight="1">
      <x:c r="A2445" s="1"/>
      <x:c r="B2445" s="1"/>
      <x:c r="C2445" s="1" t="str">
        <x:v>DOT-006</x:v>
      </x:c>
      <x:c r="D2445" s="10" t="str">
        <x:v>ETV services</x:v>
      </x:c>
      <x:c r="E2445" s="10" t="n">
        <x:v>20</x:v>
      </x:c>
      <x:c r="F2445" s="21" t="n">
        <x:f>F2317*(1+'Assumptions'!$M$35)</x:f>
        <x:v>13.686120567871088</x:v>
      </x:c>
      <x:c r="G2445" s="21" t="n">
        <x:f>H2317*'Assumptions'!$K$35</x:f>
        <x:v>12.911406899160703</x:v>
      </x:c>
      <x:c r="H2445" s="21" t="n">
        <x:f>IF(AND(COUNT('Assumptions'!$H$35,'Assumptions'!$I$35,'Assumptions'!$J$35,'Assumptions'!$K$35,'Assumptions'!$L$35,'Assumptions'!$M$35,'Assumptions'!$P$35,'Assumptions'!$Q$35,'Assumptions'!$R$35,'Assumptions'!$S$35,'Assumptions'!$T$35,'Assumptions'!$U$35,'Assumptions'!$V$35,'Assumptions'!$W$35,'Assumptions'!$X$35,'Assumptions'!$Y$35,'Assumptions'!$Z$35,'Assumptions'!$AA$35,'Assumptions'!$AD$35,'Assumptions'!$AE$35,'Assumptions'!$AF$35)=21,COUNT('Assumptions'!$D$8:$D$21)=14,'Assumptions'!$J$35&gt;=1,'Assumptions'!$J$35&lt;=12,'Assumptions'!$D$8&gt;=0,'Assumptions'!$D$15&gt;0),F2445+G2445,NA())</x:f>
        <x:v>26.59752746703179</x:v>
      </x:c>
      <x:c r="I2445" s="22" t="n">
        <x:f>'Assumptions'!$H$35*IF('Assumptions'!$O$35=1,1,'Assumptions'!$D$10)*(1+'Assumptions'!$N$35)^(20-1)</x:f>
        <x:v>1092.6083793958492</x:v>
      </x:c>
      <x:c r="J2445" s="10" t="n">
        <x:f>H2445*I2445</x:f>
        <x:v>29060.68138169019</x:v>
      </x:c>
      <x:c r="K2445" s="10" t="n">
        <x:f>J2445*'Assumptions'!$T$35</x:f>
        <x:v>29060.68138169019</x:v>
      </x:c>
      <x:c r="L2445" s="10" t="n">
        <x:f>K2445*'Assumptions'!$U$35</x:f>
        <x:v>871.8204414507056</x:v>
      </x:c>
      <x:c r="M2445" s="10" t="n">
        <x:f>K2445*'Assumptions'!$V$35</x:f>
        <x:v>0</x:v>
      </x:c>
      <x:c r="N2445" s="10" t="n">
        <x:f>K2445-L2445-M2445</x:f>
        <x:v>28188.860940239483</x:v>
      </x:c>
      <x:c r="O2445" s="10" t="n">
        <x:f>H2445*'Assumptions'!$P$35*'Assumptions'!$Q$35*'Assumptions'!$D$11*(1+'Assumptions'!$D$13)^(20-1)</x:f>
        <x:v>16790.013147716898</x:v>
      </x:c>
      <x:c r="P2445" s="10" t="n">
        <x:f>H2445*'Assumptions'!$R$35*'Assumptions'!$D$11*(1+'Assumptions'!$D$13)^(20-1)</x:f>
        <x:v>1165.9731352581177</x:v>
      </x:c>
      <x:c r="Q2445" s="10" t="n">
        <x:f>J2445*'Assumptions'!$S$35</x:f>
        <x:v>0</x:v>
      </x:c>
      <x:c r="R2445" s="10" t="n">
        <x:f>H2445*'Assumptions'!$Y$35*'Assumptions'!$Z$35*'Assumptions'!$D$11*(1+'Assumptions'!$D$13)^(20-1)</x:f>
        <x:v>349.79194057743535</x:v>
      </x:c>
      <x:c r="S2445" s="10" t="n">
        <x:f>IF(I2445=0,0,J2445*'Assumptions'!$W$35+H2445*'Assumptions'!$X$35)</x:f>
        <x:v>850.7390183091251</x:v>
      </x:c>
      <x:c r="T2445" s="10" t="n">
        <x:f>N2445*'Assumptions'!$AA$35</x:f>
        <x:v>1127.5544376095793</x:v>
      </x:c>
      <x:c r="U2445" s="10" t="n">
        <x:f>'Assumptions'!$AE$35*'Assumptions'!$D$11*(1+'Assumptions'!$D$13)^(20-1)</x:f>
        <x:v>0</x:v>
      </x:c>
      <x:c r="V2445" s="10" t="n">
        <x:f>0</x:f>
        <x:v>0</x:v>
      </x:c>
      <x:c r="W2445" s="10" t="n">
        <x:f>H2445*('Assumptions'!$P$35+'Assumptions'!$Y$35)</x:f>
        <x:v>219.42960160301226</x:v>
      </x:c>
      <x:c r="X2445" s="10" t="n">
        <x:f>N2445/12*'Assumptions'!$AF$35</x:f>
        <x:v>2349.071745019957</x:v>
      </x:c>
      <x:c r="Y2445" s="10" t="n">
        <x:f>P2445/12</x:f>
        <x:v>97.16442793817647</x:v>
      </x:c>
      <x:c r="Z2445" s="10" t="n">
        <x:f>0</x:f>
        <x:v>0</x:v>
      </x:c>
      <x:c r="AA2445" s="10" t="n">
        <x:f>Z2445*'Assumptions'!$AC$35*'Assumptions'!$D$11*(1+'Assumptions'!$D$13)^(20-1)</x:f>
        <x:v>0</x:v>
      </x:c>
      <x:c r="AB2445" s="10" t="n">
        <x:f>F2445/1</x:f>
        <x:v>13.686120567871088</x:v>
      </x:c>
      <x:c r="AC2445" s="10" t="n">
        <x:f>AB2445/'Assumptions'!$AM$35</x:f>
        <x:v>68.43060283935543</x:v>
      </x:c>
      <x:c r="AD2445" s="10" t="n">
        <x:f>IF(AB2445=0,0,T2445/AB2445)</x:f>
        <x:v>82.38670936865591</x:v>
      </x:c>
      <x:c r="AE2445" s="10" t="n">
        <x:f>AA2445*'Assumptions'!$D$21</x:f>
        <x:v>0</x:v>
      </x:c>
    </x:row>
    <x:row r="2446" ht="16" customHeight="1">
      <x:c r="A2446" s="1"/>
      <x:c r="B2446" s="1"/>
      <x:c r="C2446" s="1" t="str">
        <x:v>DOT-007</x:v>
      </x:c>
      <x:c r="D2446" s="10" t="str">
        <x:v>BPA professional services</x:v>
      </x:c>
      <x:c r="E2446" s="10" t="n">
        <x:v>20</x:v>
      </x:c>
      <x:c r="F2446" s="21" t="n">
        <x:f>F2318*(1+'Assumptions'!$M$36)</x:f>
        <x:v>54.74448227148435</x:v>
      </x:c>
      <x:c r="G2446" s="21" t="n">
        <x:f>H2318*'Assumptions'!$K$36</x:f>
        <x:v>51.64560470845922</x:v>
      </x:c>
      <x:c r="H2446" s="21" t="n">
        <x:f>IF(AND(COUNT('Assumptions'!$H$36,'Assumptions'!$I$36,'Assumptions'!$J$36,'Assumptions'!$K$36,'Assumptions'!$L$36,'Assumptions'!$M$36,'Assumptions'!$P$36,'Assumptions'!$Q$36,'Assumptions'!$R$36,'Assumptions'!$S$36,'Assumptions'!$T$36,'Assumptions'!$U$36,'Assumptions'!$V$36,'Assumptions'!$W$36,'Assumptions'!$X$36,'Assumptions'!$Y$36,'Assumptions'!$Z$36,'Assumptions'!$AA$36,'Assumptions'!$AD$36,'Assumptions'!$AE$36,'Assumptions'!$AF$36)=21,COUNT('Assumptions'!$D$8:$D$21)=14,'Assumptions'!$J$36&gt;=1,'Assumptions'!$J$36&lt;=12,'Assumptions'!$D$8&gt;=0,'Assumptions'!$D$15&gt;0),F2446+G2446,NA())</x:f>
        <x:v>106.39008697994356</x:v>
      </x:c>
      <x:c r="I2446" s="22" t="n">
        <x:f>'Assumptions'!$H$36*IF('Assumptions'!$O$36=1,1,'Assumptions'!$D$10)*(1+'Assumptions'!$N$36)^(20-1)</x:f>
        <x:v>250</x:v>
      </x:c>
      <x:c r="J2446" s="10" t="n">
        <x:f>H2446*I2446</x:f>
        <x:v>26597.52174498589</x:v>
      </x:c>
      <x:c r="K2446" s="10" t="n">
        <x:f>J2446*'Assumptions'!$T$36</x:f>
        <x:v>26597.52174498589</x:v>
      </x:c>
      <x:c r="L2446" s="10" t="n">
        <x:f>K2446*'Assumptions'!$U$36</x:f>
        <x:v>797.9256523495767</x:v>
      </x:c>
      <x:c r="M2446" s="10" t="n">
        <x:f>K2446*'Assumptions'!$V$36</x:f>
        <x:v>0</x:v>
      </x:c>
      <x:c r="N2446" s="10" t="n">
        <x:f>K2446-L2446-M2446</x:f>
        <x:v>25799.596092636315</x:v>
      </x:c>
      <x:c r="O2446" s="10" t="n">
        <x:f>H2446*'Assumptions'!$P$36*'Assumptions'!$Q$36*'Assumptions'!$D$11*(1+'Assumptions'!$D$13)^(20-1)</x:f>
        <x:v>9324.051962106383</x:v>
      </x:c>
      <x:c r="P2446" s="10" t="n">
        <x:f>H2446*'Assumptions'!$R$36*'Assumptions'!$D$11*(1+'Assumptions'!$D$13)^(20-1)</x:f>
        <x:v>1865.5566150673037</x:v>
      </x:c>
      <x:c r="Q2446" s="10" t="n">
        <x:f>J2446*'Assumptions'!$S$36</x:f>
        <x:v>0</x:v>
      </x:c>
      <x:c r="R2446" s="10" t="n">
        <x:f>H2446*'Assumptions'!$Y$36*'Assumptions'!$Z$36*'Assumptions'!$D$11*(1+'Assumptions'!$D$13)^(20-1)</x:f>
        <x:v>1399.1674613004777</x:v>
      </x:c>
      <x:c r="S2446" s="10" t="n">
        <x:f>IF(I2446=0,0,J2446*'Assumptions'!$W$36+H2446*'Assumptions'!$X$36)</x:f>
        <x:v>803.2451566985739</x:v>
      </x:c>
      <x:c r="T2446" s="10" t="n">
        <x:f>N2446*'Assumptions'!$AA$36</x:f>
        <x:v>1031.9838437054527</x:v>
      </x:c>
      <x:c r="U2446" s="10" t="n">
        <x:f>'Assumptions'!$AE$36*'Assumptions'!$D$11*(1+'Assumptions'!$D$13)^(20-1)</x:f>
        <x:v>0</x:v>
      </x:c>
      <x:c r="V2446" s="10" t="n">
        <x:f>0</x:f>
        <x:v>0</x:v>
      </x:c>
      <x:c r="W2446" s="10" t="n">
        <x:f>H2446*('Assumptions'!$P$36+'Assumptions'!$Y$36)</x:f>
        <x:v>115.22046419927888</x:v>
      </x:c>
      <x:c r="X2446" s="10" t="n">
        <x:f>N2446/12*'Assumptions'!$AF$36</x:f>
        <x:v>2149.966341053026</x:v>
      </x:c>
      <x:c r="Y2446" s="10" t="n">
        <x:f>P2446/12</x:f>
        <x:v>155.46305125560863</x:v>
      </x:c>
      <x:c r="Z2446" s="10" t="n">
        <x:f>0</x:f>
        <x:v>0</x:v>
      </x:c>
      <x:c r="AA2446" s="10" t="n">
        <x:f>Z2446*'Assumptions'!$AC$36*'Assumptions'!$D$11*(1+'Assumptions'!$D$13)^(20-1)</x:f>
        <x:v>0</x:v>
      </x:c>
      <x:c r="AB2446" s="10" t="n">
        <x:f>F2446/1</x:f>
        <x:v>54.74448227148435</x:v>
      </x:c>
      <x:c r="AC2446" s="10" t="n">
        <x:f>AB2446/'Assumptions'!$AM$36</x:f>
        <x:v>273.7224113574217</x:v>
      </x:c>
      <x:c r="AD2446" s="10" t="n">
        <x:f>IF(AB2446=0,0,T2446/AB2446)</x:f>
        <x:v>18.850919780147393</x:v>
      </x:c>
      <x:c r="AE2446" s="10" t="n">
        <x:f>AA2446*'Assumptions'!$D$21</x:f>
        <x:v>0</x:v>
      </x:c>
    </x:row>
    <x:row r="2447" ht="16" customHeight="1">
      <x:c r="A2447" s="1"/>
      <x:c r="B2447" s="1"/>
      <x:c r="C2447" s="1" t="str">
        <x:v>DOT-008</x:v>
      </x:c>
      <x:c r="D2447" s="10" t="str">
        <x:v>BPA professional services</x:v>
      </x:c>
      <x:c r="E2447" s="10" t="n">
        <x:v>20</x:v>
      </x:c>
      <x:c r="F2447" s="21" t="n">
        <x:f>F2319*(1+'Assumptions'!$M$37)</x:f>
        <x:v>20.52918085180662</x:v>
      </x:c>
      <x:c r="G2447" s="21" t="n">
        <x:f>H2319*'Assumptions'!$K$37</x:f>
        <x:v>19.367101765672196</x:v>
      </x:c>
      <x:c r="H2447" s="21" t="n">
        <x:f>IF(AND(COUNT('Assumptions'!$H$37,'Assumptions'!$I$37,'Assumptions'!$J$37,'Assumptions'!$K$37,'Assumptions'!$L$37,'Assumptions'!$M$37,'Assumptions'!$P$37,'Assumptions'!$Q$37,'Assumptions'!$R$37,'Assumptions'!$S$37,'Assumptions'!$T$37,'Assumptions'!$U$37,'Assumptions'!$V$37,'Assumptions'!$W$37,'Assumptions'!$X$37,'Assumptions'!$Y$37,'Assumptions'!$Z$37,'Assumptions'!$AA$37,'Assumptions'!$AD$37,'Assumptions'!$AE$37,'Assumptions'!$AF$37)=21,COUNT('Assumptions'!$D$8:$D$21)=14,'Assumptions'!$J$37&gt;=1,'Assumptions'!$J$37&lt;=12,'Assumptions'!$D$8&gt;=0,'Assumptions'!$D$15&gt;0),F2447+G2447,NA())</x:f>
        <x:v>39.89628261747882</x:v>
      </x:c>
      <x:c r="I2447" s="22" t="n">
        <x:f>'Assumptions'!$H$37*IF('Assumptions'!$O$37=1,1,'Assumptions'!$D$10)*(1+'Assumptions'!$N$37)^(20-1)</x:f>
        <x:v>600</x:v>
      </x:c>
      <x:c r="J2447" s="10" t="n">
        <x:f>H2447*I2447</x:f>
        <x:v>23937.76957048729</x:v>
      </x:c>
      <x:c r="K2447" s="10" t="n">
        <x:f>J2447*'Assumptions'!$T$37</x:f>
        <x:v>23937.76957048729</x:v>
      </x:c>
      <x:c r="L2447" s="10" t="n">
        <x:f>K2447*'Assumptions'!$U$37</x:f>
        <x:v>718.1330871146187</x:v>
      </x:c>
      <x:c r="M2447" s="10" t="n">
        <x:f>K2447*'Assumptions'!$V$37</x:f>
        <x:v>0</x:v>
      </x:c>
      <x:c r="N2447" s="10" t="n">
        <x:f>K2447-L2447-M2447</x:f>
        <x:v>23219.63648337267</x:v>
      </x:c>
      <x:c r="O2447" s="10" t="n">
        <x:f>H2447*'Assumptions'!$P$37*'Assumptions'!$Q$37*'Assumptions'!$D$11*(1+'Assumptions'!$D$13)^(20-1)</x:f>
        <x:v>16790.009535605725</x:v>
      </x:c>
      <x:c r="P2447" s="10" t="n">
        <x:f>H2447*'Assumptions'!$R$37*'Assumptions'!$D$11*(1+'Assumptions'!$D$13)^(20-1)</x:f>
        <x:v>699.5837306502386</x:v>
      </x:c>
      <x:c r="Q2447" s="10" t="n">
        <x:f>J2447*'Assumptions'!$S$37</x:f>
        <x:v>0</x:v>
      </x:c>
      <x:c r="R2447" s="10" t="n">
        <x:f>H2447*'Assumptions'!$Y$37*'Assumptions'!$Z$37*'Assumptions'!$D$11*(1+'Assumptions'!$D$13)^(20-1)</x:f>
        <x:v>524.6877979876789</x:v>
      </x:c>
      <x:c r="S2447" s="10" t="n">
        <x:f>IF(I2447=0,0,J2447*'Assumptions'!$W$37+H2447*'Assumptions'!$X$37)</x:f>
        <x:v>706.164202329375</x:v>
      </x:c>
      <x:c r="T2447" s="10" t="n">
        <x:f>N2447*'Assumptions'!$AA$37</x:f>
        <x:v>928.7854593349068</x:v>
      </x:c>
      <x:c r="U2447" s="10" t="n">
        <x:f>'Assumptions'!$AE$37*'Assumptions'!$D$11*(1+'Assumptions'!$D$13)^(20-1)</x:f>
        <x:v>0</x:v>
      </x:c>
      <x:c r="V2447" s="10" t="n">
        <x:f>0</x:f>
        <x:v>0</x:v>
      </x:c>
      <x:c r="W2447" s="10" t="n">
        <x:f>H2447*('Assumptions'!$P$37+'Assumptions'!$Y$37)</x:f>
        <x:v>169.55920112428498</x:v>
      </x:c>
      <x:c r="X2447" s="10" t="n">
        <x:f>N2447/12*'Assumptions'!$AF$37</x:f>
        <x:v>1934.9697069477224</x:v>
      </x:c>
      <x:c r="Y2447" s="10" t="n">
        <x:f>P2447/12</x:f>
        <x:v>58.29864422085322</x:v>
      </x:c>
      <x:c r="Z2447" s="10" t="n">
        <x:f>0</x:f>
        <x:v>0</x:v>
      </x:c>
      <x:c r="AA2447" s="10" t="n">
        <x:f>Z2447*'Assumptions'!$AC$37*'Assumptions'!$D$11*(1+'Assumptions'!$D$13)^(20-1)</x:f>
        <x:v>0</x:v>
      </x:c>
      <x:c r="AB2447" s="10" t="n">
        <x:f>F2447/1</x:f>
        <x:v>20.52918085180662</x:v>
      </x:c>
      <x:c r="AC2447" s="10" t="n">
        <x:f>AB2447/'Assumptions'!$AM$37</x:f>
        <x:v>102.64590425903309</x:v>
      </x:c>
      <x:c r="AD2447" s="10" t="n">
        <x:f>IF(AB2447=0,0,T2447/AB2447)</x:f>
        <x:v>45.24220747235375</x:v>
      </x:c>
      <x:c r="AE2447" s="10" t="n">
        <x:f>AA2447*'Assumptions'!$D$21</x:f>
        <x:v>0</x:v>
      </x:c>
    </x:row>
    <x:row r="2448" ht="16" customHeight="1">
      <x:c r="A2448" s="1"/>
      <x:c r="B2448" s="1"/>
      <x:c r="C2448" s="1" t="str">
        <x:v>DOT-009</x:v>
      </x:c>
      <x:c r="D2448" s="10" t="str">
        <x:v>BPA professional services</x:v>
      </x:c>
      <x:c r="E2448" s="10" t="n">
        <x:v>20</x:v>
      </x:c>
      <x:c r="F2448" s="21" t="n">
        <x:f>F2320*(1+'Assumptions'!$M$38)</x:f>
        <x:v>13.686120567871088</x:v>
      </x:c>
      <x:c r="G2448" s="21" t="n">
        <x:f>H2320*'Assumptions'!$K$38</x:f>
        <x:v>12.911401177114804</x:v>
      </x:c>
      <x:c r="H2448" s="21" t="n">
        <x:f>IF(AND(COUNT('Assumptions'!$H$38,'Assumptions'!$I$38,'Assumptions'!$J$38,'Assumptions'!$K$38,'Assumptions'!$L$38,'Assumptions'!$M$38,'Assumptions'!$P$38,'Assumptions'!$Q$38,'Assumptions'!$R$38,'Assumptions'!$S$38,'Assumptions'!$T$38,'Assumptions'!$U$38,'Assumptions'!$V$38,'Assumptions'!$W$38,'Assumptions'!$X$38,'Assumptions'!$Y$38,'Assumptions'!$Z$38,'Assumptions'!$AA$38,'Assumptions'!$AD$38,'Assumptions'!$AE$38,'Assumptions'!$AF$38)=21,COUNT('Assumptions'!$D$8:$D$21)=14,'Assumptions'!$J$38&gt;=1,'Assumptions'!$J$38&lt;=12,'Assumptions'!$D$8&gt;=0,'Assumptions'!$D$15&gt;0),F2448+G2448,NA())</x:f>
        <x:v>26.59752174498589</x:v>
      </x:c>
      <x:c r="I2448" s="22" t="n">
        <x:f>'Assumptions'!$H$38*IF('Assumptions'!$O$38=1,1,'Assumptions'!$D$10)*(1+'Assumptions'!$N$38)^(20-1)</x:f>
        <x:v>900</x:v>
      </x:c>
      <x:c r="J2448" s="10" t="n">
        <x:f>H2448*I2448</x:f>
        <x:v>23937.7695704873</x:v>
      </x:c>
      <x:c r="K2448" s="10" t="n">
        <x:f>J2448*'Assumptions'!$T$38</x:f>
        <x:v>23937.7695704873</x:v>
      </x:c>
      <x:c r="L2448" s="10" t="n">
        <x:f>K2448*'Assumptions'!$U$38</x:f>
        <x:v>718.133087114619</x:v>
      </x:c>
      <x:c r="M2448" s="10" t="n">
        <x:f>K2448*'Assumptions'!$V$38</x:f>
        <x:v>0</x:v>
      </x:c>
      <x:c r="N2448" s="10" t="n">
        <x:f>K2448-L2448-M2448</x:f>
        <x:v>23219.63648337268</x:v>
      </x:c>
      <x:c r="O2448" s="10" t="n">
        <x:f>H2448*'Assumptions'!$P$38*'Assumptions'!$Q$38*'Assumptions'!$D$11*(1+'Assumptions'!$D$13)^(20-1)</x:f>
        <x:v>16790.00953560573</x:v>
      </x:c>
      <x:c r="P2448" s="10" t="n">
        <x:f>H2448*'Assumptions'!$R$38*'Assumptions'!$D$11*(1+'Assumptions'!$D$13)^(20-1)</x:f>
        <x:v>466.3891537668259</x:v>
      </x:c>
      <x:c r="Q2448" s="10" t="n">
        <x:f>J2448*'Assumptions'!$S$38</x:f>
        <x:v>0</x:v>
      </x:c>
      <x:c r="R2448" s="10" t="n">
        <x:f>H2448*'Assumptions'!$Y$38*'Assumptions'!$Z$38*'Assumptions'!$D$11*(1+'Assumptions'!$D$13)^(20-1)</x:f>
        <x:v>349.79186532511943</x:v>
      </x:c>
      <x:c r="S2448" s="10" t="n">
        <x:f>IF(I2448=0,0,J2448*'Assumptions'!$W$38+H2448*'Assumptions'!$X$38)</x:f>
        <x:v>702.1745740676275</x:v>
      </x:c>
      <x:c r="T2448" s="10" t="n">
        <x:f>N2448*'Assumptions'!$AA$38</x:f>
        <x:v>928.7854593349073</x:v>
      </x:c>
      <x:c r="U2448" s="10" t="n">
        <x:f>'Assumptions'!$AE$38*'Assumptions'!$D$11*(1+'Assumptions'!$D$13)^(20-1)</x:f>
        <x:v>0</x:v>
      </x:c>
      <x:c r="V2448" s="10" t="n">
        <x:f>0</x:f>
        <x:v>0</x:v>
      </x:c>
      <x:c r="W2448" s="10" t="n">
        <x:f>H2448*('Assumptions'!$P$38+'Assumptions'!$Y$38)</x:f>
        <x:v>166.2345109061618</x:v>
      </x:c>
      <x:c r="X2448" s="10" t="n">
        <x:f>N2448/12*'Assumptions'!$AF$38</x:f>
        <x:v>1934.9697069477234</x:v>
      </x:c>
      <x:c r="Y2448" s="10" t="n">
        <x:f>P2448/12</x:f>
        <x:v>38.86576281390216</x:v>
      </x:c>
      <x:c r="Z2448" s="10" t="n">
        <x:f>0</x:f>
        <x:v>0</x:v>
      </x:c>
      <x:c r="AA2448" s="10" t="n">
        <x:f>Z2448*'Assumptions'!$AC$38*'Assumptions'!$D$11*(1+'Assumptions'!$D$13)^(20-1)</x:f>
        <x:v>0</x:v>
      </x:c>
      <x:c r="AB2448" s="10" t="n">
        <x:f>F2448/1</x:f>
        <x:v>13.686120567871088</x:v>
      </x:c>
      <x:c r="AC2448" s="10" t="n">
        <x:f>AB2448/'Assumptions'!$AM$38</x:f>
        <x:v>68.43060283935543</x:v>
      </x:c>
      <x:c r="AD2448" s="10" t="n">
        <x:f>IF(AB2448=0,0,T2448/AB2448)</x:f>
        <x:v>67.8633112085306</x:v>
      </x:c>
      <x:c r="AE2448" s="10" t="n">
        <x:f>AA2448*'Assumptions'!$D$21</x:f>
        <x:v>0</x:v>
      </x:c>
    </x:row>
    <x:row r="2449" ht="16" customHeight="1">
      <x:c r="A2449" s="1"/>
      <x:c r="B2449" s="1"/>
      <x:c r="C2449" s="1" t="str">
        <x:v>DOT-010</x:v>
      </x:c>
      <x:c r="D2449" s="10" t="str">
        <x:v>BPA professional services</x:v>
      </x:c>
      <x:c r="E2449" s="10" t="n">
        <x:v>20</x:v>
      </x:c>
      <x:c r="F2449" s="21" t="n">
        <x:f>F2321*(1+'Assumptions'!$M$39)</x:f>
        <x:v>13.686120567871088</x:v>
      </x:c>
      <x:c r="G2449" s="21" t="n">
        <x:f>H2321*'Assumptions'!$K$39</x:f>
        <x:v>12.911401177114804</x:v>
      </x:c>
      <x:c r="H2449" s="21" t="n">
        <x:f>IF(AND(COUNT('Assumptions'!$H$39,'Assumptions'!$I$39,'Assumptions'!$J$39,'Assumptions'!$K$39,'Assumptions'!$L$39,'Assumptions'!$M$39,'Assumptions'!$P$39,'Assumptions'!$Q$39,'Assumptions'!$R$39,'Assumptions'!$S$39,'Assumptions'!$T$39,'Assumptions'!$U$39,'Assumptions'!$V$39,'Assumptions'!$W$39,'Assumptions'!$X$39,'Assumptions'!$Y$39,'Assumptions'!$Z$39,'Assumptions'!$AA$39,'Assumptions'!$AD$39,'Assumptions'!$AE$39,'Assumptions'!$AF$39)=21,COUNT('Assumptions'!$D$8:$D$21)=14,'Assumptions'!$J$39&gt;=1,'Assumptions'!$J$39&lt;=12,'Assumptions'!$D$8&gt;=0,'Assumptions'!$D$15&gt;0),F2449+G2449,NA())</x:f>
        <x:v>26.59752174498589</x:v>
      </x:c>
      <x:c r="I2449" s="22" t="n">
        <x:f>'Assumptions'!$H$39*IF('Assumptions'!$O$39=1,1,'Assumptions'!$D$10)*(1+'Assumptions'!$N$39)^(20-1)</x:f>
        <x:v>1800</x:v>
      </x:c>
      <x:c r="J2449" s="10" t="n">
        <x:f>H2449*I2449</x:f>
        <x:v>47875.5391409746</x:v>
      </x:c>
      <x:c r="K2449" s="10" t="n">
        <x:f>J2449*'Assumptions'!$T$39</x:f>
        <x:v>47875.5391409746</x:v>
      </x:c>
      <x:c r="L2449" s="10" t="n">
        <x:f>K2449*'Assumptions'!$U$39</x:f>
        <x:v>1436.266174229238</x:v>
      </x:c>
      <x:c r="M2449" s="10" t="n">
        <x:f>K2449*'Assumptions'!$V$39</x:f>
        <x:v>0</x:v>
      </x:c>
      <x:c r="N2449" s="10" t="n">
        <x:f>K2449-L2449-M2449</x:f>
        <x:v>46439.27296674536</x:v>
      </x:c>
      <x:c r="O2449" s="10" t="n">
        <x:f>H2449*'Assumptions'!$P$39*'Assumptions'!$Q$39*'Assumptions'!$D$11*(1+'Assumptions'!$D$13)^(20-1)</x:f>
        <x:v>33580.01907121146</x:v>
      </x:c>
      <x:c r="P2449" s="10" t="n">
        <x:f>H2449*'Assumptions'!$R$39*'Assumptions'!$D$11*(1+'Assumptions'!$D$13)^(20-1)</x:f>
        <x:v>466.3891537668259</x:v>
      </x:c>
      <x:c r="Q2449" s="10" t="n">
        <x:f>J2449*'Assumptions'!$S$39</x:f>
        <x:v>0</x:v>
      </x:c>
      <x:c r="R2449" s="10" t="n">
        <x:f>H2449*'Assumptions'!$Y$39*'Assumptions'!$Z$39*'Assumptions'!$D$11*(1+'Assumptions'!$D$13)^(20-1)</x:f>
        <x:v>349.79186532511943</x:v>
      </x:c>
      <x:c r="S2449" s="10" t="n">
        <x:f>IF(I2449=0,0,J2449*'Assumptions'!$W$39+H2449*'Assumptions'!$X$39)</x:f>
        <x:v>1396.3698916117592</x:v>
      </x:c>
      <x:c r="T2449" s="10" t="n">
        <x:f>N2449*'Assumptions'!$AA$39</x:f>
        <x:v>1857.5709186698145</x:v>
      </x:c>
      <x:c r="U2449" s="10" t="n">
        <x:f>'Assumptions'!$AE$39*'Assumptions'!$D$11*(1+'Assumptions'!$D$13)^(20-1)</x:f>
        <x:v>0</x:v>
      </x:c>
      <x:c r="V2449" s="10" t="n">
        <x:f>0</x:f>
        <x:v>0</x:v>
      </x:c>
      <x:c r="W2449" s="10" t="n">
        <x:f>H2449*('Assumptions'!$P$39+'Assumptions'!$Y$39)</x:f>
        <x:v>325.81964137607713</x:v>
      </x:c>
      <x:c r="X2449" s="10" t="n">
        <x:f>N2449/12*'Assumptions'!$AF$39</x:f>
        <x:v>3869.9394138954467</x:v>
      </x:c>
      <x:c r="Y2449" s="10" t="n">
        <x:f>P2449/12</x:f>
        <x:v>38.86576281390216</x:v>
      </x:c>
      <x:c r="Z2449" s="10" t="n">
        <x:f>0</x:f>
        <x:v>0</x:v>
      </x:c>
      <x:c r="AA2449" s="10" t="n">
        <x:f>Z2449*'Assumptions'!$AC$39*'Assumptions'!$D$11*(1+'Assumptions'!$D$13)^(20-1)</x:f>
        <x:v>0</x:v>
      </x:c>
      <x:c r="AB2449" s="10" t="n">
        <x:f>F2449/1</x:f>
        <x:v>13.686120567871088</x:v>
      </x:c>
      <x:c r="AC2449" s="10" t="n">
        <x:f>AB2449/'Assumptions'!$AM$39</x:f>
        <x:v>68.43060283935543</x:v>
      </x:c>
      <x:c r="AD2449" s="10" t="n">
        <x:f>IF(AB2449=0,0,T2449/AB2449)</x:f>
        <x:v>135.7266224170612</x:v>
      </x:c>
      <x:c r="AE2449" s="10" t="n">
        <x:f>AA2449*'Assumptions'!$D$21</x:f>
        <x:v>0</x:v>
      </x:c>
    </x:row>
    <x:row r="2450" ht="16" customHeight="1">
      <x:c r="A2450" s="1"/>
      <x:c r="B2450" s="1"/>
      <x:c r="C2450" s="1" t="str">
        <x:v>DOT-011</x:v>
      </x:c>
      <x:c r="D2450" s="10" t="str">
        <x:v>BPA professional services</x:v>
      </x:c>
      <x:c r="E2450" s="10" t="n">
        <x:v>20</x:v>
      </x:c>
      <x:c r="F2450" s="21" t="n">
        <x:f>F2322*(1+'Assumptions'!$M$40)</x:f>
        <x:v>41.05836170361324</x:v>
      </x:c>
      <x:c r="G2450" s="21" t="n">
        <x:f>H2322*'Assumptions'!$K$40</x:f>
        <x:v>38.73420353134439</x:v>
      </x:c>
      <x:c r="H2450" s="21" t="n">
        <x:f>IF(AND(COUNT('Assumptions'!$H$40,'Assumptions'!$I$40,'Assumptions'!$J$40,'Assumptions'!$K$40,'Assumptions'!$L$40,'Assumptions'!$M$40,'Assumptions'!$P$40,'Assumptions'!$Q$40,'Assumptions'!$R$40,'Assumptions'!$S$40,'Assumptions'!$T$40,'Assumptions'!$U$40,'Assumptions'!$V$40,'Assumptions'!$W$40,'Assumptions'!$X$40,'Assumptions'!$Y$40,'Assumptions'!$Z$40,'Assumptions'!$AA$40,'Assumptions'!$AD$40,'Assumptions'!$AE$40,'Assumptions'!$AF$40)=21,COUNT('Assumptions'!$D$8:$D$21)=14,'Assumptions'!$J$40&gt;=1,'Assumptions'!$J$40&lt;=12,'Assumptions'!$D$8&gt;=0,'Assumptions'!$D$15&gt;0),F2450+G2450,NA())</x:f>
        <x:v>79.79256523495764</x:v>
      </x:c>
      <x:c r="I2450" s="22" t="n">
        <x:f>'Assumptions'!$H$40*IF('Assumptions'!$O$40=1,1,'Assumptions'!$D$10)*(1+'Assumptions'!$N$40)^(20-1)</x:f>
        <x:v>600</x:v>
      </x:c>
      <x:c r="J2450" s="10" t="n">
        <x:f>H2450*I2450</x:f>
        <x:v>47875.53914097458</x:v>
      </x:c>
      <x:c r="K2450" s="10" t="n">
        <x:f>J2450*'Assumptions'!$T$40</x:f>
        <x:v>47875.53914097458</x:v>
      </x:c>
      <x:c r="L2450" s="10" t="n">
        <x:f>K2450*'Assumptions'!$U$40</x:f>
        <x:v>1436.2661742292373</x:v>
      </x:c>
      <x:c r="M2450" s="10" t="n">
        <x:f>K2450*'Assumptions'!$V$40</x:f>
        <x:v>0</x:v>
      </x:c>
      <x:c r="N2450" s="10" t="n">
        <x:f>K2450-L2450-M2450</x:f>
        <x:v>46439.27296674534</x:v>
      </x:c>
      <x:c r="O2450" s="10" t="n">
        <x:f>H2450*'Assumptions'!$P$40*'Assumptions'!$Q$40*'Assumptions'!$D$11*(1+'Assumptions'!$D$13)^(20-1)</x:f>
        <x:v>33580.01907121145</x:v>
      </x:c>
      <x:c r="P2450" s="10" t="n">
        <x:f>H2450*'Assumptions'!$R$40*'Assumptions'!$D$11*(1+'Assumptions'!$D$13)^(20-1)</x:f>
        <x:v>1399.1674613004773</x:v>
      </x:c>
      <x:c r="Q2450" s="10" t="n">
        <x:f>J2450*'Assumptions'!$S$40</x:f>
        <x:v>0</x:v>
      </x:c>
      <x:c r="R2450" s="10" t="n">
        <x:f>H2450*'Assumptions'!$Y$40*'Assumptions'!$Z$40*'Assumptions'!$D$11*(1+'Assumptions'!$D$13)^(20-1)</x:f>
        <x:v>1049.3755959753578</x:v>
      </x:c>
      <x:c r="S2450" s="10" t="n">
        <x:f>IF(I2450=0,0,J2450*'Assumptions'!$W$40+H2450*'Assumptions'!$X$40)</x:f>
        <x:v>1412.32840465875</x:v>
      </x:c>
      <x:c r="T2450" s="10" t="n">
        <x:f>N2450*'Assumptions'!$AA$40</x:f>
        <x:v>1857.5709186698136</x:v>
      </x:c>
      <x:c r="U2450" s="10" t="n">
        <x:f>'Assumptions'!$AE$40*'Assumptions'!$D$11*(1+'Assumptions'!$D$13)^(20-1)</x:f>
        <x:v>0</x:v>
      </x:c>
      <x:c r="V2450" s="10" t="n">
        <x:f>0</x:f>
        <x:v>0</x:v>
      </x:c>
      <x:c r="W2450" s="10" t="n">
        <x:f>H2450*('Assumptions'!$P$40+'Assumptions'!$Y$40)</x:f>
        <x:v>339.11840224856996</x:v>
      </x:c>
      <x:c r="X2450" s="10" t="n">
        <x:f>N2450/12*'Assumptions'!$AF$40</x:f>
        <x:v>3869.939413895445</x:v>
      </x:c>
      <x:c r="Y2450" s="10" t="n">
        <x:f>P2450/12</x:f>
        <x:v>116.59728844170644</x:v>
      </x:c>
      <x:c r="Z2450" s="10" t="n">
        <x:f>0</x:f>
        <x:v>0</x:v>
      </x:c>
      <x:c r="AA2450" s="10" t="n">
        <x:f>Z2450*'Assumptions'!$AC$40*'Assumptions'!$D$11*(1+'Assumptions'!$D$13)^(20-1)</x:f>
        <x:v>0</x:v>
      </x:c>
      <x:c r="AB2450" s="10" t="n">
        <x:f>F2450/12</x:f>
        <x:v>3.4215301419677697</x:v>
      </x:c>
      <x:c r="AC2450" s="10" t="n">
        <x:f>AB2450/'Assumptions'!$AM$40</x:f>
        <x:v>17.107650709838847</x:v>
      </x:c>
      <x:c r="AD2450" s="10" t="n">
        <x:f>IF(AB2450=0,0,T2450/AB2450)</x:f>
        <x:v>542.906489668245</x:v>
      </x:c>
      <x:c r="AE2450" s="10" t="n">
        <x:f>AA2450*'Assumptions'!$D$21</x:f>
        <x:v>0</x:v>
      </x:c>
    </x:row>
    <x:row r="2451" ht="16" customHeight="1">
      <x:c r="A2451" s="1"/>
      <x:c r="B2451" s="1"/>
      <x:c r="C2451" s="1" t="str">
        <x:v>DOT-012</x:v>
      </x:c>
      <x:c r="D2451" s="10" t="str">
        <x:v>BPA professional services</x:v>
      </x:c>
      <x:c r="E2451" s="10" t="n">
        <x:v>20</x:v>
      </x:c>
      <x:c r="F2451" s="21" t="n">
        <x:f>F2323*(1+'Assumptions'!$M$41)</x:f>
        <x:v>27.372241135742176</x:v>
      </x:c>
      <x:c r="G2451" s="21" t="n">
        <x:f>H2323*'Assumptions'!$K$41</x:f>
        <x:v>25.82280235422961</x:v>
      </x:c>
      <x:c r="H2451" s="21" t="n">
        <x:f>IF(AND(COUNT('Assumptions'!$H$41,'Assumptions'!$I$41,'Assumptions'!$J$41,'Assumptions'!$K$41,'Assumptions'!$L$41,'Assumptions'!$M$41,'Assumptions'!$P$41,'Assumptions'!$Q$41,'Assumptions'!$R$41,'Assumptions'!$S$41,'Assumptions'!$T$41,'Assumptions'!$U$41,'Assumptions'!$V$41,'Assumptions'!$W$41,'Assumptions'!$X$41,'Assumptions'!$Y$41,'Assumptions'!$Z$41,'Assumptions'!$AA$41,'Assumptions'!$AD$41,'Assumptions'!$AE$41,'Assumptions'!$AF$41)=21,COUNT('Assumptions'!$D$8:$D$21)=14,'Assumptions'!$J$41&gt;=1,'Assumptions'!$J$41&lt;=12,'Assumptions'!$D$8&gt;=0,'Assumptions'!$D$15&gt;0),F2451+G2451,NA())</x:f>
        <x:v>53.19504348997178</x:v>
      </x:c>
      <x:c r="I2451" s="22" t="n">
        <x:f>'Assumptions'!$H$41*IF('Assumptions'!$O$41=1,1,'Assumptions'!$D$10)*(1+'Assumptions'!$N$41)^(20-1)</x:f>
        <x:v>1080</x:v>
      </x:c>
      <x:c r="J2451" s="10" t="n">
        <x:f>H2451*I2451</x:f>
        <x:v>57450.646969169524</x:v>
      </x:c>
      <x:c r="K2451" s="10" t="n">
        <x:f>J2451*'Assumptions'!$T$41</x:f>
        <x:v>57450.646969169524</x:v>
      </x:c>
      <x:c r="L2451" s="10" t="n">
        <x:f>K2451*'Assumptions'!$U$41</x:f>
        <x:v>1723.5194090750856</x:v>
      </x:c>
      <x:c r="M2451" s="10" t="n">
        <x:f>K2451*'Assumptions'!$V$41</x:f>
        <x:v>0</x:v>
      </x:c>
      <x:c r="N2451" s="10" t="n">
        <x:f>K2451-L2451-M2451</x:f>
        <x:v>55727.127560094435</x:v>
      </x:c>
      <x:c r="O2451" s="10" t="n">
        <x:f>H2451*'Assumptions'!$P$41*'Assumptions'!$Q$41*'Assumptions'!$D$11*(1+'Assumptions'!$D$13)^(20-1)</x:f>
        <x:v>44773.35876161529</x:v>
      </x:c>
      <x:c r="P2451" s="10" t="n">
        <x:f>H2451*'Assumptions'!$R$41*'Assumptions'!$D$11*(1+'Assumptions'!$D$13)^(20-1)</x:f>
        <x:v>932.7783075336519</x:v>
      </x:c>
      <x:c r="Q2451" s="10" t="n">
        <x:f>J2451*'Assumptions'!$S$41</x:f>
        <x:v>0</x:v>
      </x:c>
      <x:c r="R2451" s="10" t="n">
        <x:f>H2451*'Assumptions'!$Y$41*'Assumptions'!$Z$41*'Assumptions'!$D$11*(1+'Assumptions'!$D$13)^(20-1)</x:f>
        <x:v>699.5837306502389</x:v>
      </x:c>
      <x:c r="S2451" s="10" t="n">
        <x:f>IF(I2451=0,0,J2451*'Assumptions'!$W$41+H2451*'Assumptions'!$X$41)</x:f>
        <x:v>1682.0272751529078</x:v>
      </x:c>
      <x:c r="T2451" s="10" t="n">
        <x:f>N2451*'Assumptions'!$AA$41</x:f>
        <x:v>2229.0851024037775</x:v>
      </x:c>
      <x:c r="U2451" s="10" t="n">
        <x:f>'Assumptions'!$AE$41*'Assumptions'!$D$11*(1+'Assumptions'!$D$13)^(20-1)</x:f>
        <x:v>0</x:v>
      </x:c>
      <x:c r="V2451" s="10" t="n">
        <x:f>0</x:f>
        <x:v>0</x:v>
      </x:c>
      <x:c r="W2451" s="10" t="n">
        <x:f>H2451*('Assumptions'!$P$41+'Assumptions'!$Y$41)</x:f>
        <x:v>438.8591087922672</x:v>
      </x:c>
      <x:c r="X2451" s="10" t="n">
        <x:f>N2451/12*'Assumptions'!$AF$41</x:f>
        <x:v>4643.927296674537</x:v>
      </x:c>
      <x:c r="Y2451" s="10" t="n">
        <x:f>P2451/12</x:f>
        <x:v>77.73152562780432</x:v>
      </x:c>
      <x:c r="Z2451" s="10" t="n">
        <x:f>0</x:f>
        <x:v>0</x:v>
      </x:c>
      <x:c r="AA2451" s="10" t="n">
        <x:f>Z2451*'Assumptions'!$AC$41*'Assumptions'!$D$11*(1+'Assumptions'!$D$13)^(20-1)</x:f>
        <x:v>0</x:v>
      </x:c>
      <x:c r="AB2451" s="10" t="n">
        <x:f>F2451/12</x:f>
        <x:v>2.2810200946451813</x:v>
      </x:c>
      <x:c r="AC2451" s="10" t="n">
        <x:f>AB2451/'Assumptions'!$AM$41</x:f>
        <x:v>11.405100473225906</x:v>
      </x:c>
      <x:c r="AD2451" s="10" t="n">
        <x:f>IF(AB2451=0,0,T2451/AB2451)</x:f>
        <x:v>977.2316814028408</x:v>
      </x:c>
      <x:c r="AE2451" s="10" t="n">
        <x:f>AA2451*'Assumptions'!$D$21</x:f>
        <x:v>0</x:v>
      </x:c>
    </x:row>
    <x:row r="2452" ht="16" customHeight="1">
      <x:c r="A2452" s="1"/>
      <x:c r="B2452" s="1"/>
      <x:c r="C2452" s="1" t="str">
        <x:v>DOT-013</x:v>
      </x:c>
      <x:c r="D2452" s="10" t="str">
        <x:v>BPA professional services</x:v>
      </x:c>
      <x:c r="E2452" s="10" t="n">
        <x:v>20</x:v>
      </x:c>
      <x:c r="F2452" s="21" t="n">
        <x:f>F2324*(1+'Assumptions'!$M$42)</x:f>
        <x:v>20.52918085180662</x:v>
      </x:c>
      <x:c r="G2452" s="21" t="n">
        <x:f>H2324*'Assumptions'!$K$42</x:f>
        <x:v>19.367101765672196</x:v>
      </x:c>
      <x:c r="H2452" s="21" t="n">
        <x:f>IF(AND(COUNT('Assumptions'!$H$42,'Assumptions'!$I$42,'Assumptions'!$J$42,'Assumptions'!$K$42,'Assumptions'!$L$42,'Assumptions'!$M$42,'Assumptions'!$P$42,'Assumptions'!$Q$42,'Assumptions'!$R$42,'Assumptions'!$S$42,'Assumptions'!$T$42,'Assumptions'!$U$42,'Assumptions'!$V$42,'Assumptions'!$W$42,'Assumptions'!$X$42,'Assumptions'!$Y$42,'Assumptions'!$Z$42,'Assumptions'!$AA$42,'Assumptions'!$AD$42,'Assumptions'!$AE$42,'Assumptions'!$AF$42)=21,COUNT('Assumptions'!$D$8:$D$21)=14,'Assumptions'!$J$42&gt;=1,'Assumptions'!$J$42&lt;=12,'Assumptions'!$D$8&gt;=0,'Assumptions'!$D$15&gt;0),F2452+G2452,NA())</x:f>
        <x:v>39.89628261747882</x:v>
      </x:c>
      <x:c r="I2452" s="22" t="n">
        <x:f>'Assumptions'!$H$42*IF('Assumptions'!$O$42=1,1,'Assumptions'!$D$10)*(1+'Assumptions'!$N$42)^(20-1)</x:f>
        <x:v>2160</x:v>
      </x:c>
      <x:c r="J2452" s="10" t="n">
        <x:f>H2452*I2452</x:f>
        <x:v>86175.97045375424</x:v>
      </x:c>
      <x:c r="K2452" s="10" t="n">
        <x:f>J2452*'Assumptions'!$T$42</x:f>
        <x:v>86175.97045375424</x:v>
      </x:c>
      <x:c r="L2452" s="10" t="n">
        <x:f>K2452*'Assumptions'!$U$42</x:f>
        <x:v>2585.279113612627</x:v>
      </x:c>
      <x:c r="M2452" s="10" t="n">
        <x:f>K2452*'Assumptions'!$V$42</x:f>
        <x:v>0</x:v>
      </x:c>
      <x:c r="N2452" s="10" t="n">
        <x:f>K2452-L2452-M2452</x:f>
        <x:v>83590.69134014161</x:v>
      </x:c>
      <x:c r="O2452" s="10" t="n">
        <x:f>H2452*'Assumptions'!$P$42*'Assumptions'!$Q$42*'Assumptions'!$D$11*(1+'Assumptions'!$D$13)^(20-1)</x:f>
        <x:v>67160.0381424229</x:v>
      </x:c>
      <x:c r="P2452" s="10" t="n">
        <x:f>H2452*'Assumptions'!$R$42*'Assumptions'!$D$11*(1+'Assumptions'!$D$13)^(20-1)</x:f>
        <x:v>699.5837306502386</x:v>
      </x:c>
      <x:c r="Q2452" s="10" t="n">
        <x:f>J2452*'Assumptions'!$S$42</x:f>
        <x:v>0</x:v>
      </x:c>
      <x:c r="R2452" s="10" t="n">
        <x:f>H2452*'Assumptions'!$Y$42*'Assumptions'!$Z$42*'Assumptions'!$D$11*(1+'Assumptions'!$D$13)^(20-1)</x:f>
        <x:v>524.6877979876789</x:v>
      </x:c>
      <x:c r="S2452" s="10" t="n">
        <x:f>IF(I2452=0,0,J2452*'Assumptions'!$W$42+H2452*'Assumptions'!$X$42)</x:f>
        <x:v>2511.0720279441166</x:v>
      </x:c>
      <x:c r="T2452" s="10" t="n">
        <x:f>N2452*'Assumptions'!$AA$42</x:f>
        <x:v>3343.6276536056644</x:v>
      </x:c>
      <x:c r="U2452" s="10" t="n">
        <x:f>'Assumptions'!$AE$42*'Assumptions'!$D$11*(1+'Assumptions'!$D$13)^(20-1)</x:f>
        <x:v>0</x:v>
      </x:c>
      <x:c r="V2452" s="10" t="n">
        <x:f>0</x:f>
        <x:v>0</x:v>
      </x:c>
      <x:c r="W2452" s="10" t="n">
        <x:f>H2452*('Assumptions'!$P$42+'Assumptions'!$Y$42)</x:f>
        <x:v>648.3145925340308</x:v>
      </x:c>
      <x:c r="X2452" s="10" t="n">
        <x:f>N2452/12*'Assumptions'!$AF$42</x:f>
        <x:v>6965.890945011801</x:v>
      </x:c>
      <x:c r="Y2452" s="10" t="n">
        <x:f>P2452/12</x:f>
        <x:v>58.29864422085322</x:v>
      </x:c>
      <x:c r="Z2452" s="10" t="n">
        <x:f>0</x:f>
        <x:v>0</x:v>
      </x:c>
      <x:c r="AA2452" s="10" t="n">
        <x:f>Z2452*'Assumptions'!$AC$42*'Assumptions'!$D$11*(1+'Assumptions'!$D$13)^(20-1)</x:f>
        <x:v>0</x:v>
      </x:c>
      <x:c r="AB2452" s="10" t="n">
        <x:f>F2452/12</x:f>
        <x:v>1.7107650709838849</x:v>
      </x:c>
      <x:c r="AC2452" s="10" t="n">
        <x:f>AB2452/'Assumptions'!$AM$42</x:f>
        <x:v>8.553825354919423</x:v>
      </x:c>
      <x:c r="AD2452" s="10" t="n">
        <x:f>IF(AB2452=0,0,T2452/AB2452)</x:f>
        <x:v>1954.4633628056818</x:v>
      </x:c>
      <x:c r="AE2452" s="10" t="n">
        <x:f>AA2452*'Assumptions'!$D$21</x:f>
        <x:v>0</x:v>
      </x:c>
    </x:row>
    <x:row r="2453" ht="16" customHeight="1">
      <x:c r="A2453" s="1"/>
      <x:c r="B2453" s="1"/>
      <x:c r="C2453" s="1" t="str">
        <x:v>DOT-014</x:v>
      </x:c>
      <x:c r="D2453" s="10" t="str">
        <x:v>BPA professional services</x:v>
      </x:c>
      <x:c r="E2453" s="10" t="n">
        <x:v>20</x:v>
      </x:c>
      <x:c r="F2453" s="21" t="n">
        <x:f>F2325*(1+'Assumptions'!$M$43)</x:f>
        <x:v>13.686120567871088</x:v>
      </x:c>
      <x:c r="G2453" s="21" t="n">
        <x:f>H2325*'Assumptions'!$K$43</x:f>
        <x:v>12.911401177114804</x:v>
      </x:c>
      <x:c r="H2453" s="21" t="n">
        <x:f>IF(AND(COUNT('Assumptions'!$H$43,'Assumptions'!$I$43,'Assumptions'!$J$43,'Assumptions'!$K$43,'Assumptions'!$L$43,'Assumptions'!$M$43,'Assumptions'!$P$43,'Assumptions'!$Q$43,'Assumptions'!$R$43,'Assumptions'!$S$43,'Assumptions'!$T$43,'Assumptions'!$U$43,'Assumptions'!$V$43,'Assumptions'!$W$43,'Assumptions'!$X$43,'Assumptions'!$Y$43,'Assumptions'!$Z$43,'Assumptions'!$AA$43,'Assumptions'!$AD$43,'Assumptions'!$AE$43,'Assumptions'!$AF$43)=21,COUNT('Assumptions'!$D$8:$D$21)=14,'Assumptions'!$J$43&gt;=1,'Assumptions'!$J$43&lt;=12,'Assumptions'!$D$8&gt;=0,'Assumptions'!$D$15&gt;0),F2453+G2453,NA())</x:f>
        <x:v>26.59752174498589</x:v>
      </x:c>
      <x:c r="I2453" s="22" t="n">
        <x:f>'Assumptions'!$H$43*IF('Assumptions'!$O$43=1,1,'Assumptions'!$D$10)*(1+'Assumptions'!$N$43)^(20-1)</x:f>
        <x:v>3000</x:v>
      </x:c>
      <x:c r="J2453" s="10" t="n">
        <x:f>H2453*I2453</x:f>
        <x:v>79792.56523495767</x:v>
      </x:c>
      <x:c r="K2453" s="10" t="n">
        <x:f>J2453*'Assumptions'!$T$43</x:f>
        <x:v>79792.56523495767</x:v>
      </x:c>
      <x:c r="L2453" s="10" t="n">
        <x:f>K2453*'Assumptions'!$U$43</x:f>
        <x:v>2393.77695704873</x:v>
      </x:c>
      <x:c r="M2453" s="10" t="n">
        <x:f>K2453*'Assumptions'!$V$43</x:f>
        <x:v>0</x:v>
      </x:c>
      <x:c r="N2453" s="10" t="n">
        <x:f>K2453-L2453-M2453</x:f>
        <x:v>77398.78827790894</x:v>
      </x:c>
      <x:c r="O2453" s="10" t="n">
        <x:f>H2453*'Assumptions'!$P$43*'Assumptions'!$Q$43*'Assumptions'!$D$11*(1+'Assumptions'!$D$13)^(20-1)</x:f>
        <x:v>55966.69845201911</x:v>
      </x:c>
      <x:c r="P2453" s="10" t="n">
        <x:f>H2453*'Assumptions'!$R$43*'Assumptions'!$D$11*(1+'Assumptions'!$D$13)^(20-1)</x:f>
        <x:v>466.3891537668259</x:v>
      </x:c>
      <x:c r="Q2453" s="10" t="n">
        <x:f>J2453*'Assumptions'!$S$43</x:f>
        <x:v>0</x:v>
      </x:c>
      <x:c r="R2453" s="10" t="n">
        <x:f>H2453*'Assumptions'!$Y$43*'Assumptions'!$Z$43*'Assumptions'!$D$11*(1+'Assumptions'!$D$13)^(20-1)</x:f>
        <x:v>349.79186532511943</x:v>
      </x:c>
      <x:c r="S2453" s="10" t="n">
        <x:f>IF(I2453=0,0,J2453*'Assumptions'!$W$43+H2453*'Assumptions'!$X$43)</x:f>
        <x:v>2321.9636483372683</x:v>
      </x:c>
      <x:c r="T2453" s="10" t="n">
        <x:f>N2453*'Assumptions'!$AA$43</x:f>
        <x:v>3095.9515311163577</x:v>
      </x:c>
      <x:c r="U2453" s="10" t="n">
        <x:f>'Assumptions'!$AE$43*'Assumptions'!$D$11*(1+'Assumptions'!$D$13)^(20-1)</x:f>
        <x:v>0</x:v>
      </x:c>
      <x:c r="V2453" s="10" t="n">
        <x:f>0</x:f>
        <x:v>0</x:v>
      </x:c>
      <x:c r="W2453" s="10" t="n">
        <x:f>H2453*('Assumptions'!$P$43+'Assumptions'!$Y$43)</x:f>
        <x:v>538.5998153359643</x:v>
      </x:c>
      <x:c r="X2453" s="10" t="n">
        <x:f>N2453/12*'Assumptions'!$AF$43</x:f>
        <x:v>6449.899023159079</x:v>
      </x:c>
      <x:c r="Y2453" s="10" t="n">
        <x:f>P2453/12</x:f>
        <x:v>38.86576281390216</x:v>
      </x:c>
      <x:c r="Z2453" s="10" t="n">
        <x:f>0</x:f>
        <x:v>0</x:v>
      </x:c>
      <x:c r="AA2453" s="10" t="n">
        <x:f>Z2453*'Assumptions'!$AC$43*'Assumptions'!$D$11*(1+'Assumptions'!$D$13)^(20-1)</x:f>
        <x:v>0</x:v>
      </x:c>
      <x:c r="AB2453" s="10" t="n">
        <x:f>F2453/12</x:f>
        <x:v>1.1405100473225906</x:v>
      </x:c>
      <x:c r="AC2453" s="10" t="n">
        <x:f>AB2453/'Assumptions'!$AM$43</x:f>
        <x:v>5.702550236612953</x:v>
      </x:c>
      <x:c r="AD2453" s="10" t="n">
        <x:f>IF(AB2453=0,0,T2453/AB2453)</x:f>
        <x:v>2714.5324483412246</x:v>
      </x:c>
      <x:c r="AE2453" s="10" t="n">
        <x:f>AA2453*'Assumptions'!$D$21</x:f>
        <x:v>0</x:v>
      </x:c>
    </x:row>
    <x:row r="2454" ht="16" customHeight="1">
      <x:c r="A2454" s="1"/>
      <x:c r="B2454" s="1"/>
      <x:c r="C2454" s="1" t="str">
        <x:v>DOT-015</x:v>
      </x:c>
      <x:c r="D2454" s="10" t="str">
        <x:v>BPA professional services</x:v>
      </x:c>
      <x:c r="E2454" s="10" t="n">
        <x:v>20</x:v>
      </x:c>
      <x:c r="F2454" s="21" t="n">
        <x:f>F2326*(1+'Assumptions'!$M$44)</x:f>
        <x:v>11.405100473225906</x:v>
      </x:c>
      <x:c r="G2454" s="21" t="n">
        <x:f>H2326*'Assumptions'!$K$44</x:f>
        <x:v>10.759500980929003</x:v>
      </x:c>
      <x:c r="H2454" s="21" t="n">
        <x:f>IF(AND(COUNT('Assumptions'!$H$44,'Assumptions'!$I$44,'Assumptions'!$J$44,'Assumptions'!$K$44,'Assumptions'!$L$44,'Assumptions'!$M$44,'Assumptions'!$P$44,'Assumptions'!$Q$44,'Assumptions'!$R$44,'Assumptions'!$S$44,'Assumptions'!$T$44,'Assumptions'!$U$44,'Assumptions'!$V$44,'Assumptions'!$W$44,'Assumptions'!$X$44,'Assumptions'!$Y$44,'Assumptions'!$Z$44,'Assumptions'!$AA$44,'Assumptions'!$AD$44,'Assumptions'!$AE$44,'Assumptions'!$AF$44)=21,COUNT('Assumptions'!$D$8:$D$21)=14,'Assumptions'!$J$44&gt;=1,'Assumptions'!$J$44&lt;=12,'Assumptions'!$D$8&gt;=0,'Assumptions'!$D$15&gt;0),F2454+G2454,NA())</x:f>
        <x:v>22.16460145415491</x:v>
      </x:c>
      <x:c r="I2454" s="22" t="n">
        <x:f>'Assumptions'!$H$44*IF('Assumptions'!$O$44=1,1,'Assumptions'!$D$10)*(1+'Assumptions'!$N$44)^(20-1)</x:f>
        <x:v>1200</x:v>
      </x:c>
      <x:c r="J2454" s="10" t="n">
        <x:f>H2454*I2454</x:f>
        <x:v>26597.52174498589</x:v>
      </x:c>
      <x:c r="K2454" s="10" t="n">
        <x:f>J2454*'Assumptions'!$T$44</x:f>
        <x:v>26597.52174498589</x:v>
      </x:c>
      <x:c r="L2454" s="10" t="n">
        <x:f>K2454*'Assumptions'!$U$44</x:f>
        <x:v>797.9256523495767</x:v>
      </x:c>
      <x:c r="M2454" s="10" t="n">
        <x:f>K2454*'Assumptions'!$V$44</x:f>
        <x:v>0</x:v>
      </x:c>
      <x:c r="N2454" s="10" t="n">
        <x:f>K2454-L2454-M2454</x:f>
        <x:v>25799.596092636315</x:v>
      </x:c>
      <x:c r="O2454" s="10" t="n">
        <x:f>H2454*'Assumptions'!$P$44*'Assumptions'!$Q$44*'Assumptions'!$D$11*(1+'Assumptions'!$D$13)^(20-1)</x:f>
        <x:v>23319.457688341296</x:v>
      </x:c>
      <x:c r="P2454" s="10" t="n">
        <x:f>H2454*'Assumptions'!$R$44*'Assumptions'!$D$11*(1+'Assumptions'!$D$13)^(20-1)</x:f>
        <x:v>388.6576281390216</x:v>
      </x:c>
      <x:c r="Q2454" s="10" t="n">
        <x:f>J2454*'Assumptions'!$S$44</x:f>
        <x:v>0</x:v>
      </x:c>
      <x:c r="R2454" s="10" t="n">
        <x:f>H2454*'Assumptions'!$Y$44*'Assumptions'!$Z$44*'Assumptions'!$D$11*(1+'Assumptions'!$D$13)^(20-1)</x:f>
        <x:v>291.4932211042662</x:v>
      </x:c>
      <x:c r="S2454" s="10" t="n">
        <x:f>IF(I2454=0,0,J2454*'Assumptions'!$W$44+H2454*'Assumptions'!$X$44)</x:f>
        <x:v>777.9775110408373</x:v>
      </x:c>
      <x:c r="T2454" s="10" t="n">
        <x:f>N2454*'Assumptions'!$AA$44</x:f>
        <x:v>1031.9838437054527</x:v>
      </x:c>
      <x:c r="U2454" s="10" t="n">
        <x:f>'Assumptions'!$AE$44*'Assumptions'!$D$11*(1+'Assumptions'!$D$13)^(20-1)</x:f>
        <x:v>0</x:v>
      </x:c>
      <x:c r="V2454" s="10" t="n">
        <x:f>0</x:f>
        <x:v>0</x:v>
      </x:c>
      <x:c r="W2454" s="10" t="n">
        <x:f>H2454*('Assumptions'!$P$44+'Assumptions'!$Y$44)</x:f>
        <x:v>227.18716490508783</x:v>
      </x:c>
      <x:c r="X2454" s="10" t="n">
        <x:f>N2454/12*'Assumptions'!$AF$44</x:f>
        <x:v>2149.966341053026</x:v>
      </x:c>
      <x:c r="Y2454" s="10" t="n">
        <x:f>P2454/12</x:f>
        <x:v>32.3881356782518</x:v>
      </x:c>
      <x:c r="Z2454" s="10" t="n">
        <x:f>0</x:f>
        <x:v>0</x:v>
      </x:c>
      <x:c r="AA2454" s="10" t="n">
        <x:f>Z2454*'Assumptions'!$AC$44*'Assumptions'!$D$11*(1+'Assumptions'!$D$13)^(20-1)</x:f>
        <x:v>0</x:v>
      </x:c>
      <x:c r="AB2454" s="10" t="n">
        <x:f>F2454/1</x:f>
        <x:v>11.405100473225906</x:v>
      </x:c>
      <x:c r="AC2454" s="10" t="n">
        <x:f>AB2454/'Assumptions'!$AM$44</x:f>
        <x:v>57.02550236612952</x:v>
      </x:c>
      <x:c r="AD2454" s="10" t="n">
        <x:f>IF(AB2454=0,0,T2454/AB2454)</x:f>
        <x:v>90.4844149447075</x:v>
      </x:c>
      <x:c r="AE2454" s="10" t="n">
        <x:f>AA2454*'Assumptions'!$D$21</x:f>
        <x:v>0</x:v>
      </x:c>
    </x:row>
    <x:row r="2455" ht="16" customHeight="1">
      <x:c r="A2455" s="1"/>
      <x:c r="B2455" s="1"/>
      <x:c r="C2455" s="1" t="str">
        <x:v>DOT-016</x:v>
      </x:c>
      <x:c r="D2455" s="10" t="str">
        <x:v>BPA professional services</x:v>
      </x:c>
      <x:c r="E2455" s="10" t="n">
        <x:v>20</x:v>
      </x:c>
      <x:c r="F2455" s="21" t="n">
        <x:f>F2327*(1+'Assumptions'!$M$45)</x:f>
        <x:v>6.843060283935544</x:v>
      </x:c>
      <x:c r="G2455" s="21" t="n">
        <x:f>H2327*'Assumptions'!$K$45</x:f>
        <x:v>6.455700588557402</x:v>
      </x:c>
      <x:c r="H2455" s="21" t="n">
        <x:f>IF(AND(COUNT('Assumptions'!$H$45,'Assumptions'!$I$45,'Assumptions'!$J$45,'Assumptions'!$K$45,'Assumptions'!$L$45,'Assumptions'!$M$45,'Assumptions'!$P$45,'Assumptions'!$Q$45,'Assumptions'!$R$45,'Assumptions'!$S$45,'Assumptions'!$T$45,'Assumptions'!$U$45,'Assumptions'!$V$45,'Assumptions'!$W$45,'Assumptions'!$X$45,'Assumptions'!$Y$45,'Assumptions'!$Z$45,'Assumptions'!$AA$45,'Assumptions'!$AD$45,'Assumptions'!$AE$45,'Assumptions'!$AF$45)=21,COUNT('Assumptions'!$D$8:$D$21)=14,'Assumptions'!$J$45&gt;=1,'Assumptions'!$J$45&lt;=12,'Assumptions'!$D$8&gt;=0,'Assumptions'!$D$15&gt;0),F2455+G2455,NA())</x:f>
        <x:v>13.298760872492945</x:v>
      </x:c>
      <x:c r="I2455" s="22" t="n">
        <x:f>'Assumptions'!$H$45*IF('Assumptions'!$O$45=1,1,'Assumptions'!$D$10)*(1+'Assumptions'!$N$45)^(20-1)</x:f>
        <x:v>1800</x:v>
      </x:c>
      <x:c r="J2455" s="10" t="n">
        <x:f>H2455*I2455</x:f>
        <x:v>23937.7695704873</x:v>
      </x:c>
      <x:c r="K2455" s="10" t="n">
        <x:f>J2455*'Assumptions'!$T$45</x:f>
        <x:v>23937.7695704873</x:v>
      </x:c>
      <x:c r="L2455" s="10" t="n">
        <x:f>K2455*'Assumptions'!$U$45</x:f>
        <x:v>718.133087114619</x:v>
      </x:c>
      <x:c r="M2455" s="10" t="n">
        <x:f>K2455*'Assumptions'!$V$45</x:f>
        <x:v>0</x:v>
      </x:c>
      <x:c r="N2455" s="10" t="n">
        <x:f>K2455-L2455-M2455</x:f>
        <x:v>23219.63648337268</x:v>
      </x:c>
      <x:c r="O2455" s="10" t="n">
        <x:f>H2455*'Assumptions'!$P$45*'Assumptions'!$Q$45*'Assumptions'!$D$11*(1+'Assumptions'!$D$13)^(20-1)</x:f>
        <x:v>6995.837306502389</x:v>
      </x:c>
      <x:c r="P2455" s="10" t="n">
        <x:f>H2455*'Assumptions'!$R$45*'Assumptions'!$D$11*(1+'Assumptions'!$D$13)^(20-1)</x:f>
        <x:v>233.19457688341296</x:v>
      </x:c>
      <x:c r="Q2455" s="10" t="n">
        <x:f>J2455*'Assumptions'!$S$45</x:f>
        <x:v>0</x:v>
      </x:c>
      <x:c r="R2455" s="10" t="n">
        <x:f>H2455*'Assumptions'!$Y$45*'Assumptions'!$Z$45*'Assumptions'!$D$11*(1+'Assumptions'!$D$13)^(20-1)</x:f>
        <x:v>174.89593266255972</x:v>
      </x:c>
      <x:c r="S2455" s="10" t="n">
        <x:f>IF(I2455=0,0,J2455*'Assumptions'!$W$45+H2455*'Assumptions'!$X$45)</x:f>
        <x:v>698.1849458058796</x:v>
      </x:c>
      <x:c r="T2455" s="10" t="n">
        <x:f>N2455*'Assumptions'!$AA$45</x:f>
        <x:v>928.7854593349073</x:v>
      </x:c>
      <x:c r="U2455" s="10" t="n">
        <x:f>'Assumptions'!$AE$45*'Assumptions'!$D$11*(1+'Assumptions'!$D$13)^(20-1)</x:f>
        <x:v>0</x:v>
      </x:c>
      <x:c r="V2455" s="10" t="n">
        <x:f>0</x:f>
        <x:v>0</x:v>
      </x:c>
      <x:c r="W2455" s="10" t="n">
        <x:f>H2455*('Assumptions'!$P$45+'Assumptions'!$Y$45)</x:f>
        <x:v>69.81849458058797</x:v>
      </x:c>
      <x:c r="X2455" s="10" t="n">
        <x:f>N2455/12*'Assumptions'!$AF$45</x:f>
        <x:v>1934.9697069477234</x:v>
      </x:c>
      <x:c r="Y2455" s="10" t="n">
        <x:f>P2455/12</x:f>
        <x:v>19.43288140695108</x:v>
      </x:c>
      <x:c r="Z2455" s="10" t="n">
        <x:f>0</x:f>
        <x:v>0</x:v>
      </x:c>
      <x:c r="AA2455" s="10" t="n">
        <x:f>Z2455*'Assumptions'!$AC$45*'Assumptions'!$D$11*(1+'Assumptions'!$D$13)^(20-1)</x:f>
        <x:v>0</x:v>
      </x:c>
      <x:c r="AB2455" s="10" t="n">
        <x:f>F2455/1</x:f>
        <x:v>6.843060283935544</x:v>
      </x:c>
      <x:c r="AC2455" s="10" t="n">
        <x:f>AB2455/'Assumptions'!$AM$45</x:f>
        <x:v>34.215301419677715</x:v>
      </x:c>
      <x:c r="AD2455" s="10" t="n">
        <x:f>IF(AB2455=0,0,T2455/AB2455)</x:f>
        <x:v>135.7266224170612</x:v>
      </x:c>
      <x:c r="AE2455" s="10" t="n">
        <x:f>AA2455*'Assumptions'!$D$21</x:f>
        <x:v>0</x:v>
      </x:c>
    </x:row>
    <x:row r="2456" ht="16" customHeight="1">
      <x:c r="A2456" s="1"/>
      <x:c r="B2456" s="1"/>
      <x:c r="C2456" s="1" t="str">
        <x:v>DOT-017</x:v>
      </x:c>
      <x:c r="D2456" s="10" t="str">
        <x:v>BPA professional services</x:v>
      </x:c>
      <x:c r="E2456" s="10" t="n">
        <x:v>20</x:v>
      </x:c>
      <x:c r="F2456" s="21" t="n">
        <x:f>F2328*(1+'Assumptions'!$M$46)</x:f>
        <x:v>6.843060283935544</x:v>
      </x:c>
      <x:c r="G2456" s="21" t="n">
        <x:f>H2328*'Assumptions'!$K$46</x:f>
        <x:v>6.455700588557402</x:v>
      </x:c>
      <x:c r="H2456" s="21" t="n">
        <x:f>IF(AND(COUNT('Assumptions'!$H$46,'Assumptions'!$I$46,'Assumptions'!$J$46,'Assumptions'!$K$46,'Assumptions'!$L$46,'Assumptions'!$M$46,'Assumptions'!$P$46,'Assumptions'!$Q$46,'Assumptions'!$R$46,'Assumptions'!$S$46,'Assumptions'!$T$46,'Assumptions'!$U$46,'Assumptions'!$V$46,'Assumptions'!$W$46,'Assumptions'!$X$46,'Assumptions'!$Y$46,'Assumptions'!$Z$46,'Assumptions'!$AA$46,'Assumptions'!$AD$46,'Assumptions'!$AE$46,'Assumptions'!$AF$46)=21,COUNT('Assumptions'!$D$8:$D$21)=14,'Assumptions'!$J$46&gt;=1,'Assumptions'!$J$46&lt;=12,'Assumptions'!$D$8&gt;=0,'Assumptions'!$D$15&gt;0),F2456+G2456,NA())</x:f>
        <x:v>13.298760872492945</x:v>
      </x:c>
      <x:c r="I2456" s="22" t="n">
        <x:f>'Assumptions'!$H$46*IF('Assumptions'!$O$46=1,1,'Assumptions'!$D$10)*(1+'Assumptions'!$N$46)^(20-1)</x:f>
        <x:v>1500</x:v>
      </x:c>
      <x:c r="J2456" s="10" t="n">
        <x:f>H2456*I2456</x:f>
        <x:v>19948.141308739418</x:v>
      </x:c>
      <x:c r="K2456" s="10" t="n">
        <x:f>J2456*'Assumptions'!$T$46</x:f>
        <x:v>19948.141308739418</x:v>
      </x:c>
      <x:c r="L2456" s="10" t="n">
        <x:f>K2456*'Assumptions'!$U$46</x:f>
        <x:v>598.4442392621825</x:v>
      </x:c>
      <x:c r="M2456" s="10" t="n">
        <x:f>K2456*'Assumptions'!$V$46</x:f>
        <x:v>0</x:v>
      </x:c>
      <x:c r="N2456" s="10" t="n">
        <x:f>K2456-L2456-M2456</x:f>
        <x:v>19349.697069477235</x:v>
      </x:c>
      <x:c r="O2456" s="10" t="n">
        <x:f>H2456*'Assumptions'!$P$46*'Assumptions'!$Q$46*'Assumptions'!$D$11*(1+'Assumptions'!$D$13)^(20-1)</x:f>
        <x:v>8395.004767802866</x:v>
      </x:c>
      <x:c r="P2456" s="10" t="n">
        <x:f>H2456*'Assumptions'!$R$46*'Assumptions'!$D$11*(1+'Assumptions'!$D$13)^(20-1)</x:f>
        <x:v>233.19457688341296</x:v>
      </x:c>
      <x:c r="Q2456" s="10" t="n">
        <x:f>J2456*'Assumptions'!$S$46</x:f>
        <x:v>0</x:v>
      </x:c>
      <x:c r="R2456" s="10" t="n">
        <x:f>H2456*'Assumptions'!$Y$46*'Assumptions'!$Z$46*'Assumptions'!$D$11*(1+'Assumptions'!$D$13)^(20-1)</x:f>
        <x:v>174.89593266255972</x:v>
      </x:c>
      <x:c r="S2456" s="10" t="n">
        <x:f>IF(I2456=0,0,J2456*'Assumptions'!$W$46+H2456*'Assumptions'!$X$46)</x:f>
        <x:v>582.485726215191</x:v>
      </x:c>
      <x:c r="T2456" s="10" t="n">
        <x:f>N2456*'Assumptions'!$AA$46</x:f>
        <x:v>773.9878827790894</x:v>
      </x:c>
      <x:c r="U2456" s="10" t="n">
        <x:f>'Assumptions'!$AE$46*'Assumptions'!$D$11*(1+'Assumptions'!$D$13)^(20-1)</x:f>
        <x:v>0</x:v>
      </x:c>
      <x:c r="V2456" s="10" t="n">
        <x:f>0</x:f>
        <x:v>0</x:v>
      </x:c>
      <x:c r="W2456" s="10" t="n">
        <x:f>H2456*('Assumptions'!$P$46+'Assumptions'!$Y$46)</x:f>
        <x:v>83.1172554530809</x:v>
      </x:c>
      <x:c r="X2456" s="10" t="n">
        <x:f>N2456/12*'Assumptions'!$AF$46</x:f>
        <x:v>1612.4747557897697</x:v>
      </x:c>
      <x:c r="Y2456" s="10" t="n">
        <x:f>P2456/12</x:f>
        <x:v>19.43288140695108</x:v>
      </x:c>
      <x:c r="Z2456" s="10" t="n">
        <x:f>0</x:f>
        <x:v>0</x:v>
      </x:c>
      <x:c r="AA2456" s="10" t="n">
        <x:f>Z2456*'Assumptions'!$AC$46*'Assumptions'!$D$11*(1+'Assumptions'!$D$13)^(20-1)</x:f>
        <x:v>0</x:v>
      </x:c>
      <x:c r="AB2456" s="10" t="n">
        <x:f>F2456/1</x:f>
        <x:v>6.843060283935544</x:v>
      </x:c>
      <x:c r="AC2456" s="10" t="n">
        <x:f>AB2456/'Assumptions'!$AM$46</x:f>
        <x:v>34.215301419677715</x:v>
      </x:c>
      <x:c r="AD2456" s="10" t="n">
        <x:f>IF(AB2456=0,0,T2456/AB2456)</x:f>
        <x:v>113.10551868088434</x:v>
      </x:c>
      <x:c r="AE2456" s="10" t="n">
        <x:f>AA2456*'Assumptions'!$D$21</x:f>
        <x:v>0</x:v>
      </x:c>
    </x:row>
    <x:row r="2457" ht="16" customHeight="1">
      <x:c r="A2457" s="1"/>
      <x:c r="B2457" s="1"/>
      <x:c r="C2457" s="1" t="str">
        <x:v>DOT-018</x:v>
      </x:c>
      <x:c r="D2457" s="10" t="str">
        <x:v>BPA professional services</x:v>
      </x:c>
      <x:c r="E2457" s="10" t="n">
        <x:v>20</x:v>
      </x:c>
      <x:c r="F2457" s="21" t="n">
        <x:f>F2329*(1+'Assumptions'!$M$47)</x:f>
        <x:v>9.124080378580723</x:v>
      </x:c>
      <x:c r="G2457" s="21" t="n">
        <x:f>H2329*'Assumptions'!$K$47</x:f>
        <x:v>8.607600784743202</x:v>
      </x:c>
      <x:c r="H2457" s="21" t="n">
        <x:f>IF(AND(COUNT('Assumptions'!$H$47,'Assumptions'!$I$47,'Assumptions'!$J$47,'Assumptions'!$K$47,'Assumptions'!$L$47,'Assumptions'!$M$47,'Assumptions'!$P$47,'Assumptions'!$Q$47,'Assumptions'!$R$47,'Assumptions'!$S$47,'Assumptions'!$T$47,'Assumptions'!$U$47,'Assumptions'!$V$47,'Assumptions'!$W$47,'Assumptions'!$X$47,'Assumptions'!$Y$47,'Assumptions'!$Z$47,'Assumptions'!$AA$47,'Assumptions'!$AD$47,'Assumptions'!$AE$47,'Assumptions'!$AF$47)=21,COUNT('Assumptions'!$D$8:$D$21)=14,'Assumptions'!$J$47&gt;=1,'Assumptions'!$J$47&lt;=12,'Assumptions'!$D$8&gt;=0,'Assumptions'!$D$15&gt;0),F2457+G2457,NA())</x:f>
        <x:v>17.731681163323927</x:v>
      </x:c>
      <x:c r="I2457" s="22" t="n">
        <x:f>'Assumptions'!$H$47*IF('Assumptions'!$O$47=1,1,'Assumptions'!$D$10)*(1+'Assumptions'!$N$47)^(20-1)</x:f>
        <x:v>1200</x:v>
      </x:c>
      <x:c r="J2457" s="10" t="n">
        <x:f>H2457*I2457</x:f>
        <x:v>21278.01739598871</x:v>
      </x:c>
      <x:c r="K2457" s="10" t="n">
        <x:f>J2457*'Assumptions'!$T$47</x:f>
        <x:v>21278.01739598871</x:v>
      </x:c>
      <x:c r="L2457" s="10" t="n">
        <x:f>K2457*'Assumptions'!$U$47</x:f>
        <x:v>638.3405218796613</x:v>
      </x:c>
      <x:c r="M2457" s="10" t="n">
        <x:f>K2457*'Assumptions'!$V$47</x:f>
        <x:v>0</x:v>
      </x:c>
      <x:c r="N2457" s="10" t="n">
        <x:f>K2457-L2457-M2457</x:f>
        <x:v>20639.67687410905</x:v>
      </x:c>
      <x:c r="O2457" s="10" t="n">
        <x:f>H2457*'Assumptions'!$P$47*'Assumptions'!$Q$47*'Assumptions'!$D$11*(1+'Assumptions'!$D$13)^(20-1)</x:f>
        <x:v>7462.226460269215</x:v>
      </x:c>
      <x:c r="P2457" s="10" t="n">
        <x:f>H2457*'Assumptions'!$R$47*'Assumptions'!$D$11*(1+'Assumptions'!$D$13)^(20-1)</x:f>
        <x:v>310.92610251121727</x:v>
      </x:c>
      <x:c r="Q2457" s="10" t="n">
        <x:f>J2457*'Assumptions'!$S$47</x:f>
        <x:v>0</x:v>
      </x:c>
      <x:c r="R2457" s="10" t="n">
        <x:f>H2457*'Assumptions'!$Y$47*'Assumptions'!$Z$47*'Assumptions'!$D$11*(1+'Assumptions'!$D$13)^(20-1)</x:f>
        <x:v>233.19457688341296</x:v>
      </x:c>
      <x:c r="S2457" s="10" t="n">
        <x:f>IF(I2457=0,0,J2457*'Assumptions'!$W$47+H2457*'Assumptions'!$X$47)</x:f>
        <x:v>622.3820088326698</x:v>
      </x:c>
      <x:c r="T2457" s="10" t="n">
        <x:f>N2457*'Assumptions'!$AA$47</x:f>
        <x:v>825.5870749643619</x:v>
      </x:c>
      <x:c r="U2457" s="10" t="n">
        <x:f>'Assumptions'!$AE$47*'Assumptions'!$D$11*(1+'Assumptions'!$D$13)^(20-1)</x:f>
        <x:v>0</x:v>
      </x:c>
      <x:c r="V2457" s="10" t="n">
        <x:f>0</x:f>
        <x:v>0</x:v>
      </x:c>
      <x:c r="W2457" s="10" t="n">
        <x:f>H2457*('Assumptions'!$P$47+'Assumptions'!$Y$47)</x:f>
        <x:v>75.35964494412669</x:v>
      </x:c>
      <x:c r="X2457" s="10" t="n">
        <x:f>N2457/12*'Assumptions'!$AF$47</x:f>
        <x:v>1719.9730728424208</x:v>
      </x:c>
      <x:c r="Y2457" s="10" t="n">
        <x:f>P2457/12</x:f>
        <x:v>25.910508542601438</x:v>
      </x:c>
      <x:c r="Z2457" s="10" t="n">
        <x:f>0</x:f>
        <x:v>0</x:v>
      </x:c>
      <x:c r="AA2457" s="10" t="n">
        <x:f>Z2457*'Assumptions'!$AC$47*'Assumptions'!$D$11*(1+'Assumptions'!$D$13)^(20-1)</x:f>
        <x:v>0</x:v>
      </x:c>
      <x:c r="AB2457" s="10" t="n">
        <x:f>F2457/1</x:f>
        <x:v>9.124080378580723</x:v>
      </x:c>
      <x:c r="AC2457" s="10" t="n">
        <x:f>AB2457/'Assumptions'!$AM$47</x:f>
        <x:v>45.620401892903615</x:v>
      </x:c>
      <x:c r="AD2457" s="10" t="n">
        <x:f>IF(AB2457=0,0,T2457/AB2457)</x:f>
        <x:v>90.48441494470748</x:v>
      </x:c>
      <x:c r="AE2457" s="10" t="n">
        <x:f>AA2457*'Assumptions'!$D$21</x:f>
        <x:v>0</x:v>
      </x:c>
    </x:row>
    <x:row r="2458" ht="16" customHeight="1">
      <x:c r="A2458" s="1"/>
      <x:c r="B2458" s="1"/>
      <x:c r="C2458" s="1" t="str">
        <x:v>DOT-019</x:v>
      </x:c>
      <x:c r="D2458" s="10" t="str">
        <x:v>BPA professional services</x:v>
      </x:c>
      <x:c r="E2458" s="10" t="n">
        <x:v>20</x:v>
      </x:c>
      <x:c r="F2458" s="21" t="n">
        <x:f>F2330*(1+'Assumptions'!$M$48)</x:f>
        <x:v>4.562040189290362</x:v>
      </x:c>
      <x:c r="G2458" s="21" t="n">
        <x:f>H2330*'Assumptions'!$K$48</x:f>
        <x:v>4.303800392371601</x:v>
      </x:c>
      <x:c r="H2458" s="21" t="n">
        <x:f>IF(AND(COUNT('Assumptions'!$H$48,'Assumptions'!$I$48,'Assumptions'!$J$48,'Assumptions'!$K$48,'Assumptions'!$L$48,'Assumptions'!$M$48,'Assumptions'!$P$48,'Assumptions'!$Q$48,'Assumptions'!$R$48,'Assumptions'!$S$48,'Assumptions'!$T$48,'Assumptions'!$U$48,'Assumptions'!$V$48,'Assumptions'!$W$48,'Assumptions'!$X$48,'Assumptions'!$Y$48,'Assumptions'!$Z$48,'Assumptions'!$AA$48,'Assumptions'!$AD$48,'Assumptions'!$AE$48,'Assumptions'!$AF$48)=21,COUNT('Assumptions'!$D$8:$D$21)=14,'Assumptions'!$J$48&gt;=1,'Assumptions'!$J$48&lt;=12,'Assumptions'!$D$8&gt;=0,'Assumptions'!$D$15&gt;0),F2458+G2458,NA())</x:f>
        <x:v>8.865840581661963</x:v>
      </x:c>
      <x:c r="I2458" s="22" t="n">
        <x:f>'Assumptions'!$H$48*IF('Assumptions'!$O$48=1,1,'Assumptions'!$D$10)*(1+'Assumptions'!$N$48)^(20-1)</x:f>
        <x:v>3000</x:v>
      </x:c>
      <x:c r="J2458" s="10" t="n">
        <x:f>H2458*I2458</x:f>
        <x:v>26597.52174498589</x:v>
      </x:c>
      <x:c r="K2458" s="10" t="n">
        <x:f>J2458*'Assumptions'!$T$48</x:f>
        <x:v>26597.52174498589</x:v>
      </x:c>
      <x:c r="L2458" s="10" t="n">
        <x:f>K2458*'Assumptions'!$U$48</x:f>
        <x:v>797.9256523495767</x:v>
      </x:c>
      <x:c r="M2458" s="10" t="n">
        <x:f>K2458*'Assumptions'!$V$48</x:f>
        <x:v>0</x:v>
      </x:c>
      <x:c r="N2458" s="10" t="n">
        <x:f>K2458-L2458-M2458</x:f>
        <x:v>25799.596092636315</x:v>
      </x:c>
      <x:c r="O2458" s="10" t="n">
        <x:f>H2458*'Assumptions'!$P$48*'Assumptions'!$Q$48*'Assumptions'!$D$11*(1+'Assumptions'!$D$13)^(20-1)</x:f>
        <x:v>11193.339690403822</x:v>
      </x:c>
      <x:c r="P2458" s="10" t="n">
        <x:f>H2458*'Assumptions'!$R$48*'Assumptions'!$D$11*(1+'Assumptions'!$D$13)^(20-1)</x:f>
        <x:v>155.46305125560863</x:v>
      </x:c>
      <x:c r="Q2458" s="10" t="n">
        <x:f>J2458*'Assumptions'!$S$48</x:f>
        <x:v>0</x:v>
      </x:c>
      <x:c r="R2458" s="10" t="n">
        <x:f>H2458*'Assumptions'!$Y$48*'Assumptions'!$Z$48*'Assumptions'!$D$11*(1+'Assumptions'!$D$13)^(20-1)</x:f>
        <x:v>116.59728844170648</x:v>
      </x:c>
      <x:c r="S2458" s="10" t="n">
        <x:f>IF(I2458=0,0,J2458*'Assumptions'!$W$48+H2458*'Assumptions'!$X$48)</x:f>
        <x:v>773.9878827790894</x:v>
      </x:c>
      <x:c r="T2458" s="10" t="n">
        <x:f>N2458*'Assumptions'!$AA$48</x:f>
        <x:v>1031.9838437054527</x:v>
      </x:c>
      <x:c r="U2458" s="10" t="n">
        <x:f>'Assumptions'!$AE$48*'Assumptions'!$D$11*(1+'Assumptions'!$D$13)^(20-1)</x:f>
        <x:v>0</x:v>
      </x:c>
      <x:c r="V2458" s="10" t="n">
        <x:f>0</x:f>
        <x:v>0</x:v>
      </x:c>
      <x:c r="W2458" s="10" t="n">
        <x:f>H2458*('Assumptions'!$P$48+'Assumptions'!$Y$48)</x:f>
        <x:v>108.60654712535906</x:v>
      </x:c>
      <x:c r="X2458" s="10" t="n">
        <x:f>N2458/12*'Assumptions'!$AF$48</x:f>
        <x:v>2149.966341053026</x:v>
      </x:c>
      <x:c r="Y2458" s="10" t="n">
        <x:f>P2458/12</x:f>
        <x:v>12.955254271300719</x:v>
      </x:c>
      <x:c r="Z2458" s="10" t="n">
        <x:f>0</x:f>
        <x:v>0</x:v>
      </x:c>
      <x:c r="AA2458" s="10" t="n">
        <x:f>Z2458*'Assumptions'!$AC$48*'Assumptions'!$D$11*(1+'Assumptions'!$D$13)^(20-1)</x:f>
        <x:v>0</x:v>
      </x:c>
      <x:c r="AB2458" s="10" t="n">
        <x:f>F2458/1</x:f>
        <x:v>4.562040189290362</x:v>
      </x:c>
      <x:c r="AC2458" s="10" t="n">
        <x:f>AB2458/'Assumptions'!$AM$48</x:f>
        <x:v>22.810200946451808</x:v>
      </x:c>
      <x:c r="AD2458" s="10" t="n">
        <x:f>IF(AB2458=0,0,T2458/AB2458)</x:f>
        <x:v>226.21103736176877</x:v>
      </x:c>
      <x:c r="AE2458" s="10" t="n">
        <x:f>AA2458*'Assumptions'!$D$21</x:f>
        <x:v>0</x:v>
      </x:c>
    </x:row>
    <x:row r="2459" ht="16" customHeight="1">
      <x:c r="A2459" s="1"/>
      <x:c r="B2459" s="1"/>
      <x:c r="C2459" s="1" t="str">
        <x:v>DOT-020</x:v>
      </x:c>
      <x:c r="D2459" s="10" t="str">
        <x:v>BPA professional services</x:v>
      </x:c>
      <x:c r="E2459" s="10" t="n">
        <x:v>20</x:v>
      </x:c>
      <x:c r="F2459" s="21" t="n">
        <x:f>F2331*(1+'Assumptions'!$M$49)</x:f>
        <x:v>6.843060283935544</x:v>
      </x:c>
      <x:c r="G2459" s="21" t="n">
        <x:f>H2331*'Assumptions'!$K$49</x:f>
        <x:v>6.455700588557402</x:v>
      </x:c>
      <x:c r="H2459" s="21" t="n">
        <x:f>IF(AND(COUNT('Assumptions'!$H$49,'Assumptions'!$I$49,'Assumptions'!$J$49,'Assumptions'!$K$49,'Assumptions'!$L$49,'Assumptions'!$M$49,'Assumptions'!$P$49,'Assumptions'!$Q$49,'Assumptions'!$R$49,'Assumptions'!$S$49,'Assumptions'!$T$49,'Assumptions'!$U$49,'Assumptions'!$V$49,'Assumptions'!$W$49,'Assumptions'!$X$49,'Assumptions'!$Y$49,'Assumptions'!$Z$49,'Assumptions'!$AA$49,'Assumptions'!$AD$49,'Assumptions'!$AE$49,'Assumptions'!$AF$49)=21,COUNT('Assumptions'!$D$8:$D$21)=14,'Assumptions'!$J$49&gt;=1,'Assumptions'!$J$49&lt;=12,'Assumptions'!$D$8&gt;=0,'Assumptions'!$D$15&gt;0),F2459+G2459,NA())</x:f>
        <x:v>13.298760872492945</x:v>
      </x:c>
      <x:c r="I2459" s="22" t="n">
        <x:f>'Assumptions'!$H$49*IF('Assumptions'!$O$49=1,1,'Assumptions'!$D$10)*(1+'Assumptions'!$N$49)^(20-1)</x:f>
        <x:v>1800</x:v>
      </x:c>
      <x:c r="J2459" s="10" t="n">
        <x:f>H2459*I2459</x:f>
        <x:v>23937.7695704873</x:v>
      </x:c>
      <x:c r="K2459" s="10" t="n">
        <x:f>J2459*'Assumptions'!$T$49</x:f>
        <x:v>23937.7695704873</x:v>
      </x:c>
      <x:c r="L2459" s="10" t="n">
        <x:f>K2459*'Assumptions'!$U$49</x:f>
        <x:v>718.133087114619</x:v>
      </x:c>
      <x:c r="M2459" s="10" t="n">
        <x:f>K2459*'Assumptions'!$V$49</x:f>
        <x:v>0</x:v>
      </x:c>
      <x:c r="N2459" s="10" t="n">
        <x:f>K2459-L2459-M2459</x:f>
        <x:v>23219.63648337268</x:v>
      </x:c>
      <x:c r="O2459" s="10" t="n">
        <x:f>H2459*'Assumptions'!$P$49*'Assumptions'!$Q$49*'Assumptions'!$D$11*(1+'Assumptions'!$D$13)^(20-1)</x:f>
        <x:v>8395.004767802866</x:v>
      </x:c>
      <x:c r="P2459" s="10" t="n">
        <x:f>H2459*'Assumptions'!$R$49*'Assumptions'!$D$11*(1+'Assumptions'!$D$13)^(20-1)</x:f>
        <x:v>233.19457688341296</x:v>
      </x:c>
      <x:c r="Q2459" s="10" t="n">
        <x:f>J2459*'Assumptions'!$S$49</x:f>
        <x:v>0</x:v>
      </x:c>
      <x:c r="R2459" s="10" t="n">
        <x:f>H2459*'Assumptions'!$Y$49*'Assumptions'!$Z$49*'Assumptions'!$D$11*(1+'Assumptions'!$D$13)^(20-1)</x:f>
        <x:v>174.89593266255972</x:v>
      </x:c>
      <x:c r="S2459" s="10" t="n">
        <x:f>IF(I2459=0,0,J2459*'Assumptions'!$W$49+H2459*'Assumptions'!$X$49)</x:f>
        <x:v>698.1849458058796</x:v>
      </x:c>
      <x:c r="T2459" s="10" t="n">
        <x:f>N2459*'Assumptions'!$AA$49</x:f>
        <x:v>928.7854593349073</x:v>
      </x:c>
      <x:c r="U2459" s="10" t="n">
        <x:f>'Assumptions'!$AE$49*'Assumptions'!$D$11*(1+'Assumptions'!$D$13)^(20-1)</x:f>
        <x:v>0</x:v>
      </x:c>
      <x:c r="V2459" s="10" t="n">
        <x:f>0</x:f>
        <x:v>0</x:v>
      </x:c>
      <x:c r="W2459" s="10" t="n">
        <x:f>H2459*('Assumptions'!$P$49+'Assumptions'!$Y$49)</x:f>
        <x:v>83.1172554530809</x:v>
      </x:c>
      <x:c r="X2459" s="10" t="n">
        <x:f>N2459/12*'Assumptions'!$AF$49</x:f>
        <x:v>1934.9697069477234</x:v>
      </x:c>
      <x:c r="Y2459" s="10" t="n">
        <x:f>P2459/12</x:f>
        <x:v>19.43288140695108</x:v>
      </x:c>
      <x:c r="Z2459" s="10" t="n">
        <x:f>0</x:f>
        <x:v>0</x:v>
      </x:c>
      <x:c r="AA2459" s="10" t="n">
        <x:f>Z2459*'Assumptions'!$AC$49*'Assumptions'!$D$11*(1+'Assumptions'!$D$13)^(20-1)</x:f>
        <x:v>0</x:v>
      </x:c>
      <x:c r="AB2459" s="10" t="n">
        <x:f>F2459/1</x:f>
        <x:v>6.843060283935544</x:v>
      </x:c>
      <x:c r="AC2459" s="10" t="n">
        <x:f>AB2459/'Assumptions'!$AM$49</x:f>
        <x:v>34.215301419677715</x:v>
      </x:c>
      <x:c r="AD2459" s="10" t="n">
        <x:f>IF(AB2459=0,0,T2459/AB2459)</x:f>
        <x:v>135.7266224170612</x:v>
      </x:c>
      <x:c r="AE2459" s="10" t="n">
        <x:f>AA2459*'Assumptions'!$D$21</x:f>
        <x:v>0</x:v>
      </x:c>
    </x:row>
    <x:row r="2460" ht="16" customHeight="1">
      <x:c r="A2460" s="1"/>
      <x:c r="B2460" s="1"/>
      <x:c r="C2460" s="1" t="str">
        <x:v>DOT-021</x:v>
      </x:c>
      <x:c r="D2460" s="10" t="str">
        <x:v>BPA professional services</x:v>
      </x:c>
      <x:c r="E2460" s="10" t="n">
        <x:v>20</x:v>
      </x:c>
      <x:c r="F2460" s="21" t="n">
        <x:f>F2332*(1+'Assumptions'!$M$50)</x:f>
        <x:v>4.562040189290362</x:v>
      </x:c>
      <x:c r="G2460" s="21" t="n">
        <x:f>H2332*'Assumptions'!$K$50</x:f>
        <x:v>4.303800392371601</x:v>
      </x:c>
      <x:c r="H2460" s="21" t="n">
        <x:f>IF(AND(COUNT('Assumptions'!$H$50,'Assumptions'!$I$50,'Assumptions'!$J$50,'Assumptions'!$K$50,'Assumptions'!$L$50,'Assumptions'!$M$50,'Assumptions'!$P$50,'Assumptions'!$Q$50,'Assumptions'!$R$50,'Assumptions'!$S$50,'Assumptions'!$T$50,'Assumptions'!$U$50,'Assumptions'!$V$50,'Assumptions'!$W$50,'Assumptions'!$X$50,'Assumptions'!$Y$50,'Assumptions'!$Z$50,'Assumptions'!$AA$50,'Assumptions'!$AD$50,'Assumptions'!$AE$50,'Assumptions'!$AF$50)=21,COUNT('Assumptions'!$D$8:$D$21)=14,'Assumptions'!$J$50&gt;=1,'Assumptions'!$J$50&lt;=12,'Assumptions'!$D$8&gt;=0,'Assumptions'!$D$15&gt;0),F2460+G2460,NA())</x:f>
        <x:v>8.865840581661963</x:v>
      </x:c>
      <x:c r="I2460" s="22" t="n">
        <x:f>'Assumptions'!$H$50*IF('Assumptions'!$O$50=1,1,'Assumptions'!$D$10)*(1+'Assumptions'!$N$50)^(20-1)</x:f>
        <x:v>4200</x:v>
      </x:c>
      <x:c r="J2460" s="10" t="n">
        <x:f>H2460*I2460</x:f>
        <x:v>37236.53044298025</x:v>
      </x:c>
      <x:c r="K2460" s="10" t="n">
        <x:f>J2460*'Assumptions'!$T$50</x:f>
        <x:v>37236.53044298025</x:v>
      </x:c>
      <x:c r="L2460" s="10" t="n">
        <x:f>K2460*'Assumptions'!$U$50</x:f>
        <x:v>1117.0959132894075</x:v>
      </x:c>
      <x:c r="M2460" s="10" t="n">
        <x:f>K2460*'Assumptions'!$V$50</x:f>
        <x:v>0</x:v>
      </x:c>
      <x:c r="N2460" s="10" t="n">
        <x:f>K2460-L2460-M2460</x:f>
        <x:v>36119.43452969084</x:v>
      </x:c>
      <x:c r="O2460" s="10" t="n">
        <x:f>H2460*'Assumptions'!$P$50*'Assumptions'!$Q$50*'Assumptions'!$D$11*(1+'Assumptions'!$D$13)^(20-1)</x:f>
        <x:v>11193.339690403822</x:v>
      </x:c>
      <x:c r="P2460" s="10" t="n">
        <x:f>H2460*'Assumptions'!$R$50*'Assumptions'!$D$11*(1+'Assumptions'!$D$13)^(20-1)</x:f>
        <x:v>155.46305125560863</x:v>
      </x:c>
      <x:c r="Q2460" s="10" t="n">
        <x:f>J2460*'Assumptions'!$S$50</x:f>
        <x:v>0</x:v>
      </x:c>
      <x:c r="R2460" s="10" t="n">
        <x:f>H2460*'Assumptions'!$Y$50*'Assumptions'!$Z$50*'Assumptions'!$D$11*(1+'Assumptions'!$D$13)^(20-1)</x:f>
        <x:v>116.59728844170648</x:v>
      </x:c>
      <x:c r="S2460" s="10" t="n">
        <x:f>IF(I2460=0,0,J2460*'Assumptions'!$W$50+H2460*'Assumptions'!$X$50)</x:f>
        <x:v>1082.519135020926</x:v>
      </x:c>
      <x:c r="T2460" s="10" t="n">
        <x:f>N2460*'Assumptions'!$AA$50</x:f>
        <x:v>1444.7773811876339</x:v>
      </x:c>
      <x:c r="U2460" s="10" t="n">
        <x:f>'Assumptions'!$AE$50*'Assumptions'!$D$11*(1+'Assumptions'!$D$13)^(20-1)</x:f>
        <x:v>0</x:v>
      </x:c>
      <x:c r="V2460" s="10" t="n">
        <x:f>0</x:f>
        <x:v>0</x:v>
      </x:c>
      <x:c r="W2460" s="10" t="n">
        <x:f>H2460*('Assumptions'!$P$50+'Assumptions'!$Y$50)</x:f>
        <x:v>108.60654712535906</x:v>
      </x:c>
      <x:c r="X2460" s="10" t="n">
        <x:f>N2460/12*'Assumptions'!$AF$50</x:f>
        <x:v>3009.952877474237</x:v>
      </x:c>
      <x:c r="Y2460" s="10" t="n">
        <x:f>P2460/12</x:f>
        <x:v>12.955254271300719</x:v>
      </x:c>
      <x:c r="Z2460" s="10" t="n">
        <x:f>0</x:f>
        <x:v>0</x:v>
      </x:c>
      <x:c r="AA2460" s="10" t="n">
        <x:f>Z2460*'Assumptions'!$AC$50*'Assumptions'!$D$11*(1+'Assumptions'!$D$13)^(20-1)</x:f>
        <x:v>0</x:v>
      </x:c>
      <x:c r="AB2460" s="10" t="n">
        <x:f>F2460/1</x:f>
        <x:v>4.562040189290362</x:v>
      </x:c>
      <x:c r="AC2460" s="10" t="n">
        <x:f>AB2460/'Assumptions'!$AM$50</x:f>
        <x:v>22.810200946451808</x:v>
      </x:c>
      <x:c r="AD2460" s="10" t="n">
        <x:f>IF(AB2460=0,0,T2460/AB2460)</x:f>
        <x:v>316.6954523064763</x:v>
      </x:c>
      <x:c r="AE2460" s="10" t="n">
        <x:f>AA2460*'Assumptions'!$D$21</x:f>
        <x:v>0</x:v>
      </x:c>
    </x:row>
    <x:row r="2461" ht="16" customHeight="1">
      <x:c r="A2461" s="1"/>
      <x:c r="B2461" s="1"/>
      <x:c r="C2461" s="1" t="str">
        <x:v>DOT-022</x:v>
      </x:c>
      <x:c r="D2461" s="10" t="str">
        <x:v>BPA professional services</x:v>
      </x:c>
      <x:c r="E2461" s="10" t="n">
        <x:v>20</x:v>
      </x:c>
      <x:c r="F2461" s="21" t="n">
        <x:f>F2333*(1+'Assumptions'!$M$51)</x:f>
        <x:v>18.248160757161447</x:v>
      </x:c>
      <x:c r="G2461" s="21" t="n">
        <x:f>H2333*'Assumptions'!$K$51</x:f>
        <x:v>17.215201569486403</x:v>
      </x:c>
      <x:c r="H2461" s="21" t="n">
        <x:f>IF(AND(COUNT('Assumptions'!$H$51,'Assumptions'!$I$51,'Assumptions'!$J$51,'Assumptions'!$K$51,'Assumptions'!$L$51,'Assumptions'!$M$51,'Assumptions'!$P$51,'Assumptions'!$Q$51,'Assumptions'!$R$51,'Assumptions'!$S$51,'Assumptions'!$T$51,'Assumptions'!$U$51,'Assumptions'!$V$51,'Assumptions'!$W$51,'Assumptions'!$X$51,'Assumptions'!$Y$51,'Assumptions'!$Z$51,'Assumptions'!$AA$51,'Assumptions'!$AD$51,'Assumptions'!$AE$51,'Assumptions'!$AF$51)=21,COUNT('Assumptions'!$D$8:$D$21)=14,'Assumptions'!$J$51&gt;=1,'Assumptions'!$J$51&lt;=12,'Assumptions'!$D$8&gt;=0,'Assumptions'!$D$15&gt;0),F2461+G2461,NA())</x:f>
        <x:v>35.463362326647854</x:v>
      </x:c>
      <x:c r="I2461" s="22" t="n">
        <x:f>'Assumptions'!$H$51*IF('Assumptions'!$O$51=1,1,'Assumptions'!$D$10)*(1+'Assumptions'!$N$51)^(20-1)</x:f>
        <x:v>900</x:v>
      </x:c>
      <x:c r="J2461" s="10" t="n">
        <x:f>H2461*I2461</x:f>
        <x:v>31917.02609398307</x:v>
      </x:c>
      <x:c r="K2461" s="10" t="n">
        <x:f>J2461*'Assumptions'!$T$51</x:f>
        <x:v>31917.02609398307</x:v>
      </x:c>
      <x:c r="L2461" s="10" t="n">
        <x:f>K2461*'Assumptions'!$U$51</x:f>
        <x:v>957.5107828194921</x:v>
      </x:c>
      <x:c r="M2461" s="10" t="n">
        <x:f>K2461*'Assumptions'!$V$51</x:f>
        <x:v>0</x:v>
      </x:c>
      <x:c r="N2461" s="10" t="n">
        <x:f>K2461-L2461-M2461</x:f>
        <x:v>30959.515311163577</x:v>
      </x:c>
      <x:c r="O2461" s="10" t="n">
        <x:f>H2461*'Assumptions'!$P$51*'Assumptions'!$Q$51*'Assumptions'!$D$11*(1+'Assumptions'!$D$13)^(20-1)</x:f>
        <x:v>11193.339690403822</x:v>
      </x:c>
      <x:c r="P2461" s="10" t="n">
        <x:f>H2461*'Assumptions'!$R$51*'Assumptions'!$D$11*(1+'Assumptions'!$D$13)^(20-1)</x:f>
        <x:v>621.8522050224345</x:v>
      </x:c>
      <x:c r="Q2461" s="10" t="n">
        <x:f>J2461*'Assumptions'!$S$51</x:f>
        <x:v>0</x:v>
      </x:c>
      <x:c r="R2461" s="10" t="n">
        <x:f>H2461*'Assumptions'!$Y$51*'Assumptions'!$Z$51*'Assumptions'!$D$11*(1+'Assumptions'!$D$13)^(20-1)</x:f>
        <x:v>466.3891537668259</x:v>
      </x:c>
      <x:c r="S2461" s="10" t="n">
        <x:f>IF(I2461=0,0,J2461*'Assumptions'!$W$51+H2461*'Assumptions'!$X$51)</x:f>
        <x:v>936.2327654235033</x:v>
      </x:c>
      <x:c r="T2461" s="10" t="n">
        <x:f>N2461*'Assumptions'!$AA$51</x:f>
        <x:v>1238.3806124465432</x:v>
      </x:c>
      <x:c r="U2461" s="10" t="n">
        <x:f>'Assumptions'!$AE$51*'Assumptions'!$D$11*(1+'Assumptions'!$D$13)^(20-1)</x:f>
        <x:v>0</x:v>
      </x:c>
      <x:c r="V2461" s="10" t="n">
        <x:f>0</x:f>
        <x:v>0</x:v>
      </x:c>
      <x:c r="W2461" s="10" t="n">
        <x:f>H2461*('Assumptions'!$P$51+'Assumptions'!$Y$51)</x:f>
        <x:v>115.25592756160552</x:v>
      </x:c>
      <x:c r="X2461" s="10" t="n">
        <x:f>N2461/12*'Assumptions'!$AF$51</x:f>
        <x:v>2579.9596092636316</x:v>
      </x:c>
      <x:c r="Y2461" s="10" t="n">
        <x:f>P2461/12</x:f>
        <x:v>51.821017085202875</x:v>
      </x:c>
      <x:c r="Z2461" s="10" t="n">
        <x:f>0</x:f>
        <x:v>0</x:v>
      </x:c>
      <x:c r="AA2461" s="10" t="n">
        <x:f>Z2461*'Assumptions'!$AC$51*'Assumptions'!$D$11*(1+'Assumptions'!$D$13)^(20-1)</x:f>
        <x:v>0</x:v>
      </x:c>
      <x:c r="AB2461" s="10" t="n">
        <x:f>F2461/1</x:f>
        <x:v>18.248160757161447</x:v>
      </x:c>
      <x:c r="AC2461" s="10" t="n">
        <x:f>AB2461/'Assumptions'!$AM$51</x:f>
        <x:v>91.24080378580723</x:v>
      </x:c>
      <x:c r="AD2461" s="10" t="n">
        <x:f>IF(AB2461=0,0,T2461/AB2461)</x:f>
        <x:v>67.86331120853063</x:v>
      </x:c>
      <x:c r="AE2461" s="10" t="n">
        <x:f>AA2461*'Assumptions'!$D$21</x:f>
        <x:v>0</x:v>
      </x:c>
    </x:row>
    <x:row r="2462" ht="16" customHeight="1">
      <x:c r="A2462" s="1"/>
      <x:c r="B2462" s="1"/>
      <x:c r="C2462" s="1" t="str">
        <x:v>DOT-023</x:v>
      </x:c>
      <x:c r="D2462" s="10" t="str">
        <x:v>BPA professional services</x:v>
      </x:c>
      <x:c r="E2462" s="10" t="n">
        <x:v>20</x:v>
      </x:c>
      <x:c r="F2462" s="21" t="n">
        <x:f>F2334*(1+'Assumptions'!$M$52)</x:f>
        <x:v>11.405100473225906</x:v>
      </x:c>
      <x:c r="G2462" s="21" t="n">
        <x:f>H2334*'Assumptions'!$K$52</x:f>
        <x:v>10.759500980929003</x:v>
      </x:c>
      <x:c r="H2462" s="21" t="n">
        <x:f>IF(AND(COUNT('Assumptions'!$H$52,'Assumptions'!$I$52,'Assumptions'!$J$52,'Assumptions'!$K$52,'Assumptions'!$L$52,'Assumptions'!$M$52,'Assumptions'!$P$52,'Assumptions'!$Q$52,'Assumptions'!$R$52,'Assumptions'!$S$52,'Assumptions'!$T$52,'Assumptions'!$U$52,'Assumptions'!$V$52,'Assumptions'!$W$52,'Assumptions'!$X$52,'Assumptions'!$Y$52,'Assumptions'!$Z$52,'Assumptions'!$AA$52,'Assumptions'!$AD$52,'Assumptions'!$AE$52,'Assumptions'!$AF$52)=21,COUNT('Assumptions'!$D$8:$D$21)=14,'Assumptions'!$J$52&gt;=1,'Assumptions'!$J$52&lt;=12,'Assumptions'!$D$8&gt;=0,'Assumptions'!$D$15&gt;0),F2462+G2462,NA())</x:f>
        <x:v>22.16460145415491</x:v>
      </x:c>
      <x:c r="I2462" s="22" t="n">
        <x:f>'Assumptions'!$H$52*IF('Assumptions'!$O$52=1,1,'Assumptions'!$D$10)*(1+'Assumptions'!$N$52)^(20-1)</x:f>
        <x:v>1800</x:v>
      </x:c>
      <x:c r="J2462" s="10" t="n">
        <x:f>H2462*I2462</x:f>
        <x:v>39896.282617478835</x:v>
      </x:c>
      <x:c r="K2462" s="10" t="n">
        <x:f>J2462*'Assumptions'!$T$52</x:f>
        <x:v>39896.282617478835</x:v>
      </x:c>
      <x:c r="L2462" s="10" t="n">
        <x:f>K2462*'Assumptions'!$U$52</x:f>
        <x:v>1196.888478524365</x:v>
      </x:c>
      <x:c r="M2462" s="10" t="n">
        <x:f>K2462*'Assumptions'!$V$52</x:f>
        <x:v>0</x:v>
      </x:c>
      <x:c r="N2462" s="10" t="n">
        <x:f>K2462-L2462-M2462</x:f>
        <x:v>38699.39413895447</x:v>
      </x:c>
      <x:c r="O2462" s="10" t="n">
        <x:f>H2462*'Assumptions'!$P$52*'Assumptions'!$Q$52*'Assumptions'!$D$11*(1+'Assumptions'!$D$13)^(20-1)</x:f>
        <x:v>13991.674613004778</x:v>
      </x:c>
      <x:c r="P2462" s="10" t="n">
        <x:f>H2462*'Assumptions'!$R$52*'Assumptions'!$D$11*(1+'Assumptions'!$D$13)^(20-1)</x:f>
        <x:v>388.6576281390216</x:v>
      </x:c>
      <x:c r="Q2462" s="10" t="n">
        <x:f>J2462*'Assumptions'!$S$52</x:f>
        <x:v>0</x:v>
      </x:c>
      <x:c r="R2462" s="10" t="n">
        <x:f>H2462*'Assumptions'!$Y$52*'Assumptions'!$Z$52*'Assumptions'!$D$11*(1+'Assumptions'!$D$13)^(20-1)</x:f>
        <x:v>291.4932211042662</x:v>
      </x:c>
      <x:c r="S2462" s="10" t="n">
        <x:f>IF(I2462=0,0,J2462*'Assumptions'!$W$52+H2462*'Assumptions'!$X$52)</x:f>
        <x:v>1163.6415763431328</x:v>
      </x:c>
      <x:c r="T2462" s="10" t="n">
        <x:f>N2462*'Assumptions'!$AA$52</x:f>
        <x:v>1547.9757655581789</x:v>
      </x:c>
      <x:c r="U2462" s="10" t="n">
        <x:f>'Assumptions'!$AE$52*'Assumptions'!$D$11*(1+'Assumptions'!$D$13)^(20-1)</x:f>
        <x:v>0</x:v>
      </x:c>
      <x:c r="V2462" s="10" t="n">
        <x:f>0</x:f>
        <x:v>0</x:v>
      </x:c>
      <x:c r="W2462" s="10" t="n">
        <x:f>H2462*('Assumptions'!$P$52+'Assumptions'!$Y$52)</x:f>
        <x:v>138.52875908846818</x:v>
      </x:c>
      <x:c r="X2462" s="10" t="n">
        <x:f>N2462/12*'Assumptions'!$AF$52</x:f>
        <x:v>3224.9495115795394</x:v>
      </x:c>
      <x:c r="Y2462" s="10" t="n">
        <x:f>P2462/12</x:f>
        <x:v>32.3881356782518</x:v>
      </x:c>
      <x:c r="Z2462" s="10" t="n">
        <x:f>0</x:f>
        <x:v>0</x:v>
      </x:c>
      <x:c r="AA2462" s="10" t="n">
        <x:f>Z2462*'Assumptions'!$AC$52*'Assumptions'!$D$11*(1+'Assumptions'!$D$13)^(20-1)</x:f>
        <x:v>0</x:v>
      </x:c>
      <x:c r="AB2462" s="10" t="n">
        <x:f>F2462/1</x:f>
        <x:v>11.405100473225906</x:v>
      </x:c>
      <x:c r="AC2462" s="10" t="n">
        <x:f>AB2462/'Assumptions'!$AM$52</x:f>
        <x:v>57.02550236612952</x:v>
      </x:c>
      <x:c r="AD2462" s="10" t="n">
        <x:f>IF(AB2462=0,0,T2462/AB2462)</x:f>
        <x:v>135.72662241706124</x:v>
      </x:c>
      <x:c r="AE2462" s="10" t="n">
        <x:f>AA2462*'Assumptions'!$D$21</x:f>
        <x:v>0</x:v>
      </x:c>
    </x:row>
    <x:row r="2463" ht="16" customHeight="1">
      <x:c r="A2463" s="1"/>
      <x:c r="B2463" s="1"/>
      <x:c r="C2463" s="1" t="str">
        <x:v>DOT-024</x:v>
      </x:c>
      <x:c r="D2463" s="10" t="str">
        <x:v>BPA professional services</x:v>
      </x:c>
      <x:c r="E2463" s="10" t="n">
        <x:v>20</x:v>
      </x:c>
      <x:c r="F2463" s="21" t="n">
        <x:f>F2335*(1+'Assumptions'!$M$53)</x:f>
        <x:v>57.02550236612954</x:v>
      </x:c>
      <x:c r="G2463" s="21" t="n">
        <x:f>H2335*'Assumptions'!$K$53</x:f>
        <x:v>53.797481062787114</x:v>
      </x:c>
      <x:c r="H2463" s="21" t="n">
        <x:f>IF(AND(COUNT('Assumptions'!$H$53,'Assumptions'!$I$53,'Assumptions'!$J$53,'Assumptions'!$K$53,'Assumptions'!$L$53,'Assumptions'!$M$53,'Assumptions'!$P$53,'Assumptions'!$Q$53,'Assumptions'!$R$53,'Assumptions'!$S$53,'Assumptions'!$T$53,'Assumptions'!$U$53,'Assumptions'!$V$53,'Assumptions'!$W$53,'Assumptions'!$X$53,'Assumptions'!$Y$53,'Assumptions'!$Z$53,'Assumptions'!$AA$53,'Assumptions'!$AD$53,'Assumptions'!$AE$53,'Assumptions'!$AF$53)=21,COUNT('Assumptions'!$D$8:$D$21)=14,'Assumptions'!$J$53&gt;=1,'Assumptions'!$J$53&lt;=12,'Assumptions'!$D$8&gt;=0,'Assumptions'!$D$15&gt;0),F2463+G2463,NA())</x:f>
        <x:v>110.82298342891664</x:v>
      </x:c>
      <x:c r="I2463" s="22" t="n">
        <x:f>'Assumptions'!$H$53*IF('Assumptions'!$O$53=1,1,'Assumptions'!$D$10)*(1+'Assumptions'!$N$53)^(20-1)</x:f>
        <x:v>540</x:v>
      </x:c>
      <x:c r="J2463" s="10" t="n">
        <x:f>H2463*I2463</x:f>
        <x:v>59844.41105161499</x:v>
      </x:c>
      <x:c r="K2463" s="10" t="n">
        <x:f>J2463*'Assumptions'!$T$53</x:f>
        <x:v>59844.41105161499</x:v>
      </x:c>
      <x:c r="L2463" s="10" t="n">
        <x:f>K2463*'Assumptions'!$U$53</x:f>
        <x:v>1795.3323315484497</x:v>
      </x:c>
      <x:c r="M2463" s="10" t="n">
        <x:f>K2463*'Assumptions'!$V$53</x:f>
        <x:v>0</x:v>
      </x:c>
      <x:c r="N2463" s="10" t="n">
        <x:f>K2463-L2463-M2463</x:f>
        <x:v>58049.078720066536</x:v>
      </x:c>
      <x:c r="O2463" s="10" t="n">
        <x:f>H2463*'Assumptions'!$P$53*'Assumptions'!$Q$53*'Assumptions'!$D$11*(1+'Assumptions'!$D$13)^(20-1)</x:f>
        <x:v>23319.45267152024</x:v>
      </x:c>
      <x:c r="P2463" s="10" t="n">
        <x:f>H2463*'Assumptions'!$R$53*'Assumptions'!$D$11*(1+'Assumptions'!$D$13)^(20-1)</x:f>
        <x:v>1943.2877226266864</x:v>
      </x:c>
      <x:c r="Q2463" s="10" t="n">
        <x:f>J2463*'Assumptions'!$S$53</x:f>
        <x:v>0</x:v>
      </x:c>
      <x:c r="R2463" s="10" t="n">
        <x:f>H2463*'Assumptions'!$Y$53*'Assumptions'!$Z$53*'Assumptions'!$D$11*(1+'Assumptions'!$D$13)^(20-1)</x:f>
        <x:v>1457.465791970015</x:v>
      </x:c>
      <x:c r="S2463" s="10" t="n">
        <x:f>IF(I2463=0,0,J2463*'Assumptions'!$W$53+H2463*'Assumptions'!$X$53)</x:f>
        <x:v>1768.7348155255097</x:v>
      </x:c>
      <x:c r="T2463" s="10" t="n">
        <x:f>N2463*'Assumptions'!$AA$53</x:f>
        <x:v>2321.9631488026616</x:v>
      </x:c>
      <x:c r="U2463" s="10" t="n">
        <x:f>'Assumptions'!$AE$53*'Assumptions'!$D$11*(1+'Assumptions'!$D$13)^(20-1)</x:f>
        <x:v>0</x:v>
      </x:c>
      <x:c r="V2463" s="10" t="n">
        <x:f>0</x:f>
        <x:v>0</x:v>
      </x:c>
      <x:c r="W2463" s="10" t="n">
        <x:f>H2463*('Assumptions'!$P$53+'Assumptions'!$Y$53)</x:f>
        <x:v>249.35171271506243</x:v>
      </x:c>
      <x:c r="X2463" s="10" t="n">
        <x:f>N2463/12*'Assumptions'!$AF$53</x:f>
        <x:v>4837.423226672211</x:v>
      </x:c>
      <x:c r="Y2463" s="10" t="n">
        <x:f>P2463/12</x:f>
        <x:v>161.94064355222386</x:v>
      </x:c>
      <x:c r="Z2463" s="10" t="n">
        <x:f>0</x:f>
        <x:v>0</x:v>
      </x:c>
      <x:c r="AA2463" s="10" t="n">
        <x:f>Z2463*'Assumptions'!$AC$53*'Assumptions'!$D$11*(1+'Assumptions'!$D$13)^(20-1)</x:f>
        <x:v>0</x:v>
      </x:c>
      <x:c r="AB2463" s="10" t="n">
        <x:f>F2463/1</x:f>
        <x:v>57.02550236612954</x:v>
      </x:c>
      <x:c r="AC2463" s="10" t="n">
        <x:f>AB2463/'Assumptions'!$AM$53</x:f>
        <x:v>285.1275118306477</x:v>
      </x:c>
      <x:c r="AD2463" s="10" t="n">
        <x:f>IF(AB2463=0,0,T2463/AB2463)</x:f>
        <x:v>40.717977965272574</x:v>
      </x:c>
      <x:c r="AE2463" s="10" t="n">
        <x:f>AA2463*'Assumptions'!$D$21</x:f>
        <x:v>0</x:v>
      </x:c>
    </x:row>
    <x:row r="2464" ht="16" customHeight="1">
      <x:c r="A2464" s="1"/>
      <x:c r="B2464" s="1"/>
      <x:c r="C2464" s="1" t="str">
        <x:v>DOT-025</x:v>
      </x:c>
      <x:c r="D2464" s="10" t="str">
        <x:v>BPA professional services</x:v>
      </x:c>
      <x:c r="E2464" s="10" t="n">
        <x:v>20</x:v>
      </x:c>
      <x:c r="F2464" s="21" t="n">
        <x:f>F2336*(1+'Assumptions'!$M$54)</x:f>
        <x:v>22.81020094645181</x:v>
      </x:c>
      <x:c r="G2464" s="21" t="n">
        <x:f>H2336*'Assumptions'!$K$54</x:f>
        <x:v>21.518992425114842</x:v>
      </x:c>
      <x:c r="H2464" s="21" t="n">
        <x:f>IF(AND(COUNT('Assumptions'!$H$54,'Assumptions'!$I$54,'Assumptions'!$J$54,'Assumptions'!$K$54,'Assumptions'!$L$54,'Assumptions'!$M$54,'Assumptions'!$P$54,'Assumptions'!$Q$54,'Assumptions'!$R$54,'Assumptions'!$S$54,'Assumptions'!$T$54,'Assumptions'!$U$54,'Assumptions'!$V$54,'Assumptions'!$W$54,'Assumptions'!$X$54,'Assumptions'!$Y$54,'Assumptions'!$Z$54,'Assumptions'!$AA$54,'Assumptions'!$AD$54,'Assumptions'!$AE$54,'Assumptions'!$AF$54)=21,COUNT('Assumptions'!$D$8:$D$21)=14,'Assumptions'!$J$54&gt;=1,'Assumptions'!$J$54&lt;=12,'Assumptions'!$D$8&gt;=0,'Assumptions'!$D$15&gt;0),F2464+G2464,NA())</x:f>
        <x:v>44.32919337156665</x:v>
      </x:c>
      <x:c r="I2464" s="22" t="n">
        <x:f>'Assumptions'!$H$54*IF('Assumptions'!$O$54=1,1,'Assumptions'!$D$10)*(1+'Assumptions'!$N$54)^(20-1)</x:f>
        <x:v>1020</x:v>
      </x:c>
      <x:c r="J2464" s="10" t="n">
        <x:f>H2464*I2464</x:f>
        <x:v>45215.77723899799</x:v>
      </x:c>
      <x:c r="K2464" s="10" t="n">
        <x:f>J2464*'Assumptions'!$T$54</x:f>
        <x:v>45215.77723899799</x:v>
      </x:c>
      <x:c r="L2464" s="10" t="n">
        <x:f>K2464*'Assumptions'!$U$54</x:f>
        <x:v>1356.4733171699395</x:v>
      </x:c>
      <x:c r="M2464" s="10" t="n">
        <x:f>K2464*'Assumptions'!$V$54</x:f>
        <x:v>0</x:v>
      </x:c>
      <x:c r="N2464" s="10" t="n">
        <x:f>K2464-L2464-M2464</x:f>
        <x:v>43859.30392182805</x:v>
      </x:c>
      <x:c r="O2464" s="10" t="n">
        <x:f>H2464*'Assumptions'!$P$54*'Assumptions'!$Q$54*'Assumptions'!$D$11*(1+'Assumptions'!$D$13)^(20-1)</x:f>
        <x:v>23319.452671520237</x:v>
      </x:c>
      <x:c r="P2464" s="10" t="n">
        <x:f>H2464*'Assumptions'!$R$54*'Assumptions'!$D$11*(1+'Assumptions'!$D$13)^(20-1)</x:f>
        <x:v>777.3150890506745</x:v>
      </x:c>
      <x:c r="Q2464" s="10" t="n">
        <x:f>J2464*'Assumptions'!$S$54</x:f>
        <x:v>0</x:v>
      </x:c>
      <x:c r="R2464" s="10" t="n">
        <x:f>H2464*'Assumptions'!$Y$54*'Assumptions'!$Z$54*'Assumptions'!$D$11*(1+'Assumptions'!$D$13)^(20-1)</x:f>
        <x:v>582.9863167880059</x:v>
      </x:c>
      <x:c r="S2464" s="10" t="n">
        <x:f>IF(I2464=0,0,J2464*'Assumptions'!$W$54+H2464*'Assumptions'!$X$54)</x:f>
        <x:v>1324.5562979424117</x:v>
      </x:c>
      <x:c r="T2464" s="10" t="n">
        <x:f>N2464*'Assumptions'!$AA$54</x:f>
        <x:v>1754.3721568731219</x:v>
      </x:c>
      <x:c r="U2464" s="10" t="n">
        <x:f>'Assumptions'!$AE$54*'Assumptions'!$D$11*(1+'Assumptions'!$D$13)^(20-1)</x:f>
        <x:v>0</x:v>
      </x:c>
      <x:c r="V2464" s="10" t="n">
        <x:f>0</x:f>
        <x:v>0</x:v>
      </x:c>
      <x:c r="W2464" s="10" t="n">
        <x:f>H2464*('Assumptions'!$P$54+'Assumptions'!$Y$54)</x:f>
        <x:v>232.72826520072493</x:v>
      </x:c>
      <x:c r="X2464" s="10" t="n">
        <x:f>N2464/12*'Assumptions'!$AF$54</x:f>
        <x:v>3654.9419934856705</x:v>
      </x:c>
      <x:c r="Y2464" s="10" t="n">
        <x:f>P2464/12</x:f>
        <x:v>64.77625742088954</x:v>
      </x:c>
      <x:c r="Z2464" s="10" t="n">
        <x:f>0</x:f>
        <x:v>0</x:v>
      </x:c>
      <x:c r="AA2464" s="10" t="n">
        <x:f>Z2464*'Assumptions'!$AC$54*'Assumptions'!$D$11*(1+'Assumptions'!$D$13)^(20-1)</x:f>
        <x:v>0</x:v>
      </x:c>
      <x:c r="AB2464" s="10" t="n">
        <x:f>F2464/1</x:f>
        <x:v>22.81020094645181</x:v>
      </x:c>
      <x:c r="AC2464" s="10" t="n">
        <x:f>AB2464/'Assumptions'!$AM$54</x:f>
        <x:v>114.05100473225905</x:v>
      </x:c>
      <x:c r="AD2464" s="10" t="n">
        <x:f>IF(AB2464=0,0,T2464/AB2464)</x:f>
        <x:v>76.91173615662598</x:v>
      </x:c>
      <x:c r="AE2464" s="10" t="n">
        <x:f>AA2464*'Assumptions'!$D$21</x:f>
        <x:v>0</x:v>
      </x:c>
    </x:row>
    <x:row r="2465" ht="16" customHeight="1">
      <x:c r="A2465" s="1"/>
      <x:c r="B2465" s="1"/>
      <x:c r="C2465" s="1" t="str">
        <x:v>DOT-026</x:v>
      </x:c>
      <x:c r="D2465" s="10" t="str">
        <x:v>BPA professional services</x:v>
      </x:c>
      <x:c r="E2465" s="10" t="n">
        <x:v>20</x:v>
      </x:c>
      <x:c r="F2465" s="21" t="n">
        <x:f>F2337*(1+'Assumptions'!$M$55)</x:f>
        <x:v>9.124080378580723</x:v>
      </x:c>
      <x:c r="G2465" s="21" t="n">
        <x:f>H2337*'Assumptions'!$K$55</x:f>
        <x:v>8.607596970045936</x:v>
      </x:c>
      <x:c r="H2465" s="21" t="n">
        <x:f>IF(AND(COUNT('Assumptions'!$H$55,'Assumptions'!$I$55,'Assumptions'!$J$55,'Assumptions'!$K$55,'Assumptions'!$L$55,'Assumptions'!$M$55,'Assumptions'!$P$55,'Assumptions'!$Q$55,'Assumptions'!$R$55,'Assumptions'!$S$55,'Assumptions'!$T$55,'Assumptions'!$U$55,'Assumptions'!$V$55,'Assumptions'!$W$55,'Assumptions'!$X$55,'Assumptions'!$Y$55,'Assumptions'!$Z$55,'Assumptions'!$AA$55,'Assumptions'!$AD$55,'Assumptions'!$AE$55,'Assumptions'!$AF$55)=21,COUNT('Assumptions'!$D$8:$D$21)=14,'Assumptions'!$J$55&gt;=1,'Assumptions'!$J$55&lt;=12,'Assumptions'!$D$8&gt;=0,'Assumptions'!$D$15&gt;0),F2465+G2465,NA())</x:f>
        <x:v>17.73167734862666</x:v>
      </x:c>
      <x:c r="I2465" s="22" t="n">
        <x:f>'Assumptions'!$H$55*IF('Assumptions'!$O$55=1,1,'Assumptions'!$D$10)*(1+'Assumptions'!$N$55)^(20-1)</x:f>
        <x:v>1800</x:v>
      </x:c>
      <x:c r="J2465" s="10" t="n">
        <x:f>H2465*I2465</x:f>
        <x:v>31917.01922752799</x:v>
      </x:c>
      <x:c r="K2465" s="10" t="n">
        <x:f>J2465*'Assumptions'!$T$55</x:f>
        <x:v>31917.01922752799</x:v>
      </x:c>
      <x:c r="L2465" s="10" t="n">
        <x:f>K2465*'Assumptions'!$U$55</x:f>
        <x:v>957.5105768258397</x:v>
      </x:c>
      <x:c r="M2465" s="10" t="n">
        <x:f>K2465*'Assumptions'!$V$55</x:f>
        <x:v>0</x:v>
      </x:c>
      <x:c r="N2465" s="10" t="n">
        <x:f>K2465-L2465-M2465</x:f>
        <x:v>30959.50865070215</x:v>
      </x:c>
      <x:c r="O2465" s="10" t="n">
        <x:f>H2465*'Assumptions'!$P$55*'Assumptions'!$Q$55*'Assumptions'!$D$11*(1+'Assumptions'!$D$13)^(20-1)</x:f>
        <x:v>18655.562137216188</x:v>
      </x:c>
      <x:c r="P2465" s="10" t="n">
        <x:f>H2465*'Assumptions'!$R$55*'Assumptions'!$D$11*(1+'Assumptions'!$D$13)^(20-1)</x:f>
        <x:v>310.92603562026983</x:v>
      </x:c>
      <x:c r="Q2465" s="10" t="n">
        <x:f>J2465*'Assumptions'!$S$55</x:f>
        <x:v>0</x:v>
      </x:c>
      <x:c r="R2465" s="10" t="n">
        <x:f>H2465*'Assumptions'!$Y$55*'Assumptions'!$Z$55*'Assumptions'!$D$11*(1+'Assumptions'!$D$13)^(20-1)</x:f>
        <x:v>233.1945267152024</x:v>
      </x:c>
      <x:c r="S2465" s="10" t="n">
        <x:f>IF(I2465=0,0,J2465*'Assumptions'!$W$55+H2465*'Assumptions'!$X$55)</x:f>
        <x:v>930.9130608028998</x:v>
      </x:c>
      <x:c r="T2465" s="10" t="n">
        <x:f>N2465*'Assumptions'!$AA$55</x:f>
        <x:v>1238.380346028086</x:v>
      </x:c>
      <x:c r="U2465" s="10" t="n">
        <x:f>'Assumptions'!$AE$55*'Assumptions'!$D$11*(1+'Assumptions'!$D$13)^(20-1)</x:f>
        <x:v>0</x:v>
      </x:c>
      <x:c r="V2465" s="10" t="n">
        <x:f>0</x:f>
        <x:v>0</x:v>
      </x:c>
      <x:c r="W2465" s="10" t="n">
        <x:f>H2465*('Assumptions'!$P$55+'Assumptions'!$Y$55)</x:f>
        <x:v>181.7496928234233</x:v>
      </x:c>
      <x:c r="X2465" s="10" t="n">
        <x:f>N2465/12*'Assumptions'!$AF$55</x:f>
        <x:v>2579.9590542251794</x:v>
      </x:c>
      <x:c r="Y2465" s="10" t="n">
        <x:f>P2465/12</x:f>
        <x:v>25.910502968355818</x:v>
      </x:c>
      <x:c r="Z2465" s="10" t="n">
        <x:f>0</x:f>
        <x:v>0</x:v>
      </x:c>
      <x:c r="AA2465" s="10" t="n">
        <x:f>Z2465*'Assumptions'!$AC$55*'Assumptions'!$D$11*(1+'Assumptions'!$D$13)^(20-1)</x:f>
        <x:v>0</x:v>
      </x:c>
      <x:c r="AB2465" s="10" t="n">
        <x:f>F2465/1</x:f>
        <x:v>9.124080378580723</x:v>
      </x:c>
      <x:c r="AC2465" s="10" t="n">
        <x:f>AB2465/'Assumptions'!$AM$55</x:f>
        <x:v>45.620401892903615</x:v>
      </x:c>
      <x:c r="AD2465" s="10" t="n">
        <x:f>IF(AB2465=0,0,T2465/AB2465)</x:f>
        <x:v>135.72659321757527</x:v>
      </x:c>
      <x:c r="AE2465" s="10" t="n">
        <x:f>AA2465*'Assumptions'!$D$21</x:f>
        <x:v>0</x:v>
      </x:c>
    </x:row>
    <x:row r="2466" ht="16" customHeight="1">
      <x:c r="A2466" s="1"/>
      <x:c r="B2466" s="1"/>
      <x:c r="C2466" s="1" t="str">
        <x:v>DOT-027</x:v>
      </x:c>
      <x:c r="D2466" s="10" t="str">
        <x:v>BPA professional services</x:v>
      </x:c>
      <x:c r="E2466" s="10" t="n">
        <x:v>20</x:v>
      </x:c>
      <x:c r="F2466" s="21" t="n">
        <x:f>F2338*(1+'Assumptions'!$M$56)</x:f>
        <x:v>9.124080378580723</x:v>
      </x:c>
      <x:c r="G2466" s="21" t="n">
        <x:f>H2338*'Assumptions'!$K$56</x:f>
        <x:v>8.607596970045936</x:v>
      </x:c>
      <x:c r="H2466" s="21" t="n">
        <x:f>IF(AND(COUNT('Assumptions'!$H$56,'Assumptions'!$I$56,'Assumptions'!$J$56,'Assumptions'!$K$56,'Assumptions'!$L$56,'Assumptions'!$M$56,'Assumptions'!$P$56,'Assumptions'!$Q$56,'Assumptions'!$R$56,'Assumptions'!$S$56,'Assumptions'!$T$56,'Assumptions'!$U$56,'Assumptions'!$V$56,'Assumptions'!$W$56,'Assumptions'!$X$56,'Assumptions'!$Y$56,'Assumptions'!$Z$56,'Assumptions'!$AA$56,'Assumptions'!$AD$56,'Assumptions'!$AE$56,'Assumptions'!$AF$56)=21,COUNT('Assumptions'!$D$8:$D$21)=14,'Assumptions'!$J$56&gt;=1,'Assumptions'!$J$56&lt;=12,'Assumptions'!$D$8&gt;=0,'Assumptions'!$D$15&gt;0),F2466+G2466,NA())</x:f>
        <x:v>17.73167734862666</x:v>
      </x:c>
      <x:c r="I2466" s="22" t="n">
        <x:f>'Assumptions'!$H$56*IF('Assumptions'!$O$56=1,1,'Assumptions'!$D$10)*(1+'Assumptions'!$N$56)^(20-1)</x:f>
        <x:v>1800</x:v>
      </x:c>
      <x:c r="J2466" s="10" t="n">
        <x:f>H2466*I2466</x:f>
        <x:v>31917.01922752799</x:v>
      </x:c>
      <x:c r="K2466" s="10" t="n">
        <x:f>J2466*'Assumptions'!$T$56</x:f>
        <x:v>31917.01922752799</x:v>
      </x:c>
      <x:c r="L2466" s="10" t="n">
        <x:f>K2466*'Assumptions'!$U$56</x:f>
        <x:v>957.5105768258397</x:v>
      </x:c>
      <x:c r="M2466" s="10" t="n">
        <x:f>K2466*'Assumptions'!$V$56</x:f>
        <x:v>0</x:v>
      </x:c>
      <x:c r="N2466" s="10" t="n">
        <x:f>K2466-L2466-M2466</x:f>
        <x:v>30959.50865070215</x:v>
      </x:c>
      <x:c r="O2466" s="10" t="n">
        <x:f>H2466*'Assumptions'!$P$56*'Assumptions'!$Q$56*'Assumptions'!$D$11*(1+'Assumptions'!$D$13)^(20-1)</x:f>
        <x:v>18655.562137216188</x:v>
      </x:c>
      <x:c r="P2466" s="10" t="n">
        <x:f>H2466*'Assumptions'!$R$56*'Assumptions'!$D$11*(1+'Assumptions'!$D$13)^(20-1)</x:f>
        <x:v>310.92603562026983</x:v>
      </x:c>
      <x:c r="Q2466" s="10" t="n">
        <x:f>J2466*'Assumptions'!$S$56</x:f>
        <x:v>0</x:v>
      </x:c>
      <x:c r="R2466" s="10" t="n">
        <x:f>H2466*'Assumptions'!$Y$56*'Assumptions'!$Z$56*'Assumptions'!$D$11*(1+'Assumptions'!$D$13)^(20-1)</x:f>
        <x:v>233.1945267152024</x:v>
      </x:c>
      <x:c r="S2466" s="10" t="n">
        <x:f>IF(I2466=0,0,J2466*'Assumptions'!$W$56+H2466*'Assumptions'!$X$56)</x:f>
        <x:v>930.9130608028998</x:v>
      </x:c>
      <x:c r="T2466" s="10" t="n">
        <x:f>N2466*'Assumptions'!$AA$56</x:f>
        <x:v>1238.380346028086</x:v>
      </x:c>
      <x:c r="U2466" s="10" t="n">
        <x:f>'Assumptions'!$AE$56*'Assumptions'!$D$11*(1+'Assumptions'!$D$13)^(20-1)</x:f>
        <x:v>0</x:v>
      </x:c>
      <x:c r="V2466" s="10" t="n">
        <x:f>0</x:f>
        <x:v>0</x:v>
      </x:c>
      <x:c r="W2466" s="10" t="n">
        <x:f>H2466*('Assumptions'!$P$56+'Assumptions'!$Y$56)</x:f>
        <x:v>181.7496928234233</x:v>
      </x:c>
      <x:c r="X2466" s="10" t="n">
        <x:f>N2466/12*'Assumptions'!$AF$56</x:f>
        <x:v>2579.9590542251794</x:v>
      </x:c>
      <x:c r="Y2466" s="10" t="n">
        <x:f>P2466/12</x:f>
        <x:v>25.910502968355818</x:v>
      </x:c>
      <x:c r="Z2466" s="10" t="n">
        <x:f>0</x:f>
        <x:v>0</x:v>
      </x:c>
      <x:c r="AA2466" s="10" t="n">
        <x:f>Z2466*'Assumptions'!$AC$56*'Assumptions'!$D$11*(1+'Assumptions'!$D$13)^(20-1)</x:f>
        <x:v>0</x:v>
      </x:c>
      <x:c r="AB2466" s="10" t="n">
        <x:f>F2466/1</x:f>
        <x:v>9.124080378580723</x:v>
      </x:c>
      <x:c r="AC2466" s="10" t="n">
        <x:f>AB2466/'Assumptions'!$AM$56</x:f>
        <x:v>45.620401892903615</x:v>
      </x:c>
      <x:c r="AD2466" s="10" t="n">
        <x:f>IF(AB2466=0,0,T2466/AB2466)</x:f>
        <x:v>135.72659321757527</x:v>
      </x:c>
      <x:c r="AE2466" s="10" t="n">
        <x:f>AA2466*'Assumptions'!$D$21</x:f>
        <x:v>0</x:v>
      </x:c>
    </x:row>
    <x:row r="2467" ht="16" customHeight="1">
      <x:c r="A2467" s="1"/>
      <x:c r="B2467" s="1"/>
      <x:c r="C2467" s="1" t="str">
        <x:v>DOT-028</x:v>
      </x:c>
      <x:c r="D2467" s="10" t="str">
        <x:v>BPA professional services</x:v>
      </x:c>
      <x:c r="E2467" s="10" t="n">
        <x:v>20</x:v>
      </x:c>
      <x:c r="F2467" s="21" t="n">
        <x:f>F2339*(1+'Assumptions'!$M$57)</x:f>
        <x:v>4.562040189290362</x:v>
      </x:c>
      <x:c r="G2467" s="21" t="n">
        <x:f>H2339*'Assumptions'!$K$57</x:f>
        <x:v>4.303798485022968</x:v>
      </x:c>
      <x:c r="H2467" s="21" t="n">
        <x:f>IF(AND(COUNT('Assumptions'!$H$57,'Assumptions'!$I$57,'Assumptions'!$J$57,'Assumptions'!$K$57,'Assumptions'!$L$57,'Assumptions'!$M$57,'Assumptions'!$P$57,'Assumptions'!$Q$57,'Assumptions'!$R$57,'Assumptions'!$S$57,'Assumptions'!$T$57,'Assumptions'!$U$57,'Assumptions'!$V$57,'Assumptions'!$W$57,'Assumptions'!$X$57,'Assumptions'!$Y$57,'Assumptions'!$Z$57,'Assumptions'!$AA$57,'Assumptions'!$AD$57,'Assumptions'!$AE$57,'Assumptions'!$AF$57)=21,COUNT('Assumptions'!$D$8:$D$21)=14,'Assumptions'!$J$57&gt;=1,'Assumptions'!$J$57&lt;=12,'Assumptions'!$D$8&gt;=0,'Assumptions'!$D$15&gt;0),F2467+G2467,NA())</x:f>
        <x:v>8.86583867431333</x:v>
      </x:c>
      <x:c r="I2467" s="22" t="n">
        <x:f>'Assumptions'!$H$57*IF('Assumptions'!$O$57=1,1,'Assumptions'!$D$10)*(1+'Assumptions'!$N$57)^(20-1)</x:f>
        <x:v>1800</x:v>
      </x:c>
      <x:c r="J2467" s="10" t="n">
        <x:f>H2467*I2467</x:f>
        <x:v>15958.509613763996</x:v>
      </x:c>
      <x:c r="K2467" s="10" t="n">
        <x:f>J2467*'Assumptions'!$T$57</x:f>
        <x:v>15958.509613763996</x:v>
      </x:c>
      <x:c r="L2467" s="10" t="n">
        <x:f>K2467*'Assumptions'!$U$57</x:f>
        <x:v>478.75528841291987</x:v>
      </x:c>
      <x:c r="M2467" s="10" t="n">
        <x:f>K2467*'Assumptions'!$V$57</x:f>
        <x:v>0</x:v>
      </x:c>
      <x:c r="N2467" s="10" t="n">
        <x:f>K2467-L2467-M2467</x:f>
        <x:v>15479.754325351076</x:v>
      </x:c>
      <x:c r="O2467" s="10" t="n">
        <x:f>H2467*'Assumptions'!$P$57*'Assumptions'!$Q$57*'Assumptions'!$D$11*(1+'Assumptions'!$D$13)^(20-1)</x:f>
        <x:v>11193.337282329714</x:v>
      </x:c>
      <x:c r="P2467" s="10" t="n">
        <x:f>H2467*'Assumptions'!$R$57*'Assumptions'!$D$11*(1+'Assumptions'!$D$13)^(20-1)</x:f>
        <x:v>155.46301781013491</x:v>
      </x:c>
      <x:c r="Q2467" s="10" t="n">
        <x:f>J2467*'Assumptions'!$S$57</x:f>
        <x:v>0</x:v>
      </x:c>
      <x:c r="R2467" s="10" t="n">
        <x:f>H2467*'Assumptions'!$Y$57*'Assumptions'!$Z$57*'Assumptions'!$D$11*(1+'Assumptions'!$D$13)^(20-1)</x:f>
        <x:v>116.5972633576012</x:v>
      </x:c>
      <x:c r="S2467" s="10" t="n">
        <x:f>IF(I2467=0,0,J2467*'Assumptions'!$W$57+H2467*'Assumptions'!$X$57)</x:f>
        <x:v>465.4565304014499</x:v>
      </x:c>
      <x:c r="T2467" s="10" t="n">
        <x:f>N2467*'Assumptions'!$AA$57</x:f>
        <x:v>619.190173014043</x:v>
      </x:c>
      <x:c r="U2467" s="10" t="n">
        <x:f>'Assumptions'!$AE$57*'Assumptions'!$D$11*(1+'Assumptions'!$D$13)^(20-1)</x:f>
        <x:v>0</x:v>
      </x:c>
      <x:c r="V2467" s="10" t="n">
        <x:f>0</x:f>
        <x:v>0</x:v>
      </x:c>
      <x:c r="W2467" s="10" t="n">
        <x:f>H2467*('Assumptions'!$P$57+'Assumptions'!$Y$57)</x:f>
        <x:v>108.6065237603383</x:v>
      </x:c>
      <x:c r="X2467" s="10" t="n">
        <x:f>N2467/12*'Assumptions'!$AF$57</x:f>
        <x:v>1289.9795271125897</x:v>
      </x:c>
      <x:c r="Y2467" s="10" t="n">
        <x:f>P2467/12</x:f>
        <x:v>12.955251484177909</x:v>
      </x:c>
      <x:c r="Z2467" s="10" t="n">
        <x:f>0</x:f>
        <x:v>0</x:v>
      </x:c>
      <x:c r="AA2467" s="10" t="n">
        <x:f>Z2467*'Assumptions'!$AC$57*'Assumptions'!$D$11*(1+'Assumptions'!$D$13)^(20-1)</x:f>
        <x:v>0</x:v>
      </x:c>
      <x:c r="AB2467" s="10" t="n">
        <x:f>F2467/1</x:f>
        <x:v>4.562040189290362</x:v>
      </x:c>
      <x:c r="AC2467" s="10" t="n">
        <x:f>AB2467/'Assumptions'!$AM$57</x:f>
        <x:v>22.810200946451808</x:v>
      </x:c>
      <x:c r="AD2467" s="10" t="n">
        <x:f>IF(AB2467=0,0,T2467/AB2467)</x:f>
        <x:v>135.72659321757527</x:v>
      </x:c>
      <x:c r="AE2467" s="10" t="n">
        <x:f>AA2467*'Assumptions'!$D$21</x:f>
        <x:v>0</x:v>
      </x:c>
    </x:row>
    <x:row r="2468" ht="16" customHeight="1">
      <x:c r="A2468" s="1"/>
      <x:c r="B2468" s="1"/>
      <x:c r="C2468" s="1" t="str">
        <x:v>DOT-029</x:v>
      </x:c>
      <x:c r="D2468" s="10" t="str">
        <x:v>BPA professional services</x:v>
      </x:c>
      <x:c r="E2468" s="10" t="n">
        <x:v>20</x:v>
      </x:c>
      <x:c r="F2468" s="21" t="n">
        <x:f>F2340*(1+'Assumptions'!$M$58)</x:f>
        <x:v>45.62040189290362</x:v>
      </x:c>
      <x:c r="G2468" s="21" t="n">
        <x:f>H2340*'Assumptions'!$K$58</x:f>
        <x:v>43.037984850229684</x:v>
      </x:c>
      <x:c r="H2468" s="21" t="n">
        <x:f>IF(AND(COUNT('Assumptions'!$H$58,'Assumptions'!$I$58,'Assumptions'!$J$58,'Assumptions'!$K$58,'Assumptions'!$L$58,'Assumptions'!$M$58,'Assumptions'!$P$58,'Assumptions'!$Q$58,'Assumptions'!$R$58,'Assumptions'!$S$58,'Assumptions'!$T$58,'Assumptions'!$U$58,'Assumptions'!$V$58,'Assumptions'!$W$58,'Assumptions'!$X$58,'Assumptions'!$Y$58,'Assumptions'!$Z$58,'Assumptions'!$AA$58,'Assumptions'!$AD$58,'Assumptions'!$AE$58,'Assumptions'!$AF$58)=21,COUNT('Assumptions'!$D$8:$D$21)=14,'Assumptions'!$J$58&gt;=1,'Assumptions'!$J$58&lt;=12,'Assumptions'!$D$8&gt;=0,'Assumptions'!$D$15&gt;0),F2468+G2468,NA())</x:f>
        <x:v>88.6583867431333</x:v>
      </x:c>
      <x:c r="I2468" s="22" t="n">
        <x:f>'Assumptions'!$H$58*IF('Assumptions'!$O$58=1,1,'Assumptions'!$D$10)*(1+'Assumptions'!$N$58)^(20-1)</x:f>
        <x:v>180</x:v>
      </x:c>
      <x:c r="J2468" s="10" t="n">
        <x:f>H2468*I2468</x:f>
        <x:v>15958.509613763996</x:v>
      </x:c>
      <x:c r="K2468" s="10" t="n">
        <x:f>J2468*'Assumptions'!$T$58</x:f>
        <x:v>15958.509613763996</x:v>
      </x:c>
      <x:c r="L2468" s="10" t="n">
        <x:f>K2468*'Assumptions'!$U$58</x:f>
        <x:v>478.75528841291987</x:v>
      </x:c>
      <x:c r="M2468" s="10" t="n">
        <x:f>K2468*'Assumptions'!$V$58</x:f>
        <x:v>0</x:v>
      </x:c>
      <x:c r="N2468" s="10" t="n">
        <x:f>K2468-L2468-M2468</x:f>
        <x:v>15479.754325351076</x:v>
      </x:c>
      <x:c r="O2468" s="10" t="n">
        <x:f>H2468*'Assumptions'!$P$58*'Assumptions'!$Q$58*'Assumptions'!$D$11*(1+'Assumptions'!$D$13)^(20-1)</x:f>
        <x:v>9327.781068608094</x:v>
      </x:c>
      <x:c r="P2468" s="10" t="n">
        <x:f>H2468*'Assumptions'!$R$58*'Assumptions'!$D$11*(1+'Assumptions'!$D$13)^(20-1)</x:f>
        <x:v>1554.630178101349</x:v>
      </x:c>
      <x:c r="Q2468" s="10" t="n">
        <x:f>J2468*'Assumptions'!$S$58</x:f>
        <x:v>0</x:v>
      </x:c>
      <x:c r="R2468" s="10" t="n">
        <x:f>H2468*'Assumptions'!$Y$58*'Assumptions'!$Z$58*'Assumptions'!$D$11*(1+'Assumptions'!$D$13)^(20-1)</x:f>
        <x:v>1165.9726335760117</x:v>
      </x:c>
      <x:c r="S2468" s="10" t="n">
        <x:f>IF(I2468=0,0,J2468*'Assumptions'!$W$58+H2468*'Assumptions'!$X$58)</x:f>
        <x:v>489.3942948220959</x:v>
      </x:c>
      <x:c r="T2468" s="10" t="n">
        <x:f>N2468*'Assumptions'!$AA$58</x:f>
        <x:v>619.190173014043</x:v>
      </x:c>
      <x:c r="U2468" s="10" t="n">
        <x:f>'Assumptions'!$AE$58*'Assumptions'!$D$11*(1+'Assumptions'!$D$13)^(20-1)</x:f>
        <x:v>0</x:v>
      </x:c>
      <x:c r="V2468" s="10" t="n">
        <x:f>0</x:f>
        <x:v>0</x:v>
      </x:c>
      <x:c r="W2468" s="10" t="n">
        <x:f>H2468*('Assumptions'!$P$58+'Assumptions'!$Y$58)</x:f>
        <x:v>110.82298342891663</x:v>
      </x:c>
      <x:c r="X2468" s="10" t="n">
        <x:f>N2468/12*'Assumptions'!$AF$58</x:f>
        <x:v>1289.9795271125897</x:v>
      </x:c>
      <x:c r="Y2468" s="10" t="n">
        <x:f>P2468/12</x:f>
        <x:v>129.55251484177907</x:v>
      </x:c>
      <x:c r="Z2468" s="10" t="n">
        <x:f>0</x:f>
        <x:v>0</x:v>
      </x:c>
      <x:c r="AA2468" s="10" t="n">
        <x:f>Z2468*'Assumptions'!$AC$58*'Assumptions'!$D$11*(1+'Assumptions'!$D$13)^(20-1)</x:f>
        <x:v>0</x:v>
      </x:c>
      <x:c r="AB2468" s="10" t="n">
        <x:f>F2468/1</x:f>
        <x:v>45.62040189290362</x:v>
      </x:c>
      <x:c r="AC2468" s="10" t="n">
        <x:f>AB2468/'Assumptions'!$AM$58</x:f>
        <x:v>228.1020094645181</x:v>
      </x:c>
      <x:c r="AD2468" s="10" t="n">
        <x:f>IF(AB2468=0,0,T2468/AB2468)</x:f>
        <x:v>13.572659321757525</x:v>
      </x:c>
      <x:c r="AE2468" s="10" t="n">
        <x:f>AA2468*'Assumptions'!$D$21</x:f>
        <x:v>0</x:v>
      </x:c>
    </x:row>
    <x:row r="2469" ht="16" customHeight="1">
      <x:c r="A2469" s="1"/>
      <x:c r="B2469" s="1"/>
      <x:c r="C2469" s="1" t="str">
        <x:v>DOT-030</x:v>
      </x:c>
      <x:c r="D2469" s="10" t="str">
        <x:v>BPA professional services</x:v>
      </x:c>
      <x:c r="E2469" s="10" t="n">
        <x:v>20</x:v>
      </x:c>
      <x:c r="F2469" s="21" t="n">
        <x:f>F2341*(1+'Assumptions'!$M$59)</x:f>
        <x:v>9.124080378580723</x:v>
      </x:c>
      <x:c r="G2469" s="21" t="n">
        <x:f>H2341*'Assumptions'!$K$59</x:f>
        <x:v>8.607596970045936</x:v>
      </x:c>
      <x:c r="H2469" s="21" t="n">
        <x:f>IF(AND(COUNT('Assumptions'!$H$59,'Assumptions'!$I$59,'Assumptions'!$J$59,'Assumptions'!$K$59,'Assumptions'!$L$59,'Assumptions'!$M$59,'Assumptions'!$P$59,'Assumptions'!$Q$59,'Assumptions'!$R$59,'Assumptions'!$S$59,'Assumptions'!$T$59,'Assumptions'!$U$59,'Assumptions'!$V$59,'Assumptions'!$W$59,'Assumptions'!$X$59,'Assumptions'!$Y$59,'Assumptions'!$Z$59,'Assumptions'!$AA$59,'Assumptions'!$AD$59,'Assumptions'!$AE$59,'Assumptions'!$AF$59)=21,COUNT('Assumptions'!$D$8:$D$21)=14,'Assumptions'!$J$59&gt;=1,'Assumptions'!$J$59&lt;=12,'Assumptions'!$D$8&gt;=0,'Assumptions'!$D$15&gt;0),F2469+G2469,NA())</x:f>
        <x:v>17.73167734862666</x:v>
      </x:c>
      <x:c r="I2469" s="22" t="n">
        <x:f>'Assumptions'!$H$59*IF('Assumptions'!$O$59=1,1,'Assumptions'!$D$10)*(1+'Assumptions'!$N$59)^(20-1)</x:f>
        <x:v>728.4055862638994</x:v>
      </x:c>
      <x:c r="J2469" s="10" t="n">
        <x:f>H2469*I2469</x:f>
        <x:v>12915.852834568708</x:v>
      </x:c>
      <x:c r="K2469" s="10" t="n">
        <x:f>J2469*'Assumptions'!$T$59</x:f>
        <x:v>12915.852834568708</x:v>
      </x:c>
      <x:c r="L2469" s="10" t="n">
        <x:f>K2469*'Assumptions'!$U$59</x:f>
        <x:v>387.47558503706125</x:v>
      </x:c>
      <x:c r="M2469" s="10" t="n">
        <x:f>K2469*'Assumptions'!$V$59</x:f>
        <x:v>0</x:v>
      </x:c>
      <x:c r="N2469" s="10" t="n">
        <x:f>K2469-L2469-M2469</x:f>
        <x:v>12528.377249531646</x:v>
      </x:c>
      <x:c r="O2469" s="10" t="n">
        <x:f>H2469*'Assumptions'!$P$59*'Assumptions'!$Q$59*'Assumptions'!$D$11*(1+'Assumptions'!$D$13)^(20-1)</x:f>
        <x:v>5596.668641164857</x:v>
      </x:c>
      <x:c r="P2469" s="10" t="n">
        <x:f>H2469*'Assumptions'!$R$59*'Assumptions'!$D$11*(1+'Assumptions'!$D$13)^(20-1)</x:f>
        <x:v>310.92603562026983</x:v>
      </x:c>
      <x:c r="Q2469" s="10" t="n">
        <x:f>J2469*'Assumptions'!$S$59</x:f>
        <x:v>0</x:v>
      </x:c>
      <x:c r="R2469" s="10" t="n">
        <x:f>H2469*'Assumptions'!$Y$59*'Assumptions'!$Z$59*'Assumptions'!$D$11*(1+'Assumptions'!$D$13)^(20-1)</x:f>
        <x:v>233.1945267152024</x:v>
      </x:c>
      <x:c r="S2469" s="10" t="n">
        <x:f>IF(I2469=0,0,J2469*'Assumptions'!$W$59+H2469*'Assumptions'!$X$59)</x:f>
        <x:v>379.87923540708056</x:v>
      </x:c>
      <x:c r="T2469" s="10" t="n">
        <x:f>N2469*'Assumptions'!$AA$59</x:f>
        <x:v>501.1350899812659</x:v>
      </x:c>
      <x:c r="U2469" s="10" t="n">
        <x:f>'Assumptions'!$AE$59*'Assumptions'!$D$11*(1+'Assumptions'!$D$13)^(20-1)</x:f>
        <x:v>0</x:v>
      </x:c>
      <x:c r="V2469" s="10" t="n">
        <x:f>0</x:f>
        <x:v>0</x:v>
      </x:c>
      <x:c r="W2469" s="10" t="n">
        <x:f>H2469*('Assumptions'!$P$59+'Assumptions'!$Y$59)</x:f>
        <x:v>57.627951383036645</x:v>
      </x:c>
      <x:c r="X2469" s="10" t="n">
        <x:f>N2469/12*'Assumptions'!$AF$59</x:f>
        <x:v>1044.0314374609704</x:v>
      </x:c>
      <x:c r="Y2469" s="10" t="n">
        <x:f>P2469/12</x:f>
        <x:v>25.910502968355818</x:v>
      </x:c>
      <x:c r="Z2469" s="10" t="n">
        <x:f>0</x:f>
        <x:v>0</x:v>
      </x:c>
      <x:c r="AA2469" s="10" t="n">
        <x:f>Z2469*'Assumptions'!$AC$59*'Assumptions'!$D$11*(1+'Assumptions'!$D$13)^(20-1)</x:f>
        <x:v>0</x:v>
      </x:c>
      <x:c r="AB2469" s="10" t="n">
        <x:f>F2469/1</x:f>
        <x:v>9.124080378580723</x:v>
      </x:c>
      <x:c r="AC2469" s="10" t="n">
        <x:f>AB2469/'Assumptions'!$AM$59</x:f>
        <x:v>45.620401892903615</x:v>
      </x:c>
      <x:c r="AD2469" s="10" t="n">
        <x:f>IF(AB2469=0,0,T2469/AB2469)</x:f>
        <x:v>54.924449280138724</x:v>
      </x:c>
      <x:c r="AE2469" s="10" t="n">
        <x:f>AA2469*'Assumptions'!$D$21</x:f>
        <x:v>0</x:v>
      </x:c>
    </x:row>
    <x:row r="2470" ht="16" customHeight="1">
      <x:c r="A2470" s="1"/>
      <x:c r="B2470" s="1"/>
      <x:c r="C2470" s="1" t="str">
        <x:v>DOT-031</x:v>
      </x:c>
      <x:c r="D2470" s="10" t="str">
        <x:v>BPA professional services</x:v>
      </x:c>
      <x:c r="E2470" s="10" t="n">
        <x:v>20</x:v>
      </x:c>
      <x:c r="F2470" s="21" t="n">
        <x:f>F2342*(1+'Assumptions'!$M$60)</x:f>
        <x:v>4.562040189290362</x:v>
      </x:c>
      <x:c r="G2470" s="21" t="n">
        <x:f>H2342*'Assumptions'!$K$60</x:f>
        <x:v>4.303800392371601</x:v>
      </x:c>
      <x:c r="H2470" s="21" t="n">
        <x:f>IF(AND(COUNT('Assumptions'!$H$60,'Assumptions'!$I$60,'Assumptions'!$J$60,'Assumptions'!$K$60,'Assumptions'!$L$60,'Assumptions'!$M$60,'Assumptions'!$P$60,'Assumptions'!$Q$60,'Assumptions'!$R$60,'Assumptions'!$S$60,'Assumptions'!$T$60,'Assumptions'!$U$60,'Assumptions'!$V$60,'Assumptions'!$W$60,'Assumptions'!$X$60,'Assumptions'!$Y$60,'Assumptions'!$Z$60,'Assumptions'!$AA$60,'Assumptions'!$AD$60,'Assumptions'!$AE$60,'Assumptions'!$AF$60)=21,COUNT('Assumptions'!$D$8:$D$21)=14,'Assumptions'!$J$60&gt;=1,'Assumptions'!$J$60&lt;=12,'Assumptions'!$D$8&gt;=0,'Assumptions'!$D$15&gt;0),F2470+G2470,NA())</x:f>
        <x:v>8.865840581661963</x:v>
      </x:c>
      <x:c r="I2470" s="22" t="n">
        <x:f>'Assumptions'!$H$60*IF('Assumptions'!$O$60=1,1,'Assumptions'!$D$10)*(1+'Assumptions'!$N$60)^(20-1)</x:f>
        <x:v>7284.055862638994</x:v>
      </x:c>
      <x:c r="J2470" s="10" t="n">
        <x:f>H2470*I2470</x:f>
        <x:v>64579.27806607753</x:v>
      </x:c>
      <x:c r="K2470" s="10" t="n">
        <x:f>J2470*'Assumptions'!$T$60</x:f>
        <x:v>64579.27806607753</x:v>
      </x:c>
      <x:c r="L2470" s="10" t="n">
        <x:f>K2470*'Assumptions'!$U$60</x:f>
        <x:v>1937.3783419823258</x:v>
      </x:c>
      <x:c r="M2470" s="10" t="n">
        <x:f>K2470*'Assumptions'!$V$60</x:f>
        <x:v>0</x:v>
      </x:c>
      <x:c r="N2470" s="10" t="n">
        <x:f>K2470-L2470-M2470</x:f>
        <x:v>62641.89972409521</x:v>
      </x:c>
      <x:c r="O2470" s="10" t="n">
        <x:f>H2470*'Assumptions'!$P$60*'Assumptions'!$Q$60*'Assumptions'!$D$11*(1+'Assumptions'!$D$13)^(20-1)</x:f>
        <x:v>37311.13230134607</x:v>
      </x:c>
      <x:c r="P2470" s="10" t="n">
        <x:f>H2470*'Assumptions'!$R$60*'Assumptions'!$D$11*(1+'Assumptions'!$D$13)^(20-1)</x:f>
        <x:v>155.46305125560863</x:v>
      </x:c>
      <x:c r="Q2470" s="10" t="n">
        <x:f>J2470*'Assumptions'!$S$60</x:f>
        <x:v>0</x:v>
      </x:c>
      <x:c r="R2470" s="10" t="n">
        <x:f>H2470*'Assumptions'!$Y$60*'Assumptions'!$Z$60*'Assumptions'!$D$11*(1+'Assumptions'!$D$13)^(20-1)</x:f>
        <x:v>116.59728844170648</x:v>
      </x:c>
      <x:c r="S2470" s="10" t="n">
        <x:f>IF(I2470=0,0,J2470*'Assumptions'!$W$60+H2470*'Assumptions'!$X$60)</x:f>
        <x:v>1875.4588160907472</x:v>
      </x:c>
      <x:c r="T2470" s="10" t="n">
        <x:f>N2470*'Assumptions'!$AA$60</x:f>
        <x:v>2505.6759889638083</x:v>
      </x:c>
      <x:c r="U2470" s="10" t="n">
        <x:f>'Assumptions'!$AE$60*'Assumptions'!$D$11*(1+'Assumptions'!$D$13)^(20-1)</x:f>
        <x:v>0</x:v>
      </x:c>
      <x:c r="V2470" s="10" t="n">
        <x:f>0</x:f>
        <x:v>0</x:v>
      </x:c>
      <x:c r="W2470" s="10" t="n">
        <x:f>H2470*('Assumptions'!$P$60+'Assumptions'!$Y$60)</x:f>
        <x:v>356.85008341189405</x:v>
      </x:c>
      <x:c r="X2470" s="10" t="n">
        <x:f>N2470/12*'Assumptions'!$AF$60</x:f>
        <x:v>5220.158310341268</x:v>
      </x:c>
      <x:c r="Y2470" s="10" t="n">
        <x:f>P2470/12</x:f>
        <x:v>12.955254271300719</x:v>
      </x:c>
      <x:c r="Z2470" s="10" t="n">
        <x:f>0</x:f>
        <x:v>0</x:v>
      </x:c>
      <x:c r="AA2470" s="10" t="n">
        <x:f>Z2470*'Assumptions'!$AC$60*'Assumptions'!$D$11*(1+'Assumptions'!$D$13)^(20-1)</x:f>
        <x:v>0</x:v>
      </x:c>
      <x:c r="AB2470" s="10" t="n">
        <x:f>F2470/1</x:f>
        <x:v>4.562040189290362</x:v>
      </x:c>
      <x:c r="AC2470" s="10" t="n">
        <x:f>AB2470/'Assumptions'!$AM$60</x:f>
        <x:v>22.810200946451808</x:v>
      </x:c>
      <x:c r="AD2470" s="10" t="n">
        <x:f>IF(AB2470=0,0,T2470/AB2470)</x:f>
        <x:v>549.2446109628801</x:v>
      </x:c>
      <x:c r="AE2470" s="10" t="n">
        <x:f>AA2470*'Assumptions'!$D$21</x:f>
        <x:v>0</x:v>
      </x:c>
    </x:row>
    <x:row r="2471" ht="16" customHeight="1">
      <x:c r="A2471" s="1"/>
      <x:c r="B2471" s="1"/>
      <x:c r="C2471" s="1" t="str">
        <x:v>DOT-032</x:v>
      </x:c>
      <x:c r="D2471" s="10" t="str">
        <x:v>BPA professional services</x:v>
      </x:c>
      <x:c r="E2471" s="10" t="n">
        <x:v>20</x:v>
      </x:c>
      <x:c r="F2471" s="21" t="n">
        <x:f>F2343*(1+'Assumptions'!$M$61)</x:f>
        <x:v>2.281020094645181</x:v>
      </x:c>
      <x:c r="G2471" s="21" t="n">
        <x:f>H2343*'Assumptions'!$K$61</x:f>
        <x:v>2.1519001961858004</x:v>
      </x:c>
      <x:c r="H2471" s="21" t="n">
        <x:f>IF(AND(COUNT('Assumptions'!$H$61,'Assumptions'!$I$61,'Assumptions'!$J$61,'Assumptions'!$K$61,'Assumptions'!$L$61,'Assumptions'!$M$61,'Assumptions'!$P$61,'Assumptions'!$Q$61,'Assumptions'!$R$61,'Assumptions'!$S$61,'Assumptions'!$T$61,'Assumptions'!$U$61,'Assumptions'!$V$61,'Assumptions'!$W$61,'Assumptions'!$X$61,'Assumptions'!$Y$61,'Assumptions'!$Z$61,'Assumptions'!$AA$61,'Assumptions'!$AD$61,'Assumptions'!$AE$61,'Assumptions'!$AF$61)=21,COUNT('Assumptions'!$D$8:$D$21)=14,'Assumptions'!$J$61&gt;=1,'Assumptions'!$J$61&lt;=12,'Assumptions'!$D$8&gt;=0,'Assumptions'!$D$15&gt;0),F2471+G2471,NA())</x:f>
        <x:v>4.432920290830982</x:v>
      </x:c>
      <x:c r="I2471" s="22" t="n">
        <x:f>'Assumptions'!$H$61*IF('Assumptions'!$O$61=1,1,'Assumptions'!$D$10)*(1+'Assumptions'!$N$61)^(20-1)</x:f>
        <x:v>10926.08379395849</x:v>
      </x:c>
      <x:c r="J2471" s="10" t="n">
        <x:f>H2471*I2471</x:f>
        <x:v>48434.45854955815</x:v>
      </x:c>
      <x:c r="K2471" s="10" t="n">
        <x:f>J2471*'Assumptions'!$T$61</x:f>
        <x:v>48434.45854955815</x:v>
      </x:c>
      <x:c r="L2471" s="10" t="n">
        <x:f>K2471*'Assumptions'!$U$61</x:f>
        <x:v>1453.0337564867443</x:v>
      </x:c>
      <x:c r="M2471" s="10" t="n">
        <x:f>K2471*'Assumptions'!$V$61</x:f>
        <x:v>0</x:v>
      </x:c>
      <x:c r="N2471" s="10" t="n">
        <x:f>K2471-L2471-M2471</x:f>
        <x:v>46981.424793071405</x:v>
      </x:c>
      <x:c r="O2471" s="10" t="n">
        <x:f>H2471*'Assumptions'!$P$61*'Assumptions'!$Q$61*'Assumptions'!$D$11*(1+'Assumptions'!$D$13)^(20-1)</x:f>
        <x:v>27983.349226009555</x:v>
      </x:c>
      <x:c r="P2471" s="10" t="n">
        <x:f>H2471*'Assumptions'!$R$61*'Assumptions'!$D$11*(1+'Assumptions'!$D$13)^(20-1)</x:f>
        <x:v>77.73152562780432</x:v>
      </x:c>
      <x:c r="Q2471" s="10" t="n">
        <x:f>J2471*'Assumptions'!$S$61</x:f>
        <x:v>0</x:v>
      </x:c>
      <x:c r="R2471" s="10" t="n">
        <x:f>H2471*'Assumptions'!$Y$61*'Assumptions'!$Z$61*'Assumptions'!$D$11*(1+'Assumptions'!$D$13)^(20-1)</x:f>
        <x:v>58.29864422085324</x:v>
      </x:c>
      <x:c r="S2471" s="10" t="n">
        <x:f>IF(I2471=0,0,J2471*'Assumptions'!$W$61+H2471*'Assumptions'!$X$61)</x:f>
        <x:v>1405.9291740244355</x:v>
      </x:c>
      <x:c r="T2471" s="10" t="n">
        <x:f>N2471*'Assumptions'!$AA$61</x:f>
        <x:v>1879.2569917228561</x:v>
      </x:c>
      <x:c r="U2471" s="10" t="n">
        <x:f>'Assumptions'!$AE$61*'Assumptions'!$D$11*(1+'Assumptions'!$D$13)^(20-1)</x:f>
        <x:v>0</x:v>
      </x:c>
      <x:c r="V2471" s="10" t="n">
        <x:f>0</x:f>
        <x:v>0</x:v>
      </x:c>
      <x:c r="W2471" s="10" t="n">
        <x:f>H2471*('Assumptions'!$P$61+'Assumptions'!$Y$61)</x:f>
        <x:v>267.08344752256664</x:v>
      </x:c>
      <x:c r="X2471" s="10" t="n">
        <x:f>N2471/12*'Assumptions'!$AF$61</x:f>
        <x:v>3915.1187327559505</x:v>
      </x:c>
      <x:c r="Y2471" s="10" t="n">
        <x:f>P2471/12</x:f>
        <x:v>6.477627135650359</x:v>
      </x:c>
      <x:c r="Z2471" s="10" t="n">
        <x:f>0</x:f>
        <x:v>0</x:v>
      </x:c>
      <x:c r="AA2471" s="10" t="n">
        <x:f>Z2471*'Assumptions'!$AC$61*'Assumptions'!$D$11*(1+'Assumptions'!$D$13)^(20-1)</x:f>
        <x:v>0</x:v>
      </x:c>
      <x:c r="AB2471" s="10" t="n">
        <x:f>F2471/1</x:f>
        <x:v>2.281020094645181</x:v>
      </x:c>
      <x:c r="AC2471" s="10" t="n">
        <x:f>AB2471/'Assumptions'!$AM$61</x:f>
        <x:v>11.405100473225904</x:v>
      </x:c>
      <x:c r="AD2471" s="10" t="n">
        <x:f>IF(AB2471=0,0,T2471/AB2471)</x:f>
        <x:v>823.86691644432</x:v>
      </x:c>
      <x:c r="AE2471" s="10" t="n">
        <x:f>AA2471*'Assumptions'!$D$21</x:f>
        <x:v>0</x:v>
      </x:c>
    </x:row>
    <x:row r="2472" ht="16" customHeight="1">
      <x:c r="A2472" s="1"/>
      <x:c r="B2472" s="1"/>
      <x:c r="C2472" s="1" t="str">
        <x:v>DOT-033</x:v>
      </x:c>
      <x:c r="D2472" s="10" t="str">
        <x:v>CornerFlow</x:v>
      </x:c>
      <x:c r="E2472" s="10" t="n">
        <x:v>20</x:v>
      </x:c>
      <x:c r="F2472" s="21" t="n">
        <x:f>F2344*(1+'Assumptions'!$M$62)</x:f>
        <x:v>116.30164446228048</x:v>
      </x:c>
      <x:c r="G2472" s="21" t="n">
        <x:f>H2344*'Assumptions'!$K$62</x:f>
        <x:v>246.4147647181817</x:v>
      </x:c>
      <x:c r="H2472" s="21" t="n">
        <x:f>IF(AND(COUNT('Assumptions'!$H$62,'Assumptions'!$I$62,'Assumptions'!$J$62,'Assumptions'!$K$62,'Assumptions'!$L$62,'Assumptions'!$M$62,'Assumptions'!$P$62,'Assumptions'!$Q$62,'Assumptions'!$R$62,'Assumptions'!$S$62,'Assumptions'!$T$62,'Assumptions'!$U$62,'Assumptions'!$V$62,'Assumptions'!$W$62,'Assumptions'!$X$62,'Assumptions'!$Y$62,'Assumptions'!$Z$62,'Assumptions'!$AA$62,'Assumptions'!$AD$62,'Assumptions'!$AE$62,'Assumptions'!$AF$62)=21,COUNT('Assumptions'!$D$8:$D$21)=14,'Assumptions'!$J$62&gt;=1,'Assumptions'!$J$62&lt;=12,'Assumptions'!$D$8&gt;=0,'Assumptions'!$D$15&gt;0),F2472+G2472,NA())</x:f>
        <x:v>362.71640918046216</x:v>
      </x:c>
      <x:c r="I2472" s="22" t="n">
        <x:f>'Assumptions'!$H$62*IF('Assumptions'!$O$62=1,1,'Assumptions'!$D$10)*(1+'Assumptions'!$N$62)^(20-1)</x:f>
        <x:v>71.38374745386214</x:v>
      </x:c>
      <x:c r="J2472" s="10" t="n">
        <x:f>H2472*I2472</x:f>
        <x:v>25892.056550309833</x:v>
      </x:c>
      <x:c r="K2472" s="10" t="n">
        <x:f>J2472*'Assumptions'!$T$62</x:f>
        <x:v>25892.056550309833</x:v>
      </x:c>
      <x:c r="L2472" s="10" t="n">
        <x:f>K2472*'Assumptions'!$U$62</x:f>
        <x:v>776.761696509295</x:v>
      </x:c>
      <x:c r="M2472" s="10" t="n">
        <x:f>K2472*'Assumptions'!$V$62</x:f>
        <x:v>0</x:v>
      </x:c>
      <x:c r="N2472" s="10" t="n">
        <x:f>K2472-L2472-M2472</x:f>
        <x:v>25115.294853800537</x:v>
      </x:c>
      <x:c r="O2472" s="10" t="n">
        <x:f>H2472*'Assumptions'!$P$62*'Assumptions'!$Q$62*'Assumptions'!$D$11*(1+'Assumptions'!$D$13)^(20-1)</x:f>
        <x:v>3339.1334500037387</x:v>
      </x:c>
      <x:c r="P2472" s="10" t="n">
        <x:f>H2472*'Assumptions'!$R$62*'Assumptions'!$D$11*(1+'Assumptions'!$D$13)^(20-1)</x:f>
        <x:v>0</x:v>
      </x:c>
      <x:c r="Q2472" s="10" t="n">
        <x:f>J2472*'Assumptions'!$S$62</x:f>
        <x:v>0</x:v>
      </x:c>
      <x:c r="R2472" s="10" t="n">
        <x:f>H2472*'Assumptions'!$Y$62*'Assumptions'!$Z$62*'Assumptions'!$D$11*(1+'Assumptions'!$D$13)^(20-1)</x:f>
        <x:v>2862.11438571749</x:v>
      </x:c>
      <x:c r="S2472" s="10" t="n">
        <x:f>IF(I2472=0,0,J2472*'Assumptions'!$W$62+H2472*'Assumptions'!$X$62)</x:f>
        <x:v>859.6845627131238</x:v>
      </x:c>
      <x:c r="T2472" s="10" t="n">
        <x:f>N2472*'Assumptions'!$AA$62</x:f>
        <x:v>1255.7647426900269</x:v>
      </x:c>
      <x:c r="U2472" s="10" t="n">
        <x:f>'Assumptions'!$AE$62*'Assumptions'!$D$11*(1+'Assumptions'!$D$13)^(20-1)</x:f>
        <x:v>210.42072636925218</x:v>
      </x:c>
      <x:c r="V2472" s="10" t="n">
        <x:f>0</x:f>
        <x:v>0</x:v>
      </x:c>
      <x:c r="W2472" s="10" t="n">
        <x:f>H2472*('Assumptions'!$P$62+'Assumptions'!$Y$62)</x:f>
        <x:v>108.81492275413865</x:v>
      </x:c>
      <x:c r="X2472" s="10" t="n">
        <x:f>N2472/12*'Assumptions'!$AF$62</x:f>
        <x:v>0</x:v>
      </x:c>
      <x:c r="Y2472" s="10" t="n">
        <x:f>P2472/12</x:f>
        <x:v>0</x:v>
      </x:c>
      <x:c r="Z2472" s="10" t="n">
        <x:f>0</x:f>
        <x:v>0</x:v>
      </x:c>
      <x:c r="AA2472" s="10" t="n">
        <x:f>Z2472*'Assumptions'!$AC$62*'Assumptions'!$D$11*(1+'Assumptions'!$D$13)^(20-1)</x:f>
        <x:v>0</x:v>
      </x:c>
      <x:c r="AB2472" s="10" t="n">
        <x:f>F2472/12</x:f>
        <x:v>9.69180370519004</x:v>
      </x:c>
      <x:c r="AC2472" s="10" t="n">
        <x:f>AB2472/'Assumptions'!$AM$62</x:f>
        <x:v>193.8360741038008</x:v>
      </x:c>
      <x:c r="AD2472" s="10" t="n">
        <x:f>IF(AB2472=0,0,T2472/AB2472)</x:f>
        <x:v>129.56976646334206</x:v>
      </x:c>
      <x:c r="AE2472" s="10" t="n">
        <x:f>AA2472*'Assumptions'!$D$21</x:f>
        <x:v>0</x:v>
      </x:c>
    </x:row>
    <x:row r="2473" ht="16" customHeight="1">
      <x:c r="A2473" s="1"/>
      <x:c r="B2473" s="1"/>
      <x:c r="C2473" s="1" t="str">
        <x:v>DOT-034</x:v>
      </x:c>
      <x:c r="D2473" s="10" t="str">
        <x:v>CornerFlow</x:v>
      </x:c>
      <x:c r="E2473" s="10" t="n">
        <x:v>20</x:v>
      </x:c>
      <x:c r="F2473" s="21" t="n">
        <x:f>F2345*(1+'Assumptions'!$M$63)</x:f>
        <x:v>22.81020094645181</x:v>
      </x:c>
      <x:c r="G2473" s="21" t="n">
        <x:f>H2345*'Assumptions'!$K$63</x:f>
        <x:v>21.518992425114842</x:v>
      </x:c>
      <x:c r="H2473" s="21" t="n">
        <x:f>IF(AND(COUNT('Assumptions'!$H$63,'Assumptions'!$I$63,'Assumptions'!$J$63,'Assumptions'!$K$63,'Assumptions'!$L$63,'Assumptions'!$M$63,'Assumptions'!$P$63,'Assumptions'!$Q$63,'Assumptions'!$R$63,'Assumptions'!$S$63,'Assumptions'!$T$63,'Assumptions'!$U$63,'Assumptions'!$V$63,'Assumptions'!$W$63,'Assumptions'!$X$63,'Assumptions'!$Y$63,'Assumptions'!$Z$63,'Assumptions'!$AA$63,'Assumptions'!$AD$63,'Assumptions'!$AE$63,'Assumptions'!$AF$63)=21,COUNT('Assumptions'!$D$8:$D$21)=14,'Assumptions'!$J$63&gt;=1,'Assumptions'!$J$63&lt;=12,'Assumptions'!$D$8&gt;=0,'Assumptions'!$D$15&gt;0),F2473+G2473,NA())</x:f>
        <x:v>44.32919337156665</x:v>
      </x:c>
      <x:c r="I2473" s="22" t="n">
        <x:f>'Assumptions'!$H$63*IF('Assumptions'!$O$63=1,1,'Assumptions'!$D$10)*(1+'Assumptions'!$N$63)^(20-1)</x:f>
        <x:v>289.90542333303193</x:v>
      </x:c>
      <x:c r="J2473" s="10" t="n">
        <x:f>H2473*I2473</x:f>
        <x:v>12851.273570395864</x:v>
      </x:c>
      <x:c r="K2473" s="10" t="n">
        <x:f>J2473*'Assumptions'!$T$63</x:f>
        <x:v>12851.273570395864</x:v>
      </x:c>
      <x:c r="L2473" s="10" t="n">
        <x:f>K2473*'Assumptions'!$U$63</x:f>
        <x:v>385.5382071118759</x:v>
      </x:c>
      <x:c r="M2473" s="10" t="n">
        <x:f>K2473*'Assumptions'!$V$63</x:f>
        <x:v>0</x:v>
      </x:c>
      <x:c r="N2473" s="10" t="n">
        <x:f>K2473-L2473-M2473</x:f>
        <x:v>12465.735363283988</x:v>
      </x:c>
      <x:c r="O2473" s="10" t="n">
        <x:f>H2473*'Assumptions'!$P$63*'Assumptions'!$Q$63*'Assumptions'!$D$11*(1+'Assumptions'!$D$13)^(20-1)</x:f>
        <x:v>6218.520712405396</x:v>
      </x:c>
      <x:c r="P2473" s="10" t="n">
        <x:f>H2473*'Assumptions'!$R$63*'Assumptions'!$D$11*(1+'Assumptions'!$D$13)^(20-1)</x:f>
        <x:v>0</x:v>
      </x:c>
      <x:c r="Q2473" s="10" t="n">
        <x:f>J2473*'Assumptions'!$S$63</x:f>
        <x:v>0</x:v>
      </x:c>
      <x:c r="R2473" s="10" t="n">
        <x:f>H2473*'Assumptions'!$Y$63*'Assumptions'!$Z$63*'Assumptions'!$D$11*(1+'Assumptions'!$D$13)^(20-1)</x:f>
        <x:v>582.9863167880059</x:v>
      </x:c>
      <x:c r="S2473" s="10" t="n">
        <x:f>IF(I2473=0,0,J2473*'Assumptions'!$W$63+H2473*'Assumptions'!$X$63)</x:f>
        <x:v>385.9856915529501</x:v>
      </x:c>
      <x:c r="T2473" s="10" t="n">
        <x:f>N2473*'Assumptions'!$AA$63</x:f>
        <x:v>498.62941453135954</x:v>
      </x:c>
      <x:c r="U2473" s="10" t="n">
        <x:f>'Assumptions'!$AE$63*'Assumptions'!$D$11*(1+'Assumptions'!$D$13)^(20-1)</x:f>
        <x:v>0</x:v>
      </x:c>
      <x:c r="V2473" s="10" t="n">
        <x:f>0</x:f>
        <x:v>0</x:v>
      </x:c>
      <x:c r="W2473" s="10" t="n">
        <x:f>H2473*('Assumptions'!$P$63+'Assumptions'!$Y$63)</x:f>
        <x:v>99.74068508602497</x:v>
      </x:c>
      <x:c r="X2473" s="10" t="n">
        <x:f>N2473/12*'Assumptions'!$AF$63</x:f>
        <x:v>1038.8112802736657</x:v>
      </x:c>
      <x:c r="Y2473" s="10" t="n">
        <x:f>P2473/12</x:f>
        <x:v>0</x:v>
      </x:c>
      <x:c r="Z2473" s="10" t="n">
        <x:f>0</x:f>
        <x:v>0</x:v>
      </x:c>
      <x:c r="AA2473" s="10" t="n">
        <x:f>Z2473*'Assumptions'!$AC$63*'Assumptions'!$D$11*(1+'Assumptions'!$D$13)^(20-1)</x:f>
        <x:v>0</x:v>
      </x:c>
      <x:c r="AB2473" s="10" t="n">
        <x:f>F2473/1</x:f>
        <x:v>22.81020094645181</x:v>
      </x:c>
      <x:c r="AC2473" s="10" t="n">
        <x:f>AB2473/'Assumptions'!$AM$63</x:f>
        <x:v>114.05100473225905</x:v>
      </x:c>
      <x:c r="AD2473" s="10" t="n">
        <x:f>IF(AB2473=0,0,T2473/AB2473)</x:f>
        <x:v>21.85993081349521</x:v>
      </x:c>
      <x:c r="AE2473" s="10" t="n">
        <x:f>AA2473*'Assumptions'!$D$21</x:f>
        <x:v>0</x:v>
      </x:c>
    </x:row>
    <x:row r="2474" ht="16" customHeight="1">
      <x:c r="A2474" s="1"/>
      <x:c r="B2474" s="1"/>
      <x:c r="C2474" s="1" t="str">
        <x:v>DOT-035</x:v>
      </x:c>
      <x:c r="D2474" s="10" t="str">
        <x:v>Spindle</x:v>
      </x:c>
      <x:c r="E2474" s="10" t="n">
        <x:v>20</x:v>
      </x:c>
      <x:c r="F2474" s="21" t="n">
        <x:f>F2346*(1+'Assumptions'!$M$64)</x:f>
        <x:v>116.30164446228048</x:v>
      </x:c>
      <x:c r="G2474" s="21" t="n">
        <x:f>H2346*'Assumptions'!$K$64</x:f>
        <x:v>246.4147647181817</x:v>
      </x:c>
      <x:c r="H2474" s="21" t="n">
        <x:f>IF(AND(COUNT('Assumptions'!$H$64,'Assumptions'!$I$64,'Assumptions'!$J$64,'Assumptions'!$K$64,'Assumptions'!$L$64,'Assumptions'!$M$64,'Assumptions'!$P$64,'Assumptions'!$Q$64,'Assumptions'!$R$64,'Assumptions'!$S$64,'Assumptions'!$T$64,'Assumptions'!$U$64,'Assumptions'!$V$64,'Assumptions'!$W$64,'Assumptions'!$X$64,'Assumptions'!$Y$64,'Assumptions'!$Z$64,'Assumptions'!$AA$64,'Assumptions'!$AD$64,'Assumptions'!$AE$64,'Assumptions'!$AF$64)=21,COUNT('Assumptions'!$D$8:$D$21)=14,'Assumptions'!$J$64&gt;=1,'Assumptions'!$J$64&lt;=12,'Assumptions'!$D$8&gt;=0,'Assumptions'!$D$15&gt;0),F2474+G2474,NA())</x:f>
        <x:v>362.71640918046216</x:v>
      </x:c>
      <x:c r="I2474" s="22" t="n">
        <x:f>'Assumptions'!$H$64*IF('Assumptions'!$O$64=1,1,'Assumptions'!$D$10)*(1+'Assumptions'!$N$64)^(20-1)</x:f>
        <x:v>71.38374745386214</x:v>
      </x:c>
      <x:c r="J2474" s="10" t="n">
        <x:f>H2474*I2474</x:f>
        <x:v>25892.056550309833</x:v>
      </x:c>
      <x:c r="K2474" s="10" t="n">
        <x:f>J2474*'Assumptions'!$T$64</x:f>
        <x:v>25892.056550309833</x:v>
      </x:c>
      <x:c r="L2474" s="10" t="n">
        <x:f>K2474*'Assumptions'!$U$64</x:f>
        <x:v>776.761696509295</x:v>
      </x:c>
      <x:c r="M2474" s="10" t="n">
        <x:f>K2474*'Assumptions'!$V$64</x:f>
        <x:v>0</x:v>
      </x:c>
      <x:c r="N2474" s="10" t="n">
        <x:f>K2474-L2474-M2474</x:f>
        <x:v>25115.294853800537</x:v>
      </x:c>
      <x:c r="O2474" s="10" t="n">
        <x:f>H2474*'Assumptions'!$P$64*'Assumptions'!$Q$64*'Assumptions'!$D$11*(1+'Assumptions'!$D$13)^(20-1)</x:f>
        <x:v>3339.1334500037387</x:v>
      </x:c>
      <x:c r="P2474" s="10" t="n">
        <x:f>H2474*'Assumptions'!$R$64*'Assumptions'!$D$11*(1+'Assumptions'!$D$13)^(20-1)</x:f>
        <x:v>0</x:v>
      </x:c>
      <x:c r="Q2474" s="10" t="n">
        <x:f>J2474*'Assumptions'!$S$64</x:f>
        <x:v>0</x:v>
      </x:c>
      <x:c r="R2474" s="10" t="n">
        <x:f>H2474*'Assumptions'!$Y$64*'Assumptions'!$Z$64*'Assumptions'!$D$11*(1+'Assumptions'!$D$13)^(20-1)</x:f>
        <x:v>2862.11438571749</x:v>
      </x:c>
      <x:c r="S2474" s="10" t="n">
        <x:f>IF(I2474=0,0,J2474*'Assumptions'!$W$64+H2474*'Assumptions'!$X$64)</x:f>
        <x:v>859.6845627131238</x:v>
      </x:c>
      <x:c r="T2474" s="10" t="n">
        <x:f>N2474*'Assumptions'!$AA$64</x:f>
        <x:v>1255.7647426900269</x:v>
      </x:c>
      <x:c r="U2474" s="10" t="n">
        <x:f>'Assumptions'!$AE$64*'Assumptions'!$D$11*(1+'Assumptions'!$D$13)^(20-1)</x:f>
        <x:v>210.42072636925218</x:v>
      </x:c>
      <x:c r="V2474" s="10" t="n">
        <x:f>0</x:f>
        <x:v>0</x:v>
      </x:c>
      <x:c r="W2474" s="10" t="n">
        <x:f>H2474*('Assumptions'!$P$64+'Assumptions'!$Y$64)</x:f>
        <x:v>108.81492275413865</x:v>
      </x:c>
      <x:c r="X2474" s="10" t="n">
        <x:f>N2474/12*'Assumptions'!$AF$64</x:f>
        <x:v>0</x:v>
      </x:c>
      <x:c r="Y2474" s="10" t="n">
        <x:f>P2474/12</x:f>
        <x:v>0</x:v>
      </x:c>
      <x:c r="Z2474" s="10" t="n">
        <x:f>0</x:f>
        <x:v>0</x:v>
      </x:c>
      <x:c r="AA2474" s="10" t="n">
        <x:f>Z2474*'Assumptions'!$AC$64*'Assumptions'!$D$11*(1+'Assumptions'!$D$13)^(20-1)</x:f>
        <x:v>0</x:v>
      </x:c>
      <x:c r="AB2474" s="10" t="n">
        <x:f>F2474/12</x:f>
        <x:v>9.69180370519004</x:v>
      </x:c>
      <x:c r="AC2474" s="10" t="n">
        <x:f>AB2474/'Assumptions'!$AM$64</x:f>
        <x:v>193.8360741038008</x:v>
      </x:c>
      <x:c r="AD2474" s="10" t="n">
        <x:f>IF(AB2474=0,0,T2474/AB2474)</x:f>
        <x:v>129.56976646334206</x:v>
      </x:c>
      <x:c r="AE2474" s="10" t="n">
        <x:f>AA2474*'Assumptions'!$D$21</x:f>
        <x:v>0</x:v>
      </x:c>
    </x:row>
    <x:row r="2475" ht="16" customHeight="1">
      <x:c r="A2475" s="1"/>
      <x:c r="B2475" s="1"/>
      <x:c r="C2475" s="1" t="str">
        <x:v>DOT-036</x:v>
      </x:c>
      <x:c r="D2475" s="10" t="str">
        <x:v>Spindle</x:v>
      </x:c>
      <x:c r="E2475" s="10" t="n">
        <x:v>20</x:v>
      </x:c>
      <x:c r="F2475" s="21" t="n">
        <x:f>F2347*(1+'Assumptions'!$M$65)</x:f>
        <x:v>22.81020094645181</x:v>
      </x:c>
      <x:c r="G2475" s="21" t="n">
        <x:f>H2347*'Assumptions'!$K$65</x:f>
        <x:v>21.518992425114842</x:v>
      </x:c>
      <x:c r="H2475" s="21" t="n">
        <x:f>IF(AND(COUNT('Assumptions'!$H$65,'Assumptions'!$I$65,'Assumptions'!$J$65,'Assumptions'!$K$65,'Assumptions'!$L$65,'Assumptions'!$M$65,'Assumptions'!$P$65,'Assumptions'!$Q$65,'Assumptions'!$R$65,'Assumptions'!$S$65,'Assumptions'!$T$65,'Assumptions'!$U$65,'Assumptions'!$V$65,'Assumptions'!$W$65,'Assumptions'!$X$65,'Assumptions'!$Y$65,'Assumptions'!$Z$65,'Assumptions'!$AA$65,'Assumptions'!$AD$65,'Assumptions'!$AE$65,'Assumptions'!$AF$65)=21,COUNT('Assumptions'!$D$8:$D$21)=14,'Assumptions'!$J$65&gt;=1,'Assumptions'!$J$65&lt;=12,'Assumptions'!$D$8&gt;=0,'Assumptions'!$D$15&gt;0),F2475+G2475,NA())</x:f>
        <x:v>44.32919337156665</x:v>
      </x:c>
      <x:c r="I2475" s="22" t="n">
        <x:f>'Assumptions'!$H$65*IF('Assumptions'!$O$65=1,1,'Assumptions'!$D$10)*(1+'Assumptions'!$N$65)^(20-1)</x:f>
        <x:v>289.90542333303193</x:v>
      </x:c>
      <x:c r="J2475" s="10" t="n">
        <x:f>H2475*I2475</x:f>
        <x:v>12851.273570395864</x:v>
      </x:c>
      <x:c r="K2475" s="10" t="n">
        <x:f>J2475*'Assumptions'!$T$65</x:f>
        <x:v>12851.273570395864</x:v>
      </x:c>
      <x:c r="L2475" s="10" t="n">
        <x:f>K2475*'Assumptions'!$U$65</x:f>
        <x:v>385.5382071118759</x:v>
      </x:c>
      <x:c r="M2475" s="10" t="n">
        <x:f>K2475*'Assumptions'!$V$65</x:f>
        <x:v>0</x:v>
      </x:c>
      <x:c r="N2475" s="10" t="n">
        <x:f>K2475-L2475-M2475</x:f>
        <x:v>12465.735363283988</x:v>
      </x:c>
      <x:c r="O2475" s="10" t="n">
        <x:f>H2475*'Assumptions'!$P$65*'Assumptions'!$Q$65*'Assumptions'!$D$11*(1+'Assumptions'!$D$13)^(20-1)</x:f>
        <x:v>6218.520712405396</x:v>
      </x:c>
      <x:c r="P2475" s="10" t="n">
        <x:f>H2475*'Assumptions'!$R$65*'Assumptions'!$D$11*(1+'Assumptions'!$D$13)^(20-1)</x:f>
        <x:v>0</x:v>
      </x:c>
      <x:c r="Q2475" s="10" t="n">
        <x:f>J2475*'Assumptions'!$S$65</x:f>
        <x:v>0</x:v>
      </x:c>
      <x:c r="R2475" s="10" t="n">
        <x:f>H2475*'Assumptions'!$Y$65*'Assumptions'!$Z$65*'Assumptions'!$D$11*(1+'Assumptions'!$D$13)^(20-1)</x:f>
        <x:v>582.9863167880059</x:v>
      </x:c>
      <x:c r="S2475" s="10" t="n">
        <x:f>IF(I2475=0,0,J2475*'Assumptions'!$W$65+H2475*'Assumptions'!$X$65)</x:f>
        <x:v>385.9856915529501</x:v>
      </x:c>
      <x:c r="T2475" s="10" t="n">
        <x:f>N2475*'Assumptions'!$AA$65</x:f>
        <x:v>498.62941453135954</x:v>
      </x:c>
      <x:c r="U2475" s="10" t="n">
        <x:f>'Assumptions'!$AE$65*'Assumptions'!$D$11*(1+'Assumptions'!$D$13)^(20-1)</x:f>
        <x:v>0</x:v>
      </x:c>
      <x:c r="V2475" s="10" t="n">
        <x:f>0</x:f>
        <x:v>0</x:v>
      </x:c>
      <x:c r="W2475" s="10" t="n">
        <x:f>H2475*('Assumptions'!$P$65+'Assumptions'!$Y$65)</x:f>
        <x:v>99.74068508602497</x:v>
      </x:c>
      <x:c r="X2475" s="10" t="n">
        <x:f>N2475/12*'Assumptions'!$AF$65</x:f>
        <x:v>1038.8112802736657</x:v>
      </x:c>
      <x:c r="Y2475" s="10" t="n">
        <x:f>P2475/12</x:f>
        <x:v>0</x:v>
      </x:c>
      <x:c r="Z2475" s="10" t="n">
        <x:f>0</x:f>
        <x:v>0</x:v>
      </x:c>
      <x:c r="AA2475" s="10" t="n">
        <x:f>Z2475*'Assumptions'!$AC$65*'Assumptions'!$D$11*(1+'Assumptions'!$D$13)^(20-1)</x:f>
        <x:v>0</x:v>
      </x:c>
      <x:c r="AB2475" s="10" t="n">
        <x:f>F2475/1</x:f>
        <x:v>22.81020094645181</x:v>
      </x:c>
      <x:c r="AC2475" s="10" t="n">
        <x:f>AB2475/'Assumptions'!$AM$65</x:f>
        <x:v>114.05100473225905</x:v>
      </x:c>
      <x:c r="AD2475" s="10" t="n">
        <x:f>IF(AB2475=0,0,T2475/AB2475)</x:f>
        <x:v>21.85993081349521</x:v>
      </x:c>
      <x:c r="AE2475" s="10" t="n">
        <x:f>AA2475*'Assumptions'!$D$21</x:f>
        <x:v>0</x:v>
      </x:c>
    </x:row>
    <x:row r="2476" ht="16" customHeight="1">
      <x:c r="A2476" s="1"/>
      <x:c r="B2476" s="1"/>
      <x:c r="C2476" s="1" t="str">
        <x:v>DOT-037</x:v>
      </x:c>
      <x:c r="D2476" s="10" t="str">
        <x:v>Maison Contour</x:v>
      </x:c>
      <x:c r="E2476" s="10" t="n">
        <x:v>20</x:v>
      </x:c>
      <x:c r="F2476" s="21" t="n">
        <x:f>F2348*(1+'Assumptions'!$M$66)</x:f>
        <x:v>116.30164446228048</x:v>
      </x:c>
      <x:c r="G2476" s="21" t="n">
        <x:f>H2348*'Assumptions'!$K$66</x:f>
        <x:v>246.4147647181817</x:v>
      </x:c>
      <x:c r="H2476" s="21" t="n">
        <x:f>IF(AND(COUNT('Assumptions'!$H$66,'Assumptions'!$I$66,'Assumptions'!$J$66,'Assumptions'!$K$66,'Assumptions'!$L$66,'Assumptions'!$M$66,'Assumptions'!$P$66,'Assumptions'!$Q$66,'Assumptions'!$R$66,'Assumptions'!$S$66,'Assumptions'!$T$66,'Assumptions'!$U$66,'Assumptions'!$V$66,'Assumptions'!$W$66,'Assumptions'!$X$66,'Assumptions'!$Y$66,'Assumptions'!$Z$66,'Assumptions'!$AA$66,'Assumptions'!$AD$66,'Assumptions'!$AE$66,'Assumptions'!$AF$66)=21,COUNT('Assumptions'!$D$8:$D$21)=14,'Assumptions'!$J$66&gt;=1,'Assumptions'!$J$66&lt;=12,'Assumptions'!$D$8&gt;=0,'Assumptions'!$D$15&gt;0),F2476+G2476,NA())</x:f>
        <x:v>362.71640918046216</x:v>
      </x:c>
      <x:c r="I2476" s="22" t="n">
        <x:f>'Assumptions'!$H$66*IF('Assumptions'!$O$66=1,1,'Assumptions'!$D$10)*(1+'Assumptions'!$N$66)^(20-1)</x:f>
        <x:v>115.0880826296961</x:v>
      </x:c>
      <x:c r="J2476" s="10" t="n">
        <x:f>H2476*I2476</x:f>
        <x:v>41744.336070907695</x:v>
      </x:c>
      <x:c r="K2476" s="10" t="n">
        <x:f>J2476*'Assumptions'!$T$66</x:f>
        <x:v>41744.336070907695</x:v>
      </x:c>
      <x:c r="L2476" s="10" t="n">
        <x:f>K2476*'Assumptions'!$U$66</x:f>
        <x:v>1252.3300821272308</x:v>
      </x:c>
      <x:c r="M2476" s="10" t="n">
        <x:f>K2476*'Assumptions'!$V$66</x:f>
        <x:v>0</x:v>
      </x:c>
      <x:c r="N2476" s="10" t="n">
        <x:f>K2476-L2476-M2476</x:f>
        <x:v>40492.00598878047</x:v>
      </x:c>
      <x:c r="O2476" s="10" t="n">
        <x:f>H2476*'Assumptions'!$P$66*'Assumptions'!$Q$66*'Assumptions'!$D$11*(1+'Assumptions'!$D$13)^(20-1)</x:f>
        <x:v>3339.1334500037387</x:v>
      </x:c>
      <x:c r="P2476" s="10" t="n">
        <x:f>H2476*'Assumptions'!$R$66*'Assumptions'!$D$11*(1+'Assumptions'!$D$13)^(20-1)</x:f>
        <x:v>0</x:v>
      </x:c>
      <x:c r="Q2476" s="10" t="n">
        <x:f>J2476*'Assumptions'!$S$66</x:f>
        <x:v>0</x:v>
      </x:c>
      <x:c r="R2476" s="10" t="n">
        <x:f>H2476*'Assumptions'!$Y$66*'Assumptions'!$Z$66*'Assumptions'!$D$11*(1+'Assumptions'!$D$13)^(20-1)</x:f>
        <x:v>2862.11438571749</x:v>
      </x:c>
      <x:c r="S2476" s="10" t="n">
        <x:f>IF(I2476=0,0,J2476*'Assumptions'!$W$66+H2476*'Assumptions'!$X$66)</x:f>
        <x:v>1319.4006688104619</x:v>
      </x:c>
      <x:c r="T2476" s="10" t="n">
        <x:f>N2476*'Assumptions'!$AA$66</x:f>
        <x:v>2024.6002994390235</x:v>
      </x:c>
      <x:c r="U2476" s="10" t="n">
        <x:f>'Assumptions'!$AE$66*'Assumptions'!$D$11*(1+'Assumptions'!$D$13)^(20-1)</x:f>
        <x:v>210.42072636925218</x:v>
      </x:c>
      <x:c r="V2476" s="10" t="n">
        <x:f>0</x:f>
        <x:v>0</x:v>
      </x:c>
      <x:c r="W2476" s="10" t="n">
        <x:f>H2476*('Assumptions'!$P$66+'Assumptions'!$Y$66)</x:f>
        <x:v>108.81492275413865</x:v>
      </x:c>
      <x:c r="X2476" s="10" t="n">
        <x:f>N2476/12*'Assumptions'!$AF$66</x:f>
        <x:v>0</x:v>
      </x:c>
      <x:c r="Y2476" s="10" t="n">
        <x:f>P2476/12</x:f>
        <x:v>0</x:v>
      </x:c>
      <x:c r="Z2476" s="10" t="n">
        <x:f>0</x:f>
        <x:v>0</x:v>
      </x:c>
      <x:c r="AA2476" s="10" t="n">
        <x:f>Z2476*'Assumptions'!$AC$66*'Assumptions'!$D$11*(1+'Assumptions'!$D$13)^(20-1)</x:f>
        <x:v>0</x:v>
      </x:c>
      <x:c r="AB2476" s="10" t="n">
        <x:f>F2476/12</x:f>
        <x:v>9.69180370519004</x:v>
      </x:c>
      <x:c r="AC2476" s="10" t="n">
        <x:f>AB2476/'Assumptions'!$AM$66</x:f>
        <x:v>193.8360741038008</x:v>
      </x:c>
      <x:c r="AD2476" s="10" t="n">
        <x:f>IF(AB2476=0,0,T2476/AB2476)</x:f>
        <x:v>208.89819491028626</x:v>
      </x:c>
      <x:c r="AE2476" s="10" t="n">
        <x:f>AA2476*'Assumptions'!$D$21</x:f>
        <x:v>0</x:v>
      </x:c>
    </x:row>
    <x:row r="2477" ht="16" customHeight="1">
      <x:c r="A2477" s="1"/>
      <x:c r="B2477" s="1"/>
      <x:c r="C2477" s="1" t="str">
        <x:v>DOT-038</x:v>
      </x:c>
      <x:c r="D2477" s="10" t="str">
        <x:v>Maison Contour</x:v>
      </x:c>
      <x:c r="E2477" s="10" t="n">
        <x:v>20</x:v>
      </x:c>
      <x:c r="F2477" s="21" t="n">
        <x:f>F2349*(1+'Assumptions'!$M$67)</x:f>
        <x:v>22.81020094645181</x:v>
      </x:c>
      <x:c r="G2477" s="21" t="n">
        <x:f>H2349*'Assumptions'!$K$67</x:f>
        <x:v>21.518992425114842</x:v>
      </x:c>
      <x:c r="H2477" s="21" t="n">
        <x:f>IF(AND(COUNT('Assumptions'!$H$67,'Assumptions'!$I$67,'Assumptions'!$J$67,'Assumptions'!$K$67,'Assumptions'!$L$67,'Assumptions'!$M$67,'Assumptions'!$P$67,'Assumptions'!$Q$67,'Assumptions'!$R$67,'Assumptions'!$S$67,'Assumptions'!$T$67,'Assumptions'!$U$67,'Assumptions'!$V$67,'Assumptions'!$W$67,'Assumptions'!$X$67,'Assumptions'!$Y$67,'Assumptions'!$Z$67,'Assumptions'!$AA$67,'Assumptions'!$AD$67,'Assumptions'!$AE$67,'Assumptions'!$AF$67)=21,COUNT('Assumptions'!$D$8:$D$21)=14,'Assumptions'!$J$67&gt;=1,'Assumptions'!$J$67&lt;=12,'Assumptions'!$D$8&gt;=0,'Assumptions'!$D$15&gt;0),F2477+G2477,NA())</x:f>
        <x:v>44.32919337156665</x:v>
      </x:c>
      <x:c r="I2477" s="22" t="n">
        <x:f>'Assumptions'!$H$67*IF('Assumptions'!$O$67=1,1,'Assumptions'!$D$10)*(1+'Assumptions'!$N$67)^(20-1)</x:f>
        <x:v>289.90542333303193</x:v>
      </x:c>
      <x:c r="J2477" s="10" t="n">
        <x:f>H2477*I2477</x:f>
        <x:v>12851.273570395864</x:v>
      </x:c>
      <x:c r="K2477" s="10" t="n">
        <x:f>J2477*'Assumptions'!$T$67</x:f>
        <x:v>12851.273570395864</x:v>
      </x:c>
      <x:c r="L2477" s="10" t="n">
        <x:f>K2477*'Assumptions'!$U$67</x:f>
        <x:v>385.5382071118759</x:v>
      </x:c>
      <x:c r="M2477" s="10" t="n">
        <x:f>K2477*'Assumptions'!$V$67</x:f>
        <x:v>0</x:v>
      </x:c>
      <x:c r="N2477" s="10" t="n">
        <x:f>K2477-L2477-M2477</x:f>
        <x:v>12465.735363283988</x:v>
      </x:c>
      <x:c r="O2477" s="10" t="n">
        <x:f>H2477*'Assumptions'!$P$67*'Assumptions'!$Q$67*'Assumptions'!$D$11*(1+'Assumptions'!$D$13)^(20-1)</x:f>
        <x:v>6218.520712405396</x:v>
      </x:c>
      <x:c r="P2477" s="10" t="n">
        <x:f>H2477*'Assumptions'!$R$67*'Assumptions'!$D$11*(1+'Assumptions'!$D$13)^(20-1)</x:f>
        <x:v>0</x:v>
      </x:c>
      <x:c r="Q2477" s="10" t="n">
        <x:f>J2477*'Assumptions'!$S$67</x:f>
        <x:v>0</x:v>
      </x:c>
      <x:c r="R2477" s="10" t="n">
        <x:f>H2477*'Assumptions'!$Y$67*'Assumptions'!$Z$67*'Assumptions'!$D$11*(1+'Assumptions'!$D$13)^(20-1)</x:f>
        <x:v>582.9863167880059</x:v>
      </x:c>
      <x:c r="S2477" s="10" t="n">
        <x:f>IF(I2477=0,0,J2477*'Assumptions'!$W$67+H2477*'Assumptions'!$X$67)</x:f>
        <x:v>385.9856915529501</x:v>
      </x:c>
      <x:c r="T2477" s="10" t="n">
        <x:f>N2477*'Assumptions'!$AA$67</x:f>
        <x:v>498.62941453135954</x:v>
      </x:c>
      <x:c r="U2477" s="10" t="n">
        <x:f>'Assumptions'!$AE$67*'Assumptions'!$D$11*(1+'Assumptions'!$D$13)^(20-1)</x:f>
        <x:v>0</x:v>
      </x:c>
      <x:c r="V2477" s="10" t="n">
        <x:f>0</x:f>
        <x:v>0</x:v>
      </x:c>
      <x:c r="W2477" s="10" t="n">
        <x:f>H2477*('Assumptions'!$P$67+'Assumptions'!$Y$67)</x:f>
        <x:v>99.74068508602497</x:v>
      </x:c>
      <x:c r="X2477" s="10" t="n">
        <x:f>N2477/12*'Assumptions'!$AF$67</x:f>
        <x:v>1038.8112802736657</x:v>
      </x:c>
      <x:c r="Y2477" s="10" t="n">
        <x:f>P2477/12</x:f>
        <x:v>0</x:v>
      </x:c>
      <x:c r="Z2477" s="10" t="n">
        <x:f>0</x:f>
        <x:v>0</x:v>
      </x:c>
      <x:c r="AA2477" s="10" t="n">
        <x:f>Z2477*'Assumptions'!$AC$67*'Assumptions'!$D$11*(1+'Assumptions'!$D$13)^(20-1)</x:f>
        <x:v>0</x:v>
      </x:c>
      <x:c r="AB2477" s="10" t="n">
        <x:f>F2477/1</x:f>
        <x:v>22.81020094645181</x:v>
      </x:c>
      <x:c r="AC2477" s="10" t="n">
        <x:f>AB2477/'Assumptions'!$AM$67</x:f>
        <x:v>114.05100473225905</x:v>
      </x:c>
      <x:c r="AD2477" s="10" t="n">
        <x:f>IF(AB2477=0,0,T2477/AB2477)</x:f>
        <x:v>21.85993081349521</x:v>
      </x:c>
      <x:c r="AE2477" s="10" t="n">
        <x:f>AA2477*'Assumptions'!$D$21</x:f>
        <x:v>0</x:v>
      </x:c>
    </x:row>
    <x:row r="2478" ht="16" customHeight="1">
      <x:c r="A2478" s="1"/>
      <x:c r="B2478" s="1"/>
      <x:c r="C2478" s="1" t="str">
        <x:v>DOT-039</x:v>
      </x:c>
      <x:c r="D2478" s="10" t="str">
        <x:v>DishLoom US</x:v>
      </x:c>
      <x:c r="E2478" s="10" t="n">
        <x:v>20</x:v>
      </x:c>
      <x:c r="F2478" s="21" t="n">
        <x:f>F2350*(1+'Assumptions'!$M$68)</x:f>
        <x:v>116.30164446228048</x:v>
      </x:c>
      <x:c r="G2478" s="21" t="n">
        <x:f>H2350*'Assumptions'!$K$68</x:f>
        <x:v>246.4147647181817</x:v>
      </x:c>
      <x:c r="H2478" s="21" t="n">
        <x:f>IF(AND(COUNT('Assumptions'!$H$68,'Assumptions'!$I$68,'Assumptions'!$J$68,'Assumptions'!$K$68,'Assumptions'!$L$68,'Assumptions'!$M$68,'Assumptions'!$P$68,'Assumptions'!$Q$68,'Assumptions'!$R$68,'Assumptions'!$S$68,'Assumptions'!$T$68,'Assumptions'!$U$68,'Assumptions'!$V$68,'Assumptions'!$W$68,'Assumptions'!$X$68,'Assumptions'!$Y$68,'Assumptions'!$Z$68,'Assumptions'!$AA$68,'Assumptions'!$AD$68,'Assumptions'!$AE$68,'Assumptions'!$AF$68)=21,COUNT('Assumptions'!$D$8:$D$21)=14,'Assumptions'!$J$68&gt;=1,'Assumptions'!$J$68&lt;=12,'Assumptions'!$D$8&gt;=0,'Assumptions'!$D$15&gt;0),F2478+G2478,NA())</x:f>
        <x:v>362.71640918046216</x:v>
      </x:c>
      <x:c r="I2478" s="22" t="n">
        <x:f>'Assumptions'!$H$68*IF('Assumptions'!$O$68=1,1,'Assumptions'!$D$10)*(1+'Assumptions'!$N$68)^(20-1)</x:f>
        <x:v>56.815635728584155</x:v>
      </x:c>
      <x:c r="J2478" s="10" t="n">
        <x:f>H2478*I2478</x:f>
        <x:v>20607.963376777217</x:v>
      </x:c>
      <x:c r="K2478" s="10" t="n">
        <x:f>J2478*'Assumptions'!$T$68</x:f>
        <x:v>20607.963376777217</x:v>
      </x:c>
      <x:c r="L2478" s="10" t="n">
        <x:f>K2478*'Assumptions'!$U$68</x:f>
        <x:v>618.2389013033165</x:v>
      </x:c>
      <x:c r="M2478" s="10" t="n">
        <x:f>K2478*'Assumptions'!$V$68</x:f>
        <x:v>0</x:v>
      </x:c>
      <x:c r="N2478" s="10" t="n">
        <x:f>K2478-L2478-M2478</x:f>
        <x:v>19989.7244754739</x:v>
      </x:c>
      <x:c r="O2478" s="10" t="n">
        <x:f>H2478*'Assumptions'!$P$68*'Assumptions'!$Q$68*'Assumptions'!$D$11*(1+'Assumptions'!$D$13)^(20-1)</x:f>
        <x:v>3339.1334500037387</x:v>
      </x:c>
      <x:c r="P2478" s="10" t="n">
        <x:f>H2478*'Assumptions'!$R$68*'Assumptions'!$D$11*(1+'Assumptions'!$D$13)^(20-1)</x:f>
        <x:v>0</x:v>
      </x:c>
      <x:c r="Q2478" s="10" t="n">
        <x:f>J2478*'Assumptions'!$S$68</x:f>
        <x:v>0</x:v>
      </x:c>
      <x:c r="R2478" s="10" t="n">
        <x:f>H2478*'Assumptions'!$Y$68*'Assumptions'!$Z$68*'Assumptions'!$D$11*(1+'Assumptions'!$D$13)^(20-1)</x:f>
        <x:v>2862.11438571749</x:v>
      </x:c>
      <x:c r="S2478" s="10" t="n">
        <x:f>IF(I2478=0,0,J2478*'Assumptions'!$W$68+H2478*'Assumptions'!$X$68)</x:f>
        <x:v>706.4458606806779</x:v>
      </x:c>
      <x:c r="T2478" s="10" t="n">
        <x:f>N2478*'Assumptions'!$AA$68</x:f>
        <x:v>999.4862237736951</x:v>
      </x:c>
      <x:c r="U2478" s="10" t="n">
        <x:f>'Assumptions'!$AE$68*'Assumptions'!$D$11*(1+'Assumptions'!$D$13)^(20-1)</x:f>
        <x:v>210.42072636925218</x:v>
      </x:c>
      <x:c r="V2478" s="10" t="n">
        <x:f>0</x:f>
        <x:v>0</x:v>
      </x:c>
      <x:c r="W2478" s="10" t="n">
        <x:f>H2478*('Assumptions'!$P$68+'Assumptions'!$Y$68)</x:f>
        <x:v>108.81492275413865</x:v>
      </x:c>
      <x:c r="X2478" s="10" t="n">
        <x:f>N2478/12*'Assumptions'!$AF$68</x:f>
        <x:v>0</x:v>
      </x:c>
      <x:c r="Y2478" s="10" t="n">
        <x:f>P2478/12</x:f>
        <x:v>0</x:v>
      </x:c>
      <x:c r="Z2478" s="10" t="n">
        <x:f>0</x:f>
        <x:v>0</x:v>
      </x:c>
      <x:c r="AA2478" s="10" t="n">
        <x:f>Z2478*'Assumptions'!$AC$68*'Assumptions'!$D$11*(1+'Assumptions'!$D$13)^(20-1)</x:f>
        <x:v>0</x:v>
      </x:c>
      <x:c r="AB2478" s="10" t="n">
        <x:f>F2478/12</x:f>
        <x:v>9.69180370519004</x:v>
      </x:c>
      <x:c r="AC2478" s="10" t="n">
        <x:f>AB2478/'Assumptions'!$AM$68</x:f>
        <x:v>193.8360741038008</x:v>
      </x:c>
      <x:c r="AD2478" s="10" t="n">
        <x:f>IF(AB2478=0,0,T2478/AB2478)</x:f>
        <x:v>103.12695698102739</x:v>
      </x:c>
      <x:c r="AE2478" s="10" t="n">
        <x:f>AA2478*'Assumptions'!$D$21</x:f>
        <x:v>0</x:v>
      </x:c>
    </x:row>
    <x:row r="2479" ht="16" customHeight="1">
      <x:c r="A2479" s="1"/>
      <x:c r="B2479" s="1"/>
      <x:c r="C2479" s="1" t="str">
        <x:v>DOT-040</x:v>
      </x:c>
      <x:c r="D2479" s="10" t="str">
        <x:v>DishLoom US</x:v>
      </x:c>
      <x:c r="E2479" s="10" t="n">
        <x:v>20</x:v>
      </x:c>
      <x:c r="F2479" s="21" t="n">
        <x:f>F2351*(1+'Assumptions'!$M$69)</x:f>
        <x:v>232.60328892456096</x:v>
      </x:c>
      <x:c r="G2479" s="21" t="n">
        <x:f>H2351*'Assumptions'!$K$69</x:f>
        <x:v>492.8295294363634</x:v>
      </x:c>
      <x:c r="H2479" s="21" t="n">
        <x:f>IF(AND(COUNT('Assumptions'!$H$69,'Assumptions'!$I$69,'Assumptions'!$J$69,'Assumptions'!$K$69,'Assumptions'!$L$69,'Assumptions'!$M$69,'Assumptions'!$P$69,'Assumptions'!$Q$69,'Assumptions'!$R$69,'Assumptions'!$S$69,'Assumptions'!$T$69,'Assumptions'!$U$69,'Assumptions'!$V$69,'Assumptions'!$W$69,'Assumptions'!$X$69,'Assumptions'!$Y$69,'Assumptions'!$Z$69,'Assumptions'!$AA$69,'Assumptions'!$AD$69,'Assumptions'!$AE$69,'Assumptions'!$AF$69)=21,COUNT('Assumptions'!$D$8:$D$21)=14,'Assumptions'!$J$69&gt;=1,'Assumptions'!$J$69&lt;=12,'Assumptions'!$D$8&gt;=0,'Assumptions'!$D$15&gt;0),F2479+G2479,NA())</x:f>
        <x:v>725.4328183609243</x:v>
      </x:c>
      <x:c r="I2479" s="22" t="n">
        <x:f>'Assumptions'!$H$69*IF('Assumptions'!$O$69=1,1,'Assumptions'!$D$10)*(1+'Assumptions'!$N$69)^(20-1)</x:f>
        <x:v>13.111300552750189</x:v>
      </x:c>
      <x:c r="J2479" s="10" t="n">
        <x:f>H2479*I2479</x:f>
        <x:v>9511.367712358715</x:v>
      </x:c>
      <x:c r="K2479" s="10" t="n">
        <x:f>J2479*'Assumptions'!$T$69</x:f>
        <x:v>9511.367712358715</x:v>
      </x:c>
      <x:c r="L2479" s="10" t="n">
        <x:f>K2479*'Assumptions'!$U$69</x:f>
        <x:v>285.3410313707614</x:v>
      </x:c>
      <x:c r="M2479" s="10" t="n">
        <x:f>K2479*'Assumptions'!$V$69</x:f>
        <x:v>0</x:v>
      </x:c>
      <x:c r="N2479" s="10" t="n">
        <x:f>K2479-L2479-M2479</x:f>
        <x:v>9226.026680987954</x:v>
      </x:c>
      <x:c r="O2479" s="10" t="n">
        <x:f>H2479*'Assumptions'!$P$69*'Assumptions'!$Q$69*'Assumptions'!$D$11*(1+'Assumptions'!$D$13)^(20-1)</x:f>
        <x:v>2226.088966669159</x:v>
      </x:c>
      <x:c r="P2479" s="10" t="n">
        <x:f>H2479*'Assumptions'!$R$69*'Assumptions'!$D$11*(1+'Assumptions'!$D$13)^(20-1)</x:f>
        <x:v>0</x:v>
      </x:c>
      <x:c r="Q2479" s="10" t="n">
        <x:f>J2479*'Assumptions'!$S$69</x:f>
        <x:v>0</x:v>
      </x:c>
      <x:c r="R2479" s="10" t="n">
        <x:f>H2479*'Assumptions'!$Y$69*'Assumptions'!$Z$69*'Assumptions'!$D$11*(1+'Assumptions'!$D$13)^(20-1)</x:f>
        <x:v>5724.22877143498</x:v>
      </x:c>
      <x:c r="S2479" s="10" t="n">
        <x:f>IF(I2479=0,0,J2479*'Assumptions'!$W$69+H2479*'Assumptions'!$X$69)</x:f>
        <x:v>493.45950916668005</x:v>
      </x:c>
      <x:c r="T2479" s="10" t="n">
        <x:f>N2479*'Assumptions'!$AA$69</x:f>
        <x:v>461.3013340493977</x:v>
      </x:c>
      <x:c r="U2479" s="10" t="n">
        <x:f>'Assumptions'!$AE$69*'Assumptions'!$D$11*(1+'Assumptions'!$D$13)^(20-1)</x:f>
        <x:v>0</x:v>
      </x:c>
      <x:c r="V2479" s="10" t="n">
        <x:f>0</x:f>
        <x:v>0</x:v>
      </x:c>
      <x:c r="W2479" s="10" t="n">
        <x:f>H2479*('Assumptions'!$P$69+'Assumptions'!$Y$69)</x:f>
        <x:v>145.08656367218487</x:v>
      </x:c>
      <x:c r="X2479" s="10" t="n">
        <x:f>N2479/12*'Assumptions'!$AF$69</x:f>
        <x:v>0</x:v>
      </x:c>
      <x:c r="Y2479" s="10" t="n">
        <x:f>P2479/12</x:f>
        <x:v>0</x:v>
      </x:c>
      <x:c r="Z2479" s="10" t="n">
        <x:f>0</x:f>
        <x:v>0</x:v>
      </x:c>
      <x:c r="AA2479" s="10" t="n">
        <x:f>Z2479*'Assumptions'!$AC$69*'Assumptions'!$D$11*(1+'Assumptions'!$D$13)^(20-1)</x:f>
        <x:v>0</x:v>
      </x:c>
      <x:c r="AB2479" s="10" t="n">
        <x:f>F2479/1</x:f>
        <x:v>232.60328892456096</x:v>
      </x:c>
      <x:c r="AC2479" s="10" t="n">
        <x:f>AB2479/'Assumptions'!$AM$69</x:f>
        <x:v>4652.065778491219</x:v>
      </x:c>
      <x:c r="AD2479" s="10" t="n">
        <x:f>IF(AB2479=0,0,T2479/AB2479)</x:f>
        <x:v>1.9832107111736035</x:v>
      </x:c>
      <x:c r="AE2479" s="10" t="n">
        <x:f>AA2479*'Assumptions'!$D$21</x:f>
        <x:v>0</x:v>
      </x:c>
    </x:row>
    <x:row r="2480" ht="16" customHeight="1">
      <x:c r="A2480" s="1"/>
      <x:c r="B2480" s="1"/>
      <x:c r="C2480" s="1" t="str">
        <x:v>DOT-041</x:v>
      </x:c>
      <x:c r="D2480" s="10" t="str">
        <x:v>DishLoom US</x:v>
      </x:c>
      <x:c r="E2480" s="10" t="n">
        <x:v>20</x:v>
      </x:c>
      <x:c r="F2480" s="21" t="n">
        <x:f>F2352*(1+'Assumptions'!$M$70)</x:f>
        <x:v>290.7541111557013</x:v>
      </x:c>
      <x:c r="G2480" s="21" t="n">
        <x:f>H2352*'Assumptions'!$K$70</x:f>
        <x:v>616.0369117954544</x:v>
      </x:c>
      <x:c r="H2480" s="21" t="n">
        <x:f>IF(AND(COUNT('Assumptions'!$H$70,'Assumptions'!$I$70,'Assumptions'!$J$70,'Assumptions'!$K$70,'Assumptions'!$L$70,'Assumptions'!$M$70,'Assumptions'!$P$70,'Assumptions'!$Q$70,'Assumptions'!$R$70,'Assumptions'!$S$70,'Assumptions'!$T$70,'Assumptions'!$U$70,'Assumptions'!$V$70,'Assumptions'!$W$70,'Assumptions'!$X$70,'Assumptions'!$Y$70,'Assumptions'!$Z$70,'Assumptions'!$AA$70,'Assumptions'!$AD$70,'Assumptions'!$AE$70,'Assumptions'!$AF$70)=21,COUNT('Assumptions'!$D$8:$D$21)=14,'Assumptions'!$J$70&gt;=1,'Assumptions'!$J$70&lt;=12,'Assumptions'!$D$8&gt;=0,'Assumptions'!$D$15&gt;0),F2480+G2480,NA())</x:f>
        <x:v>906.7910229511558</x:v>
      </x:c>
      <x:c r="I2480" s="22" t="n">
        <x:f>'Assumptions'!$H$70*IF('Assumptions'!$O$70=1,1,'Assumptions'!$D$10)*(1+'Assumptions'!$N$70)^(20-1)</x:f>
        <x:v>145.68111725277987</x:v>
      </x:c>
      <x:c r="J2480" s="10" t="n">
        <x:f>H2480*I2480</x:f>
        <x:v>132102.32933831553</x:v>
      </x:c>
      <x:c r="K2480" s="10" t="n">
        <x:f>J2480*'Assumptions'!$T$70</x:f>
        <x:v>19815.349400747327</x:v>
      </x:c>
      <x:c r="L2480" s="10" t="n">
        <x:f>K2480*'Assumptions'!$U$70</x:f>
        <x:v>594.4604820224198</x:v>
      </x:c>
      <x:c r="M2480" s="10" t="n">
        <x:f>K2480*'Assumptions'!$V$70</x:f>
        <x:v>0</x:v>
      </x:c>
      <x:c r="N2480" s="10" t="n">
        <x:f>K2480-L2480-M2480</x:f>
        <x:v>19220.888918724908</x:v>
      </x:c>
      <x:c r="O2480" s="10" t="n">
        <x:f>H2480*'Assumptions'!$P$70*'Assumptions'!$Q$70*'Assumptions'!$D$11*(1+'Assumptions'!$D$13)^(20-1)</x:f>
        <x:v>5565.222416672901</x:v>
      </x:c>
      <x:c r="P2480" s="10" t="n">
        <x:f>H2480*'Assumptions'!$R$70*'Assumptions'!$D$11*(1+'Assumptions'!$D$13)^(20-1)</x:f>
        <x:v>0</x:v>
      </x:c>
      <x:c r="Q2480" s="10" t="n">
        <x:f>J2480*'Assumptions'!$S$70</x:f>
        <x:v>0</x:v>
      </x:c>
      <x:c r="R2480" s="10" t="n">
        <x:f>H2480*'Assumptions'!$Y$70*'Assumptions'!$Z$70*'Assumptions'!$D$11*(1+'Assumptions'!$D$13)^(20-1)</x:f>
        <x:v>7155.285964293728</x:v>
      </x:c>
      <x:c r="S2480" s="10" t="n">
        <x:f>IF(I2480=0,0,J2480*'Assumptions'!$W$70+H2480*'Assumptions'!$X$70)</x:f>
        <x:v>4103.004857696497</x:v>
      </x:c>
      <x:c r="T2480" s="10" t="n">
        <x:f>N2480*'Assumptions'!$AA$70</x:f>
        <x:v>961.0444459362454</x:v>
      </x:c>
      <x:c r="U2480" s="10" t="n">
        <x:f>'Assumptions'!$AE$70*'Assumptions'!$D$11*(1+'Assumptions'!$D$13)^(20-1)</x:f>
        <x:v>0</x:v>
      </x:c>
      <x:c r="V2480" s="10" t="n">
        <x:f>0</x:f>
        <x:v>0</x:v>
      </x:c>
      <x:c r="W2480" s="10" t="n">
        <x:f>H2480*('Assumptions'!$P$70+'Assumptions'!$Y$70)</x:f>
        <x:v>226.69775573778895</x:v>
      </x:c>
      <x:c r="X2480" s="10" t="n">
        <x:f>N2480/12*'Assumptions'!$AF$70</x:f>
        <x:v>0</x:v>
      </x:c>
      <x:c r="Y2480" s="10" t="n">
        <x:f>P2480/12</x:f>
        <x:v>0</x:v>
      </x:c>
      <x:c r="Z2480" s="10" t="n">
        <x:f>0</x:f>
        <x:v>0</x:v>
      </x:c>
      <x:c r="AA2480" s="10" t="n">
        <x:f>Z2480*'Assumptions'!$AC$70*'Assumptions'!$D$11*(1+'Assumptions'!$D$13)^(20-1)</x:f>
        <x:v>0</x:v>
      </x:c>
      <x:c r="AB2480" s="10" t="n">
        <x:f>F2480/1</x:f>
        <x:v>290.7541111557013</x:v>
      </x:c>
      <x:c r="AC2480" s="10" t="n">
        <x:f>AB2480/'Assumptions'!$AM$70</x:f>
        <x:v>5815.0822231140255</x:v>
      </x:c>
      <x:c r="AD2480" s="10" t="n">
        <x:f>IF(AB2480=0,0,T2480/AB2480)</x:f>
        <x:v>3.3053511852893385</x:v>
      </x:c>
      <x:c r="AE2480" s="10" t="n">
        <x:f>AA2480*'Assumptions'!$D$21</x:f>
        <x:v>0</x:v>
      </x:c>
    </x:row>
    <x:row r="2481" ht="16" customHeight="1">
      <x:c r="A2481" s="1"/>
      <x:c r="B2481" s="1"/>
      <x:c r="C2481" s="1" t="str">
        <x:v>DOT-042</x:v>
      </x:c>
      <x:c r="D2481" s="10" t="str">
        <x:v>Is Makes Travel Easy</x:v>
      </x:c>
      <x:c r="E2481" s="10" t="n">
        <x:v>20</x:v>
      </x:c>
      <x:c r="F2481" s="21" t="n">
        <x:f>F2353*(1+'Assumptions'!$M$71)</x:f>
        <x:v>348.9049333868414</x:v>
      </x:c>
      <x:c r="G2481" s="21" t="n">
        <x:f>H2353*'Assumptions'!$K$71</x:f>
        <x:v>739.3468842112135</x:v>
      </x:c>
      <x:c r="H2481" s="21" t="n">
        <x:f>IF(AND(COUNT('Assumptions'!$H$71,'Assumptions'!$I$71,'Assumptions'!$J$71,'Assumptions'!$K$71,'Assumptions'!$L$71,'Assumptions'!$M$71,'Assumptions'!$P$71,'Assumptions'!$Q$71,'Assumptions'!$R$71,'Assumptions'!$S$71,'Assumptions'!$T$71,'Assumptions'!$U$71,'Assumptions'!$V$71,'Assumptions'!$W$71,'Assumptions'!$X$71,'Assumptions'!$Y$71,'Assumptions'!$Z$71,'Assumptions'!$AA$71,'Assumptions'!$AD$71,'Assumptions'!$AE$71,'Assumptions'!$AF$71)=21,COUNT('Assumptions'!$D$8:$D$21)=14,'Assumptions'!$J$71&gt;=1,'Assumptions'!$J$71&lt;=12,'Assumptions'!$D$8&gt;=0,'Assumptions'!$D$15&gt;0),F2481+G2481,NA())</x:f>
        <x:v>1088.251817598055</x:v>
      </x:c>
      <x:c r="I2481" s="22" t="n">
        <x:f>'Assumptions'!$H$71*IF('Assumptions'!$O$71=1,1,'Assumptions'!$D$10)*(1+'Assumptions'!$N$71)^(20-1)</x:f>
        <x:v>42.24752400330617</x:v>
      </x:c>
      <x:c r="J2481" s="10" t="n">
        <x:f>H2481*I2481</x:f>
        <x:v>45975.94478561539</x:v>
      </x:c>
      <x:c r="K2481" s="10" t="n">
        <x:f>J2481*'Assumptions'!$T$71</x:f>
        <x:v>45975.94478561539</x:v>
      </x:c>
      <x:c r="L2481" s="10" t="n">
        <x:f>K2481*'Assumptions'!$U$71</x:f>
        <x:v>1379.2783435684617</x:v>
      </x:c>
      <x:c r="M2481" s="10" t="n">
        <x:f>K2481*'Assumptions'!$V$71</x:f>
        <x:v>0</x:v>
      </x:c>
      <x:c r="N2481" s="10" t="n">
        <x:f>K2481-L2481-M2481</x:f>
        <x:v>44596.66644204693</x:v>
      </x:c>
      <x:c r="O2481" s="10" t="n">
        <x:f>H2481*'Assumptions'!$P$71*'Assumptions'!$Q$71*'Assumptions'!$D$11*(1+'Assumptions'!$D$13)^(20-1)</x:f>
        <x:v>6678.896523006216</x:v>
      </x:c>
      <x:c r="P2481" s="10" t="n">
        <x:f>H2481*'Assumptions'!$R$71*'Assumptions'!$D$11*(1+'Assumptions'!$D$13)^(20-1)</x:f>
        <x:v>0</x:v>
      </x:c>
      <x:c r="Q2481" s="10" t="n">
        <x:f>J2481*'Assumptions'!$S$71</x:f>
        <x:v>0</x:v>
      </x:c>
      <x:c r="R2481" s="10" t="n">
        <x:f>H2481*'Assumptions'!$Y$71*'Assumptions'!$Z$71*'Assumptions'!$D$11*(1+'Assumptions'!$D$13)^(20-1)</x:f>
        <x:v>8587.152672436563</x:v>
      </x:c>
      <x:c r="S2481" s="10" t="n">
        <x:f>IF(I2481=0,0,J2481*'Assumptions'!$W$71+H2481*'Assumptions'!$X$71)</x:f>
        <x:v>1659.777944062263</x:v>
      </x:c>
      <x:c r="T2481" s="10" t="n">
        <x:f>N2481*'Assumptions'!$AA$71</x:f>
        <x:v>2229.8333221023468</x:v>
      </x:c>
      <x:c r="U2481" s="10" t="n">
        <x:f>'Assumptions'!$AE$71*'Assumptions'!$D$11*(1+'Assumptions'!$D$13)^(20-1)</x:f>
        <x:v>420.84145273850436</x:v>
      </x:c>
      <x:c r="V2481" s="10" t="n">
        <x:f>0</x:f>
        <x:v>0</x:v>
      </x:c>
      <x:c r="W2481" s="10" t="n">
        <x:f>H2481*('Assumptions'!$P$71+'Assumptions'!$Y$71)</x:f>
        <x:v>272.0629543995137</x:v>
      </x:c>
      <x:c r="X2481" s="10" t="n">
        <x:f>N2481/12*'Assumptions'!$AF$71</x:f>
        <x:v>0</x:v>
      </x:c>
      <x:c r="Y2481" s="10" t="n">
        <x:f>P2481/12</x:f>
        <x:v>0</x:v>
      </x:c>
      <x:c r="Z2481" s="10" t="n">
        <x:f>0</x:f>
        <x:v>0</x:v>
      </x:c>
      <x:c r="AA2481" s="10" t="n">
        <x:f>Z2481*'Assumptions'!$AC$71*'Assumptions'!$D$11*(1+'Assumptions'!$D$13)^(20-1)</x:f>
        <x:v>0</x:v>
      </x:c>
      <x:c r="AB2481" s="10" t="n">
        <x:f>F2481/1</x:f>
        <x:v>348.9049333868414</x:v>
      </x:c>
      <x:c r="AC2481" s="10" t="n">
        <x:f>AB2481/'Assumptions'!$AM$71</x:f>
        <x:v>6978.098667736827</x:v>
      </x:c>
      <x:c r="AD2481" s="10" t="n">
        <x:f>IF(AB2481=0,0,T2481/AB2481)</x:f>
        <x:v>6.390948102846295</x:v>
      </x:c>
      <x:c r="AE2481" s="10" t="n">
        <x:f>AA2481*'Assumptions'!$D$21</x:f>
        <x:v>0</x:v>
      </x:c>
    </x:row>
    <x:row r="2482" ht="16" customHeight="1">
      <x:c r="A2482" s="1"/>
      <x:c r="B2482" s="1"/>
      <x:c r="C2482" s="1" t="str">
        <x:v>DOT-043</x:v>
      </x:c>
      <x:c r="D2482" s="10" t="str">
        <x:v>Is Makes Travel Easy</x:v>
      </x:c>
      <x:c r="E2482" s="10" t="n">
        <x:v>20</x:v>
      </x:c>
      <x:c r="F2482" s="21" t="n">
        <x:f>F2354*(1+'Assumptions'!$M$72)</x:f>
        <x:v>174.4524666934207</x:v>
      </x:c>
      <x:c r="G2482" s="21" t="n">
        <x:f>H2354*'Assumptions'!$K$72</x:f>
        <x:v>369.67344210560674</x:v>
      </x:c>
      <x:c r="H2482" s="21" t="n">
        <x:f>IF(AND(COUNT('Assumptions'!$H$72,'Assumptions'!$I$72,'Assumptions'!$J$72,'Assumptions'!$K$72,'Assumptions'!$L$72,'Assumptions'!$M$72,'Assumptions'!$P$72,'Assumptions'!$Q$72,'Assumptions'!$R$72,'Assumptions'!$S$72,'Assumptions'!$T$72,'Assumptions'!$U$72,'Assumptions'!$V$72,'Assumptions'!$W$72,'Assumptions'!$X$72,'Assumptions'!$Y$72,'Assumptions'!$Z$72,'Assumptions'!$AA$72,'Assumptions'!$AD$72,'Assumptions'!$AE$72,'Assumptions'!$AF$72)=21,COUNT('Assumptions'!$D$8:$D$21)=14,'Assumptions'!$J$72&gt;=1,'Assumptions'!$J$72&lt;=12,'Assumptions'!$D$8&gt;=0,'Assumptions'!$D$15&gt;0),F2482+G2482,NA())</x:f>
        <x:v>544.1259087990275</x:v>
      </x:c>
      <x:c r="I2482" s="22" t="n">
        <x:f>'Assumptions'!$H$72*IF('Assumptions'!$O$72=1,1,'Assumptions'!$D$10)*(1+'Assumptions'!$N$72)^(20-1)</x:f>
        <x:v>27.679412278028177</x:v>
      </x:c>
      <x:c r="J2482" s="10" t="n">
        <x:f>H2482*I2482</x:f>
        <x:v>15061.08536080504</x:v>
      </x:c>
      <x:c r="K2482" s="10" t="n">
        <x:f>J2482*'Assumptions'!$T$72</x:f>
        <x:v>15061.08536080504</x:v>
      </x:c>
      <x:c r="L2482" s="10" t="n">
        <x:f>K2482*'Assumptions'!$U$72</x:f>
        <x:v>451.8325608241512</x:v>
      </x:c>
      <x:c r="M2482" s="10" t="n">
        <x:f>K2482*'Assumptions'!$V$72</x:f>
        <x:v>0</x:v>
      </x:c>
      <x:c r="N2482" s="10" t="n">
        <x:f>K2482-L2482-M2482</x:f>
        <x:v>14609.252799980888</x:v>
      </x:c>
      <x:c r="O2482" s="10" t="n">
        <x:f>H2482*'Assumptions'!$P$72*'Assumptions'!$Q$72*'Assumptions'!$D$11*(1+'Assumptions'!$D$13)^(20-1)</x:f>
        <x:v>3339.448261503108</x:v>
      </x:c>
      <x:c r="P2482" s="10" t="n">
        <x:f>H2482*'Assumptions'!$R$72*'Assumptions'!$D$11*(1+'Assumptions'!$D$13)^(20-1)</x:f>
        <x:v>0</x:v>
      </x:c>
      <x:c r="Q2482" s="10" t="n">
        <x:f>J2482*'Assumptions'!$S$72</x:f>
        <x:v>0</x:v>
      </x:c>
      <x:c r="R2482" s="10" t="n">
        <x:f>H2482*'Assumptions'!$Y$72*'Assumptions'!$Z$72*'Assumptions'!$D$11*(1+'Assumptions'!$D$13)^(20-1)</x:f>
        <x:v>4293.5763362182815</x:v>
      </x:c>
      <x:c r="S2482" s="10" t="n">
        <x:f>IF(I2482=0,0,J2482*'Assumptions'!$W$72+H2482*'Assumptions'!$X$72)</x:f>
        <x:v>600.0092481030545</x:v>
      </x:c>
      <x:c r="T2482" s="10" t="n">
        <x:f>N2482*'Assumptions'!$AA$72</x:f>
        <x:v>730.4626399990444</x:v>
      </x:c>
      <x:c r="U2482" s="10" t="n">
        <x:f>'Assumptions'!$AE$72*'Assumptions'!$D$11*(1+'Assumptions'!$D$13)^(20-1)</x:f>
        <x:v>0</x:v>
      </x:c>
      <x:c r="V2482" s="10" t="n">
        <x:f>0</x:f>
        <x:v>0</x:v>
      </x:c>
      <x:c r="W2482" s="10" t="n">
        <x:f>H2482*('Assumptions'!$P$72+'Assumptions'!$Y$72)</x:f>
        <x:v>136.03147719975686</x:v>
      </x:c>
      <x:c r="X2482" s="10" t="n">
        <x:f>N2482/12*'Assumptions'!$AF$72</x:f>
        <x:v>0</x:v>
      </x:c>
      <x:c r="Y2482" s="10" t="n">
        <x:f>P2482/12</x:f>
        <x:v>0</x:v>
      </x:c>
      <x:c r="Z2482" s="10" t="n">
        <x:f>0</x:f>
        <x:v>0</x:v>
      </x:c>
      <x:c r="AA2482" s="10" t="n">
        <x:f>Z2482*'Assumptions'!$AC$72*'Assumptions'!$D$11*(1+'Assumptions'!$D$13)^(20-1)</x:f>
        <x:v>0</x:v>
      </x:c>
      <x:c r="AB2482" s="10" t="n">
        <x:f>F2482/12</x:f>
        <x:v>14.537705557785058</x:v>
      </x:c>
      <x:c r="AC2482" s="10" t="n">
        <x:f>AB2482/'Assumptions'!$AM$72</x:f>
        <x:v>290.75411115570114</x:v>
      </x:c>
      <x:c r="AD2482" s="10" t="n">
        <x:f>IF(AB2482=0,0,T2482/AB2482)</x:f>
        <x:v>50.24607473961913</x:v>
      </x:c>
      <x:c r="AE2482" s="10" t="n">
        <x:f>AA2482*'Assumptions'!$D$21</x:f>
        <x:v>0</x:v>
      </x:c>
    </x:row>
    <x:row r="2483" ht="16" customHeight="1">
      <x:c r="A2483" s="1"/>
      <x:c r="B2483" s="1"/>
      <x:c r="C2483" s="1" t="str">
        <x:v>DOT-044</x:v>
      </x:c>
      <x:c r="D2483" s="10" t="str">
        <x:v>Is Makes Travel Easy</x:v>
      </x:c>
      <x:c r="E2483" s="10" t="n">
        <x:v>20</x:v>
      </x:c>
      <x:c r="F2483" s="21" t="n">
        <x:f>F2355*(1+'Assumptions'!$M$73)</x:f>
        <x:v>71.16782695292966</x:v>
      </x:c>
      <x:c r="G2483" s="21" t="n">
        <x:f>H2355*'Assumptions'!$K$73</x:f>
        <x:v>36.630498827791605</x:v>
      </x:c>
      <x:c r="H2483" s="21" t="n">
        <x:f>IF(AND(COUNT('Assumptions'!$H$73,'Assumptions'!$I$73,'Assumptions'!$J$73,'Assumptions'!$K$73,'Assumptions'!$L$73,'Assumptions'!$M$73,'Assumptions'!$P$73,'Assumptions'!$Q$73,'Assumptions'!$R$73,'Assumptions'!$S$73,'Assumptions'!$T$73,'Assumptions'!$U$73,'Assumptions'!$V$73,'Assumptions'!$W$73,'Assumptions'!$X$73,'Assumptions'!$Y$73,'Assumptions'!$Z$73,'Assumptions'!$AA$73,'Assumptions'!$AD$73,'Assumptions'!$AE$73,'Assumptions'!$AF$73)=21,COUNT('Assumptions'!$D$8:$D$21)=14,'Assumptions'!$J$73&gt;=1,'Assumptions'!$J$73&lt;=12,'Assumptions'!$D$8&gt;=0,'Assumptions'!$D$15&gt;0),F2483+G2483,NA())</x:f>
        <x:v>107.79832578072126</x:v>
      </x:c>
      <x:c r="I2483" s="22" t="n">
        <x:f>'Assumptions'!$H$73*IF('Assumptions'!$O$73=1,1,'Assumptions'!$D$10)*(1+'Assumptions'!$N$73)^(20-1)</x:f>
        <x:v>71.38374745386214</x:v>
      </x:c>
      <x:c r="J2483" s="10" t="n">
        <x:f>H2483*I2483</x:f>
        <x:v>7695.048463480162</x:v>
      </x:c>
      <x:c r="K2483" s="10" t="n">
        <x:f>J2483*'Assumptions'!$T$73</x:f>
        <x:v>7695.048463480162</x:v>
      </x:c>
      <x:c r="L2483" s="10" t="n">
        <x:f>K2483*'Assumptions'!$U$73</x:f>
        <x:v>230.85145390440485</x:v>
      </x:c>
      <x:c r="M2483" s="10" t="n">
        <x:f>K2483*'Assumptions'!$V$73</x:f>
        <x:v>0</x:v>
      </x:c>
      <x:c r="N2483" s="10" t="n">
        <x:f>K2483-L2483-M2483</x:f>
        <x:v>7464.197009575758</x:v>
      </x:c>
      <x:c r="O2483" s="10" t="n">
        <x:f>H2483*'Assumptions'!$P$73*'Assumptions'!$Q$73*'Assumptions'!$D$11*(1+'Assumptions'!$D$13)^(20-1)</x:f>
        <x:v>1653.9688967206307</x:v>
      </x:c>
      <x:c r="P2483" s="10" t="n">
        <x:f>H2483*'Assumptions'!$R$73*'Assumptions'!$D$11*(1+'Assumptions'!$D$13)^(20-1)</x:f>
        <x:v>0</x:v>
      </x:c>
      <x:c r="Q2483" s="10" t="n">
        <x:f>J2483*'Assumptions'!$S$73</x:f>
        <x:v>0</x:v>
      </x:c>
      <x:c r="R2483" s="10" t="n">
        <x:f>H2483*'Assumptions'!$Y$73*'Assumptions'!$Z$73*'Assumptions'!$D$11*(1+'Assumptions'!$D$13)^(20-1)</x:f>
        <x:v>2835.3752515210813</x:v>
      </x:c>
      <x:c r="S2483" s="10" t="n">
        <x:f>IF(I2483=0,0,J2483*'Assumptions'!$W$73+H2483*'Assumptions'!$X$73)</x:f>
        <x:v>255.49590317514108</x:v>
      </x:c>
      <x:c r="T2483" s="10" t="n">
        <x:f>N2483*'Assumptions'!$AA$73</x:f>
        <x:v>597.1357607660607</x:v>
      </x:c>
      <x:c r="U2483" s="10" t="n">
        <x:f>'Assumptions'!$AE$73*'Assumptions'!$D$11*(1+'Assumptions'!$D$13)^(20-1)</x:f>
        <x:v>0</x:v>
      </x:c>
      <x:c r="V2483" s="10" t="n">
        <x:f>0</x:f>
        <x:v>0</x:v>
      </x:c>
      <x:c r="W2483" s="10" t="n">
        <x:f>H2483*('Assumptions'!$P$73+'Assumptions'!$Y$73)</x:f>
        <x:v>80.84874433554094</x:v>
      </x:c>
      <x:c r="X2483" s="10" t="n">
        <x:f>N2483/12*'Assumptions'!$AF$73</x:f>
        <x:v>622.0164174646465</x:v>
      </x:c>
      <x:c r="Y2483" s="10" t="n">
        <x:f>P2483/12</x:f>
        <x:v>0</x:v>
      </x:c>
      <x:c r="Z2483" s="10" t="n">
        <x:f>0</x:f>
        <x:v>0</x:v>
      </x:c>
      <x:c r="AA2483" s="10" t="n">
        <x:f>Z2483*'Assumptions'!$AC$73*'Assumptions'!$D$11*(1+'Assumptions'!$D$13)^(20-1)</x:f>
        <x:v>0</x:v>
      </x:c>
      <x:c r="AB2483" s="10" t="n">
        <x:f>F2483/1</x:f>
        <x:v>71.16782695292966</x:v>
      </x:c>
      <x:c r="AC2483" s="10" t="n">
        <x:f>AB2483/'Assumptions'!$AM$73</x:f>
        <x:v>711.6782695292966</x:v>
      </x:c>
      <x:c r="AD2483" s="10" t="n">
        <x:f>IF(AB2483=0,0,T2483/AB2483)</x:f>
        <x:v>8.390529630207844</x:v>
      </x:c>
      <x:c r="AE2483" s="10" t="n">
        <x:f>AA2483*'Assumptions'!$D$21</x:f>
        <x:v>0</x:v>
      </x:c>
    </x:row>
    <x:row r="2484" ht="16" customHeight="1">
      <x:c r="A2484" s="1"/>
      <x:c r="B2484" s="1"/>
      <x:c r="C2484" s="1" t="str">
        <x:v>DOT-045</x:v>
      </x:c>
      <x:c r="D2484" s="10" t="str">
        <x:v>Is Makes Travel Easy</x:v>
      </x:c>
      <x:c r="E2484" s="10" t="n">
        <x:v>20</x:v>
      </x:c>
      <x:c r="F2484" s="21" t="n">
        <x:f>F2356*(1+'Assumptions'!$M$74)</x:f>
        <x:v>232.60328892456096</x:v>
      </x:c>
      <x:c r="G2484" s="21" t="n">
        <x:f>H2356*'Assumptions'!$K$74</x:f>
        <x:v>492.8979228074757</x:v>
      </x:c>
      <x:c r="H2484" s="21" t="n">
        <x:f>IF(AND(COUNT('Assumptions'!$H$74,'Assumptions'!$I$74,'Assumptions'!$J$74,'Assumptions'!$K$74,'Assumptions'!$L$74,'Assumptions'!$M$74,'Assumptions'!$P$74,'Assumptions'!$Q$74,'Assumptions'!$R$74,'Assumptions'!$S$74,'Assumptions'!$T$74,'Assumptions'!$U$74,'Assumptions'!$V$74,'Assumptions'!$W$74,'Assumptions'!$X$74,'Assumptions'!$Y$74,'Assumptions'!$Z$74,'Assumptions'!$AA$74,'Assumptions'!$AD$74,'Assumptions'!$AE$74,'Assumptions'!$AF$74)=21,COUNT('Assumptions'!$D$8:$D$21)=14,'Assumptions'!$J$74&gt;=1,'Assumptions'!$J$74&lt;=12,'Assumptions'!$D$8&gt;=0,'Assumptions'!$D$15&gt;0),F2484+G2484,NA())</x:f>
        <x:v>725.5012117320366</x:v>
      </x:c>
      <x:c r="I2484" s="22" t="n">
        <x:f>'Assumptions'!$H$74*IF('Assumptions'!$O$74=1,1,'Assumptions'!$D$10)*(1+'Assumptions'!$N$74)^(20-1)</x:f>
        <x:v>218.5216758791698</x:v>
      </x:c>
      <x:c r="J2484" s="10" t="n">
        <x:f>H2484*I2484</x:f>
        <x:v>158537.74064005306</x:v>
      </x:c>
      <x:c r="K2484" s="10" t="n">
        <x:f>J2484*'Assumptions'!$T$74</x:f>
        <x:v>15853.774064005307</x:v>
      </x:c>
      <x:c r="L2484" s="10" t="n">
        <x:f>K2484*'Assumptions'!$U$74</x:f>
        <x:v>475.6132219201592</x:v>
      </x:c>
      <x:c r="M2484" s="10" t="n">
        <x:f>K2484*'Assumptions'!$V$74</x:f>
        <x:v>0</x:v>
      </x:c>
      <x:c r="N2484" s="10" t="n">
        <x:f>K2484-L2484-M2484</x:f>
        <x:v>15378.160842085148</x:v>
      </x:c>
      <x:c r="O2484" s="10" t="n">
        <x:f>H2484*'Assumptions'!$P$74*'Assumptions'!$Q$74*'Assumptions'!$D$11*(1+'Assumptions'!$D$13)^(20-1)</x:f>
        <x:v>4452.597682004143</x:v>
      </x:c>
      <x:c r="P2484" s="10" t="n">
        <x:f>H2484*'Assumptions'!$R$74*'Assumptions'!$D$11*(1+'Assumptions'!$D$13)^(20-1)</x:f>
        <x:v>0</x:v>
      </x:c>
      <x:c r="Q2484" s="10" t="n">
        <x:f>J2484*'Assumptions'!$S$74</x:f>
        <x:v>0</x:v>
      </x:c>
      <x:c r="R2484" s="10" t="n">
        <x:f>H2484*'Assumptions'!$Y$74*'Assumptions'!$Z$74*'Assumptions'!$D$11*(1+'Assumptions'!$D$13)^(20-1)</x:f>
        <x:v>5724.768448291042</x:v>
      </x:c>
      <x:c r="S2484" s="10" t="n">
        <x:f>IF(I2484=0,0,J2484*'Assumptions'!$W$74+H2484*'Assumptions'!$X$74)</x:f>
        <x:v>4815.244842081151</x:v>
      </x:c>
      <x:c r="T2484" s="10" t="n">
        <x:f>N2484*'Assumptions'!$AA$74</x:f>
        <x:v>768.9080421042574</x:v>
      </x:c>
      <x:c r="U2484" s="10" t="n">
        <x:f>'Assumptions'!$AE$74*'Assumptions'!$D$11*(1+'Assumptions'!$D$13)^(20-1)</x:f>
        <x:v>0</x:v>
      </x:c>
      <x:c r="V2484" s="10" t="n">
        <x:f>0</x:f>
        <x:v>0</x:v>
      </x:c>
      <x:c r="W2484" s="10" t="n">
        <x:f>H2484*('Assumptions'!$P$74+'Assumptions'!$Y$74)</x:f>
        <x:v>181.37530293300915</x:v>
      </x:c>
      <x:c r="X2484" s="10" t="n">
        <x:f>N2484/12*'Assumptions'!$AF$74</x:f>
        <x:v>0</x:v>
      </x:c>
      <x:c r="Y2484" s="10" t="n">
        <x:f>P2484/12</x:f>
        <x:v>0</x:v>
      </x:c>
      <x:c r="Z2484" s="10" t="n">
        <x:f>0</x:f>
        <x:v>0</x:v>
      </x:c>
      <x:c r="AA2484" s="10" t="n">
        <x:f>Z2484*'Assumptions'!$AC$74*'Assumptions'!$D$11*(1+'Assumptions'!$D$13)^(20-1)</x:f>
        <x:v>0</x:v>
      </x:c>
      <x:c r="AB2484" s="10" t="n">
        <x:f>F2484/1</x:f>
        <x:v>232.60328892456096</x:v>
      </x:c>
      <x:c r="AC2484" s="10" t="n">
        <x:f>AB2484/'Assumptions'!$AM$74</x:f>
        <x:v>4652.065778491219</x:v>
      </x:c>
      <x:c r="AD2484" s="10" t="n">
        <x:f>IF(AB2484=0,0,T2484/AB2484)</x:f>
        <x:v>3.305662811817048</x:v>
      </x:c>
      <x:c r="AE2484" s="10" t="n">
        <x:f>AA2484*'Assumptions'!$D$21</x:f>
        <x:v>0</x:v>
      </x:c>
    </x:row>
    <x:row r="2485" ht="16" customHeight="1">
      <x:c r="A2485" s="1"/>
      <x:c r="B2485" s="1"/>
      <x:c r="C2485" s="1" t="str">
        <x:v>DOT-046</x:v>
      </x:c>
      <x:c r="D2485" s="10" t="str">
        <x:v>Turbo Tax - Made Easy!</x:v>
      </x:c>
      <x:c r="E2485" s="10" t="n">
        <x:v>20</x:v>
      </x:c>
      <x:c r="F2485" s="21" t="n">
        <x:f>F2357*(1+'Assumptions'!$M$75)</x:f>
        <x:v>613.1013185094956</x:v>
      </x:c>
      <x:c r="G2485" s="21" t="n">
        <x:f>H2357*'Assumptions'!$K$75</x:f>
        <x:v>196.50683283980874</x:v>
      </x:c>
      <x:c r="H2485" s="21" t="n">
        <x:f>IF(AND(COUNT('Assumptions'!$H$75,'Assumptions'!$I$75,'Assumptions'!$J$75,'Assumptions'!$K$75,'Assumptions'!$L$75,'Assumptions'!$M$75,'Assumptions'!$P$75,'Assumptions'!$Q$75,'Assumptions'!$R$75,'Assumptions'!$S$75,'Assumptions'!$T$75,'Assumptions'!$U$75,'Assumptions'!$V$75,'Assumptions'!$W$75,'Assumptions'!$X$75,'Assumptions'!$Y$75,'Assumptions'!$Z$75,'Assumptions'!$AA$75,'Assumptions'!$AD$75,'Assumptions'!$AE$75,'Assumptions'!$AF$75)=21,COUNT('Assumptions'!$D$8:$D$21)=14,'Assumptions'!$J$75&gt;=1,'Assumptions'!$J$75&lt;=12,'Assumptions'!$D$8&gt;=0,'Assumptions'!$D$15&gt;0),F2485+G2485,NA())</x:f>
        <x:v>809.6081513493043</x:v>
      </x:c>
      <x:c r="I2485" s="22" t="n">
        <x:f>'Assumptions'!$H$75*IF('Assumptions'!$O$75=1,1,'Assumptions'!$D$10)*(1+'Assumptions'!$N$75)^(20-1)</x:f>
        <x:v>149</x:v>
      </x:c>
      <x:c r="J2485" s="10" t="n">
        <x:f>H2485*I2485</x:f>
        <x:v>120631.61455104634</x:v>
      </x:c>
      <x:c r="K2485" s="10" t="n">
        <x:f>J2485*'Assumptions'!$T$75</x:f>
        <x:v>120631.61455104634</x:v>
      </x:c>
      <x:c r="L2485" s="10" t="n">
        <x:f>K2485*'Assumptions'!$U$75</x:f>
        <x:v>3618.94843653139</x:v>
      </x:c>
      <x:c r="M2485" s="10" t="n">
        <x:f>K2485*'Assumptions'!$V$75</x:f>
        <x:v>0</x:v>
      </x:c>
      <x:c r="N2485" s="10" t="n">
        <x:f>K2485-L2485-M2485</x:f>
        <x:v>117012.66611451496</x:v>
      </x:c>
      <x:c r="O2485" s="10" t="n">
        <x:f>H2485*'Assumptions'!$P$75*'Assumptions'!$Q$75*'Assumptions'!$D$11*(1+'Assumptions'!$D$13)^(20-1)</x:f>
        <x:v>7453.177168560727</x:v>
      </x:c>
      <x:c r="P2485" s="10" t="n">
        <x:f>H2485*'Assumptions'!$R$75*'Assumptions'!$D$11*(1+'Assumptions'!$D$13)^(20-1)</x:f>
        <x:v>0</x:v>
      </x:c>
      <x:c r="Q2485" s="10" t="n">
        <x:f>J2485*'Assumptions'!$S$75</x:f>
        <x:v>0</x:v>
      </x:c>
      <x:c r="R2485" s="10" t="n">
        <x:f>H2485*'Assumptions'!$Y$75*'Assumptions'!$Z$75*'Assumptions'!$D$11*(1+'Assumptions'!$D$13)^(20-1)</x:f>
        <x:v>4258.9583820347025</x:v>
      </x:c>
      <x:c r="S2485" s="10" t="n">
        <x:f>IF(I2485=0,0,J2485*'Assumptions'!$W$75+H2485*'Assumptions'!$X$75)</x:f>
        <x:v>3741.1992673851355</x:v>
      </x:c>
      <x:c r="T2485" s="10" t="n">
        <x:f>N2485*'Assumptions'!$AA$75</x:f>
        <x:v>5850.633305725748</x:v>
      </x:c>
      <x:c r="U2485" s="10" t="n">
        <x:f>'Assumptions'!$AE$75*'Assumptions'!$D$11*(1+'Assumptions'!$D$13)^(20-1)</x:f>
        <x:v>0</x:v>
      </x:c>
      <x:c r="V2485" s="10" t="n">
        <x:f>0</x:f>
        <x:v>0</x:v>
      </x:c>
      <x:c r="W2485" s="10" t="n">
        <x:f>H2485*('Assumptions'!$P$75+'Assumptions'!$Y$75)</x:f>
        <x:v>202.40203783732608</x:v>
      </x:c>
      <x:c r="X2485" s="10" t="n">
        <x:f>N2485/12*'Assumptions'!$AF$75</x:f>
        <x:v>0</x:v>
      </x:c>
      <x:c r="Y2485" s="10" t="n">
        <x:f>P2485/12</x:f>
        <x:v>0</x:v>
      </x:c>
      <x:c r="Z2485" s="10" t="n">
        <x:f>0</x:f>
        <x:v>0</x:v>
      </x:c>
      <x:c r="AA2485" s="10" t="n">
        <x:f>Z2485*'Assumptions'!$AC$75*'Assumptions'!$D$11*(1+'Assumptions'!$D$13)^(20-1)</x:f>
        <x:v>0</x:v>
      </x:c>
      <x:c r="AB2485" s="10" t="n">
        <x:f>F2485/1</x:f>
        <x:v>613.1013185094956</x:v>
      </x:c>
      <x:c r="AC2485" s="10" t="n">
        <x:f>AB2485/'Assumptions'!$AM$75</x:f>
        <x:v>12262.026370189911</x:v>
      </x:c>
      <x:c r="AD2485" s="10" t="n">
        <x:f>IF(AB2485=0,0,T2485/AB2485)</x:f>
        <x:v>9.54268589724968</x:v>
      </x:c>
      <x:c r="AE2485" s="10" t="n">
        <x:f>AA2485*'Assumptions'!$D$21</x:f>
        <x:v>0</x:v>
      </x:c>
    </x:row>
    <x:row r="2486" ht="16" customHeight="1">
      <x:c r="A2486" s="1"/>
      <x:c r="B2486" s="1"/>
      <x:c r="C2486" s="1" t="str">
        <x:v>DOT-047</x:v>
      </x:c>
      <x:c r="D2486" s="10" t="str">
        <x:v>LavaLearning adult</x:v>
      </x:c>
      <x:c r="E2486" s="10" t="n">
        <x:v>20</x:v>
      </x:c>
      <x:c r="F2486" s="21" t="n">
        <x:f>F2358*(1+'Assumptions'!$M$76)</x:f>
        <x:v>408.73421233966366</x:v>
      </x:c>
      <x:c r="G2486" s="21" t="n">
        <x:f>H2358*'Assumptions'!$K$76</x:f>
        <x:v>131.00455522647852</x:v>
      </x:c>
      <x:c r="H2486" s="21" t="n">
        <x:f>IF(AND(COUNT('Assumptions'!$H$76,'Assumptions'!$I$76,'Assumptions'!$J$76,'Assumptions'!$K$76,'Assumptions'!$L$76,'Assumptions'!$M$76,'Assumptions'!$P$76,'Assumptions'!$Q$76,'Assumptions'!$R$76,'Assumptions'!$S$76,'Assumptions'!$T$76,'Assumptions'!$U$76,'Assumptions'!$V$76,'Assumptions'!$W$76,'Assumptions'!$X$76,'Assumptions'!$Y$76,'Assumptions'!$Z$76,'Assumptions'!$AA$76,'Assumptions'!$AD$76,'Assumptions'!$AE$76,'Assumptions'!$AF$76)=21,COUNT('Assumptions'!$D$8:$D$21)=14,'Assumptions'!$J$76&gt;=1,'Assumptions'!$J$76&lt;=12,'Assumptions'!$D$8&gt;=0,'Assumptions'!$D$15&gt;0),F2486+G2486,NA())</x:f>
        <x:v>539.7387675661422</x:v>
      </x:c>
      <x:c r="I2486" s="22" t="n">
        <x:f>'Assumptions'!$H$76*IF('Assumptions'!$O$76=1,1,'Assumptions'!$D$10)*(1+'Assumptions'!$N$76)^(20-1)</x:f>
        <x:v>79</x:v>
      </x:c>
      <x:c r="J2486" s="10" t="n">
        <x:f>H2486*I2486</x:f>
        <x:v>42639.36263772524</x:v>
      </x:c>
      <x:c r="K2486" s="10" t="n">
        <x:f>J2486*'Assumptions'!$T$76</x:f>
        <x:v>42639.36263772524</x:v>
      </x:c>
      <x:c r="L2486" s="10" t="n">
        <x:f>K2486*'Assumptions'!$U$76</x:f>
        <x:v>1279.1808791317571</x:v>
      </x:c>
      <x:c r="M2486" s="10" t="n">
        <x:f>K2486*'Assumptions'!$V$76</x:f>
        <x:v>0</x:v>
      </x:c>
      <x:c r="N2486" s="10" t="n">
        <x:f>K2486-L2486-M2486</x:f>
        <x:v>41360.18175859348</x:v>
      </x:c>
      <x:c r="O2486" s="10" t="n">
        <x:f>H2486*'Assumptions'!$P$76*'Assumptions'!$Q$76*'Assumptions'!$D$11*(1+'Assumptions'!$D$13)^(20-1)</x:f>
        <x:v>4968.784779039927</x:v>
      </x:c>
      <x:c r="P2486" s="10" t="n">
        <x:f>H2486*'Assumptions'!$R$76*'Assumptions'!$D$11*(1+'Assumptions'!$D$13)^(20-1)</x:f>
        <x:v>0</x:v>
      </x:c>
      <x:c r="Q2486" s="10" t="n">
        <x:f>J2486*'Assumptions'!$S$76</x:f>
        <x:v>0</x:v>
      </x:c>
      <x:c r="R2486" s="10" t="n">
        <x:f>H2486*'Assumptions'!$Y$76*'Assumptions'!$Z$76*'Assumptions'!$D$11*(1+'Assumptions'!$D$13)^(20-1)</x:f>
        <x:v>2839.3055880228158</x:v>
      </x:c>
      <x:c r="S2486" s="10" t="n">
        <x:f>IF(I2486=0,0,J2486*'Assumptions'!$W$76+H2486*'Assumptions'!$X$76)</x:f>
        <x:v>1398.4631467638744</x:v>
      </x:c>
      <x:c r="T2486" s="10" t="n">
        <x:f>N2486*'Assumptions'!$AA$76</x:f>
        <x:v>2068.009087929674</x:v>
      </x:c>
      <x:c r="U2486" s="10" t="n">
        <x:f>'Assumptions'!$AE$76*'Assumptions'!$D$11*(1+'Assumptions'!$D$13)^(20-1)</x:f>
        <x:v>0</x:v>
      </x:c>
      <x:c r="V2486" s="10" t="n">
        <x:f>0</x:f>
        <x:v>0</x:v>
      </x:c>
      <x:c r="W2486" s="10" t="n">
        <x:f>H2486*('Assumptions'!$P$76+'Assumptions'!$Y$76)</x:f>
        <x:v>134.93469189153555</x:v>
      </x:c>
      <x:c r="X2486" s="10" t="n">
        <x:f>N2486/12*'Assumptions'!$AF$76</x:f>
        <x:v>0</x:v>
      </x:c>
      <x:c r="Y2486" s="10" t="n">
        <x:f>P2486/12</x:f>
        <x:v>0</x:v>
      </x:c>
      <x:c r="Z2486" s="10" t="n">
        <x:f>0</x:f>
        <x:v>0</x:v>
      </x:c>
      <x:c r="AA2486" s="10" t="n">
        <x:f>Z2486*'Assumptions'!$AC$76*'Assumptions'!$D$11*(1+'Assumptions'!$D$13)^(20-1)</x:f>
        <x:v>0</x:v>
      </x:c>
      <x:c r="AB2486" s="10" t="n">
        <x:f>F2486/1</x:f>
        <x:v>408.73421233966366</x:v>
      </x:c>
      <x:c r="AC2486" s="10" t="n">
        <x:f>AB2486/'Assumptions'!$AM$76</x:f>
        <x:v>8174.684246793273</x:v>
      </x:c>
      <x:c r="AD2486" s="10" t="n">
        <x:f>IF(AB2486=0,0,T2486/AB2486)</x:f>
        <x:v>5.0595448716955715</x:v>
      </x:c>
      <x:c r="AE2486" s="10" t="n">
        <x:f>AA2486*'Assumptions'!$D$21</x:f>
        <x:v>0</x:v>
      </x:c>
    </x:row>
    <x:row r="2487" ht="16" customHeight="1">
      <x:c r="A2487" s="1"/>
      <x:c r="B2487" s="1"/>
      <x:c r="C2487" s="1" t="str">
        <x:v>DOT-048</x:v>
      </x:c>
      <x:c r="D2487" s="10" t="str">
        <x:v>Turbo Tax - Made Easy!</x:v>
      </x:c>
      <x:c r="E2487" s="10" t="n">
        <x:v>20</x:v>
      </x:c>
      <x:c r="F2487" s="21" t="n">
        <x:f>F2359*(1+'Assumptions'!$M$77)</x:f>
        <x:v>1226.2026370189913</x:v>
      </x:c>
      <x:c r="G2487" s="21" t="n">
        <x:f>H2359*'Assumptions'!$K$77</x:f>
        <x:v>393.0136656796175</x:v>
      </x:c>
      <x:c r="H2487" s="21" t="n">
        <x:f>IF(AND(COUNT('Assumptions'!$H$77,'Assumptions'!$I$77,'Assumptions'!$J$77,'Assumptions'!$K$77,'Assumptions'!$L$77,'Assumptions'!$M$77,'Assumptions'!$P$77,'Assumptions'!$Q$77,'Assumptions'!$R$77,'Assumptions'!$S$77,'Assumptions'!$T$77,'Assumptions'!$U$77,'Assumptions'!$V$77,'Assumptions'!$W$77,'Assumptions'!$X$77,'Assumptions'!$Y$77,'Assumptions'!$Z$77,'Assumptions'!$AA$77,'Assumptions'!$AD$77,'Assumptions'!$AE$77,'Assumptions'!$AF$77)=21,COUNT('Assumptions'!$D$8:$D$21)=14,'Assumptions'!$J$77&gt;=1,'Assumptions'!$J$77&lt;=12,'Assumptions'!$D$8&gt;=0,'Assumptions'!$D$15&gt;0),F2487+G2487,NA())</x:f>
        <x:v>1619.2163026986086</x:v>
      </x:c>
      <x:c r="I2487" s="22" t="n">
        <x:f>'Assumptions'!$H$77*IF('Assumptions'!$O$77=1,1,'Assumptions'!$D$10)*(1+'Assumptions'!$N$77)^(20-1)</x:f>
        <x:v>27.679412278028177</x:v>
      </x:c>
      <x:c r="J2487" s="10" t="n">
        <x:f>H2487*I2487</x:f>
        <x:v>44818.95560969926</x:v>
      </x:c>
      <x:c r="K2487" s="10" t="n">
        <x:f>J2487*'Assumptions'!$T$77</x:f>
        <x:v>44818.95560969926</x:v>
      </x:c>
      <x:c r="L2487" s="10" t="n">
        <x:f>K2487*'Assumptions'!$U$77</x:f>
        <x:v>1344.5686682909777</x:v>
      </x:c>
      <x:c r="M2487" s="10" t="n">
        <x:f>K2487*'Assumptions'!$V$77</x:f>
        <x:v>0</x:v>
      </x:c>
      <x:c r="N2487" s="10" t="n">
        <x:f>K2487-L2487-M2487</x:f>
        <x:v>43474.38694140828</x:v>
      </x:c>
      <x:c r="O2487" s="10" t="n">
        <x:f>H2487*'Assumptions'!$P$77*'Assumptions'!$Q$77*'Assumptions'!$D$11*(1+'Assumptions'!$D$13)^(20-1)</x:f>
        <x:v>14906.354337121455</x:v>
      </x:c>
      <x:c r="P2487" s="10" t="n">
        <x:f>H2487*'Assumptions'!$R$77*'Assumptions'!$D$11*(1+'Assumptions'!$D$13)^(20-1)</x:f>
        <x:v>0</x:v>
      </x:c>
      <x:c r="Q2487" s="10" t="n">
        <x:f>J2487*'Assumptions'!$S$77</x:f>
        <x:v>0</x:v>
      </x:c>
      <x:c r="R2487" s="10" t="n">
        <x:f>H2487*'Assumptions'!$Y$77*'Assumptions'!$Z$77*'Assumptions'!$D$11*(1+'Assumptions'!$D$13)^(20-1)</x:f>
        <x:v>8517.916764069405</x:v>
      </x:c>
      <x:c r="S2487" s="10" t="n">
        <x:f>IF(I2487=0,0,J2487*'Assumptions'!$W$77+H2487*'Assumptions'!$X$77)</x:f>
        <x:v>1785.5146034908612</x:v>
      </x:c>
      <x:c r="T2487" s="10" t="n">
        <x:f>N2487*'Assumptions'!$AA$77</x:f>
        <x:v>2173.719347070414</x:v>
      </x:c>
      <x:c r="U2487" s="10" t="n">
        <x:f>'Assumptions'!$AE$77*'Assumptions'!$D$11*(1+'Assumptions'!$D$13)^(20-1)</x:f>
        <x:v>0</x:v>
      </x:c>
      <x:c r="V2487" s="10" t="n">
        <x:f>0</x:f>
        <x:v>0</x:v>
      </x:c>
      <x:c r="W2487" s="10" t="n">
        <x:f>H2487*('Assumptions'!$P$77+'Assumptions'!$Y$77)</x:f>
        <x:v>404.80407567465215</x:v>
      </x:c>
      <x:c r="X2487" s="10" t="n">
        <x:f>N2487/12*'Assumptions'!$AF$77</x:f>
        <x:v>0</x:v>
      </x:c>
      <x:c r="Y2487" s="10" t="n">
        <x:f>P2487/12</x:f>
        <x:v>0</x:v>
      </x:c>
      <x:c r="Z2487" s="10" t="n">
        <x:f>0</x:f>
        <x:v>0</x:v>
      </x:c>
      <x:c r="AA2487" s="10" t="n">
        <x:f>Z2487*'Assumptions'!$AC$77*'Assumptions'!$D$11*(1+'Assumptions'!$D$13)^(20-1)</x:f>
        <x:v>0</x:v>
      </x:c>
      <x:c r="AB2487" s="10" t="n">
        <x:f>F2487/1</x:f>
        <x:v>1226.2026370189913</x:v>
      </x:c>
      <x:c r="AC2487" s="10" t="n">
        <x:f>AB2487/'Assumptions'!$AM$77</x:f>
        <x:v>24524.052740379822</x:v>
      </x:c>
      <x:c r="AD2487" s="10" t="n">
        <x:f>IF(AB2487=0,0,T2487/AB2487)</x:f>
        <x:v>1.7727244106691216</x:v>
      </x:c>
      <x:c r="AE2487" s="10" t="n">
        <x:f>AA2487*'Assumptions'!$D$21</x:f>
        <x:v>0</x:v>
      </x:c>
    </x:row>
    <x:row r="2488" ht="16" customHeight="1">
      <x:c r="A2488" s="1"/>
      <x:c r="B2488" s="1"/>
      <x:c r="C2488" s="1" t="str">
        <x:v>DOT-049</x:v>
      </x:c>
      <x:c r="D2488" s="10" t="str">
        <x:v>Turbo Tax - Made Easy!</x:v>
      </x:c>
      <x:c r="E2488" s="10" t="n">
        <x:v>20</x:v>
      </x:c>
      <x:c r="F2488" s="21" t="n">
        <x:f>F2360*(1+'Assumptions'!$M$78)</x:f>
        <x:v>408.73421233966366</x:v>
      </x:c>
      <x:c r="G2488" s="21" t="n">
        <x:f>H2360*'Assumptions'!$K$78</x:f>
        <x:v>131.00455522629662</x:v>
      </x:c>
      <x:c r="H2488" s="21" t="n">
        <x:f>IF(AND(COUNT('Assumptions'!$H$78,'Assumptions'!$I$78,'Assumptions'!$J$78,'Assumptions'!$K$78,'Assumptions'!$L$78,'Assumptions'!$M$78,'Assumptions'!$P$78,'Assumptions'!$Q$78,'Assumptions'!$R$78,'Assumptions'!$S$78,'Assumptions'!$T$78,'Assumptions'!$U$78,'Assumptions'!$V$78,'Assumptions'!$W$78,'Assumptions'!$X$78,'Assumptions'!$Y$78,'Assumptions'!$Z$78,'Assumptions'!$AA$78,'Assumptions'!$AD$78,'Assumptions'!$AE$78,'Assumptions'!$AF$78)=21,COUNT('Assumptions'!$D$8:$D$21)=14,'Assumptions'!$J$78&gt;=1,'Assumptions'!$J$78&lt;=12,'Assumptions'!$D$8&gt;=0,'Assumptions'!$D$15&gt;0),F2488+G2488,NA())</x:f>
        <x:v>539.7387675659603</x:v>
      </x:c>
      <x:c r="I2488" s="22" t="n">
        <x:f>'Assumptions'!$H$78*IF('Assumptions'!$O$78=1,1,'Assumptions'!$D$10)*(1+'Assumptions'!$N$78)^(20-1)</x:f>
        <x:v>27.679412278028177</x:v>
      </x:c>
      <x:c r="J2488" s="10" t="n">
        <x:f>H2488*I2488</x:f>
        <x:v>14939.651869893038</x:v>
      </x:c>
      <x:c r="K2488" s="10" t="n">
        <x:f>J2488*'Assumptions'!$T$78</x:f>
        <x:v>14939.651869893038</x:v>
      </x:c>
      <x:c r="L2488" s="10" t="n">
        <x:f>K2488*'Assumptions'!$U$78</x:f>
        <x:v>448.18955609679114</x:v>
      </x:c>
      <x:c r="M2488" s="10" t="n">
        <x:f>K2488*'Assumptions'!$V$78</x:f>
        <x:v>0</x:v>
      </x:c>
      <x:c r="N2488" s="10" t="n">
        <x:f>K2488-L2488-M2488</x:f>
        <x:v>14491.462313796246</x:v>
      </x:c>
      <x:c r="O2488" s="10" t="n">
        <x:f>H2488*'Assumptions'!$P$78*'Assumptions'!$Q$78*'Assumptions'!$D$11*(1+'Assumptions'!$D$13)^(20-1)</x:f>
        <x:v>4968.784779038253</x:v>
      </x:c>
      <x:c r="P2488" s="10" t="n">
        <x:f>H2488*'Assumptions'!$R$78*'Assumptions'!$D$11*(1+'Assumptions'!$D$13)^(20-1)</x:f>
        <x:v>0</x:v>
      </x:c>
      <x:c r="Q2488" s="10" t="n">
        <x:f>J2488*'Assumptions'!$S$78</x:f>
        <x:v>0</x:v>
      </x:c>
      <x:c r="R2488" s="10" t="n">
        <x:f>H2488*'Assumptions'!$Y$78*'Assumptions'!$Z$78*'Assumptions'!$D$11*(1+'Assumptions'!$D$13)^(20-1)</x:f>
        <x:v>2839.305588021859</x:v>
      </x:c>
      <x:c r="S2488" s="10" t="n">
        <x:f>IF(I2488=0,0,J2488*'Assumptions'!$W$78+H2488*'Assumptions'!$X$78)</x:f>
        <x:v>595.1715344966863</x:v>
      </x:c>
      <x:c r="T2488" s="10" t="n">
        <x:f>N2488*'Assumptions'!$AA$78</x:f>
        <x:v>724.5731156898123</x:v>
      </x:c>
      <x:c r="U2488" s="10" t="n">
        <x:f>'Assumptions'!$AE$78*'Assumptions'!$D$11*(1+'Assumptions'!$D$13)^(20-1)</x:f>
        <x:v>0</x:v>
      </x:c>
      <x:c r="V2488" s="10" t="n">
        <x:f>0</x:f>
        <x:v>0</x:v>
      </x:c>
      <x:c r="W2488" s="10" t="n">
        <x:f>H2488*('Assumptions'!$P$78+'Assumptions'!$Y$78)</x:f>
        <x:v>134.93469189149008</x:v>
      </x:c>
      <x:c r="X2488" s="10" t="n">
        <x:f>N2488/12*'Assumptions'!$AF$78</x:f>
        <x:v>0</x:v>
      </x:c>
      <x:c r="Y2488" s="10" t="n">
        <x:f>P2488/12</x:f>
        <x:v>0</x:v>
      </x:c>
      <x:c r="Z2488" s="10" t="n">
        <x:f>0</x:f>
        <x:v>0</x:v>
      </x:c>
      <x:c r="AA2488" s="10" t="n">
        <x:f>Z2488*'Assumptions'!$AC$78*'Assumptions'!$D$11*(1+'Assumptions'!$D$13)^(20-1)</x:f>
        <x:v>0</x:v>
      </x:c>
      <x:c r="AB2488" s="10" t="n">
        <x:f>F2488/1</x:f>
        <x:v>408.73421233966366</x:v>
      </x:c>
      <x:c r="AC2488" s="10" t="n">
        <x:f>AB2488/'Assumptions'!$AM$78</x:f>
        <x:v>8174.684246793273</x:v>
      </x:c>
      <x:c r="AD2488" s="10" t="n">
        <x:f>IF(AB2488=0,0,T2488/AB2488)</x:f>
        <x:v>1.772724410668325</x:v>
      </x:c>
      <x:c r="AE2488" s="10" t="n">
        <x:f>AA2488*'Assumptions'!$D$21</x:f>
        <x:v>0</x:v>
      </x:c>
    </x:row>
    <x:row r="2489" ht="16" customHeight="1">
      <x:c r="A2489" s="1"/>
      <x:c r="B2489" s="1"/>
      <x:c r="C2489" s="1" t="str">
        <x:v>DOT-050</x:v>
      </x:c>
      <x:c r="D2489" s="10" t="str">
        <x:v>LavaLearning adult</x:v>
      </x:c>
      <x:c r="E2489" s="10" t="n">
        <x:v>20</x:v>
      </x:c>
      <x:c r="F2489" s="21" t="n">
        <x:f>F2361*(1+'Assumptions'!$M$79)</x:f>
        <x:v>1226.2026370189913</x:v>
      </x:c>
      <x:c r="G2489" s="21" t="n">
        <x:f>H2361*'Assumptions'!$K$79</x:f>
        <x:v>393.0136656794356</x:v>
      </x:c>
      <x:c r="H2489" s="21" t="n">
        <x:f>IF(AND(COUNT('Assumptions'!$H$79,'Assumptions'!$I$79,'Assumptions'!$J$79,'Assumptions'!$K$79,'Assumptions'!$L$79,'Assumptions'!$M$79,'Assumptions'!$P$79,'Assumptions'!$Q$79,'Assumptions'!$R$79,'Assumptions'!$S$79,'Assumptions'!$T$79,'Assumptions'!$U$79,'Assumptions'!$V$79,'Assumptions'!$W$79,'Assumptions'!$X$79,'Assumptions'!$Y$79,'Assumptions'!$Z$79,'Assumptions'!$AA$79,'Assumptions'!$AD$79,'Assumptions'!$AE$79,'Assumptions'!$AF$79)=21,COUNT('Assumptions'!$D$8:$D$21)=14,'Assumptions'!$J$79&gt;=1,'Assumptions'!$J$79&lt;=12,'Assumptions'!$D$8&gt;=0,'Assumptions'!$D$15&gt;0),F2489+G2489,NA())</x:f>
        <x:v>1619.2163026984267</x:v>
      </x:c>
      <x:c r="I2489" s="22" t="n">
        <x:f>'Assumptions'!$H$79*IF('Assumptions'!$O$79=1,1,'Assumptions'!$D$10)*(1+'Assumptions'!$N$79)^(20-1)</x:f>
        <x:v>27.679412278028177</x:v>
      </x:c>
      <x:c r="J2489" s="10" t="n">
        <x:f>H2489*I2489</x:f>
        <x:v>44818.955609694225</x:v>
      </x:c>
      <x:c r="K2489" s="10" t="n">
        <x:f>J2489*'Assumptions'!$T$79</x:f>
        <x:v>44818.955609694225</x:v>
      </x:c>
      <x:c r="L2489" s="10" t="n">
        <x:f>K2489*'Assumptions'!$U$79</x:f>
        <x:v>1344.5686682908267</x:v>
      </x:c>
      <x:c r="M2489" s="10" t="n">
        <x:f>K2489*'Assumptions'!$V$79</x:f>
        <x:v>0</x:v>
      </x:c>
      <x:c r="N2489" s="10" t="n">
        <x:f>K2489-L2489-M2489</x:f>
        <x:v>43474.3869414034</x:v>
      </x:c>
      <x:c r="O2489" s="10" t="n">
        <x:f>H2489*'Assumptions'!$P$79*'Assumptions'!$Q$79*'Assumptions'!$D$11*(1+'Assumptions'!$D$13)^(20-1)</x:f>
        <x:v>14906.35433711978</x:v>
      </x:c>
      <x:c r="P2489" s="10" t="n">
        <x:f>H2489*'Assumptions'!$R$79*'Assumptions'!$D$11*(1+'Assumptions'!$D$13)^(20-1)</x:f>
        <x:v>0</x:v>
      </x:c>
      <x:c r="Q2489" s="10" t="n">
        <x:f>J2489*'Assumptions'!$S$79</x:f>
        <x:v>0</x:v>
      </x:c>
      <x:c r="R2489" s="10" t="n">
        <x:f>H2489*'Assumptions'!$Y$79*'Assumptions'!$Z$79*'Assumptions'!$D$11*(1+'Assumptions'!$D$13)^(20-1)</x:f>
        <x:v>8517.916764068448</x:v>
      </x:c>
      <x:c r="S2489" s="10" t="n">
        <x:f>IF(I2489=0,0,J2489*'Assumptions'!$W$79+H2489*'Assumptions'!$X$79)</x:f>
        <x:v>1785.5146034906606</x:v>
      </x:c>
      <x:c r="T2489" s="10" t="n">
        <x:f>N2489*'Assumptions'!$AA$79</x:f>
        <x:v>2173.71934707017</x:v>
      </x:c>
      <x:c r="U2489" s="10" t="n">
        <x:f>'Assumptions'!$AE$79*'Assumptions'!$D$11*(1+'Assumptions'!$D$13)^(20-1)</x:f>
        <x:v>0</x:v>
      </x:c>
      <x:c r="V2489" s="10" t="n">
        <x:f>0</x:f>
        <x:v>0</x:v>
      </x:c>
      <x:c r="W2489" s="10" t="n">
        <x:f>H2489*('Assumptions'!$P$79+'Assumptions'!$Y$79)</x:f>
        <x:v>404.8040756746067</x:v>
      </x:c>
      <x:c r="X2489" s="10" t="n">
        <x:f>N2489/12*'Assumptions'!$AF$79</x:f>
        <x:v>0</x:v>
      </x:c>
      <x:c r="Y2489" s="10" t="n">
        <x:f>P2489/12</x:f>
        <x:v>0</x:v>
      </x:c>
      <x:c r="Z2489" s="10" t="n">
        <x:f>0</x:f>
        <x:v>0</x:v>
      </x:c>
      <x:c r="AA2489" s="10" t="n">
        <x:f>Z2489*'Assumptions'!$AC$79*'Assumptions'!$D$11*(1+'Assumptions'!$D$13)^(20-1)</x:f>
        <x:v>0</x:v>
      </x:c>
      <x:c r="AB2489" s="10" t="n">
        <x:f>F2489/1</x:f>
        <x:v>1226.2026370189913</x:v>
      </x:c>
      <x:c r="AC2489" s="10" t="n">
        <x:f>AB2489/'Assumptions'!$AM$79</x:f>
        <x:v>24524.052740379822</x:v>
      </x:c>
      <x:c r="AD2489" s="10" t="n">
        <x:f>IF(AB2489=0,0,T2489/AB2489)</x:f>
        <x:v>1.7727244106689226</x:v>
      </x:c>
      <x:c r="AE2489" s="10" t="n">
        <x:f>AA2489*'Assumptions'!$D$21</x:f>
        <x:v>0</x:v>
      </x:c>
    </x:row>
    <x:row r="2490" ht="16" customHeight="1">
      <x:c r="A2490" s="1"/>
      <x:c r="B2490" s="1"/>
      <x:c r="C2490" s="1" t="str">
        <x:v>DOT-051</x:v>
      </x:c>
      <x:c r="D2490" s="10" t="str">
        <x:v>LavaLearning adult</x:v>
      </x:c>
      <x:c r="E2490" s="10" t="n">
        <x:v>20</x:v>
      </x:c>
      <x:c r="F2490" s="21" t="n">
        <x:f>F2362*(1+'Assumptions'!$M$80)</x:f>
        <x:v>245.24052740379824</x:v>
      </x:c>
      <x:c r="G2490" s="21" t="n">
        <x:f>H2362*'Assumptions'!$K$80</x:f>
        <x:v>78.60273313577798</x:v>
      </x:c>
      <x:c r="H2490" s="21" t="n">
        <x:f>IF(AND(COUNT('Assumptions'!$H$80,'Assumptions'!$I$80,'Assumptions'!$J$80,'Assumptions'!$K$80,'Assumptions'!$L$80,'Assumptions'!$M$80,'Assumptions'!$P$80,'Assumptions'!$Q$80,'Assumptions'!$R$80,'Assumptions'!$S$80,'Assumptions'!$T$80,'Assumptions'!$U$80,'Assumptions'!$V$80,'Assumptions'!$W$80,'Assumptions'!$X$80,'Assumptions'!$Y$80,'Assumptions'!$Z$80,'Assumptions'!$AA$80,'Assumptions'!$AD$80,'Assumptions'!$AE$80,'Assumptions'!$AF$80)=21,COUNT('Assumptions'!$D$8:$D$21)=14,'Assumptions'!$J$80&gt;=1,'Assumptions'!$J$80&lt;=12,'Assumptions'!$D$8&gt;=0,'Assumptions'!$D$15&gt;0),F2490+G2490,NA())</x:f>
        <x:v>323.84326053957625</x:v>
      </x:c>
      <x:c r="I2490" s="22" t="n">
        <x:f>'Assumptions'!$H$80*IF('Assumptions'!$O$80=1,1,'Assumptions'!$D$10)*(1+'Assumptions'!$N$80)^(20-1)</x:f>
        <x:v>42.24752400330617</x:v>
      </x:c>
      <x:c r="J2490" s="10" t="n">
        <x:f>H2490*I2490</x:f>
        <x:v>13681.57592295468</x:v>
      </x:c>
      <x:c r="K2490" s="10" t="n">
        <x:f>J2490*'Assumptions'!$T$80</x:f>
        <x:v>13681.57592295468</x:v>
      </x:c>
      <x:c r="L2490" s="10" t="n">
        <x:f>K2490*'Assumptions'!$U$80</x:f>
        <x:v>410.4472776886404</x:v>
      </x:c>
      <x:c r="M2490" s="10" t="n">
        <x:f>K2490*'Assumptions'!$V$80</x:f>
        <x:v>0</x:v>
      </x:c>
      <x:c r="N2490" s="10" t="n">
        <x:f>K2490-L2490-M2490</x:f>
        <x:v>13271.12864526604</x:v>
      </x:c>
      <x:c r="O2490" s="10" t="n">
        <x:f>H2490*'Assumptions'!$P$80*'Assumptions'!$Q$80*'Assumptions'!$D$11*(1+'Assumptions'!$D$13)^(20-1)</x:f>
        <x:v>2981.270867422952</x:v>
      </x:c>
      <x:c r="P2490" s="10" t="n">
        <x:f>H2490*'Assumptions'!$R$80*'Assumptions'!$D$11*(1+'Assumptions'!$D$13)^(20-1)</x:f>
        <x:v>0</x:v>
      </x:c>
      <x:c r="Q2490" s="10" t="n">
        <x:f>J2490*'Assumptions'!$S$80</x:f>
        <x:v>0</x:v>
      </x:c>
      <x:c r="R2490" s="10" t="n">
        <x:f>H2490*'Assumptions'!$Y$80*'Assumptions'!$Z$80*'Assumptions'!$D$11*(1+'Assumptions'!$D$13)^(20-1)</x:f>
        <x:v>1703.5833528131157</x:v>
      </x:c>
      <x:c r="S2490" s="10" t="n">
        <x:f>IF(I2490=0,0,J2490*'Assumptions'!$W$80+H2490*'Assumptions'!$X$80)</x:f>
        <x:v>493.91867992755857</x:v>
      </x:c>
      <x:c r="T2490" s="10" t="n">
        <x:f>N2490*'Assumptions'!$AA$80</x:f>
        <x:v>663.5564322633021</x:v>
      </x:c>
      <x:c r="U2490" s="10" t="n">
        <x:f>'Assumptions'!$AE$80*'Assumptions'!$D$11*(1+'Assumptions'!$D$13)^(20-1)</x:f>
        <x:v>0</x:v>
      </x:c>
      <x:c r="V2490" s="10" t="n">
        <x:f>0</x:f>
        <x:v>0</x:v>
      </x:c>
      <x:c r="W2490" s="10" t="n">
        <x:f>H2490*('Assumptions'!$P$80+'Assumptions'!$Y$80)</x:f>
        <x:v>80.96081513489406</x:v>
      </x:c>
      <x:c r="X2490" s="10" t="n">
        <x:f>N2490/12*'Assumptions'!$AF$80</x:f>
        <x:v>0</x:v>
      </x:c>
      <x:c r="Y2490" s="10" t="n">
        <x:f>P2490/12</x:f>
        <x:v>0</x:v>
      </x:c>
      <x:c r="Z2490" s="10" t="n">
        <x:f>0</x:f>
        <x:v>0</x:v>
      </x:c>
      <x:c r="AA2490" s="10" t="n">
        <x:f>Z2490*'Assumptions'!$AC$80*'Assumptions'!$D$11*(1+'Assumptions'!$D$13)^(20-1)</x:f>
        <x:v>0</x:v>
      </x:c>
      <x:c r="AB2490" s="10" t="n">
        <x:f>F2490/1</x:f>
        <x:v>245.24052740379824</x:v>
      </x:c>
      <x:c r="AC2490" s="10" t="n">
        <x:f>AB2490/'Assumptions'!$AM$80</x:f>
        <x:v>4904.810548075964</x:v>
      </x:c>
      <x:c r="AD2490" s="10" t="n">
        <x:f>IF(AB2490=0,0,T2490/AB2490)</x:f>
        <x:v>2.705737258388497</x:v>
      </x:c>
      <x:c r="AE2490" s="10" t="n">
        <x:f>AA2490*'Assumptions'!$D$21</x:f>
        <x:v>0</x:v>
      </x:c>
    </x:row>
    <x:row r="2491" ht="16" customHeight="1">
      <x:c r="A2491" s="1"/>
      <x:c r="B2491" s="1"/>
      <x:c r="C2491" s="1" t="str">
        <x:v>DOT-052</x:v>
      </x:c>
      <x:c r="D2491" s="10" t="str">
        <x:v>LavaLearning Model Life</x:v>
      </x:c>
      <x:c r="E2491" s="10" t="n">
        <x:v>20</x:v>
      </x:c>
      <x:c r="F2491" s="21" t="n">
        <x:f>F2363*(1+'Assumptions'!$M$81)</x:f>
        <x:v>0</x:v>
      </x:c>
      <x:c r="G2491" s="21" t="n">
        <x:f>H2363*'Assumptions'!$K$81</x:f>
        <x:v>0</x:v>
      </x:c>
      <x:c r="H2491" s="21" t="n">
        <x:f>IF(AND(COUNT('Assumptions'!$H$81,'Assumptions'!$I$81,'Assumptions'!$J$81,'Assumptions'!$K$81,'Assumptions'!$L$81,'Assumptions'!$M$81,'Assumptions'!$P$81,'Assumptions'!$Q$81,'Assumptions'!$R$81,'Assumptions'!$S$81,'Assumptions'!$T$81,'Assumptions'!$U$81,'Assumptions'!$V$81,'Assumptions'!$W$81,'Assumptions'!$X$81,'Assumptions'!$Y$81,'Assumptions'!$Z$81,'Assumptions'!$AA$81,'Assumptions'!$AD$81,'Assumptions'!$AE$81,'Assumptions'!$AF$81)=21,COUNT('Assumptions'!$D$8:$D$21)=14,'Assumptions'!$J$81&gt;=1,'Assumptions'!$J$81&lt;=12,'Assumptions'!$D$8&gt;=0,'Assumptions'!$D$15&gt;0),F2491+G2491,NA())</x:f>
        <x:v>0</x:v>
      </x:c>
      <x:c r="I2491" s="22" t="n">
        <x:f>'Assumptions'!$H$81*IF('Assumptions'!$O$81=1,1,'Assumptions'!$D$10)*(1+'Assumptions'!$N$81)^(20-1)</x:f>
        <x:v>0</x:v>
      </x:c>
      <x:c r="J2491" s="10" t="n">
        <x:f>H2491*I2491</x:f>
        <x:v>0</x:v>
      </x:c>
      <x:c r="K2491" s="10" t="n">
        <x:f>J2491*'Assumptions'!$T$81</x:f>
        <x:v>0</x:v>
      </x:c>
      <x:c r="L2491" s="10" t="n">
        <x:f>K2491*'Assumptions'!$U$81</x:f>
        <x:v>0</x:v>
      </x:c>
      <x:c r="M2491" s="10" t="n">
        <x:f>K2491*'Assumptions'!$V$81</x:f>
        <x:v>0</x:v>
      </x:c>
      <x:c r="N2491" s="10" t="n">
        <x:f>K2491-L2491-M2491</x:f>
        <x:v>0</x:v>
      </x:c>
      <x:c r="O2491" s="10" t="n">
        <x:f>H2491*'Assumptions'!$P$81*'Assumptions'!$Q$81*'Assumptions'!$D$11*(1+'Assumptions'!$D$13)^(20-1)</x:f>
        <x:v>0</x:v>
      </x:c>
      <x:c r="P2491" s="10" t="n">
        <x:f>H2491*'Assumptions'!$R$81*'Assumptions'!$D$11*(1+'Assumptions'!$D$13)^(20-1)</x:f>
        <x:v>0</x:v>
      </x:c>
      <x:c r="Q2491" s="10" t="n">
        <x:f>J2491*'Assumptions'!$S$81</x:f>
        <x:v>0</x:v>
      </x:c>
      <x:c r="R2491" s="10" t="n">
        <x:f>H2491*'Assumptions'!$Y$81*'Assumptions'!$Z$81*'Assumptions'!$D$11*(1+'Assumptions'!$D$13)^(20-1)</x:f>
        <x:v>0</x:v>
      </x:c>
      <x:c r="S2491" s="10" t="n">
        <x:f>IF(I2491=0,0,J2491*'Assumptions'!$W$81+H2491*'Assumptions'!$X$81)</x:f>
        <x:v>0</x:v>
      </x:c>
      <x:c r="T2491" s="10" t="n">
        <x:f>N2491*'Assumptions'!$AA$81</x:f>
        <x:v>0</x:v>
      </x:c>
      <x:c r="U2491" s="10" t="n">
        <x:f>'Assumptions'!$AE$81*'Assumptions'!$D$11*(1+'Assumptions'!$D$13)^(20-1)</x:f>
        <x:v>0</x:v>
      </x:c>
      <x:c r="V2491" s="10" t="n">
        <x:f>0</x:f>
        <x:v>0</x:v>
      </x:c>
      <x:c r="W2491" s="10" t="n">
        <x:f>H2491*('Assumptions'!$P$81+'Assumptions'!$Y$81)</x:f>
        <x:v>0</x:v>
      </x:c>
      <x:c r="X2491" s="10" t="n">
        <x:f>N2491/12*'Assumptions'!$AF$81</x:f>
        <x:v>0</x:v>
      </x:c>
      <x:c r="Y2491" s="10" t="n">
        <x:f>P2491/12</x:f>
        <x:v>0</x:v>
      </x:c>
      <x:c r="Z2491" s="10" t="n">
        <x:f>0</x:f>
        <x:v>0</x:v>
      </x:c>
      <x:c r="AA2491" s="10" t="n">
        <x:f>Z2491*'Assumptions'!$AC$81*'Assumptions'!$D$11*(1+'Assumptions'!$D$13)^(20-1)</x:f>
        <x:v>0</x:v>
      </x:c>
      <x:c r="AB2491" s="10" t="n">
        <x:f>F2491/1</x:f>
        <x:v>0</x:v>
      </x:c>
      <x:c r="AC2491" s="10" t="n">
        <x:f>AB2491/'Assumptions'!$AM$81</x:f>
        <x:v>0</x:v>
      </x:c>
      <x:c r="AD2491" s="10" t="n">
        <x:f>IF(AB2491=0,0,T2491/AB2491)</x:f>
        <x:v>0</x:v>
      </x:c>
      <x:c r="AE2491" s="10" t="n">
        <x:f>AA2491*'Assumptions'!$D$21</x:f>
        <x:v>0</x:v>
      </x:c>
    </x:row>
    <x:row r="2492" ht="16" customHeight="1">
      <x:c r="A2492" s="1"/>
      <x:c r="B2492" s="1"/>
      <x:c r="C2492" s="1" t="str">
        <x:v>DOT-053</x:v>
      </x:c>
      <x:c r="D2492" s="10" t="str">
        <x:v>LavaLearning Kids</x:v>
      </x:c>
      <x:c r="E2492" s="10" t="n">
        <x:v>20</x:v>
      </x:c>
      <x:c r="F2492" s="21" t="n">
        <x:f>F2364*(1+'Assumptions'!$M$82)</x:f>
        <x:v>1226.2026370189913</x:v>
      </x:c>
      <x:c r="G2492" s="21" t="n">
        <x:f>H2364*'Assumptions'!$K$82</x:f>
        <x:v>393.0136656788899</x:v>
      </x:c>
      <x:c r="H2492" s="21" t="n">
        <x:f>IF(AND(COUNT('Assumptions'!$H$82,'Assumptions'!$I$82,'Assumptions'!$J$82,'Assumptions'!$K$82,'Assumptions'!$L$82,'Assumptions'!$M$82,'Assumptions'!$P$82,'Assumptions'!$Q$82,'Assumptions'!$R$82,'Assumptions'!$S$82,'Assumptions'!$T$82,'Assumptions'!$U$82,'Assumptions'!$V$82,'Assumptions'!$W$82,'Assumptions'!$X$82,'Assumptions'!$Y$82,'Assumptions'!$Z$82,'Assumptions'!$AA$82,'Assumptions'!$AD$82,'Assumptions'!$AE$82,'Assumptions'!$AF$82)=21,COUNT('Assumptions'!$D$8:$D$21)=14,'Assumptions'!$J$82&gt;=1,'Assumptions'!$J$82&lt;=12,'Assumptions'!$D$8&gt;=0,'Assumptions'!$D$15&gt;0),F2492+G2492,NA())</x:f>
        <x:v>1619.216302697881</x:v>
      </x:c>
      <x:c r="I2492" s="22" t="n">
        <x:f>'Assumptions'!$H$82*IF('Assumptions'!$O$82=1,1,'Assumptions'!$D$10)*(1+'Assumptions'!$N$82)^(20-1)</x:f>
        <x:v>27.679412278028177</x:v>
      </x:c>
      <x:c r="J2492" s="10" t="n">
        <x:f>H2492*I2492</x:f>
        <x:v>44818.95560967912</x:v>
      </x:c>
      <x:c r="K2492" s="10" t="n">
        <x:f>J2492*'Assumptions'!$T$82</x:f>
        <x:v>44818.95560967912</x:v>
      </x:c>
      <x:c r="L2492" s="10" t="n">
        <x:f>K2492*'Assumptions'!$U$82</x:f>
        <x:v>1344.5686682903736</x:v>
      </x:c>
      <x:c r="M2492" s="10" t="n">
        <x:f>K2492*'Assumptions'!$V$82</x:f>
        <x:v>0</x:v>
      </x:c>
      <x:c r="N2492" s="10" t="n">
        <x:f>K2492-L2492-M2492</x:f>
        <x:v>43474.386941388744</x:v>
      </x:c>
      <x:c r="O2492" s="10" t="n">
        <x:f>H2492*'Assumptions'!$P$82*'Assumptions'!$Q$82*'Assumptions'!$D$11*(1+'Assumptions'!$D$13)^(20-1)</x:f>
        <x:v>14906.354337114757</x:v>
      </x:c>
      <x:c r="P2492" s="10" t="n">
        <x:f>H2492*'Assumptions'!$R$82*'Assumptions'!$D$11*(1+'Assumptions'!$D$13)^(20-1)</x:f>
        <x:v>0</x:v>
      </x:c>
      <x:c r="Q2492" s="10" t="n">
        <x:f>J2492*'Assumptions'!$S$82</x:f>
        <x:v>0</x:v>
      </x:c>
      <x:c r="R2492" s="10" t="n">
        <x:f>H2492*'Assumptions'!$Y$82*'Assumptions'!$Z$82*'Assumptions'!$D$11*(1+'Assumptions'!$D$13)^(20-1)</x:f>
        <x:v>8517.916764065578</x:v>
      </x:c>
      <x:c r="S2492" s="10" t="n">
        <x:f>IF(I2492=0,0,J2492*'Assumptions'!$W$82+H2492*'Assumptions'!$X$82)</x:f>
        <x:v>1785.5146034900588</x:v>
      </x:c>
      <x:c r="T2492" s="10" t="n">
        <x:f>N2492*'Assumptions'!$AA$82</x:f>
        <x:v>2173.7193470694374</x:v>
      </x:c>
      <x:c r="U2492" s="10" t="n">
        <x:f>'Assumptions'!$AE$82*'Assumptions'!$D$11*(1+'Assumptions'!$D$13)^(20-1)</x:f>
        <x:v>420.84145273850436</x:v>
      </x:c>
      <x:c r="V2492" s="10" t="n">
        <x:f>0</x:f>
        <x:v>0</x:v>
      </x:c>
      <x:c r="W2492" s="10" t="n">
        <x:f>H2492*('Assumptions'!$P$82+'Assumptions'!$Y$82)</x:f>
        <x:v>404.80407567447025</x:v>
      </x:c>
      <x:c r="X2492" s="10" t="n">
        <x:f>N2492/12*'Assumptions'!$AF$82</x:f>
        <x:v>0</x:v>
      </x:c>
      <x:c r="Y2492" s="10" t="n">
        <x:f>P2492/12</x:f>
        <x:v>0</x:v>
      </x:c>
      <x:c r="Z2492" s="10" t="n">
        <x:f>0</x:f>
        <x:v>0</x:v>
      </x:c>
      <x:c r="AA2492" s="10" t="n">
        <x:f>Z2492*'Assumptions'!$AC$82*'Assumptions'!$D$11*(1+'Assumptions'!$D$13)^(20-1)</x:f>
        <x:v>0</x:v>
      </x:c>
      <x:c r="AB2492" s="10" t="n">
        <x:f>F2492/1</x:f>
        <x:v>1226.2026370189913</x:v>
      </x:c>
      <x:c r="AC2492" s="10" t="n">
        <x:f>AB2492/'Assumptions'!$AM$82</x:f>
        <x:v>24524.052740379822</x:v>
      </x:c>
      <x:c r="AD2492" s="10" t="n">
        <x:f>IF(AB2492=0,0,T2492/AB2492)</x:f>
        <x:v>1.772724410668325</x:v>
      </x:c>
      <x:c r="AE2492" s="10" t="n">
        <x:f>AA2492*'Assumptions'!$D$21</x:f>
        <x:v>0</x:v>
      </x:c>
    </x:row>
    <x:row r="2493" ht="16" customHeight="1">
      <x:c r="A2493" s="1"/>
      <x:c r="B2493" s="1"/>
      <x:c r="C2493" s="1" t="str">
        <x:v>DOT-054</x:v>
      </x:c>
      <x:c r="D2493" s="10" t="str">
        <x:v>VraiSkill adult</x:v>
      </x:c>
      <x:c r="E2493" s="10" t="n">
        <x:v>20</x:v>
      </x:c>
      <x:c r="F2493" s="21" t="n">
        <x:f>F2365*(1+'Assumptions'!$M$83)</x:f>
        <x:v>2452.4052740379825</x:v>
      </x:c>
      <x:c r="G2493" s="21" t="n">
        <x:f>H2365*'Assumptions'!$K$83</x:f>
        <x:v>786.0273313588712</x:v>
      </x:c>
      <x:c r="H2493" s="21" t="n">
        <x:f>IF(AND(COUNT('Assumptions'!$H$83,'Assumptions'!$I$83,'Assumptions'!$J$83,'Assumptions'!$K$83,'Assumptions'!$L$83,'Assumptions'!$M$83,'Assumptions'!$P$83,'Assumptions'!$Q$83,'Assumptions'!$R$83,'Assumptions'!$S$83,'Assumptions'!$T$83,'Assumptions'!$U$83,'Assumptions'!$V$83,'Assumptions'!$W$83,'Assumptions'!$X$83,'Assumptions'!$Y$83,'Assumptions'!$Z$83,'Assumptions'!$AA$83,'Assumptions'!$AD$83,'Assumptions'!$AE$83,'Assumptions'!$AF$83)=21,COUNT('Assumptions'!$D$8:$D$21)=14,'Assumptions'!$J$83&gt;=1,'Assumptions'!$J$83&lt;=12,'Assumptions'!$D$8&gt;=0,'Assumptions'!$D$15&gt;0),F2493+G2493,NA())</x:f>
        <x:v>3238.4326053968534</x:v>
      </x:c>
      <x:c r="I2493" s="22" t="n">
        <x:f>'Assumptions'!$H$83*IF('Assumptions'!$O$83=1,1,'Assumptions'!$D$10)*(1+'Assumptions'!$N$83)^(20-1)</x:f>
        <x:v>14.55354361355271</x:v>
      </x:c>
      <x:c r="J2493" s="10" t="n">
        <x:f>H2493*I2493</x:f>
        <x:v>47130.67016219424</x:v>
      </x:c>
      <x:c r="K2493" s="10" t="n">
        <x:f>J2493*'Assumptions'!$T$83</x:f>
        <x:v>47130.67016219424</x:v>
      </x:c>
      <x:c r="L2493" s="10" t="n">
        <x:f>K2493*'Assumptions'!$U$83</x:f>
        <x:v>1413.9201048658272</x:v>
      </x:c>
      <x:c r="M2493" s="10" t="n">
        <x:f>K2493*'Assumptions'!$V$83</x:f>
        <x:v>0</x:v>
      </x:c>
      <x:c r="N2493" s="10" t="n">
        <x:f>K2493-L2493-M2493</x:f>
        <x:v>45716.75005732841</x:v>
      </x:c>
      <x:c r="O2493" s="10" t="n">
        <x:f>H2493*'Assumptions'!$P$83*'Assumptions'!$Q$83*'Assumptions'!$D$11*(1+'Assumptions'!$D$13)^(20-1)</x:f>
        <x:v>29812.70867423956</x:v>
      </x:c>
      <x:c r="P2493" s="10" t="n">
        <x:f>H2493*'Assumptions'!$R$83*'Assumptions'!$D$11*(1+'Assumptions'!$D$13)^(20-1)</x:f>
        <x:v>0</x:v>
      </x:c>
      <x:c r="Q2493" s="10" t="n">
        <x:f>J2493*'Assumptions'!$S$83</x:f>
        <x:v>0</x:v>
      </x:c>
      <x:c r="R2493" s="10" t="n">
        <x:f>H2493*'Assumptions'!$Y$83*'Assumptions'!$Z$83*'Assumptions'!$D$11*(1+'Assumptions'!$D$13)^(20-1)</x:f>
        <x:v>17035.833528136896</x:v>
      </x:c>
      <x:c r="S2493" s="10" t="n">
        <x:f>IF(I2493=0,0,J2493*'Assumptions'!$W$83+H2493*'Assumptions'!$X$83)</x:f>
        <x:v>2338.319216322689</x:v>
      </x:c>
      <x:c r="T2493" s="10" t="n">
        <x:f>N2493*'Assumptions'!$AA$83</x:f>
        <x:v>2285.837502866421</x:v>
      </x:c>
      <x:c r="U2493" s="10" t="n">
        <x:f>'Assumptions'!$AE$83*'Assumptions'!$D$11*(1+'Assumptions'!$D$13)^(20-1)</x:f>
        <x:v>420.84145273850436</x:v>
      </x:c>
      <x:c r="V2493" s="10" t="n">
        <x:f>0</x:f>
        <x:v>0</x:v>
      </x:c>
      <x:c r="W2493" s="10" t="n">
        <x:f>H2493*('Assumptions'!$P$83+'Assumptions'!$Y$83)</x:f>
        <x:v>809.6081513492134</x:v>
      </x:c>
      <x:c r="X2493" s="10" t="n">
        <x:f>N2493/12*'Assumptions'!$AF$83</x:f>
        <x:v>0</x:v>
      </x:c>
      <x:c r="Y2493" s="10" t="n">
        <x:f>P2493/12</x:f>
        <x:v>0</x:v>
      </x:c>
      <x:c r="Z2493" s="10" t="n">
        <x:f>0</x:f>
        <x:v>0</x:v>
      </x:c>
      <x:c r="AA2493" s="10" t="n">
        <x:f>Z2493*'Assumptions'!$AC$83*'Assumptions'!$D$11*(1+'Assumptions'!$D$13)^(20-1)</x:f>
        <x:v>0</x:v>
      </x:c>
      <x:c r="AB2493" s="10" t="n">
        <x:f>F2493/1</x:f>
        <x:v>2452.4052740379825</x:v>
      </x:c>
      <x:c r="AC2493" s="10" t="n">
        <x:f>AB2493/'Assumptions'!$AM$83</x:f>
        <x:v>49048.105480759645</x:v>
      </x:c>
      <x:c r="AD2493" s="10" t="n">
        <x:f>IF(AB2493=0,0,T2493/AB2493)</x:f>
        <x:v>0.932079834872765</x:v>
      </x:c>
      <x:c r="AE2493" s="10" t="n">
        <x:f>AA2493*'Assumptions'!$D$21</x:f>
        <x:v>0</x:v>
      </x:c>
    </x:row>
    <x:row r="2494" ht="16" customHeight="1">
      <x:c r="A2494" s="1"/>
      <x:c r="B2494" s="1"/>
      <x:c r="C2494" s="1" t="str">
        <x:v>DOT-055</x:v>
      </x:c>
      <x:c r="D2494" s="10" t="str">
        <x:v>VraiSkill adult</x:v>
      </x:c>
      <x:c r="E2494" s="10" t="n">
        <x:v>20</x:v>
      </x:c>
      <x:c r="F2494" s="21" t="n">
        <x:f>F2366*(1+'Assumptions'!$M$84)</x:f>
        <x:v>817.4684246793273</x:v>
      </x:c>
      <x:c r="G2494" s="21" t="n">
        <x:f>H2366*'Assumptions'!$K$84</x:f>
        <x:v>262.00911045295703</x:v>
      </x:c>
      <x:c r="H2494" s="21" t="n">
        <x:f>IF(AND(COUNT('Assumptions'!$H$84,'Assumptions'!$I$84,'Assumptions'!$J$84,'Assumptions'!$K$84,'Assumptions'!$L$84,'Assumptions'!$M$84,'Assumptions'!$P$84,'Assumptions'!$Q$84,'Assumptions'!$R$84,'Assumptions'!$S$84,'Assumptions'!$T$84,'Assumptions'!$U$84,'Assumptions'!$V$84,'Assumptions'!$W$84,'Assumptions'!$X$84,'Assumptions'!$Y$84,'Assumptions'!$Z$84,'Assumptions'!$AA$84,'Assumptions'!$AD$84,'Assumptions'!$AE$84,'Assumptions'!$AF$84)=21,COUNT('Assumptions'!$D$8:$D$21)=14,'Assumptions'!$J$84&gt;=1,'Assumptions'!$J$84&lt;=12,'Assumptions'!$D$8&gt;=0,'Assumptions'!$D$15&gt;0),F2494+G2494,NA())</x:f>
        <x:v>1079.4775351322844</x:v>
      </x:c>
      <x:c r="I2494" s="22" t="n">
        <x:f>'Assumptions'!$H$84*IF('Assumptions'!$O$84=1,1,'Assumptions'!$D$10)*(1+'Assumptions'!$N$84)^(20-1)</x:f>
        <x:v>34.963468140667175</x:v>
      </x:c>
      <x:c r="J2494" s="10" t="n">
        <x:f>H2494*I2494</x:f>
        <x:v>37742.278408163555</x:v>
      </x:c>
      <x:c r="K2494" s="10" t="n">
        <x:f>J2494*'Assumptions'!$T$84</x:f>
        <x:v>37742.278408163555</x:v>
      </x:c>
      <x:c r="L2494" s="10" t="n">
        <x:f>K2494*'Assumptions'!$U$84</x:f>
        <x:v>1132.2683522449065</x:v>
      </x:c>
      <x:c r="M2494" s="10" t="n">
        <x:f>K2494*'Assumptions'!$V$84</x:f>
        <x:v>0</x:v>
      </x:c>
      <x:c r="N2494" s="10" t="n">
        <x:f>K2494-L2494-M2494</x:f>
        <x:v>36610.01005591865</x:v>
      </x:c>
      <x:c r="O2494" s="10" t="n">
        <x:f>H2494*'Assumptions'!$P$84*'Assumptions'!$Q$84*'Assumptions'!$D$11*(1+'Assumptions'!$D$13)^(20-1)</x:f>
        <x:v>9937.569558079855</x:v>
      </x:c>
      <x:c r="P2494" s="10" t="n">
        <x:f>H2494*'Assumptions'!$R$84*'Assumptions'!$D$11*(1+'Assumptions'!$D$13)^(20-1)</x:f>
        <x:v>0</x:v>
      </x:c>
      <x:c r="Q2494" s="10" t="n">
        <x:f>J2494*'Assumptions'!$S$84</x:f>
        <x:v>0</x:v>
      </x:c>
      <x:c r="R2494" s="10" t="n">
        <x:f>H2494*'Assumptions'!$Y$84*'Assumptions'!$Z$84*'Assumptions'!$D$11*(1+'Assumptions'!$D$13)^(20-1)</x:f>
        <x:v>5678.6111760456315</x:v>
      </x:c>
      <x:c r="S2494" s="10" t="n">
        <x:f>IF(I2494=0,0,J2494*'Assumptions'!$W$84+H2494*'Assumptions'!$X$84)</x:f>
        <x:v>1418.3693343764285</x:v>
      </x:c>
      <x:c r="T2494" s="10" t="n">
        <x:f>N2494*'Assumptions'!$AA$84</x:f>
        <x:v>1830.5005027959323</x:v>
      </x:c>
      <x:c r="U2494" s="10" t="n">
        <x:f>'Assumptions'!$AE$84*'Assumptions'!$D$11*(1+'Assumptions'!$D$13)^(20-1)</x:f>
        <x:v>0</x:v>
      </x:c>
      <x:c r="V2494" s="10" t="n">
        <x:f>0</x:f>
        <x:v>0</x:v>
      </x:c>
      <x:c r="W2494" s="10" t="n">
        <x:f>H2494*('Assumptions'!$P$84+'Assumptions'!$Y$84)</x:f>
        <x:v>269.8693837830711</x:v>
      </x:c>
      <x:c r="X2494" s="10" t="n">
        <x:f>N2494/12*'Assumptions'!$AF$84</x:f>
        <x:v>0</x:v>
      </x:c>
      <x:c r="Y2494" s="10" t="n">
        <x:f>P2494/12</x:f>
        <x:v>0</x:v>
      </x:c>
      <x:c r="Z2494" s="10" t="n">
        <x:f>0</x:f>
        <x:v>0</x:v>
      </x:c>
      <x:c r="AA2494" s="10" t="n">
        <x:f>Z2494*'Assumptions'!$AC$84*'Assumptions'!$D$11*(1+'Assumptions'!$D$13)^(20-1)</x:f>
        <x:v>0</x:v>
      </x:c>
      <x:c r="AB2494" s="10" t="n">
        <x:f>F2494/1</x:f>
        <x:v>817.4684246793273</x:v>
      </x:c>
      <x:c r="AC2494" s="10" t="n">
        <x:f>AB2494/'Assumptions'!$AM$84</x:f>
        <x:v>16349.368493586546</x:v>
      </x:c>
      <x:c r="AD2494" s="10" t="n">
        <x:f>IF(AB2494=0,0,T2494/AB2494)</x:f>
        <x:v>2.2392308345291654</x:v>
      </x:c>
      <x:c r="AE2494" s="10" t="n">
        <x:f>AA2494*'Assumptions'!$D$21</x:f>
        <x:v>0</x:v>
      </x:c>
    </x:row>
    <x:row r="2495" ht="16" customHeight="1">
      <x:c r="A2495" s="1"/>
      <x:c r="B2495" s="1"/>
      <x:c r="C2495" s="1" t="str">
        <x:v>DOT-056</x:v>
      </x:c>
      <x:c r="D2495" s="10" t="str">
        <x:v>VraiSkill teen</x:v>
      </x:c>
      <x:c r="E2495" s="10" t="n">
        <x:v>20</x:v>
      </x:c>
      <x:c r="F2495" s="21" t="n">
        <x:f>F2367*(1+'Assumptions'!$M$85)</x:f>
        <x:v>817.4684246793273</x:v>
      </x:c>
      <x:c r="G2495" s="21" t="n">
        <x:f>H2367*'Assumptions'!$K$85</x:f>
        <x:v>262.00911045259323</x:v>
      </x:c>
      <x:c r="H2495" s="21" t="n">
        <x:f>IF(AND(COUNT('Assumptions'!$H$85,'Assumptions'!$I$85,'Assumptions'!$J$85,'Assumptions'!$K$85,'Assumptions'!$L$85,'Assumptions'!$M$85,'Assumptions'!$P$85,'Assumptions'!$Q$85,'Assumptions'!$R$85,'Assumptions'!$S$85,'Assumptions'!$T$85,'Assumptions'!$U$85,'Assumptions'!$V$85,'Assumptions'!$W$85,'Assumptions'!$X$85,'Assumptions'!$Y$85,'Assumptions'!$Z$85,'Assumptions'!$AA$85,'Assumptions'!$AD$85,'Assumptions'!$AE$85,'Assumptions'!$AF$85)=21,COUNT('Assumptions'!$D$8:$D$21)=14,'Assumptions'!$J$85&gt;=1,'Assumptions'!$J$85&lt;=12,'Assumptions'!$D$8&gt;=0,'Assumptions'!$D$15&gt;0),F2495+G2495,NA())</x:f>
        <x:v>1079.4775351319206</x:v>
      </x:c>
      <x:c r="I2495" s="22" t="n">
        <x:f>'Assumptions'!$H$85*IF('Assumptions'!$O$85=1,1,'Assumptions'!$D$10)*(1+'Assumptions'!$N$85)^(20-1)</x:f>
        <x:v>34.963468140667175</x:v>
      </x:c>
      <x:c r="J2495" s="10" t="n">
        <x:f>H2495*I2495</x:f>
        <x:v>37742.278408150836</x:v>
      </x:c>
      <x:c r="K2495" s="10" t="n">
        <x:f>J2495*'Assumptions'!$T$85</x:f>
        <x:v>37742.278408150836</x:v>
      </x:c>
      <x:c r="L2495" s="10" t="n">
        <x:f>K2495*'Assumptions'!$U$85</x:f>
        <x:v>1132.268352244525</x:v>
      </x:c>
      <x:c r="M2495" s="10" t="n">
        <x:f>K2495*'Assumptions'!$V$85</x:f>
        <x:v>0</x:v>
      </x:c>
      <x:c r="N2495" s="10" t="n">
        <x:f>K2495-L2495-M2495</x:f>
        <x:v>36610.010055906314</x:v>
      </x:c>
      <x:c r="O2495" s="10" t="n">
        <x:f>H2495*'Assumptions'!$P$85*'Assumptions'!$Q$85*'Assumptions'!$D$11*(1+'Assumptions'!$D$13)^(20-1)</x:f>
        <x:v>9937.569558076506</x:v>
      </x:c>
      <x:c r="P2495" s="10" t="n">
        <x:f>H2495*'Assumptions'!$R$85*'Assumptions'!$D$11*(1+'Assumptions'!$D$13)^(20-1)</x:f>
        <x:v>0</x:v>
      </x:c>
      <x:c r="Q2495" s="10" t="n">
        <x:f>J2495*'Assumptions'!$S$85</x:f>
        <x:v>0</x:v>
      </x:c>
      <x:c r="R2495" s="10" t="n">
        <x:f>H2495*'Assumptions'!$Y$85*'Assumptions'!$Z$85*'Assumptions'!$D$11*(1+'Assumptions'!$D$13)^(20-1)</x:f>
        <x:v>5678.611176043718</x:v>
      </x:c>
      <x:c r="S2495" s="10" t="n">
        <x:f>IF(I2495=0,0,J2495*'Assumptions'!$W$85+H2495*'Assumptions'!$X$85)</x:f>
        <x:v>1418.3693343759505</x:v>
      </x:c>
      <x:c r="T2495" s="10" t="n">
        <x:f>N2495*'Assumptions'!$AA$85</x:f>
        <x:v>1830.5005027953157</x:v>
      </x:c>
      <x:c r="U2495" s="10" t="n">
        <x:f>'Assumptions'!$AE$85*'Assumptions'!$D$11*(1+'Assumptions'!$D$13)^(20-1)</x:f>
        <x:v>420.84145273850436</x:v>
      </x:c>
      <x:c r="V2495" s="10" t="n">
        <x:f>0</x:f>
        <x:v>0</x:v>
      </x:c>
      <x:c r="W2495" s="10" t="n">
        <x:f>H2495*('Assumptions'!$P$85+'Assumptions'!$Y$85)</x:f>
        <x:v>269.86938378298015</x:v>
      </x:c>
      <x:c r="X2495" s="10" t="n">
        <x:f>N2495/12*'Assumptions'!$AF$85</x:f>
        <x:v>0</x:v>
      </x:c>
      <x:c r="Y2495" s="10" t="n">
        <x:f>P2495/12</x:f>
        <x:v>0</x:v>
      </x:c>
      <x:c r="Z2495" s="10" t="n">
        <x:f>0</x:f>
        <x:v>0</x:v>
      </x:c>
      <x:c r="AA2495" s="10" t="n">
        <x:f>Z2495*'Assumptions'!$AC$85*'Assumptions'!$D$11*(1+'Assumptions'!$D$13)^(20-1)</x:f>
        <x:v>0</x:v>
      </x:c>
      <x:c r="AB2495" s="10" t="n">
        <x:f>F2495/1</x:f>
        <x:v>817.4684246793273</x:v>
      </x:c>
      <x:c r="AC2495" s="10" t="n">
        <x:f>AB2495/'Assumptions'!$AM$85</x:f>
        <x:v>16349.368493586546</x:v>
      </x:c>
      <x:c r="AD2495" s="10" t="n">
        <x:f>IF(AB2495=0,0,T2495/AB2495)</x:f>
        <x:v>2.2392308345284113</x:v>
      </x:c>
      <x:c r="AE2495" s="10" t="n">
        <x:f>AA2495*'Assumptions'!$D$21</x:f>
        <x:v>0</x:v>
      </x:c>
    </x:row>
    <x:row r="2496" ht="16" customHeight="1">
      <x:c r="A2496" s="1"/>
      <x:c r="B2496" s="1"/>
      <x:c r="C2496" s="1" t="str">
        <x:v>DOT-057</x:v>
      </x:c>
      <x:c r="D2496" s="10" t="str">
        <x:v>VraiSkill Model Life</x:v>
      </x:c>
      <x:c r="E2496" s="10" t="n">
        <x:v>20</x:v>
      </x:c>
      <x:c r="F2496" s="21" t="n">
        <x:f>F2368*(1+'Assumptions'!$M$86)</x:f>
        <x:v>0</x:v>
      </x:c>
      <x:c r="G2496" s="21" t="n">
        <x:f>H2368*'Assumptions'!$K$86</x:f>
        <x:v>0</x:v>
      </x:c>
      <x:c r="H2496" s="21" t="n">
        <x:f>IF(AND(COUNT('Assumptions'!$H$86,'Assumptions'!$I$86,'Assumptions'!$J$86,'Assumptions'!$K$86,'Assumptions'!$L$86,'Assumptions'!$M$86,'Assumptions'!$P$86,'Assumptions'!$Q$86,'Assumptions'!$R$86,'Assumptions'!$S$86,'Assumptions'!$T$86,'Assumptions'!$U$86,'Assumptions'!$V$86,'Assumptions'!$W$86,'Assumptions'!$X$86,'Assumptions'!$Y$86,'Assumptions'!$Z$86,'Assumptions'!$AA$86,'Assumptions'!$AD$86,'Assumptions'!$AE$86,'Assumptions'!$AF$86)=21,COUNT('Assumptions'!$D$8:$D$21)=14,'Assumptions'!$J$86&gt;=1,'Assumptions'!$J$86&lt;=12,'Assumptions'!$D$8&gt;=0,'Assumptions'!$D$15&gt;0),F2496+G2496,NA())</x:f>
        <x:v>0</x:v>
      </x:c>
      <x:c r="I2496" s="22" t="n">
        <x:f>'Assumptions'!$H$86*IF('Assumptions'!$O$86=1,1,'Assumptions'!$D$10)*(1+'Assumptions'!$N$86)^(20-1)</x:f>
        <x:v>0</x:v>
      </x:c>
      <x:c r="J2496" s="10" t="n">
        <x:f>H2496*I2496</x:f>
        <x:v>0</x:v>
      </x:c>
      <x:c r="K2496" s="10" t="n">
        <x:f>J2496*'Assumptions'!$T$86</x:f>
        <x:v>0</x:v>
      </x:c>
      <x:c r="L2496" s="10" t="n">
        <x:f>K2496*'Assumptions'!$U$86</x:f>
        <x:v>0</x:v>
      </x:c>
      <x:c r="M2496" s="10" t="n">
        <x:f>K2496*'Assumptions'!$V$86</x:f>
        <x:v>0</x:v>
      </x:c>
      <x:c r="N2496" s="10" t="n">
        <x:f>K2496-L2496-M2496</x:f>
        <x:v>0</x:v>
      </x:c>
      <x:c r="O2496" s="10" t="n">
        <x:f>H2496*'Assumptions'!$P$86*'Assumptions'!$Q$86*'Assumptions'!$D$11*(1+'Assumptions'!$D$13)^(20-1)</x:f>
        <x:v>0</x:v>
      </x:c>
      <x:c r="P2496" s="10" t="n">
        <x:f>H2496*'Assumptions'!$R$86*'Assumptions'!$D$11*(1+'Assumptions'!$D$13)^(20-1)</x:f>
        <x:v>0</x:v>
      </x:c>
      <x:c r="Q2496" s="10" t="n">
        <x:f>J2496*'Assumptions'!$S$86</x:f>
        <x:v>0</x:v>
      </x:c>
      <x:c r="R2496" s="10" t="n">
        <x:f>H2496*'Assumptions'!$Y$86*'Assumptions'!$Z$86*'Assumptions'!$D$11*(1+'Assumptions'!$D$13)^(20-1)</x:f>
        <x:v>0</x:v>
      </x:c>
      <x:c r="S2496" s="10" t="n">
        <x:f>IF(I2496=0,0,J2496*'Assumptions'!$W$86+H2496*'Assumptions'!$X$86)</x:f>
        <x:v>0</x:v>
      </x:c>
      <x:c r="T2496" s="10" t="n">
        <x:f>N2496*'Assumptions'!$AA$86</x:f>
        <x:v>0</x:v>
      </x:c>
      <x:c r="U2496" s="10" t="n">
        <x:f>'Assumptions'!$AE$86*'Assumptions'!$D$11*(1+'Assumptions'!$D$13)^(20-1)</x:f>
        <x:v>0</x:v>
      </x:c>
      <x:c r="V2496" s="10" t="n">
        <x:f>0</x:f>
        <x:v>0</x:v>
      </x:c>
      <x:c r="W2496" s="10" t="n">
        <x:f>H2496*('Assumptions'!$P$86+'Assumptions'!$Y$86)</x:f>
        <x:v>0</x:v>
      </x:c>
      <x:c r="X2496" s="10" t="n">
        <x:f>N2496/12*'Assumptions'!$AF$86</x:f>
        <x:v>0</x:v>
      </x:c>
      <x:c r="Y2496" s="10" t="n">
        <x:f>P2496/12</x:f>
        <x:v>0</x:v>
      </x:c>
      <x:c r="Z2496" s="10" t="n">
        <x:f>0</x:f>
        <x:v>0</x:v>
      </x:c>
      <x:c r="AA2496" s="10" t="n">
        <x:f>Z2496*'Assumptions'!$AC$86*'Assumptions'!$D$11*(1+'Assumptions'!$D$13)^(20-1)</x:f>
        <x:v>0</x:v>
      </x:c>
      <x:c r="AB2496" s="10" t="n">
        <x:f>F2496/1</x:f>
        <x:v>0</x:v>
      </x:c>
      <x:c r="AC2496" s="10" t="n">
        <x:f>AB2496/'Assumptions'!$AM$86</x:f>
        <x:v>0</x:v>
      </x:c>
      <x:c r="AD2496" s="10" t="n">
        <x:f>IF(AB2496=0,0,T2496/AB2496)</x:f>
        <x:v>0</x:v>
      </x:c>
      <x:c r="AE2496" s="10" t="n">
        <x:f>AA2496*'Assumptions'!$D$21</x:f>
        <x:v>0</x:v>
      </x:c>
    </x:row>
    <x:row r="2497" ht="16" customHeight="1">
      <x:c r="A2497" s="1"/>
      <x:c r="B2497" s="1"/>
      <x:c r="C2497" s="1" t="str">
        <x:v>DOT-058</x:v>
      </x:c>
      <x:c r="D2497" s="10" t="str">
        <x:v>Model Life</x:v>
      </x:c>
      <x:c r="E2497" s="10" t="n">
        <x:v>20</x:v>
      </x:c>
      <x:c r="F2497" s="21" t="n">
        <x:f>F2369*(1+'Assumptions'!$M$87)</x:f>
        <x:v>465.2065778491219</x:v>
      </x:c>
      <x:c r="G2497" s="21" t="n">
        <x:f>H2369*'Assumptions'!$K$87</x:f>
        <x:v>985.6590588727267</x:v>
      </x:c>
      <x:c r="H2497" s="21" t="n">
        <x:f>IF(AND(COUNT('Assumptions'!$H$87,'Assumptions'!$I$87,'Assumptions'!$J$87,'Assumptions'!$K$87,'Assumptions'!$L$87,'Assumptions'!$M$87,'Assumptions'!$P$87,'Assumptions'!$Q$87,'Assumptions'!$R$87,'Assumptions'!$S$87,'Assumptions'!$T$87,'Assumptions'!$U$87,'Assumptions'!$V$87,'Assumptions'!$W$87,'Assumptions'!$X$87,'Assumptions'!$Y$87,'Assumptions'!$Z$87,'Assumptions'!$AA$87,'Assumptions'!$AD$87,'Assumptions'!$AE$87,'Assumptions'!$AF$87)=21,COUNT('Assumptions'!$D$8:$D$21)=14,'Assumptions'!$J$87&gt;=1,'Assumptions'!$J$87&lt;=12,'Assumptions'!$D$8&gt;=0,'Assumptions'!$D$15&gt;0),F2497+G2497,NA())</x:f>
        <x:v>1450.8656367218487</x:v>
      </x:c>
      <x:c r="I2497" s="22" t="n">
        <x:f>'Assumptions'!$H$87*IF('Assumptions'!$O$87=1,1,'Assumptions'!$D$10)*(1+'Assumptions'!$N$87)^(20-1)</x:f>
        <x:v>21.85216758791698</x:v>
      </x:c>
      <x:c r="J2497" s="10" t="n">
        <x:f>H2497*I2497</x:f>
        <x:v>31704.559041195713</x:v>
      </x:c>
      <x:c r="K2497" s="10" t="n">
        <x:f>J2497*'Assumptions'!$T$87</x:f>
        <x:v>31704.559041195713</x:v>
      </x:c>
      <x:c r="L2497" s="10" t="n">
        <x:f>K2497*'Assumptions'!$U$87</x:f>
        <x:v>951.1367712358714</x:v>
      </x:c>
      <x:c r="M2497" s="10" t="n">
        <x:f>K2497*'Assumptions'!$V$87</x:f>
        <x:v>0</x:v>
      </x:c>
      <x:c r="N2497" s="10" t="n">
        <x:f>K2497-L2497-M2497</x:f>
        <x:v>30753.422269959843</x:v>
      </x:c>
      <x:c r="O2497" s="10" t="n">
        <x:f>H2497*'Assumptions'!$P$87*'Assumptions'!$Q$87*'Assumptions'!$D$11*(1+'Assumptions'!$D$13)^(20-1)</x:f>
        <x:v>8904.355866676637</x:v>
      </x:c>
      <x:c r="P2497" s="10" t="n">
        <x:f>H2497*'Assumptions'!$R$87*'Assumptions'!$D$11*(1+'Assumptions'!$D$13)^(20-1)</x:f>
        <x:v>0</x:v>
      </x:c>
      <x:c r="Q2497" s="10" t="n">
        <x:f>J2497*'Assumptions'!$S$87</x:f>
        <x:v>0</x:v>
      </x:c>
      <x:c r="R2497" s="10" t="n">
        <x:f>H2497*'Assumptions'!$Y$87*'Assumptions'!$Z$87*'Assumptions'!$D$11*(1+'Assumptions'!$D$13)^(20-1)</x:f>
        <x:v>11448.45754286996</x:v>
      </x:c>
      <x:c r="S2497" s="10" t="n">
        <x:f>IF(I2497=0,0,J2497*'Assumptions'!$W$87+H2497*'Assumptions'!$X$87)</x:f>
        <x:v>1354.6919032112303</x:v>
      </x:c>
      <x:c r="T2497" s="10" t="n">
        <x:f>N2497*'Assumptions'!$AA$87</x:f>
        <x:v>1537.6711134979923</x:v>
      </x:c>
      <x:c r="U2497" s="10" t="n">
        <x:f>'Assumptions'!$AE$87*'Assumptions'!$D$11*(1+'Assumptions'!$D$13)^(20-1)</x:f>
        <x:v>105.21036318462609</x:v>
      </x:c>
      <x:c r="V2497" s="10" t="n">
        <x:f>0</x:f>
        <x:v>0</x:v>
      </x:c>
      <x:c r="W2497" s="10" t="n">
        <x:f>H2497*('Assumptions'!$P$87+'Assumptions'!$Y$87)</x:f>
        <x:v>362.71640918046216</x:v>
      </x:c>
      <x:c r="X2497" s="10" t="n">
        <x:f>N2497/12*'Assumptions'!$AF$87</x:f>
        <x:v>0</x:v>
      </x:c>
      <x:c r="Y2497" s="10" t="n">
        <x:f>P2497/12</x:f>
        <x:v>0</x:v>
      </x:c>
      <x:c r="Z2497" s="10" t="n">
        <x:f>0</x:f>
        <x:v>0</x:v>
      </x:c>
      <x:c r="AA2497" s="10" t="n">
        <x:f>Z2497*'Assumptions'!$AC$87*'Assumptions'!$D$11*(1+'Assumptions'!$D$13)^(20-1)</x:f>
        <x:v>0</x:v>
      </x:c>
      <x:c r="AB2497" s="10" t="n">
        <x:f>F2497/12</x:f>
        <x:v>38.76721482076016</x:v>
      </x:c>
      <x:c r="AC2497" s="10" t="n">
        <x:f>AB2497/'Assumptions'!$AM$87</x:f>
        <x:v>775.3442964152032</x:v>
      </x:c>
      <x:c r="AD2497" s="10" t="n">
        <x:f>IF(AB2497=0,0,T2497/AB2497)</x:f>
        <x:v>39.66421422347207</x:v>
      </x:c>
      <x:c r="AE2497" s="10" t="n">
        <x:f>AA2497*'Assumptions'!$D$21</x:f>
        <x:v>0</x:v>
      </x:c>
    </x:row>
    <x:row r="2498" ht="16" customHeight="1">
      <x:c r="A2498" s="1"/>
      <x:c r="B2498" s="1"/>
      <x:c r="C2498" s="1" t="str">
        <x:v>DOT-059</x:v>
      </x:c>
      <x:c r="D2498" s="10" t="str">
        <x:v>Model Life</x:v>
      </x:c>
      <x:c r="E2498" s="10" t="n">
        <x:v>20</x:v>
      </x:c>
      <x:c r="F2498" s="21" t="n">
        <x:f>F2370*(1+'Assumptions'!$M$88)</x:f>
        <x:v>116.30164446228048</x:v>
      </x:c>
      <x:c r="G2498" s="21" t="n">
        <x:f>H2370*'Assumptions'!$K$88</x:f>
        <x:v>246.4147647181817</x:v>
      </x:c>
      <x:c r="H2498" s="21" t="n">
        <x:f>IF(AND(COUNT('Assumptions'!$H$88,'Assumptions'!$I$88,'Assumptions'!$J$88,'Assumptions'!$K$88,'Assumptions'!$L$88,'Assumptions'!$M$88,'Assumptions'!$P$88,'Assumptions'!$Q$88,'Assumptions'!$R$88,'Assumptions'!$S$88,'Assumptions'!$T$88,'Assumptions'!$U$88,'Assumptions'!$V$88,'Assumptions'!$W$88,'Assumptions'!$X$88,'Assumptions'!$Y$88,'Assumptions'!$Z$88,'Assumptions'!$AA$88,'Assumptions'!$AD$88,'Assumptions'!$AE$88,'Assumptions'!$AF$88)=21,COUNT('Assumptions'!$D$8:$D$21)=14,'Assumptions'!$J$88&gt;=1,'Assumptions'!$J$88&lt;=12,'Assumptions'!$D$8&gt;=0,'Assumptions'!$D$15&gt;0),F2498+G2498,NA())</x:f>
        <x:v>362.71640918046216</x:v>
      </x:c>
      <x:c r="I2498" s="22" t="n">
        <x:f>'Assumptions'!$H$88*IF('Assumptions'!$O$88=1,1,'Assumptions'!$D$10)*(1+'Assumptions'!$N$88)^(20-1)</x:f>
        <x:v>115.0880826296961</x:v>
      </x:c>
      <x:c r="J2498" s="10" t="n">
        <x:f>H2498*I2498</x:f>
        <x:v>41744.336070907695</x:v>
      </x:c>
      <x:c r="K2498" s="10" t="n">
        <x:f>J2498*'Assumptions'!$T$88</x:f>
        <x:v>41744.336070907695</x:v>
      </x:c>
      <x:c r="L2498" s="10" t="n">
        <x:f>K2498*'Assumptions'!$U$88</x:f>
        <x:v>1252.3300821272308</x:v>
      </x:c>
      <x:c r="M2498" s="10" t="n">
        <x:f>K2498*'Assumptions'!$V$88</x:f>
        <x:v>0</x:v>
      </x:c>
      <x:c r="N2498" s="10" t="n">
        <x:f>K2498-L2498-M2498</x:f>
        <x:v>40492.00598878047</x:v>
      </x:c>
      <x:c r="O2498" s="10" t="n">
        <x:f>H2498*'Assumptions'!$P$88*'Assumptions'!$Q$88*'Assumptions'!$D$11*(1+'Assumptions'!$D$13)^(20-1)</x:f>
        <x:v>2226.088966669159</x:v>
      </x:c>
      <x:c r="P2498" s="10" t="n">
        <x:f>H2498*'Assumptions'!$R$88*'Assumptions'!$D$11*(1+'Assumptions'!$D$13)^(20-1)</x:f>
        <x:v>0</x:v>
      </x:c>
      <x:c r="Q2498" s="10" t="n">
        <x:f>J2498*'Assumptions'!$S$88</x:f>
        <x:v>0</x:v>
      </x:c>
      <x:c r="R2498" s="10" t="n">
        <x:f>H2498*'Assumptions'!$Y$88*'Assumptions'!$Z$88*'Assumptions'!$D$11*(1+'Assumptions'!$D$13)^(20-1)</x:f>
        <x:v>2862.11438571749</x:v>
      </x:c>
      <x:c r="S2498" s="10" t="n">
        <x:f>IF(I2498=0,0,J2498*'Assumptions'!$W$88+H2498*'Assumptions'!$X$88)</x:f>
        <x:v>1319.4006688104619</x:v>
      </x:c>
      <x:c r="T2498" s="10" t="n">
        <x:f>N2498*'Assumptions'!$AA$88</x:f>
        <x:v>2024.6002994390235</x:v>
      </x:c>
      <x:c r="U2498" s="10" t="n">
        <x:f>'Assumptions'!$AE$88*'Assumptions'!$D$11*(1+'Assumptions'!$D$13)^(20-1)</x:f>
        <x:v>105.21036318462609</x:v>
      </x:c>
      <x:c r="V2498" s="10" t="n">
        <x:f>0</x:f>
        <x:v>0</x:v>
      </x:c>
      <x:c r="W2498" s="10" t="n">
        <x:f>H2498*('Assumptions'!$P$88+'Assumptions'!$Y$88)</x:f>
        <x:v>90.67910229511554</x:v>
      </x:c>
      <x:c r="X2498" s="10" t="n">
        <x:f>N2498/12*'Assumptions'!$AF$88</x:f>
        <x:v>0</x:v>
      </x:c>
      <x:c r="Y2498" s="10" t="n">
        <x:f>P2498/12</x:f>
        <x:v>0</x:v>
      </x:c>
      <x:c r="Z2498" s="10" t="n">
        <x:f>0</x:f>
        <x:v>0</x:v>
      </x:c>
      <x:c r="AA2498" s="10" t="n">
        <x:f>Z2498*'Assumptions'!$AC$88*'Assumptions'!$D$11*(1+'Assumptions'!$D$13)^(20-1)</x:f>
        <x:v>0</x:v>
      </x:c>
      <x:c r="AB2498" s="10" t="n">
        <x:f>F2498/12</x:f>
        <x:v>9.69180370519004</x:v>
      </x:c>
      <x:c r="AC2498" s="10" t="n">
        <x:f>AB2498/'Assumptions'!$AM$88</x:f>
        <x:v>193.8360741038008</x:v>
      </x:c>
      <x:c r="AD2498" s="10" t="n">
        <x:f>IF(AB2498=0,0,T2498/AB2498)</x:f>
        <x:v>208.89819491028626</x:v>
      </x:c>
      <x:c r="AE2498" s="10" t="n">
        <x:f>AA2498*'Assumptions'!$D$21</x:f>
        <x:v>0</x:v>
      </x:c>
    </x:row>
    <x:row r="2499" ht="16" customHeight="1">
      <x:c r="A2499" s="1"/>
      <x:c r="B2499" s="1"/>
      <x:c r="C2499" s="1" t="str">
        <x:v>DOT-060</x:v>
      </x:c>
      <x:c r="D2499" s="10" t="str">
        <x:v>Model Life</x:v>
      </x:c>
      <x:c r="E2499" s="10" t="n">
        <x:v>20</x:v>
      </x:c>
      <x:c r="F2499" s="21" t="n">
        <x:f>F2371*(1+'Assumptions'!$M$89)</x:f>
        <x:v>116.30164446228048</x:v>
      </x:c>
      <x:c r="G2499" s="21" t="n">
        <x:f>H2371*'Assumptions'!$K$89</x:f>
        <x:v>246.4147647181817</x:v>
      </x:c>
      <x:c r="H2499" s="21" t="n">
        <x:f>IF(AND(COUNT('Assumptions'!$H$89,'Assumptions'!$I$89,'Assumptions'!$J$89,'Assumptions'!$K$89,'Assumptions'!$L$89,'Assumptions'!$M$89,'Assumptions'!$P$89,'Assumptions'!$Q$89,'Assumptions'!$R$89,'Assumptions'!$S$89,'Assumptions'!$T$89,'Assumptions'!$U$89,'Assumptions'!$V$89,'Assumptions'!$W$89,'Assumptions'!$X$89,'Assumptions'!$Y$89,'Assumptions'!$Z$89,'Assumptions'!$AA$89,'Assumptions'!$AD$89,'Assumptions'!$AE$89,'Assumptions'!$AF$89)=21,COUNT('Assumptions'!$D$8:$D$21)=14,'Assumptions'!$J$89&gt;=1,'Assumptions'!$J$89&lt;=12,'Assumptions'!$D$8&gt;=0,'Assumptions'!$D$15&gt;0),F2499+G2499,NA())</x:f>
        <x:v>362.71640918046216</x:v>
      </x:c>
      <x:c r="I2499" s="22" t="n">
        <x:f>'Assumptions'!$H$89*IF('Assumptions'!$O$89=1,1,'Assumptions'!$D$10)*(1+'Assumptions'!$N$89)^(20-1)</x:f>
        <x:v>85.95185917914013</x:v>
      </x:c>
      <x:c r="J2499" s="10" t="n">
        <x:f>H2499*I2499</x:f>
        <x:v>31176.149723842453</x:v>
      </x:c>
      <x:c r="K2499" s="10" t="n">
        <x:f>J2499*'Assumptions'!$T$89</x:f>
        <x:v>31176.149723842453</x:v>
      </x:c>
      <x:c r="L2499" s="10" t="n">
        <x:f>K2499*'Assumptions'!$U$89</x:f>
        <x:v>935.2844917152736</x:v>
      </x:c>
      <x:c r="M2499" s="10" t="n">
        <x:f>K2499*'Assumptions'!$V$89</x:f>
        <x:v>0</x:v>
      </x:c>
      <x:c r="N2499" s="10" t="n">
        <x:f>K2499-L2499-M2499</x:f>
        <x:v>30240.86523212718</x:v>
      </x:c>
      <x:c r="O2499" s="10" t="n">
        <x:f>H2499*'Assumptions'!$P$89*'Assumptions'!$Q$89*'Assumptions'!$D$11*(1+'Assumptions'!$D$13)^(20-1)</x:f>
        <x:v>2226.088966669159</x:v>
      </x:c>
      <x:c r="P2499" s="10" t="n">
        <x:f>H2499*'Assumptions'!$R$89*'Assumptions'!$D$11*(1+'Assumptions'!$D$13)^(20-1)</x:f>
        <x:v>0</x:v>
      </x:c>
      <x:c r="Q2499" s="10" t="n">
        <x:f>J2499*'Assumptions'!$S$89</x:f>
        <x:v>0</x:v>
      </x:c>
      <x:c r="R2499" s="10" t="n">
        <x:f>H2499*'Assumptions'!$Y$89*'Assumptions'!$Z$89*'Assumptions'!$D$11*(1+'Assumptions'!$D$13)^(20-1)</x:f>
        <x:v>2862.11438571749</x:v>
      </x:c>
      <x:c r="S2499" s="10" t="n">
        <x:f>IF(I2499=0,0,J2499*'Assumptions'!$W$89+H2499*'Assumptions'!$X$89)</x:f>
        <x:v>1012.9232647455699</x:v>
      </x:c>
      <x:c r="T2499" s="10" t="n">
        <x:f>N2499*'Assumptions'!$AA$89</x:f>
        <x:v>1512.043261606359</x:v>
      </x:c>
      <x:c r="U2499" s="10" t="n">
        <x:f>'Assumptions'!$AE$89*'Assumptions'!$D$11*(1+'Assumptions'!$D$13)^(20-1)</x:f>
        <x:v>105.21036318462609</x:v>
      </x:c>
      <x:c r="V2499" s="10" t="n">
        <x:f>0</x:f>
        <x:v>0</x:v>
      </x:c>
      <x:c r="W2499" s="10" t="n">
        <x:f>H2499*('Assumptions'!$P$89+'Assumptions'!$Y$89)</x:f>
        <x:v>90.67910229511554</x:v>
      </x:c>
      <x:c r="X2499" s="10" t="n">
        <x:f>N2499/12*'Assumptions'!$AF$89</x:f>
        <x:v>0</x:v>
      </x:c>
      <x:c r="Y2499" s="10" t="n">
        <x:f>P2499/12</x:f>
        <x:v>0</x:v>
      </x:c>
      <x:c r="Z2499" s="10" t="n">
        <x:f>0</x:f>
        <x:v>0</x:v>
      </x:c>
      <x:c r="AA2499" s="10" t="n">
        <x:f>Z2499*'Assumptions'!$AC$89*'Assumptions'!$D$11*(1+'Assumptions'!$D$13)^(20-1)</x:f>
        <x:v>0</x:v>
      </x:c>
      <x:c r="AB2499" s="10" t="n">
        <x:f>F2499/12</x:f>
        <x:v>9.69180370519004</x:v>
      </x:c>
      <x:c r="AC2499" s="10" t="n">
        <x:f>AB2499/'Assumptions'!$AM$89</x:f>
        <x:v>193.8360741038008</x:v>
      </x:c>
      <x:c r="AD2499" s="10" t="n">
        <x:f>IF(AB2499=0,0,T2499/AB2499)</x:f>
        <x:v>156.0125759456568</x:v>
      </x:c>
      <x:c r="AE2499" s="10" t="n">
        <x:f>AA2499*'Assumptions'!$D$21</x:f>
        <x:v>0</x:v>
      </x:c>
    </x:row>
    <x:row r="2500" ht="16" customHeight="1">
      <x:c r="A2500" s="1"/>
      <x:c r="B2500" s="1"/>
      <x:c r="C2500" s="1" t="str">
        <x:v>DOT-061</x:v>
      </x:c>
      <x:c r="D2500" s="10" t="str">
        <x:v>Model Life</x:v>
      </x:c>
      <x:c r="E2500" s="10" t="n">
        <x:v>20</x:v>
      </x:c>
      <x:c r="F2500" s="21" t="n">
        <x:f>F2372*(1+'Assumptions'!$M$90)</x:f>
        <x:v>58.15082223114024</x:v>
      </x:c>
      <x:c r="G2500" s="21" t="n">
        <x:f>H2372*'Assumptions'!$K$90</x:f>
        <x:v>123.20738235909084</x:v>
      </x:c>
      <x:c r="H2500" s="21" t="n">
        <x:f>IF(AND(COUNT('Assumptions'!$H$90,'Assumptions'!$I$90,'Assumptions'!$J$90,'Assumptions'!$K$90,'Assumptions'!$L$90,'Assumptions'!$M$90,'Assumptions'!$P$90,'Assumptions'!$Q$90,'Assumptions'!$R$90,'Assumptions'!$S$90,'Assumptions'!$T$90,'Assumptions'!$U$90,'Assumptions'!$V$90,'Assumptions'!$W$90,'Assumptions'!$X$90,'Assumptions'!$Y$90,'Assumptions'!$Z$90,'Assumptions'!$AA$90,'Assumptions'!$AD$90,'Assumptions'!$AE$90,'Assumptions'!$AF$90)=21,COUNT('Assumptions'!$D$8:$D$21)=14,'Assumptions'!$J$90&gt;=1,'Assumptions'!$J$90&lt;=12,'Assumptions'!$D$8&gt;=0,'Assumptions'!$D$15&gt;0),F2500+G2500,NA())</x:f>
        <x:v>181.35820459023108</x:v>
      </x:c>
      <x:c r="I2500" s="22" t="n">
        <x:f>'Assumptions'!$H$90*IF('Assumptions'!$O$90=1,1,'Assumptions'!$D$10)*(1+'Assumptions'!$N$90)^(20-1)</x:f>
        <x:v>144.2243060802521</x:v>
      </x:c>
      <x:c r="J2500" s="10" t="n">
        <x:f>H2500*I2500</x:f>
        <x:v>26156.261208986467</x:v>
      </x:c>
      <x:c r="K2500" s="10" t="n">
        <x:f>J2500*'Assumptions'!$T$90</x:f>
        <x:v>26156.261208986467</x:v>
      </x:c>
      <x:c r="L2500" s="10" t="n">
        <x:f>K2500*'Assumptions'!$U$90</x:f>
        <x:v>784.687836269594</x:v>
      </x:c>
      <x:c r="M2500" s="10" t="n">
        <x:f>K2500*'Assumptions'!$V$90</x:f>
        <x:v>0</x:v>
      </x:c>
      <x:c r="N2500" s="10" t="n">
        <x:f>K2500-L2500-M2500</x:f>
        <x:v>25371.573372716874</x:v>
      </x:c>
      <x:c r="O2500" s="10" t="n">
        <x:f>H2500*'Assumptions'!$P$90*'Assumptions'!$Q$90*'Assumptions'!$D$11*(1+'Assumptions'!$D$13)^(20-1)</x:f>
        <x:v>1113.0444833345796</x:v>
      </x:c>
      <x:c r="P2500" s="10" t="n">
        <x:f>H2500*'Assumptions'!$R$90*'Assumptions'!$D$11*(1+'Assumptions'!$D$13)^(20-1)</x:f>
        <x:v>0</x:v>
      </x:c>
      <x:c r="Q2500" s="10" t="n">
        <x:f>J2500*'Assumptions'!$S$90</x:f>
        <x:v>0</x:v>
      </x:c>
      <x:c r="R2500" s="10" t="n">
        <x:f>H2500*'Assumptions'!$Y$90*'Assumptions'!$Z$90*'Assumptions'!$D$11*(1+'Assumptions'!$D$13)^(20-1)</x:f>
        <x:v>1431.057192858745</x:v>
      </x:c>
      <x:c r="S2500" s="10" t="n">
        <x:f>IF(I2500=0,0,J2500*'Assumptions'!$W$90+H2500*'Assumptions'!$X$90)</x:f>
        <x:v>812.9390364376769</x:v>
      </x:c>
      <x:c r="T2500" s="10" t="n">
        <x:f>N2500*'Assumptions'!$AA$90</x:f>
        <x:v>1268.5786686358438</x:v>
      </x:c>
      <x:c r="U2500" s="10" t="n">
        <x:f>'Assumptions'!$AE$90*'Assumptions'!$D$11*(1+'Assumptions'!$D$13)^(20-1)</x:f>
        <x:v>105.21036318462609</x:v>
      </x:c>
      <x:c r="V2500" s="10" t="n">
        <x:f>0</x:f>
        <x:v>0</x:v>
      </x:c>
      <x:c r="W2500" s="10" t="n">
        <x:f>H2500*('Assumptions'!$P$90+'Assumptions'!$Y$90)</x:f>
        <x:v>45.33955114755777</x:v>
      </x:c>
      <x:c r="X2500" s="10" t="n">
        <x:f>N2500/12*'Assumptions'!$AF$90</x:f>
        <x:v>0</x:v>
      </x:c>
      <x:c r="Y2500" s="10" t="n">
        <x:f>P2500/12</x:f>
        <x:v>0</x:v>
      </x:c>
      <x:c r="Z2500" s="10" t="n">
        <x:f>0</x:f>
        <x:v>0</x:v>
      </x:c>
      <x:c r="AA2500" s="10" t="n">
        <x:f>Z2500*'Assumptions'!$AC$90*'Assumptions'!$D$11*(1+'Assumptions'!$D$13)^(20-1)</x:f>
        <x:v>0</x:v>
      </x:c>
      <x:c r="AB2500" s="10" t="n">
        <x:f>F2500/12</x:f>
        <x:v>4.84590185259502</x:v>
      </x:c>
      <x:c r="AC2500" s="10" t="n">
        <x:f>AB2500/'Assumptions'!$AM$90</x:f>
        <x:v>96.9180370519004</x:v>
      </x:c>
      <x:c r="AD2500" s="10" t="n">
        <x:f>IF(AB2500=0,0,T2500/AB2500)</x:f>
        <x:v>261.78381387491567</x:v>
      </x:c>
      <x:c r="AE2500" s="10" t="n">
        <x:f>AA2500*'Assumptions'!$D$21</x:f>
        <x:v>0</x:v>
      </x:c>
    </x:row>
    <x:row r="2501" ht="16" customHeight="1">
      <x:c r="A2501" s="1"/>
      <x:c r="B2501" s="1"/>
      <x:c r="C2501" s="1" t="str">
        <x:v>DOT-062</x:v>
      </x:c>
      <x:c r="D2501" s="10" t="str">
        <x:v>Model Life</x:v>
      </x:c>
      <x:c r="E2501" s="10" t="n">
        <x:v>20</x:v>
      </x:c>
      <x:c r="F2501" s="21" t="n">
        <x:f>F2373*(1+'Assumptions'!$M$91)</x:f>
        <x:v>58.15082223114024</x:v>
      </x:c>
      <x:c r="G2501" s="21" t="n">
        <x:f>H2373*'Assumptions'!$K$91</x:f>
        <x:v>123.20738235909084</x:v>
      </x:c>
      <x:c r="H2501" s="21" t="n">
        <x:f>IF(AND(COUNT('Assumptions'!$H$91,'Assumptions'!$I$91,'Assumptions'!$J$91,'Assumptions'!$K$91,'Assumptions'!$L$91,'Assumptions'!$M$91,'Assumptions'!$P$91,'Assumptions'!$Q$91,'Assumptions'!$R$91,'Assumptions'!$S$91,'Assumptions'!$T$91,'Assumptions'!$U$91,'Assumptions'!$V$91,'Assumptions'!$W$91,'Assumptions'!$X$91,'Assumptions'!$Y$91,'Assumptions'!$Z$91,'Assumptions'!$AA$91,'Assumptions'!$AD$91,'Assumptions'!$AE$91,'Assumptions'!$AF$91)=21,COUNT('Assumptions'!$D$8:$D$21)=14,'Assumptions'!$J$91&gt;=1,'Assumptions'!$J$91&lt;=12,'Assumptions'!$D$8&gt;=0,'Assumptions'!$D$15&gt;0),F2501+G2501,NA())</x:f>
        <x:v>181.35820459023108</x:v>
      </x:c>
      <x:c r="I2501" s="22" t="n">
        <x:f>'Assumptions'!$H$91*IF('Assumptions'!$O$91=1,1,'Assumptions'!$D$10)*(1+'Assumptions'!$N$91)^(20-1)</x:f>
        <x:v>71.38374745386214</x:v>
      </x:c>
      <x:c r="J2501" s="10" t="n">
        <x:f>H2501*I2501</x:f>
        <x:v>12946.028275154917</x:v>
      </x:c>
      <x:c r="K2501" s="10" t="n">
        <x:f>J2501*'Assumptions'!$T$91</x:f>
        <x:v>12946.028275154917</x:v>
      </x:c>
      <x:c r="L2501" s="10" t="n">
        <x:f>K2501*'Assumptions'!$U$91</x:f>
        <x:v>388.3808482546475</x:v>
      </x:c>
      <x:c r="M2501" s="10" t="n">
        <x:f>K2501*'Assumptions'!$V$91</x:f>
        <x:v>0</x:v>
      </x:c>
      <x:c r="N2501" s="10" t="n">
        <x:f>K2501-L2501-M2501</x:f>
        <x:v>12557.647426900268</x:v>
      </x:c>
      <x:c r="O2501" s="10" t="n">
        <x:f>H2501*'Assumptions'!$P$91*'Assumptions'!$Q$91*'Assumptions'!$D$11*(1+'Assumptions'!$D$13)^(20-1)</x:f>
        <x:v>1113.0444833345796</x:v>
      </x:c>
      <x:c r="P2501" s="10" t="n">
        <x:f>H2501*'Assumptions'!$R$91*'Assumptions'!$D$11*(1+'Assumptions'!$D$13)^(20-1)</x:f>
        <x:v>0</x:v>
      </x:c>
      <x:c r="Q2501" s="10" t="n">
        <x:f>J2501*'Assumptions'!$S$91</x:f>
        <x:v>0</x:v>
      </x:c>
      <x:c r="R2501" s="10" t="n">
        <x:f>H2501*'Assumptions'!$Y$91*'Assumptions'!$Z$91*'Assumptions'!$D$11*(1+'Assumptions'!$D$13)^(20-1)</x:f>
        <x:v>1431.057192858745</x:v>
      </x:c>
      <x:c r="S2501" s="10" t="n">
        <x:f>IF(I2501=0,0,J2501*'Assumptions'!$W$91+H2501*'Assumptions'!$X$91)</x:f>
        <x:v>429.8422813565619</x:v>
      </x:c>
      <x:c r="T2501" s="10" t="n">
        <x:f>N2501*'Assumptions'!$AA$91</x:f>
        <x:v>627.8823713450134</x:v>
      </x:c>
      <x:c r="U2501" s="10" t="n">
        <x:f>'Assumptions'!$AE$91*'Assumptions'!$D$11*(1+'Assumptions'!$D$13)^(20-1)</x:f>
        <x:v>105.21036318462609</x:v>
      </x:c>
      <x:c r="V2501" s="10" t="n">
        <x:f>0</x:f>
        <x:v>0</x:v>
      </x:c>
      <x:c r="W2501" s="10" t="n">
        <x:f>H2501*('Assumptions'!$P$91+'Assumptions'!$Y$91)</x:f>
        <x:v>45.33955114755777</x:v>
      </x:c>
      <x:c r="X2501" s="10" t="n">
        <x:f>N2501/12*'Assumptions'!$AF$91</x:f>
        <x:v>0</x:v>
      </x:c>
      <x:c r="Y2501" s="10" t="n">
        <x:f>P2501/12</x:f>
        <x:v>0</x:v>
      </x:c>
      <x:c r="Z2501" s="10" t="n">
        <x:f>0</x:f>
        <x:v>0</x:v>
      </x:c>
      <x:c r="AA2501" s="10" t="n">
        <x:f>Z2501*'Assumptions'!$AC$91*'Assumptions'!$D$11*(1+'Assumptions'!$D$13)^(20-1)</x:f>
        <x:v>0</x:v>
      </x:c>
      <x:c r="AB2501" s="10" t="n">
        <x:f>F2501/12</x:f>
        <x:v>4.84590185259502</x:v>
      </x:c>
      <x:c r="AC2501" s="10" t="n">
        <x:f>AB2501/'Assumptions'!$AM$91</x:f>
        <x:v>96.9180370519004</x:v>
      </x:c>
      <x:c r="AD2501" s="10" t="n">
        <x:f>IF(AB2501=0,0,T2501/AB2501)</x:f>
        <x:v>129.56976646334206</x:v>
      </x:c>
      <x:c r="AE2501" s="10" t="n">
        <x:f>AA2501*'Assumptions'!$D$21</x:f>
        <x:v>0</x:v>
      </x:c>
    </x:row>
    <x:row r="2502" ht="16" customHeight="1">
      <x:c r="A2502" s="1"/>
      <x:c r="B2502" s="1"/>
      <x:c r="C2502" s="1" t="str">
        <x:v>DOT-063</x:v>
      </x:c>
      <x:c r="D2502" s="10" t="str">
        <x:v>S’otality cleaning</x:v>
      </x:c>
      <x:c r="E2502" s="10" t="n">
        <x:v>20</x:v>
      </x:c>
      <x:c r="F2502" s="21" t="n">
        <x:f>F2374*(1+'Assumptions'!$M$92)</x:f>
        <x:v>109.4889645429687</x:v>
      </x:c>
      <x:c r="G2502" s="21" t="n">
        <x:f>H2374*'Assumptions'!$K$92</x:f>
        <x:v>152.76789383068183</x:v>
      </x:c>
      <x:c r="H2502" s="21" t="n">
        <x:f>IF(AND(COUNT('Assumptions'!$H$92,'Assumptions'!$I$92,'Assumptions'!$J$92,'Assumptions'!$K$92,'Assumptions'!$L$92,'Assumptions'!$M$92,'Assumptions'!$P$92,'Assumptions'!$Q$92,'Assumptions'!$R$92,'Assumptions'!$S$92,'Assumptions'!$T$92,'Assumptions'!$U$92,'Assumptions'!$V$92,'Assumptions'!$W$92,'Assumptions'!$X$92,'Assumptions'!$Y$92,'Assumptions'!$Z$92,'Assumptions'!$AA$92,'Assumptions'!$AD$92,'Assumptions'!$AE$92,'Assumptions'!$AF$92)=21,COUNT('Assumptions'!$D$8:$D$21)=14,'Assumptions'!$J$92&gt;=1,'Assumptions'!$J$92&lt;=12,'Assumptions'!$D$8&gt;=0,'Assumptions'!$D$15&gt;0),F2502+G2502,NA())</x:f>
        <x:v>262.2568583736505</x:v>
      </x:c>
      <x:c r="I2502" s="22" t="n">
        <x:f>'Assumptions'!$H$92*IF('Assumptions'!$O$92=1,1,'Assumptions'!$D$10)*(1+'Assumptions'!$N$92)^(20-1)</x:f>
        <x:v>217.06486470664203</x:v>
      </x:c>
      <x:c r="J2502" s="10" t="n">
        <x:f>H2502*I2502</x:f>
        <x:v>56926.749481265426</x:v>
      </x:c>
      <x:c r="K2502" s="10" t="n">
        <x:f>J2502*'Assumptions'!$T$92</x:f>
        <x:v>56926.749481265426</x:v>
      </x:c>
      <x:c r="L2502" s="10" t="n">
        <x:f>K2502*'Assumptions'!$U$92</x:f>
        <x:v>1707.8024844379627</x:v>
      </x:c>
      <x:c r="M2502" s="10" t="n">
        <x:f>K2502*'Assumptions'!$V$92</x:f>
        <x:v>0</x:v>
      </x:c>
      <x:c r="N2502" s="10" t="n">
        <x:f>K2502-L2502-M2502</x:f>
        <x:v>55218.946996827464</x:v>
      </x:c>
      <x:c r="O2502" s="10" t="n">
        <x:f>H2502*'Assumptions'!$P$92*'Assumptions'!$Q$92*'Assumptions'!$D$11*(1+'Assumptions'!$D$13)^(20-1)</x:f>
        <x:v>1609.5414601671314</x:v>
      </x:c>
      <x:c r="P2502" s="10" t="n">
        <x:f>H2502*'Assumptions'!$R$92*'Assumptions'!$D$11*(1+'Assumptions'!$D$13)^(20-1)</x:f>
        <x:v>3678.951908953443</x:v>
      </x:c>
      <x:c r="Q2502" s="10" t="n">
        <x:f>J2502*'Assumptions'!$S$92</x:f>
        <x:v>37002.38716282253</x:v>
      </x:c>
      <x:c r="R2502" s="10" t="n">
        <x:f>H2502*'Assumptions'!$Y$92*'Assumptions'!$Z$92*'Assumptions'!$D$11*(1+'Assumptions'!$D$13)^(20-1)</x:f>
        <x:v>2759.2139317150823</x:v>
      </x:c>
      <x:c r="S2502" s="10" t="n">
        <x:f>IF(I2502=0,0,J2502*'Assumptions'!$W$92+H2502*'Assumptions'!$X$92)</x:f>
        <x:v>1729.5527924687926</x:v>
      </x:c>
      <x:c r="T2502" s="10" t="n">
        <x:f>N2502*'Assumptions'!$AA$92</x:f>
        <x:v>2208.757879873099</x:v>
      </x:c>
      <x:c r="U2502" s="10" t="n">
        <x:f>'Assumptions'!$AE$92*'Assumptions'!$D$11*(1+'Assumptions'!$D$13)^(20-1)</x:f>
        <x:v>0</x:v>
      </x:c>
      <x:c r="V2502" s="10" t="n">
        <x:f>0</x:f>
        <x:v>0</x:v>
      </x:c>
      <x:c r="W2502" s="10" t="n">
        <x:f>H2502*('Assumptions'!$P$92+'Assumptions'!$Y$92)</x:f>
        <x:v>78.67705751209516</x:v>
      </x:c>
      <x:c r="X2502" s="10" t="n">
        <x:f>N2502/12*'Assumptions'!$AF$92</x:f>
        <x:v>0</x:v>
      </x:c>
      <x:c r="Y2502" s="10" t="n">
        <x:f>P2502/12</x:f>
        <x:v>306.5793257461202</x:v>
      </x:c>
      <x:c r="Z2502" s="10" t="n">
        <x:f>0</x:f>
        <x:v>0</x:v>
      </x:c>
      <x:c r="AA2502" s="10" t="n">
        <x:f>Z2502*'Assumptions'!$AC$92*'Assumptions'!$D$11*(1+'Assumptions'!$D$13)^(20-1)</x:f>
        <x:v>0</x:v>
      </x:c>
      <x:c r="AB2502" s="10" t="n">
        <x:f>F2502/1</x:f>
        <x:v>109.4889645429687</x:v>
      </x:c>
      <x:c r="AC2502" s="10" t="n">
        <x:f>AB2502/'Assumptions'!$AM$92</x:f>
        <x:v>729.9264302864581</x:v>
      </x:c>
      <x:c r="AD2502" s="10" t="n">
        <x:f>IF(AB2502=0,0,T2502/AB2502)</x:f>
        <x:v>20.173337916683618</x:v>
      </x:c>
      <x:c r="AE2502" s="10" t="n">
        <x:f>AA2502*'Assumptions'!$D$21</x:f>
        <x:v>0</x:v>
      </x:c>
    </x:row>
    <x:row r="2503" ht="16" customHeight="1">
      <x:c r="A2503" s="1"/>
      <x:c r="B2503" s="1"/>
      <x:c r="C2503" s="1" t="str">
        <x:v>DOT-064</x:v>
      </x:c>
      <x:c r="D2503" s="10" t="str">
        <x:v>S’otality cleaning</x:v>
      </x:c>
      <x:c r="E2503" s="10" t="n">
        <x:v>20</x:v>
      </x:c>
      <x:c r="F2503" s="21" t="n">
        <x:f>F2375*(1+'Assumptions'!$M$93)</x:f>
        <x:v>164.23344681445295</x:v>
      </x:c>
      <x:c r="G2503" s="21" t="n">
        <x:f>H2375*'Assumptions'!$K$93</x:f>
        <x:v>229.15184074602263</x:v>
      </x:c>
      <x:c r="H2503" s="21" t="n">
        <x:f>IF(AND(COUNT('Assumptions'!$H$93,'Assumptions'!$I$93,'Assumptions'!$J$93,'Assumptions'!$K$93,'Assumptions'!$L$93,'Assumptions'!$M$93,'Assumptions'!$P$93,'Assumptions'!$Q$93,'Assumptions'!$R$93,'Assumptions'!$S$93,'Assumptions'!$T$93,'Assumptions'!$U$93,'Assumptions'!$V$93,'Assumptions'!$W$93,'Assumptions'!$X$93,'Assumptions'!$Y$93,'Assumptions'!$Z$93,'Assumptions'!$AA$93,'Assumptions'!$AD$93,'Assumptions'!$AE$93,'Assumptions'!$AF$93)=21,COUNT('Assumptions'!$D$8:$D$21)=14,'Assumptions'!$J$93&gt;=1,'Assumptions'!$J$93&lt;=12,'Assumptions'!$D$8&gt;=0,'Assumptions'!$D$15&gt;0),F2503+G2503,NA())</x:f>
        <x:v>393.3852875604756</x:v>
      </x:c>
      <x:c r="I2503" s="22" t="n">
        <x:f>'Assumptions'!$H$93*IF('Assumptions'!$O$93=1,1,'Assumptions'!$D$10)*(1+'Assumptions'!$N$93)^(20-1)</x:f>
        <x:v>202.49675298136404</x:v>
      </x:c>
      <x:c r="J2503" s="10" t="n">
        <x:f>H2503*I2503</x:f>
        <x:v>79659.24340163649</x:v>
      </x:c>
      <x:c r="K2503" s="10" t="n">
        <x:f>J2503*'Assumptions'!$T$93</x:f>
        <x:v>79659.24340163649</x:v>
      </x:c>
      <x:c r="L2503" s="10" t="n">
        <x:f>K2503*'Assumptions'!$U$93</x:f>
        <x:v>2389.7773020490945</x:v>
      </x:c>
      <x:c r="M2503" s="10" t="n">
        <x:f>K2503*'Assumptions'!$V$93</x:f>
        <x:v>0</x:v>
      </x:c>
      <x:c r="N2503" s="10" t="n">
        <x:f>K2503-L2503-M2503</x:f>
        <x:v>77269.46609958739</x:v>
      </x:c>
      <x:c r="O2503" s="10" t="n">
        <x:f>H2503*'Assumptions'!$P$93*'Assumptions'!$Q$93*'Assumptions'!$D$11*(1+'Assumptions'!$D$13)^(20-1)</x:f>
        <x:v>2414.312190250696</x:v>
      </x:c>
      <x:c r="P2503" s="10" t="n">
        <x:f>H2503*'Assumptions'!$R$93*'Assumptions'!$D$11*(1+'Assumptions'!$D$13)^(20-1)</x:f>
        <x:v>5518.427863430162</x:v>
      </x:c>
      <x:c r="Q2503" s="10" t="n">
        <x:f>J2503*'Assumptions'!$S$93</x:f>
        <x:v>51778.508211063716</x:v>
      </x:c>
      <x:c r="R2503" s="10" t="n">
        <x:f>H2503*'Assumptions'!$Y$93*'Assumptions'!$Z$93*'Assumptions'!$D$11*(1+'Assumptions'!$D$13)^(20-1)</x:f>
        <x:v>4138.820897572622</x:v>
      </x:c>
      <x:c r="S2503" s="10" t="n">
        <x:f>IF(I2503=0,0,J2503*'Assumptions'!$W$93+H2503*'Assumptions'!$X$93)</x:f>
        <x:v>2428.133644915601</x:v>
      </x:c>
      <x:c r="T2503" s="10" t="n">
        <x:f>N2503*'Assumptions'!$AA$93</x:f>
        <x:v>3090.7786439834954</x:v>
      </x:c>
      <x:c r="U2503" s="10" t="n">
        <x:f>'Assumptions'!$AE$93*'Assumptions'!$D$11*(1+'Assumptions'!$D$13)^(20-1)</x:f>
        <x:v>0</x:v>
      </x:c>
      <x:c r="V2503" s="10" t="n">
        <x:f>0</x:f>
        <x:v>0</x:v>
      </x:c>
      <x:c r="W2503" s="10" t="n">
        <x:f>H2503*('Assumptions'!$P$93+'Assumptions'!$Y$93)</x:f>
        <x:v>118.0155862681427</x:v>
      </x:c>
      <x:c r="X2503" s="10" t="n">
        <x:f>N2503/12*'Assumptions'!$AF$93</x:f>
        <x:v>0</x:v>
      </x:c>
      <x:c r="Y2503" s="10" t="n">
        <x:f>P2503/12</x:f>
        <x:v>459.86898861918013</x:v>
      </x:c>
      <x:c r="Z2503" s="10" t="n">
        <x:f>0</x:f>
        <x:v>0</x:v>
      </x:c>
      <x:c r="AA2503" s="10" t="n">
        <x:f>Z2503*'Assumptions'!$AC$93*'Assumptions'!$D$11*(1+'Assumptions'!$D$13)^(20-1)</x:f>
        <x:v>0</x:v>
      </x:c>
      <x:c r="AB2503" s="10" t="n">
        <x:f>F2503/1</x:f>
        <x:v>164.23344681445295</x:v>
      </x:c>
      <x:c r="AC2503" s="10" t="n">
        <x:f>AB2503/'Assumptions'!$AM$93</x:f>
        <x:v>1094.8896454296864</x:v>
      </x:c>
      <x:c r="AD2503" s="10" t="n">
        <x:f>IF(AB2503=0,0,T2503/AB2503)</x:f>
        <x:v>18.8194226202619</x:v>
      </x:c>
      <x:c r="AE2503" s="10" t="n">
        <x:f>AA2503*'Assumptions'!$D$21</x:f>
        <x:v>0</x:v>
      </x:c>
    </x:row>
    <x:row r="2504" ht="16" customHeight="1">
      <x:c r="A2504" s="1"/>
      <x:c r="B2504" s="1"/>
      <x:c r="C2504" s="1" t="str">
        <x:v>DOT-065</x:v>
      </x:c>
      <x:c r="D2504" s="10" t="str">
        <x:v>S’otality cleaning</x:v>
      </x:c>
      <x:c r="E2504" s="10" t="n">
        <x:v>20</x:v>
      </x:c>
      <x:c r="F2504" s="21" t="n">
        <x:f>F2376*(1+'Assumptions'!$M$94)</x:f>
        <x:v>109.4889645429687</x:v>
      </x:c>
      <x:c r="G2504" s="21" t="n">
        <x:f>H2376*'Assumptions'!$K$94</x:f>
        <x:v>152.76789383068183</x:v>
      </x:c>
      <x:c r="H2504" s="21" t="n">
        <x:f>IF(AND(COUNT('Assumptions'!$H$94,'Assumptions'!$I$94,'Assumptions'!$J$94,'Assumptions'!$K$94,'Assumptions'!$L$94,'Assumptions'!$M$94,'Assumptions'!$P$94,'Assumptions'!$Q$94,'Assumptions'!$R$94,'Assumptions'!$S$94,'Assumptions'!$T$94,'Assumptions'!$U$94,'Assumptions'!$V$94,'Assumptions'!$W$94,'Assumptions'!$X$94,'Assumptions'!$Y$94,'Assumptions'!$Z$94,'Assumptions'!$AA$94,'Assumptions'!$AD$94,'Assumptions'!$AE$94,'Assumptions'!$AF$94)=21,COUNT('Assumptions'!$D$8:$D$21)=14,'Assumptions'!$J$94&gt;=1,'Assumptions'!$J$94&lt;=12,'Assumptions'!$D$8&gt;=0,'Assumptions'!$D$15&gt;0),F2504+G2504,NA())</x:f>
        <x:v>262.2568583736505</x:v>
      </x:c>
      <x:c r="I2504" s="22" t="n">
        <x:f>'Assumptions'!$H$94*IF('Assumptions'!$O$94=1,1,'Assumptions'!$D$10)*(1+'Assumptions'!$N$94)^(20-1)</x:f>
        <x:v>231.63297643192</x:v>
      </x:c>
      <x:c r="J2504" s="10" t="n">
        <x:f>H2504*I2504</x:f>
        <x:v>60747.33669477318</x:v>
      </x:c>
      <x:c r="K2504" s="10" t="n">
        <x:f>J2504*'Assumptions'!$T$94</x:f>
        <x:v>60747.33669477318</x:v>
      </x:c>
      <x:c r="L2504" s="10" t="n">
        <x:f>K2504*'Assumptions'!$U$94</x:f>
        <x:v>1822.4201008431953</x:v>
      </x:c>
      <x:c r="M2504" s="10" t="n">
        <x:f>K2504*'Assumptions'!$V$94</x:f>
        <x:v>0</x:v>
      </x:c>
      <x:c r="N2504" s="10" t="n">
        <x:f>K2504-L2504-M2504</x:f>
        <x:v>58924.916593929986</x:v>
      </x:c>
      <x:c r="O2504" s="10" t="n">
        <x:f>H2504*'Assumptions'!$P$94*'Assumptions'!$Q$94*'Assumptions'!$D$11*(1+'Assumptions'!$D$13)^(20-1)</x:f>
        <x:v>1609.5414601671314</x:v>
      </x:c>
      <x:c r="P2504" s="10" t="n">
        <x:f>H2504*'Assumptions'!$R$94*'Assumptions'!$D$11*(1+'Assumptions'!$D$13)^(20-1)</x:f>
        <x:v>3678.951908953443</x:v>
      </x:c>
      <x:c r="Q2504" s="10" t="n">
        <x:f>J2504*'Assumptions'!$S$94</x:f>
        <x:v>39485.76885160257</x:v>
      </x:c>
      <x:c r="R2504" s="10" t="n">
        <x:f>H2504*'Assumptions'!$Y$94*'Assumptions'!$Z$94*'Assumptions'!$D$11*(1+'Assumptions'!$D$13)^(20-1)</x:f>
        <x:v>2759.2139317150823</x:v>
      </x:c>
      <x:c r="S2504" s="10" t="n">
        <x:f>IF(I2504=0,0,J2504*'Assumptions'!$W$94+H2504*'Assumptions'!$X$94)</x:f>
        <x:v>1840.3498216605174</x:v>
      </x:c>
      <x:c r="T2504" s="10" t="n">
        <x:f>N2504*'Assumptions'!$AA$94</x:f>
        <x:v>2356.9966637571993</x:v>
      </x:c>
      <x:c r="U2504" s="10" t="n">
        <x:f>'Assumptions'!$AE$94*'Assumptions'!$D$11*(1+'Assumptions'!$D$13)^(20-1)</x:f>
        <x:v>0</x:v>
      </x:c>
      <x:c r="V2504" s="10" t="n">
        <x:f>0</x:f>
        <x:v>0</x:v>
      </x:c>
      <x:c r="W2504" s="10" t="n">
        <x:f>H2504*('Assumptions'!$P$94+'Assumptions'!$Y$94)</x:f>
        <x:v>78.67705751209516</x:v>
      </x:c>
      <x:c r="X2504" s="10" t="n">
        <x:f>N2504/12*'Assumptions'!$AF$94</x:f>
        <x:v>0</x:v>
      </x:c>
      <x:c r="Y2504" s="10" t="n">
        <x:f>P2504/12</x:f>
        <x:v>306.5793257461202</x:v>
      </x:c>
      <x:c r="Z2504" s="10" t="n">
        <x:f>0</x:f>
        <x:v>0</x:v>
      </x:c>
      <x:c r="AA2504" s="10" t="n">
        <x:f>Z2504*'Assumptions'!$AC$94*'Assumptions'!$D$11*(1+'Assumptions'!$D$13)^(20-1)</x:f>
        <x:v>0</x:v>
      </x:c>
      <x:c r="AB2504" s="10" t="n">
        <x:f>F2504/1</x:f>
        <x:v>109.4889645429687</x:v>
      </x:c>
      <x:c r="AC2504" s="10" t="n">
        <x:f>AB2504/'Assumptions'!$AM$94</x:f>
        <x:v>729.9264302864581</x:v>
      </x:c>
      <x:c r="AD2504" s="10" t="n">
        <x:f>IF(AB2504=0,0,T2504/AB2504)</x:f>
        <x:v>21.527253213105336</x:v>
      </x:c>
      <x:c r="AE2504" s="10" t="n">
        <x:f>AA2504*'Assumptions'!$D$21</x:f>
        <x:v>0</x:v>
      </x:c>
    </x:row>
    <x:row r="2505" ht="16" customHeight="1">
      <x:c r="A2505" s="1"/>
      <x:c r="B2505" s="1"/>
      <x:c r="C2505" s="1" t="str">
        <x:v>DOT-066</x:v>
      </x:c>
      <x:c r="D2505" s="10" t="str">
        <x:v>S’otality cleaning</x:v>
      </x:c>
      <x:c r="E2505" s="10" t="n">
        <x:v>20</x:v>
      </x:c>
      <x:c r="F2505" s="21" t="n">
        <x:f>F2377*(1+'Assumptions'!$M$95)</x:f>
        <x:v>164.23344681445295</x:v>
      </x:c>
      <x:c r="G2505" s="21" t="n">
        <x:f>H2377*'Assumptions'!$K$95</x:f>
        <x:v>229.15184074602263</x:v>
      </x:c>
      <x:c r="H2505" s="21" t="n">
        <x:f>IF(AND(COUNT('Assumptions'!$H$95,'Assumptions'!$I$95,'Assumptions'!$J$95,'Assumptions'!$K$95,'Assumptions'!$L$95,'Assumptions'!$M$95,'Assumptions'!$P$95,'Assumptions'!$Q$95,'Assumptions'!$R$95,'Assumptions'!$S$95,'Assumptions'!$T$95,'Assumptions'!$U$95,'Assumptions'!$V$95,'Assumptions'!$W$95,'Assumptions'!$X$95,'Assumptions'!$Y$95,'Assumptions'!$Z$95,'Assumptions'!$AA$95,'Assumptions'!$AD$95,'Assumptions'!$AE$95,'Assumptions'!$AF$95)=21,COUNT('Assumptions'!$D$8:$D$21)=14,'Assumptions'!$J$95&gt;=1,'Assumptions'!$J$95&lt;=12,'Assumptions'!$D$8&gt;=0,'Assumptions'!$D$15&gt;0),F2505+G2505,NA())</x:f>
        <x:v>393.3852875604756</x:v>
      </x:c>
      <x:c r="I2505" s="22" t="n">
        <x:f>'Assumptions'!$H$95*IF('Assumptions'!$O$95=1,1,'Assumptions'!$D$10)*(1+'Assumptions'!$N$95)^(20-1)</x:f>
        <x:v>217.06486470664203</x:v>
      </x:c>
      <x:c r="J2505" s="10" t="n">
        <x:f>H2505*I2505</x:f>
        <x:v>85390.1242218981</x:v>
      </x:c>
      <x:c r="K2505" s="10" t="n">
        <x:f>J2505*'Assumptions'!$T$95</x:f>
        <x:v>85390.1242218981</x:v>
      </x:c>
      <x:c r="L2505" s="10" t="n">
        <x:f>K2505*'Assumptions'!$U$95</x:f>
        <x:v>2561.703726656943</x:v>
      </x:c>
      <x:c r="M2505" s="10" t="n">
        <x:f>K2505*'Assumptions'!$V$95</x:f>
        <x:v>0</x:v>
      </x:c>
      <x:c r="N2505" s="10" t="n">
        <x:f>K2505-L2505-M2505</x:f>
        <x:v>82828.42049524117</x:v>
      </x:c>
      <x:c r="O2505" s="10" t="n">
        <x:f>H2505*'Assumptions'!$P$95*'Assumptions'!$Q$95*'Assumptions'!$D$11*(1+'Assumptions'!$D$13)^(20-1)</x:f>
        <x:v>2414.312190250696</x:v>
      </x:c>
      <x:c r="P2505" s="10" t="n">
        <x:f>H2505*'Assumptions'!$R$95*'Assumptions'!$D$11*(1+'Assumptions'!$D$13)^(20-1)</x:f>
        <x:v>5518.427863430162</x:v>
      </x:c>
      <x:c r="Q2505" s="10" t="n">
        <x:f>J2505*'Assumptions'!$S$95</x:f>
        <x:v>55503.58074423377</x:v>
      </x:c>
      <x:c r="R2505" s="10" t="n">
        <x:f>H2505*'Assumptions'!$Y$95*'Assumptions'!$Z$95*'Assumptions'!$D$11*(1+'Assumptions'!$D$13)^(20-1)</x:f>
        <x:v>4138.820897572622</x:v>
      </x:c>
      <x:c r="S2505" s="10" t="n">
        <x:f>IF(I2505=0,0,J2505*'Assumptions'!$W$95+H2505*'Assumptions'!$X$95)</x:f>
        <x:v>2594.329188703188</x:v>
      </x:c>
      <x:c r="T2505" s="10" t="n">
        <x:f>N2505*'Assumptions'!$AA$95</x:f>
        <x:v>3313.1368198096466</x:v>
      </x:c>
      <x:c r="U2505" s="10" t="n">
        <x:f>'Assumptions'!$AE$95*'Assumptions'!$D$11*(1+'Assumptions'!$D$13)^(20-1)</x:f>
        <x:v>0</x:v>
      </x:c>
      <x:c r="V2505" s="10" t="n">
        <x:f>0</x:f>
        <x:v>0</x:v>
      </x:c>
      <x:c r="W2505" s="10" t="n">
        <x:f>H2505*('Assumptions'!$P$95+'Assumptions'!$Y$95)</x:f>
        <x:v>118.0155862681427</x:v>
      </x:c>
      <x:c r="X2505" s="10" t="n">
        <x:f>N2505/12*'Assumptions'!$AF$95</x:f>
        <x:v>0</x:v>
      </x:c>
      <x:c r="Y2505" s="10" t="n">
        <x:f>P2505/12</x:f>
        <x:v>459.86898861918013</x:v>
      </x:c>
      <x:c r="Z2505" s="10" t="n">
        <x:f>0</x:f>
        <x:v>0</x:v>
      </x:c>
      <x:c r="AA2505" s="10" t="n">
        <x:f>Z2505*'Assumptions'!$AC$95*'Assumptions'!$D$11*(1+'Assumptions'!$D$13)^(20-1)</x:f>
        <x:v>0</x:v>
      </x:c>
      <x:c r="AB2505" s="10" t="n">
        <x:f>F2505/1</x:f>
        <x:v>164.23344681445295</x:v>
      </x:c>
      <x:c r="AC2505" s="10" t="n">
        <x:f>AB2505/'Assumptions'!$AM$95</x:f>
        <x:v>1094.8896454296864</x:v>
      </x:c>
      <x:c r="AD2505" s="10" t="n">
        <x:f>IF(AB2505=0,0,T2505/AB2505)</x:f>
        <x:v>20.17333791668362</x:v>
      </x:c>
      <x:c r="AE2505" s="10" t="n">
        <x:f>AA2505*'Assumptions'!$D$21</x:f>
        <x:v>0</x:v>
      </x:c>
    </x:row>
    <x:row r="2506" ht="16" customHeight="1">
      <x:c r="A2506" s="1"/>
      <x:c r="B2506" s="1"/>
      <x:c r="C2506" s="1" t="str">
        <x:v>DOT-067</x:v>
      </x:c>
      <x:c r="D2506" s="10" t="str">
        <x:v>S’otality cleaning</x:v>
      </x:c>
      <x:c r="E2506" s="10" t="n">
        <x:v>20</x:v>
      </x:c>
      <x:c r="F2506" s="21" t="n">
        <x:f>F2378*(1+'Assumptions'!$M$96)</x:f>
        <x:v>72.99264302864579</x:v>
      </x:c>
      <x:c r="G2506" s="21" t="n">
        <x:f>H2378*'Assumptions'!$K$96</x:f>
        <x:v>101.84526255378789</x:v>
      </x:c>
      <x:c r="H2506" s="21" t="n">
        <x:f>IF(AND(COUNT('Assumptions'!$H$96,'Assumptions'!$I$96,'Assumptions'!$J$96,'Assumptions'!$K$96,'Assumptions'!$L$96,'Assumptions'!$M$96,'Assumptions'!$P$96,'Assumptions'!$Q$96,'Assumptions'!$R$96,'Assumptions'!$S$96,'Assumptions'!$T$96,'Assumptions'!$U$96,'Assumptions'!$V$96,'Assumptions'!$W$96,'Assumptions'!$X$96,'Assumptions'!$Y$96,'Assumptions'!$Z$96,'Assumptions'!$AA$96,'Assumptions'!$AD$96,'Assumptions'!$AE$96,'Assumptions'!$AF$96)=21,COUNT('Assumptions'!$D$8:$D$21)=14,'Assumptions'!$J$96&gt;=1,'Assumptions'!$J$96&lt;=12,'Assumptions'!$D$8&gt;=0,'Assumptions'!$D$15&gt;0),F2506+G2506,NA())</x:f>
        <x:v>174.83790558243368</x:v>
      </x:c>
      <x:c r="I2506" s="22" t="n">
        <x:f>'Assumptions'!$H$96*IF('Assumptions'!$O$96=1,1,'Assumptions'!$D$10)*(1+'Assumptions'!$N$96)^(20-1)</x:f>
        <x:v>289.90542333303193</x:v>
      </x:c>
      <x:c r="J2506" s="10" t="n">
        <x:f>H2506*I2506</x:f>
        <x:v>50686.457032536106</x:v>
      </x:c>
      <x:c r="K2506" s="10" t="n">
        <x:f>J2506*'Assumptions'!$T$96</x:f>
        <x:v>50686.457032536106</x:v>
      </x:c>
      <x:c r="L2506" s="10" t="n">
        <x:f>K2506*'Assumptions'!$U$96</x:f>
        <x:v>1520.593710976083</x:v>
      </x:c>
      <x:c r="M2506" s="10" t="n">
        <x:f>K2506*'Assumptions'!$V$96</x:f>
        <x:v>0</x:v>
      </x:c>
      <x:c r="N2506" s="10" t="n">
        <x:f>K2506-L2506-M2506</x:f>
        <x:v>49165.86332156002</x:v>
      </x:c>
      <x:c r="O2506" s="10" t="n">
        <x:f>H2506*'Assumptions'!$P$96*'Assumptions'!$Q$96*'Assumptions'!$D$11*(1+'Assumptions'!$D$13)^(20-1)</x:f>
        <x:v>1073.0276401114209</x:v>
      </x:c>
      <x:c r="P2506" s="10" t="n">
        <x:f>H2506*'Assumptions'!$R$96*'Assumptions'!$D$11*(1+'Assumptions'!$D$13)^(20-1)</x:f>
        <x:v>2452.6346059689618</x:v>
      </x:c>
      <x:c r="Q2506" s="10" t="n">
        <x:f>J2506*'Assumptions'!$S$96</x:f>
        <x:v>32946.19707114847</x:v>
      </x:c>
      <x:c r="R2506" s="10" t="n">
        <x:f>H2506*'Assumptions'!$Y$96*'Assumptions'!$Z$96*'Assumptions'!$D$11*(1+'Assumptions'!$D$13)^(20-1)</x:f>
        <x:v>1839.4759544767214</x:v>
      </x:c>
      <x:c r="S2506" s="10" t="n">
        <x:f>IF(I2506=0,0,J2506*'Assumptions'!$W$96+H2506*'Assumptions'!$X$96)</x:f>
        <x:v>1522.3586256182773</x:v>
      </x:c>
      <x:c r="T2506" s="10" t="n">
        <x:f>N2506*'Assumptions'!$AA$96</x:f>
        <x:v>1966.6345328624009</x:v>
      </x:c>
      <x:c r="U2506" s="10" t="n">
        <x:f>'Assumptions'!$AE$96*'Assumptions'!$D$11*(1+'Assumptions'!$D$13)^(20-1)</x:f>
        <x:v>0</x:v>
      </x:c>
      <x:c r="V2506" s="10" t="n">
        <x:f>0</x:f>
        <x:v>0</x:v>
      </x:c>
      <x:c r="W2506" s="10" t="n">
        <x:f>H2506*('Assumptions'!$P$96+'Assumptions'!$Y$96)</x:f>
        <x:v>52.45137167473011</x:v>
      </x:c>
      <x:c r="X2506" s="10" t="n">
        <x:f>N2506/12*'Assumptions'!$AF$96</x:f>
        <x:v>0</x:v>
      </x:c>
      <x:c r="Y2506" s="10" t="n">
        <x:f>P2506/12</x:f>
        <x:v>204.38621716408014</x:v>
      </x:c>
      <x:c r="Z2506" s="10" t="n">
        <x:f>0</x:f>
        <x:v>0</x:v>
      </x:c>
      <x:c r="AA2506" s="10" t="n">
        <x:f>Z2506*'Assumptions'!$AC$96*'Assumptions'!$D$11*(1+'Assumptions'!$D$13)^(20-1)</x:f>
        <x:v>0</x:v>
      </x:c>
      <x:c r="AB2506" s="10" t="n">
        <x:f>F2506/1</x:f>
        <x:v>72.99264302864579</x:v>
      </x:c>
      <x:c r="AC2506" s="10" t="n">
        <x:f>AB2506/'Assumptions'!$AM$96</x:f>
        <x:v>486.61762019097193</x:v>
      </x:c>
      <x:c r="AD2506" s="10" t="n">
        <x:f>IF(AB2506=0,0,T2506/AB2506)</x:f>
        <x:v>26.942914398792215</x:v>
      </x:c>
      <x:c r="AE2506" s="10" t="n">
        <x:f>AA2506*'Assumptions'!$D$21</x:f>
        <x:v>0</x:v>
      </x:c>
    </x:row>
    <x:row r="2507" ht="16" customHeight="1">
      <x:c r="A2507" s="1"/>
      <x:c r="B2507" s="1"/>
      <x:c r="C2507" s="1" t="str">
        <x:v>DOT-068</x:v>
      </x:c>
      <x:c r="D2507" s="10" t="str">
        <x:v>S’otality cleaning</x:v>
      </x:c>
      <x:c r="E2507" s="10" t="n">
        <x:v>20</x:v>
      </x:c>
      <x:c r="F2507" s="21" t="n">
        <x:f>F2379*(1+'Assumptions'!$M$97)</x:f>
        <x:v>109.4889645429687</x:v>
      </x:c>
      <x:c r="G2507" s="21" t="n">
        <x:f>H2379*'Assumptions'!$K$97</x:f>
        <x:v>152.76789383068183</x:v>
      </x:c>
      <x:c r="H2507" s="21" t="n">
        <x:f>IF(AND(COUNT('Assumptions'!$H$97,'Assumptions'!$I$97,'Assumptions'!$J$97,'Assumptions'!$K$97,'Assumptions'!$L$97,'Assumptions'!$M$97,'Assumptions'!$P$97,'Assumptions'!$Q$97,'Assumptions'!$R$97,'Assumptions'!$S$97,'Assumptions'!$T$97,'Assumptions'!$U$97,'Assumptions'!$V$97,'Assumptions'!$W$97,'Assumptions'!$X$97,'Assumptions'!$Y$97,'Assumptions'!$Z$97,'Assumptions'!$AA$97,'Assumptions'!$AD$97,'Assumptions'!$AE$97,'Assumptions'!$AF$97)=21,COUNT('Assumptions'!$D$8:$D$21)=14,'Assumptions'!$J$97&gt;=1,'Assumptions'!$J$97&lt;=12,'Assumptions'!$D$8&gt;=0,'Assumptions'!$D$15&gt;0),F2507+G2507,NA())</x:f>
        <x:v>262.2568583736505</x:v>
      </x:c>
      <x:c r="I2507" s="22" t="n">
        <x:f>'Assumptions'!$H$97*IF('Assumptions'!$O$97=1,1,'Assumptions'!$D$10)*(1+'Assumptions'!$N$97)^(20-1)</x:f>
        <x:v>275.337311607754</x:v>
      </x:c>
      <x:c r="J2507" s="10" t="n">
        <x:f>H2507*I2507</x:f>
        <x:v>72209.09833529641</x:v>
      </x:c>
      <x:c r="K2507" s="10" t="n">
        <x:f>J2507*'Assumptions'!$T$97</x:f>
        <x:v>72209.09833529641</x:v>
      </x:c>
      <x:c r="L2507" s="10" t="n">
        <x:f>K2507*'Assumptions'!$U$97</x:f>
        <x:v>2166.272950058892</x:v>
      </x:c>
      <x:c r="M2507" s="10" t="n">
        <x:f>K2507*'Assumptions'!$V$97</x:f>
        <x:v>0</x:v>
      </x:c>
      <x:c r="N2507" s="10" t="n">
        <x:f>K2507-L2507-M2507</x:f>
        <x:v>70042.82538523752</x:v>
      </x:c>
      <x:c r="O2507" s="10" t="n">
        <x:f>H2507*'Assumptions'!$P$97*'Assumptions'!$Q$97*'Assumptions'!$D$11*(1+'Assumptions'!$D$13)^(20-1)</x:f>
        <x:v>1609.5414601671314</x:v>
      </x:c>
      <x:c r="P2507" s="10" t="n">
        <x:f>H2507*'Assumptions'!$R$97*'Assumptions'!$D$11*(1+'Assumptions'!$D$13)^(20-1)</x:f>
        <x:v>3678.951908953443</x:v>
      </x:c>
      <x:c r="Q2507" s="10" t="n">
        <x:f>J2507*'Assumptions'!$S$97</x:f>
        <x:v>46935.91391794267</x:v>
      </x:c>
      <x:c r="R2507" s="10" t="n">
        <x:f>H2507*'Assumptions'!$Y$97*'Assumptions'!$Z$97*'Assumptions'!$D$11*(1+'Assumptions'!$D$13)^(20-1)</x:f>
        <x:v>2759.2139317150823</x:v>
      </x:c>
      <x:c r="S2507" s="10" t="n">
        <x:f>IF(I2507=0,0,J2507*'Assumptions'!$W$97+H2507*'Assumptions'!$X$97)</x:f>
        <x:v>2172.740909235691</x:v>
      </x:c>
      <x:c r="T2507" s="10" t="n">
        <x:f>N2507*'Assumptions'!$AA$97</x:f>
        <x:v>2801.7130154095007</x:v>
      </x:c>
      <x:c r="U2507" s="10" t="n">
        <x:f>'Assumptions'!$AE$97*'Assumptions'!$D$11*(1+'Assumptions'!$D$13)^(20-1)</x:f>
        <x:v>0</x:v>
      </x:c>
      <x:c r="V2507" s="10" t="n">
        <x:f>0</x:f>
        <x:v>0</x:v>
      </x:c>
      <x:c r="W2507" s="10" t="n">
        <x:f>H2507*('Assumptions'!$P$97+'Assumptions'!$Y$97)</x:f>
        <x:v>78.67705751209516</x:v>
      </x:c>
      <x:c r="X2507" s="10" t="n">
        <x:f>N2507/12*'Assumptions'!$AF$97</x:f>
        <x:v>0</x:v>
      </x:c>
      <x:c r="Y2507" s="10" t="n">
        <x:f>P2507/12</x:f>
        <x:v>306.5793257461202</x:v>
      </x:c>
      <x:c r="Z2507" s="10" t="n">
        <x:f>0</x:f>
        <x:v>0</x:v>
      </x:c>
      <x:c r="AA2507" s="10" t="n">
        <x:f>Z2507*'Assumptions'!$AC$97*'Assumptions'!$D$11*(1+'Assumptions'!$D$13)^(20-1)</x:f>
        <x:v>0</x:v>
      </x:c>
      <x:c r="AB2507" s="10" t="n">
        <x:f>F2507/1</x:f>
        <x:v>109.4889645429687</x:v>
      </x:c>
      <x:c r="AC2507" s="10" t="n">
        <x:f>AB2507/'Assumptions'!$AM$97</x:f>
        <x:v>729.9264302864581</x:v>
      </x:c>
      <x:c r="AD2507" s="10" t="n">
        <x:f>IF(AB2507=0,0,T2507/AB2507)</x:f>
        <x:v>25.58899910237049</x:v>
      </x:c>
      <x:c r="AE2507" s="10" t="n">
        <x:f>AA2507*'Assumptions'!$D$21</x:f>
        <x:v>0</x:v>
      </x:c>
    </x:row>
    <x:row r="2508" ht="16" customHeight="1">
      <x:c r="A2508" s="1"/>
      <x:c r="B2508" s="1"/>
      <x:c r="C2508" s="1" t="str">
        <x:v>DOT-069</x:v>
      </x:c>
      <x:c r="D2508" s="10" t="str">
        <x:v>S’otality cleaning</x:v>
      </x:c>
      <x:c r="E2508" s="10" t="n">
        <x:v>20</x:v>
      </x:c>
      <x:c r="F2508" s="21" t="n">
        <x:f>F2380*(1+'Assumptions'!$M$98)</x:f>
        <x:v>36.496321514322894</x:v>
      </x:c>
      <x:c r="G2508" s="21" t="n">
        <x:f>H2380*'Assumptions'!$K$98</x:f>
        <x:v>50.922631276893945</x:v>
      </x:c>
      <x:c r="H2508" s="21" t="n">
        <x:f>IF(AND(COUNT('Assumptions'!$H$98,'Assumptions'!$I$98,'Assumptions'!$J$98,'Assumptions'!$K$98,'Assumptions'!$L$98,'Assumptions'!$M$98,'Assumptions'!$P$98,'Assumptions'!$Q$98,'Assumptions'!$R$98,'Assumptions'!$S$98,'Assumptions'!$T$98,'Assumptions'!$U$98,'Assumptions'!$V$98,'Assumptions'!$W$98,'Assumptions'!$X$98,'Assumptions'!$Y$98,'Assumptions'!$Z$98,'Assumptions'!$AA$98,'Assumptions'!$AD$98,'Assumptions'!$AE$98,'Assumptions'!$AF$98)=21,COUNT('Assumptions'!$D$8:$D$21)=14,'Assumptions'!$J$98&gt;=1,'Assumptions'!$J$98&lt;=12,'Assumptions'!$D$8&gt;=0,'Assumptions'!$D$15&gt;0),F2508+G2508,NA())</x:f>
        <x:v>87.41895279121684</x:v>
      </x:c>
      <x:c r="I2508" s="22" t="n">
        <x:f>'Assumptions'!$H$98*IF('Assumptions'!$O$98=1,1,'Assumptions'!$D$10)*(1+'Assumptions'!$N$98)^(20-1)</x:f>
        <x:v>435.58654058581186</x:v>
      </x:c>
      <x:c r="J2508" s="10" t="n">
        <x:f>H2508*I2508</x:f>
        <x:v>38078.51922796055</x:v>
      </x:c>
      <x:c r="K2508" s="10" t="n">
        <x:f>J2508*'Assumptions'!$T$98</x:f>
        <x:v>38078.51922796055</x:v>
      </x:c>
      <x:c r="L2508" s="10" t="n">
        <x:f>K2508*'Assumptions'!$U$98</x:f>
        <x:v>1142.3555768388164</x:v>
      </x:c>
      <x:c r="M2508" s="10" t="n">
        <x:f>K2508*'Assumptions'!$V$98</x:f>
        <x:v>0</x:v>
      </x:c>
      <x:c r="N2508" s="10" t="n">
        <x:f>K2508-L2508-M2508</x:f>
        <x:v>36936.16365112173</x:v>
      </x:c>
      <x:c r="O2508" s="10" t="n">
        <x:f>H2508*'Assumptions'!$P$98*'Assumptions'!$Q$98*'Assumptions'!$D$11*(1+'Assumptions'!$D$13)^(20-1)</x:f>
        <x:v>536.5138200557104</x:v>
      </x:c>
      <x:c r="P2508" s="10" t="n">
        <x:f>H2508*'Assumptions'!$R$98*'Assumptions'!$D$11*(1+'Assumptions'!$D$13)^(20-1)</x:f>
        <x:v>1226.3173029844809</x:v>
      </x:c>
      <x:c r="Q2508" s="10" t="n">
        <x:f>J2508*'Assumptions'!$S$98</x:f>
        <x:v>24751.037498174355</x:v>
      </x:c>
      <x:c r="R2508" s="10" t="n">
        <x:f>H2508*'Assumptions'!$Y$98*'Assumptions'!$Z$98*'Assumptions'!$D$11*(1+'Assumptions'!$D$13)^(20-1)</x:f>
        <x:v>919.7379772383607</x:v>
      </x:c>
      <x:c r="S2508" s="10" t="n">
        <x:f>IF(I2508=0,0,J2508*'Assumptions'!$W$98+H2508*'Assumptions'!$X$98)</x:f>
        <x:v>1130.502743448221</x:v>
      </x:c>
      <x:c r="T2508" s="10" t="n">
        <x:f>N2508*'Assumptions'!$AA$98</x:f>
        <x:v>1477.4465460448691</x:v>
      </x:c>
      <x:c r="U2508" s="10" t="n">
        <x:f>'Assumptions'!$AE$98*'Assumptions'!$D$11*(1+'Assumptions'!$D$13)^(20-1)</x:f>
        <x:v>0</x:v>
      </x:c>
      <x:c r="V2508" s="10" t="n">
        <x:f>0</x:f>
        <x:v>0</x:v>
      </x:c>
      <x:c r="W2508" s="10" t="n">
        <x:f>H2508*('Assumptions'!$P$98+'Assumptions'!$Y$98)</x:f>
        <x:v>26.225685837365056</x:v>
      </x:c>
      <x:c r="X2508" s="10" t="n">
        <x:f>N2508/12*'Assumptions'!$AF$98</x:f>
        <x:v>0</x:v>
      </x:c>
      <x:c r="Y2508" s="10" t="n">
        <x:f>P2508/12</x:f>
        <x:v>102.19310858204007</x:v>
      </x:c>
      <x:c r="Z2508" s="10" t="n">
        <x:f>0</x:f>
        <x:v>0</x:v>
      </x:c>
      <x:c r="AA2508" s="10" t="n">
        <x:f>Z2508*'Assumptions'!$AC$98*'Assumptions'!$D$11*(1+'Assumptions'!$D$13)^(20-1)</x:f>
        <x:v>0</x:v>
      </x:c>
      <x:c r="AB2508" s="10" t="n">
        <x:f>F2508/1</x:f>
        <x:v>36.496321514322894</x:v>
      </x:c>
      <x:c r="AC2508" s="10" t="n">
        <x:f>AB2508/'Assumptions'!$AM$98</x:f>
        <x:v>243.30881009548597</x:v>
      </x:c>
      <x:c r="AD2508" s="10" t="n">
        <x:f>IF(AB2508=0,0,T2508/AB2508)</x:f>
        <x:v>40.48206736300941</x:v>
      </x:c>
      <x:c r="AE2508" s="10" t="n">
        <x:f>AA2508*'Assumptions'!$D$21</x:f>
        <x:v>0</x:v>
      </x:c>
    </x:row>
    <x:row r="2509" ht="16" customHeight="1">
      <x:c r="A2509" s="1"/>
      <x:c r="B2509" s="1"/>
      <x:c r="C2509" s="1" t="str">
        <x:v>DOT-070</x:v>
      </x:c>
      <x:c r="D2509" s="10" t="str">
        <x:v>S’otality laundry</x:v>
      </x:c>
      <x:c r="E2509" s="10" t="n">
        <x:v>20</x:v>
      </x:c>
      <x:c r="F2509" s="21" t="n">
        <x:f>F2381*(1+'Assumptions'!$M$99)</x:f>
        <x:v>328.4668936289059</x:v>
      </x:c>
      <x:c r="G2509" s="21" t="n">
        <x:f>H2381*'Assumptions'!$K$99</x:f>
        <x:v>458.30368149204526</x:v>
      </x:c>
      <x:c r="H2509" s="21" t="n">
        <x:f>IF(AND(COUNT('Assumptions'!$H$99,'Assumptions'!$I$99,'Assumptions'!$J$99,'Assumptions'!$K$99,'Assumptions'!$L$99,'Assumptions'!$M$99,'Assumptions'!$P$99,'Assumptions'!$Q$99,'Assumptions'!$R$99,'Assumptions'!$S$99,'Assumptions'!$T$99,'Assumptions'!$U$99,'Assumptions'!$V$99,'Assumptions'!$W$99,'Assumptions'!$X$99,'Assumptions'!$Y$99,'Assumptions'!$Z$99,'Assumptions'!$AA$99,'Assumptions'!$AD$99,'Assumptions'!$AE$99,'Assumptions'!$AF$99)=21,COUNT('Assumptions'!$D$8:$D$21)=14,'Assumptions'!$J$99&gt;=1,'Assumptions'!$J$99&lt;=12,'Assumptions'!$D$8&gt;=0,'Assumptions'!$D$15&gt;0),F2509+G2509,NA())</x:f>
        <x:v>786.7705751209512</x:v>
      </x:c>
      <x:c r="I2509" s="22" t="n">
        <x:f>'Assumptions'!$H$99*IF('Assumptions'!$O$99=1,1,'Assumptions'!$D$10)*(1+'Assumptions'!$N$99)^(20-1)</x:f>
        <x:v>87.40867035166792</x:v>
      </x:c>
      <x:c r="J2509" s="10" t="n">
        <x:f>H2509*I2509</x:f>
        <x:v>68770.56984313941</x:v>
      </x:c>
      <x:c r="K2509" s="10" t="n">
        <x:f>J2509*'Assumptions'!$T$99</x:f>
        <x:v>68770.56984313941</x:v>
      </x:c>
      <x:c r="L2509" s="10" t="n">
        <x:f>K2509*'Assumptions'!$U$99</x:f>
        <x:v>2063.1170952941825</x:v>
      </x:c>
      <x:c r="M2509" s="10" t="n">
        <x:f>K2509*'Assumptions'!$V$99</x:f>
        <x:v>0</x:v>
      </x:c>
      <x:c r="N2509" s="10" t="n">
        <x:f>K2509-L2509-M2509</x:f>
        <x:v>66707.45274784524</x:v>
      </x:c>
      <x:c r="O2509" s="10" t="n">
        <x:f>H2509*'Assumptions'!$P$99*'Assumptions'!$Q$99*'Assumptions'!$D$11*(1+'Assumptions'!$D$13)^(20-1)</x:f>
        <x:v>4828.624380501392</x:v>
      </x:c>
      <x:c r="P2509" s="10" t="n">
        <x:f>H2509*'Assumptions'!$R$99*'Assumptions'!$D$11*(1+'Assumptions'!$D$13)^(20-1)</x:f>
        <x:v>0</x:v>
      </x:c>
      <x:c r="Q2509" s="10" t="n">
        <x:f>J2509*'Assumptions'!$S$99</x:f>
        <x:v>44700.87039804062</x:v>
      </x:c>
      <x:c r="R2509" s="10" t="n">
        <x:f>H2509*'Assumptions'!$Y$99*'Assumptions'!$Z$99*'Assumptions'!$D$11*(1+'Assumptions'!$D$13)^(20-1)</x:f>
        <x:v>8277.641795145244</x:v>
      </x:c>
      <x:c r="S2509" s="10" t="n">
        <x:f>IF(I2509=0,0,J2509*'Assumptions'!$W$99+H2509*'Assumptions'!$X$99)</x:f>
        <x:v>2230.3776979873282</x:v>
      </x:c>
      <x:c r="T2509" s="10" t="n">
        <x:f>N2509*'Assumptions'!$AA$99</x:f>
        <x:v>2668.2981099138096</x:v>
      </x:c>
      <x:c r="U2509" s="10" t="n">
        <x:f>'Assumptions'!$AE$99*'Assumptions'!$D$11*(1+'Assumptions'!$D$13)^(20-1)</x:f>
        <x:v>0</x:v>
      </x:c>
      <x:c r="V2509" s="10" t="n">
        <x:f>0</x:f>
        <x:v>0</x:v>
      </x:c>
      <x:c r="W2509" s="10" t="n">
        <x:f>H2509*('Assumptions'!$P$99+'Assumptions'!$Y$99)</x:f>
        <x:v>236.0311725362854</x:v>
      </x:c>
      <x:c r="X2509" s="10" t="n">
        <x:f>N2509/12*'Assumptions'!$AF$99</x:f>
        <x:v>0</x:v>
      </x:c>
      <x:c r="Y2509" s="10" t="n">
        <x:f>P2509/12</x:f>
        <x:v>0</x:v>
      </x:c>
      <x:c r="Z2509" s="10" t="n">
        <x:f>0</x:f>
        <x:v>0</x:v>
      </x:c>
      <x:c r="AA2509" s="10" t="n">
        <x:f>Z2509*'Assumptions'!$AC$99*'Assumptions'!$D$11*(1+'Assumptions'!$D$13)^(20-1)</x:f>
        <x:v>0</x:v>
      </x:c>
      <x:c r="AB2509" s="10" t="n">
        <x:f>F2509/1</x:f>
        <x:v>328.4668936289059</x:v>
      </x:c>
      <x:c r="AC2509" s="10" t="n">
        <x:f>AB2509/'Assumptions'!$AM$99</x:f>
        <x:v>2189.779290859373</x:v>
      </x:c>
      <x:c r="AD2509" s="10" t="n">
        <x:f>IF(AB2509=0,0,T2509/AB2509)</x:f>
        <x:v>8.123491778530319</x:v>
      </x:c>
      <x:c r="AE2509" s="10" t="n">
        <x:f>AA2509*'Assumptions'!$D$21</x:f>
        <x:v>0</x:v>
      </x:c>
    </x:row>
    <x:row r="2510" ht="16" customHeight="1">
      <x:c r="A2510" s="1"/>
      <x:c r="B2510" s="1"/>
      <x:c r="C2510" s="1" t="str">
        <x:v>DOT-071</x:v>
      </x:c>
      <x:c r="D2510" s="10" t="str">
        <x:v>S’otality Personal Chef</x:v>
      </x:c>
      <x:c r="E2510" s="10" t="n">
        <x:v>20</x:v>
      </x:c>
      <x:c r="F2510" s="21" t="n">
        <x:f>F2382*(1+'Assumptions'!$M$100)</x:f>
        <x:v>54.74448227148435</x:v>
      </x:c>
      <x:c r="G2510" s="21" t="n">
        <x:f>H2382*'Assumptions'!$K$100</x:f>
        <x:v>76.3830328757309</x:v>
      </x:c>
      <x:c r="H2510" s="21" t="n">
        <x:f>IF(AND(COUNT('Assumptions'!$H$100,'Assumptions'!$I$100,'Assumptions'!$J$100,'Assumptions'!$K$100,'Assumptions'!$L$100,'Assumptions'!$M$100,'Assumptions'!$P$100,'Assumptions'!$Q$100,'Assumptions'!$R$100,'Assumptions'!$S$100,'Assumptions'!$T$100,'Assumptions'!$U$100,'Assumptions'!$V$100,'Assumptions'!$W$100,'Assumptions'!$X$100,'Assumptions'!$Y$100,'Assumptions'!$Z$100,'Assumptions'!$AA$100,'Assumptions'!$AD$100,'Assumptions'!$AE$100,'Assumptions'!$AF$100)=21,COUNT('Assumptions'!$D$8:$D$21)=14,'Assumptions'!$J$100&gt;=1,'Assumptions'!$J$100&lt;=12,'Assumptions'!$D$8&gt;=0,'Assumptions'!$D$15&gt;0),F2510+G2510,NA())</x:f>
        <x:v>131.12751514721526</x:v>
      </x:c>
      <x:c r="I2510" s="22" t="n">
        <x:f>'Assumptions'!$H$100*IF('Assumptions'!$O$100=1,1,'Assumptions'!$D$10)*(1+'Assumptions'!$N$100)^(20-1)</x:f>
        <x:v>946.9272621430692</x:v>
      </x:c>
      <x:c r="J2510" s="10" t="n">
        <x:f>H2510*I2510</x:f>
        <x:v>124168.2189099764</x:v>
      </x:c>
      <x:c r="K2510" s="10" t="n">
        <x:f>J2510*'Assumptions'!$T$100</x:f>
        <x:v>124168.2189099764</x:v>
      </x:c>
      <x:c r="L2510" s="10" t="n">
        <x:f>K2510*'Assumptions'!$U$100</x:f>
        <x:v>3725.046567299292</x:v>
      </x:c>
      <x:c r="M2510" s="10" t="n">
        <x:f>K2510*'Assumptions'!$V$100</x:f>
        <x:v>0</x:v>
      </x:c>
      <x:c r="N2510" s="10" t="n">
        <x:f>K2510-L2510-M2510</x:f>
        <x:v>120443.1723426771</x:v>
      </x:c>
      <x:c r="O2510" s="10" t="n">
        <x:f>H2510*'Assumptions'!$P$100*'Assumptions'!$Q$100*'Assumptions'!$D$11*(1+'Assumptions'!$D$13)^(20-1)</x:f>
        <x:v>4598.657830712026</x:v>
      </x:c>
      <x:c r="P2510" s="10" t="n">
        <x:f>H2510*'Assumptions'!$R$100*'Assumptions'!$D$11*(1+'Assumptions'!$D$13)^(20-1)</x:f>
        <x:v>22993.28915356013</x:v>
      </x:c>
      <x:c r="Q2510" s="10" t="n">
        <x:f>J2510*'Assumptions'!$S$100</x:f>
        <x:v>62084.1094549882</x:v>
      </x:c>
      <x:c r="R2510" s="10" t="n">
        <x:f>H2510*'Assumptions'!$Y$100*'Assumptions'!$Z$100*'Assumptions'!$D$11*(1+'Assumptions'!$D$13)^(20-1)</x:f>
        <x:v>1379.5973492136077</x:v>
      </x:c>
      <x:c r="S2510" s="10" t="n">
        <x:f>IF(I2510=0,0,J2510*'Assumptions'!$W$100+H2510*'Assumptions'!$X$100)</x:f>
        <x:v>3640.2166029334803</x:v>
      </x:c>
      <x:c r="T2510" s="10" t="n">
        <x:f>N2510*'Assumptions'!$AA$100</x:f>
        <x:v>4817.726893707084</x:v>
      </x:c>
      <x:c r="U2510" s="10" t="n">
        <x:f>'Assumptions'!$AE$100*'Assumptions'!$D$11*(1+'Assumptions'!$D$13)^(20-1)</x:f>
        <x:v>0</x:v>
      </x:c>
      <x:c r="V2510" s="10" t="n">
        <x:f>0</x:f>
        <x:v>0</x:v>
      </x:c>
      <x:c r="W2510" s="10" t="n">
        <x:f>H2510*('Assumptions'!$P$100+'Assumptions'!$Y$100)</x:f>
        <x:v>91.78926060305068</x:v>
      </x:c>
      <x:c r="X2510" s="10" t="n">
        <x:f>N2510/12*'Assumptions'!$AF$100</x:f>
        <x:v>0</x:v>
      </x:c>
      <x:c r="Y2510" s="10" t="n">
        <x:f>P2510/12</x:f>
        <x:v>1916.1074294633443</x:v>
      </x:c>
      <x:c r="Z2510" s="10" t="n">
        <x:f>0</x:f>
        <x:v>0</x:v>
      </x:c>
      <x:c r="AA2510" s="10" t="n">
        <x:f>Z2510*'Assumptions'!$AC$100*'Assumptions'!$D$11*(1+'Assumptions'!$D$13)^(20-1)</x:f>
        <x:v>0</x:v>
      </x:c>
      <x:c r="AB2510" s="10" t="n">
        <x:f>F2510/1</x:f>
        <x:v>54.74448227148435</x:v>
      </x:c>
      <x:c r="AC2510" s="10" t="n">
        <x:f>AB2510/'Assumptions'!$AM$100</x:f>
        <x:v>364.96321514322904</x:v>
      </x:c>
      <x:c r="AD2510" s="10" t="n">
        <x:f>IF(AB2510=0,0,T2510/AB2510)</x:f>
        <x:v>88.00388082611518</x:v>
      </x:c>
      <x:c r="AE2510" s="10" t="n">
        <x:f>AA2510*'Assumptions'!$D$21</x:f>
        <x:v>0</x:v>
      </x:c>
    </x:row>
    <x:row r="2511" ht="16" customHeight="1">
      <x:c r="A2511" s="1"/>
      <x:c r="B2511" s="1"/>
      <x:c r="C2511" s="1" t="str">
        <x:v>DOT-072</x:v>
      </x:c>
      <x:c r="D2511" s="10" t="str">
        <x:v>S’otality interiors</x:v>
      </x:c>
      <x:c r="E2511" s="10" t="n">
        <x:v>20</x:v>
      </x:c>
      <x:c r="F2511" s="21" t="n">
        <x:f>F2383*(1+'Assumptions'!$M$101)</x:f>
        <x:v>20.52918085180662</x:v>
      </x:c>
      <x:c r="G2511" s="21" t="n">
        <x:f>H2383*'Assumptions'!$K$101</x:f>
        <x:v>19.367101765672196</x:v>
      </x:c>
      <x:c r="H2511" s="21" t="n">
        <x:f>IF(AND(COUNT('Assumptions'!$H$101,'Assumptions'!$I$101,'Assumptions'!$J$101,'Assumptions'!$K$101,'Assumptions'!$L$101,'Assumptions'!$M$101,'Assumptions'!$P$101,'Assumptions'!$Q$101,'Assumptions'!$R$101,'Assumptions'!$S$101,'Assumptions'!$T$101,'Assumptions'!$U$101,'Assumptions'!$V$101,'Assumptions'!$W$101,'Assumptions'!$X$101,'Assumptions'!$Y$101,'Assumptions'!$Z$101,'Assumptions'!$AA$101,'Assumptions'!$AD$101,'Assumptions'!$AE$101,'Assumptions'!$AF$101)=21,COUNT('Assumptions'!$D$8:$D$21)=14,'Assumptions'!$J$101&gt;=1,'Assumptions'!$J$101&lt;=12,'Assumptions'!$D$8&gt;=0,'Assumptions'!$D$15&gt;0),F2511+G2511,NA())</x:f>
        <x:v>39.89628261747882</x:v>
      </x:c>
      <x:c r="I2511" s="22" t="n">
        <x:f>'Assumptions'!$H$101*IF('Assumptions'!$O$101=1,1,'Assumptions'!$D$10)*(1+'Assumptions'!$N$101)^(20-1)</x:f>
        <x:v>2185.2167587916983</x:v>
      </x:c>
      <x:c r="J2511" s="10" t="n">
        <x:f>H2511*I2511</x:f>
        <x:v>87182.02538920463</x:v>
      </x:c>
      <x:c r="K2511" s="10" t="n">
        <x:f>J2511*'Assumptions'!$T$101</x:f>
        <x:v>87182.02538920463</x:v>
      </x:c>
      <x:c r="L2511" s="10" t="n">
        <x:f>K2511*'Assumptions'!$U$101</x:f>
        <x:v>2615.4607616761386</x:v>
      </x:c>
      <x:c r="M2511" s="10" t="n">
        <x:f>K2511*'Assumptions'!$V$101</x:f>
        <x:v>0</x:v>
      </x:c>
      <x:c r="N2511" s="10" t="n">
        <x:f>K2511-L2511-M2511</x:f>
        <x:v>84566.5646275285</x:v>
      </x:c>
      <x:c r="O2511" s="10" t="n">
        <x:f>H2511*'Assumptions'!$P$101*'Assumptions'!$Q$101*'Assumptions'!$D$11*(1+'Assumptions'!$D$13)^(20-1)</x:f>
        <x:v>38477.105185763125</x:v>
      </x:c>
      <x:c r="P2511" s="10" t="n">
        <x:f>H2511*'Assumptions'!$R$101*'Assumptions'!$D$11*(1+'Assumptions'!$D$13)^(20-1)</x:f>
        <x:v>3497.918653251193</x:v>
      </x:c>
      <x:c r="Q2511" s="10" t="n">
        <x:f>J2511*'Assumptions'!$S$101</x:f>
        <x:v>0</x:v>
      </x:c>
      <x:c r="R2511" s="10" t="n">
        <x:f>H2511*'Assumptions'!$Y$101*'Assumptions'!$Z$101*'Assumptions'!$D$11*(1+'Assumptions'!$D$13)^(20-1)</x:f>
        <x:v>524.6877979876789</x:v>
      </x:c>
      <x:c r="S2511" s="10" t="n">
        <x:f>IF(I2511=0,0,J2511*'Assumptions'!$W$101+H2511*'Assumptions'!$X$101)</x:f>
        <x:v>2540.247621072178</x:v>
      </x:c>
      <x:c r="T2511" s="10" t="n">
        <x:f>N2511*'Assumptions'!$AA$101</x:f>
        <x:v>3382.66258510114</x:v>
      </x:c>
      <x:c r="U2511" s="10" t="n">
        <x:f>'Assumptions'!$AE$101*'Assumptions'!$D$11*(1+'Assumptions'!$D$13)^(20-1)</x:f>
        <x:v>0</x:v>
      </x:c>
      <x:c r="V2511" s="10" t="n">
        <x:f>0</x:f>
        <x:v>0</x:v>
      </x:c>
      <x:c r="W2511" s="10" t="n">
        <x:f>H2511*('Assumptions'!$P$101+'Assumptions'!$Y$101)</x:f>
        <x:v>408.9368968291579</x:v>
      </x:c>
      <x:c r="X2511" s="10" t="n">
        <x:f>N2511/12*'Assumptions'!$AF$101</x:f>
        <x:v>7047.213718960708</x:v>
      </x:c>
      <x:c r="Y2511" s="10" t="n">
        <x:f>P2511/12</x:f>
        <x:v>291.49322110426607</x:v>
      </x:c>
      <x:c r="Z2511" s="10" t="n">
        <x:f>0</x:f>
        <x:v>0</x:v>
      </x:c>
      <x:c r="AA2511" s="10" t="n">
        <x:f>Z2511*'Assumptions'!$AC$101*'Assumptions'!$D$11*(1+'Assumptions'!$D$13)^(20-1)</x:f>
        <x:v>0</x:v>
      </x:c>
      <x:c r="AB2511" s="10" t="n">
        <x:f>F2511/1</x:f>
        <x:v>20.52918085180662</x:v>
      </x:c>
      <x:c r="AC2511" s="10" t="n">
        <x:f>AB2511/'Assumptions'!$AM$101</x:f>
        <x:v>102.64590425903309</x:v>
      </x:c>
      <x:c r="AD2511" s="10" t="n">
        <x:f>IF(AB2511=0,0,T2511/AB2511)</x:f>
        <x:v>164.773383288864</x:v>
      </x:c>
      <x:c r="AE2511" s="10" t="n">
        <x:f>AA2511*'Assumptions'!$D$21</x:f>
        <x:v>0</x:v>
      </x:c>
    </x:row>
    <x:row r="2512" ht="16" customHeight="1">
      <x:c r="A2512" s="1"/>
      <x:c r="B2512" s="1"/>
      <x:c r="C2512" s="1" t="str">
        <x:v>DOT-073</x:v>
      </x:c>
      <x:c r="D2512" s="10" t="str">
        <x:v>S’otality interiors</x:v>
      </x:c>
      <x:c r="E2512" s="10" t="n">
        <x:v>20</x:v>
      </x:c>
      <x:c r="F2512" s="21" t="n">
        <x:f>F2384*(1+'Assumptions'!$M$102)</x:f>
        <x:v>54.74448227148435</x:v>
      </x:c>
      <x:c r="G2512" s="21" t="n">
        <x:f>H2384*'Assumptions'!$K$102</x:f>
        <x:v>76.38394691534091</x:v>
      </x:c>
      <x:c r="H2512" s="21" t="n">
        <x:f>IF(AND(COUNT('Assumptions'!$H$102,'Assumptions'!$I$102,'Assumptions'!$J$102,'Assumptions'!$K$102,'Assumptions'!$L$102,'Assumptions'!$M$102,'Assumptions'!$P$102,'Assumptions'!$Q$102,'Assumptions'!$R$102,'Assumptions'!$S$102,'Assumptions'!$T$102,'Assumptions'!$U$102,'Assumptions'!$V$102,'Assumptions'!$W$102,'Assumptions'!$X$102,'Assumptions'!$Y$102,'Assumptions'!$Z$102,'Assumptions'!$AA$102,'Assumptions'!$AD$102,'Assumptions'!$AE$102,'Assumptions'!$AF$102)=21,COUNT('Assumptions'!$D$8:$D$21)=14,'Assumptions'!$J$102&gt;=1,'Assumptions'!$J$102&lt;=12,'Assumptions'!$D$8&gt;=0,'Assumptions'!$D$15&gt;0),F2512+G2512,NA())</x:f>
        <x:v>131.12842918682526</x:v>
      </x:c>
      <x:c r="I2512" s="22" t="n">
        <x:f>'Assumptions'!$H$102*IF('Assumptions'!$O$102=1,1,'Assumptions'!$D$10)*(1+'Assumptions'!$N$102)^(20-1)</x:f>
        <x:v>437.0433517583396</x:v>
      </x:c>
      <x:c r="J2512" s="10" t="n">
        <x:f>H2512*I2512</x:f>
        <x:v>57308.8082026162</x:v>
      </x:c>
      <x:c r="K2512" s="10" t="n">
        <x:f>J2512*'Assumptions'!$T$102</x:f>
        <x:v>57308.8082026162</x:v>
      </x:c>
      <x:c r="L2512" s="10" t="n">
        <x:f>K2512*'Assumptions'!$U$102</x:f>
        <x:v>1719.264246078486</x:v>
      </x:c>
      <x:c r="M2512" s="10" t="n">
        <x:f>K2512*'Assumptions'!$V$102</x:f>
        <x:v>0</x:v>
      </x:c>
      <x:c r="N2512" s="10" t="n">
        <x:f>K2512-L2512-M2512</x:f>
        <x:v>55589.54395653772</x:v>
      </x:c>
      <x:c r="O2512" s="10" t="n">
        <x:f>H2512*'Assumptions'!$P$102*'Assumptions'!$Q$102*'Assumptions'!$D$11*(1+'Assumptions'!$D$13)^(20-1)</x:f>
        <x:v>2011.9268252089141</x:v>
      </x:c>
      <x:c r="P2512" s="10" t="n">
        <x:f>H2512*'Assumptions'!$R$102*'Assumptions'!$D$11*(1+'Assumptions'!$D$13)^(20-1)</x:f>
        <x:v>0</x:v>
      </x:c>
      <x:c r="Q2512" s="10" t="n">
        <x:f>J2512*'Assumptions'!$S$102</x:f>
        <x:v>34385.28492156972</x:v>
      </x:c>
      <x:c r="R2512" s="10" t="n">
        <x:f>H2512*'Assumptions'!$Y$102*'Assumptions'!$Z$102*'Assumptions'!$D$11*(1+'Assumptions'!$D$13)^(20-1)</x:f>
        <x:v>1379.6069658575411</x:v>
      </x:c>
      <x:c r="S2512" s="10" t="n">
        <x:f>IF(I2512=0,0,J2512*'Assumptions'!$W$102+H2512*'Assumptions'!$X$102)</x:f>
        <x:v>1701.2939666319173</x:v>
      </x:c>
      <x:c r="T2512" s="10" t="n">
        <x:f>N2512*'Assumptions'!$AA$102</x:f>
        <x:v>2223.5817582615086</x:v>
      </x:c>
      <x:c r="U2512" s="10" t="n">
        <x:f>'Assumptions'!$AE$102*'Assumptions'!$D$11*(1+'Assumptions'!$D$13)^(20-1)</x:f>
        <x:v>0</x:v>
      </x:c>
      <x:c r="V2512" s="10" t="n">
        <x:f>0</x:f>
        <x:v>0</x:v>
      </x:c>
      <x:c r="W2512" s="10" t="n">
        <x:f>H2512*('Assumptions'!$P$102+'Assumptions'!$Y$102)</x:f>
        <x:v>59.00779313407137</x:v>
      </x:c>
      <x:c r="X2512" s="10" t="n">
        <x:f>N2512/12*'Assumptions'!$AF$102</x:f>
        <x:v>0</x:v>
      </x:c>
      <x:c r="Y2512" s="10" t="n">
        <x:f>P2512/12</x:f>
        <x:v>0</x:v>
      </x:c>
      <x:c r="Z2512" s="10" t="n">
        <x:f>0</x:f>
        <x:v>0</x:v>
      </x:c>
      <x:c r="AA2512" s="10" t="n">
        <x:f>Z2512*'Assumptions'!$AC$102*'Assumptions'!$D$11*(1+'Assumptions'!$D$13)^(20-1)</x:f>
        <x:v>0</x:v>
      </x:c>
      <x:c r="AB2512" s="10" t="n">
        <x:f>F2512/1</x:f>
        <x:v>54.74448227148435</x:v>
      </x:c>
      <x:c r="AC2512" s="10" t="n">
        <x:f>AB2512/'Assumptions'!$AM$102</x:f>
        <x:v>364.96321514322904</x:v>
      </x:c>
      <x:c r="AD2512" s="10" t="n">
        <x:f>IF(AB2512=0,0,T2512/AB2512)</x:f>
        <x:v>40.61745889265158</x:v>
      </x:c>
      <x:c r="AE2512" s="10" t="n">
        <x:f>AA2512*'Assumptions'!$D$21</x:f>
        <x:v>0</x:v>
      </x:c>
    </x:row>
    <x:row r="2513" ht="16" customHeight="1">
      <x:c r="A2513" s="1"/>
      <x:c r="B2513" s="1"/>
      <x:c r="C2513" s="1" t="str">
        <x:v>DOT-074</x:v>
      </x:c>
      <x:c r="D2513" s="10" t="str">
        <x:v>S’otality interiors</x:v>
      </x:c>
      <x:c r="E2513" s="10" t="n">
        <x:v>20</x:v>
      </x:c>
      <x:c r="F2513" s="21" t="n">
        <x:f>F2385*(1+'Assumptions'!$M$103)</x:f>
        <x:v>23.260328892456098</x:v>
      </x:c>
      <x:c r="G2513" s="21" t="n">
        <x:f>H2385*'Assumptions'!$K$103</x:f>
        <x:v>49.28979228074756</x:v>
      </x:c>
      <x:c r="H2513" s="21" t="n">
        <x:f>IF(AND(COUNT('Assumptions'!$H$103,'Assumptions'!$I$103,'Assumptions'!$J$103,'Assumptions'!$K$103,'Assumptions'!$L$103,'Assumptions'!$M$103,'Assumptions'!$P$103,'Assumptions'!$Q$103,'Assumptions'!$R$103,'Assumptions'!$S$103,'Assumptions'!$T$103,'Assumptions'!$U$103,'Assumptions'!$V$103,'Assumptions'!$W$103,'Assumptions'!$X$103,'Assumptions'!$Y$103,'Assumptions'!$Z$103,'Assumptions'!$AA$103,'Assumptions'!$AD$103,'Assumptions'!$AE$103,'Assumptions'!$AF$103)=21,COUNT('Assumptions'!$D$8:$D$21)=14,'Assumptions'!$J$103&gt;=1,'Assumptions'!$J$103&lt;=12,'Assumptions'!$D$8&gt;=0,'Assumptions'!$D$15&gt;0),F2513+G2513,NA())</x:f>
        <x:v>72.55012117320366</x:v>
      </x:c>
      <x:c r="I2513" s="22" t="n">
        <x:f>'Assumptions'!$H$103*IF('Assumptions'!$O$103=1,1,'Assumptions'!$D$10)*(1+'Assumptions'!$N$103)^(20-1)</x:f>
        <x:v>2185.2167587916983</x:v>
      </x:c>
      <x:c r="J2513" s="10" t="n">
        <x:f>H2513*I2513</x:f>
        <x:v>158537.7406400531</x:v>
      </x:c>
      <x:c r="K2513" s="10" t="n">
        <x:f>J2513*'Assumptions'!$T$103</x:f>
        <x:v>15853.774064005309</x:v>
      </x:c>
      <x:c r="L2513" s="10" t="n">
        <x:f>K2513*'Assumptions'!$U$103</x:f>
        <x:v>475.6132219201593</x:v>
      </x:c>
      <x:c r="M2513" s="10" t="n">
        <x:f>K2513*'Assumptions'!$V$103</x:f>
        <x:v>0</x:v>
      </x:c>
      <x:c r="N2513" s="10" t="n">
        <x:f>K2513-L2513-M2513</x:f>
        <x:v>15378.16084208515</x:v>
      </x:c>
      <x:c r="O2513" s="10" t="n">
        <x:f>H2513*'Assumptions'!$P$103*'Assumptions'!$Q$103*'Assumptions'!$D$11*(1+'Assumptions'!$D$13)^(20-1)</x:f>
        <x:v>5088.683065147592</x:v>
      </x:c>
      <x:c r="P2513" s="10" t="n">
        <x:f>H2513*'Assumptions'!$R$103*'Assumptions'!$D$11*(1+'Assumptions'!$D$13)^(20-1)</x:f>
        <x:v>0</x:v>
      </x:c>
      <x:c r="Q2513" s="10" t="n">
        <x:f>J2513*'Assumptions'!$S$103</x:f>
        <x:v>0</x:v>
      </x:c>
      <x:c r="R2513" s="10" t="n">
        <x:f>H2513*'Assumptions'!$Y$103*'Assumptions'!$Z$103*'Assumptions'!$D$11*(1+'Assumptions'!$D$13)^(20-1)</x:f>
        <x:v>572.4768448291042</x:v>
      </x:c>
      <x:c r="S2513" s="10" t="n">
        <x:f>IF(I2513=0,0,J2513*'Assumptions'!$W$103+H2513*'Assumptions'!$X$103)</x:f>
        <x:v>4619.359514913502</x:v>
      </x:c>
      <x:c r="T2513" s="10" t="n">
        <x:f>N2513*'Assumptions'!$AA$103</x:f>
        <x:v>768.9080421042576</x:v>
      </x:c>
      <x:c r="U2513" s="10" t="n">
        <x:f>'Assumptions'!$AE$103*'Assumptions'!$D$11*(1+'Assumptions'!$D$13)^(20-1)</x:f>
        <x:v>0</x:v>
      </x:c>
      <x:c r="V2513" s="10" t="n">
        <x:f>0</x:f>
        <x:v>0</x:v>
      </x:c>
      <x:c r="W2513" s="10" t="n">
        <x:f>H2513*('Assumptions'!$P$103+'Assumptions'!$Y$103)</x:f>
        <x:v>83.4326393491842</x:v>
      </x:c>
      <x:c r="X2513" s="10" t="n">
        <x:f>N2513/12*'Assumptions'!$AF$103</x:f>
        <x:v>0</x:v>
      </x:c>
      <x:c r="Y2513" s="10" t="n">
        <x:f>P2513/12</x:f>
        <x:v>0</x:v>
      </x:c>
      <x:c r="Z2513" s="10" t="n">
        <x:f>0</x:f>
        <x:v>0</x:v>
      </x:c>
      <x:c r="AA2513" s="10" t="n">
        <x:f>Z2513*'Assumptions'!$AC$103*'Assumptions'!$D$11*(1+'Assumptions'!$D$13)^(20-1)</x:f>
        <x:v>0</x:v>
      </x:c>
      <x:c r="AB2513" s="10" t="n">
        <x:f>F2513/1</x:f>
        <x:v>23.260328892456098</x:v>
      </x:c>
      <x:c r="AC2513" s="10" t="n">
        <x:f>AB2513/'Assumptions'!$AM$103</x:f>
        <x:v>465.2065778491219</x:v>
      </x:c>
      <x:c r="AD2513" s="10" t="n">
        <x:f>IF(AB2513=0,0,T2513/AB2513)</x:f>
        <x:v>33.05662811817049</x:v>
      </x:c>
      <x:c r="AE2513" s="10" t="n">
        <x:f>AA2513*'Assumptions'!$D$21</x:f>
        <x:v>0</x:v>
      </x:c>
    </x:row>
    <x:row r="2514" ht="16" customHeight="1">
      <x:c r="A2514" s="1"/>
      <x:c r="B2514" s="1"/>
      <x:c r="C2514" s="1" t="str">
        <x:v>DOT-075</x:v>
      </x:c>
      <x:c r="D2514" s="10" t="str">
        <x:v>S’otality concierge</x:v>
      </x:c>
      <x:c r="E2514" s="10" t="n">
        <x:v>20</x:v>
      </x:c>
      <x:c r="F2514" s="21" t="n">
        <x:f>F2386*(1+'Assumptions'!$M$104)</x:f>
        <x:v>273.7224113574217</x:v>
      </x:c>
      <x:c r="G2514" s="21" t="n">
        <x:f>H2386*'Assumptions'!$K$104</x:f>
        <x:v>258.22802354229606</x:v>
      </x:c>
      <x:c r="H2514" s="21" t="n">
        <x:f>IF(AND(COUNT('Assumptions'!$H$104,'Assumptions'!$I$104,'Assumptions'!$J$104,'Assumptions'!$K$104,'Assumptions'!$L$104,'Assumptions'!$M$104,'Assumptions'!$P$104,'Assumptions'!$Q$104,'Assumptions'!$R$104,'Assumptions'!$S$104,'Assumptions'!$T$104,'Assumptions'!$U$104,'Assumptions'!$V$104,'Assumptions'!$W$104,'Assumptions'!$X$104,'Assumptions'!$Y$104,'Assumptions'!$Z$104,'Assumptions'!$AA$104,'Assumptions'!$AD$104,'Assumptions'!$AE$104,'Assumptions'!$AF$104)=21,COUNT('Assumptions'!$D$8:$D$21)=14,'Assumptions'!$J$104&gt;=1,'Assumptions'!$J$104&lt;=12,'Assumptions'!$D$8&gt;=0,'Assumptions'!$D$15&gt;0),F2514+G2514,NA())</x:f>
        <x:v>531.9504348997177</x:v>
      </x:c>
      <x:c r="I2514" s="22" t="n">
        <x:f>'Assumptions'!$H$104*IF('Assumptions'!$O$104=1,1,'Assumptions'!$D$10)*(1+'Assumptions'!$N$104)^(20-1)</x:f>
        <x:v>109.2608379395849</x:v>
      </x:c>
      <x:c r="J2514" s="10" t="n">
        <x:f>H2514*I2514</x:f>
        <x:v>58121.350259469764</x:v>
      </x:c>
      <x:c r="K2514" s="10" t="n">
        <x:f>J2514*'Assumptions'!$T$104</x:f>
        <x:v>58121.350259469764</x:v>
      </x:c>
      <x:c r="L2514" s="10" t="n">
        <x:f>K2514*'Assumptions'!$U$104</x:f>
        <x:v>1743.640507784093</x:v>
      </x:c>
      <x:c r="M2514" s="10" t="n">
        <x:f>K2514*'Assumptions'!$V$104</x:f>
        <x:v>0</x:v>
      </x:c>
      <x:c r="N2514" s="10" t="n">
        <x:f>K2514-L2514-M2514</x:f>
        <x:v>56377.709751685674</x:v>
      </x:c>
      <x:c r="O2514" s="10" t="n">
        <x:f>H2514*'Assumptions'!$P$104*'Assumptions'!$Q$104*'Assumptions'!$D$11*(1+'Assumptions'!$D$13)^(20-1)</x:f>
        <x:v>24485.430572758356</x:v>
      </x:c>
      <x:c r="P2514" s="10" t="n">
        <x:f>H2514*'Assumptions'!$R$104*'Assumptions'!$D$11*(1+'Assumptions'!$D$13)^(20-1)</x:f>
        <x:v>0</x:v>
      </x:c>
      <x:c r="Q2514" s="10" t="n">
        <x:f>J2514*'Assumptions'!$S$104</x:f>
        <x:v>0</x:v>
      </x:c>
      <x:c r="R2514" s="10" t="n">
        <x:f>H2514*'Assumptions'!$Y$104*'Assumptions'!$Z$104*'Assumptions'!$D$11*(1+'Assumptions'!$D$13)^(20-1)</x:f>
        <x:v>6995.837306502388</x:v>
      </x:c>
      <x:c r="S2514" s="10" t="n">
        <x:f>IF(I2514=0,0,J2514*'Assumptions'!$W$104+H2514*'Assumptions'!$X$104)</x:f>
        <x:v>1845.1042879945387</x:v>
      </x:c>
      <x:c r="T2514" s="10" t="n">
        <x:f>N2514*'Assumptions'!$AA$104</x:f>
        <x:v>2255.108390067427</x:v>
      </x:c>
      <x:c r="U2514" s="10" t="n">
        <x:f>'Assumptions'!$AE$104*'Assumptions'!$D$11*(1+'Assumptions'!$D$13)^(20-1)</x:f>
        <x:v>0</x:v>
      </x:c>
      <x:c r="V2514" s="10" t="n">
        <x:f>0</x:f>
        <x:v>0</x:v>
      </x:c>
      <x:c r="W2514" s="10" t="n">
        <x:f>H2514*('Assumptions'!$P$104+'Assumptions'!$Y$104)</x:f>
        <x:v>531.9504348997177</x:v>
      </x:c>
      <x:c r="X2514" s="10" t="n">
        <x:f>N2514/12*'Assumptions'!$AF$104</x:f>
        <x:v>4698.142479307139</x:v>
      </x:c>
      <x:c r="Y2514" s="10" t="n">
        <x:f>P2514/12</x:f>
        <x:v>0</x:v>
      </x:c>
      <x:c r="Z2514" s="10" t="n">
        <x:f>0</x:f>
        <x:v>0</x:v>
      </x:c>
      <x:c r="AA2514" s="10" t="n">
        <x:f>Z2514*'Assumptions'!$AC$104*'Assumptions'!$D$11*(1+'Assumptions'!$D$13)^(20-1)</x:f>
        <x:v>0</x:v>
      </x:c>
      <x:c r="AB2514" s="10" t="n">
        <x:f>F2514/1</x:f>
        <x:v>273.7224113574217</x:v>
      </x:c>
      <x:c r="AC2514" s="10" t="n">
        <x:f>AB2514/'Assumptions'!$AM$104</x:f>
        <x:v>1368.6120567871085</x:v>
      </x:c>
      <x:c r="AD2514" s="10" t="n">
        <x:f>IF(AB2514=0,0,T2514/AB2514)</x:f>
        <x:v>8.238669164443198</x:v>
      </x:c>
      <x:c r="AE2514" s="10" t="n">
        <x:f>AA2514*'Assumptions'!$D$21</x:f>
        <x:v>0</x:v>
      </x:c>
    </x:row>
    <x:row r="2515" ht="16" customHeight="1">
      <x:c r="A2515" s="1"/>
      <x:c r="B2515" s="1"/>
      <x:c r="C2515" s="1" t="str">
        <x:v>DOT-076</x:v>
      </x:c>
      <x:c r="D2515" s="10" t="str">
        <x:v>S’otality administration</x:v>
      </x:c>
      <x:c r="E2515" s="10" t="n">
        <x:v>20</x:v>
      </x:c>
      <x:c r="F2515" s="21" t="n">
        <x:f>F2387*(1+'Assumptions'!$M$105)</x:f>
        <x:v>547.4448227148434</x:v>
      </x:c>
      <x:c r="G2515" s="21" t="n">
        <x:f>H2387*'Assumptions'!$K$105</x:f>
        <x:v>516.4560470845921</x:v>
      </x:c>
      <x:c r="H2515" s="21" t="n">
        <x:f>IF(AND(COUNT('Assumptions'!$H$105,'Assumptions'!$I$105,'Assumptions'!$J$105,'Assumptions'!$K$105,'Assumptions'!$L$105,'Assumptions'!$M$105,'Assumptions'!$P$105,'Assumptions'!$Q$105,'Assumptions'!$R$105,'Assumptions'!$S$105,'Assumptions'!$T$105,'Assumptions'!$U$105,'Assumptions'!$V$105,'Assumptions'!$W$105,'Assumptions'!$X$105,'Assumptions'!$Y$105,'Assumptions'!$Z$105,'Assumptions'!$AA$105,'Assumptions'!$AD$105,'Assumptions'!$AE$105,'Assumptions'!$AF$105)=21,COUNT('Assumptions'!$D$8:$D$21)=14,'Assumptions'!$J$105&gt;=1,'Assumptions'!$J$105&lt;=12,'Assumptions'!$D$8&gt;=0,'Assumptions'!$D$15&gt;0),F2515+G2515,NA())</x:f>
        <x:v>1063.9008697994354</x:v>
      </x:c>
      <x:c r="I2515" s="22" t="n">
        <x:f>'Assumptions'!$H$105*IF('Assumptions'!$O$105=1,1,'Assumptions'!$D$10)*(1+'Assumptions'!$N$105)^(20-1)</x:f>
        <x:v>87.40867035166792</x:v>
      </x:c>
      <x:c r="J2515" s="10" t="n">
        <x:f>H2515*I2515</x:f>
        <x:v>92994.16041515162</x:v>
      </x:c>
      <x:c r="K2515" s="10" t="n">
        <x:f>J2515*'Assumptions'!$T$105</x:f>
        <x:v>92994.16041515162</x:v>
      </x:c>
      <x:c r="L2515" s="10" t="n">
        <x:f>K2515*'Assumptions'!$U$105</x:f>
        <x:v>2789.8248124545485</x:v>
      </x:c>
      <x:c r="M2515" s="10" t="n">
        <x:f>K2515*'Assumptions'!$V$105</x:f>
        <x:v>0</x:v>
      </x:c>
      <x:c r="N2515" s="10" t="n">
        <x:f>K2515-L2515-M2515</x:f>
        <x:v>90204.33560269707</x:v>
      </x:c>
      <x:c r="O2515" s="10" t="n">
        <x:f>H2515*'Assumptions'!$P$105*'Assumptions'!$Q$105*'Assumptions'!$D$11*(1+'Assumptions'!$D$13)^(20-1)</x:f>
        <x:v>55966.6984520191</x:v>
      </x:c>
      <x:c r="P2515" s="10" t="n">
        <x:f>H2515*'Assumptions'!$R$105*'Assumptions'!$D$11*(1+'Assumptions'!$D$13)^(20-1)</x:f>
        <x:v>0</x:v>
      </x:c>
      <x:c r="Q2515" s="10" t="n">
        <x:f>J2515*'Assumptions'!$S$105</x:f>
        <x:v>0</x:v>
      </x:c>
      <x:c r="R2515" s="10" t="n">
        <x:f>H2515*'Assumptions'!$Y$105*'Assumptions'!$Z$105*'Assumptions'!$D$11*(1+'Assumptions'!$D$13)^(20-1)</x:f>
        <x:v>13991.674613004776</x:v>
      </x:c>
      <x:c r="S2515" s="10" t="n">
        <x:f>IF(I2515=0,0,J2515*'Assumptions'!$W$105+H2515*'Assumptions'!$X$105)</x:f>
        <x:v>3016.000912979228</x:v>
      </x:c>
      <x:c r="T2515" s="10" t="n">
        <x:f>N2515*'Assumptions'!$AA$105</x:f>
        <x:v>3608.173424107883</x:v>
      </x:c>
      <x:c r="U2515" s="10" t="n">
        <x:f>'Assumptions'!$AE$105*'Assumptions'!$D$11*(1+'Assumptions'!$D$13)^(20-1)</x:f>
        <x:v>0</x:v>
      </x:c>
      <x:c r="V2515" s="10" t="n">
        <x:f>0</x:f>
        <x:v>0</x:v>
      </x:c>
      <x:c r="W2515" s="10" t="n">
        <x:f>H2515*('Assumptions'!$P$105+'Assumptions'!$Y$105)</x:f>
        <x:v>1329.8760872492944</x:v>
      </x:c>
      <x:c r="X2515" s="10" t="n">
        <x:f>N2515/12*'Assumptions'!$AF$105</x:f>
        <x:v>7517.027966891423</x:v>
      </x:c>
      <x:c r="Y2515" s="10" t="n">
        <x:f>P2515/12</x:f>
        <x:v>0</x:v>
      </x:c>
      <x:c r="Z2515" s="10" t="n">
        <x:f>0</x:f>
        <x:v>0</x:v>
      </x:c>
      <x:c r="AA2515" s="10" t="n">
        <x:f>Z2515*'Assumptions'!$AC$105*'Assumptions'!$D$11*(1+'Assumptions'!$D$13)^(20-1)</x:f>
        <x:v>0</x:v>
      </x:c>
      <x:c r="AB2515" s="10" t="n">
        <x:f>F2515/1</x:f>
        <x:v>547.4448227148434</x:v>
      </x:c>
      <x:c r="AC2515" s="10" t="n">
        <x:f>AB2515/'Assumptions'!$AM$105</x:f>
        <x:v>2737.224113574217</x:v>
      </x:c>
      <x:c r="AD2515" s="10" t="n">
        <x:f>IF(AB2515=0,0,T2515/AB2515)</x:f>
        <x:v>6.590935331554558</x:v>
      </x:c>
      <x:c r="AE2515" s="10" t="n">
        <x:f>AA2515*'Assumptions'!$D$21</x:f>
        <x:v>0</x:v>
      </x:c>
    </x:row>
    <x:row r="2516" ht="16" customHeight="1">
      <x:c r="A2516" s="1"/>
      <x:c r="B2516" s="1"/>
      <x:c r="C2516" s="1" t="str">
        <x:v>DOT-077</x:v>
      </x:c>
      <x:c r="D2516" s="10" t="str">
        <x:v>S’otality bike tours</x:v>
      </x:c>
      <x:c r="E2516" s="10" t="n">
        <x:v>20</x:v>
      </x:c>
      <x:c r="F2516" s="21" t="n">
        <x:f>F2388*(1+'Assumptions'!$M$106)</x:f>
        <x:v>218.9779290859374</x:v>
      </x:c>
      <x:c r="G2516" s="21" t="n">
        <x:f>H2388*'Assumptions'!$K$106</x:f>
        <x:v>305.5321315029236</x:v>
      </x:c>
      <x:c r="H2516" s="21" t="n">
        <x:f>IF(AND(COUNT('Assumptions'!$H$106,'Assumptions'!$I$106,'Assumptions'!$J$106,'Assumptions'!$K$106,'Assumptions'!$L$106,'Assumptions'!$M$106,'Assumptions'!$P$106,'Assumptions'!$Q$106,'Assumptions'!$R$106,'Assumptions'!$S$106,'Assumptions'!$T$106,'Assumptions'!$U$106,'Assumptions'!$V$106,'Assumptions'!$W$106,'Assumptions'!$X$106,'Assumptions'!$Y$106,'Assumptions'!$Z$106,'Assumptions'!$AA$106,'Assumptions'!$AD$106,'Assumptions'!$AE$106,'Assumptions'!$AF$106)=21,COUNT('Assumptions'!$D$8:$D$21)=14,'Assumptions'!$J$106&gt;=1,'Assumptions'!$J$106&lt;=12,'Assumptions'!$D$8&gt;=0,'Assumptions'!$D$15&gt;0),F2516+G2516,NA())</x:f>
        <x:v>524.510060588861</x:v>
      </x:c>
      <x:c r="I2516" s="22" t="n">
        <x:f>'Assumptions'!$H$106*IF('Assumptions'!$O$106=1,1,'Assumptions'!$D$10)*(1+'Assumptions'!$N$106)^(20-1)</x:f>
        <x:v>94.69272621430692</x:v>
      </x:c>
      <x:c r="J2516" s="10" t="n">
        <x:f>H2516*I2516</x:f>
        <x:v>49667.287563990554</x:v>
      </x:c>
      <x:c r="K2516" s="10" t="n">
        <x:f>J2516*'Assumptions'!$T$106</x:f>
        <x:v>49667.287563990554</x:v>
      </x:c>
      <x:c r="L2516" s="10" t="n">
        <x:f>K2516*'Assumptions'!$U$106</x:f>
        <x:v>1490.0186269197166</x:v>
      </x:c>
      <x:c r="M2516" s="10" t="n">
        <x:f>K2516*'Assumptions'!$V$106</x:f>
        <x:v>0</x:v>
      </x:c>
      <x:c r="N2516" s="10" t="n">
        <x:f>K2516-L2516-M2516</x:f>
        <x:v>48177.26893707084</x:v>
      </x:c>
      <x:c r="O2516" s="10" t="n">
        <x:f>H2516*'Assumptions'!$P$106*'Assumptions'!$Q$106*'Assumptions'!$D$11*(1+'Assumptions'!$D$13)^(20-1)</x:f>
        <x:v>4828.590722247627</x:v>
      </x:c>
      <x:c r="P2516" s="10" t="n">
        <x:f>H2516*'Assumptions'!$R$106*'Assumptions'!$D$11*(1+'Assumptions'!$D$13)^(20-1)</x:f>
        <x:v>4598.657830712026</x:v>
      </x:c>
      <x:c r="Q2516" s="10" t="n">
        <x:f>J2516*'Assumptions'!$S$106</x:f>
        <x:v>22350.27940379575</x:v>
      </x:c>
      <x:c r="R2516" s="10" t="n">
        <x:f>H2516*'Assumptions'!$Y$106*'Assumptions'!$Z$106*'Assumptions'!$D$11*(1+'Assumptions'!$D$13)^(20-1)</x:f>
        <x:v>5518.389396854431</x:v>
      </x:c>
      <x:c r="S2516" s="10" t="n">
        <x:f>IF(I2516=0,0,J2516*'Assumptions'!$W$106+H2516*'Assumptions'!$X$106)</x:f>
        <x:v>1597.7043575323844</x:v>
      </x:c>
      <x:c r="T2516" s="10" t="n">
        <x:f>N2516*'Assumptions'!$AA$106</x:f>
        <x:v>1927.0907574828336</x:v>
      </x:c>
      <x:c r="U2516" s="10" t="n">
        <x:f>'Assumptions'!$AE$106*'Assumptions'!$D$11*(1+'Assumptions'!$D$13)^(20-1)</x:f>
        <x:v>0</x:v>
      </x:c>
      <x:c r="V2516" s="10" t="n">
        <x:f>0</x:f>
        <x:v>0</x:v>
      </x:c>
      <x:c r="W2516" s="10" t="n">
        <x:f>H2516*('Assumptions'!$P$106+'Assumptions'!$Y$106)</x:f>
        <x:v>183.57852120610136</x:v>
      </x:c>
      <x:c r="X2516" s="10" t="n">
        <x:f>N2516/12*'Assumptions'!$AF$106</x:f>
        <x:v>0</x:v>
      </x:c>
      <x:c r="Y2516" s="10" t="n">
        <x:f>P2516/12</x:f>
        <x:v>383.22148589266885</x:v>
      </x:c>
      <x:c r="Z2516" s="10" t="n">
        <x:f>0</x:f>
        <x:v>0</x:v>
      </x:c>
      <x:c r="AA2516" s="10" t="n">
        <x:f>Z2516*'Assumptions'!$AC$106*'Assumptions'!$D$11*(1+'Assumptions'!$D$13)^(20-1)</x:f>
        <x:v>0</x:v>
      </x:c>
      <x:c r="AB2516" s="10" t="n">
        <x:f>F2516/1</x:f>
        <x:v>218.9779290859374</x:v>
      </x:c>
      <x:c r="AC2516" s="10" t="n">
        <x:f>AB2516/'Assumptions'!$AM$106</x:f>
        <x:v>1459.8528605729161</x:v>
      </x:c>
      <x:c r="AD2516" s="10" t="n">
        <x:f>IF(AB2516=0,0,T2516/AB2516)</x:f>
        <x:v>8.800388082611518</x:v>
      </x:c>
      <x:c r="AE2516" s="10" t="n">
        <x:f>AA2516*'Assumptions'!$D$21</x:f>
        <x:v>0</x:v>
      </x:c>
    </x:row>
    <x:row r="2517" ht="16" customHeight="1">
      <x:c r="A2517" s="1"/>
      <x:c r="B2517" s="1"/>
      <x:c r="C2517" s="1" t="str">
        <x:v>DOT-078</x:v>
      </x:c>
      <x:c r="D2517" s="10" t="str">
        <x:v>S’otality editorial</x:v>
      </x:c>
      <x:c r="E2517" s="10" t="n">
        <x:v>20</x:v>
      </x:c>
      <x:c r="F2517" s="21" t="n">
        <x:f>F2389*(1+'Assumptions'!$M$107)</x:f>
        <x:v>17.791956738232415</x:v>
      </x:c>
      <x:c r="G2517" s="21" t="n">
        <x:f>H2389*'Assumptions'!$K$107</x:f>
        <x:v>9.157624700425401</x:v>
      </x:c>
      <x:c r="H2517" s="21" t="n">
        <x:f>IF(AND(COUNT('Assumptions'!$H$107,'Assumptions'!$I$107,'Assumptions'!$J$107,'Assumptions'!$K$107,'Assumptions'!$L$107,'Assumptions'!$M$107,'Assumptions'!$P$107,'Assumptions'!$Q$107,'Assumptions'!$R$107,'Assumptions'!$S$107,'Assumptions'!$T$107,'Assumptions'!$U$107,'Assumptions'!$V$107,'Assumptions'!$W$107,'Assumptions'!$X$107,'Assumptions'!$Y$107,'Assumptions'!$Z$107,'Assumptions'!$AA$107,'Assumptions'!$AD$107,'Assumptions'!$AE$107,'Assumptions'!$AF$107)=21,COUNT('Assumptions'!$D$8:$D$21)=14,'Assumptions'!$J$107&gt;=1,'Assumptions'!$J$107&lt;=12,'Assumptions'!$D$8&gt;=0,'Assumptions'!$D$15&gt;0),F2517+G2517,NA())</x:f>
        <x:v>26.949581438657816</x:v>
      </x:c>
      <x:c r="I2517" s="22" t="n">
        <x:f>'Assumptions'!$H$107*IF('Assumptions'!$O$107=1,1,'Assumptions'!$D$10)*(1+'Assumptions'!$N$107)^(20-1)</x:f>
        <x:v>364.2027931319497</x:v>
      </x:c>
      <x:c r="J2517" s="10" t="n">
        <x:f>H2517*I2517</x:f>
        <x:v>9815.112833696125</x:v>
      </x:c>
      <x:c r="K2517" s="10" t="n">
        <x:f>J2517*'Assumptions'!$T$107</x:f>
        <x:v>9815.112833696125</x:v>
      </x:c>
      <x:c r="L2517" s="10" t="n">
        <x:f>K2517*'Assumptions'!$U$107</x:f>
        <x:v>294.4533850108837</x:v>
      </x:c>
      <x:c r="M2517" s="10" t="n">
        <x:f>K2517*'Assumptions'!$V$107</x:f>
        <x:v>0</x:v>
      </x:c>
      <x:c r="N2517" s="10" t="n">
        <x:f>K2517-L2517-M2517</x:f>
        <x:v>9520.659448685241</x:v>
      </x:c>
      <x:c r="O2517" s="10" t="n">
        <x:f>H2517*'Assumptions'!$P$107*'Assumptions'!$Q$107*'Assumptions'!$D$11*(1+'Assumptions'!$D$13)^(20-1)</x:f>
        <x:v>3780.5003344464626</x:v>
      </x:c>
      <x:c r="P2517" s="10" t="n">
        <x:f>H2517*'Assumptions'!$R$107*'Assumptions'!$D$11*(1+'Assumptions'!$D$13)^(20-1)</x:f>
        <x:v>0</x:v>
      </x:c>
      <x:c r="Q2517" s="10" t="n">
        <x:f>J2517*'Assumptions'!$S$107</x:f>
        <x:v>0</x:v>
      </x:c>
      <x:c r="R2517" s="10" t="n">
        <x:f>H2517*'Assumptions'!$Y$107*'Assumptions'!$Z$107*'Assumptions'!$D$11*(1+'Assumptions'!$D$13)^(20-1)</x:f>
        <x:v>708.8438127087118</x:v>
      </x:c>
      <x:c r="S2517" s="10" t="n">
        <x:f>IF(I2517=0,0,J2517*'Assumptions'!$W$107+H2517*'Assumptions'!$X$107)</x:f>
        <x:v>292.723146608785</x:v>
      </x:c>
      <x:c r="T2517" s="10" t="n">
        <x:f>N2517*'Assumptions'!$AA$107</x:f>
        <x:v>761.6527558948193</x:v>
      </x:c>
      <x:c r="U2517" s="10" t="n">
        <x:f>'Assumptions'!$AE$107*'Assumptions'!$D$11*(1+'Assumptions'!$D$13)^(20-1)</x:f>
        <x:v>0</x:v>
      </x:c>
      <x:c r="V2517" s="10" t="n">
        <x:f>0</x:f>
        <x:v>0</x:v>
      </x:c>
      <x:c r="W2517" s="10" t="n">
        <x:f>H2517*('Assumptions'!$P$107+'Assumptions'!$Y$107)</x:f>
        <x:v>67.37395359664454</x:v>
      </x:c>
      <x:c r="X2517" s="10" t="n">
        <x:f>N2517/12*'Assumptions'!$AF$107</x:f>
        <x:v>793.3882873904367</x:v>
      </x:c>
      <x:c r="Y2517" s="10" t="n">
        <x:f>P2517/12</x:f>
        <x:v>0</x:v>
      </x:c>
      <x:c r="Z2517" s="10" t="n">
        <x:f>0</x:f>
        <x:v>0</x:v>
      </x:c>
      <x:c r="AA2517" s="10" t="n">
        <x:f>Z2517*'Assumptions'!$AC$107*'Assumptions'!$D$11*(1+'Assumptions'!$D$13)^(20-1)</x:f>
        <x:v>0</x:v>
      </x:c>
      <x:c r="AB2517" s="10" t="n">
        <x:f>F2517/1</x:f>
        <x:v>17.791956738232415</x:v>
      </x:c>
      <x:c r="AC2517" s="10" t="n">
        <x:f>AB2517/'Assumptions'!$AM$107</x:f>
        <x:v>177.91956738232415</x:v>
      </x:c>
      <x:c r="AD2517" s="10" t="n">
        <x:f>IF(AB2517=0,0,T2517/AB2517)</x:f>
        <x:v>42.80882463355672</x:v>
      </x:c>
      <x:c r="AE2517" s="10" t="n">
        <x:f>AA2517*'Assumptions'!$D$21</x:f>
        <x:v>0</x:v>
      </x:c>
    </x:row>
    <x:row r="2518" ht="16" customHeight="1">
      <x:c r="A2518" s="1"/>
      <x:c r="B2518" s="1"/>
      <x:c r="C2518" s="1" t="str">
        <x:v>DOT-079</x:v>
      </x:c>
      <x:c r="D2518" s="10" t="str">
        <x:v>S’otality editorial</x:v>
      </x:c>
      <x:c r="E2518" s="10" t="n">
        <x:v>20</x:v>
      </x:c>
      <x:c r="F2518" s="21" t="n">
        <x:f>F2390*(1+'Assumptions'!$M$108)</x:f>
        <x:v>5.930652246077471</x:v>
      </x:c>
      <x:c r="G2518" s="21" t="n">
        <x:f>H2390*'Assumptions'!$K$108</x:f>
        <x:v>3.0525415668084666</x:v>
      </x:c>
      <x:c r="H2518" s="21" t="n">
        <x:f>IF(AND(COUNT('Assumptions'!$H$108,'Assumptions'!$I$108,'Assumptions'!$J$108,'Assumptions'!$K$108,'Assumptions'!$L$108,'Assumptions'!$M$108,'Assumptions'!$P$108,'Assumptions'!$Q$108,'Assumptions'!$R$108,'Assumptions'!$S$108,'Assumptions'!$T$108,'Assumptions'!$U$108,'Assumptions'!$V$108,'Assumptions'!$W$108,'Assumptions'!$X$108,'Assumptions'!$Y$108,'Assumptions'!$Z$108,'Assumptions'!$AA$108,'Assumptions'!$AD$108,'Assumptions'!$AE$108,'Assumptions'!$AF$108)=21,COUNT('Assumptions'!$D$8:$D$21)=14,'Assumptions'!$J$108&gt;=1,'Assumptions'!$J$108&lt;=12,'Assumptions'!$D$8&gt;=0,'Assumptions'!$D$15&gt;0),F2518+G2518,NA())</x:f>
        <x:v>8.983193812885936</x:v>
      </x:c>
      <x:c r="I2518" s="22" t="n">
        <x:f>'Assumptions'!$H$108*IF('Assumptions'!$O$108=1,1,'Assumptions'!$D$10)*(1+'Assumptions'!$N$108)^(20-1)</x:f>
        <x:v>1456.8111725277988</x:v>
      </x:c>
      <x:c r="J2518" s="10" t="n">
        <x:f>H2518*I2518</x:f>
        <x:v>13086.817111594828</x:v>
      </x:c>
      <x:c r="K2518" s="10" t="n">
        <x:f>J2518*'Assumptions'!$T$108</x:f>
        <x:v>13086.817111594828</x:v>
      </x:c>
      <x:c r="L2518" s="10" t="n">
        <x:f>K2518*'Assumptions'!$U$108</x:f>
        <x:v>392.60451334784483</x:v>
      </x:c>
      <x:c r="M2518" s="10" t="n">
        <x:f>K2518*'Assumptions'!$V$108</x:f>
        <x:v>0</x:v>
      </x:c>
      <x:c r="N2518" s="10" t="n">
        <x:f>K2518-L2518-M2518</x:f>
        <x:v>12694.212598246982</x:v>
      </x:c>
      <x:c r="O2518" s="10" t="n">
        <x:f>H2518*'Assumptions'!$P$108*'Assumptions'!$Q$108*'Assumptions'!$D$11*(1+'Assumptions'!$D$13)^(20-1)</x:f>
        <x:v>5040.667112595283</x:v>
      </x:c>
      <x:c r="P2518" s="10" t="n">
        <x:f>H2518*'Assumptions'!$R$108*'Assumptions'!$D$11*(1+'Assumptions'!$D$13)^(20-1)</x:f>
        <x:v>1575.2084726860257</x:v>
      </x:c>
      <x:c r="Q2518" s="10" t="n">
        <x:f>J2518*'Assumptions'!$S$108</x:f>
        <x:v>0</x:v>
      </x:c>
      <x:c r="R2518" s="10" t="n">
        <x:f>H2518*'Assumptions'!$Y$108*'Assumptions'!$Z$108*'Assumptions'!$D$11*(1+'Assumptions'!$D$13)^(20-1)</x:f>
        <x:v>236.28127090290388</x:v>
      </x:c>
      <x:c r="S2518" s="10" t="n">
        <x:f>IF(I2518=0,0,J2518*'Assumptions'!$W$108+H2518*'Assumptions'!$X$108)</x:f>
        <x:v>382.2126543801158</x:v>
      </x:c>
      <x:c r="T2518" s="10" t="n">
        <x:f>N2518*'Assumptions'!$AA$108</x:f>
        <x:v>1015.5370078597587</x:v>
      </x:c>
      <x:c r="U2518" s="10" t="n">
        <x:f>'Assumptions'!$AE$108*'Assumptions'!$D$11*(1+'Assumptions'!$D$13)^(20-1)</x:f>
        <x:v>0</x:v>
      </x:c>
      <x:c r="V2518" s="10" t="n">
        <x:f>0</x:f>
        <x:v>0</x:v>
      </x:c>
      <x:c r="W2518" s="10" t="n">
        <x:f>H2518*('Assumptions'!$P$108+'Assumptions'!$Y$108)</x:f>
        <x:v>76.35714740953046</x:v>
      </x:c>
      <x:c r="X2518" s="10" t="n">
        <x:f>N2518/12*'Assumptions'!$AF$108</x:f>
        <x:v>1057.8510498539151</x:v>
      </x:c>
      <x:c r="Y2518" s="10" t="n">
        <x:f>P2518/12</x:f>
        <x:v>131.26737272383548</x:v>
      </x:c>
      <x:c r="Z2518" s="10" t="n">
        <x:f>0</x:f>
        <x:v>0</x:v>
      </x:c>
      <x:c r="AA2518" s="10" t="n">
        <x:f>Z2518*'Assumptions'!$AC$108*'Assumptions'!$D$11*(1+'Assumptions'!$D$13)^(20-1)</x:f>
        <x:v>0</x:v>
      </x:c>
      <x:c r="AB2518" s="10" t="n">
        <x:f>F2518/1</x:f>
        <x:v>5.930652246077471</x:v>
      </x:c>
      <x:c r="AC2518" s="10" t="n">
        <x:f>AB2518/'Assumptions'!$AM$108</x:f>
        <x:v>59.3065224607747</x:v>
      </x:c>
      <x:c r="AD2518" s="10" t="n">
        <x:f>IF(AB2518=0,0,T2518/AB2518)</x:f>
        <x:v>171.23529853422684</x:v>
      </x:c>
      <x:c r="AE2518" s="10" t="n">
        <x:f>AA2518*'Assumptions'!$D$21</x:f>
        <x:v>0</x:v>
      </x:c>
    </x:row>
    <x:row r="2519" ht="16" customHeight="1">
      <x:c r="A2519" s="1"/>
      <x:c r="B2519" s="1"/>
      <x:c r="C2519" s="1" t="str">
        <x:v>DOT-080</x:v>
      </x:c>
      <x:c r="D2519" s="10" t="str">
        <x:v>Tomato Odyssey</x:v>
      </x:c>
      <x:c r="E2519" s="10" t="n">
        <x:v>20</x:v>
      </x:c>
      <x:c r="F2519" s="21" t="n">
        <x:f>F2391*(1+'Assumptions'!$M$109)</x:f>
        <x:v>17.791956738232415</x:v>
      </x:c>
      <x:c r="G2519" s="21" t="n">
        <x:f>H2391*'Assumptions'!$K$109</x:f>
        <x:v>9.157624700425401</x:v>
      </x:c>
      <x:c r="H2519" s="21" t="n">
        <x:f>IF(AND(COUNT('Assumptions'!$H$109,'Assumptions'!$I$109,'Assumptions'!$J$109,'Assumptions'!$K$109,'Assumptions'!$L$109,'Assumptions'!$M$109,'Assumptions'!$P$109,'Assumptions'!$Q$109,'Assumptions'!$R$109,'Assumptions'!$S$109,'Assumptions'!$T$109,'Assumptions'!$U$109,'Assumptions'!$V$109,'Assumptions'!$W$109,'Assumptions'!$X$109,'Assumptions'!$Y$109,'Assumptions'!$Z$109,'Assumptions'!$AA$109,'Assumptions'!$AD$109,'Assumptions'!$AE$109,'Assumptions'!$AF$109)=21,COUNT('Assumptions'!$D$8:$D$21)=14,'Assumptions'!$J$109&gt;=1,'Assumptions'!$J$109&lt;=12,'Assumptions'!$D$8&gt;=0,'Assumptions'!$D$15&gt;0),F2519+G2519,NA())</x:f>
        <x:v>26.949581438657816</x:v>
      </x:c>
      <x:c r="I2519" s="22" t="n">
        <x:f>'Assumptions'!$H$109*IF('Assumptions'!$O$109=1,1,'Assumptions'!$D$10)*(1+'Assumptions'!$N$109)^(20-1)</x:f>
        <x:v>364.2027931319497</x:v>
      </x:c>
      <x:c r="J2519" s="10" t="n">
        <x:f>H2519*I2519</x:f>
        <x:v>9815.112833696125</x:v>
      </x:c>
      <x:c r="K2519" s="10" t="n">
        <x:f>J2519*'Assumptions'!$T$109</x:f>
        <x:v>9815.112833696125</x:v>
      </x:c>
      <x:c r="L2519" s="10" t="n">
        <x:f>K2519*'Assumptions'!$U$109</x:f>
        <x:v>294.4533850108837</x:v>
      </x:c>
      <x:c r="M2519" s="10" t="n">
        <x:f>K2519*'Assumptions'!$V$109</x:f>
        <x:v>0</x:v>
      </x:c>
      <x:c r="N2519" s="10" t="n">
        <x:f>K2519-L2519-M2519</x:f>
        <x:v>9520.659448685241</x:v>
      </x:c>
      <x:c r="O2519" s="10" t="n">
        <x:f>H2519*'Assumptions'!$P$109*'Assumptions'!$Q$109*'Assumptions'!$D$11*(1+'Assumptions'!$D$13)^(20-1)</x:f>
        <x:v>3780.5003344464626</x:v>
      </x:c>
      <x:c r="P2519" s="10" t="n">
        <x:f>H2519*'Assumptions'!$R$109*'Assumptions'!$D$11*(1+'Assumptions'!$D$13)^(20-1)</x:f>
        <x:v>0</x:v>
      </x:c>
      <x:c r="Q2519" s="10" t="n">
        <x:f>J2519*'Assumptions'!$S$109</x:f>
        <x:v>0</x:v>
      </x:c>
      <x:c r="R2519" s="10" t="n">
        <x:f>H2519*'Assumptions'!$Y$109*'Assumptions'!$Z$109*'Assumptions'!$D$11*(1+'Assumptions'!$D$13)^(20-1)</x:f>
        <x:v>708.8438127087118</x:v>
      </x:c>
      <x:c r="S2519" s="10" t="n">
        <x:f>IF(I2519=0,0,J2519*'Assumptions'!$W$109+H2519*'Assumptions'!$X$109)</x:f>
        <x:v>292.723146608785</x:v>
      </x:c>
      <x:c r="T2519" s="10" t="n">
        <x:f>N2519*'Assumptions'!$AA$109</x:f>
        <x:v>761.6527558948193</x:v>
      </x:c>
      <x:c r="U2519" s="10" t="n">
        <x:f>'Assumptions'!$AE$109*'Assumptions'!$D$11*(1+'Assumptions'!$D$13)^(20-1)</x:f>
        <x:v>0</x:v>
      </x:c>
      <x:c r="V2519" s="10" t="n">
        <x:f>0</x:f>
        <x:v>0</x:v>
      </x:c>
      <x:c r="W2519" s="10" t="n">
        <x:f>H2519*('Assumptions'!$P$109+'Assumptions'!$Y$109)</x:f>
        <x:v>67.37395359664454</x:v>
      </x:c>
      <x:c r="X2519" s="10" t="n">
        <x:f>N2519/12*'Assumptions'!$AF$109</x:f>
        <x:v>793.3882873904367</x:v>
      </x:c>
      <x:c r="Y2519" s="10" t="n">
        <x:f>P2519/12</x:f>
        <x:v>0</x:v>
      </x:c>
      <x:c r="Z2519" s="10" t="n">
        <x:f>0</x:f>
        <x:v>0</x:v>
      </x:c>
      <x:c r="AA2519" s="10" t="n">
        <x:f>Z2519*'Assumptions'!$AC$109*'Assumptions'!$D$11*(1+'Assumptions'!$D$13)^(20-1)</x:f>
        <x:v>0</x:v>
      </x:c>
      <x:c r="AB2519" s="10" t="n">
        <x:f>F2519/1</x:f>
        <x:v>17.791956738232415</x:v>
      </x:c>
      <x:c r="AC2519" s="10" t="n">
        <x:f>AB2519/'Assumptions'!$AM$109</x:f>
        <x:v>177.91956738232415</x:v>
      </x:c>
      <x:c r="AD2519" s="10" t="n">
        <x:f>IF(AB2519=0,0,T2519/AB2519)</x:f>
        <x:v>42.80882463355672</x:v>
      </x:c>
      <x:c r="AE2519" s="10" t="n">
        <x:f>AA2519*'Assumptions'!$D$21</x:f>
        <x:v>0</x:v>
      </x:c>
    </x:row>
    <x:row r="2520" ht="16" customHeight="1">
      <x:c r="A2520" s="1"/>
      <x:c r="B2520" s="1"/>
      <x:c r="C2520" s="1" t="str">
        <x:v>DOT-081</x:v>
      </x:c>
      <x:c r="D2520" s="10" t="str">
        <x:v>Tomato Odyssey</x:v>
      </x:c>
      <x:c r="E2520" s="10" t="n">
        <x:v>20</x:v>
      </x:c>
      <x:c r="F2520" s="21" t="n">
        <x:f>F2392*(1+'Assumptions'!$M$110)</x:f>
        <x:v>5.930652246077471</x:v>
      </x:c>
      <x:c r="G2520" s="21" t="n">
        <x:f>H2392*'Assumptions'!$K$110</x:f>
        <x:v>3.0525415668084666</x:v>
      </x:c>
      <x:c r="H2520" s="21" t="n">
        <x:f>IF(AND(COUNT('Assumptions'!$H$110,'Assumptions'!$I$110,'Assumptions'!$J$110,'Assumptions'!$K$110,'Assumptions'!$L$110,'Assumptions'!$M$110,'Assumptions'!$P$110,'Assumptions'!$Q$110,'Assumptions'!$R$110,'Assumptions'!$S$110,'Assumptions'!$T$110,'Assumptions'!$U$110,'Assumptions'!$V$110,'Assumptions'!$W$110,'Assumptions'!$X$110,'Assumptions'!$Y$110,'Assumptions'!$Z$110,'Assumptions'!$AA$110,'Assumptions'!$AD$110,'Assumptions'!$AE$110,'Assumptions'!$AF$110)=21,COUNT('Assumptions'!$D$8:$D$21)=14,'Assumptions'!$J$110&gt;=1,'Assumptions'!$J$110&lt;=12,'Assumptions'!$D$8&gt;=0,'Assumptions'!$D$15&gt;0),F2520+G2520,NA())</x:f>
        <x:v>8.983193812885936</x:v>
      </x:c>
      <x:c r="I2520" s="22" t="n">
        <x:f>'Assumptions'!$H$110*IF('Assumptions'!$O$110=1,1,'Assumptions'!$D$10)*(1+'Assumptions'!$N$110)^(20-1)</x:f>
        <x:v>1456.8111725277988</x:v>
      </x:c>
      <x:c r="J2520" s="10" t="n">
        <x:f>H2520*I2520</x:f>
        <x:v>13086.817111594828</x:v>
      </x:c>
      <x:c r="K2520" s="10" t="n">
        <x:f>J2520*'Assumptions'!$T$110</x:f>
        <x:v>13086.817111594828</x:v>
      </x:c>
      <x:c r="L2520" s="10" t="n">
        <x:f>K2520*'Assumptions'!$U$110</x:f>
        <x:v>392.60451334784483</x:v>
      </x:c>
      <x:c r="M2520" s="10" t="n">
        <x:f>K2520*'Assumptions'!$V$110</x:f>
        <x:v>0</x:v>
      </x:c>
      <x:c r="N2520" s="10" t="n">
        <x:f>K2520-L2520-M2520</x:f>
        <x:v>12694.212598246982</x:v>
      </x:c>
      <x:c r="O2520" s="10" t="n">
        <x:f>H2520*'Assumptions'!$P$110*'Assumptions'!$Q$110*'Assumptions'!$D$11*(1+'Assumptions'!$D$13)^(20-1)</x:f>
        <x:v>5040.667112595283</x:v>
      </x:c>
      <x:c r="P2520" s="10" t="n">
        <x:f>H2520*'Assumptions'!$R$110*'Assumptions'!$D$11*(1+'Assumptions'!$D$13)^(20-1)</x:f>
        <x:v>1575.2084726860257</x:v>
      </x:c>
      <x:c r="Q2520" s="10" t="n">
        <x:f>J2520*'Assumptions'!$S$110</x:f>
        <x:v>0</x:v>
      </x:c>
      <x:c r="R2520" s="10" t="n">
        <x:f>H2520*'Assumptions'!$Y$110*'Assumptions'!$Z$110*'Assumptions'!$D$11*(1+'Assumptions'!$D$13)^(20-1)</x:f>
        <x:v>236.28127090290388</x:v>
      </x:c>
      <x:c r="S2520" s="10" t="n">
        <x:f>IF(I2520=0,0,J2520*'Assumptions'!$W$110+H2520*'Assumptions'!$X$110)</x:f>
        <x:v>382.2126543801158</x:v>
      </x:c>
      <x:c r="T2520" s="10" t="n">
        <x:f>N2520*'Assumptions'!$AA$110</x:f>
        <x:v>1015.5370078597587</x:v>
      </x:c>
      <x:c r="U2520" s="10" t="n">
        <x:f>'Assumptions'!$AE$110*'Assumptions'!$D$11*(1+'Assumptions'!$D$13)^(20-1)</x:f>
        <x:v>0</x:v>
      </x:c>
      <x:c r="V2520" s="10" t="n">
        <x:f>0</x:f>
        <x:v>0</x:v>
      </x:c>
      <x:c r="W2520" s="10" t="n">
        <x:f>H2520*('Assumptions'!$P$110+'Assumptions'!$Y$110)</x:f>
        <x:v>76.35714740953046</x:v>
      </x:c>
      <x:c r="X2520" s="10" t="n">
        <x:f>N2520/12*'Assumptions'!$AF$110</x:f>
        <x:v>1057.8510498539151</x:v>
      </x:c>
      <x:c r="Y2520" s="10" t="n">
        <x:f>P2520/12</x:f>
        <x:v>131.26737272383548</x:v>
      </x:c>
      <x:c r="Z2520" s="10" t="n">
        <x:f>0</x:f>
        <x:v>0</x:v>
      </x:c>
      <x:c r="AA2520" s="10" t="n">
        <x:f>Z2520*'Assumptions'!$AC$110*'Assumptions'!$D$11*(1+'Assumptions'!$D$13)^(20-1)</x:f>
        <x:v>0</x:v>
      </x:c>
      <x:c r="AB2520" s="10" t="n">
        <x:f>F2520/1</x:f>
        <x:v>5.930652246077471</x:v>
      </x:c>
      <x:c r="AC2520" s="10" t="n">
        <x:f>AB2520/'Assumptions'!$AM$110</x:f>
        <x:v>59.3065224607747</x:v>
      </x:c>
      <x:c r="AD2520" s="10" t="n">
        <x:f>IF(AB2520=0,0,T2520/AB2520)</x:f>
        <x:v>171.23529853422684</x:v>
      </x:c>
      <x:c r="AE2520" s="10" t="n">
        <x:f>AA2520*'Assumptions'!$D$21</x:f>
        <x:v>0</x:v>
      </x:c>
    </x:row>
    <x:row r="2521" ht="16" customHeight="1">
      <x:c r="A2521" s="1"/>
      <x:c r="B2521" s="1"/>
      <x:c r="C2521" s="1" t="str">
        <x:v>DOT-082</x:v>
      </x:c>
      <x:c r="D2521" s="10" t="str">
        <x:v>Semajes Studio</x:v>
      </x:c>
      <x:c r="E2521" s="10" t="n">
        <x:v>20</x:v>
      </x:c>
      <x:c r="F2521" s="21" t="n">
        <x:f>F2393*(1+'Assumptions'!$M$111)</x:f>
        <x:v>41.05836170361324</x:v>
      </x:c>
      <x:c r="G2521" s="21" t="n">
        <x:f>H2393*'Assumptions'!$K$111</x:f>
        <x:v>38.73420353134439</x:v>
      </x:c>
      <x:c r="H2521" s="21" t="n">
        <x:f>IF(AND(COUNT('Assumptions'!$H$111,'Assumptions'!$I$111,'Assumptions'!$J$111,'Assumptions'!$K$111,'Assumptions'!$L$111,'Assumptions'!$M$111,'Assumptions'!$P$111,'Assumptions'!$Q$111,'Assumptions'!$R$111,'Assumptions'!$S$111,'Assumptions'!$T$111,'Assumptions'!$U$111,'Assumptions'!$V$111,'Assumptions'!$W$111,'Assumptions'!$X$111,'Assumptions'!$Y$111,'Assumptions'!$Z$111,'Assumptions'!$AA$111,'Assumptions'!$AD$111,'Assumptions'!$AE$111,'Assumptions'!$AF$111)=21,COUNT('Assumptions'!$D$8:$D$21)=14,'Assumptions'!$J$111&gt;=1,'Assumptions'!$J$111&lt;=12,'Assumptions'!$D$8&gt;=0,'Assumptions'!$D$15&gt;0),F2521+G2521,NA())</x:f>
        <x:v>79.79256523495764</x:v>
      </x:c>
      <x:c r="I2521" s="22" t="n">
        <x:f>'Assumptions'!$H$111*IF('Assumptions'!$O$111=1,1,'Assumptions'!$D$10)*(1+'Assumptions'!$N$111)^(20-1)</x:f>
        <x:v>801.2461448902893</x:v>
      </x:c>
      <x:c r="J2521" s="10" t="n">
        <x:f>H2521*I2521</x:f>
        <x:v>63933.485285416726</x:v>
      </x:c>
      <x:c r="K2521" s="10" t="n">
        <x:f>J2521*'Assumptions'!$T$111</x:f>
        <x:v>63933.485285416726</x:v>
      </x:c>
      <x:c r="L2521" s="10" t="n">
        <x:f>K2521*'Assumptions'!$U$111</x:f>
        <x:v>1918.0045585625016</x:v>
      </x:c>
      <x:c r="M2521" s="10" t="n">
        <x:f>K2521*'Assumptions'!$V$111</x:f>
        <x:v>0</x:v>
      </x:c>
      <x:c r="N2521" s="10" t="n">
        <x:f>K2521-L2521-M2521</x:f>
        <x:v>62015.48072685422</x:v>
      </x:c>
      <x:c r="O2521" s="10" t="n">
        <x:f>H2521*'Assumptions'!$P$111*'Assumptions'!$Q$111*'Assumptions'!$D$11*(1+'Assumptions'!$D$13)^(20-1)</x:f>
        <x:v>41975.02383901431</x:v>
      </x:c>
      <x:c r="P2521" s="10" t="n">
        <x:f>H2521*'Assumptions'!$R$111*'Assumptions'!$D$11*(1+'Assumptions'!$D$13)^(20-1)</x:f>
        <x:v>11193.339690403818</x:v>
      </x:c>
      <x:c r="Q2521" s="10" t="n">
        <x:f>J2521*'Assumptions'!$S$111</x:f>
        <x:v>0</x:v>
      </x:c>
      <x:c r="R2521" s="10" t="n">
        <x:f>H2521*'Assumptions'!$Y$111*'Assumptions'!$Z$111*'Assumptions'!$D$11*(1+'Assumptions'!$D$13)^(20-1)</x:f>
        <x:v>1049.3755959753578</x:v>
      </x:c>
      <x:c r="S2521" s="10" t="n">
        <x:f>IF(I2521=0,0,J2521*'Assumptions'!$W$111+H2521*'Assumptions'!$X$111)</x:f>
        <x:v>1878.0088428475724</x:v>
      </x:c>
      <x:c r="T2521" s="10" t="n">
        <x:f>N2521*'Assumptions'!$AA$111</x:f>
        <x:v>2480.6192290741687</x:v>
      </x:c>
      <x:c r="U2521" s="10" t="n">
        <x:f>'Assumptions'!$AE$111*'Assumptions'!$D$11*(1+'Assumptions'!$D$13)^(20-1)</x:f>
        <x:v>0</x:v>
      </x:c>
      <x:c r="V2521" s="10" t="n">
        <x:f>0</x:f>
        <x:v>0</x:v>
      </x:c>
      <x:c r="W2521" s="10" t="n">
        <x:f>H2521*('Assumptions'!$P$111+'Assumptions'!$Y$111)</x:f>
        <x:v>498.70353271848523</x:v>
      </x:c>
      <x:c r="X2521" s="10" t="n">
        <x:f>N2521/12*'Assumptions'!$AF$111</x:f>
        <x:v>5167.956727237852</x:v>
      </x:c>
      <x:c r="Y2521" s="10" t="n">
        <x:f>P2521/12</x:f>
        <x:v>932.7783075336515</x:v>
      </x:c>
      <x:c r="Z2521" s="10" t="n">
        <x:f>0</x:f>
        <x:v>0</x:v>
      </x:c>
      <x:c r="AA2521" s="10" t="n">
        <x:f>Z2521*'Assumptions'!$AC$111*'Assumptions'!$D$11*(1+'Assumptions'!$D$13)^(20-1)</x:f>
        <x:v>0</x:v>
      </x:c>
      <x:c r="AB2521" s="10" t="n">
        <x:f>F2521/1</x:f>
        <x:v>41.05836170361324</x:v>
      </x:c>
      <x:c r="AC2521" s="10" t="n">
        <x:f>AB2521/'Assumptions'!$AM$111</x:f>
        <x:v>205.29180851806618</x:v>
      </x:c>
      <x:c r="AD2521" s="10" t="n">
        <x:f>IF(AB2521=0,0,T2521/AB2521)</x:f>
        <x:v>60.41690720591679</x:v>
      </x:c>
      <x:c r="AE2521" s="10" t="n">
        <x:f>AA2521*'Assumptions'!$D$21</x:f>
        <x:v>0</x:v>
      </x:c>
    </x:row>
    <x:row r="2522" ht="16" customHeight="1">
      <x:c r="A2522" s="1"/>
      <x:c r="B2522" s="1"/>
      <x:c r="C2522" s="1" t="str">
        <x:v>DOT-083</x:v>
      </x:c>
      <x:c r="D2522" s="10" t="str">
        <x:v>Semajes Studio</x:v>
      </x:c>
      <x:c r="E2522" s="10" t="n">
        <x:v>20</x:v>
      </x:c>
      <x:c r="F2522" s="21" t="n">
        <x:f>F2394*(1+'Assumptions'!$M$112)</x:f>
        <x:v>20.52918085180662</x:v>
      </x:c>
      <x:c r="G2522" s="21" t="n">
        <x:f>H2394*'Assumptions'!$K$112</x:f>
        <x:v>19.367101765672196</x:v>
      </x:c>
      <x:c r="H2522" s="21" t="n">
        <x:f>IF(AND(COUNT('Assumptions'!$H$112,'Assumptions'!$I$112,'Assumptions'!$J$112,'Assumptions'!$K$112,'Assumptions'!$L$112,'Assumptions'!$M$112,'Assumptions'!$P$112,'Assumptions'!$Q$112,'Assumptions'!$R$112,'Assumptions'!$S$112,'Assumptions'!$T$112,'Assumptions'!$U$112,'Assumptions'!$V$112,'Assumptions'!$W$112,'Assumptions'!$X$112,'Assumptions'!$Y$112,'Assumptions'!$Z$112,'Assumptions'!$AA$112,'Assumptions'!$AD$112,'Assumptions'!$AE$112,'Assumptions'!$AF$112)=21,COUNT('Assumptions'!$D$8:$D$21)=14,'Assumptions'!$J$112&gt;=1,'Assumptions'!$J$112&lt;=12,'Assumptions'!$D$8&gt;=0,'Assumptions'!$D$15&gt;0),F2522+G2522,NA())</x:f>
        <x:v>39.89628261747882</x:v>
      </x:c>
      <x:c r="I2522" s="22" t="n">
        <x:f>'Assumptions'!$H$112*IF('Assumptions'!$O$112=1,1,'Assumptions'!$D$10)*(1+'Assumptions'!$N$112)^(20-1)</x:f>
        <x:v>1748.1734070333584</x:v>
      </x:c>
      <x:c r="J2522" s="10" t="n">
        <x:f>H2522*I2522</x:f>
        <x:v>69745.6203113637</x:v>
      </x:c>
      <x:c r="K2522" s="10" t="n">
        <x:f>J2522*'Assumptions'!$T$112</x:f>
        <x:v>69745.6203113637</x:v>
      </x:c>
      <x:c r="L2522" s="10" t="n">
        <x:f>K2522*'Assumptions'!$U$112</x:f>
        <x:v>2092.368609340911</x:v>
      </x:c>
      <x:c r="M2522" s="10" t="n">
        <x:f>K2522*'Assumptions'!$V$112</x:f>
        <x:v>0</x:v>
      </x:c>
      <x:c r="N2522" s="10" t="n">
        <x:f>K2522-L2522-M2522</x:f>
        <x:v>67653.2517020228</x:v>
      </x:c>
      <x:c r="O2522" s="10" t="n">
        <x:f>H2522*'Assumptions'!$P$112*'Assumptions'!$Q$112*'Assumptions'!$D$11*(1+'Assumptions'!$D$13)^(20-1)</x:f>
        <x:v>34979.18653251193</x:v>
      </x:c>
      <x:c r="P2522" s="10" t="n">
        <x:f>H2522*'Assumptions'!$R$112*'Assumptions'!$D$11*(1+'Assumptions'!$D$13)^(20-1)</x:f>
        <x:v>10493.755959753578</x:v>
      </x:c>
      <x:c r="Q2522" s="10" t="n">
        <x:f>J2522*'Assumptions'!$S$112</x:f>
        <x:v>0</x:v>
      </x:c>
      <x:c r="R2522" s="10" t="n">
        <x:f>H2522*'Assumptions'!$Y$112*'Assumptions'!$Z$112*'Assumptions'!$D$11*(1+'Assumptions'!$D$13)^(20-1)</x:f>
        <x:v>524.6877979876789</x:v>
      </x:c>
      <x:c r="S2522" s="10" t="n">
        <x:f>IF(I2522=0,0,J2522*'Assumptions'!$W$112+H2522*'Assumptions'!$X$112)</x:f>
        <x:v>2034.5918738147911</x:v>
      </x:c>
      <x:c r="T2522" s="10" t="n">
        <x:f>N2522*'Assumptions'!$AA$112</x:f>
        <x:v>2706.1300680809118</x:v>
      </x:c>
      <x:c r="U2522" s="10" t="n">
        <x:f>'Assumptions'!$AE$112*'Assumptions'!$D$11*(1+'Assumptions'!$D$13)^(20-1)</x:f>
        <x:v>0</x:v>
      </x:c>
      <x:c r="V2522" s="10" t="n">
        <x:f>0</x:f>
        <x:v>0</x:v>
      </x:c>
      <x:c r="W2522" s="10" t="n">
        <x:f>H2522*('Assumptions'!$P$112+'Assumptions'!$Y$112)</x:f>
        <x:v>408.9368968291579</x:v>
      </x:c>
      <x:c r="X2522" s="10" t="n">
        <x:f>N2522/12*'Assumptions'!$AF$112</x:f>
        <x:v>5637.770975168566</x:v>
      </x:c>
      <x:c r="Y2522" s="10" t="n">
        <x:f>P2522/12</x:f>
        <x:v>874.4796633127982</x:v>
      </x:c>
      <x:c r="Z2522" s="10" t="n">
        <x:f>0</x:f>
        <x:v>0</x:v>
      </x:c>
      <x:c r="AA2522" s="10" t="n">
        <x:f>Z2522*'Assumptions'!$AC$112*'Assumptions'!$D$11*(1+'Assumptions'!$D$13)^(20-1)</x:f>
        <x:v>0</x:v>
      </x:c>
      <x:c r="AB2522" s="10" t="n">
        <x:f>F2522/1</x:f>
        <x:v>20.52918085180662</x:v>
      </x:c>
      <x:c r="AC2522" s="10" t="n">
        <x:f>AB2522/'Assumptions'!$AM$112</x:f>
        <x:v>102.64590425903309</x:v>
      </x:c>
      <x:c r="AD2522" s="10" t="n">
        <x:f>IF(AB2522=0,0,T2522/AB2522)</x:f>
        <x:v>131.8187066310912</x:v>
      </x:c>
      <x:c r="AE2522" s="10" t="n">
        <x:f>AA2522*'Assumptions'!$D$21</x:f>
        <x:v>0</x:v>
      </x:c>
    </x:row>
    <x:row r="2523" ht="16" customHeight="1">
      <x:c r="A2523" s="1"/>
      <x:c r="B2523" s="1"/>
      <x:c r="C2523" s="1" t="str">
        <x:v>DOT-084</x:v>
      </x:c>
      <x:c r="D2523" s="10" t="str">
        <x:v>Semajes Studio</x:v>
      </x:c>
      <x:c r="E2523" s="10" t="n">
        <x:v>20</x:v>
      </x:c>
      <x:c r="F2523" s="21" t="n">
        <x:f>F2395*(1+'Assumptions'!$M$113)</x:f>
        <x:v>136.86120567871086</x:v>
      </x:c>
      <x:c r="G2523" s="21" t="n">
        <x:f>H2395*'Assumptions'!$K$113</x:f>
        <x:v>129.11401177114803</x:v>
      </x:c>
      <x:c r="H2523" s="21" t="n">
        <x:f>IF(AND(COUNT('Assumptions'!$H$113,'Assumptions'!$I$113,'Assumptions'!$J$113,'Assumptions'!$K$113,'Assumptions'!$L$113,'Assumptions'!$M$113,'Assumptions'!$P$113,'Assumptions'!$Q$113,'Assumptions'!$R$113,'Assumptions'!$S$113,'Assumptions'!$T$113,'Assumptions'!$U$113,'Assumptions'!$V$113,'Assumptions'!$W$113,'Assumptions'!$X$113,'Assumptions'!$Y$113,'Assumptions'!$Z$113,'Assumptions'!$AA$113,'Assumptions'!$AD$113,'Assumptions'!$AE$113,'Assumptions'!$AF$113)=21,COUNT('Assumptions'!$D$8:$D$21)=14,'Assumptions'!$J$113&gt;=1,'Assumptions'!$J$113&lt;=12,'Assumptions'!$D$8&gt;=0,'Assumptions'!$D$15&gt;0),F2523+G2523,NA())</x:f>
        <x:v>265.97521744985886</x:v>
      </x:c>
      <x:c r="I2523" s="22" t="n">
        <x:f>'Assumptions'!$H$113*IF('Assumptions'!$O$113=1,1,'Assumptions'!$D$10)*(1+'Assumptions'!$N$113)^(20-1)</x:f>
        <x:v>50.988391038472955</x:v>
      </x:c>
      <x:c r="J2523" s="10" t="n">
        <x:f>H2523*I2523</x:f>
        <x:v>13561.64839387628</x:v>
      </x:c>
      <x:c r="K2523" s="10" t="n">
        <x:f>J2523*'Assumptions'!$T$113</x:f>
        <x:v>13561.64839387628</x:v>
      </x:c>
      <x:c r="L2523" s="10" t="n">
        <x:f>K2523*'Assumptions'!$U$113</x:f>
        <x:v>406.84945181628837</x:v>
      </x:c>
      <x:c r="M2523" s="10" t="n">
        <x:f>K2523*'Assumptions'!$V$113</x:f>
        <x:v>0</x:v>
      </x:c>
      <x:c r="N2523" s="10" t="n">
        <x:f>K2523-L2523-M2523</x:f>
        <x:v>13154.798942059992</x:v>
      </x:c>
      <x:c r="O2523" s="10" t="n">
        <x:f>H2523*'Assumptions'!$P$113*'Assumptions'!$Q$113*'Assumptions'!$D$11*(1+'Assumptions'!$D$13)^(20-1)</x:f>
        <x:v>2331.9457688341295</x:v>
      </x:c>
      <x:c r="P2523" s="10" t="n">
        <x:f>H2523*'Assumptions'!$R$113*'Assumptions'!$D$11*(1+'Assumptions'!$D$13)^(20-1)</x:f>
        <x:v>0</x:v>
      </x:c>
      <x:c r="Q2523" s="10" t="n">
        <x:f>J2523*'Assumptions'!$S$113</x:f>
        <x:v>0</x:v>
      </x:c>
      <x:c r="R2523" s="10" t="n">
        <x:f>H2523*'Assumptions'!$Y$113*'Assumptions'!$Z$113*'Assumptions'!$D$11*(1+'Assumptions'!$D$13)^(20-1)</x:f>
        <x:v>3497.918653251194</x:v>
      </x:c>
      <x:c r="S2523" s="10" t="n">
        <x:f>IF(I2523=0,0,J2523*'Assumptions'!$W$113+H2523*'Assumptions'!$X$113)</x:f>
        <x:v>473.0803686573698</x:v>
      </x:c>
      <x:c r="T2523" s="10" t="n">
        <x:f>N2523*'Assumptions'!$AA$113</x:f>
        <x:v>526.1919576823997</x:v>
      </x:c>
      <x:c r="U2523" s="10" t="n">
        <x:f>'Assumptions'!$AE$113*'Assumptions'!$D$11*(1+'Assumptions'!$D$13)^(20-1)</x:f>
        <x:v>0</x:v>
      </x:c>
      <x:c r="V2523" s="10" t="n">
        <x:f>0</x:f>
        <x:v>0</x:v>
      </x:c>
      <x:c r="W2523" s="10" t="n">
        <x:f>H2523*('Assumptions'!$P$113+'Assumptions'!$Y$113)</x:f>
        <x:v>93.0913261074506</x:v>
      </x:c>
      <x:c r="X2523" s="10" t="n">
        <x:f>N2523/12*'Assumptions'!$AF$113</x:f>
        <x:v>1096.2332451716659</x:v>
      </x:c>
      <x:c r="Y2523" s="10" t="n">
        <x:f>P2523/12</x:f>
        <x:v>0</x:v>
      </x:c>
      <x:c r="Z2523" s="10" t="n">
        <x:f>0</x:f>
        <x:v>0</x:v>
      </x:c>
      <x:c r="AA2523" s="10" t="n">
        <x:f>Z2523*'Assumptions'!$AC$113*'Assumptions'!$D$11*(1+'Assumptions'!$D$13)^(20-1)</x:f>
        <x:v>0</x:v>
      </x:c>
      <x:c r="AB2523" s="10" t="n">
        <x:f>F2523/1</x:f>
        <x:v>136.86120567871086</x:v>
      </x:c>
      <x:c r="AC2523" s="10" t="n">
        <x:f>AB2523/'Assumptions'!$AM$113</x:f>
        <x:v>684.3060283935542</x:v>
      </x:c>
      <x:c r="AD2523" s="10" t="n">
        <x:f>IF(AB2523=0,0,T2523/AB2523)</x:f>
        <x:v>3.8447122767401596</x:v>
      </x:c>
      <x:c r="AE2523" s="10" t="n">
        <x:f>AA2523*'Assumptions'!$D$21</x:f>
        <x:v>0</x:v>
      </x:c>
    </x:row>
    <x:row r="2524" ht="16" customHeight="1">
      <x:c r="A2524" s="1"/>
      <x:c r="B2524" s="1"/>
      <x:c r="C2524" s="1" t="str">
        <x:v>DOT-085</x:v>
      </x:c>
      <x:c r="D2524" s="10" t="str">
        <x:v>Semajes Studio</x:v>
      </x:c>
      <x:c r="E2524" s="10" t="n">
        <x:v>20</x:v>
      </x:c>
      <x:c r="F2524" s="21" t="n">
        <x:f>F2396*(1+'Assumptions'!$M$114)</x:f>
        <x:v>41.05836170361324</x:v>
      </x:c>
      <x:c r="G2524" s="21" t="n">
        <x:f>H2396*'Assumptions'!$K$114</x:f>
        <x:v>38.73420353134439</x:v>
      </x:c>
      <x:c r="H2524" s="21" t="n">
        <x:f>IF(AND(COUNT('Assumptions'!$H$114,'Assumptions'!$I$114,'Assumptions'!$J$114,'Assumptions'!$K$114,'Assumptions'!$L$114,'Assumptions'!$M$114,'Assumptions'!$P$114,'Assumptions'!$Q$114,'Assumptions'!$R$114,'Assumptions'!$S$114,'Assumptions'!$T$114,'Assumptions'!$U$114,'Assumptions'!$V$114,'Assumptions'!$W$114,'Assumptions'!$X$114,'Assumptions'!$Y$114,'Assumptions'!$Z$114,'Assumptions'!$AA$114,'Assumptions'!$AD$114,'Assumptions'!$AE$114,'Assumptions'!$AF$114)=21,COUNT('Assumptions'!$D$8:$D$21)=14,'Assumptions'!$J$114&gt;=1,'Assumptions'!$J$114&lt;=12,'Assumptions'!$D$8&gt;=0,'Assumptions'!$D$15&gt;0),F2524+G2524,NA())</x:f>
        <x:v>79.79256523495764</x:v>
      </x:c>
      <x:c r="I2524" s="22" t="n">
        <x:f>'Assumptions'!$H$114*IF('Assumptions'!$O$114=1,1,'Assumptions'!$D$10)*(1+'Assumptions'!$N$114)^(20-1)</x:f>
        <x:v>218.5216758791698</x:v>
      </x:c>
      <x:c r="J2524" s="10" t="n">
        <x:f>H2524*I2524</x:f>
        <x:v>17436.405077840926</x:v>
      </x:c>
      <x:c r="K2524" s="10" t="n">
        <x:f>J2524*'Assumptions'!$T$114</x:f>
        <x:v>17436.405077840926</x:v>
      </x:c>
      <x:c r="L2524" s="10" t="n">
        <x:f>K2524*'Assumptions'!$U$114</x:f>
        <x:v>523.0921523352278</x:v>
      </x:c>
      <x:c r="M2524" s="10" t="n">
        <x:f>K2524*'Assumptions'!$V$114</x:f>
        <x:v>0</x:v>
      </x:c>
      <x:c r="N2524" s="10" t="n">
        <x:f>K2524-L2524-M2524</x:f>
        <x:v>16913.3129255057</x:v>
      </x:c>
      <x:c r="O2524" s="10" t="n">
        <x:f>H2524*'Assumptions'!$P$114*'Assumptions'!$Q$114*'Assumptions'!$D$11*(1+'Assumptions'!$D$13)^(20-1)</x:f>
        <x:v>1748.9593266255965</x:v>
      </x:c>
      <x:c r="P2524" s="10" t="n">
        <x:f>H2524*'Assumptions'!$R$114*'Assumptions'!$D$11*(1+'Assumptions'!$D$13)^(20-1)</x:f>
        <x:v>0</x:v>
      </x:c>
      <x:c r="Q2524" s="10" t="n">
        <x:f>J2524*'Assumptions'!$S$114</x:f>
        <x:v>0</x:v>
      </x:c>
      <x:c r="R2524" s="10" t="n">
        <x:f>H2524*'Assumptions'!$Y$114*'Assumptions'!$Z$114*'Assumptions'!$D$11*(1+'Assumptions'!$D$13)^(20-1)</x:f>
        <x:v>1049.3755959753578</x:v>
      </x:c>
      <x:c r="S2524" s="10" t="n">
        <x:f>IF(I2524=0,0,J2524*'Assumptions'!$W$114+H2524*'Assumptions'!$X$114)</x:f>
        <x:v>529.5935168278742</x:v>
      </x:c>
      <x:c r="T2524" s="10" t="n">
        <x:f>N2524*'Assumptions'!$AA$114</x:f>
        <x:v>676.5325170202279</x:v>
      </x:c>
      <x:c r="U2524" s="10" t="n">
        <x:f>'Assumptions'!$AE$114*'Assumptions'!$D$11*(1+'Assumptions'!$D$13)^(20-1)</x:f>
        <x:v>0</x:v>
      </x:c>
      <x:c r="V2524" s="10" t="n">
        <x:f>0</x:f>
        <x:v>0</x:v>
      </x:c>
      <x:c r="W2524" s="10" t="n">
        <x:f>H2524*('Assumptions'!$P$114+'Assumptions'!$Y$114)</x:f>
        <x:v>39.89628261747882</x:v>
      </x:c>
      <x:c r="X2524" s="10" t="n">
        <x:f>N2524/12*'Assumptions'!$AF$114</x:f>
        <x:v>1409.4427437921415</x:v>
      </x:c>
      <x:c r="Y2524" s="10" t="n">
        <x:f>P2524/12</x:f>
        <x:v>0</x:v>
      </x:c>
      <x:c r="Z2524" s="10" t="n">
        <x:f>0</x:f>
        <x:v>0</x:v>
      </x:c>
      <x:c r="AA2524" s="10" t="n">
        <x:f>Z2524*'Assumptions'!$AC$114*'Assumptions'!$D$11*(1+'Assumptions'!$D$13)^(20-1)</x:f>
        <x:v>0</x:v>
      </x:c>
      <x:c r="AB2524" s="10" t="n">
        <x:f>F2524/1</x:f>
        <x:v>41.05836170361324</x:v>
      </x:c>
      <x:c r="AC2524" s="10" t="n">
        <x:f>AB2524/'Assumptions'!$AM$114</x:f>
        <x:v>205.29180851806618</x:v>
      </x:c>
      <x:c r="AD2524" s="10" t="n">
        <x:f>IF(AB2524=0,0,T2524/AB2524)</x:f>
        <x:v>16.4773383288864</x:v>
      </x:c>
      <x:c r="AE2524" s="10" t="n">
        <x:f>AA2524*'Assumptions'!$D$21</x:f>
        <x:v>0</x:v>
      </x:c>
    </x:row>
    <x:row r="2525" ht="16" customHeight="1">
      <x:c r="A2525" s="1"/>
      <x:c r="B2525" s="1"/>
      <x:c r="C2525" s="1" t="str">
        <x:v>DOT-086</x:v>
      </x:c>
      <x:c r="D2525" s="10" t="str">
        <x:v>Semajes Studio</x:v>
      </x:c>
      <x:c r="E2525" s="10" t="n">
        <x:v>20</x:v>
      </x:c>
      <x:c r="F2525" s="21" t="n">
        <x:f>F2397*(1+'Assumptions'!$M$115)</x:f>
        <x:v>20.52918085180662</x:v>
      </x:c>
      <x:c r="G2525" s="21" t="n">
        <x:f>H2397*'Assumptions'!$K$115</x:f>
        <x:v>19.367101765672196</x:v>
      </x:c>
      <x:c r="H2525" s="21" t="n">
        <x:f>IF(AND(COUNT('Assumptions'!$H$115,'Assumptions'!$I$115,'Assumptions'!$J$115,'Assumptions'!$K$115,'Assumptions'!$L$115,'Assumptions'!$M$115,'Assumptions'!$P$115,'Assumptions'!$Q$115,'Assumptions'!$R$115,'Assumptions'!$S$115,'Assumptions'!$T$115,'Assumptions'!$U$115,'Assumptions'!$V$115,'Assumptions'!$W$115,'Assumptions'!$X$115,'Assumptions'!$Y$115,'Assumptions'!$Z$115,'Assumptions'!$AA$115,'Assumptions'!$AD$115,'Assumptions'!$AE$115,'Assumptions'!$AF$115)=21,COUNT('Assumptions'!$D$8:$D$21)=14,'Assumptions'!$J$115&gt;=1,'Assumptions'!$J$115&lt;=12,'Assumptions'!$D$8&gt;=0,'Assumptions'!$D$15&gt;0),F2525+G2525,NA())</x:f>
        <x:v>39.89628261747882</x:v>
      </x:c>
      <x:c r="I2525" s="22" t="n">
        <x:f>'Assumptions'!$H$115*IF('Assumptions'!$O$115=1,1,'Assumptions'!$D$10)*(1+'Assumptions'!$N$115)^(20-1)</x:f>
        <x:v>728.4055862638994</x:v>
      </x:c>
      <x:c r="J2525" s="10" t="n">
        <x:f>H2525*I2525</x:f>
        <x:v>29060.67512973488</x:v>
      </x:c>
      <x:c r="K2525" s="10" t="n">
        <x:f>J2525*'Assumptions'!$T$115</x:f>
        <x:v>29060.67512973488</x:v>
      </x:c>
      <x:c r="L2525" s="10" t="n">
        <x:f>K2525*'Assumptions'!$U$115</x:f>
        <x:v>871.8202538920464</x:v>
      </x:c>
      <x:c r="M2525" s="10" t="n">
        <x:f>K2525*'Assumptions'!$V$115</x:f>
        <x:v>0</x:v>
      </x:c>
      <x:c r="N2525" s="10" t="n">
        <x:f>K2525-L2525-M2525</x:f>
        <x:v>28188.854875842833</x:v>
      </x:c>
      <x:c r="O2525" s="10" t="n">
        <x:f>H2525*'Assumptions'!$P$115*'Assumptions'!$Q$115*'Assumptions'!$D$11*(1+'Assumptions'!$D$13)^(20-1)</x:f>
        <x:v>3497.918653251193</x:v>
      </x:c>
      <x:c r="P2525" s="10" t="n">
        <x:f>H2525*'Assumptions'!$R$115*'Assumptions'!$D$11*(1+'Assumptions'!$D$13)^(20-1)</x:f>
        <x:v>0</x:v>
      </x:c>
      <x:c r="Q2525" s="10" t="n">
        <x:f>J2525*'Assumptions'!$S$115</x:f>
        <x:v>0</x:v>
      </x:c>
      <x:c r="R2525" s="10" t="n">
        <x:f>H2525*'Assumptions'!$Y$115*'Assumptions'!$Z$115*'Assumptions'!$D$11*(1+'Assumptions'!$D$13)^(20-1)</x:f>
        <x:v>524.6877979876789</x:v>
      </x:c>
      <x:c r="S2525" s="10" t="n">
        <x:f>IF(I2525=0,0,J2525*'Assumptions'!$W$115+H2525*'Assumptions'!$X$115)</x:f>
        <x:v>854.7284635475552</x:v>
      </x:c>
      <x:c r="T2525" s="10" t="n">
        <x:f>N2525*'Assumptions'!$AA$115</x:f>
        <x:v>1127.5541950337133</x:v>
      </x:c>
      <x:c r="U2525" s="10" t="n">
        <x:f>'Assumptions'!$AE$115*'Assumptions'!$D$11*(1+'Assumptions'!$D$13)^(20-1)</x:f>
        <x:v>0</x:v>
      </x:c>
      <x:c r="V2525" s="10" t="n">
        <x:f>0</x:f>
        <x:v>0</x:v>
      </x:c>
      <x:c r="W2525" s="10" t="n">
        <x:f>H2525*('Assumptions'!$P$115+'Assumptions'!$Y$115)</x:f>
        <x:v>49.87035327184852</x:v>
      </x:c>
      <x:c r="X2525" s="10" t="n">
        <x:f>N2525/12*'Assumptions'!$AF$115</x:f>
        <x:v>2349.0712396535696</x:v>
      </x:c>
      <x:c r="Y2525" s="10" t="n">
        <x:f>P2525/12</x:f>
        <x:v>0</x:v>
      </x:c>
      <x:c r="Z2525" s="10" t="n">
        <x:f>0</x:f>
        <x:v>0</x:v>
      </x:c>
      <x:c r="AA2525" s="10" t="n">
        <x:f>Z2525*'Assumptions'!$AC$115*'Assumptions'!$D$11*(1+'Assumptions'!$D$13)^(20-1)</x:f>
        <x:v>0</x:v>
      </x:c>
      <x:c r="AB2525" s="10" t="n">
        <x:f>F2525/1</x:f>
        <x:v>20.52918085180662</x:v>
      </x:c>
      <x:c r="AC2525" s="10" t="n">
        <x:f>AB2525/'Assumptions'!$AM$115</x:f>
        <x:v>102.64590425903309</x:v>
      </x:c>
      <x:c r="AD2525" s="10" t="n">
        <x:f>IF(AB2525=0,0,T2525/AB2525)</x:f>
        <x:v>54.924461096288006</x:v>
      </x:c>
      <x:c r="AE2525" s="10" t="n">
        <x:f>AA2525*'Assumptions'!$D$21</x:f>
        <x:v>0</x:v>
      </x:c>
    </x:row>
    <x:row r="2526" ht="16" customHeight="1">
      <x:c r="A2526" s="1"/>
      <x:c r="B2526" s="1"/>
      <x:c r="C2526" s="1" t="str">
        <x:v>DOT-087</x:v>
      </x:c>
      <x:c r="D2526" s="10" t="str">
        <x:v>Semajes Studio</x:v>
      </x:c>
      <x:c r="E2526" s="10" t="n">
        <x:v>20</x:v>
      </x:c>
      <x:c r="F2526" s="21" t="n">
        <x:f>F2398*(1+'Assumptions'!$M$116)</x:f>
        <x:v>205.9253189507212</x:v>
      </x:c>
      <x:c r="G2526" s="21" t="n">
        <x:f>H2398*'Assumptions'!$K$116</x:f>
        <x:v>84.62684331598598</x:v>
      </x:c>
      <x:c r="H2526" s="21" t="n">
        <x:f>IF(AND(COUNT('Assumptions'!$H$116,'Assumptions'!$I$116,'Assumptions'!$J$116,'Assumptions'!$K$116,'Assumptions'!$L$116,'Assumptions'!$M$116,'Assumptions'!$P$116,'Assumptions'!$Q$116,'Assumptions'!$R$116,'Assumptions'!$S$116,'Assumptions'!$T$116,'Assumptions'!$U$116,'Assumptions'!$V$116,'Assumptions'!$W$116,'Assumptions'!$X$116,'Assumptions'!$Y$116,'Assumptions'!$Z$116,'Assumptions'!$AA$116,'Assumptions'!$AD$116,'Assumptions'!$AE$116,'Assumptions'!$AF$116)=21,COUNT('Assumptions'!$D$8:$D$21)=14,'Assumptions'!$J$116&gt;=1,'Assumptions'!$J$116&lt;=12,'Assumptions'!$D$8&gt;=0,'Assumptions'!$D$15&gt;0),F2526+G2526,NA())</x:f>
        <x:v>290.55216226670717</x:v>
      </x:c>
      <x:c r="I2526" s="22" t="n">
        <x:f>'Assumptions'!$H$116*IF('Assumptions'!$O$116=1,1,'Assumptions'!$D$10)*(1+'Assumptions'!$N$116)^(20-1)</x:f>
        <x:v>138.3970613901409</x:v>
      </x:c>
      <x:c r="J2526" s="10" t="n">
        <x:f>H2526*I2526</x:f>
        <x:v>40211.56543826365</x:v>
      </x:c>
      <x:c r="K2526" s="10" t="n">
        <x:f>J2526*'Assumptions'!$T$116</x:f>
        <x:v>40211.56543826365</x:v>
      </x:c>
      <x:c r="L2526" s="10" t="n">
        <x:f>K2526*'Assumptions'!$U$116</x:f>
        <x:v>1206.3469631479095</x:v>
      </x:c>
      <x:c r="M2526" s="10" t="n">
        <x:f>K2526*'Assumptions'!$V$116</x:f>
        <x:v>804.231308765273</x:v>
      </x:c>
      <x:c r="N2526" s="10" t="n">
        <x:f>K2526-L2526-M2526</x:f>
        <x:v>38200.98716635047</x:v>
      </x:c>
      <x:c r="O2526" s="10" t="n">
        <x:f>H2526*'Assumptions'!$P$116*'Assumptions'!$Q$116*'Assumptions'!$D$11*(1+'Assumptions'!$D$13)^(20-1)</x:f>
        <x:v>3821.137314519834</x:v>
      </x:c>
      <x:c r="P2526" s="10" t="n">
        <x:f>H2526*'Assumptions'!$R$116*'Assumptions'!$D$11*(1+'Assumptions'!$D$13)^(20-1)</x:f>
        <x:v>17831.974134425895</x:v>
      </x:c>
      <x:c r="Q2526" s="10" t="n">
        <x:f>J2526*'Assumptions'!$S$116</x:f>
        <x:v>0</x:v>
      </x:c>
      <x:c r="R2526" s="10" t="n">
        <x:f>H2526*'Assumptions'!$Y$116*'Assumptions'!$Z$116*'Assumptions'!$D$11*(1+'Assumptions'!$D$13)^(20-1)</x:f>
        <x:v>2292.682388711901</x:v>
      </x:c>
      <x:c r="S2526" s="10" t="n">
        <x:f>IF(I2526=0,0,J2526*'Assumptions'!$W$116+H2526*'Assumptions'!$X$116)</x:f>
        <x:v>1253.301046389658</x:v>
      </x:c>
      <x:c r="T2526" s="10" t="n">
        <x:f>N2526*'Assumptions'!$AA$116</x:f>
        <x:v>3056.0789733080373</x:v>
      </x:c>
      <x:c r="U2526" s="10" t="n">
        <x:f>'Assumptions'!$AE$116*'Assumptions'!$D$11*(1+'Assumptions'!$D$13)^(20-1)</x:f>
        <x:v>0</x:v>
      </x:c>
      <x:c r="V2526" s="10" t="n">
        <x:f>0</x:f>
        <x:v>0</x:v>
      </x:c>
      <x:c r="W2526" s="10" t="n">
        <x:f>H2526*('Assumptions'!$P$116+'Assumptions'!$Y$116)</x:f>
        <x:v>87.16564868001215</x:v>
      </x:c>
      <x:c r="X2526" s="10" t="n">
        <x:f>N2526/12*'Assumptions'!$AF$116</x:f>
        <x:v>0</x:v>
      </x:c>
      <x:c r="Y2526" s="10" t="n">
        <x:f>P2526/12</x:f>
        <x:v>1485.9978445354911</x:v>
      </x:c>
      <x:c r="Z2526" s="10" t="n">
        <x:f>0</x:f>
        <x:v>0</x:v>
      </x:c>
      <x:c r="AA2526" s="10" t="n">
        <x:f>Z2526*'Assumptions'!$AC$116*'Assumptions'!$D$11*(1+'Assumptions'!$D$13)^(20-1)</x:f>
        <x:v>0</x:v>
      </x:c>
      <x:c r="AB2526" s="10" t="n">
        <x:f>F2526/1</x:f>
        <x:v>205.9253189507212</x:v>
      </x:c>
      <x:c r="AC2526" s="10" t="n">
        <x:f>AB2526/'Assumptions'!$AM$116</x:f>
        <x:v>6864.177298357374</x:v>
      </x:c>
      <x:c r="AD2526" s="10" t="n">
        <x:f>IF(AB2526=0,0,T2526/AB2526)</x:f>
        <x:v>14.84071501688129</x:v>
      </x:c>
      <x:c r="AE2526" s="10" t="n">
        <x:f>AA2526*'Assumptions'!$D$21</x:f>
        <x:v>0</x:v>
      </x:c>
    </x:row>
    <x:row r="2527" ht="16" customHeight="1">
      <x:c r="A2527" s="1"/>
      <x:c r="B2527" s="1"/>
      <x:c r="C2527" s="1" t="str">
        <x:v>DOT-088</x:v>
      </x:c>
      <x:c r="D2527" s="10" t="str">
        <x:v>Semajes Studio</x:v>
      </x:c>
      <x:c r="E2527" s="10" t="n">
        <x:v>20</x:v>
      </x:c>
      <x:c r="F2527" s="21" t="n">
        <x:f>F2399*(1+'Assumptions'!$M$117)</x:f>
        <x:v>102.9626594753606</x:v>
      </x:c>
      <x:c r="G2527" s="21" t="n">
        <x:f>H2399*'Assumptions'!$K$117</x:f>
        <x:v>42.31342165799299</x:v>
      </x:c>
      <x:c r="H2527" s="21" t="n">
        <x:f>IF(AND(COUNT('Assumptions'!$H$117,'Assumptions'!$I$117,'Assumptions'!$J$117,'Assumptions'!$K$117,'Assumptions'!$L$117,'Assumptions'!$M$117,'Assumptions'!$P$117,'Assumptions'!$Q$117,'Assumptions'!$R$117,'Assumptions'!$S$117,'Assumptions'!$T$117,'Assumptions'!$U$117,'Assumptions'!$V$117,'Assumptions'!$W$117,'Assumptions'!$X$117,'Assumptions'!$Y$117,'Assumptions'!$Z$117,'Assumptions'!$AA$117,'Assumptions'!$AD$117,'Assumptions'!$AE$117,'Assumptions'!$AF$117)=21,COUNT('Assumptions'!$D$8:$D$21)=14,'Assumptions'!$J$117&gt;=1,'Assumptions'!$J$117&lt;=12,'Assumptions'!$D$8&gt;=0,'Assumptions'!$D$15&gt;0),F2527+G2527,NA())</x:f>
        <x:v>145.27608113335359</x:v>
      </x:c>
      <x:c r="I2527" s="22" t="n">
        <x:f>'Assumptions'!$H$117*IF('Assumptions'!$O$117=1,1,'Assumptions'!$D$10)*(1+'Assumptions'!$N$117)^(20-1)</x:f>
        <x:v>364.2027931319497</x:v>
      </x:c>
      <x:c r="J2527" s="10" t="n">
        <x:f>H2527*I2527</x:f>
        <x:v>52909.95452403112</x:v>
      </x:c>
      <x:c r="K2527" s="10" t="n">
        <x:f>J2527*'Assumptions'!$T$117</x:f>
        <x:v>52909.95452403112</x:v>
      </x:c>
      <x:c r="L2527" s="10" t="n">
        <x:f>K2527*'Assumptions'!$U$117</x:f>
        <x:v>1587.2986357209336</x:v>
      </x:c>
      <x:c r="M2527" s="10" t="n">
        <x:f>K2527*'Assumptions'!$V$117</x:f>
        <x:v>1058.1990904806223</x:v>
      </x:c>
      <x:c r="N2527" s="10" t="n">
        <x:f>K2527-L2527-M2527</x:f>
        <x:v>50264.45679782957</x:v>
      </x:c>
      <x:c r="O2527" s="10" t="n">
        <x:f>H2527*'Assumptions'!$P$117*'Assumptions'!$Q$117*'Assumptions'!$D$11*(1+'Assumptions'!$D$13)^(20-1)</x:f>
        <x:v>3184.2810954331953</x:v>
      </x:c>
      <x:c r="P2527" s="10" t="n">
        <x:f>H2527*'Assumptions'!$R$117*'Assumptions'!$D$11*(1+'Assumptions'!$D$13)^(20-1)</x:f>
        <x:v>28021.673639812117</x:v>
      </x:c>
      <x:c r="Q2527" s="10" t="n">
        <x:f>J2527*'Assumptions'!$S$117</x:f>
        <x:v>0</x:v>
      </x:c>
      <x:c r="R2527" s="10" t="n">
        <x:f>H2527*'Assumptions'!$Y$117*'Assumptions'!$Z$117*'Assumptions'!$D$11*(1+'Assumptions'!$D$13)^(20-1)</x:f>
        <x:v>1146.3411943559504</x:v>
      </x:c>
      <x:c r="S2527" s="10" t="n">
        <x:f>IF(I2527=0,0,J2527*'Assumptions'!$W$117+H2527*'Assumptions'!$X$117)</x:f>
        <x:v>1577.9715055369086</x:v>
      </x:c>
      <x:c r="T2527" s="10" t="n">
        <x:f>N2527*'Assumptions'!$AA$117</x:f>
        <x:v>4021.1565438263656</x:v>
      </x:c>
      <x:c r="U2527" s="10" t="n">
        <x:f>'Assumptions'!$AE$117*'Assumptions'!$D$11*(1+'Assumptions'!$D$13)^(20-1)</x:f>
        <x:v>0</x:v>
      </x:c>
      <x:c r="V2527" s="10" t="n">
        <x:f>0</x:f>
        <x:v>0</x:v>
      </x:c>
      <x:c r="W2527" s="10" t="n">
        <x:f>H2527*('Assumptions'!$P$117+'Assumptions'!$Y$117)</x:f>
        <x:v>58.11043245334144</x:v>
      </x:c>
      <x:c r="X2527" s="10" t="n">
        <x:f>N2527/12*'Assumptions'!$AF$117</x:f>
        <x:v>0</x:v>
      </x:c>
      <x:c r="Y2527" s="10" t="n">
        <x:f>P2527/12</x:f>
        <x:v>2335.139469984343</x:v>
      </x:c>
      <x:c r="Z2527" s="10" t="n">
        <x:f>0</x:f>
        <x:v>0</x:v>
      </x:c>
      <x:c r="AA2527" s="10" t="n">
        <x:f>Z2527*'Assumptions'!$AC$117*'Assumptions'!$D$11*(1+'Assumptions'!$D$13)^(20-1)</x:f>
        <x:v>0</x:v>
      </x:c>
      <x:c r="AB2527" s="10" t="n">
        <x:f>F2527/1</x:f>
        <x:v>102.9626594753606</x:v>
      </x:c>
      <x:c r="AC2527" s="10" t="n">
        <x:f>AB2527/'Assumptions'!$AM$117</x:f>
        <x:v>3432.088649178687</x:v>
      </x:c>
      <x:c r="AD2527" s="10" t="n">
        <x:f>IF(AB2527=0,0,T2527/AB2527)</x:f>
        <x:v>39.05451320231919</x:v>
      </x:c>
      <x:c r="AE2527" s="10" t="n">
        <x:f>AA2527*'Assumptions'!$D$21</x:f>
        <x:v>0</x:v>
      </x:c>
    </x:row>
    <x:row r="2528" ht="16" customHeight="1">
      <x:c r="A2528" s="1"/>
      <x:c r="B2528" s="1"/>
      <x:c r="C2528" s="1" t="str">
        <x:v>DOT-089</x:v>
      </x:c>
      <x:c r="D2528" s="10" t="str">
        <x:v>Semajes Studio</x:v>
      </x:c>
      <x:c r="E2528" s="10" t="n">
        <x:v>20</x:v>
      </x:c>
      <x:c r="F2528" s="21" t="n">
        <x:f>F2400*(1+'Assumptions'!$M$118)</x:f>
        <x:v>41.185063790144234</x:v>
      </x:c>
      <x:c r="G2528" s="21" t="n">
        <x:f>H2400*'Assumptions'!$K$118</x:f>
        <x:v>16.92536866319719</x:v>
      </x:c>
      <x:c r="H2528" s="21" t="n">
        <x:f>IF(AND(COUNT('Assumptions'!$H$118,'Assumptions'!$I$118,'Assumptions'!$J$118,'Assumptions'!$K$118,'Assumptions'!$L$118,'Assumptions'!$M$118,'Assumptions'!$P$118,'Assumptions'!$Q$118,'Assumptions'!$R$118,'Assumptions'!$S$118,'Assumptions'!$T$118,'Assumptions'!$U$118,'Assumptions'!$V$118,'Assumptions'!$W$118,'Assumptions'!$X$118,'Assumptions'!$Y$118,'Assumptions'!$Z$118,'Assumptions'!$AA$118,'Assumptions'!$AD$118,'Assumptions'!$AE$118,'Assumptions'!$AF$118)=21,COUNT('Assumptions'!$D$8:$D$21)=14,'Assumptions'!$J$118&gt;=1,'Assumptions'!$J$118&lt;=12,'Assumptions'!$D$8&gt;=0,'Assumptions'!$D$15&gt;0),F2528+G2528,NA())</x:f>
        <x:v>58.110432453341424</x:v>
      </x:c>
      <x:c r="I2528" s="22" t="n">
        <x:f>'Assumptions'!$H$118*IF('Assumptions'!$O$118=1,1,'Assumptions'!$D$10)*(1+'Assumptions'!$N$118)^(20-1)</x:f>
        <x:v>254.9419551923648</x:v>
      </x:c>
      <x:c r="J2528" s="10" t="n">
        <x:f>H2528*I2528</x:f>
        <x:v>14814.78726672871</x:v>
      </x:c>
      <x:c r="K2528" s="10" t="n">
        <x:f>J2528*'Assumptions'!$T$118</x:f>
        <x:v>14814.78726672871</x:v>
      </x:c>
      <x:c r="L2528" s="10" t="n">
        <x:f>K2528*'Assumptions'!$U$118</x:f>
        <x:v>444.4436180018613</x:v>
      </x:c>
      <x:c r="M2528" s="10" t="n">
        <x:f>K2528*'Assumptions'!$V$118</x:f>
        <x:v>296.29574533457424</x:v>
      </x:c>
      <x:c r="N2528" s="10" t="n">
        <x:f>K2528-L2528-M2528</x:f>
        <x:v>14074.047903392275</x:v>
      </x:c>
      <x:c r="O2528" s="10" t="n">
        <x:f>H2528*'Assumptions'!$P$118*'Assumptions'!$Q$118*'Assumptions'!$D$11*(1+'Assumptions'!$D$13)^(20-1)</x:f>
        <x:v>2547.424876346556</x:v>
      </x:c>
      <x:c r="P2528" s="10" t="n">
        <x:f>H2528*'Assumptions'!$R$118*'Assumptions'!$D$11*(1+'Assumptions'!$D$13)^(20-1)</x:f>
        <x:v>9170.729554847601</x:v>
      </x:c>
      <x:c r="Q2528" s="10" t="n">
        <x:f>J2528*'Assumptions'!$S$118</x:f>
        <x:v>0</x:v>
      </x:c>
      <x:c r="R2528" s="10" t="n">
        <x:f>H2528*'Assumptions'!$Y$118*'Assumptions'!$Z$118*'Assumptions'!$D$11*(1+'Assumptions'!$D$13)^(20-1)</x:f>
        <x:v>458.53647774238004</x:v>
      </x:c>
      <x:c r="S2528" s="10" t="n">
        <x:f>IF(I2528=0,0,J2528*'Assumptions'!$W$118+H2528*'Assumptions'!$X$118)</x:f>
        <x:v>447.0619604711351</x:v>
      </x:c>
      <x:c r="T2528" s="10" t="n">
        <x:f>N2528*'Assumptions'!$AA$118</x:f>
        <x:v>1125.923832271382</x:v>
      </x:c>
      <x:c r="U2528" s="10" t="n">
        <x:f>'Assumptions'!$AE$118*'Assumptions'!$D$11*(1+'Assumptions'!$D$13)^(20-1)</x:f>
        <x:v>0</x:v>
      </x:c>
      <x:c r="V2528" s="10" t="n">
        <x:f>0</x:f>
        <x:v>0</x:v>
      </x:c>
      <x:c r="W2528" s="10" t="n">
        <x:f>H2528*('Assumptions'!$P$118+'Assumptions'!$Y$118)</x:f>
        <x:v>37.77178109467193</x:v>
      </x:c>
      <x:c r="X2528" s="10" t="n">
        <x:f>N2528/12*'Assumptions'!$AF$118</x:f>
        <x:v>0</x:v>
      </x:c>
      <x:c r="Y2528" s="10" t="n">
        <x:f>P2528/12</x:f>
        <x:v>764.2274629039667</x:v>
      </x:c>
      <x:c r="Z2528" s="10" t="n">
        <x:f>0</x:f>
        <x:v>0</x:v>
      </x:c>
      <x:c r="AA2528" s="10" t="n">
        <x:f>Z2528*'Assumptions'!$AC$118*'Assumptions'!$D$11*(1+'Assumptions'!$D$13)^(20-1)</x:f>
        <x:v>0</x:v>
      </x:c>
      <x:c r="AB2528" s="10" t="n">
        <x:f>F2528/1</x:f>
        <x:v>41.185063790144234</x:v>
      </x:c>
      <x:c r="AC2528" s="10" t="n">
        <x:f>AB2528/'Assumptions'!$AM$118</x:f>
        <x:v>1372.8354596714746</x:v>
      </x:c>
      <x:c r="AD2528" s="10" t="n">
        <x:f>IF(AB2528=0,0,T2528/AB2528)</x:f>
        <x:v>27.33815924162343</x:v>
      </x:c>
      <x:c r="AE2528" s="10" t="n">
        <x:f>AA2528*'Assumptions'!$D$21</x:f>
        <x:v>0</x:v>
      </x:c>
    </x:row>
    <x:row r="2529" ht="16" customHeight="1">
      <x:c r="A2529" s="1"/>
      <x:c r="B2529" s="1"/>
      <x:c r="C2529" s="1" t="str">
        <x:v>DOT-090</x:v>
      </x:c>
      <x:c r="D2529" s="10" t="str">
        <x:v>Semajes Marketplace</x:v>
      </x:c>
      <x:c r="E2529" s="10" t="n">
        <x:v>20</x:v>
      </x:c>
      <x:c r="F2529" s="21" t="n">
        <x:f>F2401*(1+'Assumptions'!$M$119)</x:f>
        <x:v>116.30164446228048</x:v>
      </x:c>
      <x:c r="G2529" s="21" t="n">
        <x:f>H2401*'Assumptions'!$K$119</x:f>
        <x:v>246.4147647181817</x:v>
      </x:c>
      <x:c r="H2529" s="21" t="n">
        <x:f>IF(AND(COUNT('Assumptions'!$H$119,'Assumptions'!$I$119,'Assumptions'!$J$119,'Assumptions'!$K$119,'Assumptions'!$L$119,'Assumptions'!$M$119,'Assumptions'!$P$119,'Assumptions'!$Q$119,'Assumptions'!$R$119,'Assumptions'!$S$119,'Assumptions'!$T$119,'Assumptions'!$U$119,'Assumptions'!$V$119,'Assumptions'!$W$119,'Assumptions'!$X$119,'Assumptions'!$Y$119,'Assumptions'!$Z$119,'Assumptions'!$AA$119,'Assumptions'!$AD$119,'Assumptions'!$AE$119,'Assumptions'!$AF$119)=21,COUNT('Assumptions'!$D$8:$D$21)=14,'Assumptions'!$J$119&gt;=1,'Assumptions'!$J$119&lt;=12,'Assumptions'!$D$8&gt;=0,'Assumptions'!$D$15&gt;0),F2529+G2529,NA())</x:f>
        <x:v>362.71640918046216</x:v>
      </x:c>
      <x:c r="I2529" s="22" t="n">
        <x:f>'Assumptions'!$H$119*IF('Assumptions'!$O$119=1,1,'Assumptions'!$D$10)*(1+'Assumptions'!$N$119)^(20-1)</x:f>
        <x:v>874.0867035166792</x:v>
      </x:c>
      <x:c r="J2529" s="10" t="n">
        <x:f>H2529*I2529</x:f>
        <x:v>317045.5904119571</x:v>
      </x:c>
      <x:c r="K2529" s="10" t="n">
        <x:f>J2529*'Assumptions'!$T$119</x:f>
        <x:v>47556.838561793564</x:v>
      </x:c>
      <x:c r="L2529" s="10" t="n">
        <x:f>K2529*'Assumptions'!$U$119</x:f>
        <x:v>1426.7051568538068</x:v>
      </x:c>
      <x:c r="M2529" s="10" t="n">
        <x:f>K2529*'Assumptions'!$V$119</x:f>
        <x:v>0</x:v>
      </x:c>
      <x:c r="N2529" s="10" t="n">
        <x:f>K2529-L2529-M2529</x:f>
        <x:v>46130.133404939756</x:v>
      </x:c>
      <x:c r="O2529" s="10" t="n">
        <x:f>H2529*'Assumptions'!$P$119*'Assumptions'!$Q$119*'Assumptions'!$D$11*(1+'Assumptions'!$D$13)^(20-1)</x:f>
        <x:v>5565.222416672897</x:v>
      </x:c>
      <x:c r="P2529" s="10" t="n">
        <x:f>H2529*'Assumptions'!$R$119*'Assumptions'!$D$11*(1+'Assumptions'!$D$13)^(20-1)</x:f>
        <x:v>0</x:v>
      </x:c>
      <x:c r="Q2529" s="10" t="n">
        <x:f>J2529*'Assumptions'!$S$119</x:f>
        <x:v>0</x:v>
      </x:c>
      <x:c r="R2529" s="10" t="n">
        <x:f>H2529*'Assumptions'!$Y$119*'Assumptions'!$Z$119*'Assumptions'!$D$11*(1+'Assumptions'!$D$13)^(20-1)</x:f>
        <x:v>2862.11438571749</x:v>
      </x:c>
      <x:c r="S2529" s="10" t="n">
        <x:f>IF(I2529=0,0,J2529*'Assumptions'!$W$119+H2529*'Assumptions'!$X$119)</x:f>
        <x:v>9303.137044700896</x:v>
      </x:c>
      <x:c r="T2529" s="10" t="n">
        <x:f>N2529*'Assumptions'!$AA$119</x:f>
        <x:v>2306.506670246988</x:v>
      </x:c>
      <x:c r="U2529" s="10" t="n">
        <x:f>'Assumptions'!$AE$119*'Assumptions'!$D$11*(1+'Assumptions'!$D$13)^(20-1)</x:f>
        <x:v>420.84145273850436</x:v>
      </x:c>
      <x:c r="V2529" s="10" t="n">
        <x:f>0</x:f>
        <x:v>0</x:v>
      </x:c>
      <x:c r="W2529" s="10" t="n">
        <x:f>H2529*('Assumptions'!$P$119+'Assumptions'!$Y$119)</x:f>
        <x:v>145.08656367218487</x:v>
      </x:c>
      <x:c r="X2529" s="10" t="n">
        <x:f>N2529/12*'Assumptions'!$AF$119</x:f>
        <x:v>0</x:v>
      </x:c>
      <x:c r="Y2529" s="10" t="n">
        <x:f>P2529/12</x:f>
        <x:v>0</x:v>
      </x:c>
      <x:c r="Z2529" s="10" t="n">
        <x:f>0</x:f>
        <x:v>0</x:v>
      </x:c>
      <x:c r="AA2529" s="10" t="n">
        <x:f>Z2529*'Assumptions'!$AC$119*'Assumptions'!$D$11*(1+'Assumptions'!$D$13)^(20-1)</x:f>
        <x:v>0</x:v>
      </x:c>
      <x:c r="AB2529" s="10" t="n">
        <x:f>F2529/1</x:f>
        <x:v>116.30164446228048</x:v>
      </x:c>
      <x:c r="AC2529" s="10" t="n">
        <x:f>AB2529/'Assumptions'!$AM$119</x:f>
        <x:v>2326.0328892456096</x:v>
      </x:c>
      <x:c r="AD2529" s="10" t="n">
        <x:f>IF(AB2529=0,0,T2529/AB2529)</x:f>
        <x:v>19.832107111736033</x:v>
      </x:c>
      <x:c r="AE2529" s="10" t="n">
        <x:f>AA2529*'Assumptions'!$D$21</x:f>
        <x:v>0</x:v>
      </x:c>
    </x:row>
    <x:row r="2530" ht="16" customHeight="1">
      <x:c r="A2530" s="1"/>
      <x:c r="B2530" s="1"/>
      <x:c r="C2530" s="1" t="str">
        <x:v>DOT-091</x:v>
      </x:c>
      <x:c r="D2530" s="10" t="str">
        <x:v>Semajes Marketplace</x:v>
      </x:c>
      <x:c r="E2530" s="10" t="n">
        <x:v>20</x:v>
      </x:c>
      <x:c r="F2530" s="21" t="n">
        <x:f>F2402*(1+'Assumptions'!$M$120)</x:f>
        <x:v>232.60328892456096</x:v>
      </x:c>
      <x:c r="G2530" s="21" t="n">
        <x:f>H2402*'Assumptions'!$K$120</x:f>
        <x:v>492.8295294363634</x:v>
      </x:c>
      <x:c r="H2530" s="21" t="n">
        <x:f>IF(AND(COUNT('Assumptions'!$H$120,'Assumptions'!$I$120,'Assumptions'!$J$120,'Assumptions'!$K$120,'Assumptions'!$L$120,'Assumptions'!$M$120,'Assumptions'!$P$120,'Assumptions'!$Q$120,'Assumptions'!$R$120,'Assumptions'!$S$120,'Assumptions'!$T$120,'Assumptions'!$U$120,'Assumptions'!$V$120,'Assumptions'!$W$120,'Assumptions'!$X$120,'Assumptions'!$Y$120,'Assumptions'!$Z$120,'Assumptions'!$AA$120,'Assumptions'!$AD$120,'Assumptions'!$AE$120,'Assumptions'!$AF$120)=21,COUNT('Assumptions'!$D$8:$D$21)=14,'Assumptions'!$J$120&gt;=1,'Assumptions'!$J$120&lt;=12,'Assumptions'!$D$8&gt;=0,'Assumptions'!$D$15&gt;0),F2530+G2530,NA())</x:f>
        <x:v>725.4328183609243</x:v>
      </x:c>
      <x:c r="I2530" s="22" t="n">
        <x:f>'Assumptions'!$H$120*IF('Assumptions'!$O$120=1,1,'Assumptions'!$D$10)*(1+'Assumptions'!$N$120)^(20-1)</x:f>
        <x:v>109.2608379395849</x:v>
      </x:c>
      <x:c r="J2530" s="10" t="n">
        <x:f>H2530*I2530</x:f>
        <x:v>79261.39760298928</x:v>
      </x:c>
      <x:c r="K2530" s="10" t="n">
        <x:f>J2530*'Assumptions'!$T$120</x:f>
        <x:v>15852.279520597856</x:v>
      </x:c>
      <x:c r="L2530" s="10" t="n">
        <x:f>K2530*'Assumptions'!$U$120</x:f>
        <x:v>475.5683856179357</x:v>
      </x:c>
      <x:c r="M2530" s="10" t="n">
        <x:f>K2530*'Assumptions'!$V$120</x:f>
        <x:v>0</x:v>
      </x:c>
      <x:c r="N2530" s="10" t="n">
        <x:f>K2530-L2530-M2530</x:f>
        <x:v>15376.711134979922</x:v>
      </x:c>
      <x:c r="O2530" s="10" t="n">
        <x:f>H2530*'Assumptions'!$P$120*'Assumptions'!$Q$120*'Assumptions'!$D$11*(1+'Assumptions'!$D$13)^(20-1)</x:f>
        <x:v>4452.177933338318</x:v>
      </x:c>
      <x:c r="P2530" s="10" t="n">
        <x:f>H2530*'Assumptions'!$R$120*'Assumptions'!$D$11*(1+'Assumptions'!$D$13)^(20-1)</x:f>
        <x:v>0</x:v>
      </x:c>
      <x:c r="Q2530" s="10" t="n">
        <x:f>J2530*'Assumptions'!$S$120</x:f>
        <x:v>0</x:v>
      </x:c>
      <x:c r="R2530" s="10" t="n">
        <x:f>H2530*'Assumptions'!$Y$120*'Assumptions'!$Z$120*'Assumptions'!$D$11*(1+'Assumptions'!$D$13)^(20-1)</x:f>
        <x:v>5724.22877143498</x:v>
      </x:c>
      <x:c r="S2530" s="10" t="n">
        <x:f>IF(I2530=0,0,J2530*'Assumptions'!$W$120+H2530*'Assumptions'!$X$120)</x:f>
        <x:v>2516.210375994967</x:v>
      </x:c>
      <x:c r="T2530" s="10" t="n">
        <x:f>N2530*'Assumptions'!$AA$120</x:f>
        <x:v>768.8355567489962</x:v>
      </x:c>
      <x:c r="U2530" s="10" t="n">
        <x:f>'Assumptions'!$AE$120*'Assumptions'!$D$11*(1+'Assumptions'!$D$13)^(20-1)</x:f>
        <x:v>0</x:v>
      </x:c>
      <x:c r="V2530" s="10" t="n">
        <x:f>0</x:f>
        <x:v>0</x:v>
      </x:c>
      <x:c r="W2530" s="10" t="n">
        <x:f>H2530*('Assumptions'!$P$120+'Assumptions'!$Y$120)</x:f>
        <x:v>181.35820459023108</x:v>
      </x:c>
      <x:c r="X2530" s="10" t="n">
        <x:f>N2530/12*'Assumptions'!$AF$120</x:f>
        <x:v>0</x:v>
      </x:c>
      <x:c r="Y2530" s="10" t="n">
        <x:f>P2530/12</x:f>
        <x:v>0</x:v>
      </x:c>
      <x:c r="Z2530" s="10" t="n">
        <x:f>0</x:f>
        <x:v>0</x:v>
      </x:c>
      <x:c r="AA2530" s="10" t="n">
        <x:f>Z2530*'Assumptions'!$AC$120*'Assumptions'!$D$11*(1+'Assumptions'!$D$13)^(20-1)</x:f>
        <x:v>0</x:v>
      </x:c>
      <x:c r="AB2530" s="10" t="n">
        <x:f>F2530/1</x:f>
        <x:v>232.60328892456096</x:v>
      </x:c>
      <x:c r="AC2530" s="10" t="n">
        <x:f>AB2530/'Assumptions'!$AM$120</x:f>
        <x:v>4652.065778491219</x:v>
      </x:c>
      <x:c r="AD2530" s="10" t="n">
        <x:f>IF(AB2530=0,0,T2530/AB2530)</x:f>
        <x:v>3.3053511852893394</x:v>
      </x:c>
      <x:c r="AE2530" s="10" t="n">
        <x:f>AA2530*'Assumptions'!$D$21</x:f>
        <x:v>0</x:v>
      </x:c>
    </x:row>
    <x:row r="2531" ht="16" customHeight="1">
      <x:c r="A2531" s="1"/>
      <x:c r="B2531" s="1"/>
      <x:c r="C2531" s="1" t="str">
        <x:v>DOT-092</x:v>
      </x:c>
      <x:c r="D2531" s="10" t="str">
        <x:v>Semajes Marketplace</x:v>
      </x:c>
      <x:c r="E2531" s="10" t="n">
        <x:v>20</x:v>
      </x:c>
      <x:c r="F2531" s="21" t="n">
        <x:f>F2403*(1+'Assumptions'!$M$121)</x:f>
        <x:v>116.30164446228048</x:v>
      </x:c>
      <x:c r="G2531" s="21" t="n">
        <x:f>H2403*'Assumptions'!$K$121</x:f>
        <x:v>246.4147647181817</x:v>
      </x:c>
      <x:c r="H2531" s="21" t="n">
        <x:f>IF(AND(COUNT('Assumptions'!$H$121,'Assumptions'!$I$121,'Assumptions'!$J$121,'Assumptions'!$K$121,'Assumptions'!$L$121,'Assumptions'!$M$121,'Assumptions'!$P$121,'Assumptions'!$Q$121,'Assumptions'!$R$121,'Assumptions'!$S$121,'Assumptions'!$T$121,'Assumptions'!$U$121,'Assumptions'!$V$121,'Assumptions'!$W$121,'Assumptions'!$X$121,'Assumptions'!$Y$121,'Assumptions'!$Z$121,'Assumptions'!$AA$121,'Assumptions'!$AD$121,'Assumptions'!$AE$121,'Assumptions'!$AF$121)=21,COUNT('Assumptions'!$D$8:$D$21)=14,'Assumptions'!$J$121&gt;=1,'Assumptions'!$J$121&lt;=12,'Assumptions'!$D$8&gt;=0,'Assumptions'!$D$15&gt;0),F2531+G2531,NA())</x:f>
        <x:v>362.71640918046216</x:v>
      </x:c>
      <x:c r="I2531" s="22" t="n">
        <x:f>'Assumptions'!$H$121*IF('Assumptions'!$O$121=1,1,'Assumptions'!$D$10)*(1+'Assumptions'!$N$121)^(20-1)</x:f>
        <x:v>364.2027931319497</x:v>
      </x:c>
      <x:c r="J2531" s="10" t="n">
        <x:f>H2531*I2531</x:f>
        <x:v>132102.3293383155</x:v>
      </x:c>
      <x:c r="K2531" s="10" t="n">
        <x:f>J2531*'Assumptions'!$T$121</x:f>
        <x:v>26420.4658676631</x:v>
      </x:c>
      <x:c r="L2531" s="10" t="n">
        <x:f>K2531*'Assumptions'!$U$121</x:f>
        <x:v>792.613976029893</x:v>
      </x:c>
      <x:c r="M2531" s="10" t="n">
        <x:f>K2531*'Assumptions'!$V$121</x:f>
        <x:v>0</x:v>
      </x:c>
      <x:c r="N2531" s="10" t="n">
        <x:f>K2531-L2531-M2531</x:f>
        <x:v>25627.851891633207</x:v>
      </x:c>
      <x:c r="O2531" s="10" t="n">
        <x:f>H2531*'Assumptions'!$P$121*'Assumptions'!$Q$121*'Assumptions'!$D$11*(1+'Assumptions'!$D$13)^(20-1)</x:f>
        <x:v>3339.1334500037387</x:v>
      </x:c>
      <x:c r="P2531" s="10" t="n">
        <x:f>H2531*'Assumptions'!$R$121*'Assumptions'!$D$11*(1+'Assumptions'!$D$13)^(20-1)</x:f>
        <x:v>0</x:v>
      </x:c>
      <x:c r="Q2531" s="10" t="n">
        <x:f>J2531*'Assumptions'!$S$121</x:f>
        <x:v>0</x:v>
      </x:c>
      <x:c r="R2531" s="10" t="n">
        <x:f>H2531*'Assumptions'!$Y$121*'Assumptions'!$Z$121*'Assumptions'!$D$11*(1+'Assumptions'!$D$13)^(20-1)</x:f>
        <x:v>2862.11438571749</x:v>
      </x:c>
      <x:c r="S2531" s="10" t="n">
        <x:f>IF(I2531=0,0,J2531*'Assumptions'!$W$121+H2531*'Assumptions'!$X$121)</x:f>
        <x:v>3939.782473565288</x:v>
      </x:c>
      <x:c r="T2531" s="10" t="n">
        <x:f>N2531*'Assumptions'!$AA$121</x:f>
        <x:v>1281.3925945816604</x:v>
      </x:c>
      <x:c r="U2531" s="10" t="n">
        <x:f>'Assumptions'!$AE$121*'Assumptions'!$D$11*(1+'Assumptions'!$D$13)^(20-1)</x:f>
        <x:v>0</x:v>
      </x:c>
      <x:c r="V2531" s="10" t="n">
        <x:f>0</x:f>
        <x:v>0</x:v>
      </x:c>
      <x:c r="W2531" s="10" t="n">
        <x:f>H2531*('Assumptions'!$P$121+'Assumptions'!$Y$121)</x:f>
        <x:v>108.81492275413865</x:v>
      </x:c>
      <x:c r="X2531" s="10" t="n">
        <x:f>N2531/12*'Assumptions'!$AF$121</x:f>
        <x:v>0</x:v>
      </x:c>
      <x:c r="Y2531" s="10" t="n">
        <x:f>P2531/12</x:f>
        <x:v>0</x:v>
      </x:c>
      <x:c r="Z2531" s="10" t="n">
        <x:f>0</x:f>
        <x:v>0</x:v>
      </x:c>
      <x:c r="AA2531" s="10" t="n">
        <x:f>Z2531*'Assumptions'!$AC$121*'Assumptions'!$D$11*(1+'Assumptions'!$D$13)^(20-1)</x:f>
        <x:v>0</x:v>
      </x:c>
      <x:c r="AB2531" s="10" t="n">
        <x:f>F2531/1</x:f>
        <x:v>116.30164446228048</x:v>
      </x:c>
      <x:c r="AC2531" s="10" t="n">
        <x:f>AB2531/'Assumptions'!$AM$121</x:f>
        <x:v>2326.0328892456096</x:v>
      </x:c>
      <x:c r="AD2531" s="10" t="n">
        <x:f>IF(AB2531=0,0,T2531/AB2531)</x:f>
        <x:v>11.017837284297798</x:v>
      </x:c>
      <x:c r="AE2531" s="10" t="n">
        <x:f>AA2531*'Assumptions'!$D$21</x:f>
        <x:v>0</x:v>
      </x:c>
    </x:row>
    <x:row r="2532" ht="16" customHeight="1">
      <x:c r="A2532" s="1"/>
      <x:c r="B2532" s="1"/>
      <x:c r="C2532" s="1" t="str">
        <x:v>DOT-093</x:v>
      </x:c>
      <x:c r="D2532" s="10" t="str">
        <x:v>Semajes Marketplace</x:v>
      </x:c>
      <x:c r="E2532" s="10" t="n">
        <x:v>20</x:v>
      </x:c>
      <x:c r="F2532" s="21" t="n">
        <x:f>F2404*(1+'Assumptions'!$M$122)</x:f>
        <x:v>23.260328892456098</x:v>
      </x:c>
      <x:c r="G2532" s="21" t="n">
        <x:f>H2404*'Assumptions'!$K$122</x:f>
        <x:v>49.282952943636346</x:v>
      </x:c>
      <x:c r="H2532" s="21" t="n">
        <x:f>IF(AND(COUNT('Assumptions'!$H$122,'Assumptions'!$I$122,'Assumptions'!$J$122,'Assumptions'!$K$122,'Assumptions'!$L$122,'Assumptions'!$M$122,'Assumptions'!$P$122,'Assumptions'!$Q$122,'Assumptions'!$R$122,'Assumptions'!$S$122,'Assumptions'!$T$122,'Assumptions'!$U$122,'Assumptions'!$V$122,'Assumptions'!$W$122,'Assumptions'!$X$122,'Assumptions'!$Y$122,'Assumptions'!$Z$122,'Assumptions'!$AA$122,'Assumptions'!$AD$122,'Assumptions'!$AE$122,'Assumptions'!$AF$122)=21,COUNT('Assumptions'!$D$8:$D$21)=14,'Assumptions'!$J$122&gt;=1,'Assumptions'!$J$122&lt;=12,'Assumptions'!$D$8&gt;=0,'Assumptions'!$D$15&gt;0),F2532+G2532,NA())</x:f>
        <x:v>72.54328183609245</x:v>
      </x:c>
      <x:c r="I2532" s="22" t="n">
        <x:f>'Assumptions'!$H$122*IF('Assumptions'!$O$122=1,1,'Assumptions'!$D$10)*(1+'Assumptions'!$N$122)^(20-1)</x:f>
        <x:v>728.4055862638994</x:v>
      </x:c>
      <x:c r="J2532" s="10" t="n">
        <x:f>H2532*I2532</x:f>
        <x:v>52840.9317353262</x:v>
      </x:c>
      <x:c r="K2532" s="10" t="n">
        <x:f>J2532*'Assumptions'!$T$122</x:f>
        <x:v>7926.13976029893</x:v>
      </x:c>
      <x:c r="L2532" s="10" t="n">
        <x:f>K2532*'Assumptions'!$U$122</x:f>
        <x:v>237.7841928089679</x:v>
      </x:c>
      <x:c r="M2532" s="10" t="n">
        <x:f>K2532*'Assumptions'!$V$122</x:f>
        <x:v>0</x:v>
      </x:c>
      <x:c r="N2532" s="10" t="n">
        <x:f>K2532-L2532-M2532</x:f>
        <x:v>7688.355567489962</x:v>
      </x:c>
      <x:c r="O2532" s="10" t="n">
        <x:f>H2532*'Assumptions'!$P$122*'Assumptions'!$Q$122*'Assumptions'!$D$11*(1+'Assumptions'!$D$13)^(20-1)</x:f>
        <x:v>1113.0444833345798</x:v>
      </x:c>
      <x:c r="P2532" s="10" t="n">
        <x:f>H2532*'Assumptions'!$R$122*'Assumptions'!$D$11*(1+'Assumptions'!$D$13)^(20-1)</x:f>
        <x:v>0</x:v>
      </x:c>
      <x:c r="Q2532" s="10" t="n">
        <x:f>J2532*'Assumptions'!$S$122</x:f>
        <x:v>0</x:v>
      </x:c>
      <x:c r="R2532" s="10" t="n">
        <x:f>H2532*'Assumptions'!$Y$122*'Assumptions'!$Z$122*'Assumptions'!$D$11*(1+'Assumptions'!$D$13)^(20-1)</x:f>
        <x:v>572.4228771434982</x:v>
      </x:c>
      <x:c r="S2532" s="10" t="n">
        <x:f>IF(I2532=0,0,J2532*'Assumptions'!$W$122+H2532*'Assumptions'!$X$122)</x:f>
        <x:v>1554.1500048752876</x:v>
      </x:c>
      <x:c r="T2532" s="10" t="n">
        <x:f>N2532*'Assumptions'!$AA$122</x:f>
        <x:v>384.4177783744981</x:v>
      </x:c>
      <x:c r="U2532" s="10" t="n">
        <x:f>'Assumptions'!$AE$122*'Assumptions'!$D$11*(1+'Assumptions'!$D$13)^(20-1)</x:f>
        <x:v>0</x:v>
      </x:c>
      <x:c r="V2532" s="10" t="n">
        <x:f>0</x:f>
        <x:v>0</x:v>
      </x:c>
      <x:c r="W2532" s="10" t="n">
        <x:f>H2532*('Assumptions'!$P$122+'Assumptions'!$Y$122)</x:f>
        <x:v>29.01731273443698</x:v>
      </x:c>
      <x:c r="X2532" s="10" t="n">
        <x:f>N2532/12*'Assumptions'!$AF$122</x:f>
        <x:v>0</x:v>
      </x:c>
      <x:c r="Y2532" s="10" t="n">
        <x:f>P2532/12</x:f>
        <x:v>0</x:v>
      </x:c>
      <x:c r="Z2532" s="10" t="n">
        <x:f>0</x:f>
        <x:v>0</x:v>
      </x:c>
      <x:c r="AA2532" s="10" t="n">
        <x:f>Z2532*'Assumptions'!$AC$122*'Assumptions'!$D$11*(1+'Assumptions'!$D$13)^(20-1)</x:f>
        <x:v>0</x:v>
      </x:c>
      <x:c r="AB2532" s="10" t="n">
        <x:f>F2532/1</x:f>
        <x:v>23.260328892456098</x:v>
      </x:c>
      <x:c r="AC2532" s="10" t="n">
        <x:f>AB2532/'Assumptions'!$AM$122</x:f>
        <x:v>465.2065778491219</x:v>
      </x:c>
      <x:c r="AD2532" s="10" t="n">
        <x:f>IF(AB2532=0,0,T2532/AB2532)</x:f>
        <x:v>16.526755926446693</x:v>
      </x:c>
      <x:c r="AE2532" s="10" t="n">
        <x:f>AA2532*'Assumptions'!$D$21</x:f>
        <x:v>0</x:v>
      </x:c>
    </x:row>
    <x:row r="2533" ht="16" customHeight="1">
      <x:c r="A2533" s="1"/>
      <x:c r="B2533" s="1"/>
      <x:c r="C2533" s="1" t="str">
        <x:v>DOT-094</x:v>
      </x:c>
      <x:c r="D2533" s="10" t="str">
        <x:v>Semajes premium and media</x:v>
      </x:c>
      <x:c r="E2533" s="10" t="n">
        <x:v>20</x:v>
      </x:c>
      <x:c r="F2533" s="21" t="n">
        <x:f>F2405*(1+'Assumptions'!$M$123)</x:f>
        <x:v>116.30164446228048</x:v>
      </x:c>
      <x:c r="G2533" s="21" t="n">
        <x:f>H2405*'Assumptions'!$K$123</x:f>
        <x:v>246.4147647181817</x:v>
      </x:c>
      <x:c r="H2533" s="21" t="n">
        <x:f>IF(AND(COUNT('Assumptions'!$H$123,'Assumptions'!$I$123,'Assumptions'!$J$123,'Assumptions'!$K$123,'Assumptions'!$L$123,'Assumptions'!$M$123,'Assumptions'!$P$123,'Assumptions'!$Q$123,'Assumptions'!$R$123,'Assumptions'!$S$123,'Assumptions'!$T$123,'Assumptions'!$U$123,'Assumptions'!$V$123,'Assumptions'!$W$123,'Assumptions'!$X$123,'Assumptions'!$Y$123,'Assumptions'!$Z$123,'Assumptions'!$AA$123,'Assumptions'!$AD$123,'Assumptions'!$AE$123,'Assumptions'!$AF$123)=21,COUNT('Assumptions'!$D$8:$D$21)=14,'Assumptions'!$J$123&gt;=1,'Assumptions'!$J$123&lt;=12,'Assumptions'!$D$8&gt;=0,'Assumptions'!$D$15&gt;0),F2533+G2533,NA())</x:f>
        <x:v>362.71640918046216</x:v>
      </x:c>
      <x:c r="I2533" s="22" t="n">
        <x:f>'Assumptions'!$H$123*IF('Assumptions'!$O$123=1,1,'Assumptions'!$D$10)*(1+'Assumptions'!$N$123)^(20-1)</x:f>
        <x:v>13.111300552750189</x:v>
      </x:c>
      <x:c r="J2533" s="10" t="n">
        <x:f>H2533*I2533</x:f>
        <x:v>4755.6838561793575</x:v>
      </x:c>
      <x:c r="K2533" s="10" t="n">
        <x:f>J2533*'Assumptions'!$T$123</x:f>
        <x:v>4755.6838561793575</x:v>
      </x:c>
      <x:c r="L2533" s="10" t="n">
        <x:f>K2533*'Assumptions'!$U$123</x:f>
        <x:v>142.6705156853807</x:v>
      </x:c>
      <x:c r="M2533" s="10" t="n">
        <x:f>K2533*'Assumptions'!$V$123</x:f>
        <x:v>0</x:v>
      </x:c>
      <x:c r="N2533" s="10" t="n">
        <x:f>K2533-L2533-M2533</x:f>
        <x:v>4613.013340493977</x:v>
      </x:c>
      <x:c r="O2533" s="10" t="n">
        <x:f>H2533*'Assumptions'!$P$123*'Assumptions'!$Q$123*'Assumptions'!$D$11*(1+'Assumptions'!$D$13)^(20-1)</x:f>
        <x:v>1113.0444833345796</x:v>
      </x:c>
      <x:c r="P2533" s="10" t="n">
        <x:f>H2533*'Assumptions'!$R$123*'Assumptions'!$D$11*(1+'Assumptions'!$D$13)^(20-1)</x:f>
        <x:v>0</x:v>
      </x:c>
      <x:c r="Q2533" s="10" t="n">
        <x:f>J2533*'Assumptions'!$S$123</x:f>
        <x:v>0</x:v>
      </x:c>
      <x:c r="R2533" s="10" t="n">
        <x:f>H2533*'Assumptions'!$Y$123*'Assumptions'!$Z$123*'Assumptions'!$D$11*(1+'Assumptions'!$D$13)^(20-1)</x:f>
        <x:v>2862.11438571749</x:v>
      </x:c>
      <x:c r="S2533" s="10" t="n">
        <x:f>IF(I2533=0,0,J2533*'Assumptions'!$W$123+H2533*'Assumptions'!$X$123)</x:f>
        <x:v>246.72975458334002</x:v>
      </x:c>
      <x:c r="T2533" s="10" t="n">
        <x:f>N2533*'Assumptions'!$AA$123</x:f>
        <x:v>230.65066702469886</x:v>
      </x:c>
      <x:c r="U2533" s="10" t="n">
        <x:f>'Assumptions'!$AE$123*'Assumptions'!$D$11*(1+'Assumptions'!$D$13)^(20-1)</x:f>
        <x:v>0</x:v>
      </x:c>
      <x:c r="V2533" s="10" t="n">
        <x:f>0</x:f>
        <x:v>0</x:v>
      </x:c>
      <x:c r="W2533" s="10" t="n">
        <x:f>H2533*('Assumptions'!$P$123+'Assumptions'!$Y$123)</x:f>
        <x:v>72.54328183609243</x:v>
      </x:c>
      <x:c r="X2533" s="10" t="n">
        <x:f>N2533/12*'Assumptions'!$AF$123</x:f>
        <x:v>0</x:v>
      </x:c>
      <x:c r="Y2533" s="10" t="n">
        <x:f>P2533/12</x:f>
        <x:v>0</x:v>
      </x:c>
      <x:c r="Z2533" s="10" t="n">
        <x:f>0</x:f>
        <x:v>0</x:v>
      </x:c>
      <x:c r="AA2533" s="10" t="n">
        <x:f>Z2533*'Assumptions'!$AC$123*'Assumptions'!$D$11*(1+'Assumptions'!$D$13)^(20-1)</x:f>
        <x:v>0</x:v>
      </x:c>
      <x:c r="AB2533" s="10" t="n">
        <x:f>F2533/12</x:f>
        <x:v>9.69180370519004</x:v>
      </x:c>
      <x:c r="AC2533" s="10" t="n">
        <x:f>AB2533/'Assumptions'!$AM$123</x:f>
        <x:v>193.8360741038008</x:v>
      </x:c>
      <x:c r="AD2533" s="10" t="n">
        <x:f>IF(AB2533=0,0,T2533/AB2533)</x:f>
        <x:v>23.798528534083243</x:v>
      </x:c>
      <x:c r="AE2533" s="10" t="n">
        <x:f>AA2533*'Assumptions'!$D$21</x:f>
        <x:v>0</x:v>
      </x:c>
    </x:row>
    <x:row r="2534" ht="16" customHeight="1">
      <x:c r="A2534" s="1"/>
      <x:c r="B2534" s="1"/>
      <x:c r="C2534" s="1" t="str">
        <x:v>DOT-095</x:v>
      </x:c>
      <x:c r="D2534" s="10" t="str">
        <x:v>Semajes premium and media</x:v>
      </x:c>
      <x:c r="E2534" s="10" t="n">
        <x:v>20</x:v>
      </x:c>
      <x:c r="F2534" s="21" t="n">
        <x:f>F2406*(1+'Assumptions'!$M$124)</x:f>
        <x:v>116.30164446228048</x:v>
      </x:c>
      <x:c r="G2534" s="21" t="n">
        <x:f>H2406*'Assumptions'!$K$124</x:f>
        <x:v>246.4147647181817</x:v>
      </x:c>
      <x:c r="H2534" s="21" t="n">
        <x:f>IF(AND(COUNT('Assumptions'!$H$124,'Assumptions'!$I$124,'Assumptions'!$J$124,'Assumptions'!$K$124,'Assumptions'!$L$124,'Assumptions'!$M$124,'Assumptions'!$P$124,'Assumptions'!$Q$124,'Assumptions'!$R$124,'Assumptions'!$S$124,'Assumptions'!$T$124,'Assumptions'!$U$124,'Assumptions'!$V$124,'Assumptions'!$W$124,'Assumptions'!$X$124,'Assumptions'!$Y$124,'Assumptions'!$Z$124,'Assumptions'!$AA$124,'Assumptions'!$AD$124,'Assumptions'!$AE$124,'Assumptions'!$AF$124)=21,COUNT('Assumptions'!$D$8:$D$21)=14,'Assumptions'!$J$124&gt;=1,'Assumptions'!$J$124&lt;=12,'Assumptions'!$D$8&gt;=0,'Assumptions'!$D$15&gt;0),F2534+G2534,NA())</x:f>
        <x:v>362.71640918046216</x:v>
      </x:c>
      <x:c r="I2534" s="22" t="n">
        <x:f>'Assumptions'!$H$124*IF('Assumptions'!$O$124=1,1,'Assumptions'!$D$10)*(1+'Assumptions'!$N$124)^(20-1)</x:f>
        <x:v>27.679412278028177</x:v>
      </x:c>
      <x:c r="J2534" s="10" t="n">
        <x:f>H2534*I2534</x:f>
        <x:v>10039.777029711977</x:v>
      </x:c>
      <x:c r="K2534" s="10" t="n">
        <x:f>J2534*'Assumptions'!$T$124</x:f>
        <x:v>10039.777029711977</x:v>
      </x:c>
      <x:c r="L2534" s="10" t="n">
        <x:f>K2534*'Assumptions'!$U$124</x:f>
        <x:v>301.1933108913593</x:v>
      </x:c>
      <x:c r="M2534" s="10" t="n">
        <x:f>K2534*'Assumptions'!$V$124</x:f>
        <x:v>0</x:v>
      </x:c>
      <x:c r="N2534" s="10" t="n">
        <x:f>K2534-L2534-M2534</x:f>
        <x:v>9738.583718820617</x:v>
      </x:c>
      <x:c r="O2534" s="10" t="n">
        <x:f>H2534*'Assumptions'!$P$124*'Assumptions'!$Q$124*'Assumptions'!$D$11*(1+'Assumptions'!$D$13)^(20-1)</x:f>
        <x:v>2226.088966669159</x:v>
      </x:c>
      <x:c r="P2534" s="10" t="n">
        <x:f>H2534*'Assumptions'!$R$124*'Assumptions'!$D$11*(1+'Assumptions'!$D$13)^(20-1)</x:f>
        <x:v>0</x:v>
      </x:c>
      <x:c r="Q2534" s="10" t="n">
        <x:f>J2534*'Assumptions'!$S$124</x:f>
        <x:v>0</x:v>
      </x:c>
      <x:c r="R2534" s="10" t="n">
        <x:f>H2534*'Assumptions'!$Y$124*'Assumptions'!$Z$124*'Assumptions'!$D$11*(1+'Assumptions'!$D$13)^(20-1)</x:f>
        <x:v>2862.11438571749</x:v>
      </x:c>
      <x:c r="S2534" s="10" t="n">
        <x:f>IF(I2534=0,0,J2534*'Assumptions'!$W$124+H2534*'Assumptions'!$X$124)</x:f>
        <x:v>399.968456615786</x:v>
      </x:c>
      <x:c r="T2534" s="10" t="n">
        <x:f>N2534*'Assumptions'!$AA$124</x:f>
        <x:v>486.9291859410309</x:v>
      </x:c>
      <x:c r="U2534" s="10" t="n">
        <x:f>'Assumptions'!$AE$124*'Assumptions'!$D$11*(1+'Assumptions'!$D$13)^(20-1)</x:f>
        <x:v>0</x:v>
      </x:c>
      <x:c r="V2534" s="10" t="n">
        <x:f>0</x:f>
        <x:v>0</x:v>
      </x:c>
      <x:c r="W2534" s="10" t="n">
        <x:f>H2534*('Assumptions'!$P$124+'Assumptions'!$Y$124)</x:f>
        <x:v>90.67910229511554</x:v>
      </x:c>
      <x:c r="X2534" s="10" t="n">
        <x:f>N2534/12*'Assumptions'!$AF$124</x:f>
        <x:v>0</x:v>
      </x:c>
      <x:c r="Y2534" s="10" t="n">
        <x:f>P2534/12</x:f>
        <x:v>0</x:v>
      </x:c>
      <x:c r="Z2534" s="10" t="n">
        <x:f>0</x:f>
        <x:v>0</x:v>
      </x:c>
      <x:c r="AA2534" s="10" t="n">
        <x:f>Z2534*'Assumptions'!$AC$124*'Assumptions'!$D$11*(1+'Assumptions'!$D$13)^(20-1)</x:f>
        <x:v>0</x:v>
      </x:c>
      <x:c r="AB2534" s="10" t="n">
        <x:f>F2534/12</x:f>
        <x:v>9.69180370519004</x:v>
      </x:c>
      <x:c r="AC2534" s="10" t="n">
        <x:f>AB2534/'Assumptions'!$AM$124</x:f>
        <x:v>193.8360741038008</x:v>
      </x:c>
      <x:c r="AD2534" s="10" t="n">
        <x:f>IF(AB2534=0,0,T2534/AB2534)</x:f>
        <x:v>50.241338016397954</x:v>
      </x:c>
      <x:c r="AE2534" s="10" t="n">
        <x:f>AA2534*'Assumptions'!$D$21</x:f>
        <x:v>0</x:v>
      </x:c>
    </x:row>
    <x:row r="2535" ht="16" customHeight="1">
      <x:c r="A2535" s="1"/>
      <x:c r="B2535" s="1"/>
      <x:c r="C2535" s="1" t="str">
        <x:v>DOT-096</x:v>
      </x:c>
      <x:c r="D2535" s="10" t="str">
        <x:v>Semajes premium and media</x:v>
      </x:c>
      <x:c r="E2535" s="10" t="n">
        <x:v>20</x:v>
      </x:c>
      <x:c r="F2535" s="21" t="n">
        <x:f>F2407*(1+'Assumptions'!$M$125)</x:f>
        <x:v>58.15082223114024</x:v>
      </x:c>
      <x:c r="G2535" s="21" t="n">
        <x:f>H2407*'Assumptions'!$K$125</x:f>
        <x:v>123.20738235909084</x:v>
      </x:c>
      <x:c r="H2535" s="21" t="n">
        <x:f>IF(AND(COUNT('Assumptions'!$H$125,'Assumptions'!$I$125,'Assumptions'!$J$125,'Assumptions'!$K$125,'Assumptions'!$L$125,'Assumptions'!$M$125,'Assumptions'!$P$125,'Assumptions'!$Q$125,'Assumptions'!$R$125,'Assumptions'!$S$125,'Assumptions'!$T$125,'Assumptions'!$U$125,'Assumptions'!$V$125,'Assumptions'!$W$125,'Assumptions'!$X$125,'Assumptions'!$Y$125,'Assumptions'!$Z$125,'Assumptions'!$AA$125,'Assumptions'!$AD$125,'Assumptions'!$AE$125,'Assumptions'!$AF$125)=21,COUNT('Assumptions'!$D$8:$D$21)=14,'Assumptions'!$J$125&gt;=1,'Assumptions'!$J$125&lt;=12,'Assumptions'!$D$8&gt;=0,'Assumptions'!$D$15&gt;0),F2535+G2535,NA())</x:f>
        <x:v>181.35820459023108</x:v>
      </x:c>
      <x:c r="I2535" s="22" t="n">
        <x:f>'Assumptions'!$H$125*IF('Assumptions'!$O$125=1,1,'Assumptions'!$D$10)*(1+'Assumptions'!$N$125)^(20-1)</x:f>
        <x:v>56.815635728584155</x:v>
      </x:c>
      <x:c r="J2535" s="10" t="n">
        <x:f>H2535*I2535</x:f>
        <x:v>10303.981688388609</x:v>
      </x:c>
      <x:c r="K2535" s="10" t="n">
        <x:f>J2535*'Assumptions'!$T$125</x:f>
        <x:v>10303.981688388609</x:v>
      </x:c>
      <x:c r="L2535" s="10" t="n">
        <x:f>K2535*'Assumptions'!$U$125</x:f>
        <x:v>309.11945065165827</x:v>
      </x:c>
      <x:c r="M2535" s="10" t="n">
        <x:f>K2535*'Assumptions'!$V$125</x:f>
        <x:v>0</x:v>
      </x:c>
      <x:c r="N2535" s="10" t="n">
        <x:f>K2535-L2535-M2535</x:f>
        <x:v>9994.86223773695</x:v>
      </x:c>
      <x:c r="O2535" s="10" t="n">
        <x:f>H2535*'Assumptions'!$P$125*'Assumptions'!$Q$125*'Assumptions'!$D$11*(1+'Assumptions'!$D$13)^(20-1)</x:f>
        <x:v>2226.088966669159</x:v>
      </x:c>
      <x:c r="P2535" s="10" t="n">
        <x:f>H2535*'Assumptions'!$R$125*'Assumptions'!$D$11*(1+'Assumptions'!$D$13)^(20-1)</x:f>
        <x:v>0</x:v>
      </x:c>
      <x:c r="Q2535" s="10" t="n">
        <x:f>J2535*'Assumptions'!$S$125</x:f>
        <x:v>0</x:v>
      </x:c>
      <x:c r="R2535" s="10" t="n">
        <x:f>H2535*'Assumptions'!$Y$125*'Assumptions'!$Z$125*'Assumptions'!$D$11*(1+'Assumptions'!$D$13)^(20-1)</x:f>
        <x:v>1431.057192858745</x:v>
      </x:c>
      <x:c r="S2535" s="10" t="n">
        <x:f>IF(I2535=0,0,J2535*'Assumptions'!$W$125+H2535*'Assumptions'!$X$125)</x:f>
        <x:v>353.22293034033896</x:v>
      </x:c>
      <x:c r="T2535" s="10" t="n">
        <x:f>N2535*'Assumptions'!$AA$125</x:f>
        <x:v>499.74311188684754</x:v>
      </x:c>
      <x:c r="U2535" s="10" t="n">
        <x:f>'Assumptions'!$AE$125*'Assumptions'!$D$11*(1+'Assumptions'!$D$13)^(20-1)</x:f>
        <x:v>0</x:v>
      </x:c>
      <x:c r="V2535" s="10" t="n">
        <x:f>0</x:f>
        <x:v>0</x:v>
      </x:c>
      <x:c r="W2535" s="10" t="n">
        <x:f>H2535*('Assumptions'!$P$125+'Assumptions'!$Y$125)</x:f>
        <x:v>63.47537160658087</x:v>
      </x:c>
      <x:c r="X2535" s="10" t="n">
        <x:f>N2535/12*'Assumptions'!$AF$125</x:f>
        <x:v>0</x:v>
      </x:c>
      <x:c r="Y2535" s="10" t="n">
        <x:f>P2535/12</x:f>
        <x:v>0</x:v>
      </x:c>
      <x:c r="Z2535" s="10" t="n">
        <x:f>0</x:f>
        <x:v>0</x:v>
      </x:c>
      <x:c r="AA2535" s="10" t="n">
        <x:f>Z2535*'Assumptions'!$AC$125*'Assumptions'!$D$11*(1+'Assumptions'!$D$13)^(20-1)</x:f>
        <x:v>0</x:v>
      </x:c>
      <x:c r="AB2535" s="10" t="n">
        <x:f>F2535/12</x:f>
        <x:v>4.84590185259502</x:v>
      </x:c>
      <x:c r="AC2535" s="10" t="n">
        <x:f>AB2535/'Assumptions'!$AM$125</x:f>
        <x:v>96.9180370519004</x:v>
      </x:c>
      <x:c r="AD2535" s="10" t="n">
        <x:f>IF(AB2535=0,0,T2535/AB2535)</x:f>
        <x:v>103.12695698102739</x:v>
      </x:c>
      <x:c r="AE2535" s="10" t="n">
        <x:f>AA2535*'Assumptions'!$D$21</x:f>
        <x:v>0</x:v>
      </x:c>
    </x:row>
    <x:row r="2536" ht="16" customHeight="1">
      <x:c r="A2536" s="1"/>
      <x:c r="B2536" s="1"/>
      <x:c r="C2536" s="1" t="str">
        <x:v>DOT-097</x:v>
      </x:c>
      <x:c r="D2536" s="10" t="str">
        <x:v>Semajes premium and media</x:v>
      </x:c>
      <x:c r="E2536" s="10" t="n">
        <x:v>20</x:v>
      </x:c>
      <x:c r="F2536" s="21" t="n">
        <x:f>F2408*(1+'Assumptions'!$M$126)</x:f>
        <x:v>34.890493338684145</x:v>
      </x:c>
      <x:c r="G2536" s="21" t="n">
        <x:f>H2408*'Assumptions'!$K$126</x:f>
        <x:v>73.9244294154545</x:v>
      </x:c>
      <x:c r="H2536" s="21" t="n">
        <x:f>IF(AND(COUNT('Assumptions'!$H$126,'Assumptions'!$I$126,'Assumptions'!$J$126,'Assumptions'!$K$126,'Assumptions'!$L$126,'Assumptions'!$M$126,'Assumptions'!$P$126,'Assumptions'!$Q$126,'Assumptions'!$R$126,'Assumptions'!$S$126,'Assumptions'!$T$126,'Assumptions'!$U$126,'Assumptions'!$V$126,'Assumptions'!$W$126,'Assumptions'!$X$126,'Assumptions'!$Y$126,'Assumptions'!$Z$126,'Assumptions'!$AA$126,'Assumptions'!$AD$126,'Assumptions'!$AE$126,'Assumptions'!$AF$126)=21,COUNT('Assumptions'!$D$8:$D$21)=14,'Assumptions'!$J$126&gt;=1,'Assumptions'!$J$126&lt;=12,'Assumptions'!$D$8&gt;=0,'Assumptions'!$D$15&gt;0),F2536+G2536,NA())</x:f>
        <x:v>108.81492275413865</x:v>
      </x:c>
      <x:c r="I2536" s="22" t="n">
        <x:f>'Assumptions'!$H$126*IF('Assumptions'!$O$126=1,1,'Assumptions'!$D$10)*(1+'Assumptions'!$N$126)^(20-1)</x:f>
        <x:v>144.2243060802521</x:v>
      </x:c>
      <x:c r="J2536" s="10" t="n">
        <x:f>H2536*I2536</x:f>
        <x:v>15693.75672539188</x:v>
      </x:c>
      <x:c r="K2536" s="10" t="n">
        <x:f>J2536*'Assumptions'!$T$126</x:f>
        <x:v>15693.75672539188</x:v>
      </x:c>
      <x:c r="L2536" s="10" t="n">
        <x:f>K2536*'Assumptions'!$U$126</x:f>
        <x:v>470.8127017617564</x:v>
      </x:c>
      <x:c r="M2536" s="10" t="n">
        <x:f>K2536*'Assumptions'!$V$126</x:f>
        <x:v>0</x:v>
      </x:c>
      <x:c r="N2536" s="10" t="n">
        <x:f>K2536-L2536-M2536</x:f>
        <x:v>15222.944023630123</x:v>
      </x:c>
      <x:c r="O2536" s="10" t="n">
        <x:f>H2536*'Assumptions'!$P$126*'Assumptions'!$Q$126*'Assumptions'!$D$11*(1+'Assumptions'!$D$13)^(20-1)</x:f>
        <x:v>6678.2669000074775</x:v>
      </x:c>
      <x:c r="P2536" s="10" t="n">
        <x:f>H2536*'Assumptions'!$R$126*'Assumptions'!$D$11*(1+'Assumptions'!$D$13)^(20-1)</x:f>
        <x:v>0</x:v>
      </x:c>
      <x:c r="Q2536" s="10" t="n">
        <x:f>J2536*'Assumptions'!$S$126</x:f>
        <x:v>0</x:v>
      </x:c>
      <x:c r="R2536" s="10" t="n">
        <x:f>H2536*'Assumptions'!$Y$126*'Assumptions'!$Z$126*'Assumptions'!$D$11*(1+'Assumptions'!$D$13)^(20-1)</x:f>
        <x:v>858.6343157152471</x:v>
      </x:c>
      <x:c r="S2536" s="10" t="n">
        <x:f>IF(I2536=0,0,J2536*'Assumptions'!$W$126+H2536*'Assumptions'!$X$126)</x:f>
        <x:v>487.76342186260615</x:v>
      </x:c>
      <x:c r="T2536" s="10" t="n">
        <x:f>N2536*'Assumptions'!$AA$126</x:f>
        <x:v>761.1472011815063</x:v>
      </x:c>
      <x:c r="U2536" s="10" t="n">
        <x:f>'Assumptions'!$AE$126*'Assumptions'!$D$11*(1+'Assumptions'!$D$13)^(20-1)</x:f>
        <x:v>0</x:v>
      </x:c>
      <x:c r="V2536" s="10" t="n">
        <x:f>0</x:f>
        <x:v>0</x:v>
      </x:c>
      <x:c r="W2536" s="10" t="n">
        <x:f>H2536*('Assumptions'!$P$126+'Assumptions'!$Y$126)</x:f>
        <x:v>125.13716116725944</x:v>
      </x:c>
      <x:c r="X2536" s="10" t="n">
        <x:f>N2536/12*'Assumptions'!$AF$126</x:f>
        <x:v>0</x:v>
      </x:c>
      <x:c r="Y2536" s="10" t="n">
        <x:f>P2536/12</x:f>
        <x:v>0</x:v>
      </x:c>
      <x:c r="Z2536" s="10" t="n">
        <x:f>0</x:f>
        <x:v>0</x:v>
      </x:c>
      <x:c r="AA2536" s="10" t="n">
        <x:f>Z2536*'Assumptions'!$AC$126*'Assumptions'!$D$11*(1+'Assumptions'!$D$13)^(20-1)</x:f>
        <x:v>0</x:v>
      </x:c>
      <x:c r="AB2536" s="10" t="n">
        <x:f>F2536/1</x:f>
        <x:v>34.890493338684145</x:v>
      </x:c>
      <x:c r="AC2536" s="10" t="n">
        <x:f>AB2536/'Assumptions'!$AM$126</x:f>
        <x:v>697.8098667736829</x:v>
      </x:c>
      <x:c r="AD2536" s="10" t="n">
        <x:f>IF(AB2536=0,0,T2536/AB2536)</x:f>
        <x:v>21.815317822909638</x:v>
      </x:c>
      <x:c r="AE2536" s="10" t="n">
        <x:f>AA2536*'Assumptions'!$D$21</x:f>
        <x:v>0</x:v>
      </x:c>
    </x:row>
    <x:row r="2537" ht="16" customHeight="1">
      <x:c r="A2537" s="1"/>
      <x:c r="B2537" s="1"/>
      <x:c r="C2537" s="1" t="str">
        <x:v>DOT-098</x:v>
      </x:c>
      <x:c r="D2537" s="10" t="str">
        <x:v>Semajes premium and media</x:v>
      </x:c>
      <x:c r="E2537" s="10" t="n">
        <x:v>20</x:v>
      </x:c>
      <x:c r="F2537" s="21" t="n">
        <x:f>F2409*(1+'Assumptions'!$M$127)</x:f>
        <x:v>17.445246669342072</x:v>
      </x:c>
      <x:c r="G2537" s="21" t="n">
        <x:f>H2409*'Assumptions'!$K$127</x:f>
        <x:v>36.96221470772725</x:v>
      </x:c>
      <x:c r="H2537" s="21" t="n">
        <x:f>IF(AND(COUNT('Assumptions'!$H$127,'Assumptions'!$I$127,'Assumptions'!$J$127,'Assumptions'!$K$127,'Assumptions'!$L$127,'Assumptions'!$M$127,'Assumptions'!$P$127,'Assumptions'!$Q$127,'Assumptions'!$R$127,'Assumptions'!$S$127,'Assumptions'!$T$127,'Assumptions'!$U$127,'Assumptions'!$V$127,'Assumptions'!$W$127,'Assumptions'!$X$127,'Assumptions'!$Y$127,'Assumptions'!$Z$127,'Assumptions'!$AA$127,'Assumptions'!$AD$127,'Assumptions'!$AE$127,'Assumptions'!$AF$127)=21,COUNT('Assumptions'!$D$8:$D$21)=14,'Assumptions'!$J$127&gt;=1,'Assumptions'!$J$127&lt;=12,'Assumptions'!$D$8&gt;=0,'Assumptions'!$D$15&gt;0),F2537+G2537,NA())</x:f>
        <x:v>54.407461377069325</x:v>
      </x:c>
      <x:c r="I2537" s="22" t="n">
        <x:f>'Assumptions'!$H$127*IF('Assumptions'!$O$127=1,1,'Assumptions'!$D$10)*(1+'Assumptions'!$N$127)^(20-1)</x:f>
        <x:v>362.7459819594219</x:v>
      </x:c>
      <x:c r="J2537" s="10" t="n">
        <x:f>H2537*I2537</x:f>
        <x:v>19736.088003144334</x:v>
      </x:c>
      <x:c r="K2537" s="10" t="n">
        <x:f>J2537*'Assumptions'!$T$127</x:f>
        <x:v>19736.088003144334</x:v>
      </x:c>
      <x:c r="L2537" s="10" t="n">
        <x:f>K2537*'Assumptions'!$U$127</x:f>
        <x:v>592.08264009433</x:v>
      </x:c>
      <x:c r="M2537" s="10" t="n">
        <x:f>K2537*'Assumptions'!$V$127</x:f>
        <x:v>0</x:v>
      </x:c>
      <x:c r="N2537" s="10" t="n">
        <x:f>K2537-L2537-M2537</x:f>
        <x:v>19144.005363050004</x:v>
      </x:c>
      <x:c r="O2537" s="10" t="n">
        <x:f>H2537*'Assumptions'!$P$127*'Assumptions'!$Q$127*'Assumptions'!$D$11*(1+'Assumptions'!$D$13)^(20-1)</x:f>
        <x:v>10017.400350011216</x:v>
      </x:c>
      <x:c r="P2537" s="10" t="n">
        <x:f>H2537*'Assumptions'!$R$127*'Assumptions'!$D$11*(1+'Assumptions'!$D$13)^(20-1)</x:f>
        <x:v>0</x:v>
      </x:c>
      <x:c r="Q2537" s="10" t="n">
        <x:f>J2537*'Assumptions'!$S$127</x:f>
        <x:v>0</x:v>
      </x:c>
      <x:c r="R2537" s="10" t="n">
        <x:f>H2537*'Assumptions'!$Y$127*'Assumptions'!$Z$127*'Assumptions'!$D$11*(1+'Assumptions'!$D$13)^(20-1)</x:f>
        <x:v>429.31715785762356</x:v>
      </x:c>
      <x:c r="S2537" s="10" t="n">
        <x:f>IF(I2537=0,0,J2537*'Assumptions'!$W$127+H2537*'Assumptions'!$X$127)</x:f>
        <x:v>588.6687905043065</x:v>
      </x:c>
      <x:c r="T2537" s="10" t="n">
        <x:f>N2537*'Assumptions'!$AA$127</x:f>
        <x:v>957.2002681525003</x:v>
      </x:c>
      <x:c r="U2537" s="10" t="n">
        <x:f>'Assumptions'!$AE$127*'Assumptions'!$D$11*(1+'Assumptions'!$D$13)^(20-1)</x:f>
        <x:v>0</x:v>
      </x:c>
      <x:c r="V2537" s="10" t="n">
        <x:f>0</x:f>
        <x:v>0</x:v>
      </x:c>
      <x:c r="W2537" s="10" t="n">
        <x:f>H2537*('Assumptions'!$P$127+'Assumptions'!$Y$127)</x:f>
        <x:v>171.38350333776836</x:v>
      </x:c>
      <x:c r="X2537" s="10" t="n">
        <x:f>N2537/12*'Assumptions'!$AF$127</x:f>
        <x:v>0</x:v>
      </x:c>
      <x:c r="Y2537" s="10" t="n">
        <x:f>P2537/12</x:f>
        <x:v>0</x:v>
      </x:c>
      <x:c r="Z2537" s="10" t="n">
        <x:f>0</x:f>
        <x:v>0</x:v>
      </x:c>
      <x:c r="AA2537" s="10" t="n">
        <x:f>Z2537*'Assumptions'!$AC$127*'Assumptions'!$D$11*(1+'Assumptions'!$D$13)^(20-1)</x:f>
        <x:v>0</x:v>
      </x:c>
      <x:c r="AB2537" s="10" t="n">
        <x:f>F2537/1</x:f>
        <x:v>17.445246669342072</x:v>
      </x:c>
      <x:c r="AC2537" s="10" t="n">
        <x:f>AB2537/'Assumptions'!$AM$127</x:f>
        <x:v>348.90493338684144</x:v>
      </x:c>
      <x:c r="AD2537" s="10" t="n">
        <x:f>IF(AB2537=0,0,T2537/AB2537)</x:f>
        <x:v>54.86882967580303</x:v>
      </x:c>
      <x:c r="AE2537" s="10" t="n">
        <x:f>AA2537*'Assumptions'!$D$21</x:f>
        <x:v>0</x:v>
      </x:c>
    </x:row>
    <x:row r="2538" ht="16" customHeight="1">
      <x:c r="A2538" s="1"/>
      <x:c r="B2538" s="1"/>
      <x:c r="C2538" s="1" t="str">
        <x:v>DOT-099</x:v>
      </x:c>
      <x:c r="D2538" s="10" t="str">
        <x:v>Semajes premium and media</x:v>
      </x:c>
      <x:c r="E2538" s="10" t="n">
        <x:v>20</x:v>
      </x:c>
      <x:c r="F2538" s="21" t="n">
        <x:f>F2410*(1+'Assumptions'!$M$128)</x:f>
        <x:v>58.15082223114024</x:v>
      </x:c>
      <x:c r="G2538" s="21" t="n">
        <x:f>H2410*'Assumptions'!$K$128</x:f>
        <x:v>123.20738235909084</x:v>
      </x:c>
      <x:c r="H2538" s="21" t="n">
        <x:f>IF(AND(COUNT('Assumptions'!$H$128,'Assumptions'!$I$128,'Assumptions'!$J$128,'Assumptions'!$K$128,'Assumptions'!$L$128,'Assumptions'!$M$128,'Assumptions'!$P$128,'Assumptions'!$Q$128,'Assumptions'!$R$128,'Assumptions'!$S$128,'Assumptions'!$T$128,'Assumptions'!$U$128,'Assumptions'!$V$128,'Assumptions'!$W$128,'Assumptions'!$X$128,'Assumptions'!$Y$128,'Assumptions'!$Z$128,'Assumptions'!$AA$128,'Assumptions'!$AD$128,'Assumptions'!$AE$128,'Assumptions'!$AF$128)=21,COUNT('Assumptions'!$D$8:$D$21)=14,'Assumptions'!$J$128&gt;=1,'Assumptions'!$J$128&lt;=12,'Assumptions'!$D$8&gt;=0,'Assumptions'!$D$15&gt;0),F2538+G2538,NA())</x:f>
        <x:v>181.35820459023108</x:v>
      </x:c>
      <x:c r="I2538" s="22" t="n">
        <x:f>'Assumptions'!$H$128*IF('Assumptions'!$O$128=1,1,'Assumptions'!$D$10)*(1+'Assumptions'!$N$128)^(20-1)</x:f>
        <x:v>42.24752400330617</x:v>
      </x:c>
      <x:c r="J2538" s="10" t="n">
        <x:f>H2538*I2538</x:f>
        <x:v>7661.935101622298</x:v>
      </x:c>
      <x:c r="K2538" s="10" t="n">
        <x:f>J2538*'Assumptions'!$T$128</x:f>
        <x:v>7661.935101622298</x:v>
      </x:c>
      <x:c r="L2538" s="10" t="n">
        <x:f>K2538*'Assumptions'!$U$128</x:f>
        <x:v>229.85805304866895</x:v>
      </x:c>
      <x:c r="M2538" s="10" t="n">
        <x:f>K2538*'Assumptions'!$V$128</x:f>
        <x:v>0</x:v>
      </x:c>
      <x:c r="N2538" s="10" t="n">
        <x:f>K2538-L2538-M2538</x:f>
        <x:v>7432.077048573629</x:v>
      </x:c>
      <x:c r="O2538" s="10" t="n">
        <x:f>H2538*'Assumptions'!$P$128*'Assumptions'!$Q$128*'Assumptions'!$D$11*(1+'Assumptions'!$D$13)^(20-1)</x:f>
        <x:v>1669.5667250018694</x:v>
      </x:c>
      <x:c r="P2538" s="10" t="n">
        <x:f>H2538*'Assumptions'!$R$128*'Assumptions'!$D$11*(1+'Assumptions'!$D$13)^(20-1)</x:f>
        <x:v>0</x:v>
      </x:c>
      <x:c r="Q2538" s="10" t="n">
        <x:f>J2538*'Assumptions'!$S$128</x:f>
        <x:v>0</x:v>
      </x:c>
      <x:c r="R2538" s="10" t="n">
        <x:f>H2538*'Assumptions'!$Y$128*'Assumptions'!$Z$128*'Assumptions'!$D$11*(1+'Assumptions'!$D$13)^(20-1)</x:f>
        <x:v>1431.057192858745</x:v>
      </x:c>
      <x:c r="S2538" s="10" t="n">
        <x:f>IF(I2538=0,0,J2538*'Assumptions'!$W$128+H2538*'Assumptions'!$X$128)</x:f>
        <x:v>276.60357932411597</x:v>
      </x:c>
      <x:c r="T2538" s="10" t="n">
        <x:f>N2538*'Assumptions'!$AA$128</x:f>
        <x:v>371.6038524286815</x:v>
      </x:c>
      <x:c r="U2538" s="10" t="n">
        <x:f>'Assumptions'!$AE$128*'Assumptions'!$D$11*(1+'Assumptions'!$D$13)^(20-1)</x:f>
        <x:v>0</x:v>
      </x:c>
      <x:c r="V2538" s="10" t="n">
        <x:f>0</x:f>
        <x:v>0</x:v>
      </x:c>
      <x:c r="W2538" s="10" t="n">
        <x:f>H2538*('Assumptions'!$P$128+'Assumptions'!$Y$128)</x:f>
        <x:v>54.407461377069325</x:v>
      </x:c>
      <x:c r="X2538" s="10" t="n">
        <x:f>N2538/12*'Assumptions'!$AF$128</x:f>
        <x:v>0</x:v>
      </x:c>
      <x:c r="Y2538" s="10" t="n">
        <x:f>P2538/12</x:f>
        <x:v>0</x:v>
      </x:c>
      <x:c r="Z2538" s="10" t="n">
        <x:f>0</x:f>
        <x:v>0</x:v>
      </x:c>
      <x:c r="AA2538" s="10" t="n">
        <x:f>Z2538*'Assumptions'!$AC$128*'Assumptions'!$D$11*(1+'Assumptions'!$D$13)^(20-1)</x:f>
        <x:v>0</x:v>
      </x:c>
      <x:c r="AB2538" s="10" t="n">
        <x:f>F2538/1</x:f>
        <x:v>58.15082223114024</x:v>
      </x:c>
      <x:c r="AC2538" s="10" t="n">
        <x:f>AB2538/'Assumptions'!$AM$128</x:f>
        <x:v>1163.0164446228048</x:v>
      </x:c>
      <x:c r="AD2538" s="10" t="n">
        <x:f>IF(AB2538=0,0,T2538/AB2538)</x:f>
        <x:v>6.390345624892722</x:v>
      </x:c>
      <x:c r="AE2538" s="10" t="n">
        <x:f>AA2538*'Assumptions'!$D$21</x:f>
        <x:v>0</x:v>
      </x:c>
    </x:row>
    <x:row r="2539" ht="16" customHeight="1">
      <x:c r="A2539" s="1"/>
      <x:c r="B2539" s="1"/>
      <x:c r="C2539" s="1" t="str">
        <x:v>DOT-100</x:v>
      </x:c>
      <x:c r="D2539" s="10" t="str">
        <x:v>Semajes courses</x:v>
      </x:c>
      <x:c r="E2539" s="10" t="n">
        <x:v>20</x:v>
      </x:c>
      <x:c r="F2539" s="21" t="n">
        <x:f>F2411*(1+'Assumptions'!$M$129)</x:f>
        <x:v>490.4810548075965</x:v>
      </x:c>
      <x:c r="G2539" s="21" t="n">
        <x:f>H2411*'Assumptions'!$K$129</x:f>
        <x:v>157.20546627177424</x:v>
      </x:c>
      <x:c r="H2539" s="21" t="n">
        <x:f>IF(AND(COUNT('Assumptions'!$H$129,'Assumptions'!$I$129,'Assumptions'!$J$129,'Assumptions'!$K$129,'Assumptions'!$L$129,'Assumptions'!$M$129,'Assumptions'!$P$129,'Assumptions'!$Q$129,'Assumptions'!$R$129,'Assumptions'!$S$129,'Assumptions'!$T$129,'Assumptions'!$U$129,'Assumptions'!$V$129,'Assumptions'!$W$129,'Assumptions'!$X$129,'Assumptions'!$Y$129,'Assumptions'!$Z$129,'Assumptions'!$AA$129,'Assumptions'!$AD$129,'Assumptions'!$AE$129,'Assumptions'!$AF$129)=21,COUNT('Assumptions'!$D$8:$D$21)=14,'Assumptions'!$J$129&gt;=1,'Assumptions'!$J$129&lt;=12,'Assumptions'!$D$8&gt;=0,'Assumptions'!$D$15&gt;0),F2539+G2539,NA())</x:f>
        <x:v>647.6865210793708</x:v>
      </x:c>
      <x:c r="I2539" s="22" t="n">
        <x:f>'Assumptions'!$H$129*IF('Assumptions'!$O$129=1,1,'Assumptions'!$D$10)*(1+'Assumptions'!$N$129)^(20-1)</x:f>
        <x:v>56.815635728584155</x:v>
      </x:c>
      <x:c r="J2539" s="10" t="n">
        <x:f>H2539*I2539</x:f>
        <x:v>36798.72144795947</x:v>
      </x:c>
      <x:c r="K2539" s="10" t="n">
        <x:f>J2539*'Assumptions'!$T$129</x:f>
        <x:v>36798.72144795947</x:v>
      </x:c>
      <x:c r="L2539" s="10" t="n">
        <x:f>K2539*'Assumptions'!$U$129</x:f>
        <x:v>1103.961643438784</x:v>
      </x:c>
      <x:c r="M2539" s="10" t="n">
        <x:f>K2539*'Assumptions'!$V$129</x:f>
        <x:v>0</x:v>
      </x:c>
      <x:c r="N2539" s="10" t="n">
        <x:f>K2539-L2539-M2539</x:f>
        <x:v>35694.75980452068</x:v>
      </x:c>
      <x:c r="O2539" s="10" t="n">
        <x:f>H2539*'Assumptions'!$P$129*'Assumptions'!$Q$129*'Assumptions'!$D$11*(1+'Assumptions'!$D$13)^(20-1)</x:f>
        <x:v>5962.541734847913</x:v>
      </x:c>
      <x:c r="P2539" s="10" t="n">
        <x:f>H2539*'Assumptions'!$R$129*'Assumptions'!$D$11*(1+'Assumptions'!$D$13)^(20-1)</x:f>
        <x:v>0</x:v>
      </x:c>
      <x:c r="Q2539" s="10" t="n">
        <x:f>J2539*'Assumptions'!$S$129</x:f>
        <x:v>0</x:v>
      </x:c>
      <x:c r="R2539" s="10" t="n">
        <x:f>H2539*'Assumptions'!$Y$129*'Assumptions'!$Z$129*'Assumptions'!$D$11*(1+'Assumptions'!$D$13)^(20-1)</x:f>
        <x:v>3407.1667056273795</x:v>
      </x:c>
      <x:c r="S2539" s="10" t="n">
        <x:f>IF(I2539=0,0,J2539*'Assumptions'!$W$129+H2539*'Assumptions'!$X$129)</x:f>
        <x:v>1261.468878314636</x:v>
      </x:c>
      <x:c r="T2539" s="10" t="n">
        <x:f>N2539*'Assumptions'!$AA$129</x:f>
        <x:v>1784.7379902260343</x:v>
      </x:c>
      <x:c r="U2539" s="10" t="n">
        <x:f>'Assumptions'!$AE$129*'Assumptions'!$D$11*(1+'Assumptions'!$D$13)^(20-1)</x:f>
        <x:v>0</x:v>
      </x:c>
      <x:c r="V2539" s="10" t="n">
        <x:f>0</x:f>
        <x:v>0</x:v>
      </x:c>
      <x:c r="W2539" s="10" t="n">
        <x:f>H2539*('Assumptions'!$P$129+'Assumptions'!$Y$129)</x:f>
        <x:v>161.9216302698427</x:v>
      </x:c>
      <x:c r="X2539" s="10" t="n">
        <x:f>N2539/12*'Assumptions'!$AF$129</x:f>
        <x:v>0</x:v>
      </x:c>
      <x:c r="Y2539" s="10" t="n">
        <x:f>P2539/12</x:f>
        <x:v>0</x:v>
      </x:c>
      <x:c r="Z2539" s="10" t="n">
        <x:f>0</x:f>
        <x:v>0</x:v>
      </x:c>
      <x:c r="AA2539" s="10" t="n">
        <x:f>Z2539*'Assumptions'!$AC$129*'Assumptions'!$D$11*(1+'Assumptions'!$D$13)^(20-1)</x:f>
        <x:v>0</x:v>
      </x:c>
      <x:c r="AB2539" s="10" t="n">
        <x:f>F2539/1</x:f>
        <x:v>490.4810548075965</x:v>
      </x:c>
      <x:c r="AC2539" s="10" t="n">
        <x:f>AB2539/'Assumptions'!$AM$129</x:f>
        <x:v>9809.621096151928</x:v>
      </x:c>
      <x:c r="AD2539" s="10" t="n">
        <x:f>IF(AB2539=0,0,T2539/AB2539)</x:f>
        <x:v>3.6387501061098937</x:v>
      </x:c>
      <x:c r="AE2539" s="10" t="n">
        <x:f>AA2539*'Assumptions'!$D$21</x:f>
        <x:v>0</x:v>
      </x:c>
    </x:row>
    <x:row r="2540" ht="16" customHeight="1">
      <x:c r="A2540" s="1"/>
      <x:c r="B2540" s="1"/>
      <x:c r="C2540" s="1" t="str">
        <x:v>DOT-101</x:v>
      </x:c>
      <x:c r="D2540" s="10" t="str">
        <x:v>Sleepy Face</x:v>
      </x:c>
      <x:c r="E2540" s="10" t="n">
        <x:v>20</x:v>
      </x:c>
      <x:c r="F2540" s="21" t="n">
        <x:f>F2412*(1+'Assumptions'!$M$130)</x:f>
        <x:v>411.8506379014424</x:v>
      </x:c>
      <x:c r="G2540" s="21" t="n">
        <x:f>H2412*'Assumptions'!$K$130</x:f>
        <x:v>169.25368662499838</x:v>
      </x:c>
      <x:c r="H2540" s="21" t="n">
        <x:f>IF(AND(COUNT('Assumptions'!$H$130,'Assumptions'!$I$130,'Assumptions'!$J$130,'Assumptions'!$K$130,'Assumptions'!$L$130,'Assumptions'!$M$130,'Assumptions'!$P$130,'Assumptions'!$Q$130,'Assumptions'!$R$130,'Assumptions'!$S$130,'Assumptions'!$T$130,'Assumptions'!$U$130,'Assumptions'!$V$130,'Assumptions'!$W$130,'Assumptions'!$X$130,'Assumptions'!$Y$130,'Assumptions'!$Z$130,'Assumptions'!$AA$130,'Assumptions'!$AD$130,'Assumptions'!$AE$130,'Assumptions'!$AF$130)=21,COUNT('Assumptions'!$D$8:$D$21)=14,'Assumptions'!$J$130&gt;=1,'Assumptions'!$J$130&lt;=12,'Assumptions'!$D$8&gt;=0,'Assumptions'!$D$15&gt;0),F2540+G2540,NA())</x:f>
        <x:v>581.1043245264408</x:v>
      </x:c>
      <x:c r="I2540" s="22" t="n">
        <x:f>'Assumptions'!$H$130*IF('Assumptions'!$O$130=1,1,'Assumptions'!$D$10)*(1+'Assumptions'!$N$130)^(20-1)</x:f>
        <x:v>138.3970613901409</x:v>
      </x:c>
      <x:c r="J2540" s="10" t="n">
        <x:f>H2540*I2540</x:f>
        <x:v>80423.13087556219</x:v>
      </x:c>
      <x:c r="K2540" s="10" t="n">
        <x:f>J2540*'Assumptions'!$T$130</x:f>
        <x:v>80423.13087556219</x:v>
      </x:c>
      <x:c r="L2540" s="10" t="n">
        <x:f>K2540*'Assumptions'!$U$130</x:f>
        <x:v>6433.850470044975</x:v>
      </x:c>
      <x:c r="M2540" s="10" t="n">
        <x:f>K2540*'Assumptions'!$V$130</x:f>
        <x:v>1608.4626175112437</x:v>
      </x:c>
      <x:c r="N2540" s="10" t="n">
        <x:f>K2540-L2540-M2540</x:f>
        <x:v>72380.81778800597</x:v>
      </x:c>
      <x:c r="O2540" s="10" t="n">
        <x:f>H2540*'Assumptions'!$P$130*'Assumptions'!$Q$130*'Assumptions'!$D$11*(1+'Assumptions'!$D$13)^(20-1)</x:f>
        <x:v>5349.592240263571</x:v>
      </x:c>
      <x:c r="P2540" s="10" t="n">
        <x:f>H2540*'Assumptions'!$R$130*'Assumptions'!$D$11*(1+'Assumptions'!$D$13)^(20-1)</x:f>
        <x:v>30569.09851579183</x:v>
      </x:c>
      <x:c r="Q2540" s="10" t="n">
        <x:f>J2540*'Assumptions'!$S$130</x:f>
        <x:v>0</x:v>
      </x:c>
      <x:c r="R2540" s="10" t="n">
        <x:f>H2540*'Assumptions'!$Y$130*'Assumptions'!$Z$130*'Assumptions'!$D$11*(1+'Assumptions'!$D$13)^(20-1)</x:f>
        <x:v>4585.364777368774</x:v>
      </x:c>
      <x:c r="S2540" s="10" t="n">
        <x:f>IF(I2540=0,0,J2540*'Assumptions'!$W$130+H2540*'Assumptions'!$X$130)</x:f>
        <x:v>2506.602092749236</x:v>
      </x:c>
      <x:c r="T2540" s="10" t="n">
        <x:f>N2540*'Assumptions'!$AA$130</x:f>
        <x:v>5790.465423040478</x:v>
      </x:c>
      <x:c r="U2540" s="10" t="n">
        <x:f>'Assumptions'!$AE$130*'Assumptions'!$D$11*(1+'Assumptions'!$D$13)^(20-1)</x:f>
        <x:v>0</x:v>
      </x:c>
      <x:c r="V2540" s="10" t="n">
        <x:f>0</x:f>
        <x:v>0</x:v>
      </x:c>
      <x:c r="W2540" s="10" t="n">
        <x:f>H2540*('Assumptions'!$P$130+'Assumptions'!$Y$130)</x:f>
        <x:v>174.33129735793224</x:v>
      </x:c>
      <x:c r="X2540" s="10" t="n">
        <x:f>N2540/12*'Assumptions'!$AF$130</x:f>
        <x:v>0</x:v>
      </x:c>
      <x:c r="Y2540" s="10" t="n">
        <x:f>P2540/12</x:f>
        <x:v>2547.424876315986</x:v>
      </x:c>
      <x:c r="Z2540" s="10" t="n">
        <x:f>0</x:f>
        <x:v>0</x:v>
      </x:c>
      <x:c r="AA2540" s="10" t="n">
        <x:f>Z2540*'Assumptions'!$AC$130*'Assumptions'!$D$11*(1+'Assumptions'!$D$13)^(20-1)</x:f>
        <x:v>0</x:v>
      </x:c>
      <x:c r="AB2540" s="10" t="n">
        <x:f>F2540/1</x:f>
        <x:v>411.8506379014424</x:v>
      </x:c>
      <x:c r="AC2540" s="10" t="n">
        <x:f>AB2540/'Assumptions'!$AM$130</x:f>
        <x:v>13728.354596714747</x:v>
      </x:c>
      <x:c r="AD2540" s="10" t="n">
        <x:f>IF(AB2540=0,0,T2540/AB2540)</x:f>
        <x:v>14.059624752666185</x:v>
      </x:c>
      <x:c r="AE2540" s="10" t="n">
        <x:f>AA2540*'Assumptions'!$D$21</x:f>
        <x:v>0</x:v>
      </x:c>
    </x:row>
    <x:row r="2541" ht="16" customHeight="1">
      <x:c r="A2541" s="1"/>
      <x:c r="B2541" s="1"/>
      <x:c r="C2541" s="1" t="str">
        <x:v>DOT-102</x:v>
      </x:c>
      <x:c r="D2541" s="10" t="str">
        <x:v>Sleepy Face</x:v>
      </x:c>
      <x:c r="E2541" s="10" t="n">
        <x:v>20</x:v>
      </x:c>
      <x:c r="F2541" s="21" t="n">
        <x:f>F2413*(1+'Assumptions'!$M$131)</x:f>
        <x:v>617.7759568521633</x:v>
      </x:c>
      <x:c r="G2541" s="21" t="n">
        <x:f>H2413*'Assumptions'!$K$131</x:f>
        <x:v>253.88052993749747</x:v>
      </x:c>
      <x:c r="H2541" s="21" t="n">
        <x:f>IF(AND(COUNT('Assumptions'!$H$131,'Assumptions'!$I$131,'Assumptions'!$J$131,'Assumptions'!$K$131,'Assumptions'!$L$131,'Assumptions'!$M$131,'Assumptions'!$P$131,'Assumptions'!$Q$131,'Assumptions'!$R$131,'Assumptions'!$S$131,'Assumptions'!$T$131,'Assumptions'!$U$131,'Assumptions'!$V$131,'Assumptions'!$W$131,'Assumptions'!$X$131,'Assumptions'!$Y$131,'Assumptions'!$Z$131,'Assumptions'!$AA$131,'Assumptions'!$AD$131,'Assumptions'!$AE$131,'Assumptions'!$AF$131)=21,COUNT('Assumptions'!$D$8:$D$21)=14,'Assumptions'!$J$131&gt;=1,'Assumptions'!$J$131&lt;=12,'Assumptions'!$D$8&gt;=0,'Assumptions'!$D$15&gt;0),F2541+G2541,NA())</x:f>
        <x:v>871.6564867896608</x:v>
      </x:c>
      <x:c r="I2541" s="22" t="n">
        <x:f>'Assumptions'!$H$131*IF('Assumptions'!$O$131=1,1,'Assumptions'!$D$10)*(1+'Assumptions'!$N$131)^(20-1)</x:f>
        <x:v>240.3738434670868</x:v>
      </x:c>
      <x:c r="J2541" s="10" t="n">
        <x:f>H2541*I2541</x:f>
        <x:v>209523.41991264874</x:v>
      </x:c>
      <x:c r="K2541" s="10" t="n">
        <x:f>J2541*'Assumptions'!$T$131</x:f>
        <x:v>209523.41991264874</x:v>
      </x:c>
      <x:c r="L2541" s="10" t="n">
        <x:f>K2541*'Assumptions'!$U$131</x:f>
        <x:v>16761.8735930119</x:v>
      </x:c>
      <x:c r="M2541" s="10" t="n">
        <x:f>K2541*'Assumptions'!$V$131</x:f>
        <x:v>4190.468398252975</x:v>
      </x:c>
      <x:c r="N2541" s="10" t="n">
        <x:f>K2541-L2541-M2541</x:f>
        <x:v>188571.07792138387</x:v>
      </x:c>
      <x:c r="O2541" s="10" t="n">
        <x:f>H2541*'Assumptions'!$P$131*'Assumptions'!$Q$131*'Assumptions'!$D$11*(1+'Assumptions'!$D$13)^(20-1)</x:f>
        <x:v>8024.388360395352</x:v>
      </x:c>
      <x:c r="P2541" s="10" t="n">
        <x:f>H2541*'Assumptions'!$R$131*'Assumptions'!$D$11*(1+'Assumptions'!$D$13)^(20-1)</x:f>
        <x:v>91707.29554737544</x:v>
      </x:c>
      <x:c r="Q2541" s="10" t="n">
        <x:f>J2541*'Assumptions'!$S$131</x:f>
        <x:v>0</x:v>
      </x:c>
      <x:c r="R2541" s="10" t="n">
        <x:f>H2541*'Assumptions'!$Y$131*'Assumptions'!$Z$131*'Assumptions'!$D$11*(1+'Assumptions'!$D$13)^(20-1)</x:f>
        <x:v>6878.047166053158</x:v>
      </x:c>
      <x:c r="S2541" s="10" t="n">
        <x:f>IF(I2541=0,0,J2541*'Assumptions'!$W$131+H2541*'Assumptions'!$X$131)</x:f>
        <x:v>6337.676123503712</x:v>
      </x:c>
      <x:c r="T2541" s="10" t="n">
        <x:f>N2541*'Assumptions'!$AA$131</x:f>
        <x:v>15085.68623371071</x:v>
      </x:c>
      <x:c r="U2541" s="10" t="n">
        <x:f>'Assumptions'!$AE$131*'Assumptions'!$D$11*(1+'Assumptions'!$D$13)^(20-1)</x:f>
        <x:v>0</x:v>
      </x:c>
      <x:c r="V2541" s="10" t="n">
        <x:f>0</x:f>
        <x:v>0</x:v>
      </x:c>
      <x:c r="W2541" s="10" t="n">
        <x:f>H2541*('Assumptions'!$P$131+'Assumptions'!$Y$131)</x:f>
        <x:v>261.49694603689824</x:v>
      </x:c>
      <x:c r="X2541" s="10" t="n">
        <x:f>N2541/12*'Assumptions'!$AF$131</x:f>
        <x:v>0</x:v>
      </x:c>
      <x:c r="Y2541" s="10" t="n">
        <x:f>P2541/12</x:f>
        <x:v>7642.274628947954</x:v>
      </x:c>
      <x:c r="Z2541" s="10" t="n">
        <x:f>0</x:f>
        <x:v>0</x:v>
      </x:c>
      <x:c r="AA2541" s="10" t="n">
        <x:f>Z2541*'Assumptions'!$AC$131*'Assumptions'!$D$11*(1+'Assumptions'!$D$13)^(20-1)</x:f>
        <x:v>0</x:v>
      </x:c>
      <x:c r="AB2541" s="10" t="n">
        <x:f>F2541/1</x:f>
        <x:v>617.7759568521633</x:v>
      </x:c>
      <x:c r="AC2541" s="10" t="n">
        <x:f>AB2541/'Assumptions'!$AM$131</x:f>
        <x:v>20592.531895072112</x:v>
      </x:c>
      <x:c r="AD2541" s="10" t="n">
        <x:f>IF(AB2541=0,0,T2541/AB2541)</x:f>
        <x:v>24.41934825463074</x:v>
      </x:c>
      <x:c r="AE2541" s="10" t="n">
        <x:f>AA2541*'Assumptions'!$D$21</x:f>
        <x:v>0</x:v>
      </x:c>
    </x:row>
    <x:row r="2542" ht="16" customHeight="1">
      <x:c r="A2542" s="1"/>
      <x:c r="B2542" s="1"/>
      <x:c r="C2542" s="1" t="str">
        <x:v>DOT-103</x:v>
      </x:c>
      <x:c r="D2542" s="10" t="str">
        <x:v>Sleepy Face</x:v>
      </x:c>
      <x:c r="E2542" s="10" t="n">
        <x:v>20</x:v>
      </x:c>
      <x:c r="F2542" s="21" t="n">
        <x:f>F2414*(1+'Assumptions'!$M$132)</x:f>
        <x:v>137.28354596714738</x:v>
      </x:c>
      <x:c r="G2542" s="21" t="n">
        <x:f>H2414*'Assumptions'!$K$132</x:f>
        <x:v>56.41789554166609</x:v>
      </x:c>
      <x:c r="H2542" s="21" t="n">
        <x:f>IF(AND(COUNT('Assumptions'!$H$132,'Assumptions'!$I$132,'Assumptions'!$J$132,'Assumptions'!$K$132,'Assumptions'!$L$132,'Assumptions'!$M$132,'Assumptions'!$P$132,'Assumptions'!$Q$132,'Assumptions'!$R$132,'Assumptions'!$S$132,'Assumptions'!$T$132,'Assumptions'!$U$132,'Assumptions'!$V$132,'Assumptions'!$W$132,'Assumptions'!$X$132,'Assumptions'!$Y$132,'Assumptions'!$Z$132,'Assumptions'!$AA$132,'Assumptions'!$AD$132,'Assumptions'!$AE$132,'Assumptions'!$AF$132)=21,COUNT('Assumptions'!$D$8:$D$21)=14,'Assumptions'!$J$132&gt;=1,'Assumptions'!$J$132&lt;=12,'Assumptions'!$D$8&gt;=0,'Assumptions'!$D$15&gt;0),F2542+G2542,NA())</x:f>
        <x:v>193.70144150881347</x:v>
      </x:c>
      <x:c r="I2542" s="22" t="n">
        <x:f>'Assumptions'!$H$132*IF('Assumptions'!$O$132=1,1,'Assumptions'!$D$10)*(1+'Assumptions'!$N$132)^(20-1)</x:f>
        <x:v>327.78251381875475</x:v>
      </x:c>
      <x:c r="J2542" s="10" t="n">
        <x:f>H2542*I2542</x:f>
        <x:v>63491.94542807537</x:v>
      </x:c>
      <x:c r="K2542" s="10" t="n">
        <x:f>J2542*'Assumptions'!$T$132</x:f>
        <x:v>63491.94542807537</x:v>
      </x:c>
      <x:c r="L2542" s="10" t="n">
        <x:f>K2542*'Assumptions'!$U$132</x:f>
        <x:v>5079.35563424603</x:v>
      </x:c>
      <x:c r="M2542" s="10" t="n">
        <x:f>K2542*'Assumptions'!$V$132</x:f>
        <x:v>1269.8389085615074</x:v>
      </x:c>
      <x:c r="N2542" s="10" t="n">
        <x:f>K2542-L2542-M2542</x:f>
        <x:v>57142.75088526784</x:v>
      </x:c>
      <x:c r="O2542" s="10" t="n">
        <x:f>H2542*'Assumptions'!$P$132*'Assumptions'!$Q$132*'Assumptions'!$D$11*(1+'Assumptions'!$D$13)^(20-1)</x:f>
        <x:v>1783.197413421189</x:v>
      </x:c>
      <x:c r="P2542" s="10" t="n">
        <x:f>H2542*'Assumptions'!$R$132*'Assumptions'!$D$11*(1+'Assumptions'!$D$13)^(20-1)</x:f>
        <x:v>30569.09851579181</x:v>
      </x:c>
      <x:c r="Q2542" s="10" t="n">
        <x:f>J2542*'Assumptions'!$S$132</x:f>
        <x:v>0</x:v>
      </x:c>
      <x:c r="R2542" s="10" t="n">
        <x:f>H2542*'Assumptions'!$Y$132*'Assumptions'!$Z$132*'Assumptions'!$D$11*(1+'Assumptions'!$D$13)^(20-1)</x:f>
        <x:v>1528.4549257895906</x:v>
      </x:c>
      <x:c r="S2542" s="10" t="n">
        <x:f>IF(I2542=0,0,J2542*'Assumptions'!$W$132+H2542*'Assumptions'!$X$132)</x:f>
        <x:v>1899.3768498668298</x:v>
      </x:c>
      <x:c r="T2542" s="10" t="n">
        <x:f>N2542*'Assumptions'!$AA$132</x:f>
        <x:v>4571.420070821427</x:v>
      </x:c>
      <x:c r="U2542" s="10" t="n">
        <x:f>'Assumptions'!$AE$132*'Assumptions'!$D$11*(1+'Assumptions'!$D$13)^(20-1)</x:f>
        <x:v>0</x:v>
      </x:c>
      <x:c r="V2542" s="10" t="n">
        <x:f>0</x:f>
        <x:v>0</x:v>
      </x:c>
      <x:c r="W2542" s="10" t="n">
        <x:f>H2542*('Assumptions'!$P$132+'Assumptions'!$Y$132)</x:f>
        <x:v>58.11043245264404</x:v>
      </x:c>
      <x:c r="X2542" s="10" t="n">
        <x:f>N2542/12*'Assumptions'!$AF$132</x:f>
        <x:v>0</x:v>
      </x:c>
      <x:c r="Y2542" s="10" t="n">
        <x:f>P2542/12</x:f>
        <x:v>2547.4248763159844</x:v>
      </x:c>
      <x:c r="Z2542" s="10" t="n">
        <x:f>0</x:f>
        <x:v>0</x:v>
      </x:c>
      <x:c r="AA2542" s="10" t="n">
        <x:f>Z2542*'Assumptions'!$AC$132*'Assumptions'!$D$11*(1+'Assumptions'!$D$13)^(20-1)</x:f>
        <x:v>0</x:v>
      </x:c>
      <x:c r="AB2542" s="10" t="n">
        <x:f>F2542/1</x:f>
        <x:v>137.28354596714738</x:v>
      </x:c>
      <x:c r="AC2542" s="10" t="n">
        <x:f>AB2542/'Assumptions'!$AM$132</x:f>
        <x:v>4576.118198904913</x:v>
      </x:c>
      <x:c r="AD2542" s="10" t="n">
        <x:f>IF(AB2542=0,0,T2542/AB2542)</x:f>
        <x:v>33.299111256314646</x:v>
      </x:c>
      <x:c r="AE2542" s="10" t="n">
        <x:f>AA2542*'Assumptions'!$D$21</x:f>
        <x:v>0</x:v>
      </x:c>
    </x:row>
    <x:row r="2543" ht="16" customHeight="1">
      <x:c r="A2543" s="1"/>
      <x:c r="B2543" s="1"/>
      <x:c r="C2543" s="1" t="str">
        <x:v>DOT-104</x:v>
      </x:c>
      <x:c r="D2543" s="10" t="str">
        <x:v>Sleepy Face</x:v>
      </x:c>
      <x:c r="E2543" s="10" t="n">
        <x:v>20</x:v>
      </x:c>
      <x:c r="F2543" s="21" t="n">
        <x:f>F2415*(1+'Assumptions'!$M$133)</x:f>
        <x:v>411.8506379014424</x:v>
      </x:c>
      <x:c r="G2543" s="21" t="n">
        <x:f>H2415*'Assumptions'!$K$133</x:f>
        <x:v>169.25368662499838</x:v>
      </x:c>
      <x:c r="H2543" s="21" t="n">
        <x:f>IF(AND(COUNT('Assumptions'!$H$133,'Assumptions'!$I$133,'Assumptions'!$J$133,'Assumptions'!$K$133,'Assumptions'!$L$133,'Assumptions'!$M$133,'Assumptions'!$P$133,'Assumptions'!$Q$133,'Assumptions'!$R$133,'Assumptions'!$S$133,'Assumptions'!$T$133,'Assumptions'!$U$133,'Assumptions'!$V$133,'Assumptions'!$W$133,'Assumptions'!$X$133,'Assumptions'!$Y$133,'Assumptions'!$Z$133,'Assumptions'!$AA$133,'Assumptions'!$AD$133,'Assumptions'!$AE$133,'Assumptions'!$AF$133)=21,COUNT('Assumptions'!$D$8:$D$21)=14,'Assumptions'!$J$133&gt;=1,'Assumptions'!$J$133&lt;=12,'Assumptions'!$D$8&gt;=0,'Assumptions'!$D$15&gt;0),F2543+G2543,NA())</x:f>
        <x:v>581.1043245264408</x:v>
      </x:c>
      <x:c r="I2543" s="22" t="n">
        <x:f>'Assumptions'!$H$133*IF('Assumptions'!$O$133=1,1,'Assumptions'!$D$10)*(1+'Assumptions'!$N$133)^(20-1)</x:f>
        <x:v>138.3970613901409</x:v>
      </x:c>
      <x:c r="J2543" s="10" t="n">
        <x:f>H2543*I2543</x:f>
        <x:v>80423.13087556219</x:v>
      </x:c>
      <x:c r="K2543" s="10" t="n">
        <x:f>J2543*'Assumptions'!$T$133</x:f>
        <x:v>80423.13087556219</x:v>
      </x:c>
      <x:c r="L2543" s="10" t="n">
        <x:f>K2543*'Assumptions'!$U$133</x:f>
        <x:v>6433.850470044975</x:v>
      </x:c>
      <x:c r="M2543" s="10" t="n">
        <x:f>K2543*'Assumptions'!$V$133</x:f>
        <x:v>1608.4626175112437</x:v>
      </x:c>
      <x:c r="N2543" s="10" t="n">
        <x:f>K2543-L2543-M2543</x:f>
        <x:v>72380.81778800597</x:v>
      </x:c>
      <x:c r="O2543" s="10" t="n">
        <x:f>H2543*'Assumptions'!$P$133*'Assumptions'!$Q$133*'Assumptions'!$D$11*(1+'Assumptions'!$D$13)^(20-1)</x:f>
        <x:v>5349.592240263571</x:v>
      </x:c>
      <x:c r="P2543" s="10" t="n">
        <x:f>H2543*'Assumptions'!$R$133*'Assumptions'!$D$11*(1+'Assumptions'!$D$13)^(20-1)</x:f>
        <x:v>35663.9482684238</x:v>
      </x:c>
      <x:c r="Q2543" s="10" t="n">
        <x:f>J2543*'Assumptions'!$S$133</x:f>
        <x:v>0</x:v>
      </x:c>
      <x:c r="R2543" s="10" t="n">
        <x:f>H2543*'Assumptions'!$Y$133*'Assumptions'!$Z$133*'Assumptions'!$D$11*(1+'Assumptions'!$D$13)^(20-1)</x:f>
        <x:v>4585.364777368774</x:v>
      </x:c>
      <x:c r="S2543" s="10" t="n">
        <x:f>IF(I2543=0,0,J2543*'Assumptions'!$W$133+H2543*'Assumptions'!$X$133)</x:f>
        <x:v>2506.602092749236</x:v>
      </x:c>
      <x:c r="T2543" s="10" t="n">
        <x:f>N2543*'Assumptions'!$AA$133</x:f>
        <x:v>5790.465423040478</x:v>
      </x:c>
      <x:c r="U2543" s="10" t="n">
        <x:f>'Assumptions'!$AE$133*'Assumptions'!$D$11*(1+'Assumptions'!$D$13)^(20-1)</x:f>
        <x:v>0</x:v>
      </x:c>
      <x:c r="V2543" s="10" t="n">
        <x:f>0</x:f>
        <x:v>0</x:v>
      </x:c>
      <x:c r="W2543" s="10" t="n">
        <x:f>H2543*('Assumptions'!$P$133+'Assumptions'!$Y$133)</x:f>
        <x:v>174.33129735793224</x:v>
      </x:c>
      <x:c r="X2543" s="10" t="n">
        <x:f>N2543/12*'Assumptions'!$AF$133</x:f>
        <x:v>0</x:v>
      </x:c>
      <x:c r="Y2543" s="10" t="n">
        <x:f>P2543/12</x:f>
        <x:v>2971.995689035317</x:v>
      </x:c>
      <x:c r="Z2543" s="10" t="n">
        <x:f>0</x:f>
        <x:v>0</x:v>
      </x:c>
      <x:c r="AA2543" s="10" t="n">
        <x:f>Z2543*'Assumptions'!$AC$133*'Assumptions'!$D$11*(1+'Assumptions'!$D$13)^(20-1)</x:f>
        <x:v>0</x:v>
      </x:c>
      <x:c r="AB2543" s="10" t="n">
        <x:f>F2543/1</x:f>
        <x:v>411.8506379014424</x:v>
      </x:c>
      <x:c r="AC2543" s="10" t="n">
        <x:f>AB2543/'Assumptions'!$AM$133</x:f>
        <x:v>13728.354596714747</x:v>
      </x:c>
      <x:c r="AD2543" s="10" t="n">
        <x:f>IF(AB2543=0,0,T2543/AB2543)</x:f>
        <x:v>14.059624752666185</x:v>
      </x:c>
      <x:c r="AE2543" s="10" t="n">
        <x:f>AA2543*'Assumptions'!$D$21</x:f>
        <x:v>0</x:v>
      </x:c>
    </x:row>
    <x:row r="2544" ht="16" customHeight="1">
      <x:c r="A2544" s="1"/>
      <x:c r="B2544" s="1"/>
      <x:c r="C2544" s="1" t="str">
        <x:v>DOT-105</x:v>
      </x:c>
      <x:c r="D2544" s="10" t="str">
        <x:v>Sleepy Face</x:v>
      </x:c>
      <x:c r="E2544" s="10" t="n">
        <x:v>20</x:v>
      </x:c>
      <x:c r="F2544" s="21" t="n">
        <x:f>F2416*(1+'Assumptions'!$M$134)</x:f>
        <x:v>205.9253189507212</x:v>
      </x:c>
      <x:c r="G2544" s="21" t="n">
        <x:f>H2416*'Assumptions'!$K$134</x:f>
        <x:v>84.62684331249919</x:v>
      </x:c>
      <x:c r="H2544" s="21" t="n">
        <x:f>IF(AND(COUNT('Assumptions'!$H$134,'Assumptions'!$I$134,'Assumptions'!$J$134,'Assumptions'!$K$134,'Assumptions'!$L$134,'Assumptions'!$M$134,'Assumptions'!$P$134,'Assumptions'!$Q$134,'Assumptions'!$R$134,'Assumptions'!$S$134,'Assumptions'!$T$134,'Assumptions'!$U$134,'Assumptions'!$V$134,'Assumptions'!$W$134,'Assumptions'!$X$134,'Assumptions'!$Y$134,'Assumptions'!$Z$134,'Assumptions'!$AA$134,'Assumptions'!$AD$134,'Assumptions'!$AE$134,'Assumptions'!$AF$134)=21,COUNT('Assumptions'!$D$8:$D$21)=14,'Assumptions'!$J$134&gt;=1,'Assumptions'!$J$134&lt;=12,'Assumptions'!$D$8&gt;=0,'Assumptions'!$D$15&gt;0),F2544+G2544,NA())</x:f>
        <x:v>290.5521622632204</x:v>
      </x:c>
      <x:c r="I2544" s="22" t="n">
        <x:f>'Assumptions'!$H$134*IF('Assumptions'!$O$134=1,1,'Assumptions'!$D$10)*(1+'Assumptions'!$N$134)^(20-1)</x:f>
        <x:v>254.9419551923648</x:v>
      </x:c>
      <x:c r="J2544" s="10" t="n">
        <x:f>H2544*I2544</x:f>
        <x:v>74073.93633275463</x:v>
      </x:c>
      <x:c r="K2544" s="10" t="n">
        <x:f>J2544*'Assumptions'!$T$134</x:f>
        <x:v>74073.93633275463</x:v>
      </x:c>
      <x:c r="L2544" s="10" t="n">
        <x:f>K2544*'Assumptions'!$U$134</x:f>
        <x:v>5925.914906620371</x:v>
      </x:c>
      <x:c r="M2544" s="10" t="n">
        <x:f>K2544*'Assumptions'!$V$134</x:f>
        <x:v>1481.4787266550927</x:v>
      </x:c>
      <x:c r="N2544" s="10" t="n">
        <x:f>K2544-L2544-M2544</x:f>
        <x:v>66666.54269947916</x:v>
      </x:c>
      <x:c r="O2544" s="10" t="n">
        <x:f>H2544*'Assumptions'!$P$134*'Assumptions'!$Q$134*'Assumptions'!$D$11*(1+'Assumptions'!$D$13)^(20-1)</x:f>
        <x:v>2674.7961201317853</x:v>
      </x:c>
      <x:c r="P2544" s="10" t="n">
        <x:f>H2544*'Assumptions'!$R$134*'Assumptions'!$D$11*(1+'Assumptions'!$D$13)^(20-1)</x:f>
        <x:v>33116.52339210781</x:v>
      </x:c>
      <x:c r="Q2544" s="10" t="n">
        <x:f>J2544*'Assumptions'!$S$134</x:f>
        <x:v>0</x:v>
      </x:c>
      <x:c r="R2544" s="10" t="n">
        <x:f>H2544*'Assumptions'!$Y$134*'Assumptions'!$Z$134*'Assumptions'!$D$11*(1+'Assumptions'!$D$13)^(20-1)</x:f>
        <x:v>2292.682388684387</x:v>
      </x:c>
      <x:c r="S2544" s="10" t="n">
        <x:f>IF(I2544=0,0,J2544*'Assumptions'!$W$134+H2544*'Assumptions'!$X$134)</x:f>
        <x:v>2235.3098023288503</x:v>
      </x:c>
      <x:c r="T2544" s="10" t="n">
        <x:f>N2544*'Assumptions'!$AA$134</x:f>
        <x:v>5333.3234159583335</x:v>
      </x:c>
      <x:c r="U2544" s="10" t="n">
        <x:f>'Assumptions'!$AE$134*'Assumptions'!$D$11*(1+'Assumptions'!$D$13)^(20-1)</x:f>
        <x:v>0</x:v>
      </x:c>
      <x:c r="V2544" s="10" t="n">
        <x:f>0</x:f>
        <x:v>0</x:v>
      </x:c>
      <x:c r="W2544" s="10" t="n">
        <x:f>H2544*('Assumptions'!$P$134+'Assumptions'!$Y$134)</x:f>
        <x:v>87.16564867896612</x:v>
      </x:c>
      <x:c r="X2544" s="10" t="n">
        <x:f>N2544/12*'Assumptions'!$AF$134</x:f>
        <x:v>0</x:v>
      </x:c>
      <x:c r="Y2544" s="10" t="n">
        <x:f>P2544/12</x:f>
        <x:v>2759.710282675651</x:v>
      </x:c>
      <x:c r="Z2544" s="10" t="n">
        <x:f>0</x:f>
        <x:v>0</x:v>
      </x:c>
      <x:c r="AA2544" s="10" t="n">
        <x:f>Z2544*'Assumptions'!$AC$134*'Assumptions'!$D$11*(1+'Assumptions'!$D$13)^(20-1)</x:f>
        <x:v>0</x:v>
      </x:c>
      <x:c r="AB2544" s="10" t="n">
        <x:f>F2544/1</x:f>
        <x:v>205.9253189507212</x:v>
      </x:c>
      <x:c r="AC2544" s="10" t="n">
        <x:f>AB2544/'Assumptions'!$AM$134</x:f>
        <x:v>6864.177298357374</x:v>
      </x:c>
      <x:c r="AD2544" s="10" t="n">
        <x:f>IF(AB2544=0,0,T2544/AB2544)</x:f>
        <x:v>25.899308754911388</x:v>
      </x:c>
      <x:c r="AE2544" s="10" t="n">
        <x:f>AA2544*'Assumptions'!$D$21</x:f>
        <x:v>0</x:v>
      </x:c>
    </x:row>
    <x:row r="2545" ht="16" customHeight="1">
      <x:c r="A2545" s="1"/>
      <x:c r="B2545" s="1"/>
      <x:c r="C2545" s="1" t="str">
        <x:v>DOT-106</x:v>
      </x:c>
      <x:c r="D2545" s="10" t="str">
        <x:v>QzoticMusic</x:v>
      </x:c>
      <x:c r="E2545" s="10" t="n">
        <x:v>20</x:v>
      </x:c>
      <x:c r="F2545" s="21" t="n">
        <x:f>F2417*(1+'Assumptions'!$M$135)</x:f>
        <x:v>1226.2026370189913</x:v>
      </x:c>
      <x:c r="G2545" s="21" t="n">
        <x:f>H2417*'Assumptions'!$K$135</x:f>
        <x:v>393.0136656788899</x:v>
      </x:c>
      <x:c r="H2545" s="21" t="n">
        <x:f>IF(AND(COUNT('Assumptions'!$H$135,'Assumptions'!$I$135,'Assumptions'!$J$135,'Assumptions'!$K$135,'Assumptions'!$L$135,'Assumptions'!$M$135,'Assumptions'!$P$135,'Assumptions'!$Q$135,'Assumptions'!$R$135,'Assumptions'!$S$135,'Assumptions'!$T$135,'Assumptions'!$U$135,'Assumptions'!$V$135,'Assumptions'!$W$135,'Assumptions'!$X$135,'Assumptions'!$Y$135,'Assumptions'!$Z$135,'Assumptions'!$AA$135,'Assumptions'!$AD$135,'Assumptions'!$AE$135,'Assumptions'!$AF$135)=21,COUNT('Assumptions'!$D$8:$D$21)=14,'Assumptions'!$J$135&gt;=1,'Assumptions'!$J$135&lt;=12,'Assumptions'!$D$8&gt;=0,'Assumptions'!$D$15&gt;0),F2545+G2545,NA())</x:f>
        <x:v>1619.216302697881</x:v>
      </x:c>
      <x:c r="I2545" s="22" t="n">
        <x:f>'Assumptions'!$H$135*IF('Assumptions'!$O$135=1,1,'Assumptions'!$D$10)*(1+'Assumptions'!$N$135)^(20-1)</x:f>
        <x:v>7.2840558626389935</x:v>
      </x:c>
      <x:c r="J2545" s="10" t="n">
        <x:f>H2545*I2545</x:f>
        <x:v>11794.462002547136</x:v>
      </x:c>
      <x:c r="K2545" s="10" t="n">
        <x:f>J2545*'Assumptions'!$T$135</x:f>
        <x:v>11794.462002547136</x:v>
      </x:c>
      <x:c r="L2545" s="10" t="n">
        <x:f>K2545*'Assumptions'!$U$135</x:f>
        <x:v>353.83386007641406</x:v>
      </x:c>
      <x:c r="M2545" s="10" t="n">
        <x:f>K2545*'Assumptions'!$V$135</x:f>
        <x:v>0</x:v>
      </x:c>
      <x:c r="N2545" s="10" t="n">
        <x:f>K2545-L2545-M2545</x:f>
        <x:v>11440.628142470721</x:v>
      </x:c>
      <x:c r="O2545" s="10" t="n">
        <x:f>H2545*'Assumptions'!$P$135*'Assumptions'!$Q$135*'Assumptions'!$D$11*(1+'Assumptions'!$D$13)^(20-1)</x:f>
        <x:v>1987.5139116153011</x:v>
      </x:c>
      <x:c r="P2545" s="10" t="n">
        <x:f>H2545*'Assumptions'!$R$135*'Assumptions'!$D$11*(1+'Assumptions'!$D$13)^(20-1)</x:f>
        <x:v>0</x:v>
      </x:c>
      <x:c r="Q2545" s="10" t="n">
        <x:f>J2545*'Assumptions'!$S$135</x:f>
        <x:v>0</x:v>
      </x:c>
      <x:c r="R2545" s="10" t="n">
        <x:f>H2545*'Assumptions'!$Y$135*'Assumptions'!$Z$135*'Assumptions'!$D$11*(1+'Assumptions'!$D$13)^(20-1)</x:f>
        <x:v>8517.916764065578</x:v>
      </x:c>
      <x:c r="S2545" s="10" t="n">
        <x:f>IF(I2545=0,0,J2545*'Assumptions'!$W$135+H2545*'Assumptions'!$X$135)</x:f>
        <x:v>827.8042888832313</x:v>
      </x:c>
      <x:c r="T2545" s="10" t="n">
        <x:f>N2545*'Assumptions'!$AA$135</x:f>
        <x:v>572.031407123536</x:v>
      </x:c>
      <x:c r="U2545" s="10" t="n">
        <x:f>'Assumptions'!$AE$135*'Assumptions'!$D$11*(1+'Assumptions'!$D$13)^(20-1)</x:f>
        <x:v>0</x:v>
      </x:c>
      <x:c r="V2545" s="10" t="n">
        <x:f>0</x:f>
        <x:v>0</x:v>
      </x:c>
      <x:c r="W2545" s="10" t="n">
        <x:f>H2545*('Assumptions'!$P$135+'Assumptions'!$Y$135)</x:f>
        <x:v>194.30595632374573</x:v>
      </x:c>
      <x:c r="X2545" s="10" t="n">
        <x:f>N2545/12*'Assumptions'!$AF$135</x:f>
        <x:v>0</x:v>
      </x:c>
      <x:c r="Y2545" s="10" t="n">
        <x:f>P2545/12</x:f>
        <x:v>0</x:v>
      </x:c>
      <x:c r="Z2545" s="10" t="n">
        <x:f>0</x:f>
        <x:v>0</x:v>
      </x:c>
      <x:c r="AA2545" s="10" t="n">
        <x:f>Z2545*'Assumptions'!$AC$135*'Assumptions'!$D$11*(1+'Assumptions'!$D$13)^(20-1)</x:f>
        <x:v>0</x:v>
      </x:c>
      <x:c r="AB2545" s="10" t="n">
        <x:f>F2545/12</x:f>
        <x:v>102.18355308491594</x:v>
      </x:c>
      <x:c r="AC2545" s="10" t="n">
        <x:f>AB2545/'Assumptions'!$AM$135</x:f>
        <x:v>2043.6710616983187</x:v>
      </x:c>
      <x:c r="AD2545" s="10" t="n">
        <x:f>IF(AB2545=0,0,T2545/AB2545)</x:f>
        <x:v>5.598077086321025</x:v>
      </x:c>
      <x:c r="AE2545" s="10" t="n">
        <x:f>AA2545*'Assumptions'!$D$21</x:f>
        <x:v>0</x:v>
      </x:c>
    </x:row>
    <x:row r="2546" ht="16" customHeight="1">
      <x:c r="A2546" s="1"/>
      <x:c r="B2546" s="1"/>
      <x:c r="C2546" s="1" t="str">
        <x:v>DOT-107</x:v>
      </x:c>
      <x:c r="D2546" s="10" t="str">
        <x:v>QzoticMusic</x:v>
      </x:c>
      <x:c r="E2546" s="10" t="n">
        <x:v>20</x:v>
      </x:c>
      <x:c r="F2546" s="21" t="n">
        <x:f>F2418*(1+'Assumptions'!$M$136)</x:f>
        <x:v>355.83913476464824</x:v>
      </x:c>
      <x:c r="G2546" s="21" t="n">
        <x:f>H2418*'Assumptions'!$K$136</x:f>
        <x:v>183.152494008508</x:v>
      </x:c>
      <x:c r="H2546" s="21" t="n">
        <x:f>IF(AND(COUNT('Assumptions'!$H$136,'Assumptions'!$I$136,'Assumptions'!$J$136,'Assumptions'!$K$136,'Assumptions'!$L$136,'Assumptions'!$M$136,'Assumptions'!$P$136,'Assumptions'!$Q$136,'Assumptions'!$R$136,'Assumptions'!$S$136,'Assumptions'!$T$136,'Assumptions'!$U$136,'Assumptions'!$V$136,'Assumptions'!$W$136,'Assumptions'!$X$136,'Assumptions'!$Y$136,'Assumptions'!$Z$136,'Assumptions'!$AA$136,'Assumptions'!$AD$136,'Assumptions'!$AE$136,'Assumptions'!$AF$136)=21,COUNT('Assumptions'!$D$8:$D$21)=14,'Assumptions'!$J$136&gt;=1,'Assumptions'!$J$136&lt;=12,'Assumptions'!$D$8&gt;=0,'Assumptions'!$D$15&gt;0),F2546+G2546,NA())</x:f>
        <x:v>538.9916287731562</x:v>
      </x:c>
      <x:c r="I2546" s="22" t="n">
        <x:f>'Assumptions'!$H$136*IF('Assumptions'!$O$136=1,1,'Assumptions'!$D$10)*(1+'Assumptions'!$N$136)^(20-1)</x:f>
        <x:v>36.42027931319497</x:v>
      </x:c>
      <x:c r="J2546" s="10" t="n">
        <x:f>H2546*I2546</x:f>
        <x:v>19630.225667392242</x:v>
      </x:c>
      <x:c r="K2546" s="10" t="n">
        <x:f>J2546*'Assumptions'!$T$136</x:f>
        <x:v>19630.225667392242</x:v>
      </x:c>
      <x:c r="L2546" s="10" t="n">
        <x:f>K2546*'Assumptions'!$U$136</x:f>
        <x:v>588.9067700217672</x:v>
      </x:c>
      <x:c r="M2546" s="10" t="n">
        <x:f>K2546*'Assumptions'!$V$136</x:f>
        <x:v>0</x:v>
      </x:c>
      <x:c r="N2546" s="10" t="n">
        <x:f>K2546-L2546-M2546</x:f>
        <x:v>19041.318897370475</x:v>
      </x:c>
      <x:c r="O2546" s="10" t="n">
        <x:f>H2546*'Assumptions'!$P$136*'Assumptions'!$Q$136*'Assumptions'!$D$11*(1+'Assumptions'!$D$13)^(20-1)</x:f>
        <x:v>4961.906688960981</x:v>
      </x:c>
      <x:c r="P2546" s="10" t="n">
        <x:f>H2546*'Assumptions'!$R$136*'Assumptions'!$D$11*(1+'Assumptions'!$D$13)^(20-1)</x:f>
        <x:v>9451.250836116154</x:v>
      </x:c>
      <x:c r="Q2546" s="10" t="n">
        <x:f>J2546*'Assumptions'!$S$136</x:f>
        <x:v>0</x:v>
      </x:c>
      <x:c r="R2546" s="10" t="n">
        <x:f>H2546*'Assumptions'!$Y$136*'Assumptions'!$Z$136*'Assumptions'!$D$11*(1+'Assumptions'!$D$13)^(20-1)</x:f>
        <x:v>14176.876254174233</x:v>
      </x:c>
      <x:c r="S2546" s="10" t="n">
        <x:f>IF(I2546=0,0,J2546*'Assumptions'!$W$136+H2546*'Assumptions'!$X$136)</x:f>
        <x:v>730.9740329863218</x:v>
      </x:c>
      <x:c r="T2546" s="10" t="n">
        <x:f>N2546*'Assumptions'!$AA$136</x:f>
        <x:v>1523.305511789638</x:v>
      </x:c>
      <x:c r="U2546" s="10" t="n">
        <x:f>'Assumptions'!$AE$136*'Assumptions'!$D$11*(1+'Assumptions'!$D$13)^(20-1)</x:f>
        <x:v>0</x:v>
      </x:c>
      <x:c r="V2546" s="10" t="n">
        <x:f>0</x:f>
        <x:v>0</x:v>
      </x:c>
      <x:c r="W2546" s="10" t="n">
        <x:f>H2546*('Assumptions'!$P$136+'Assumptions'!$Y$136)</x:f>
        <x:v>350.3445587025515</x:v>
      </x:c>
      <x:c r="X2546" s="10" t="n">
        <x:f>N2546/12*'Assumptions'!$AF$136</x:f>
        <x:v>1586.7765747808728</x:v>
      </x:c>
      <x:c r="Y2546" s="10" t="n">
        <x:f>P2546/12</x:f>
        <x:v>787.6042363430129</x:v>
      </x:c>
      <x:c r="Z2546" s="10" t="n">
        <x:f>0</x:f>
        <x:v>0</x:v>
      </x:c>
      <x:c r="AA2546" s="10" t="n">
        <x:f>Z2546*'Assumptions'!$AC$136*'Assumptions'!$D$11*(1+'Assumptions'!$D$13)^(20-1)</x:f>
        <x:v>0</x:v>
      </x:c>
      <x:c r="AB2546" s="10" t="n">
        <x:f>F2546/1</x:f>
        <x:v>355.83913476464824</x:v>
      </x:c>
      <x:c r="AC2546" s="10" t="n">
        <x:f>AB2546/'Assumptions'!$AM$136</x:f>
        <x:v>3558.3913476464822</x:v>
      </x:c>
      <x:c r="AD2546" s="10" t="n">
        <x:f>IF(AB2546=0,0,T2546/AB2546)</x:f>
        <x:v>4.280882463355671</x:v>
      </x:c>
      <x:c r="AE2546" s="10" t="n">
        <x:f>AA2546*'Assumptions'!$D$21</x:f>
        <x:v>0</x:v>
      </x:c>
    </x:row>
    <x:row r="2547" ht="16" customHeight="1">
      <x:c r="A2547" s="1"/>
      <x:c r="B2547" s="1"/>
      <x:c r="C2547" s="1" t="str">
        <x:v>DOT-108</x:v>
      </x:c>
      <x:c r="D2547" s="10" t="str">
        <x:v>QzoticMusic</x:v>
      </x:c>
      <x:c r="E2547" s="10" t="n">
        <x:v>20</x:v>
      </x:c>
      <x:c r="F2547" s="21" t="n">
        <x:f>F2419*(1+'Assumptions'!$M$137)</x:f>
        <x:v>17.791956738232415</x:v>
      </x:c>
      <x:c r="G2547" s="21" t="n">
        <x:f>H2419*'Assumptions'!$K$137</x:f>
        <x:v>9.157624700425401</x:v>
      </x:c>
      <x:c r="H2547" s="21" t="n">
        <x:f>IF(AND(COUNT('Assumptions'!$H$137,'Assumptions'!$I$137,'Assumptions'!$J$137,'Assumptions'!$K$137,'Assumptions'!$L$137,'Assumptions'!$M$137,'Assumptions'!$P$137,'Assumptions'!$Q$137,'Assumptions'!$R$137,'Assumptions'!$S$137,'Assumptions'!$T$137,'Assumptions'!$U$137,'Assumptions'!$V$137,'Assumptions'!$W$137,'Assumptions'!$X$137,'Assumptions'!$Y$137,'Assumptions'!$Z$137,'Assumptions'!$AA$137,'Assumptions'!$AD$137,'Assumptions'!$AE$137,'Assumptions'!$AF$137)=21,COUNT('Assumptions'!$D$8:$D$21)=14,'Assumptions'!$J$137&gt;=1,'Assumptions'!$J$137&lt;=12,'Assumptions'!$D$8&gt;=0,'Assumptions'!$D$15&gt;0),F2547+G2547,NA())</x:f>
        <x:v>26.949581438657816</x:v>
      </x:c>
      <x:c r="I2547" s="22" t="n">
        <x:f>'Assumptions'!$H$137*IF('Assumptions'!$O$137=1,1,'Assumptions'!$D$10)*(1+'Assumptions'!$N$137)^(20-1)</x:f>
        <x:v>364.2027931319497</x:v>
      </x:c>
      <x:c r="J2547" s="10" t="n">
        <x:f>H2547*I2547</x:f>
        <x:v>9815.112833696125</x:v>
      </x:c>
      <x:c r="K2547" s="10" t="n">
        <x:f>J2547*'Assumptions'!$T$137</x:f>
        <x:v>9815.112833696125</x:v>
      </x:c>
      <x:c r="L2547" s="10" t="n">
        <x:f>K2547*'Assumptions'!$U$137</x:f>
        <x:v>294.4533850108837</x:v>
      </x:c>
      <x:c r="M2547" s="10" t="n">
        <x:f>K2547*'Assumptions'!$V$137</x:f>
        <x:v>0</x:v>
      </x:c>
      <x:c r="N2547" s="10" t="n">
        <x:f>K2547-L2547-M2547</x:f>
        <x:v>9520.659448685241</x:v>
      </x:c>
      <x:c r="O2547" s="10" t="n">
        <x:f>H2547*'Assumptions'!$P$137*'Assumptions'!$Q$137*'Assumptions'!$D$11*(1+'Assumptions'!$D$13)^(20-1)</x:f>
        <x:v>3780.5003344464626</x:v>
      </x:c>
      <x:c r="P2547" s="10" t="n">
        <x:f>H2547*'Assumptions'!$R$137*'Assumptions'!$D$11*(1+'Assumptions'!$D$13)^(20-1)</x:f>
        <x:v>0</x:v>
      </x:c>
      <x:c r="Q2547" s="10" t="n">
        <x:f>J2547*'Assumptions'!$S$137</x:f>
        <x:v>0</x:v>
      </x:c>
      <x:c r="R2547" s="10" t="n">
        <x:f>H2547*'Assumptions'!$Y$137*'Assumptions'!$Z$137*'Assumptions'!$D$11*(1+'Assumptions'!$D$13)^(20-1)</x:f>
        <x:v>708.8438127087118</x:v>
      </x:c>
      <x:c r="S2547" s="10" t="n">
        <x:f>IF(I2547=0,0,J2547*'Assumptions'!$W$137+H2547*'Assumptions'!$X$137)</x:f>
        <x:v>292.723146608785</x:v>
      </x:c>
      <x:c r="T2547" s="10" t="n">
        <x:f>N2547*'Assumptions'!$AA$137</x:f>
        <x:v>761.6527558948193</x:v>
      </x:c>
      <x:c r="U2547" s="10" t="n">
        <x:f>'Assumptions'!$AE$137*'Assumptions'!$D$11*(1+'Assumptions'!$D$13)^(20-1)</x:f>
        <x:v>0</x:v>
      </x:c>
      <x:c r="V2547" s="10" t="n">
        <x:f>0</x:f>
        <x:v>0</x:v>
      </x:c>
      <x:c r="W2547" s="10" t="n">
        <x:f>H2547*('Assumptions'!$P$137+'Assumptions'!$Y$137)</x:f>
        <x:v>67.37395359664454</x:v>
      </x:c>
      <x:c r="X2547" s="10" t="n">
        <x:f>N2547/12*'Assumptions'!$AF$137</x:f>
        <x:v>793.3882873904367</x:v>
      </x:c>
      <x:c r="Y2547" s="10" t="n">
        <x:f>P2547/12</x:f>
        <x:v>0</x:v>
      </x:c>
      <x:c r="Z2547" s="10" t="n">
        <x:f>0</x:f>
        <x:v>0</x:v>
      </x:c>
      <x:c r="AA2547" s="10" t="n">
        <x:f>Z2547*'Assumptions'!$AC$137*'Assumptions'!$D$11*(1+'Assumptions'!$D$13)^(20-1)</x:f>
        <x:v>0</x:v>
      </x:c>
      <x:c r="AB2547" s="10" t="n">
        <x:f>F2547/1</x:f>
        <x:v>17.791956738232415</x:v>
      </x:c>
      <x:c r="AC2547" s="10" t="n">
        <x:f>AB2547/'Assumptions'!$AM$137</x:f>
        <x:v>177.91956738232415</x:v>
      </x:c>
      <x:c r="AD2547" s="10" t="n">
        <x:f>IF(AB2547=0,0,T2547/AB2547)</x:f>
        <x:v>42.80882463355672</x:v>
      </x:c>
      <x:c r="AE2547" s="10" t="n">
        <x:f>AA2547*'Assumptions'!$D$21</x:f>
        <x:v>0</x:v>
      </x:c>
    </x:row>
    <x:row r="2548" ht="16" customHeight="1">
      <x:c r="A2548" s="1"/>
      <x:c r="B2548" s="1"/>
      <x:c r="C2548" s="1" t="str">
        <x:v>DOT-109</x:v>
      </x:c>
      <x:c r="D2548" s="10" t="str">
        <x:v>LesPetitFilms</x:v>
      </x:c>
      <x:c r="E2548" s="10" t="n">
        <x:v>20</x:v>
      </x:c>
      <x:c r="F2548" s="21" t="n">
        <x:f>F2420*(1+'Assumptions'!$M$138)</x:f>
        <x:v>11.861304492154941</x:v>
      </x:c>
      <x:c r="G2548" s="21" t="n">
        <x:f>H2420*'Assumptions'!$K$138</x:f>
        <x:v>6.105083133616933</x:v>
      </x:c>
      <x:c r="H2548" s="21" t="n">
        <x:f>IF(AND(COUNT('Assumptions'!$H$138,'Assumptions'!$I$138,'Assumptions'!$J$138,'Assumptions'!$K$138,'Assumptions'!$L$138,'Assumptions'!$M$138,'Assumptions'!$P$138,'Assumptions'!$Q$138,'Assumptions'!$R$138,'Assumptions'!$S$138,'Assumptions'!$T$138,'Assumptions'!$U$138,'Assumptions'!$V$138,'Assumptions'!$W$138,'Assumptions'!$X$138,'Assumptions'!$Y$138,'Assumptions'!$Z$138,'Assumptions'!$AA$138,'Assumptions'!$AD$138,'Assumptions'!$AE$138,'Assumptions'!$AF$138)=21,COUNT('Assumptions'!$D$8:$D$21)=14,'Assumptions'!$J$138&gt;=1,'Assumptions'!$J$138&lt;=12,'Assumptions'!$D$8&gt;=0,'Assumptions'!$D$15&gt;0),F2548+G2548,NA())</x:f>
        <x:v>17.966387625771873</x:v>
      </x:c>
      <x:c r="I2548" s="22" t="n">
        <x:f>'Assumptions'!$H$138*IF('Assumptions'!$O$138=1,1,'Assumptions'!$D$10)*(1+'Assumptions'!$N$138)^(20-1)</x:f>
        <x:v>5098.8391038472955</x:v>
      </x:c>
      <x:c r="J2548" s="10" t="n">
        <x:f>H2548*I2548</x:f>
        <x:v>91607.71978116379</x:v>
      </x:c>
      <x:c r="K2548" s="10" t="n">
        <x:f>J2548*'Assumptions'!$T$138</x:f>
        <x:v>91607.71978116379</x:v>
      </x:c>
      <x:c r="L2548" s="10" t="n">
        <x:f>K2548*'Assumptions'!$U$138</x:f>
        <x:v>2748.2315934349135</x:v>
      </x:c>
      <x:c r="M2548" s="10" t="n">
        <x:f>K2548*'Assumptions'!$V$138</x:f>
        <x:v>0</x:v>
      </x:c>
      <x:c r="N2548" s="10" t="n">
        <x:f>K2548-L2548-M2548</x:f>
        <x:v>88859.48818772887</x:v>
      </x:c>
      <x:c r="O2548" s="10" t="n">
        <x:f>H2548*'Assumptions'!$P$138*'Assumptions'!$Q$138*'Assumptions'!$D$11*(1+'Assumptions'!$D$13)^(20-1)</x:f>
        <x:v>35442.19063543558</x:v>
      </x:c>
      <x:c r="P2548" s="10" t="n">
        <x:f>H2548*'Assumptions'!$R$138*'Assumptions'!$D$11*(1+'Assumptions'!$D$13)^(20-1)</x:f>
        <x:v>11026.45930880218</x:v>
      </x:c>
      <x:c r="Q2548" s="10" t="n">
        <x:f>J2548*'Assumptions'!$S$138</x:f>
        <x:v>0</x:v>
      </x:c>
      <x:c r="R2548" s="10" t="n">
        <x:f>H2548*'Assumptions'!$Y$138*'Assumptions'!$Z$138*'Assumptions'!$D$11*(1+'Assumptions'!$D$13)^(20-1)</x:f>
        <x:v>472.56254180580777</x:v>
      </x:c>
      <x:c r="S2548" s="10" t="n">
        <x:f>IF(I2548=0,0,J2548*'Assumptions'!$W$138+H2548*'Assumptions'!$X$138)</x:f>
        <x:v>2662.0137899414813</x:v>
      </x:c>
      <x:c r="T2548" s="10" t="n">
        <x:f>N2548*'Assumptions'!$AA$138</x:f>
        <x:v>7108.7590550183095</x:v>
      </x:c>
      <x:c r="U2548" s="10" t="n">
        <x:f>'Assumptions'!$AE$138*'Assumptions'!$D$11*(1+'Assumptions'!$D$13)^(20-1)</x:f>
        <x:v>0</x:v>
      </x:c>
      <x:c r="V2548" s="10" t="n">
        <x:f>0</x:f>
        <x:v>0</x:v>
      </x:c>
      <x:c r="W2548" s="10" t="n">
        <x:f>H2548*('Assumptions'!$P$138+'Assumptions'!$Y$138)</x:f>
        <x:v>458.14288445718273</x:v>
      </x:c>
      <x:c r="X2548" s="10" t="n">
        <x:f>N2548/12*'Assumptions'!$AF$138</x:f>
        <x:v>7404.957348977406</x:v>
      </x:c>
      <x:c r="Y2548" s="10" t="n">
        <x:f>P2548/12</x:f>
        <x:v>918.8716090668482</x:v>
      </x:c>
      <x:c r="Z2548" s="10" t="n">
        <x:f>0</x:f>
        <x:v>0</x:v>
      </x:c>
      <x:c r="AA2548" s="10" t="n">
        <x:f>Z2548*'Assumptions'!$AC$138*'Assumptions'!$D$11*(1+'Assumptions'!$D$13)^(20-1)</x:f>
        <x:v>0</x:v>
      </x:c>
      <x:c r="AB2548" s="10" t="n">
        <x:f>F2548/1</x:f>
        <x:v>11.861304492154941</x:v>
      </x:c>
      <x:c r="AC2548" s="10" t="n">
        <x:f>AB2548/'Assumptions'!$AM$138</x:f>
        <x:v>118.6130449215494</x:v>
      </x:c>
      <x:c r="AD2548" s="10" t="n">
        <x:f>IF(AB2548=0,0,T2548/AB2548)</x:f>
        <x:v>599.3235448697939</x:v>
      </x:c>
      <x:c r="AE2548" s="10" t="n">
        <x:f>AA2548*'Assumptions'!$D$21</x:f>
        <x:v>0</x:v>
      </x:c>
    </x:row>
    <x:row r="2549" ht="16" customHeight="1">
      <x:c r="A2549" s="1"/>
      <x:c r="B2549" s="1"/>
      <x:c r="C2549" s="1" t="str">
        <x:v>DOT-110</x:v>
      </x:c>
      <x:c r="D2549" s="10" t="str">
        <x:v>LesPetitFilms</x:v>
      </x:c>
      <x:c r="E2549" s="10" t="n">
        <x:v>20</x:v>
      </x:c>
      <x:c r="F2549" s="21" t="n">
        <x:f>F2421*(1+'Assumptions'!$M$139)</x:f>
        <x:v>11.861304492154941</x:v>
      </x:c>
      <x:c r="G2549" s="21" t="n">
        <x:f>H2421*'Assumptions'!$K$139</x:f>
        <x:v>6.105083133616933</x:v>
      </x:c>
      <x:c r="H2549" s="21" t="n">
        <x:f>IF(AND(COUNT('Assumptions'!$H$139,'Assumptions'!$I$139,'Assumptions'!$J$139,'Assumptions'!$K$139,'Assumptions'!$L$139,'Assumptions'!$M$139,'Assumptions'!$P$139,'Assumptions'!$Q$139,'Assumptions'!$R$139,'Assumptions'!$S$139,'Assumptions'!$T$139,'Assumptions'!$U$139,'Assumptions'!$V$139,'Assumptions'!$W$139,'Assumptions'!$X$139,'Assumptions'!$Y$139,'Assumptions'!$Z$139,'Assumptions'!$AA$139,'Assumptions'!$AD$139,'Assumptions'!$AE$139,'Assumptions'!$AF$139)=21,COUNT('Assumptions'!$D$8:$D$21)=14,'Assumptions'!$J$139&gt;=1,'Assumptions'!$J$139&lt;=12,'Assumptions'!$D$8&gt;=0,'Assumptions'!$D$15&gt;0),F2549+G2549,NA())</x:f>
        <x:v>17.966387625771873</x:v>
      </x:c>
      <x:c r="I2549" s="22" t="n">
        <x:f>'Assumptions'!$H$139*IF('Assumptions'!$O$139=1,1,'Assumptions'!$D$10)*(1+'Assumptions'!$N$139)^(20-1)</x:f>
        <x:v>2185.2167587916983</x:v>
      </x:c>
      <x:c r="J2549" s="10" t="n">
        <x:f>H2549*I2549</x:f>
        <x:v>39260.45133478449</x:v>
      </x:c>
      <x:c r="K2549" s="10" t="n">
        <x:f>J2549*'Assumptions'!$T$139</x:f>
        <x:v>39260.45133478449</x:v>
      </x:c>
      <x:c r="L2549" s="10" t="n">
        <x:f>K2549*'Assumptions'!$U$139</x:f>
        <x:v>1177.8135400435347</x:v>
      </x:c>
      <x:c r="M2549" s="10" t="n">
        <x:f>K2549*'Assumptions'!$V$139</x:f>
        <x:v>0</x:v>
      </x:c>
      <x:c r="N2549" s="10" t="n">
        <x:f>K2549-L2549-M2549</x:f>
        <x:v>38082.63779474096</x:v>
      </x:c>
      <x:c r="O2549" s="10" t="n">
        <x:f>H2549*'Assumptions'!$P$139*'Assumptions'!$Q$139*'Assumptions'!$D$11*(1+'Assumptions'!$D$13)^(20-1)</x:f>
        <x:v>14176.87625417423</x:v>
      </x:c>
      <x:c r="P2549" s="10" t="n">
        <x:f>H2549*'Assumptions'!$R$139*'Assumptions'!$D$11*(1+'Assumptions'!$D$13)^(20-1)</x:f>
        <x:v>6300.833890744103</x:v>
      </x:c>
      <x:c r="Q2549" s="10" t="n">
        <x:f>J2549*'Assumptions'!$S$139</x:f>
        <x:v>0</x:v>
      </x:c>
      <x:c r="R2549" s="10" t="n">
        <x:f>H2549*'Assumptions'!$Y$139*'Assumptions'!$Z$139*'Assumptions'!$D$11*(1+'Assumptions'!$D$13)^(20-1)</x:f>
        <x:v>472.56254180580777</x:v>
      </x:c>
      <x:c r="S2549" s="10" t="n">
        <x:f>IF(I2549=0,0,J2549*'Assumptions'!$W$139+H2549*'Assumptions'!$X$139)</x:f>
        <x:v>1143.9430049964817</x:v>
      </x:c>
      <x:c r="T2549" s="10" t="n">
        <x:f>N2549*'Assumptions'!$AA$139</x:f>
        <x:v>3046.6110235792767</x:v>
      </x:c>
      <x:c r="U2549" s="10" t="n">
        <x:f>'Assumptions'!$AE$139*'Assumptions'!$D$11*(1+'Assumptions'!$D$13)^(20-1)</x:f>
        <x:v>0</x:v>
      </x:c>
      <x:c r="V2549" s="10" t="n">
        <x:f>0</x:f>
        <x:v>0</x:v>
      </x:c>
      <x:c r="W2549" s="10" t="n">
        <x:f>H2549*('Assumptions'!$P$139+'Assumptions'!$Y$139)</x:f>
        <x:v>188.64707007060466</x:v>
      </x:c>
      <x:c r="X2549" s="10" t="n">
        <x:f>N2549/12*'Assumptions'!$AF$139</x:f>
        <x:v>3173.5531495617465</x:v>
      </x:c>
      <x:c r="Y2549" s="10" t="n">
        <x:f>P2549/12</x:f>
        <x:v>525.0694908953419</x:v>
      </x:c>
      <x:c r="Z2549" s="10" t="n">
        <x:f>0</x:f>
        <x:v>0</x:v>
      </x:c>
      <x:c r="AA2549" s="10" t="n">
        <x:f>Z2549*'Assumptions'!$AC$139*'Assumptions'!$D$11*(1+'Assumptions'!$D$13)^(20-1)</x:f>
        <x:v>0</x:v>
      </x:c>
      <x:c r="AB2549" s="10" t="n">
        <x:f>F2549/1</x:f>
        <x:v>11.861304492154941</x:v>
      </x:c>
      <x:c r="AC2549" s="10" t="n">
        <x:f>AB2549/'Assumptions'!$AM$139</x:f>
        <x:v>118.6130449215494</x:v>
      </x:c>
      <x:c r="AD2549" s="10" t="n">
        <x:f>IF(AB2549=0,0,T2549/AB2549)</x:f>
        <x:v>256.85294780134035</x:v>
      </x:c>
      <x:c r="AE2549" s="10" t="n">
        <x:f>AA2549*'Assumptions'!$D$21</x:f>
        <x:v>0</x:v>
      </x:c>
    </x:row>
    <x:row r="2550" ht="16" customHeight="1">
      <x:c r="A2550" s="1"/>
      <x:c r="B2550" s="1"/>
      <x:c r="C2550" s="1" t="str">
        <x:v>DOT-111</x:v>
      </x:c>
      <x:c r="D2550" s="10" t="str">
        <x:v>LesPetitFilms</x:v>
      </x:c>
      <x:c r="E2550" s="10" t="n">
        <x:v>20</x:v>
      </x:c>
      <x:c r="F2550" s="21" t="n">
        <x:f>F2422*(1+'Assumptions'!$M$140)</x:f>
        <x:v>17.791956738232415</x:v>
      </x:c>
      <x:c r="G2550" s="21" t="n">
        <x:f>H2422*'Assumptions'!$K$140</x:f>
        <x:v>9.157624700425401</x:v>
      </x:c>
      <x:c r="H2550" s="21" t="n">
        <x:f>IF(AND(COUNT('Assumptions'!$H$140,'Assumptions'!$I$140,'Assumptions'!$J$140,'Assumptions'!$K$140,'Assumptions'!$L$140,'Assumptions'!$M$140,'Assumptions'!$P$140,'Assumptions'!$Q$140,'Assumptions'!$R$140,'Assumptions'!$S$140,'Assumptions'!$T$140,'Assumptions'!$U$140,'Assumptions'!$V$140,'Assumptions'!$W$140,'Assumptions'!$X$140,'Assumptions'!$Y$140,'Assumptions'!$Z$140,'Assumptions'!$AA$140,'Assumptions'!$AD$140,'Assumptions'!$AE$140,'Assumptions'!$AF$140)=21,COUNT('Assumptions'!$D$8:$D$21)=14,'Assumptions'!$J$140&gt;=1,'Assumptions'!$J$140&lt;=12,'Assumptions'!$D$8&gt;=0,'Assumptions'!$D$15&gt;0),F2550+G2550,NA())</x:f>
        <x:v>26.949581438657816</x:v>
      </x:c>
      <x:c r="I2550" s="22" t="n">
        <x:f>'Assumptions'!$H$140*IF('Assumptions'!$O$140=1,1,'Assumptions'!$D$10)*(1+'Assumptions'!$N$140)^(20-1)</x:f>
        <x:v>728.4055862638994</x:v>
      </x:c>
      <x:c r="J2550" s="10" t="n">
        <x:f>H2550*I2550</x:f>
        <x:v>19630.22566739225</x:v>
      </x:c>
      <x:c r="K2550" s="10" t="n">
        <x:f>J2550*'Assumptions'!$T$140</x:f>
        <x:v>19630.22566739225</x:v>
      </x:c>
      <x:c r="L2550" s="10" t="n">
        <x:f>K2550*'Assumptions'!$U$140</x:f>
        <x:v>588.9067700217674</x:v>
      </x:c>
      <x:c r="M2550" s="10" t="n">
        <x:f>K2550*'Assumptions'!$V$140</x:f>
        <x:v>0</x:v>
      </x:c>
      <x:c r="N2550" s="10" t="n">
        <x:f>K2550-L2550-M2550</x:f>
        <x:v>19041.318897370482</x:v>
      </x:c>
      <x:c r="O2550" s="10" t="n">
        <x:f>H2550*'Assumptions'!$P$140*'Assumptions'!$Q$140*'Assumptions'!$D$11*(1+'Assumptions'!$D$13)^(20-1)</x:f>
        <x:v>5670.750501669694</x:v>
      </x:c>
      <x:c r="P2550" s="10" t="n">
        <x:f>H2550*'Assumptions'!$R$140*'Assumptions'!$D$11*(1+'Assumptions'!$D$13)^(20-1)</x:f>
        <x:v>2362.812709029039</x:v>
      </x:c>
      <x:c r="Q2550" s="10" t="n">
        <x:f>J2550*'Assumptions'!$S$140</x:f>
        <x:v>0</x:v>
      </x:c>
      <x:c r="R2550" s="10" t="n">
        <x:f>H2550*'Assumptions'!$Y$140*'Assumptions'!$Z$140*'Assumptions'!$D$11*(1+'Assumptions'!$D$13)^(20-1)</x:f>
        <x:v>708.8438127087118</x:v>
      </x:c>
      <x:c r="S2550" s="10" t="n">
        <x:f>IF(I2550=0,0,J2550*'Assumptions'!$W$140+H2550*'Assumptions'!$X$140)</x:f>
        <x:v>577.3614187859725</x:v>
      </x:c>
      <x:c r="T2550" s="10" t="n">
        <x:f>N2550*'Assumptions'!$AA$140</x:f>
        <x:v>1523.3055117896386</x:v>
      </x:c>
      <x:c r="U2550" s="10" t="n">
        <x:f>'Assumptions'!$AE$140*'Assumptions'!$D$11*(1+'Assumptions'!$D$13)^(20-1)</x:f>
        <x:v>0</x:v>
      </x:c>
      <x:c r="V2550" s="10" t="n">
        <x:f>0</x:f>
        <x:v>0</x:v>
      </x:c>
      <x:c r="W2550" s="10" t="n">
        <x:f>H2550*('Assumptions'!$P$140+'Assumptions'!$Y$140)</x:f>
        <x:v>94.32353503530236</x:v>
      </x:c>
      <x:c r="X2550" s="10" t="n">
        <x:f>N2550/12*'Assumptions'!$AF$140</x:f>
        <x:v>1586.7765747808735</x:v>
      </x:c>
      <x:c r="Y2550" s="10" t="n">
        <x:f>P2550/12</x:f>
        <x:v>196.90105908575325</x:v>
      </x:c>
      <x:c r="Z2550" s="10" t="n">
        <x:f>0</x:f>
        <x:v>0</x:v>
      </x:c>
      <x:c r="AA2550" s="10" t="n">
        <x:f>Z2550*'Assumptions'!$AC$140*'Assumptions'!$D$11*(1+'Assumptions'!$D$13)^(20-1)</x:f>
        <x:v>0</x:v>
      </x:c>
      <x:c r="AB2550" s="10" t="n">
        <x:f>F2550/1</x:f>
        <x:v>17.791956738232415</x:v>
      </x:c>
      <x:c r="AC2550" s="10" t="n">
        <x:f>AB2550/'Assumptions'!$AM$140</x:f>
        <x:v>177.91956738232415</x:v>
      </x:c>
      <x:c r="AD2550" s="10" t="n">
        <x:f>IF(AB2550=0,0,T2550/AB2550)</x:f>
        <x:v>85.61764926711344</x:v>
      </x:c>
      <x:c r="AE2550" s="10" t="n">
        <x:f>AA2550*'Assumptions'!$D$21</x:f>
        <x:v>0</x:v>
      </x:c>
    </x:row>
    <x:row r="2551" ht="16" customHeight="1">
      <x:c r="A2551" s="1"/>
      <x:c r="B2551" s="1"/>
      <x:c r="C2551" s="1" t="str">
        <x:v>DOT-112</x:v>
      </x:c>
      <x:c r="D2551" s="10" t="str">
        <x:v>Learn Anglais</x:v>
      </x:c>
      <x:c r="E2551" s="10" t="n">
        <x:v>20</x:v>
      </x:c>
      <x:c r="F2551" s="21" t="n">
        <x:f>F2423*(1+'Assumptions'!$M$141)</x:f>
        <x:v>581.5082223114026</x:v>
      </x:c>
      <x:c r="G2551" s="21" t="n">
        <x:f>H2423*'Assumptions'!$K$141</x:f>
        <x:v>1232.2448070186897</x:v>
      </x:c>
      <x:c r="H2551" s="21" t="n">
        <x:f>IF(AND(COUNT('Assumptions'!$H$141,'Assumptions'!$I$141,'Assumptions'!$J$141,'Assumptions'!$K$141,'Assumptions'!$L$141,'Assumptions'!$M$141,'Assumptions'!$P$141,'Assumptions'!$Q$141,'Assumptions'!$R$141,'Assumptions'!$S$141,'Assumptions'!$T$141,'Assumptions'!$U$141,'Assumptions'!$V$141,'Assumptions'!$W$141,'Assumptions'!$X$141,'Assumptions'!$Y$141,'Assumptions'!$Z$141,'Assumptions'!$AA$141,'Assumptions'!$AD$141,'Assumptions'!$AE$141,'Assumptions'!$AF$141)=21,COUNT('Assumptions'!$D$8:$D$21)=14,'Assumptions'!$J$141&gt;=1,'Assumptions'!$J$141&lt;=12,'Assumptions'!$D$8&gt;=0,'Assumptions'!$D$15&gt;0),F2551+G2551,NA())</x:f>
        <x:v>1813.7530293300924</x:v>
      </x:c>
      <x:c r="I2551" s="22" t="n">
        <x:f>'Assumptions'!$H$141*IF('Assumptions'!$O$141=1,1,'Assumptions'!$D$10)*(1+'Assumptions'!$N$141)^(20-1)</x:f>
        <x:v>65.55650276375094</x:v>
      </x:c>
      <x:c r="J2551" s="10" t="n">
        <x:f>H2551*I2551</x:f>
        <x:v>118903.30548003985</x:v>
      </x:c>
      <x:c r="K2551" s="10" t="n">
        <x:f>J2551*'Assumptions'!$T$141</x:f>
        <x:v>39634.43516001328</x:v>
      </x:c>
      <x:c r="L2551" s="10" t="n">
        <x:f>K2551*'Assumptions'!$U$141</x:f>
        <x:v>1189.0330548003983</x:v>
      </x:c>
      <x:c r="M2551" s="10" t="n">
        <x:f>K2551*'Assumptions'!$V$141</x:f>
        <x:v>0</x:v>
      </x:c>
      <x:c r="N2551" s="10" t="n">
        <x:f>K2551-L2551-M2551</x:f>
        <x:v>38445.40210521288</x:v>
      </x:c>
      <x:c r="O2551" s="10" t="n">
        <x:f>H2551*'Assumptions'!$P$141*'Assumptions'!$Q$141*'Assumptions'!$D$11*(1+'Assumptions'!$D$13)^(20-1)</x:f>
        <x:v>11131.494205010365</x:v>
      </x:c>
      <x:c r="P2551" s="10" t="n">
        <x:f>H2551*'Assumptions'!$R$141*'Assumptions'!$D$11*(1+'Assumptions'!$D$13)^(20-1)</x:f>
        <x:v>0</x:v>
      </x:c>
      <x:c r="Q2551" s="10" t="n">
        <x:f>J2551*'Assumptions'!$S$141</x:f>
        <x:v>0</x:v>
      </x:c>
      <x:c r="R2551" s="10" t="n">
        <x:f>H2551*'Assumptions'!$Y$141*'Assumptions'!$Z$141*'Assumptions'!$D$11*(1+'Assumptions'!$D$13)^(20-1)</x:f>
        <x:v>14311.92112072761</x:v>
      </x:c>
      <x:c r="S2551" s="10" t="n">
        <x:f>IF(I2551=0,0,J2551*'Assumptions'!$W$141+H2551*'Assumptions'!$X$141)</x:f>
        <x:v>3992.3217677201837</x:v>
      </x:c>
      <x:c r="T2551" s="10" t="n">
        <x:f>N2551*'Assumptions'!$AA$141</x:f>
        <x:v>1922.2701052606442</x:v>
      </x:c>
      <x:c r="U2551" s="10" t="n">
        <x:f>'Assumptions'!$AE$141*'Assumptions'!$D$11*(1+'Assumptions'!$D$13)^(20-1)</x:f>
        <x:v>0</x:v>
      </x:c>
      <x:c r="V2551" s="10" t="n">
        <x:f>0</x:f>
        <x:v>0</x:v>
      </x:c>
      <x:c r="W2551" s="10" t="n">
        <x:f>H2551*('Assumptions'!$P$141+'Assumptions'!$Y$141)</x:f>
        <x:v>453.4382573325231</x:v>
      </x:c>
      <x:c r="X2551" s="10" t="n">
        <x:f>N2551/12*'Assumptions'!$AF$141</x:f>
        <x:v>0</x:v>
      </x:c>
      <x:c r="Y2551" s="10" t="n">
        <x:f>P2551/12</x:f>
        <x:v>0</x:v>
      </x:c>
      <x:c r="Z2551" s="10" t="n">
        <x:f>0</x:f>
        <x:v>0</x:v>
      </x:c>
      <x:c r="AA2551" s="10" t="n">
        <x:f>Z2551*'Assumptions'!$AC$141*'Assumptions'!$D$11*(1+'Assumptions'!$D$13)^(20-1)</x:f>
        <x:v>0</x:v>
      </x:c>
      <x:c r="AB2551" s="10" t="n">
        <x:f>F2551/1</x:f>
        <x:v>581.5082223114026</x:v>
      </x:c>
      <x:c r="AC2551" s="10" t="n">
        <x:f>AB2551/'Assumptions'!$AM$141</x:f>
        <x:v>11630.164446228051</x:v>
      </x:c>
      <x:c r="AD2551" s="10" t="n">
        <x:f>IF(AB2551=0,0,T2551/AB2551)</x:f>
        <x:v>3.305662811817048</x:v>
      </x:c>
      <x:c r="AE2551" s="10" t="n">
        <x:f>AA2551*'Assumptions'!$D$21</x:f>
        <x:v>0</x:v>
      </x:c>
    </x:row>
    <x:row r="2552" ht="16" customHeight="1">
      <x:c r="A2552" s="1"/>
      <x:c r="B2552" s="1"/>
      <x:c r="C2552" s="1" t="str">
        <x:v>DOT-113</x:v>
      </x:c>
      <x:c r="D2552" s="10" t="str">
        <x:v>Learn Anglais</x:v>
      </x:c>
      <x:c r="E2552" s="10" t="n">
        <x:v>20</x:v>
      </x:c>
      <x:c r="F2552" s="21" t="n">
        <x:f>F2424*(1+'Assumptions'!$M$142)</x:f>
        <x:v>348.9049333868414</x:v>
      </x:c>
      <x:c r="G2552" s="21" t="n">
        <x:f>H2424*'Assumptions'!$K$142</x:f>
        <x:v>739.3468842112135</x:v>
      </x:c>
      <x:c r="H2552" s="21" t="n">
        <x:f>IF(AND(COUNT('Assumptions'!$H$142,'Assumptions'!$I$142,'Assumptions'!$J$142,'Assumptions'!$K$142,'Assumptions'!$L$142,'Assumptions'!$M$142,'Assumptions'!$P$142,'Assumptions'!$Q$142,'Assumptions'!$R$142,'Assumptions'!$S$142,'Assumptions'!$T$142,'Assumptions'!$U$142,'Assumptions'!$V$142,'Assumptions'!$W$142,'Assumptions'!$X$142,'Assumptions'!$Y$142,'Assumptions'!$Z$142,'Assumptions'!$AA$142,'Assumptions'!$AD$142,'Assumptions'!$AE$142,'Assumptions'!$AF$142)=21,COUNT('Assumptions'!$D$8:$D$21)=14,'Assumptions'!$J$142&gt;=1,'Assumptions'!$J$142&lt;=12,'Assumptions'!$D$8&gt;=0,'Assumptions'!$D$15&gt;0),F2552+G2552,NA())</x:f>
        <x:v>1088.251817598055</x:v>
      </x:c>
      <x:c r="I2552" s="22" t="n">
        <x:f>'Assumptions'!$H$142*IF('Assumptions'!$O$142=1,1,'Assumptions'!$D$10)*(1+'Assumptions'!$N$142)^(20-1)</x:f>
        <x:v>123.8289496648629</x:v>
      </x:c>
      <x:c r="J2552" s="10" t="n">
        <x:f>H2552*I2552</x:f>
        <x:v>134757.07954404512</x:v>
      </x:c>
      <x:c r="K2552" s="10" t="n">
        <x:f>J2552*'Assumptions'!$T$142</x:f>
        <x:v>40427.123863213536</x:v>
      </x:c>
      <x:c r="L2552" s="10" t="n">
        <x:f>K2552*'Assumptions'!$U$142</x:f>
        <x:v>1212.813715896406</x:v>
      </x:c>
      <x:c r="M2552" s="10" t="n">
        <x:f>K2552*'Assumptions'!$V$142</x:f>
        <x:v>0</x:v>
      </x:c>
      <x:c r="N2552" s="10" t="n">
        <x:f>K2552-L2552-M2552</x:f>
        <x:v>39214.31014731713</x:v>
      </x:c>
      <x:c r="O2552" s="10" t="n">
        <x:f>H2552*'Assumptions'!$P$142*'Assumptions'!$Q$142*'Assumptions'!$D$11*(1+'Assumptions'!$D$13)^(20-1)</x:f>
        <x:v>6678.896523006216</x:v>
      </x:c>
      <x:c r="P2552" s="10" t="n">
        <x:f>H2552*'Assumptions'!$R$142*'Assumptions'!$D$11*(1+'Assumptions'!$D$13)^(20-1)</x:f>
        <x:v>0</x:v>
      </x:c>
      <x:c r="Q2552" s="10" t="n">
        <x:f>J2552*'Assumptions'!$S$142</x:f>
        <x:v>0</x:v>
      </x:c>
      <x:c r="R2552" s="10" t="n">
        <x:f>H2552*'Assumptions'!$Y$142*'Assumptions'!$Z$142*'Assumptions'!$D$11*(1+'Assumptions'!$D$13)^(20-1)</x:f>
        <x:v>8587.152672436563</x:v>
      </x:c>
      <x:c r="S2552" s="10" t="n">
        <x:f>IF(I2552=0,0,J2552*'Assumptions'!$W$142+H2552*'Assumptions'!$X$142)</x:f>
        <x:v>4234.430852056725</x:v>
      </x:c>
      <x:c r="T2552" s="10" t="n">
        <x:f>N2552*'Assumptions'!$AA$142</x:f>
        <x:v>1960.7155073658564</x:v>
      </x:c>
      <x:c r="U2552" s="10" t="n">
        <x:f>'Assumptions'!$AE$142*'Assumptions'!$D$11*(1+'Assumptions'!$D$13)^(20-1)</x:f>
        <x:v>0</x:v>
      </x:c>
      <x:c r="V2552" s="10" t="n">
        <x:f>0</x:f>
        <x:v>0</x:v>
      </x:c>
      <x:c r="W2552" s="10" t="n">
        <x:f>H2552*('Assumptions'!$P$142+'Assumptions'!$Y$142)</x:f>
        <x:v>272.0629543995137</x:v>
      </x:c>
      <x:c r="X2552" s="10" t="n">
        <x:f>N2552/12*'Assumptions'!$AF$142</x:f>
        <x:v>0</x:v>
      </x:c>
      <x:c r="Y2552" s="10" t="n">
        <x:f>P2552/12</x:f>
        <x:v>0</x:v>
      </x:c>
      <x:c r="Z2552" s="10" t="n">
        <x:f>0</x:f>
        <x:v>0</x:v>
      </x:c>
      <x:c r="AA2552" s="10" t="n">
        <x:f>Z2552*'Assumptions'!$AC$142*'Assumptions'!$D$11*(1+'Assumptions'!$D$13)^(20-1)</x:f>
        <x:v>0</x:v>
      </x:c>
      <x:c r="AB2552" s="10" t="n">
        <x:f>F2552/1</x:f>
        <x:v>348.9049333868414</x:v>
      </x:c>
      <x:c r="AC2552" s="10" t="n">
        <x:f>AB2552/'Assumptions'!$AM$142</x:f>
        <x:v>6978.098667736827</x:v>
      </x:c>
      <x:c r="AD2552" s="10" t="n">
        <x:f>IF(AB2552=0,0,T2552/AB2552)</x:f>
        <x:v>5.619626780088983</x:v>
      </x:c>
      <x:c r="AE2552" s="10" t="n">
        <x:f>AA2552*'Assumptions'!$D$21</x:f>
        <x:v>0</x:v>
      </x:c>
    </x:row>
    <x:row r="2553" ht="16" customHeight="1">
      <x:c r="A2553" s="1"/>
      <x:c r="B2553" s="1"/>
      <x:c r="C2553" s="1" t="str">
        <x:v>DOT-114</x:v>
      </x:c>
      <x:c r="D2553" s="10" t="str">
        <x:v>Learn Anglais</x:v>
      </x:c>
      <x:c r="E2553" s="10" t="n">
        <x:v>20</x:v>
      </x:c>
      <x:c r="F2553" s="21" t="n">
        <x:f>F2425*(1+'Assumptions'!$M$143)</x:f>
        <x:v>490.4810548075965</x:v>
      </x:c>
      <x:c r="G2553" s="21" t="n">
        <x:f>H2425*'Assumptions'!$K$143</x:f>
        <x:v>157.20546627177424</x:v>
      </x:c>
      <x:c r="H2553" s="21" t="n">
        <x:f>IF(AND(COUNT('Assumptions'!$H$143,'Assumptions'!$I$143,'Assumptions'!$J$143,'Assumptions'!$K$143,'Assumptions'!$L$143,'Assumptions'!$M$143,'Assumptions'!$P$143,'Assumptions'!$Q$143,'Assumptions'!$R$143,'Assumptions'!$S$143,'Assumptions'!$T$143,'Assumptions'!$U$143,'Assumptions'!$V$143,'Assumptions'!$W$143,'Assumptions'!$X$143,'Assumptions'!$Y$143,'Assumptions'!$Z$143,'Assumptions'!$AA$143,'Assumptions'!$AD$143,'Assumptions'!$AE$143,'Assumptions'!$AF$143)=21,COUNT('Assumptions'!$D$8:$D$21)=14,'Assumptions'!$J$143&gt;=1,'Assumptions'!$J$143&lt;=12,'Assumptions'!$D$8&gt;=0,'Assumptions'!$D$15&gt;0),F2553+G2553,NA())</x:f>
        <x:v>647.6865210793708</x:v>
      </x:c>
      <x:c r="I2553" s="22" t="n">
        <x:f>'Assumptions'!$H$143*IF('Assumptions'!$O$143=1,1,'Assumptions'!$D$10)*(1+'Assumptions'!$N$143)^(20-1)</x:f>
        <x:v>42.24752400330617</x:v>
      </x:c>
      <x:c r="J2553" s="10" t="n">
        <x:f>H2553*I2553</x:f>
        <x:v>27363.151845918583</x:v>
      </x:c>
      <x:c r="K2553" s="10" t="n">
        <x:f>J2553*'Assumptions'!$T$143</x:f>
        <x:v>27363.151845918583</x:v>
      </x:c>
      <x:c r="L2553" s="10" t="n">
        <x:f>K2553*'Assumptions'!$U$143</x:f>
        <x:v>820.8945553775575</x:v>
      </x:c>
      <x:c r="M2553" s="10" t="n">
        <x:f>K2553*'Assumptions'!$V$143</x:f>
        <x:v>0</x:v>
      </x:c>
      <x:c r="N2553" s="10" t="n">
        <x:f>K2553-L2553-M2553</x:f>
        <x:v>26542.257290541027</x:v>
      </x:c>
      <x:c r="O2553" s="10" t="n">
        <x:f>H2553*'Assumptions'!$P$143*'Assumptions'!$Q$143*'Assumptions'!$D$11*(1+'Assumptions'!$D$13)^(20-1)</x:f>
        <x:v>5962.541734847913</x:v>
      </x:c>
      <x:c r="P2553" s="10" t="n">
        <x:f>H2553*'Assumptions'!$R$143*'Assumptions'!$D$11*(1+'Assumptions'!$D$13)^(20-1)</x:f>
        <x:v>0</x:v>
      </x:c>
      <x:c r="Q2553" s="10" t="n">
        <x:f>J2553*'Assumptions'!$S$143</x:f>
        <x:v>0</x:v>
      </x:c>
      <x:c r="R2553" s="10" t="n">
        <x:f>H2553*'Assumptions'!$Y$143*'Assumptions'!$Z$143*'Assumptions'!$D$11*(1+'Assumptions'!$D$13)^(20-1)</x:f>
        <x:v>3407.1667056273795</x:v>
      </x:c>
      <x:c r="S2553" s="10" t="n">
        <x:f>IF(I2553=0,0,J2553*'Assumptions'!$W$143+H2553*'Assumptions'!$X$143)</x:f>
        <x:v>987.8373598554501</x:v>
      </x:c>
      <x:c r="T2553" s="10" t="n">
        <x:f>N2553*'Assumptions'!$AA$143</x:f>
        <x:v>1327.1128645270514</x:v>
      </x:c>
      <x:c r="U2553" s="10" t="n">
        <x:f>'Assumptions'!$AE$143*'Assumptions'!$D$11*(1+'Assumptions'!$D$13)^(20-1)</x:f>
        <x:v>0</x:v>
      </x:c>
      <x:c r="V2553" s="10" t="n">
        <x:f>0</x:f>
        <x:v>0</x:v>
      </x:c>
      <x:c r="W2553" s="10" t="n">
        <x:f>H2553*('Assumptions'!$P$143+'Assumptions'!$Y$143)</x:f>
        <x:v>161.9216302698427</x:v>
      </x:c>
      <x:c r="X2553" s="10" t="n">
        <x:f>N2553/12*'Assumptions'!$AF$143</x:f>
        <x:v>0</x:v>
      </x:c>
      <x:c r="Y2553" s="10" t="n">
        <x:f>P2553/12</x:f>
        <x:v>0</x:v>
      </x:c>
      <x:c r="Z2553" s="10" t="n">
        <x:f>0</x:f>
        <x:v>0</x:v>
      </x:c>
      <x:c r="AA2553" s="10" t="n">
        <x:f>Z2553*'Assumptions'!$AC$143*'Assumptions'!$D$11*(1+'Assumptions'!$D$13)^(20-1)</x:f>
        <x:v>0</x:v>
      </x:c>
      <x:c r="AB2553" s="10" t="n">
        <x:f>F2553/1</x:f>
        <x:v>490.4810548075965</x:v>
      </x:c>
      <x:c r="AC2553" s="10" t="n">
        <x:f>AB2553/'Assumptions'!$AM$143</x:f>
        <x:v>9809.621096151928</x:v>
      </x:c>
      <x:c r="AD2553" s="10" t="n">
        <x:f>IF(AB2553=0,0,T2553/AB2553)</x:f>
        <x:v>2.7057372583894086</x:v>
      </x:c>
      <x:c r="AE2553" s="10" t="n">
        <x:f>AA2553*'Assumptions'!$D$21</x:f>
        <x:v>0</x:v>
      </x:c>
    </x:row>
    <x:row r="2554" ht="16" customHeight="1">
      <x:c r="A2554" s="1"/>
      <x:c r="B2554" s="1"/>
      <x:c r="C2554" s="1" t="str">
        <x:v>DOT-115</x:v>
      </x:c>
      <x:c r="D2554" s="10" t="str">
        <x:v>Learn Anglais</x:v>
      </x:c>
      <x:c r="E2554" s="10" t="n">
        <x:v>20</x:v>
      </x:c>
      <x:c r="F2554" s="21" t="n">
        <x:f>F2426*(1+'Assumptions'!$M$144)</x:f>
        <x:v>232.60328892456096</x:v>
      </x:c>
      <x:c r="G2554" s="21" t="n">
        <x:f>H2426*'Assumptions'!$K$144</x:f>
        <x:v>492.8295294363634</x:v>
      </x:c>
      <x:c r="H2554" s="21" t="n">
        <x:f>IF(AND(COUNT('Assumptions'!$H$144,'Assumptions'!$I$144,'Assumptions'!$J$144,'Assumptions'!$K$144,'Assumptions'!$L$144,'Assumptions'!$M$144,'Assumptions'!$P$144,'Assumptions'!$Q$144,'Assumptions'!$R$144,'Assumptions'!$S$144,'Assumptions'!$T$144,'Assumptions'!$U$144,'Assumptions'!$V$144,'Assumptions'!$W$144,'Assumptions'!$X$144,'Assumptions'!$Y$144,'Assumptions'!$Z$144,'Assumptions'!$AA$144,'Assumptions'!$AD$144,'Assumptions'!$AE$144,'Assumptions'!$AF$144)=21,COUNT('Assumptions'!$D$8:$D$21)=14,'Assumptions'!$J$144&gt;=1,'Assumptions'!$J$144&lt;=12,'Assumptions'!$D$8&gt;=0,'Assumptions'!$D$15&gt;0),F2554+G2554,NA())</x:f>
        <x:v>725.4328183609243</x:v>
      </x:c>
      <x:c r="I2554" s="22" t="n">
        <x:f>'Assumptions'!$H$144*IF('Assumptions'!$O$144=1,1,'Assumptions'!$D$10)*(1+'Assumptions'!$N$144)^(20-1)</x:f>
        <x:v>65.55650276375094</x:v>
      </x:c>
      <x:c r="J2554" s="10" t="n">
        <x:f>H2554*I2554</x:f>
        <x:v>47556.83856179357</x:v>
      </x:c>
      <x:c r="K2554" s="10" t="n">
        <x:f>J2554*'Assumptions'!$T$144</x:f>
        <x:v>15852.279520597856</x:v>
      </x:c>
      <x:c r="L2554" s="10" t="n">
        <x:f>K2554*'Assumptions'!$U$144</x:f>
        <x:v>475.5683856179357</x:v>
      </x:c>
      <x:c r="M2554" s="10" t="n">
        <x:f>K2554*'Assumptions'!$V$144</x:f>
        <x:v>0</x:v>
      </x:c>
      <x:c r="N2554" s="10" t="n">
        <x:f>K2554-L2554-M2554</x:f>
        <x:v>15376.711134979922</x:v>
      </x:c>
      <x:c r="O2554" s="10" t="n">
        <x:f>H2554*'Assumptions'!$P$144*'Assumptions'!$Q$144*'Assumptions'!$D$11*(1+'Assumptions'!$D$13)^(20-1)</x:f>
        <x:v>6678.2669000074775</x:v>
      </x:c>
      <x:c r="P2554" s="10" t="n">
        <x:f>H2554*'Assumptions'!$R$144*'Assumptions'!$D$11*(1+'Assumptions'!$D$13)^(20-1)</x:f>
        <x:v>0</x:v>
      </x:c>
      <x:c r="Q2554" s="10" t="n">
        <x:f>J2554*'Assumptions'!$S$144</x:f>
        <x:v>0</x:v>
      </x:c>
      <x:c r="R2554" s="10" t="n">
        <x:f>H2554*'Assumptions'!$Y$144*'Assumptions'!$Z$144*'Assumptions'!$D$11*(1+'Assumptions'!$D$13)^(20-1)</x:f>
        <x:v>5724.22877143498</x:v>
      </x:c>
      <x:c r="S2554" s="10" t="n">
        <x:f>IF(I2554=0,0,J2554*'Assumptions'!$W$144+H2554*'Assumptions'!$X$144)</x:f>
        <x:v>1596.7781638002907</x:v>
      </x:c>
      <x:c r="T2554" s="10" t="n">
        <x:f>N2554*'Assumptions'!$AA$144</x:f>
        <x:v>768.8355567489962</x:v>
      </x:c>
      <x:c r="U2554" s="10" t="n">
        <x:f>'Assumptions'!$AE$144*'Assumptions'!$D$11*(1+'Assumptions'!$D$13)^(20-1)</x:f>
        <x:v>0</x:v>
      </x:c>
      <x:c r="V2554" s="10" t="n">
        <x:f>0</x:f>
        <x:v>0</x:v>
      </x:c>
      <x:c r="W2554" s="10" t="n">
        <x:f>H2554*('Assumptions'!$P$144+'Assumptions'!$Y$144)</x:f>
        <x:v>217.6298455082773</x:v>
      </x:c>
      <x:c r="X2554" s="10" t="n">
        <x:f>N2554/12*'Assumptions'!$AF$144</x:f>
        <x:v>0</x:v>
      </x:c>
      <x:c r="Y2554" s="10" t="n">
        <x:f>P2554/12</x:f>
        <x:v>0</x:v>
      </x:c>
      <x:c r="Z2554" s="10" t="n">
        <x:f>0</x:f>
        <x:v>0</x:v>
      </x:c>
      <x:c r="AA2554" s="10" t="n">
        <x:f>Z2554*'Assumptions'!$AC$144*'Assumptions'!$D$11*(1+'Assumptions'!$D$13)^(20-1)</x:f>
        <x:v>0</x:v>
      </x:c>
      <x:c r="AB2554" s="10" t="n">
        <x:f>F2554/1</x:f>
        <x:v>232.60328892456096</x:v>
      </x:c>
      <x:c r="AC2554" s="10" t="n">
        <x:f>AB2554/'Assumptions'!$AM$144</x:f>
        <x:v>4652.065778491219</x:v>
      </x:c>
      <x:c r="AD2554" s="10" t="n">
        <x:f>IF(AB2554=0,0,T2554/AB2554)</x:f>
        <x:v>3.3053511852893394</x:v>
      </x:c>
      <x:c r="AE2554" s="10" t="n">
        <x:f>AA2554*'Assumptions'!$D$21</x:f>
        <x:v>0</x:v>
      </x:c>
    </x:row>
    <x:row r="2555" ht="16" customHeight="1">
      <x:c r="A2555" s="1"/>
      <x:c r="B2555" s="1"/>
      <x:c r="C2555" s="1" t="str">
        <x:v>DOT-116</x:v>
      </x:c>
      <x:c r="D2555" s="10" t="str">
        <x:v>Fiefé</x:v>
      </x:c>
      <x:c r="E2555" s="10" t="n">
        <x:v>20</x:v>
      </x:c>
      <x:c r="F2555" s="21" t="n">
        <x:f>F2427*(1+'Assumptions'!$M$145)</x:f>
        <x:v>82.37012758028847</x:v>
      </x:c>
      <x:c r="G2555" s="21" t="n">
        <x:f>H2427*'Assumptions'!$K$145</x:f>
        <x:v>33.85073732499968</x:v>
      </x:c>
      <x:c r="H2555" s="21" t="n">
        <x:f>IF(AND(COUNT('Assumptions'!$H$145,'Assumptions'!$I$145,'Assumptions'!$J$145,'Assumptions'!$K$145,'Assumptions'!$L$145,'Assumptions'!$M$145,'Assumptions'!$P$145,'Assumptions'!$Q$145,'Assumptions'!$R$145,'Assumptions'!$S$145,'Assumptions'!$T$145,'Assumptions'!$U$145,'Assumptions'!$V$145,'Assumptions'!$W$145,'Assumptions'!$X$145,'Assumptions'!$Y$145,'Assumptions'!$Z$145,'Assumptions'!$AA$145,'Assumptions'!$AD$145,'Assumptions'!$AE$145,'Assumptions'!$AF$145)=21,COUNT('Assumptions'!$D$8:$D$21)=14,'Assumptions'!$J$145&gt;=1,'Assumptions'!$J$145&lt;=12,'Assumptions'!$D$8&gt;=0,'Assumptions'!$D$15&gt;0),F2555+G2555,NA())</x:f>
        <x:v>116.22086490528815</x:v>
      </x:c>
      <x:c r="I2555" s="22" t="n">
        <x:f>'Assumptions'!$H$145*IF('Assumptions'!$O$145=1,1,'Assumptions'!$D$10)*(1+'Assumptions'!$N$145)^(20-1)</x:f>
        <x:v>655.5650276375095</x:v>
      </x:c>
      <x:c r="J2555" s="10" t="n">
        <x:f>H2555*I2555</x:f>
        <x:v>76190.33451369048</x:v>
      </x:c>
      <x:c r="K2555" s="10" t="n">
        <x:f>J2555*'Assumptions'!$T$145</x:f>
        <x:v>76190.33451369048</x:v>
      </x:c>
      <x:c r="L2555" s="10" t="n">
        <x:f>K2555*'Assumptions'!$U$145</x:f>
        <x:v>2285.710035410714</x:v>
      </x:c>
      <x:c r="M2555" s="10" t="n">
        <x:f>K2555*'Assumptions'!$V$145</x:f>
        <x:v>1523.8066902738096</x:v>
      </x:c>
      <x:c r="N2555" s="10" t="n">
        <x:f>K2555-L2555-M2555</x:f>
        <x:v>72380.81778800597</x:v>
      </x:c>
      <x:c r="O2555" s="10" t="n">
        <x:f>H2555*'Assumptions'!$P$145*'Assumptions'!$Q$145*'Assumptions'!$D$11*(1+'Assumptions'!$D$13)^(20-1)</x:f>
        <x:v>5094.849752631972</x:v>
      </x:c>
      <x:c r="P2555" s="10" t="n">
        <x:f>H2555*'Assumptions'!$R$145*'Assumptions'!$D$11*(1+'Assumptions'!$D$13)^(20-1)</x:f>
        <x:v>50948.49752631971</x:v>
      </x:c>
      <x:c r="Q2555" s="10" t="n">
        <x:f>J2555*'Assumptions'!$S$145</x:f>
        <x:v>0</x:v>
      </x:c>
      <x:c r="R2555" s="10" t="n">
        <x:f>H2555*'Assumptions'!$Y$145*'Assumptions'!$Z$145*'Assumptions'!$D$11*(1+'Assumptions'!$D$13)^(20-1)</x:f>
        <x:v>917.0729554737549</x:v>
      </x:c>
      <x:c r="S2555" s="10" t="n">
        <x:f>IF(I2555=0,0,J2555*'Assumptions'!$W$145+H2555*'Assumptions'!$X$145)</x:f>
        <x:v>2244.3859603686105</x:v>
      </x:c>
      <x:c r="T2555" s="10" t="n">
        <x:f>N2555*'Assumptions'!$AA$145</x:f>
        <x:v>5790.465423040478</x:v>
      </x:c>
      <x:c r="U2555" s="10" t="n">
        <x:f>'Assumptions'!$AE$145*'Assumptions'!$D$11*(1+'Assumptions'!$D$13)^(20-1)</x:f>
        <x:v>0</x:v>
      </x:c>
      <x:c r="V2555" s="10" t="n">
        <x:f>0</x:f>
        <x:v>0</x:v>
      </x:c>
      <x:c r="W2555" s="10" t="n">
        <x:f>H2555*('Assumptions'!$P$145+'Assumptions'!$Y$145)</x:f>
        <x:v>75.5435621884373</x:v>
      </x:c>
      <x:c r="X2555" s="10" t="n">
        <x:f>N2555/12*'Assumptions'!$AF$145</x:f>
        <x:v>0</x:v>
      </x:c>
      <x:c r="Y2555" s="10" t="n">
        <x:f>P2555/12</x:f>
        <x:v>4245.708127193309</x:v>
      </x:c>
      <x:c r="Z2555" s="10" t="n">
        <x:f>0</x:f>
        <x:v>0</x:v>
      </x:c>
      <x:c r="AA2555" s="10" t="n">
        <x:f>Z2555*'Assumptions'!$AC$145*'Assumptions'!$D$11*(1+'Assumptions'!$D$13)^(20-1)</x:f>
        <x:v>0</x:v>
      </x:c>
      <x:c r="AB2555" s="10" t="n">
        <x:f>F2555/1</x:f>
        <x:v>82.37012758028847</x:v>
      </x:c>
      <x:c r="AC2555" s="10" t="n">
        <x:f>AB2555/'Assumptions'!$AM$145</x:f>
        <x:v>2745.670919342949</x:v>
      </x:c>
      <x:c r="AD2555" s="10" t="n">
        <x:f>IF(AB2555=0,0,T2555/AB2555)</x:f>
        <x:v>70.29812376333093</x:v>
      </x:c>
      <x:c r="AE2555" s="10" t="n">
        <x:f>AA2555*'Assumptions'!$D$21</x:f>
        <x:v>0</x:v>
      </x:c>
    </x:row>
    <x:row r="2556" ht="16" customHeight="1">
      <x:c r="A2556" s="1"/>
      <x:c r="B2556" s="1"/>
      <x:c r="C2556" s="1" t="str">
        <x:v>DOT-117</x:v>
      </x:c>
      <x:c r="D2556" s="10" t="str">
        <x:v>Fiefé</x:v>
      </x:c>
      <x:c r="E2556" s="10" t="n">
        <x:v>20</x:v>
      </x:c>
      <x:c r="F2556" s="21" t="n">
        <x:f>F2428*(1+'Assumptions'!$M$146)</x:f>
        <x:v>102.9626594753606</x:v>
      </x:c>
      <x:c r="G2556" s="21" t="n">
        <x:f>H2428*'Assumptions'!$K$146</x:f>
        <x:v>42.313421656249595</x:v>
      </x:c>
      <x:c r="H2556" s="21" t="n">
        <x:f>IF(AND(COUNT('Assumptions'!$H$146,'Assumptions'!$I$146,'Assumptions'!$J$146,'Assumptions'!$K$146,'Assumptions'!$L$146,'Assumptions'!$M$146,'Assumptions'!$P$146,'Assumptions'!$Q$146,'Assumptions'!$R$146,'Assumptions'!$S$146,'Assumptions'!$T$146,'Assumptions'!$U$146,'Assumptions'!$V$146,'Assumptions'!$W$146,'Assumptions'!$X$146,'Assumptions'!$Y$146,'Assumptions'!$Z$146,'Assumptions'!$AA$146,'Assumptions'!$AD$146,'Assumptions'!$AE$146,'Assumptions'!$AF$146)=21,COUNT('Assumptions'!$D$8:$D$21)=14,'Assumptions'!$J$146&gt;=1,'Assumptions'!$J$146&lt;=12,'Assumptions'!$D$8&gt;=0,'Assumptions'!$D$15&gt;0),F2556+G2556,NA())</x:f>
        <x:v>145.2760811316102</x:v>
      </x:c>
      <x:c r="I2556" s="22" t="n">
        <x:f>'Assumptions'!$H$146*IF('Assumptions'!$O$146=1,1,'Assumptions'!$D$10)*(1+'Assumptions'!$N$146)^(20-1)</x:f>
        <x:v>254.9419551923648</x:v>
      </x:c>
      <x:c r="J2556" s="10" t="n">
        <x:f>H2556*I2556</x:f>
        <x:v>37036.968166377315</x:v>
      </x:c>
      <x:c r="K2556" s="10" t="n">
        <x:f>J2556*'Assumptions'!$T$146</x:f>
        <x:v>37036.968166377315</x:v>
      </x:c>
      <x:c r="L2556" s="10" t="n">
        <x:f>K2556*'Assumptions'!$U$146</x:f>
        <x:v>1111.1090449913195</x:v>
      </x:c>
      <x:c r="M2556" s="10" t="n">
        <x:f>K2556*'Assumptions'!$V$146</x:f>
        <x:v>740.7393633275464</x:v>
      </x:c>
      <x:c r="N2556" s="10" t="n">
        <x:f>K2556-L2556-M2556</x:f>
        <x:v>35185.11975805845</x:v>
      </x:c>
      <x:c r="O2556" s="10" t="n">
        <x:f>H2556*'Assumptions'!$P$146*'Assumptions'!$Q$146*'Assumptions'!$D$11*(1+'Assumptions'!$D$13)^(20-1)</x:f>
        <x:v>2865.8529858554843</x:v>
      </x:c>
      <x:c r="P2556" s="10" t="n">
        <x:f>H2556*'Assumptions'!$R$146*'Assumptions'!$D$11*(1+'Assumptions'!$D$13)^(20-1)</x:f>
        <x:v>20379.39901052789</x:v>
      </x:c>
      <x:c r="Q2556" s="10" t="n">
        <x:f>J2556*'Assumptions'!$S$146</x:f>
        <x:v>0</x:v>
      </x:c>
      <x:c r="R2556" s="10" t="n">
        <x:f>H2556*'Assumptions'!$Y$146*'Assumptions'!$Z$146*'Assumptions'!$D$11*(1+'Assumptions'!$D$13)^(20-1)</x:f>
        <x:v>1146.3411943421936</x:v>
      </x:c>
      <x:c r="S2556" s="10" t="n">
        <x:f>IF(I2556=0,0,J2556*'Assumptions'!$W$146+H2556*'Assumptions'!$X$146)</x:f>
        <x:v>1117.6549011644252</x:v>
      </x:c>
      <x:c r="T2556" s="10" t="n">
        <x:f>N2556*'Assumptions'!$AA$146</x:f>
        <x:v>2814.809580644676</x:v>
      </x:c>
      <x:c r="U2556" s="10" t="n">
        <x:f>'Assumptions'!$AE$146*'Assumptions'!$D$11*(1+'Assumptions'!$D$13)^(20-1)</x:f>
        <x:v>0</x:v>
      </x:c>
      <x:c r="V2556" s="10" t="n">
        <x:f>0</x:f>
        <x:v>0</x:v>
      </x:c>
      <x:c r="W2556" s="10" t="n">
        <x:f>H2556*('Assumptions'!$P$146+'Assumptions'!$Y$146)</x:f>
        <x:v>58.11043245264408</x:v>
      </x:c>
      <x:c r="X2556" s="10" t="n">
        <x:f>N2556/12*'Assumptions'!$AF$146</x:f>
        <x:v>0</x:v>
      </x:c>
      <x:c r="Y2556" s="10" t="n">
        <x:f>P2556/12</x:f>
        <x:v>1698.2832508773242</x:v>
      </x:c>
      <x:c r="Z2556" s="10" t="n">
        <x:f>0</x:f>
        <x:v>0</x:v>
      </x:c>
      <x:c r="AA2556" s="10" t="n">
        <x:f>Z2556*'Assumptions'!$AC$146*'Assumptions'!$D$11*(1+'Assumptions'!$D$13)^(20-1)</x:f>
        <x:v>0</x:v>
      </x:c>
      <x:c r="AB2556" s="10" t="n">
        <x:f>F2556/1</x:f>
        <x:v>102.9626594753606</x:v>
      </x:c>
      <x:c r="AC2556" s="10" t="n">
        <x:f>AB2556/'Assumptions'!$AM$146</x:f>
        <x:v>3432.088649178687</x:v>
      </x:c>
      <x:c r="AD2556" s="10" t="n">
        <x:f>IF(AB2556=0,0,T2556/AB2556)</x:f>
        <x:v>27.338159241295354</x:v>
      </x:c>
      <x:c r="AE2556" s="10" t="n">
        <x:f>AA2556*'Assumptions'!$D$21</x:f>
        <x:v>0</x:v>
      </x:c>
    </x:row>
    <x:row r="2557" ht="16" customHeight="1">
      <x:c r="A2557" s="1"/>
      <x:c r="B2557" s="1"/>
      <x:c r="C2557" s="1" t="str">
        <x:v>DOT-118</x:v>
      </x:c>
      <x:c r="D2557" s="10" t="str">
        <x:v>Fiefé Design</x:v>
      </x:c>
      <x:c r="E2557" s="10" t="n">
        <x:v>20</x:v>
      </x:c>
      <x:c r="F2557" s="21" t="n">
        <x:f>F2429*(1+'Assumptions'!$M$147)</x:f>
        <x:v>13.728354596714746</x:v>
      </x:c>
      <x:c r="G2557" s="21" t="n">
        <x:f>H2429*'Assumptions'!$K$147</x:f>
        <x:v>5.641789554166612</x:v>
      </x:c>
      <x:c r="H2557" s="21" t="n">
        <x:f>IF(AND(COUNT('Assumptions'!$H$147,'Assumptions'!$I$147,'Assumptions'!$J$147,'Assumptions'!$K$147,'Assumptions'!$L$147,'Assumptions'!$M$147,'Assumptions'!$P$147,'Assumptions'!$Q$147,'Assumptions'!$R$147,'Assumptions'!$S$147,'Assumptions'!$T$147,'Assumptions'!$U$147,'Assumptions'!$V$147,'Assumptions'!$W$147,'Assumptions'!$X$147,'Assumptions'!$Y$147,'Assumptions'!$Z$147,'Assumptions'!$AA$147,'Assumptions'!$AD$147,'Assumptions'!$AE$147,'Assumptions'!$AF$147)=21,COUNT('Assumptions'!$D$8:$D$21)=14,'Assumptions'!$J$147&gt;=1,'Assumptions'!$J$147&lt;=12,'Assumptions'!$D$8&gt;=0,'Assumptions'!$D$15&gt;0),F2557+G2557,NA())</x:f>
        <x:v>19.37014415088136</x:v>
      </x:c>
      <x:c r="I2557" s="22" t="n">
        <x:f>'Assumptions'!$H$147*IF('Assumptions'!$O$147=1,1,'Assumptions'!$D$10)*(1+'Assumptions'!$N$147)^(20-1)</x:f>
        <x:v>3642.027931319497</x:v>
      </x:c>
      <x:c r="J2557" s="10" t="n">
        <x:f>H2557*I2557</x:f>
        <x:v>70546.60603119488</x:v>
      </x:c>
      <x:c r="K2557" s="10" t="n">
        <x:f>J2557*'Assumptions'!$T$147</x:f>
        <x:v>70546.60603119488</x:v>
      </x:c>
      <x:c r="L2557" s="10" t="n">
        <x:f>K2557*'Assumptions'!$U$147</x:f>
        <x:v>2116.3981809358465</x:v>
      </x:c>
      <x:c r="M2557" s="10" t="n">
        <x:f>K2557*'Assumptions'!$V$147</x:f>
        <x:v>1410.9321206238976</x:v>
      </x:c>
      <x:c r="N2557" s="10" t="n">
        <x:f>K2557-L2557-M2557</x:f>
        <x:v>67019.27572963513</x:v>
      </x:c>
      <x:c r="O2557" s="10" t="n">
        <x:f>H2557*'Assumptions'!$P$147*'Assumptions'!$Q$147*'Assumptions'!$D$11*(1+'Assumptions'!$D$13)^(20-1)</x:f>
        <x:v>16303.519208422309</x:v>
      </x:c>
      <x:c r="P2557" s="10" t="n">
        <x:f>H2557*'Assumptions'!$R$147*'Assumptions'!$D$11*(1+'Assumptions'!$D$13)^(20-1)</x:f>
        <x:v>30569.09851579183</x:v>
      </x:c>
      <x:c r="Q2557" s="10" t="n">
        <x:f>J2557*'Assumptions'!$S$147</x:f>
        <x:v>0</x:v>
      </x:c>
      <x:c r="R2557" s="10" t="n">
        <x:f>H2557*'Assumptions'!$Y$147*'Assumptions'!$Z$147*'Assumptions'!$D$11*(1+'Assumptions'!$D$13)^(20-1)</x:f>
        <x:v>152.84549257895912</x:v>
      </x:c>
      <x:c r="S2557" s="10" t="n">
        <x:f>IF(I2557=0,0,J2557*'Assumptions'!$W$147+H2557*'Assumptions'!$X$147)</x:f>
        <x:v>2051.662618149916</x:v>
      </x:c>
      <x:c r="T2557" s="10" t="n">
        <x:f>N2557*'Assumptions'!$AA$147</x:f>
        <x:v>5361.542058370811</x:v>
      </x:c>
      <x:c r="U2557" s="10" t="n">
        <x:f>'Assumptions'!$AE$147*'Assumptions'!$D$11*(1+'Assumptions'!$D$13)^(20-1)</x:f>
        <x:v>0</x:v>
      </x:c>
      <x:c r="V2557" s="10" t="n">
        <x:f>0</x:f>
        <x:v>0</x:v>
      </x:c>
      <x:c r="W2557" s="10" t="n">
        <x:f>H2557*('Assumptions'!$P$147+'Assumptions'!$Y$147)</x:f>
        <x:v>157.8666748296831</x:v>
      </x:c>
      <x:c r="X2557" s="10" t="n">
        <x:f>N2557/12*'Assumptions'!$AF$147</x:f>
        <x:v>0</x:v>
      </x:c>
      <x:c r="Y2557" s="10" t="n">
        <x:f>P2557/12</x:f>
        <x:v>2547.424876315986</x:v>
      </x:c>
      <x:c r="Z2557" s="10" t="n">
        <x:f>0</x:f>
        <x:v>0</x:v>
      </x:c>
      <x:c r="AA2557" s="10" t="n">
        <x:f>Z2557*'Assumptions'!$AC$147*'Assumptions'!$D$11*(1+'Assumptions'!$D$13)^(20-1)</x:f>
        <x:v>0</x:v>
      </x:c>
      <x:c r="AB2557" s="10" t="n">
        <x:f>F2557/1</x:f>
        <x:v>13.728354596714746</x:v>
      </x:c>
      <x:c r="AC2557" s="10" t="n">
        <x:f>AB2557/'Assumptions'!$AM$147</x:f>
        <x:v>457.6118198904916</x:v>
      </x:c>
      <x:c r="AD2557" s="10" t="n">
        <x:f>IF(AB2557=0,0,T2557/AB2557)</x:f>
        <x:v>390.545132018505</x:v>
      </x:c>
      <x:c r="AE2557" s="10" t="n">
        <x:f>AA2557*'Assumptions'!$D$21</x:f>
        <x:v>0</x:v>
      </x:c>
    </x:row>
    <x:row r="2558" ht="16" customHeight="1">
      <x:c r="A2558" s="1"/>
      <x:c r="B2558" s="1"/>
      <x:c r="C2558" s="1" t="str">
        <x:v>DOT-119</x:v>
      </x:c>
      <x:c r="D2558" s="10" t="str">
        <x:v>OsezArt</x:v>
      </x:c>
      <x:c r="E2558" s="10" t="n">
        <x:v>20</x:v>
      </x:c>
      <x:c r="F2558" s="21" t="n">
        <x:f>F2430*(1+'Assumptions'!$M$148)</x:f>
        <x:v>11.630164446228049</x:v>
      </x:c>
      <x:c r="G2558" s="21" t="n">
        <x:f>H2430*'Assumptions'!$K$148</x:f>
        <x:v>24.641476471818173</x:v>
      </x:c>
      <x:c r="H2558" s="21" t="n">
        <x:f>IF(AND(COUNT('Assumptions'!$H$148,'Assumptions'!$I$148,'Assumptions'!$J$148,'Assumptions'!$K$148,'Assumptions'!$L$148,'Assumptions'!$M$148,'Assumptions'!$P$148,'Assumptions'!$Q$148,'Assumptions'!$R$148,'Assumptions'!$S$148,'Assumptions'!$T$148,'Assumptions'!$U$148,'Assumptions'!$V$148,'Assumptions'!$W$148,'Assumptions'!$X$148,'Assumptions'!$Y$148,'Assumptions'!$Z$148,'Assumptions'!$AA$148,'Assumptions'!$AD$148,'Assumptions'!$AE$148,'Assumptions'!$AF$148)=21,COUNT('Assumptions'!$D$8:$D$21)=14,'Assumptions'!$J$148&gt;=1,'Assumptions'!$J$148&lt;=12,'Assumptions'!$D$8&gt;=0,'Assumptions'!$D$15&gt;0),F2558+G2558,NA())</x:f>
        <x:v>36.271640918046224</x:v>
      </x:c>
      <x:c r="I2558" s="22" t="n">
        <x:f>'Assumptions'!$H$148*IF('Assumptions'!$O$148=1,1,'Assumptions'!$D$10)*(1+'Assumptions'!$N$148)^(20-1)</x:f>
        <x:v>7284.055862638994</x:v>
      </x:c>
      <x:c r="J2558" s="10" t="n">
        <x:f>H2558*I2558</x:f>
        <x:v>264204.658676631</x:v>
      </x:c>
      <x:c r="K2558" s="10" t="n">
        <x:f>J2558*'Assumptions'!$T$148</x:f>
        <x:v>52840.9317353262</x:v>
      </x:c>
      <x:c r="L2558" s="10" t="n">
        <x:f>K2558*'Assumptions'!$U$148</x:f>
        <x:v>1585.227952059786</x:v>
      </x:c>
      <x:c r="M2558" s="10" t="n">
        <x:f>K2558*'Assumptions'!$V$148</x:f>
        <x:v>0</x:v>
      </x:c>
      <x:c r="N2558" s="10" t="n">
        <x:f>K2558-L2558-M2558</x:f>
        <x:v>51255.703783266414</x:v>
      </x:c>
      <x:c r="O2558" s="10" t="n">
        <x:f>H2558*'Assumptions'!$P$148*'Assumptions'!$Q$148*'Assumptions'!$D$11*(1+'Assumptions'!$D$13)^(20-1)</x:f>
        <x:v>15264.61005715995</x:v>
      </x:c>
      <x:c r="P2558" s="10" t="n">
        <x:f>H2558*'Assumptions'!$R$148*'Assumptions'!$D$11*(1+'Assumptions'!$D$13)^(20-1)</x:f>
        <x:v>0</x:v>
      </x:c>
      <x:c r="Q2558" s="10" t="n">
        <x:f>J2558*'Assumptions'!$S$148</x:f>
        <x:v>0</x:v>
      </x:c>
      <x:c r="R2558" s="10" t="n">
        <x:f>H2558*'Assumptions'!$Y$148*'Assumptions'!$Z$148*'Assumptions'!$D$11*(1+'Assumptions'!$D$13)^(20-1)</x:f>
        <x:v>286.2114385717491</x:v>
      </x:c>
      <x:c r="S2558" s="10" t="n">
        <x:f>IF(I2558=0,0,J2558*'Assumptions'!$W$148+H2558*'Assumptions'!$X$148)</x:f>
        <x:v>7672.816593897713</x:v>
      </x:c>
      <x:c r="T2558" s="10" t="n">
        <x:f>N2558*'Assumptions'!$AA$148</x:f>
        <x:v>2562.785189163321</x:v>
      </x:c>
      <x:c r="U2558" s="10" t="n">
        <x:f>'Assumptions'!$AE$148*'Assumptions'!$D$11*(1+'Assumptions'!$D$13)^(20-1)</x:f>
        <x:v>0</x:v>
      </x:c>
      <x:c r="V2558" s="10" t="n">
        <x:f>0</x:f>
        <x:v>0</x:v>
      </x:c>
      <x:c r="W2558" s="10" t="n">
        <x:f>H2558*('Assumptions'!$P$148+'Assumptions'!$Y$148)</x:f>
        <x:v>150.52730980989185</x:v>
      </x:c>
      <x:c r="X2558" s="10" t="n">
        <x:f>N2558/12*'Assumptions'!$AF$148</x:f>
        <x:v>0</x:v>
      </x:c>
      <x:c r="Y2558" s="10" t="n">
        <x:f>P2558/12</x:f>
        <x:v>0</x:v>
      </x:c>
      <x:c r="Z2558" s="10" t="n">
        <x:f>0</x:f>
        <x:v>0</x:v>
      </x:c>
      <x:c r="AA2558" s="10" t="n">
        <x:f>Z2558*'Assumptions'!$AC$148*'Assumptions'!$D$11*(1+'Assumptions'!$D$13)^(20-1)</x:f>
        <x:v>0</x:v>
      </x:c>
      <x:c r="AB2558" s="10" t="n">
        <x:f>F2558/1</x:f>
        <x:v>11.630164446228049</x:v>
      </x:c>
      <x:c r="AC2558" s="10" t="n">
        <x:f>AB2558/'Assumptions'!$AM$148</x:f>
        <x:v>232.60328892456096</x:v>
      </x:c>
      <x:c r="AD2558" s="10" t="n">
        <x:f>IF(AB2558=0,0,T2558/AB2558)</x:f>
        <x:v>220.35674568595596</x:v>
      </x:c>
      <x:c r="AE2558" s="10" t="n">
        <x:f>AA2558*'Assumptions'!$D$21</x:f>
        <x:v>0</x:v>
      </x:c>
    </x:row>
    <x:row r="2559" ht="16" customHeight="1">
      <x:c r="A2559" s="1"/>
      <x:c r="B2559" s="1"/>
      <x:c r="C2559" s="1" t="str">
        <x:v>DOT-120</x:v>
      </x:c>
      <x:c r="D2559" s="10" t="str">
        <x:v>OsezArt</x:v>
      </x:c>
      <x:c r="E2559" s="10" t="n">
        <x:v>20</x:v>
      </x:c>
      <x:c r="F2559" s="21" t="n">
        <x:f>F2431*(1+'Assumptions'!$M$149)</x:f>
        <x:v>6.843060283935544</x:v>
      </x:c>
      <x:c r="G2559" s="21" t="n">
        <x:f>H2431*'Assumptions'!$K$149</x:f>
        <x:v>6.455700588557402</x:v>
      </x:c>
      <x:c r="H2559" s="21" t="n">
        <x:f>IF(AND(COUNT('Assumptions'!$H$149,'Assumptions'!$I$149,'Assumptions'!$J$149,'Assumptions'!$K$149,'Assumptions'!$L$149,'Assumptions'!$M$149,'Assumptions'!$P$149,'Assumptions'!$Q$149,'Assumptions'!$R$149,'Assumptions'!$S$149,'Assumptions'!$T$149,'Assumptions'!$U$149,'Assumptions'!$V$149,'Assumptions'!$W$149,'Assumptions'!$X$149,'Assumptions'!$Y$149,'Assumptions'!$Z$149,'Assumptions'!$AA$149,'Assumptions'!$AD$149,'Assumptions'!$AE$149,'Assumptions'!$AF$149)=21,COUNT('Assumptions'!$D$8:$D$21)=14,'Assumptions'!$J$149&gt;=1,'Assumptions'!$J$149&lt;=12,'Assumptions'!$D$8&gt;=0,'Assumptions'!$D$15&gt;0),F2559+G2559,NA())</x:f>
        <x:v>13.298760872492945</x:v>
      </x:c>
      <x:c r="I2559" s="22" t="n">
        <x:f>'Assumptions'!$H$149*IF('Assumptions'!$O$149=1,1,'Assumptions'!$D$10)*(1+'Assumptions'!$N$149)^(20-1)</x:f>
        <x:v>7284.055862638994</x:v>
      </x:c>
      <x:c r="J2559" s="10" t="n">
        <x:f>H2559*I2559</x:f>
        <x:v>96868.9170991163</x:v>
      </x:c>
      <x:c r="K2559" s="10" t="n">
        <x:f>J2559*'Assumptions'!$T$149</x:f>
        <x:v>96868.9170991163</x:v>
      </x:c>
      <x:c r="L2559" s="10" t="n">
        <x:f>K2559*'Assumptions'!$U$149</x:f>
        <x:v>2906.0675129734886</x:v>
      </x:c>
      <x:c r="M2559" s="10" t="n">
        <x:f>K2559*'Assumptions'!$V$149</x:f>
        <x:v>0</x:v>
      </x:c>
      <x:c r="N2559" s="10" t="n">
        <x:f>K2559-L2559-M2559</x:f>
        <x:v>93962.84958614281</x:v>
      </x:c>
      <x:c r="O2559" s="10" t="n">
        <x:f>H2559*'Assumptions'!$P$149*'Assumptions'!$Q$149*'Assumptions'!$D$11*(1+'Assumptions'!$D$13)^(20-1)</x:f>
        <x:v>45472.94249226553</x:v>
      </x:c>
      <x:c r="P2559" s="10" t="n">
        <x:f>H2559*'Assumptions'!$R$149*'Assumptions'!$D$11*(1+'Assumptions'!$D$13)^(20-1)</x:f>
        <x:v>5829.864422085324</x:v>
      </x:c>
      <x:c r="Q2559" s="10" t="n">
        <x:f>J2559*'Assumptions'!$S$149</x:f>
        <x:v>0</x:v>
      </x:c>
      <x:c r="R2559" s="10" t="n">
        <x:f>H2559*'Assumptions'!$Y$149*'Assumptions'!$Z$149*'Assumptions'!$D$11*(1+'Assumptions'!$D$13)^(20-1)</x:f>
        <x:v>174.89593266255972</x:v>
      </x:c>
      <x:c r="S2559" s="10" t="n">
        <x:f>IF(I2559=0,0,J2559*'Assumptions'!$W$149+H2559*'Assumptions'!$X$149)</x:f>
        <x:v>2813.1882241361204</x:v>
      </x:c>
      <x:c r="T2559" s="10" t="n">
        <x:f>N2559*'Assumptions'!$AA$149</x:f>
        <x:v>3758.5139834457123</x:v>
      </x:c>
      <x:c r="U2559" s="10" t="n">
        <x:f>'Assumptions'!$AE$149*'Assumptions'!$D$11*(1+'Assumptions'!$D$13)^(20-1)</x:f>
        <x:v>0</x:v>
      </x:c>
      <x:c r="V2559" s="10" t="n">
        <x:f>0</x:f>
        <x:v>0</x:v>
      </x:c>
      <x:c r="W2559" s="10" t="n">
        <x:f>H2559*('Assumptions'!$P$149+'Assumptions'!$Y$149)</x:f>
        <x:v>402.2875163929116</x:v>
      </x:c>
      <x:c r="X2559" s="10" t="n">
        <x:f>N2559/12*'Assumptions'!$AF$149</x:f>
        <x:v>7830.237465511901</x:v>
      </x:c>
      <x:c r="Y2559" s="10" t="n">
        <x:f>P2559/12</x:f>
        <x:v>485.822035173777</x:v>
      </x:c>
      <x:c r="Z2559" s="10" t="n">
        <x:f>0</x:f>
        <x:v>0</x:v>
      </x:c>
      <x:c r="AA2559" s="10" t="n">
        <x:f>Z2559*'Assumptions'!$AC$149*'Assumptions'!$D$11*(1+'Assumptions'!$D$13)^(20-1)</x:f>
        <x:v>0</x:v>
      </x:c>
      <x:c r="AB2559" s="10" t="n">
        <x:f>F2559/1</x:f>
        <x:v>6.843060283935544</x:v>
      </x:c>
      <x:c r="AC2559" s="10" t="n">
        <x:f>AB2559/'Assumptions'!$AM$149</x:f>
        <x:v>34.215301419677715</x:v>
      </x:c>
      <x:c r="AD2559" s="10" t="n">
        <x:f>IF(AB2559=0,0,T2559/AB2559)</x:f>
        <x:v>549.2446109628798</x:v>
      </x:c>
      <x:c r="AE2559" s="10" t="n">
        <x:f>AA2559*'Assumptions'!$D$21</x:f>
        <x:v>0</x:v>
      </x:c>
    </x:row>
    <x:row r="2560" ht="16" customHeight="1">
      <x:c r="A2560" s="1"/>
      <x:c r="B2560" s="1"/>
      <x:c r="C2560" s="1" t="str">
        <x:v>DOT-121</x:v>
      </x:c>
      <x:c r="D2560" s="10" t="str">
        <x:v>OsezArt</x:v>
      </x:c>
      <x:c r="E2560" s="10" t="n">
        <x:v>20</x:v>
      </x:c>
      <x:c r="F2560" s="21" t="n">
        <x:f>F2432*(1+'Assumptions'!$M$150)</x:f>
        <x:v>6.843060283935544</x:v>
      </x:c>
      <x:c r="G2560" s="21" t="n">
        <x:f>H2432*'Assumptions'!$K$150</x:f>
        <x:v>6.455697727534453</x:v>
      </x:c>
      <x:c r="H2560" s="21" t="n">
        <x:f>IF(AND(COUNT('Assumptions'!$H$150,'Assumptions'!$I$150,'Assumptions'!$J$150,'Assumptions'!$K$150,'Assumptions'!$L$150,'Assumptions'!$M$150,'Assumptions'!$P$150,'Assumptions'!$Q$150,'Assumptions'!$R$150,'Assumptions'!$S$150,'Assumptions'!$T$150,'Assumptions'!$U$150,'Assumptions'!$V$150,'Assumptions'!$W$150,'Assumptions'!$X$150,'Assumptions'!$Y$150,'Assumptions'!$Z$150,'Assumptions'!$AA$150,'Assumptions'!$AD$150,'Assumptions'!$AE$150,'Assumptions'!$AF$150)=21,COUNT('Assumptions'!$D$8:$D$21)=14,'Assumptions'!$J$150&gt;=1,'Assumptions'!$J$150&lt;=12,'Assumptions'!$D$8&gt;=0,'Assumptions'!$D$15&gt;0),F2560+G2560,NA())</x:f>
        <x:v>13.298758011469996</x:v>
      </x:c>
      <x:c r="I2560" s="22" t="n">
        <x:f>'Assumptions'!$H$150*IF('Assumptions'!$O$150=1,1,'Assumptions'!$D$10)*(1+'Assumptions'!$N$150)^(20-1)</x:f>
        <x:v>4370.433517583397</x:v>
      </x:c>
      <x:c r="J2560" s="10" t="n">
        <x:f>H2560*I2560</x:f>
        <x:v>58121.337755559194</x:v>
      </x:c>
      <x:c r="K2560" s="10" t="n">
        <x:f>J2560*'Assumptions'!$T$150</x:f>
        <x:v>58121.337755559194</x:v>
      </x:c>
      <x:c r="L2560" s="10" t="n">
        <x:f>K2560*'Assumptions'!$U$150</x:f>
        <x:v>1743.6401326667758</x:v>
      </x:c>
      <x:c r="M2560" s="10" t="n">
        <x:f>K2560*'Assumptions'!$V$150</x:f>
        <x:v>0</x:v>
      </x:c>
      <x:c r="N2560" s="10" t="n">
        <x:f>K2560-L2560-M2560</x:f>
        <x:v>56377.69762289242</x:v>
      </x:c>
      <x:c r="O2560" s="10" t="n">
        <x:f>H2560*'Assumptions'!$P$150*'Assumptions'!$Q$150*'Assumptions'!$D$11*(1+'Assumptions'!$D$13)^(20-1)</x:f>
        <x:v>27283.75962567868</x:v>
      </x:c>
      <x:c r="P2560" s="10" t="n">
        <x:f>H2560*'Assumptions'!$R$150*'Assumptions'!$D$11*(1+'Assumptions'!$D$13)^(20-1)</x:f>
        <x:v>4663.890534304047</x:v>
      </x:c>
      <x:c r="Q2560" s="10" t="n">
        <x:f>J2560*'Assumptions'!$S$150</x:f>
        <x:v>0</x:v>
      </x:c>
      <x:c r="R2560" s="10" t="n">
        <x:f>H2560*'Assumptions'!$Y$150*'Assumptions'!$Z$150*'Assumptions'!$D$11*(1+'Assumptions'!$D$13)^(20-1)</x:f>
        <x:v>174.89589503640178</x:v>
      </x:c>
      <x:c r="S2560" s="10" t="n">
        <x:f>IF(I2560=0,0,J2560*'Assumptions'!$W$150+H2560*'Assumptions'!$X$150)</x:f>
        <x:v>1689.5084223146578</x:v>
      </x:c>
      <x:c r="T2560" s="10" t="n">
        <x:f>N2560*'Assumptions'!$AA$150</x:f>
        <x:v>2255.107904915697</x:v>
      </x:c>
      <x:c r="U2560" s="10" t="n">
        <x:f>'Assumptions'!$AE$150*'Assumptions'!$D$11*(1+'Assumptions'!$D$13)^(20-1)</x:f>
        <x:v>0</x:v>
      </x:c>
      <x:c r="V2560" s="10" t="n">
        <x:f>0</x:f>
        <x:v>0</x:v>
      </x:c>
      <x:c r="W2560" s="10" t="n">
        <x:f>H2560*('Assumptions'!$P$150+'Assumptions'!$Y$150)</x:f>
        <x:v>242.70233370932743</x:v>
      </x:c>
      <x:c r="X2560" s="10" t="n">
        <x:f>N2560/12*'Assumptions'!$AF$150</x:f>
        <x:v>4698.141468574368</x:v>
      </x:c>
      <x:c r="Y2560" s="10" t="n">
        <x:f>P2560/12</x:f>
        <x:v>388.65754452533724</x:v>
      </x:c>
      <x:c r="Z2560" s="10" t="n">
        <x:f>0</x:f>
        <x:v>0</x:v>
      </x:c>
      <x:c r="AA2560" s="10" t="n">
        <x:f>Z2560*'Assumptions'!$AC$150*'Assumptions'!$D$11*(1+'Assumptions'!$D$13)^(20-1)</x:f>
        <x:v>0</x:v>
      </x:c>
      <x:c r="AB2560" s="10" t="n">
        <x:f>F2560/1</x:f>
        <x:v>6.843060283935544</x:v>
      </x:c>
      <x:c r="AC2560" s="10" t="n">
        <x:f>AB2560/'Assumptions'!$AM$150</x:f>
        <x:v>34.215301419677715</x:v>
      </x:c>
      <x:c r="AD2560" s="10" t="n">
        <x:f>IF(AB2560=0,0,T2560/AB2560)</x:f>
        <x:v>329.5466956808324</x:v>
      </x:c>
      <x:c r="AE2560" s="10" t="n">
        <x:f>AA2560*'Assumptions'!$D$21</x:f>
        <x:v>0</x:v>
      </x:c>
    </x:row>
    <x:row r="2561" ht="16" customHeight="1">
      <x:c r="A2561" s="1"/>
      <x:c r="B2561" s="1"/>
      <x:c r="C2561" s="1" t="str">
        <x:v>DOT-122</x:v>
      </x:c>
      <x:c r="D2561" s="10" t="str">
        <x:v>OsezArt</x:v>
      </x:c>
      <x:c r="E2561" s="10" t="n">
        <x:v>20</x:v>
      </x:c>
      <x:c r="F2561" s="21" t="n">
        <x:f>F2433*(1+'Assumptions'!$M$151)</x:f>
        <x:v>2.281020094645181</x:v>
      </x:c>
      <x:c r="G2561" s="21" t="n">
        <x:f>H2433*'Assumptions'!$K$151</x:f>
        <x:v>2.151899242511484</x:v>
      </x:c>
      <x:c r="H2561" s="21" t="n">
        <x:f>IF(AND(COUNT('Assumptions'!$H$151,'Assumptions'!$I$151,'Assumptions'!$J$151,'Assumptions'!$K$151,'Assumptions'!$L$151,'Assumptions'!$M$151,'Assumptions'!$P$151,'Assumptions'!$Q$151,'Assumptions'!$R$151,'Assumptions'!$S$151,'Assumptions'!$T$151,'Assumptions'!$U$151,'Assumptions'!$V$151,'Assumptions'!$W$151,'Assumptions'!$X$151,'Assumptions'!$Y$151,'Assumptions'!$Z$151,'Assumptions'!$AA$151,'Assumptions'!$AD$151,'Assumptions'!$AE$151,'Assumptions'!$AF$151)=21,COUNT('Assumptions'!$D$8:$D$21)=14,'Assumptions'!$J$151&gt;=1,'Assumptions'!$J$151&lt;=12,'Assumptions'!$D$8&gt;=0,'Assumptions'!$D$15&gt;0),F2561+G2561,NA())</x:f>
        <x:v>4.432919337156665</x:v>
      </x:c>
      <x:c r="I2561" s="22" t="n">
        <x:f>'Assumptions'!$H$151*IF('Assumptions'!$O$151=1,1,'Assumptions'!$D$10)*(1+'Assumptions'!$N$151)^(20-1)</x:f>
        <x:v>14568.111725277988</x:v>
      </x:c>
      <x:c r="J2561" s="10" t="n">
        <x:f>H2561*I2561</x:f>
        <x:v>64579.26417284354</x:v>
      </x:c>
      <x:c r="K2561" s="10" t="n">
        <x:f>J2561*'Assumptions'!$T$151</x:f>
        <x:v>64579.26417284354</x:v>
      </x:c>
      <x:c r="L2561" s="10" t="n">
        <x:f>K2561*'Assumptions'!$U$151</x:f>
        <x:v>1937.3779251853061</x:v>
      </x:c>
      <x:c r="M2561" s="10" t="n">
        <x:f>K2561*'Assumptions'!$V$151</x:f>
        <x:v>0</x:v>
      </x:c>
      <x:c r="N2561" s="10" t="n">
        <x:f>K2561-L2561-M2561</x:f>
        <x:v>62641.886247658236</x:v>
      </x:c>
      <x:c r="O2561" s="10" t="n">
        <x:f>H2561*'Assumptions'!$P$151*'Assumptions'!$Q$151*'Assumptions'!$D$11*(1+'Assumptions'!$D$13)^(20-1)</x:f>
        <x:v>30315.288472976306</x:v>
      </x:c>
      <x:c r="P2561" s="10" t="n">
        <x:f>H2561*'Assumptions'!$R$151*'Assumptions'!$D$11*(1+'Assumptions'!$D$13)^(20-1)</x:f>
        <x:v>3886.575445253373</x:v>
      </x:c>
      <x:c r="Q2561" s="10" t="n">
        <x:f>J2561*'Assumptions'!$S$151</x:f>
        <x:v>0</x:v>
      </x:c>
      <x:c r="R2561" s="10" t="n">
        <x:f>H2561*'Assumptions'!$Y$151*'Assumptions'!$Z$151*'Assumptions'!$D$11*(1+'Assumptions'!$D$13)^(20-1)</x:f>
        <x:v>58.2986316788006</x:v>
      </x:c>
      <x:c r="S2561" s="10" t="n">
        <x:f>IF(I2561=0,0,J2561*'Assumptions'!$W$151+H2561*'Assumptions'!$X$151)</x:f>
        <x:v>1874.1285368136098</x:v>
      </x:c>
      <x:c r="T2561" s="10" t="n">
        <x:f>N2561*'Assumptions'!$AA$151</x:f>
        <x:v>2505.6754499063295</x:v>
      </x:c>
      <x:c r="U2561" s="10" t="n">
        <x:f>'Assumptions'!$AE$151*'Assumptions'!$D$11*(1+'Assumptions'!$D$13)^(20-1)</x:f>
        <x:v>0</x:v>
      </x:c>
      <x:c r="V2561" s="10" t="n">
        <x:f>0</x:f>
        <x:v>0</x:v>
      </x:c>
      <x:c r="W2561" s="10" t="n">
        <x:f>H2561*('Assumptions'!$P$151+'Assumptions'!$Y$151)</x:f>
        <x:v>267.0833900636891</x:v>
      </x:c>
      <x:c r="X2561" s="10" t="n">
        <x:f>N2561/12*'Assumptions'!$AF$151</x:f>
        <x:v>5220.157187304853</x:v>
      </x:c>
      <x:c r="Y2561" s="10" t="n">
        <x:f>P2561/12</x:f>
        <x:v>323.8812871044477</x:v>
      </x:c>
      <x:c r="Z2561" s="10" t="n">
        <x:f>0</x:f>
        <x:v>0</x:v>
      </x:c>
      <x:c r="AA2561" s="10" t="n">
        <x:f>Z2561*'Assumptions'!$AC$151*'Assumptions'!$D$11*(1+'Assumptions'!$D$13)^(20-1)</x:f>
        <x:v>0</x:v>
      </x:c>
      <x:c r="AB2561" s="10" t="n">
        <x:f>F2561/1</x:f>
        <x:v>2.281020094645181</x:v>
      </x:c>
      <x:c r="AC2561" s="10" t="n">
        <x:f>AB2561/'Assumptions'!$AM$151</x:f>
        <x:v>11.405100473225904</x:v>
      </x:c>
      <x:c r="AD2561" s="10" t="n">
        <x:f>IF(AB2561=0,0,T2561/AB2561)</x:f>
        <x:v>1098.4889856027746</x:v>
      </x:c>
      <x:c r="AE2561" s="10" t="n">
        <x:f>AA2561*'Assumptions'!$D$21</x:f>
        <x:v>0</x:v>
      </x:c>
    </x:row>
    <x:row r="2562" ht="16" customHeight="1">
      <x:c r="A2562" s="1"/>
      <x:c r="B2562" s="1"/>
      <x:c r="C2562" s="1" t="str">
        <x:v>DOT-123</x:v>
      </x:c>
      <x:c r="D2562" s="10" t="str">
        <x:v>FinBot research</x:v>
      </x:c>
      <x:c r="E2562" s="10" t="n">
        <x:v>20</x:v>
      </x:c>
      <x:c r="F2562" s="21" t="n">
        <x:f>F2434*(1+'Assumptions'!$M$152)</x:f>
        <x:v>245.24052740379824</x:v>
      </x:c>
      <x:c r="G2562" s="21" t="n">
        <x:f>H2434*'Assumptions'!$K$152</x:f>
        <x:v>78.60273313577798</x:v>
      </x:c>
      <x:c r="H2562" s="21" t="n">
        <x:f>IF(AND(COUNT('Assumptions'!$H$152,'Assumptions'!$I$152,'Assumptions'!$J$152,'Assumptions'!$K$152,'Assumptions'!$L$152,'Assumptions'!$M$152,'Assumptions'!$P$152,'Assumptions'!$Q$152,'Assumptions'!$R$152,'Assumptions'!$S$152,'Assumptions'!$T$152,'Assumptions'!$U$152,'Assumptions'!$V$152,'Assumptions'!$W$152,'Assumptions'!$X$152,'Assumptions'!$Y$152,'Assumptions'!$Z$152,'Assumptions'!$AA$152,'Assumptions'!$AD$152,'Assumptions'!$AE$152,'Assumptions'!$AF$152)=21,COUNT('Assumptions'!$D$8:$D$21)=14,'Assumptions'!$J$152&gt;=1,'Assumptions'!$J$152&lt;=12,'Assumptions'!$D$8&gt;=0,'Assumptions'!$D$15&gt;0),F2562+G2562,NA())</x:f>
        <x:v>323.84326053957625</x:v>
      </x:c>
      <x:c r="I2562" s="22" t="n">
        <x:f>'Assumptions'!$H$152*IF('Assumptions'!$O$152=1,1,'Assumptions'!$D$10)*(1+'Assumptions'!$N$152)^(20-1)</x:f>
        <x:v>42.24752400330617</x:v>
      </x:c>
      <x:c r="J2562" s="10" t="n">
        <x:f>H2562*I2562</x:f>
        <x:v>13681.57592295468</x:v>
      </x:c>
      <x:c r="K2562" s="10" t="n">
        <x:f>J2562*'Assumptions'!$T$152</x:f>
        <x:v>13681.57592295468</x:v>
      </x:c>
      <x:c r="L2562" s="10" t="n">
        <x:f>K2562*'Assumptions'!$U$152</x:f>
        <x:v>410.4472776886404</x:v>
      </x:c>
      <x:c r="M2562" s="10" t="n">
        <x:f>K2562*'Assumptions'!$V$152</x:f>
        <x:v>0</x:v>
      </x:c>
      <x:c r="N2562" s="10" t="n">
        <x:f>K2562-L2562-M2562</x:f>
        <x:v>13271.12864526604</x:v>
      </x:c>
      <x:c r="O2562" s="10" t="n">
        <x:f>H2562*'Assumptions'!$P$152*'Assumptions'!$Q$152*'Assumptions'!$D$11*(1+'Assumptions'!$D$13)^(20-1)</x:f>
        <x:v>5110.7500584393465</x:v>
      </x:c>
      <x:c r="P2562" s="10" t="n">
        <x:f>H2562*'Assumptions'!$R$152*'Assumptions'!$D$11*(1+'Assumptions'!$D$13)^(20-1)</x:f>
        <x:v>0</x:v>
      </x:c>
      <x:c r="Q2562" s="10" t="n">
        <x:f>J2562*'Assumptions'!$S$152</x:f>
        <x:v>0</x:v>
      </x:c>
      <x:c r="R2562" s="10" t="n">
        <x:f>H2562*'Assumptions'!$Y$152*'Assumptions'!$Z$152*'Assumptions'!$D$11*(1+'Assumptions'!$D$13)^(20-1)</x:f>
        <x:v>1703.5833528131157</x:v>
      </x:c>
      <x:c r="S2562" s="10" t="n">
        <x:f>IF(I2562=0,0,J2562*'Assumptions'!$W$152+H2562*'Assumptions'!$X$152)</x:f>
        <x:v>493.91867992755857</x:v>
      </x:c>
      <x:c r="T2562" s="10" t="n">
        <x:f>N2562*'Assumptions'!$AA$152</x:f>
        <x:v>663.5564322633021</x:v>
      </x:c>
      <x:c r="U2562" s="10" t="n">
        <x:f>'Assumptions'!$AE$152*'Assumptions'!$D$11*(1+'Assumptions'!$D$13)^(20-1)</x:f>
        <x:v>420.84145273850436</x:v>
      </x:c>
      <x:c r="V2562" s="10" t="n">
        <x:f>0</x:f>
        <x:v>0</x:v>
      </x:c>
      <x:c r="W2562" s="10" t="n">
        <x:f>H2562*('Assumptions'!$P$152+'Assumptions'!$Y$152)</x:f>
        <x:v>97.1529781618729</x:v>
      </x:c>
      <x:c r="X2562" s="10" t="n">
        <x:f>N2562/12*'Assumptions'!$AF$152</x:f>
        <x:v>0</x:v>
      </x:c>
      <x:c r="Y2562" s="10" t="n">
        <x:f>P2562/12</x:f>
        <x:v>0</x:v>
      </x:c>
      <x:c r="Z2562" s="10" t="n">
        <x:f>0</x:f>
        <x:v>0</x:v>
      </x:c>
      <x:c r="AA2562" s="10" t="n">
        <x:f>Z2562*'Assumptions'!$AC$152*'Assumptions'!$D$11*(1+'Assumptions'!$D$13)^(20-1)</x:f>
        <x:v>0</x:v>
      </x:c>
      <x:c r="AB2562" s="10" t="n">
        <x:f>F2562/12</x:f>
        <x:v>20.436710616983188</x:v>
      </x:c>
      <x:c r="AC2562" s="10" t="n">
        <x:f>AB2562/'Assumptions'!$AM$152</x:f>
        <x:v>408.7342123396637</x:v>
      </x:c>
      <x:c r="AD2562" s="10" t="n">
        <x:f>IF(AB2562=0,0,T2562/AB2562)</x:f>
        <x:v>32.46884710066196</x:v>
      </x:c>
      <x:c r="AE2562" s="10" t="n">
        <x:f>AA2562*'Assumptions'!$D$21</x:f>
        <x:v>0</x:v>
      </x:c>
    </x:row>
    <x:row r="2563" ht="16" customHeight="1">
      <x:c r="A2563" s="1"/>
      <x:c r="B2563" s="1"/>
      <x:c r="C2563" s="1" t="str">
        <x:v>DOT-124</x:v>
      </x:c>
      <x:c r="D2563" s="10" t="str">
        <x:v>Functional Analysis</x:v>
      </x:c>
      <x:c r="E2563" s="10" t="n">
        <x:v>20</x:v>
      </x:c>
      <x:c r="F2563" s="21" t="n">
        <x:f>F2435*(1+'Assumptions'!$M$153)</x:f>
        <x:v>490.4810548075965</x:v>
      </x:c>
      <x:c r="G2563" s="21" t="n">
        <x:f>H2435*'Assumptions'!$K$153</x:f>
        <x:v>157.20546627155596</x:v>
      </x:c>
      <x:c r="H2563" s="21" t="n">
        <x:f>IF(AND(COUNT('Assumptions'!$H$153,'Assumptions'!$I$153,'Assumptions'!$J$153,'Assumptions'!$K$153,'Assumptions'!$L$153,'Assumptions'!$M$153,'Assumptions'!$P$153,'Assumptions'!$Q$153,'Assumptions'!$R$153,'Assumptions'!$S$153,'Assumptions'!$T$153,'Assumptions'!$U$153,'Assumptions'!$V$153,'Assumptions'!$W$153,'Assumptions'!$X$153,'Assumptions'!$Y$153,'Assumptions'!$Z$153,'Assumptions'!$AA$153,'Assumptions'!$AD$153,'Assumptions'!$AE$153,'Assumptions'!$AF$153)=21,COUNT('Assumptions'!$D$8:$D$21)=14,'Assumptions'!$J$153&gt;=1,'Assumptions'!$J$153&lt;=12,'Assumptions'!$D$8&gt;=0,'Assumptions'!$D$15&gt;0),F2563+G2563,NA())</x:f>
        <x:v>647.6865210791525</x:v>
      </x:c>
      <x:c r="I2563" s="22" t="n">
        <x:f>'Assumptions'!$H$153*IF('Assumptions'!$O$153=1,1,'Assumptions'!$D$10)*(1+'Assumptions'!$N$153)^(20-1)</x:f>
        <x:v>27.679412278028177</x:v>
      </x:c>
      <x:c r="J2563" s="10" t="n">
        <x:f>H2563*I2563</x:f>
        <x:v>17927.58224387165</x:v>
      </x:c>
      <x:c r="K2563" s="10" t="n">
        <x:f>J2563*'Assumptions'!$T$153</x:f>
        <x:v>17927.58224387165</x:v>
      </x:c>
      <x:c r="L2563" s="10" t="n">
        <x:f>K2563*'Assumptions'!$U$153</x:f>
        <x:v>537.8274673161495</x:v>
      </x:c>
      <x:c r="M2563" s="10" t="n">
        <x:f>K2563*'Assumptions'!$V$153</x:f>
        <x:v>0</x:v>
      </x:c>
      <x:c r="N2563" s="10" t="n">
        <x:f>K2563-L2563-M2563</x:f>
        <x:v>17389.7547765555</x:v>
      </x:c>
      <x:c r="O2563" s="10" t="n">
        <x:f>H2563*'Assumptions'!$P$153*'Assumptions'!$Q$153*'Assumptions'!$D$11*(1+'Assumptions'!$D$13)^(20-1)</x:f>
        <x:v>3975.027823230603</x:v>
      </x:c>
      <x:c r="P2563" s="10" t="n">
        <x:f>H2563*'Assumptions'!$R$153*'Assumptions'!$D$11*(1+'Assumptions'!$D$13)^(20-1)</x:f>
        <x:v>0</x:v>
      </x:c>
      <x:c r="Q2563" s="10" t="n">
        <x:f>J2563*'Assumptions'!$S$153</x:f>
        <x:v>0</x:v>
      </x:c>
      <x:c r="R2563" s="10" t="n">
        <x:f>H2563*'Assumptions'!$Y$153*'Assumptions'!$Z$153*'Assumptions'!$D$11*(1+'Assumptions'!$D$13)^(20-1)</x:f>
        <x:v>3407.1667056262313</x:v>
      </x:c>
      <x:c r="S2563" s="10" t="n">
        <x:f>IF(I2563=0,0,J2563*'Assumptions'!$W$153+H2563*'Assumptions'!$X$153)</x:f>
        <x:v>714.2058413960235</x:v>
      </x:c>
      <x:c r="T2563" s="10" t="n">
        <x:f>N2563*'Assumptions'!$AA$153</x:f>
        <x:v>869.487738827775</x:v>
      </x:c>
      <x:c r="U2563" s="10" t="n">
        <x:f>'Assumptions'!$AE$153*'Assumptions'!$D$11*(1+'Assumptions'!$D$13)^(20-1)</x:f>
        <x:v>0</x:v>
      </x:c>
      <x:c r="V2563" s="10" t="n">
        <x:f>0</x:f>
        <x:v>0</x:v>
      </x:c>
      <x:c r="W2563" s="10" t="n">
        <x:f>H2563*('Assumptions'!$P$153+'Assumptions'!$Y$153)</x:f>
        <x:v>129.53730421583052</x:v>
      </x:c>
      <x:c r="X2563" s="10" t="n">
        <x:f>N2563/12*'Assumptions'!$AF$153</x:f>
        <x:v>0</x:v>
      </x:c>
      <x:c r="Y2563" s="10" t="n">
        <x:f>P2563/12</x:f>
        <x:v>0</x:v>
      </x:c>
      <x:c r="Z2563" s="10" t="n">
        <x:f>0</x:f>
        <x:v>0</x:v>
      </x:c>
      <x:c r="AA2563" s="10" t="n">
        <x:f>Z2563*'Assumptions'!$AC$153*'Assumptions'!$D$11*(1+'Assumptions'!$D$13)^(20-1)</x:f>
        <x:v>0</x:v>
      </x:c>
      <x:c r="AB2563" s="10" t="n">
        <x:f>F2563/1</x:f>
        <x:v>490.4810548075965</x:v>
      </x:c>
      <x:c r="AC2563" s="10" t="n">
        <x:f>AB2563/'Assumptions'!$AM$153</x:f>
        <x:v>9809.621096151928</x:v>
      </x:c>
      <x:c r="AD2563" s="10" t="n">
        <x:f>IF(AB2563=0,0,T2563/AB2563)</x:f>
        <x:v>1.7727244106683253</x:v>
      </x:c>
      <x:c r="AE2563" s="10" t="n">
        <x:f>AA2563*'Assumptions'!$D$21</x:f>
        <x:v>0</x:v>
      </x:c>
    </x:row>
    <x:row r="2564" ht="16" customHeight="1">
      <x:c r="A2564" s="1"/>
      <x:c r="B2564" s="1"/>
      <x:c r="C2564" s="1" t="str">
        <x:v>DOT-125</x:v>
      </x:c>
      <x:c r="D2564" s="10" t="str">
        <x:v>Functional Analysis</x:v>
      </x:c>
      <x:c r="E2564" s="10" t="n">
        <x:v>20</x:v>
      </x:c>
      <x:c r="F2564" s="21" t="n">
        <x:f>F2436*(1+'Assumptions'!$M$154)</x:f>
        <x:v>41.05836170361324</x:v>
      </x:c>
      <x:c r="G2564" s="21" t="n">
        <x:f>H2436*'Assumptions'!$K$154</x:f>
        <x:v>38.734186365206696</x:v>
      </x:c>
      <x:c r="H2564" s="21" t="n">
        <x:f>IF(AND(COUNT('Assumptions'!$H$154,'Assumptions'!$I$154,'Assumptions'!$J$154,'Assumptions'!$K$154,'Assumptions'!$L$154,'Assumptions'!$M$154,'Assumptions'!$P$154,'Assumptions'!$Q$154,'Assumptions'!$R$154,'Assumptions'!$S$154,'Assumptions'!$T$154,'Assumptions'!$U$154,'Assumptions'!$V$154,'Assumptions'!$W$154,'Assumptions'!$X$154,'Assumptions'!$Y$154,'Assumptions'!$Z$154,'Assumptions'!$AA$154,'Assumptions'!$AD$154,'Assumptions'!$AE$154,'Assumptions'!$AF$154)=21,COUNT('Assumptions'!$D$8:$D$21)=14,'Assumptions'!$J$154&gt;=1,'Assumptions'!$J$154&lt;=12,'Assumptions'!$D$8&gt;=0,'Assumptions'!$D$15&gt;0),F2564+G2564,NA())</x:f>
        <x:v>79.79254806881994</x:v>
      </x:c>
      <x:c r="I2564" s="22" t="n">
        <x:f>'Assumptions'!$H$154*IF('Assumptions'!$O$154=1,1,'Assumptions'!$D$10)*(1+'Assumptions'!$N$154)^(20-1)</x:f>
        <x:v>144.2243060802521</x:v>
      </x:c>
      <x:c r="J2564" s="10" t="n">
        <x:f>H2564*I2564</x:f>
        <x:v>11508.024875600715</x:v>
      </x:c>
      <x:c r="K2564" s="10" t="n">
        <x:f>J2564*'Assumptions'!$T$154</x:f>
        <x:v>11508.024875600715</x:v>
      </x:c>
      <x:c r="L2564" s="10" t="n">
        <x:f>K2564*'Assumptions'!$U$154</x:f>
        <x:v>345.24074626802144</x:v>
      </x:c>
      <x:c r="M2564" s="10" t="n">
        <x:f>K2564*'Assumptions'!$V$154</x:f>
        <x:v>0</x:v>
      </x:c>
      <x:c r="N2564" s="10" t="n">
        <x:f>K2564-L2564-M2564</x:f>
        <x:v>11162.784129332693</x:v>
      </x:c>
      <x:c r="O2564" s="10" t="n">
        <x:f>H2564*'Assumptions'!$P$154*'Assumptions'!$Q$154*'Assumptions'!$D$11*(1+'Assumptions'!$D$13)^(20-1)</x:f>
        <x:v>5596.668641164854</x:v>
      </x:c>
      <x:c r="P2564" s="10" t="n">
        <x:f>H2564*'Assumptions'!$R$154*'Assumptions'!$D$11*(1+'Assumptions'!$D$13)^(20-1)</x:f>
        <x:v>0</x:v>
      </x:c>
      <x:c r="Q2564" s="10" t="n">
        <x:f>J2564*'Assumptions'!$S$154</x:f>
        <x:v>0</x:v>
      </x:c>
      <x:c r="R2564" s="10" t="n">
        <x:f>H2564*'Assumptions'!$Y$154*'Assumptions'!$Z$154*'Assumptions'!$D$11*(1+'Assumptions'!$D$13)^(20-1)</x:f>
        <x:v>1049.3753702184101</x:v>
      </x:c>
      <x:c r="S2564" s="10" t="n">
        <x:f>IF(I2564=0,0,J2564*'Assumptions'!$W$154+H2564*'Assumptions'!$X$154)</x:f>
        <x:v>357.6704858130667</x:v>
      </x:c>
      <x:c r="T2564" s="10" t="n">
        <x:f>N2564*'Assumptions'!$AA$154</x:f>
        <x:v>446.5113651733077</x:v>
      </x:c>
      <x:c r="U2564" s="10" t="n">
        <x:f>'Assumptions'!$AE$154*'Assumptions'!$D$11*(1+'Assumptions'!$D$13)^(20-1)</x:f>
        <x:v>0</x:v>
      </x:c>
      <x:c r="V2564" s="10" t="n">
        <x:f>0</x:f>
        <x:v>0</x:v>
      </x:c>
      <x:c r="W2564" s="10" t="n">
        <x:f>H2564*('Assumptions'!$P$154+'Assumptions'!$Y$154)</x:f>
        <x:v>99.74068508602492</x:v>
      </x:c>
      <x:c r="X2564" s="10" t="n">
        <x:f>N2564/12*'Assumptions'!$AF$154</x:f>
        <x:v>930.2320107777244</x:v>
      </x:c>
      <x:c r="Y2564" s="10" t="n">
        <x:f>P2564/12</x:f>
        <x:v>0</x:v>
      </x:c>
      <x:c r="Z2564" s="10" t="n">
        <x:f>0</x:f>
        <x:v>0</x:v>
      </x:c>
      <x:c r="AA2564" s="10" t="n">
        <x:f>Z2564*'Assumptions'!$AC$154*'Assumptions'!$D$11*(1+'Assumptions'!$D$13)^(20-1)</x:f>
        <x:v>0</x:v>
      </x:c>
      <x:c r="AB2564" s="10" t="n">
        <x:f>F2564/1</x:f>
        <x:v>41.05836170361324</x:v>
      </x:c>
      <x:c r="AC2564" s="10" t="n">
        <x:f>AB2564/'Assumptions'!$AM$154</x:f>
        <x:v>205.29180851806618</x:v>
      </x:c>
      <x:c r="AD2564" s="10" t="n">
        <x:f>IF(AB2564=0,0,T2564/AB2564)</x:f>
        <x:v>10.875040957467467</x:v>
      </x:c>
      <x:c r="AE2564" s="10" t="n">
        <x:f>AA2564*'Assumptions'!$D$21</x:f>
        <x:v>0</x:v>
      </x:c>
    </x:row>
    <x:row r="2565" ht="16" customHeight="1">
      <x:c r="A2565" s="1"/>
      <x:c r="B2565" s="1"/>
      <x:c r="C2565" s="1" t="str">
        <x:v>DOT-126</x:v>
      </x:c>
      <x:c r="D2565" s="10" t="str">
        <x:v>Independent candy game</x:v>
      </x:c>
      <x:c r="E2565" s="10" t="n">
        <x:v>20</x:v>
      </x:c>
      <x:c r="F2565" s="21" t="n">
        <x:f>F2437*(1+'Assumptions'!$M$155)</x:f>
        <x:v>1226.2026370189913</x:v>
      </x:c>
      <x:c r="G2565" s="21" t="n">
        <x:f>H2437*'Assumptions'!$K$155</x:f>
        <x:v>393.0136656788899</x:v>
      </x:c>
      <x:c r="H2565" s="21" t="n">
        <x:f>IF(AND(COUNT('Assumptions'!$H$155,'Assumptions'!$I$155,'Assumptions'!$J$155,'Assumptions'!$K$155,'Assumptions'!$L$155,'Assumptions'!$M$155,'Assumptions'!$P$155,'Assumptions'!$Q$155,'Assumptions'!$R$155,'Assumptions'!$S$155,'Assumptions'!$T$155,'Assumptions'!$U$155,'Assumptions'!$V$155,'Assumptions'!$W$155,'Assumptions'!$X$155,'Assumptions'!$Y$155,'Assumptions'!$Z$155,'Assumptions'!$AA$155,'Assumptions'!$AD$155,'Assumptions'!$AE$155,'Assumptions'!$AF$155)=21,COUNT('Assumptions'!$D$8:$D$21)=14,'Assumptions'!$J$155&gt;=1,'Assumptions'!$J$155&lt;=12,'Assumptions'!$D$8&gt;=0,'Assumptions'!$D$15&gt;0),F2565+G2565,NA())</x:f>
        <x:v>1619.216302697881</x:v>
      </x:c>
      <x:c r="I2565" s="22" t="n">
        <x:f>'Assumptions'!$H$155*IF('Assumptions'!$O$155=1,1,'Assumptions'!$D$10)*(1+'Assumptions'!$N$155)^(20-1)</x:f>
        <x:v>7.269487750913716</x:v>
      </x:c>
      <x:c r="J2565" s="10" t="n">
        <x:f>H2565*I2565</x:f>
        <x:v>11770.873078542041</x:v>
      </x:c>
      <x:c r="K2565" s="10" t="n">
        <x:f>J2565*'Assumptions'!$T$155</x:f>
        <x:v>11770.873078542041</x:v>
      </x:c>
      <x:c r="L2565" s="10" t="n">
        <x:f>K2565*'Assumptions'!$U$155</x:f>
        <x:v>353.12619235626124</x:v>
      </x:c>
      <x:c r="M2565" s="10" t="n">
        <x:f>K2565*'Assumptions'!$V$155</x:f>
        <x:v>0</x:v>
      </x:c>
      <x:c r="N2565" s="10" t="n">
        <x:f>K2565-L2565-M2565</x:f>
        <x:v>11417.74688618578</x:v>
      </x:c>
      <x:c r="O2565" s="10" t="n">
        <x:f>H2565*'Assumptions'!$P$155*'Assumptions'!$Q$155*'Assumptions'!$D$11*(1+'Assumptions'!$D$13)^(20-1)</x:f>
        <x:v>1987.5139116153011</x:v>
      </x:c>
      <x:c r="P2565" s="10" t="n">
        <x:f>H2565*'Assumptions'!$R$155*'Assumptions'!$D$11*(1+'Assumptions'!$D$13)^(20-1)</x:f>
        <x:v>0</x:v>
      </x:c>
      <x:c r="Q2565" s="10" t="n">
        <x:f>J2565*'Assumptions'!$S$155</x:f>
        <x:v>0</x:v>
      </x:c>
      <x:c r="R2565" s="10" t="n">
        <x:f>H2565*'Assumptions'!$Y$155*'Assumptions'!$Z$155*'Assumptions'!$D$11*(1+'Assumptions'!$D$13)^(20-1)</x:f>
        <x:v>8517.916764065578</x:v>
      </x:c>
      <x:c r="S2565" s="10" t="n">
        <x:f>IF(I2565=0,0,J2565*'Assumptions'!$W$155+H2565*'Assumptions'!$X$155)</x:f>
        <x:v>827.1202100870835</x:v>
      </x:c>
      <x:c r="T2565" s="10" t="n">
        <x:f>N2565*'Assumptions'!$AA$155</x:f>
        <x:v>570.887344309289</x:v>
      </x:c>
      <x:c r="U2565" s="10" t="n">
        <x:f>'Assumptions'!$AE$155*'Assumptions'!$D$11*(1+'Assumptions'!$D$13)^(20-1)</x:f>
        <x:v>0</x:v>
      </x:c>
      <x:c r="V2565" s="10" t="n">
        <x:f>0</x:f>
        <x:v>0</x:v>
      </x:c>
      <x:c r="W2565" s="10" t="n">
        <x:f>H2565*('Assumptions'!$P$155+'Assumptions'!$Y$155)</x:f>
        <x:v>194.30595632374573</x:v>
      </x:c>
      <x:c r="X2565" s="10" t="n">
        <x:f>N2565/12*'Assumptions'!$AF$155</x:f>
        <x:v>0</x:v>
      </x:c>
      <x:c r="Y2565" s="10" t="n">
        <x:f>P2565/12</x:f>
        <x:v>0</x:v>
      </x:c>
      <x:c r="Z2565" s="10" t="n">
        <x:f>0</x:f>
        <x:v>0</x:v>
      </x:c>
      <x:c r="AA2565" s="10" t="n">
        <x:f>Z2565*'Assumptions'!$AC$155*'Assumptions'!$D$11*(1+'Assumptions'!$D$13)^(20-1)</x:f>
        <x:v>0</x:v>
      </x:c>
      <x:c r="AB2565" s="10" t="n">
        <x:f>F2565/1</x:f>
        <x:v>1226.2026370189913</x:v>
      </x:c>
      <x:c r="AC2565" s="10" t="n">
        <x:f>AB2565/'Assumptions'!$AM$155</x:f>
        <x:v>24524.052740379822</x:v>
      </x:c>
      <x:c r="AD2565" s="10" t="n">
        <x:f>IF(AB2565=0,0,T2565/AB2565)</x:f>
        <x:v>0.4655734110123653</x:v>
      </x:c>
      <x:c r="AE2565" s="10" t="n">
        <x:f>AA2565*'Assumptions'!$D$21</x:f>
        <x:v>0</x:v>
      </x:c>
    </x:row>
    <x:row r="2566" ht="16" customHeight="1">
      <x:c r="A2566" s="1"/>
      <x:c r="B2566" s="1"/>
      <x:c r="C2566" s="1" t="str">
        <x:v>DOT-127</x:v>
      </x:c>
      <x:c r="D2566" s="10" t="str">
        <x:v>Learn Anglais</x:v>
      </x:c>
      <x:c r="E2566" s="10" t="n">
        <x:v>20</x:v>
      </x:c>
      <x:c r="F2566" s="21" t="n">
        <x:f>F2438*(1+'Assumptions'!$M$156)</x:f>
        <x:v>290.7541111557013</x:v>
      </x:c>
      <x:c r="G2566" s="21" t="n">
        <x:f>H2438*'Assumptions'!$K$156</x:f>
        <x:v>616.1224035093448</x:v>
      </x:c>
      <x:c r="H2566" s="21" t="n">
        <x:f>IF(AND(COUNT('Assumptions'!$H$156,'Assumptions'!$I$156,'Assumptions'!$J$156,'Assumptions'!$K$156,'Assumptions'!$L$156,'Assumptions'!$M$156,'Assumptions'!$P$156,'Assumptions'!$Q$156,'Assumptions'!$R$156,'Assumptions'!$S$156,'Assumptions'!$T$156,'Assumptions'!$U$156,'Assumptions'!$V$156,'Assumptions'!$W$156,'Assumptions'!$X$156,'Assumptions'!$Y$156,'Assumptions'!$Z$156,'Assumptions'!$AA$156,'Assumptions'!$AD$156,'Assumptions'!$AE$156,'Assumptions'!$AF$156)=21,COUNT('Assumptions'!$D$8:$D$21)=14,'Assumptions'!$J$156&gt;=1,'Assumptions'!$J$156&lt;=12,'Assumptions'!$D$8&gt;=0,'Assumptions'!$D$15&gt;0),F2566+G2566,NA())</x:f>
        <x:v>906.8765146650462</x:v>
      </x:c>
      <x:c r="I2566" s="22" t="n">
        <x:f>'Assumptions'!$H$156*IF('Assumptions'!$O$156=1,1,'Assumptions'!$D$10)*(1+'Assumptions'!$N$156)^(20-1)</x:f>
        <x:v>34.963468140667175</x:v>
      </x:c>
      <x:c r="J2566" s="10" t="n">
        <x:f>H2566*I2566</x:f>
        <x:v>31707.548128010632</x:v>
      </x:c>
      <x:c r="K2566" s="10" t="n">
        <x:f>J2566*'Assumptions'!$T$156</x:f>
        <x:v>10569.182709336877</x:v>
      </x:c>
      <x:c r="L2566" s="10" t="n">
        <x:f>K2566*'Assumptions'!$U$156</x:f>
        <x:v>317.0754812801063</x:v>
      </x:c>
      <x:c r="M2566" s="10" t="n">
        <x:f>K2566*'Assumptions'!$V$156</x:f>
        <x:v>0</x:v>
      </x:c>
      <x:c r="N2566" s="10" t="n">
        <x:f>K2566-L2566-M2566</x:f>
        <x:v>10252.107228056771</x:v>
      </x:c>
      <x:c r="O2566" s="10" t="n">
        <x:f>H2566*'Assumptions'!$P$156*'Assumptions'!$Q$156*'Assumptions'!$D$11*(1+'Assumptions'!$D$13)^(20-1)</x:f>
        <x:v>5565.747102505183</x:v>
      </x:c>
      <x:c r="P2566" s="10" t="n">
        <x:f>H2566*'Assumptions'!$R$156*'Assumptions'!$D$11*(1+'Assumptions'!$D$13)^(20-1)</x:f>
        <x:v>0</x:v>
      </x:c>
      <x:c r="Q2566" s="10" t="n">
        <x:f>J2566*'Assumptions'!$S$156</x:f>
        <x:v>0</x:v>
      </x:c>
      <x:c r="R2566" s="10" t="n">
        <x:f>H2566*'Assumptions'!$Y$156*'Assumptions'!$Z$156*'Assumptions'!$D$11*(1+'Assumptions'!$D$13)^(20-1)</x:f>
        <x:v>7155.960560363805</x:v>
      </x:c>
      <x:c r="S2566" s="10" t="n">
        <x:f>IF(I2566=0,0,J2566*'Assumptions'!$W$156+H2566*'Assumptions'!$X$156)</x:f>
        <x:v>1191.5818501118222</x:v>
      </x:c>
      <x:c r="T2566" s="10" t="n">
        <x:f>N2566*'Assumptions'!$AA$156</x:f>
        <x:v>512.6053614028386</x:v>
      </x:c>
      <x:c r="U2566" s="10" t="n">
        <x:f>'Assumptions'!$AE$156*'Assumptions'!$D$11*(1+'Assumptions'!$D$13)^(20-1)</x:f>
        <x:v>0</x:v>
      </x:c>
      <x:c r="V2566" s="10" t="n">
        <x:f>0</x:f>
        <x:v>0</x:v>
      </x:c>
      <x:c r="W2566" s="10" t="n">
        <x:f>H2566*('Assumptions'!$P$156+'Assumptions'!$Y$156)</x:f>
        <x:v>226.71912866626155</x:v>
      </x:c>
      <x:c r="X2566" s="10" t="n">
        <x:f>N2566/12*'Assumptions'!$AF$156</x:f>
        <x:v>0</x:v>
      </x:c>
      <x:c r="Y2566" s="10" t="n">
        <x:f>P2566/12</x:f>
        <x:v>0</x:v>
      </x:c>
      <x:c r="Z2566" s="10" t="n">
        <x:f>0</x:f>
        <x:v>0</x:v>
      </x:c>
      <x:c r="AA2566" s="10" t="n">
        <x:f>Z2566*'Assumptions'!$AC$156*'Assumptions'!$D$11*(1+'Assumptions'!$D$13)^(20-1)</x:f>
        <x:v>0</x:v>
      </x:c>
      <x:c r="AB2566" s="10" t="n">
        <x:f>F2566/1</x:f>
        <x:v>290.7541111557013</x:v>
      </x:c>
      <x:c r="AC2566" s="10" t="n">
        <x:f>AB2566/'Assumptions'!$AM$156</x:f>
        <x:v>5815.0822231140255</x:v>
      </x:c>
      <x:c r="AD2566" s="10" t="n">
        <x:f>IF(AB2566=0,0,T2566/AB2566)</x:f>
        <x:v>1.7630201663024263</x:v>
      </x:c>
      <x:c r="AE2566" s="10" t="n">
        <x:f>AA2566*'Assumptions'!$D$21</x:f>
        <x:v>0</x:v>
      </x:c>
    </x:row>
    <x:row r="2567" ht="16" customHeight="1">
      <x:c r="A2567" s="1"/>
      <x:c r="B2567" s="1"/>
      <x:c r="C2567" s="1" t="str">
        <x:v>DOT-128</x:v>
      </x:c>
      <x:c r="D2567" s="10" t="str">
        <x:v>Learn Anglais</x:v>
      </x:c>
      <x:c r="E2567" s="10" t="n">
        <x:v>20</x:v>
      </x:c>
      <x:c r="F2567" s="21" t="n">
        <x:f>F2439*(1+'Assumptions'!$M$157)</x:f>
        <x:v>116.30164446228048</x:v>
      </x:c>
      <x:c r="G2567" s="21" t="n">
        <x:f>H2439*'Assumptions'!$K$157</x:f>
        <x:v>246.44896140373785</x:v>
      </x:c>
      <x:c r="H2567" s="21" t="n">
        <x:f>IF(AND(COUNT('Assumptions'!$H$157,'Assumptions'!$I$157,'Assumptions'!$J$157,'Assumptions'!$K$157,'Assumptions'!$L$157,'Assumptions'!$M$157,'Assumptions'!$P$157,'Assumptions'!$Q$157,'Assumptions'!$R$157,'Assumptions'!$S$157,'Assumptions'!$T$157,'Assumptions'!$U$157,'Assumptions'!$V$157,'Assumptions'!$W$157,'Assumptions'!$X$157,'Assumptions'!$Y$157,'Assumptions'!$Z$157,'Assumptions'!$AA$157,'Assumptions'!$AD$157,'Assumptions'!$AE$157,'Assumptions'!$AF$157)=21,COUNT('Assumptions'!$D$8:$D$21)=14,'Assumptions'!$J$157&gt;=1,'Assumptions'!$J$157&lt;=12,'Assumptions'!$D$8&gt;=0,'Assumptions'!$D$15&gt;0),F2567+G2567,NA())</x:f>
        <x:v>362.7506058660183</x:v>
      </x:c>
      <x:c r="I2567" s="22" t="n">
        <x:f>'Assumptions'!$H$157*IF('Assumptions'!$O$157=1,1,'Assumptions'!$D$10)*(1+'Assumptions'!$N$157)^(20-1)</x:f>
        <x:v>240.3738434670868</x:v>
      </x:c>
      <x:c r="J2567" s="10" t="n">
        <x:f>H2567*I2567</x:f>
        <x:v>87195.75735202918</x:v>
      </x:c>
      <x:c r="K2567" s="10" t="n">
        <x:f>J2567*'Assumptions'!$T$157</x:f>
        <x:v>26158.727205608753</x:v>
      </x:c>
      <x:c r="L2567" s="10" t="n">
        <x:f>K2567*'Assumptions'!$U$157</x:f>
        <x:v>784.7618161682626</x:v>
      </x:c>
      <x:c r="M2567" s="10" t="n">
        <x:f>K2567*'Assumptions'!$V$157</x:f>
        <x:v>0</x:v>
      </x:c>
      <x:c r="N2567" s="10" t="n">
        <x:f>K2567-L2567-M2567</x:f>
        <x:v>25373.96538944049</x:v>
      </x:c>
      <x:c r="O2567" s="10" t="n">
        <x:f>H2567*'Assumptions'!$P$157*'Assumptions'!$Q$157*'Assumptions'!$D$11*(1+'Assumptions'!$D$13)^(20-1)</x:f>
        <x:v>2226.2988410020716</x:v>
      </x:c>
      <x:c r="P2567" s="10" t="n">
        <x:f>H2567*'Assumptions'!$R$157*'Assumptions'!$D$11*(1+'Assumptions'!$D$13)^(20-1)</x:f>
        <x:v>0</x:v>
      </x:c>
      <x:c r="Q2567" s="10" t="n">
        <x:f>J2567*'Assumptions'!$S$157</x:f>
        <x:v>0</x:v>
      </x:c>
      <x:c r="R2567" s="10" t="n">
        <x:f>H2567*'Assumptions'!$Y$157*'Assumptions'!$Z$157*'Assumptions'!$D$11*(1+'Assumptions'!$D$13)^(20-1)</x:f>
        <x:v>2862.384224145521</x:v>
      </x:c>
      <x:c r="S2567" s="10" t="n">
        <x:f>IF(I2567=0,0,J2567*'Assumptions'!$W$157+H2567*'Assumptions'!$X$157)</x:f>
        <x:v>2637.502144968652</x:v>
      </x:c>
      <x:c r="T2567" s="10" t="n">
        <x:f>N2567*'Assumptions'!$AA$157</x:f>
        <x:v>1268.6982694720245</x:v>
      </x:c>
      <x:c r="U2567" s="10" t="n">
        <x:f>'Assumptions'!$AE$157*'Assumptions'!$D$11*(1+'Assumptions'!$D$13)^(20-1)</x:f>
        <x:v>0</x:v>
      </x:c>
      <x:c r="V2567" s="10" t="n">
        <x:f>0</x:f>
        <x:v>0</x:v>
      </x:c>
      <x:c r="W2567" s="10" t="n">
        <x:f>H2567*('Assumptions'!$P$157+'Assumptions'!$Y$157)</x:f>
        <x:v>90.68765146650458</x:v>
      </x:c>
      <x:c r="X2567" s="10" t="n">
        <x:f>N2567/12*'Assumptions'!$AF$157</x:f>
        <x:v>0</x:v>
      </x:c>
      <x:c r="Y2567" s="10" t="n">
        <x:f>P2567/12</x:f>
        <x:v>0</x:v>
      </x:c>
      <x:c r="Z2567" s="10" t="n">
        <x:f>0</x:f>
        <x:v>0</x:v>
      </x:c>
      <x:c r="AA2567" s="10" t="n">
        <x:f>Z2567*'Assumptions'!$AC$157*'Assumptions'!$D$11*(1+'Assumptions'!$D$13)^(20-1)</x:f>
        <x:v>0</x:v>
      </x:c>
      <x:c r="AB2567" s="10" t="n">
        <x:f>F2567/1</x:f>
        <x:v>116.30164446228048</x:v>
      </x:c>
      <x:c r="AC2567" s="10" t="n">
        <x:f>AB2567/'Assumptions'!$AM$157</x:f>
        <x:v>2326.0328892456096</x:v>
      </x:c>
      <x:c r="AD2567" s="10" t="n">
        <x:f>IF(AB2567=0,0,T2567/AB2567)</x:f>
        <x:v>10.908687278996258</x:v>
      </x:c>
      <x:c r="AE2567" s="10" t="n">
        <x:f>AA2567*'Assumptions'!$D$21</x:f>
        <x:v>0</x:v>
      </x:c>
    </x:row>
    <x:row r="2568" ht="16" customHeight="1">
      <x:c r="A2568" s="1"/>
      <x:c r="B2568" s="1"/>
      <x:c r="C2568" s="1"/>
      <x:c r="D2568" s="10"/>
      <x:c r="E2568" s="10"/>
      <x:c r="F2568" s="10"/>
      <x:c r="G2568" s="10"/>
      <x:c r="H2568" s="10"/>
      <x:c r="I2568" s="10"/>
      <x:c r="J2568" s="10"/>
      <x:c r="K2568" s="10"/>
      <x:c r="L2568" s="10"/>
      <x:c r="M2568" s="10"/>
      <x:c r="N2568" s="10"/>
      <x:c r="O2568" s="10"/>
      <x:c r="P2568" s="10"/>
      <x:c r="Q2568" s="10"/>
      <x:c r="R2568" s="10"/>
      <x:c r="S2568" s="10"/>
      <x:c r="T2568" s="10"/>
      <x:c r="U2568" s="10"/>
      <x:c r="V2568" s="10"/>
      <x:c r="W2568" s="10"/>
      <x:c r="X2568" s="10"/>
      <x:c r="Y2568" s="10"/>
      <x:c r="Z2568" s="10"/>
      <x:c r="AA2568" s="10"/>
      <x:c r="AB2568" s="10"/>
      <x:c r="AC2568" s="10"/>
      <x:c r="AD2568" s="10"/>
      <x:c r="AE2568" s="10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53" hidden="0" customWidth="1"/>
    <x:col min="4" max="4" width="13" hidden="0" customWidth="1"/>
    <x:col min="5" max="5" width="13" hidden="0" customWidth="1"/>
    <x:col min="6" max="6" width="13" hidden="0" customWidth="1"/>
    <x:col min="7" max="7" width="80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</x:cols>
  <x:sheetData>
    <x:row r="1" ht="1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16" customHeight="1">
      <x:c r="A2" s="1"/>
      <x:c r="B2" s="1"/>
      <x:c r="C2" s="2" t="str">
        <x:v>Shared costs</x:v>
      </x:c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</x:row>
    <x:row r="3" ht="16" customHeight="1">
      <x:c r="A3" s="1"/>
      <x:c r="B3" s="1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</x:row>
    <x:row r="4" ht="16" customHeight="1">
      <x:c r="A4" s="1"/>
      <x:c r="B4" s="1"/>
      <x:c r="C4" s="1" t="str">
        <x:v>Dot comparison assumptions. USD. Not an owner or AF&amp;I budget.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</x:row>
    <x:row r="5" ht="16" customHeight="1">
      <x:c r="A5" s="1"/>
      <x:c r="B5" s="1"/>
      <x:c r="C5" s="1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</x:row>
    <x:row r="6" ht="16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</x:row>
    <x:row r="7" ht="43" customHeight="1">
      <x:c r="A7" s="1"/>
      <x:c r="B7" s="1"/>
      <x:c r="C7" s="20" t="str">
        <x:v>Account</x:v>
      </x:c>
      <x:c r="D7" s="20" t="str">
        <x:v>Required units</x:v>
      </x:c>
      <x:c r="E7" s="20" t="str">
        <x:v>Unit cost</x:v>
      </x:c>
      <x:c r="F7" s="20" t="str">
        <x:v>Periods</x:v>
      </x:c>
      <x:c r="G7" s="20" t="str">
        <x:v>Basis</x:v>
      </x:c>
      <x:c r="H7" s="20" t="str">
        <x:v>Year 1</x:v>
      </x:c>
      <x:c r="I7" s="20" t="str">
        <x:v>Year 2</x:v>
      </x:c>
      <x:c r="J7" s="20" t="str">
        <x:v>Year 3</x:v>
      </x:c>
      <x:c r="K7" s="20" t="str">
        <x:v>Year 4</x:v>
      </x:c>
      <x:c r="L7" s="20" t="str">
        <x:v>Year 5</x:v>
      </x:c>
      <x:c r="M7" s="20" t="str">
        <x:v>Year 6</x:v>
      </x:c>
      <x:c r="N7" s="20" t="str">
        <x:v>Year 7</x:v>
      </x:c>
      <x:c r="O7" s="20" t="str">
        <x:v>Year 8</x:v>
      </x:c>
      <x:c r="P7" s="20" t="str">
        <x:v>Year 9</x:v>
      </x:c>
      <x:c r="Q7" s="20" t="str">
        <x:v>Year 10</x:v>
      </x:c>
      <x:c r="R7" s="20" t="str">
        <x:v>Year 11</x:v>
      </x:c>
      <x:c r="S7" s="20" t="str">
        <x:v>Year 12</x:v>
      </x:c>
      <x:c r="T7" s="20" t="str">
        <x:v>Year 13</x:v>
      </x:c>
      <x:c r="U7" s="20" t="str">
        <x:v>Year 14</x:v>
      </x:c>
      <x:c r="V7" s="20" t="str">
        <x:v>Year 15</x:v>
      </x:c>
      <x:c r="W7" s="20" t="str">
        <x:v>Year 16</x:v>
      </x:c>
      <x:c r="X7" s="20" t="str">
        <x:v>Year 17</x:v>
      </x:c>
      <x:c r="Y7" s="20" t="str">
        <x:v>Year 18</x:v>
      </x:c>
      <x:c r="Z7" s="20" t="str">
        <x:v>Year 19</x:v>
      </x:c>
      <x:c r="AA7" s="20" t="str">
        <x:v>Year 20</x:v>
      </x:c>
    </x:row>
    <x:row r="8" ht="30" customHeight="1">
      <x:c r="A8" s="1"/>
      <x:c r="B8" s="1"/>
      <x:c r="C8" s="23" t="str">
        <x:v>Human operations and financial administration</x:v>
      </x:c>
      <x:c r="D8" s="24" t="n">
        <x:v>24</x:v>
      </x:c>
      <x:c r="E8" s="24" t="n">
        <x:v>40</x:v>
      </x:c>
      <x:c r="F8" s="24" t="n">
        <x:v>12</x:v>
      </x:c>
      <x:c r="G8" s="24" t="str">
        <x:v>Paid specialist capacity allowance; not department headcount</x:v>
      </x:c>
      <x:c r="H8" s="10" t="n">
        <x:f>D8*E8*F8*'Assumptions'!$D$11*(1+'Assumptions'!$D$13)^(1-1)*(1+'Assumptions'!$D$20)^(1-1)</x:f>
        <x:v>11520</x:v>
      </x:c>
      <x:c r="I8" s="10" t="n">
        <x:f>D8*E8*F8*'Assumptions'!$D$11*(1+'Assumptions'!$D$13)^(2-1)*(1+'Assumptions'!$D$20)^(2-1)</x:f>
        <x:v>12458.880000000001</x:v>
      </x:c>
      <x:c r="J8" s="10" t="n">
        <x:f>D8*E8*F8*'Assumptions'!$D$11*(1+'Assumptions'!$D$13)^(3-1)*(1+'Assumptions'!$D$20)^(3-1)</x:f>
        <x:v>13474.27872</x:v>
      </x:c>
      <x:c r="K8" s="10" t="n">
        <x:f>D8*E8*F8*'Assumptions'!$D$11*(1+'Assumptions'!$D$13)^(4-1)*(1+'Assumptions'!$D$20)^(4-1)</x:f>
        <x:v>14572.43243568</x:v>
      </x:c>
      <x:c r="L8" s="10" t="n">
        <x:f>D8*E8*F8*'Assumptions'!$D$11*(1+'Assumptions'!$D$13)^(5-1)*(1+'Assumptions'!$D$20)^(5-1)</x:f>
        <x:v>15760.085679187925</x:v>
      </x:c>
      <x:c r="M8" s="10" t="n">
        <x:f>D8*E8*F8*'Assumptions'!$D$11*(1+'Assumptions'!$D$13)^(6-1)*(1+'Assumptions'!$D$20)^(6-1)</x:f>
        <x:v>17044.53266204174</x:v>
      </x:c>
      <x:c r="N8" s="10" t="n">
        <x:f>D8*E8*F8*'Assumptions'!$D$11*(1+'Assumptions'!$D$13)^(7-1)*(1+'Assumptions'!$D$20)^(7-1)</x:f>
        <x:v>18433.662073998144</x:v>
      </x:c>
      <x:c r="O8" s="10" t="n">
        <x:f>D8*E8*F8*'Assumptions'!$D$11*(1+'Assumptions'!$D$13)^(8-1)*(1+'Assumptions'!$D$20)^(8-1)</x:f>
        <x:v>19936.005533028994</x:v>
      </x:c>
      <x:c r="P8" s="10" t="n">
        <x:f>D8*E8*F8*'Assumptions'!$D$11*(1+'Assumptions'!$D$13)^(9-1)*(1+'Assumptions'!$D$20)^(9-1)</x:f>
        <x:v>21560.78998397086</x:v>
      </x:c>
      <x:c r="Q8" s="10" t="n">
        <x:f>D8*E8*F8*'Assumptions'!$D$11*(1+'Assumptions'!$D$13)^(10-1)*(1+'Assumptions'!$D$20)^(10-1)</x:f>
        <x:v>23317.994367664487</x:v>
      </x:c>
      <x:c r="R8" s="10" t="n">
        <x:f>D8*E8*F8*'Assumptions'!$D$11*(1+'Assumptions'!$D$13)^(11-1)*(1+'Assumptions'!$D$20)^(11-1)</x:f>
        <x:v>25218.410908629143</x:v>
      </x:c>
      <x:c r="S8" s="10" t="n">
        <x:f>D8*E8*F8*'Assumptions'!$D$11*(1+'Assumptions'!$D$13)^(12-1)*(1+'Assumptions'!$D$20)^(12-1)</x:f>
        <x:v>27273.71139768242</x:v>
      </x:c>
      <x:c r="T8" s="10" t="n">
        <x:f>D8*E8*F8*'Assumptions'!$D$11*(1+'Assumptions'!$D$13)^(13-1)*(1+'Assumptions'!$D$20)^(13-1)</x:f>
        <x:v>29496.518876593535</x:v>
      </x:c>
      <x:c r="U8" s="10" t="n">
        <x:f>D8*E8*F8*'Assumptions'!$D$11*(1+'Assumptions'!$D$13)^(14-1)*(1+'Assumptions'!$D$20)^(14-1)</x:f>
        <x:v>31900.485165035912</x:v>
      </x:c>
      <x:c r="V8" s="10" t="n">
        <x:f>D8*E8*F8*'Assumptions'!$D$11*(1+'Assumptions'!$D$13)^(15-1)*(1+'Assumptions'!$D$20)^(15-1)</x:f>
        <x:v>34500.37470598635</x:v>
      </x:c>
      <x:c r="W8" s="10" t="n">
        <x:f>D8*E8*F8*'Assumptions'!$D$11*(1+'Assumptions'!$D$13)^(16-1)*(1+'Assumptions'!$D$20)^(16-1)</x:f>
        <x:v>37312.155244524234</x:v>
      </x:c>
      <x:c r="X8" s="10" t="n">
        <x:f>D8*E8*F8*'Assumptions'!$D$11*(1+'Assumptions'!$D$13)^(17-1)*(1+'Assumptions'!$D$20)^(17-1)</x:f>
        <x:v>40353.09589695296</x:v>
      </x:c>
      <x:c r="Y8" s="10" t="n">
        <x:f>D8*E8*F8*'Assumptions'!$D$11*(1+'Assumptions'!$D$13)^(18-1)*(1+'Assumptions'!$D$20)^(18-1)</x:f>
        <x:v>43641.87321255462</x:v>
      </x:c>
      <x:c r="Z8" s="10" t="n">
        <x:f>D8*E8*F8*'Assumptions'!$D$11*(1+'Assumptions'!$D$13)^(19-1)*(1+'Assumptions'!$D$20)^(19-1)</x:f>
        <x:v>47198.68587937784</x:v>
      </x:c>
      <x:c r="AA8" s="10" t="n">
        <x:f>D8*E8*F8*'Assumptions'!$D$11*(1+'Assumptions'!$D$13)^(20-1)*(1+'Assumptions'!$D$20)^(20-1)</x:f>
        <x:v>51045.37877854713</x:v>
      </x:c>
    </x:row>
    <x:row r="9" ht="30" customHeight="1">
      <x:c r="A9" s="1"/>
      <x:c r="B9" s="1"/>
      <x:c r="C9" s="23" t="str">
        <x:v>Independent accounting and tax review</x:v>
      </x:c>
      <x:c r="D9" s="24" t="n">
        <x:v>16</x:v>
      </x:c>
      <x:c r="E9" s="24" t="n">
        <x:v>60</x:v>
      </x:c>
      <x:c r="F9" s="24" t="n">
        <x:v>12</x:v>
      </x:c>
      <x:c r="G9" s="24" t="str">
        <x:v>Qualified human review allowance outside product delivery</x:v>
      </x:c>
      <x:c r="H9" s="10" t="n">
        <x:f>D9*E9*F9*'Assumptions'!$D$11*(1+'Assumptions'!$D$13)^(1-1)*(1+'Assumptions'!$D$20)^(1-1)</x:f>
        <x:v>11520</x:v>
      </x:c>
      <x:c r="I9" s="10" t="n">
        <x:f>D9*E9*F9*'Assumptions'!$D$11*(1+'Assumptions'!$D$13)^(2-1)*(1+'Assumptions'!$D$20)^(2-1)</x:f>
        <x:v>12458.880000000001</x:v>
      </x:c>
      <x:c r="J9" s="10" t="n">
        <x:f>D9*E9*F9*'Assumptions'!$D$11*(1+'Assumptions'!$D$13)^(3-1)*(1+'Assumptions'!$D$20)^(3-1)</x:f>
        <x:v>13474.27872</x:v>
      </x:c>
      <x:c r="K9" s="10" t="n">
        <x:f>D9*E9*F9*'Assumptions'!$D$11*(1+'Assumptions'!$D$13)^(4-1)*(1+'Assumptions'!$D$20)^(4-1)</x:f>
        <x:v>14572.43243568</x:v>
      </x:c>
      <x:c r="L9" s="10" t="n">
        <x:f>D9*E9*F9*'Assumptions'!$D$11*(1+'Assumptions'!$D$13)^(5-1)*(1+'Assumptions'!$D$20)^(5-1)</x:f>
        <x:v>15760.085679187925</x:v>
      </x:c>
      <x:c r="M9" s="10" t="n">
        <x:f>D9*E9*F9*'Assumptions'!$D$11*(1+'Assumptions'!$D$13)^(6-1)*(1+'Assumptions'!$D$20)^(6-1)</x:f>
        <x:v>17044.53266204174</x:v>
      </x:c>
      <x:c r="N9" s="10" t="n">
        <x:f>D9*E9*F9*'Assumptions'!$D$11*(1+'Assumptions'!$D$13)^(7-1)*(1+'Assumptions'!$D$20)^(7-1)</x:f>
        <x:v>18433.662073998144</x:v>
      </x:c>
      <x:c r="O9" s="10" t="n">
        <x:f>D9*E9*F9*'Assumptions'!$D$11*(1+'Assumptions'!$D$13)^(8-1)*(1+'Assumptions'!$D$20)^(8-1)</x:f>
        <x:v>19936.005533028994</x:v>
      </x:c>
      <x:c r="P9" s="10" t="n">
        <x:f>D9*E9*F9*'Assumptions'!$D$11*(1+'Assumptions'!$D$13)^(9-1)*(1+'Assumptions'!$D$20)^(9-1)</x:f>
        <x:v>21560.78998397086</x:v>
      </x:c>
      <x:c r="Q9" s="10" t="n">
        <x:f>D9*E9*F9*'Assumptions'!$D$11*(1+'Assumptions'!$D$13)^(10-1)*(1+'Assumptions'!$D$20)^(10-1)</x:f>
        <x:v>23317.994367664487</x:v>
      </x:c>
      <x:c r="R9" s="10" t="n">
        <x:f>D9*E9*F9*'Assumptions'!$D$11*(1+'Assumptions'!$D$13)^(11-1)*(1+'Assumptions'!$D$20)^(11-1)</x:f>
        <x:v>25218.410908629143</x:v>
      </x:c>
      <x:c r="S9" s="10" t="n">
        <x:f>D9*E9*F9*'Assumptions'!$D$11*(1+'Assumptions'!$D$13)^(12-1)*(1+'Assumptions'!$D$20)^(12-1)</x:f>
        <x:v>27273.71139768242</x:v>
      </x:c>
      <x:c r="T9" s="10" t="n">
        <x:f>D9*E9*F9*'Assumptions'!$D$11*(1+'Assumptions'!$D$13)^(13-1)*(1+'Assumptions'!$D$20)^(13-1)</x:f>
        <x:v>29496.518876593535</x:v>
      </x:c>
      <x:c r="U9" s="10" t="n">
        <x:f>D9*E9*F9*'Assumptions'!$D$11*(1+'Assumptions'!$D$13)^(14-1)*(1+'Assumptions'!$D$20)^(14-1)</x:f>
        <x:v>31900.485165035912</x:v>
      </x:c>
      <x:c r="V9" s="10" t="n">
        <x:f>D9*E9*F9*'Assumptions'!$D$11*(1+'Assumptions'!$D$13)^(15-1)*(1+'Assumptions'!$D$20)^(15-1)</x:f>
        <x:v>34500.37470598635</x:v>
      </x:c>
      <x:c r="W9" s="10" t="n">
        <x:f>D9*E9*F9*'Assumptions'!$D$11*(1+'Assumptions'!$D$13)^(16-1)*(1+'Assumptions'!$D$20)^(16-1)</x:f>
        <x:v>37312.155244524234</x:v>
      </x:c>
      <x:c r="X9" s="10" t="n">
        <x:f>D9*E9*F9*'Assumptions'!$D$11*(1+'Assumptions'!$D$13)^(17-1)*(1+'Assumptions'!$D$20)^(17-1)</x:f>
        <x:v>40353.09589695296</x:v>
      </x:c>
      <x:c r="Y9" s="10" t="n">
        <x:f>D9*E9*F9*'Assumptions'!$D$11*(1+'Assumptions'!$D$13)^(18-1)*(1+'Assumptions'!$D$20)^(18-1)</x:f>
        <x:v>43641.87321255462</x:v>
      </x:c>
      <x:c r="Z9" s="10" t="n">
        <x:f>D9*E9*F9*'Assumptions'!$D$11*(1+'Assumptions'!$D$13)^(19-1)*(1+'Assumptions'!$D$20)^(19-1)</x:f>
        <x:v>47198.68587937784</x:v>
      </x:c>
      <x:c r="AA9" s="10" t="n">
        <x:f>D9*E9*F9*'Assumptions'!$D$11*(1+'Assumptions'!$D$13)^(20-1)*(1+'Assumptions'!$D$20)^(20-1)</x:f>
        <x:v>51045.37877854713</x:v>
      </x:c>
    </x:row>
    <x:row r="10" ht="30" customHeight="1">
      <x:c r="A10" s="1"/>
      <x:c r="B10" s="1"/>
      <x:c r="C10" s="23" t="str">
        <x:v>Human campaign production support</x:v>
      </x:c>
      <x:c r="D10" s="24" t="n">
        <x:v>16</x:v>
      </x:c>
      <x:c r="E10" s="24" t="n">
        <x:v>40</x:v>
      </x:c>
      <x:c r="F10" s="24" t="n">
        <x:v>12</x:v>
      </x:c>
      <x:c r="G10" s="24" t="str">
        <x:v>Incremental human creative and campaign execution</x:v>
      </x:c>
      <x:c r="H10" s="10" t="n">
        <x:f>D10*E10*F10*'Assumptions'!$D$11*(1+'Assumptions'!$D$13)^(1-1)*(1+'Assumptions'!$D$20)^(1-1)</x:f>
        <x:v>7680</x:v>
      </x:c>
      <x:c r="I10" s="10" t="n">
        <x:f>D10*E10*F10*'Assumptions'!$D$11*(1+'Assumptions'!$D$13)^(2-1)*(1+'Assumptions'!$D$20)^(2-1)</x:f>
        <x:v>8305.92</x:v>
      </x:c>
      <x:c r="J10" s="10" t="n">
        <x:f>D10*E10*F10*'Assumptions'!$D$11*(1+'Assumptions'!$D$13)^(3-1)*(1+'Assumptions'!$D$20)^(3-1)</x:f>
        <x:v>8982.85248</x:v>
      </x:c>
      <x:c r="K10" s="10" t="n">
        <x:f>D10*E10*F10*'Assumptions'!$D$11*(1+'Assumptions'!$D$13)^(4-1)*(1+'Assumptions'!$D$20)^(4-1)</x:f>
        <x:v>9714.95495712</x:v>
      </x:c>
      <x:c r="L10" s="10" t="n">
        <x:f>D10*E10*F10*'Assumptions'!$D$11*(1+'Assumptions'!$D$13)^(5-1)*(1+'Assumptions'!$D$20)^(5-1)</x:f>
        <x:v>10506.723786125283</x:v>
      </x:c>
      <x:c r="M10" s="10" t="n">
        <x:f>D10*E10*F10*'Assumptions'!$D$11*(1+'Assumptions'!$D$13)^(6-1)*(1+'Assumptions'!$D$20)^(6-1)</x:f>
        <x:v>11363.021774694495</x:v>
      </x:c>
      <x:c r="N10" s="10" t="n">
        <x:f>D10*E10*F10*'Assumptions'!$D$11*(1+'Assumptions'!$D$13)^(7-1)*(1+'Assumptions'!$D$20)^(7-1)</x:f>
        <x:v>12289.108049332095</x:v>
      </x:c>
      <x:c r="O10" s="10" t="n">
        <x:f>D10*E10*F10*'Assumptions'!$D$11*(1+'Assumptions'!$D$13)^(8-1)*(1+'Assumptions'!$D$20)^(8-1)</x:f>
        <x:v>13290.670355352662</x:v>
      </x:c>
      <x:c r="P10" s="10" t="n">
        <x:f>D10*E10*F10*'Assumptions'!$D$11*(1+'Assumptions'!$D$13)^(9-1)*(1+'Assumptions'!$D$20)^(9-1)</x:f>
        <x:v>14373.859989313907</x:v>
      </x:c>
      <x:c r="Q10" s="10" t="n">
        <x:f>D10*E10*F10*'Assumptions'!$D$11*(1+'Assumptions'!$D$13)^(10-1)*(1+'Assumptions'!$D$20)^(10-1)</x:f>
        <x:v>15545.329578442992</x:v>
      </x:c>
      <x:c r="R10" s="10" t="n">
        <x:f>D10*E10*F10*'Assumptions'!$D$11*(1+'Assumptions'!$D$13)^(11-1)*(1+'Assumptions'!$D$20)^(11-1)</x:f>
        <x:v>16812.273939086095</x:v>
      </x:c>
      <x:c r="S10" s="10" t="n">
        <x:f>D10*E10*F10*'Assumptions'!$D$11*(1+'Assumptions'!$D$13)^(12-1)*(1+'Assumptions'!$D$20)^(12-1)</x:f>
        <x:v>18182.47426512161</x:v>
      </x:c>
      <x:c r="T10" s="10" t="n">
        <x:f>D10*E10*F10*'Assumptions'!$D$11*(1+'Assumptions'!$D$13)^(13-1)*(1+'Assumptions'!$D$20)^(13-1)</x:f>
        <x:v>19664.345917729024</x:v>
      </x:c>
      <x:c r="U10" s="10" t="n">
        <x:f>D10*E10*F10*'Assumptions'!$D$11*(1+'Assumptions'!$D$13)^(14-1)*(1+'Assumptions'!$D$20)^(14-1)</x:f>
        <x:v>21266.990110023944</x:v>
      </x:c>
      <x:c r="V10" s="10" t="n">
        <x:f>D10*E10*F10*'Assumptions'!$D$11*(1+'Assumptions'!$D$13)^(15-1)*(1+'Assumptions'!$D$20)^(15-1)</x:f>
        <x:v>23000.2498039909</x:v>
      </x:c>
      <x:c r="W10" s="10" t="n">
        <x:f>D10*E10*F10*'Assumptions'!$D$11*(1+'Assumptions'!$D$13)^(16-1)*(1+'Assumptions'!$D$20)^(16-1)</x:f>
        <x:v>24874.770163016157</x:v>
      </x:c>
      <x:c r="X10" s="10" t="n">
        <x:f>D10*E10*F10*'Assumptions'!$D$11*(1+'Assumptions'!$D$13)^(17-1)*(1+'Assumptions'!$D$20)^(17-1)</x:f>
        <x:v>26902.063931301975</x:v>
      </x:c>
      <x:c r="Y10" s="10" t="n">
        <x:f>D10*E10*F10*'Assumptions'!$D$11*(1+'Assumptions'!$D$13)^(18-1)*(1+'Assumptions'!$D$20)^(18-1)</x:f>
        <x:v>29094.582141703086</x:v>
      </x:c>
      <x:c r="Z10" s="10" t="n">
        <x:f>D10*E10*F10*'Assumptions'!$D$11*(1+'Assumptions'!$D$13)^(19-1)*(1+'Assumptions'!$D$20)^(19-1)</x:f>
        <x:v>31465.79058625189</x:v>
      </x:c>
      <x:c r="AA10" s="10" t="n">
        <x:f>D10*E10*F10*'Assumptions'!$D$11*(1+'Assumptions'!$D$13)^(20-1)*(1+'Assumptions'!$D$20)^(20-1)</x:f>
        <x:v>34030.25251903142</x:v>
      </x:c>
    </x:row>
    <x:row r="11" ht="30" customHeight="1">
      <x:c r="A11" s="1"/>
      <x:c r="B11" s="1"/>
      <x:c r="C11" s="23" t="str">
        <x:v>Independent quality and compliance review</x:v>
      </x:c>
      <x:c r="D11" s="24" t="n">
        <x:v>20</x:v>
      </x:c>
      <x:c r="E11" s="24" t="n">
        <x:v>55</x:v>
      </x:c>
      <x:c r="F11" s="24" t="n">
        <x:v>12</x:v>
      </x:c>
      <x:c r="G11" s="24" t="str">
        <x:v>Human control review; IA independence retained</x:v>
      </x:c>
      <x:c r="H11" s="10" t="n">
        <x:f>D11*E11*F11*'Assumptions'!$D$11*(1+'Assumptions'!$D$13)^(1-1)*(1+'Assumptions'!$D$20)^(1-1)</x:f>
        <x:v>13200</x:v>
      </x:c>
      <x:c r="I11" s="10" t="n">
        <x:f>D11*E11*F11*'Assumptions'!$D$11*(1+'Assumptions'!$D$13)^(2-1)*(1+'Assumptions'!$D$20)^(2-1)</x:f>
        <x:v>14275.800000000001</x:v>
      </x:c>
      <x:c r="J11" s="10" t="n">
        <x:f>D11*E11*F11*'Assumptions'!$D$11*(1+'Assumptions'!$D$13)^(3-1)*(1+'Assumptions'!$D$20)^(3-1)</x:f>
        <x:v>15439.277699999999</x:v>
      </x:c>
      <x:c r="K11" s="10" t="n">
        <x:f>D11*E11*F11*'Assumptions'!$D$11*(1+'Assumptions'!$D$13)^(4-1)*(1+'Assumptions'!$D$20)^(4-1)</x:f>
        <x:v>16697.578832550003</x:v>
      </x:c>
      <x:c r="L11" s="10" t="n">
        <x:f>D11*E11*F11*'Assumptions'!$D$11*(1+'Assumptions'!$D$13)^(5-1)*(1+'Assumptions'!$D$20)^(5-1)</x:f>
        <x:v>18058.43150740283</x:v>
      </x:c>
      <x:c r="M11" s="10" t="n">
        <x:f>D11*E11*F11*'Assumptions'!$D$11*(1+'Assumptions'!$D$13)^(6-1)*(1+'Assumptions'!$D$20)^(6-1)</x:f>
        <x:v>19530.193675256163</x:v>
      </x:c>
      <x:c r="N11" s="10" t="n">
        <x:f>D11*E11*F11*'Assumptions'!$D$11*(1+'Assumptions'!$D$13)^(7-1)*(1+'Assumptions'!$D$20)^(7-1)</x:f>
        <x:v>21121.90445978954</x:v>
      </x:c>
      <x:c r="O11" s="10" t="n">
        <x:f>D11*E11*F11*'Assumptions'!$D$11*(1+'Assumptions'!$D$13)^(8-1)*(1+'Assumptions'!$D$20)^(8-1)</x:f>
        <x:v>22843.339673262388</x:v>
      </x:c>
      <x:c r="P11" s="10" t="n">
        <x:f>D11*E11*F11*'Assumptions'!$D$11*(1+'Assumptions'!$D$13)^(9-1)*(1+'Assumptions'!$D$20)^(9-1)</x:f>
        <x:v>24705.071856633273</x:v>
      </x:c>
      <x:c r="Q11" s="10" t="n">
        <x:f>D11*E11*F11*'Assumptions'!$D$11*(1+'Assumptions'!$D$13)^(10-1)*(1+'Assumptions'!$D$20)^(10-1)</x:f>
        <x:v>26718.535212948893</x:v>
      </x:c>
      <x:c r="R11" s="10" t="n">
        <x:f>D11*E11*F11*'Assumptions'!$D$11*(1+'Assumptions'!$D$13)^(11-1)*(1+'Assumptions'!$D$20)^(11-1)</x:f>
        <x:v>28896.095832804225</x:v>
      </x:c>
      <x:c r="S11" s="10" t="n">
        <x:f>D11*E11*F11*'Assumptions'!$D$11*(1+'Assumptions'!$D$13)^(12-1)*(1+'Assumptions'!$D$20)^(12-1)</x:f>
        <x:v>31251.127643177773</x:v>
      </x:c>
      <x:c r="T11" s="10" t="n">
        <x:f>D11*E11*F11*'Assumptions'!$D$11*(1+'Assumptions'!$D$13)^(13-1)*(1+'Assumptions'!$D$20)^(13-1)</x:f>
        <x:v>33798.09454609676</x:v>
      </x:c>
      <x:c r="U11" s="10" t="n">
        <x:f>D11*E11*F11*'Assumptions'!$D$11*(1+'Assumptions'!$D$13)^(14-1)*(1+'Assumptions'!$D$20)^(14-1)</x:f>
        <x:v>36552.63925160365</x:v>
      </x:c>
      <x:c r="V11" s="10" t="n">
        <x:f>D11*E11*F11*'Assumptions'!$D$11*(1+'Assumptions'!$D$13)^(15-1)*(1+'Assumptions'!$D$20)^(15-1)</x:f>
        <x:v>39531.67935060936</x:v>
      </x:c>
      <x:c r="W11" s="10" t="n">
        <x:f>D11*E11*F11*'Assumptions'!$D$11*(1+'Assumptions'!$D$13)^(16-1)*(1+'Assumptions'!$D$20)^(16-1)</x:f>
        <x:v>42753.51121768402</x:v>
      </x:c>
      <x:c r="X11" s="10" t="n">
        <x:f>D11*E11*F11*'Assumptions'!$D$11*(1+'Assumptions'!$D$13)^(17-1)*(1+'Assumptions'!$D$20)^(17-1)</x:f>
        <x:v>46237.922381925266</x:v>
      </x:c>
      <x:c r="Y11" s="10" t="n">
        <x:f>D11*E11*F11*'Assumptions'!$D$11*(1+'Assumptions'!$D$13)^(18-1)*(1+'Assumptions'!$D$20)^(18-1)</x:f>
        <x:v>50006.313056052175</x:v>
      </x:c>
      <x:c r="Z11" s="10" t="n">
        <x:f>D11*E11*F11*'Assumptions'!$D$11*(1+'Assumptions'!$D$13)^(19-1)*(1+'Assumptions'!$D$20)^(19-1)</x:f>
        <x:v>54081.82757012043</x:v>
      </x:c>
      <x:c r="AA11" s="10" t="n">
        <x:f>D11*E11*F11*'Assumptions'!$D$11*(1+'Assumptions'!$D$13)^(20-1)*(1+'Assumptions'!$D$20)^(20-1)</x:f>
        <x:v>58489.49651708526</x:v>
      </x:c>
    </x:row>
    <x:row r="12" ht="30" customHeight="1">
      <x:c r="A12" s="1"/>
      <x:c r="B12" s="1"/>
      <x:c r="C12" s="23" t="str">
        <x:v>Human technical maintenance</x:v>
      </x:c>
      <x:c r="D12" s="24" t="n">
        <x:v>16</x:v>
      </x:c>
      <x:c r="E12" s="24" t="n">
        <x:v>55</x:v>
      </x:c>
      <x:c r="F12" s="24" t="n">
        <x:v>12</x:v>
      </x:c>
      <x:c r="G12" s="24" t="str">
        <x:v>Security and technical support beyond existing AI tools</x:v>
      </x:c>
      <x:c r="H12" s="10" t="n">
        <x:f>D12*E12*F12*'Assumptions'!$D$11*(1+'Assumptions'!$D$13)^(1-1)*(1+'Assumptions'!$D$20)^(1-1)</x:f>
        <x:v>10560</x:v>
      </x:c>
      <x:c r="I12" s="10" t="n">
        <x:f>D12*E12*F12*'Assumptions'!$D$11*(1+'Assumptions'!$D$13)^(2-1)*(1+'Assumptions'!$D$20)^(2-1)</x:f>
        <x:v>11420.640000000001</x:v>
      </x:c>
      <x:c r="J12" s="10" t="n">
        <x:f>D12*E12*F12*'Assumptions'!$D$11*(1+'Assumptions'!$D$13)^(3-1)*(1+'Assumptions'!$D$20)^(3-1)</x:f>
        <x:v>12351.42216</x:v>
      </x:c>
      <x:c r="K12" s="10" t="n">
        <x:f>D12*E12*F12*'Assumptions'!$D$11*(1+'Assumptions'!$D$13)^(4-1)*(1+'Assumptions'!$D$20)^(4-1)</x:f>
        <x:v>13358.063066040002</x:v>
      </x:c>
      <x:c r="L12" s="10" t="n">
        <x:f>D12*E12*F12*'Assumptions'!$D$11*(1+'Assumptions'!$D$13)^(5-1)*(1+'Assumptions'!$D$20)^(5-1)</x:f>
        <x:v>14446.745205922263</x:v>
      </x:c>
      <x:c r="M12" s="10" t="n">
        <x:f>D12*E12*F12*'Assumptions'!$D$11*(1+'Assumptions'!$D$13)^(6-1)*(1+'Assumptions'!$D$20)^(6-1)</x:f>
        <x:v>15624.15494020493</x:v>
      </x:c>
      <x:c r="N12" s="10" t="n">
        <x:f>D12*E12*F12*'Assumptions'!$D$11*(1+'Assumptions'!$D$13)^(7-1)*(1+'Assumptions'!$D$20)^(7-1)</x:f>
        <x:v>16897.52356783163</x:v>
      </x:c>
      <x:c r="O12" s="10" t="n">
        <x:f>D12*E12*F12*'Assumptions'!$D$11*(1+'Assumptions'!$D$13)^(8-1)*(1+'Assumptions'!$D$20)^(8-1)</x:f>
        <x:v>18274.67173860991</x:v>
      </x:c>
      <x:c r="P12" s="10" t="n">
        <x:f>D12*E12*F12*'Assumptions'!$D$11*(1+'Assumptions'!$D$13)^(9-1)*(1+'Assumptions'!$D$20)^(9-1)</x:f>
        <x:v>19764.05748530662</x:v>
      </x:c>
      <x:c r="Q12" s="10" t="n">
        <x:f>D12*E12*F12*'Assumptions'!$D$11*(1+'Assumptions'!$D$13)^(10-1)*(1+'Assumptions'!$D$20)^(10-1)</x:f>
        <x:v>21374.82817035911</x:v>
      </x:c>
      <x:c r="R12" s="10" t="n">
        <x:f>D12*E12*F12*'Assumptions'!$D$11*(1+'Assumptions'!$D$13)^(11-1)*(1+'Assumptions'!$D$20)^(11-1)</x:f>
        <x:v>23116.876666243377</x:v>
      </x:c>
      <x:c r="S12" s="10" t="n">
        <x:f>D12*E12*F12*'Assumptions'!$D$11*(1+'Assumptions'!$D$13)^(12-1)*(1+'Assumptions'!$D$20)^(12-1)</x:f>
        <x:v>25000.902114542216</x:v>
      </x:c>
      <x:c r="T12" s="10" t="n">
        <x:f>D12*E12*F12*'Assumptions'!$D$11*(1+'Assumptions'!$D$13)^(13-1)*(1+'Assumptions'!$D$20)^(13-1)</x:f>
        <x:v>27038.47563687741</x:v>
      </x:c>
      <x:c r="U12" s="10" t="n">
        <x:f>D12*E12*F12*'Assumptions'!$D$11*(1+'Assumptions'!$D$13)^(14-1)*(1+'Assumptions'!$D$20)^(14-1)</x:f>
        <x:v>29242.111401282924</x:v>
      </x:c>
      <x:c r="V12" s="10" t="n">
        <x:f>D12*E12*F12*'Assumptions'!$D$11*(1+'Assumptions'!$D$13)^(15-1)*(1+'Assumptions'!$D$20)^(15-1)</x:f>
        <x:v>31625.343480487485</x:v>
      </x:c>
      <x:c r="W12" s="10" t="n">
        <x:f>D12*E12*F12*'Assumptions'!$D$11*(1+'Assumptions'!$D$13)^(16-1)*(1+'Assumptions'!$D$20)^(16-1)</x:f>
        <x:v>34202.80897414722</x:v>
      </x:c>
      <x:c r="X12" s="10" t="n">
        <x:f>D12*E12*F12*'Assumptions'!$D$11*(1+'Assumptions'!$D$13)^(17-1)*(1+'Assumptions'!$D$20)^(17-1)</x:f>
        <x:v>36990.33790554021</x:v>
      </x:c>
      <x:c r="Y12" s="10" t="n">
        <x:f>D12*E12*F12*'Assumptions'!$D$11*(1+'Assumptions'!$D$13)^(18-1)*(1+'Assumptions'!$D$20)^(18-1)</x:f>
        <x:v>40005.05044484174</x:v>
      </x:c>
      <x:c r="Z12" s="10" t="n">
        <x:f>D12*E12*F12*'Assumptions'!$D$11*(1+'Assumptions'!$D$13)^(19-1)*(1+'Assumptions'!$D$20)^(19-1)</x:f>
        <x:v>43265.46205609635</x:v>
      </x:c>
      <x:c r="AA12" s="10" t="n">
        <x:f>D12*E12*F12*'Assumptions'!$D$11*(1+'Assumptions'!$D$13)^(20-1)*(1+'Assumptions'!$D$20)^(20-1)</x:f>
        <x:v>46791.59721366821</x:v>
      </x:c>
    </x:row>
    <x:row r="13" ht="30" customHeight="1">
      <x:c r="A13" s="1"/>
      <x:c r="B13" s="1"/>
      <x:c r="C13" s="23" t="str">
        <x:v>Hosting and usage infrastructure</x:v>
      </x:c>
      <x:c r="D13" s="24" t="n">
        <x:v>1</x:v>
      </x:c>
      <x:c r="E13" s="24" t="n">
        <x:v>150</x:v>
      </x:c>
      <x:c r="F13" s="24" t="n">
        <x:v>12</x:v>
      </x:c>
      <x:c r="G13" s="24" t="str">
        <x:v>Incremental platform, storage and AI usage allowance</x:v>
      </x:c>
      <x:c r="H13" s="10" t="n">
        <x:f>D13*E13*F13*'Assumptions'!$D$11*(1+'Assumptions'!$D$13)^(1-1)</x:f>
        <x:v>1800</x:v>
      </x:c>
      <x:c r="I13" s="10" t="n">
        <x:f>D13*E13*F13*'Assumptions'!$D$11*(1+'Assumptions'!$D$13)^(2-1)</x:f>
        <x:v>1854</x:v>
      </x:c>
      <x:c r="J13" s="10" t="n">
        <x:f>D13*E13*F13*'Assumptions'!$D$11*(1+'Assumptions'!$D$13)^(3-1)</x:f>
        <x:v>1909.62</x:v>
      </x:c>
      <x:c r="K13" s="10" t="n">
        <x:f>D13*E13*F13*'Assumptions'!$D$11*(1+'Assumptions'!$D$13)^(4-1)</x:f>
        <x:v>1966.9086</x:v>
      </x:c>
      <x:c r="L13" s="10" t="n">
        <x:f>D13*E13*F13*'Assumptions'!$D$11*(1+'Assumptions'!$D$13)^(5-1)</x:f>
        <x:v>2025.9158580000003</x:v>
      </x:c>
      <x:c r="M13" s="10" t="n">
        <x:f>D13*E13*F13*'Assumptions'!$D$11*(1+'Assumptions'!$D$13)^(6-1)</x:f>
        <x:v>2086.69333374</x:v>
      </x:c>
      <x:c r="N13" s="10" t="n">
        <x:f>D13*E13*F13*'Assumptions'!$D$11*(1+'Assumptions'!$D$13)^(7-1)</x:f>
        <x:v>2149.2941337522</x:v>
      </x:c>
      <x:c r="O13" s="10" t="n">
        <x:f>D13*E13*F13*'Assumptions'!$D$11*(1+'Assumptions'!$D$13)^(8-1)</x:f>
        <x:v>2213.7729577647665</x:v>
      </x:c>
      <x:c r="P13" s="10" t="n">
        <x:f>D13*E13*F13*'Assumptions'!$D$11*(1+'Assumptions'!$D$13)^(9-1)</x:f>
        <x:v>2280.1861464977096</x:v>
      </x:c>
      <x:c r="Q13" s="10" t="n">
        <x:f>D13*E13*F13*'Assumptions'!$D$11*(1+'Assumptions'!$D$13)^(10-1)</x:f>
        <x:v>2348.591730892641</x:v>
      </x:c>
      <x:c r="R13" s="10" t="n">
        <x:f>D13*E13*F13*'Assumptions'!$D$11*(1+'Assumptions'!$D$13)^(11-1)</x:f>
        <x:v>2419.04948281942</x:v>
      </x:c>
      <x:c r="S13" s="10" t="n">
        <x:f>D13*E13*F13*'Assumptions'!$D$11*(1+'Assumptions'!$D$13)^(12-1)</x:f>
        <x:v>2491.6209673040025</x:v>
      </x:c>
      <x:c r="T13" s="10" t="n">
        <x:f>D13*E13*F13*'Assumptions'!$D$11*(1+'Assumptions'!$D$13)^(13-1)</x:f>
        <x:v>2566.3695963231226</x:v>
      </x:c>
      <x:c r="U13" s="10" t="n">
        <x:f>D13*E13*F13*'Assumptions'!$D$11*(1+'Assumptions'!$D$13)^(14-1)</x:f>
        <x:v>2643.3606842128165</x:v>
      </x:c>
      <x:c r="V13" s="10" t="n">
        <x:f>D13*E13*F13*'Assumptions'!$D$11*(1+'Assumptions'!$D$13)^(15-1)</x:f>
        <x:v>2722.6615047392015</x:v>
      </x:c>
      <x:c r="W13" s="10" t="n">
        <x:f>D13*E13*F13*'Assumptions'!$D$11*(1+'Assumptions'!$D$13)^(16-1)</x:f>
        <x:v>2804.341349881377</x:v>
      </x:c>
      <x:c r="X13" s="10" t="n">
        <x:f>D13*E13*F13*'Assumptions'!$D$11*(1+'Assumptions'!$D$13)^(17-1)</x:f>
        <x:v>2888.4715903778188</x:v>
      </x:c>
      <x:c r="Y13" s="10" t="n">
        <x:f>D13*E13*F13*'Assumptions'!$D$11*(1+'Assumptions'!$D$13)^(18-1)</x:f>
        <x:v>2975.1257380891534</x:v>
      </x:c>
      <x:c r="Z13" s="10" t="n">
        <x:f>D13*E13*F13*'Assumptions'!$D$11*(1+'Assumptions'!$D$13)^(19-1)</x:f>
        <x:v>3064.379510231828</x:v>
      </x:c>
      <x:c r="AA13" s="10" t="n">
        <x:f>D13*E13*F13*'Assumptions'!$D$11*(1+'Assumptions'!$D$13)^(20-1)</x:f>
        <x:v>3156.310895538783</x:v>
      </x:c>
    </x:row>
    <x:row r="14" ht="30" customHeight="1">
      <x:c r="A14" s="1"/>
      <x:c r="B14" s="1"/>
      <x:c r="C14" s="23" t="str">
        <x:v>Business software and communications</x:v>
      </x:c>
      <x:c r="D14" s="24" t="n">
        <x:v>1</x:v>
      </x:c>
      <x:c r="E14" s="24" t="n">
        <x:v>100</x:v>
      </x:c>
      <x:c r="F14" s="24" t="n">
        <x:v>12</x:v>
      </x:c>
      <x:c r="G14" s="24" t="str">
        <x:v>Licensed tools and business communication allowance</x:v>
      </x:c>
      <x:c r="H14" s="10" t="n">
        <x:f>D14*E14*F14*'Assumptions'!$D$11*(1+'Assumptions'!$D$13)^(1-1)</x:f>
        <x:v>1200</x:v>
      </x:c>
      <x:c r="I14" s="10" t="n">
        <x:f>D14*E14*F14*'Assumptions'!$D$11*(1+'Assumptions'!$D$13)^(2-1)</x:f>
        <x:v>1236</x:v>
      </x:c>
      <x:c r="J14" s="10" t="n">
        <x:f>D14*E14*F14*'Assumptions'!$D$11*(1+'Assumptions'!$D$13)^(3-1)</x:f>
        <x:v>1273.08</x:v>
      </x:c>
      <x:c r="K14" s="10" t="n">
        <x:f>D14*E14*F14*'Assumptions'!$D$11*(1+'Assumptions'!$D$13)^(4-1)</x:f>
        <x:v>1311.2724</x:v>
      </x:c>
      <x:c r="L14" s="10" t="n">
        <x:f>D14*E14*F14*'Assumptions'!$D$11*(1+'Assumptions'!$D$13)^(5-1)</x:f>
        <x:v>1350.6105720000003</x:v>
      </x:c>
      <x:c r="M14" s="10" t="n">
        <x:f>D14*E14*F14*'Assumptions'!$D$11*(1+'Assumptions'!$D$13)^(6-1)</x:f>
        <x:v>1391.12888916</x:v>
      </x:c>
      <x:c r="N14" s="10" t="n">
        <x:f>D14*E14*F14*'Assumptions'!$D$11*(1+'Assumptions'!$D$13)^(7-1)</x:f>
        <x:v>1432.8627558348</x:v>
      </x:c>
      <x:c r="O14" s="10" t="n">
        <x:f>D14*E14*F14*'Assumptions'!$D$11*(1+'Assumptions'!$D$13)^(8-1)</x:f>
        <x:v>1475.8486385098442</x:v>
      </x:c>
      <x:c r="P14" s="10" t="n">
        <x:f>D14*E14*F14*'Assumptions'!$D$11*(1+'Assumptions'!$D$13)^(9-1)</x:f>
        <x:v>1520.1240976651397</x:v>
      </x:c>
      <x:c r="Q14" s="10" t="n">
        <x:f>D14*E14*F14*'Assumptions'!$D$11*(1+'Assumptions'!$D$13)^(10-1)</x:f>
        <x:v>1565.7278205950938</x:v>
      </x:c>
      <x:c r="R14" s="10" t="n">
        <x:f>D14*E14*F14*'Assumptions'!$D$11*(1+'Assumptions'!$D$13)^(11-1)</x:f>
        <x:v>1612.6996552129467</x:v>
      </x:c>
      <x:c r="S14" s="10" t="n">
        <x:f>D14*E14*F14*'Assumptions'!$D$11*(1+'Assumptions'!$D$13)^(12-1)</x:f>
        <x:v>1661.0806448693352</x:v>
      </x:c>
      <x:c r="T14" s="10" t="n">
        <x:f>D14*E14*F14*'Assumptions'!$D$11*(1+'Assumptions'!$D$13)^(13-1)</x:f>
        <x:v>1710.9130642154153</x:v>
      </x:c>
      <x:c r="U14" s="10" t="n">
        <x:f>D14*E14*F14*'Assumptions'!$D$11*(1+'Assumptions'!$D$13)^(14-1)</x:f>
        <x:v>1762.2404561418778</x:v>
      </x:c>
      <x:c r="V14" s="10" t="n">
        <x:f>D14*E14*F14*'Assumptions'!$D$11*(1+'Assumptions'!$D$13)^(15-1)</x:f>
        <x:v>1815.1076698261343</x:v>
      </x:c>
      <x:c r="W14" s="10" t="n">
        <x:f>D14*E14*F14*'Assumptions'!$D$11*(1+'Assumptions'!$D$13)^(16-1)</x:f>
        <x:v>1869.560899920918</x:v>
      </x:c>
      <x:c r="X14" s="10" t="n">
        <x:f>D14*E14*F14*'Assumptions'!$D$11*(1+'Assumptions'!$D$13)^(17-1)</x:f>
        <x:v>1925.647726918546</x:v>
      </x:c>
      <x:c r="Y14" s="10" t="n">
        <x:f>D14*E14*F14*'Assumptions'!$D$11*(1+'Assumptions'!$D$13)^(18-1)</x:f>
        <x:v>1983.4171587261021</x:v>
      </x:c>
      <x:c r="Z14" s="10" t="n">
        <x:f>D14*E14*F14*'Assumptions'!$D$11*(1+'Assumptions'!$D$13)^(19-1)</x:f>
        <x:v>2042.9196734878856</x:v>
      </x:c>
      <x:c r="AA14" s="10" t="n">
        <x:f>D14*E14*F14*'Assumptions'!$D$11*(1+'Assumptions'!$D$13)^(20-1)</x:f>
        <x:v>2104.207263692522</x:v>
      </x:c>
    </x:row>
    <x:row r="15" ht="30" customHeight="1">
      <x:c r="A15" s="1"/>
      <x:c r="B15" s="1"/>
      <x:c r="C15" s="23" t="str">
        <x:v>Insurance</x:v>
      </x:c>
      <x:c r="D15" s="24" t="n">
        <x:v>1</x:v>
      </x:c>
      <x:c r="E15" s="24" t="n">
        <x:v>250</x:v>
      </x:c>
      <x:c r="F15" s="24" t="n">
        <x:v>12</x:v>
      </x:c>
      <x:c r="G15" s="24" t="str">
        <x:v>Enterprise business cover allowance; no quote obtained</x:v>
      </x:c>
      <x:c r="H15" s="10" t="n">
        <x:f>D15*E15*F15*'Assumptions'!$D$11*(1+'Assumptions'!$D$13)^(1-1)</x:f>
        <x:v>3000</x:v>
      </x:c>
      <x:c r="I15" s="10" t="n">
        <x:f>D15*E15*F15*'Assumptions'!$D$11*(1+'Assumptions'!$D$13)^(2-1)</x:f>
        <x:v>3090</x:v>
      </x:c>
      <x:c r="J15" s="10" t="n">
        <x:f>D15*E15*F15*'Assumptions'!$D$11*(1+'Assumptions'!$D$13)^(3-1)</x:f>
        <x:v>3182.7</x:v>
      </x:c>
      <x:c r="K15" s="10" t="n">
        <x:f>D15*E15*F15*'Assumptions'!$D$11*(1+'Assumptions'!$D$13)^(4-1)</x:f>
        <x:v>3278.181</x:v>
      </x:c>
      <x:c r="L15" s="10" t="n">
        <x:f>D15*E15*F15*'Assumptions'!$D$11*(1+'Assumptions'!$D$13)^(5-1)</x:f>
        <x:v>3376.5264300000003</x:v>
      </x:c>
      <x:c r="M15" s="10" t="n">
        <x:f>D15*E15*F15*'Assumptions'!$D$11*(1+'Assumptions'!$D$13)^(6-1)</x:f>
        <x:v>3477.8222229000003</x:v>
      </x:c>
      <x:c r="N15" s="10" t="n">
        <x:f>D15*E15*F15*'Assumptions'!$D$11*(1+'Assumptions'!$D$13)^(7-1)</x:f>
        <x:v>3582.1568895870005</x:v>
      </x:c>
      <x:c r="O15" s="10" t="n">
        <x:f>D15*E15*F15*'Assumptions'!$D$11*(1+'Assumptions'!$D$13)^(8-1)</x:f>
        <x:v>3689.6215962746105</x:v>
      </x:c>
      <x:c r="P15" s="10" t="n">
        <x:f>D15*E15*F15*'Assumptions'!$D$11*(1+'Assumptions'!$D$13)^(9-1)</x:f>
        <x:v>3800.310244162849</x:v>
      </x:c>
      <x:c r="Q15" s="10" t="n">
        <x:f>D15*E15*F15*'Assumptions'!$D$11*(1+'Assumptions'!$D$13)^(10-1)</x:f>
        <x:v>3914.3195514877348</x:v>
      </x:c>
      <x:c r="R15" s="10" t="n">
        <x:f>D15*E15*F15*'Assumptions'!$D$11*(1+'Assumptions'!$D$13)^(11-1)</x:f>
        <x:v>4031.749138032367</x:v>
      </x:c>
      <x:c r="S15" s="10" t="n">
        <x:f>D15*E15*F15*'Assumptions'!$D$11*(1+'Assumptions'!$D$13)^(12-1)</x:f>
        <x:v>4152.701612173338</x:v>
      </x:c>
      <x:c r="T15" s="10" t="n">
        <x:f>D15*E15*F15*'Assumptions'!$D$11*(1+'Assumptions'!$D$13)^(13-1)</x:f>
        <x:v>4277.282660538538</x:v>
      </x:c>
      <x:c r="U15" s="10" t="n">
        <x:f>D15*E15*F15*'Assumptions'!$D$11*(1+'Assumptions'!$D$13)^(14-1)</x:f>
        <x:v>4405.6011403546945</x:v>
      </x:c>
      <x:c r="V15" s="10" t="n">
        <x:f>D15*E15*F15*'Assumptions'!$D$11*(1+'Assumptions'!$D$13)^(15-1)</x:f>
        <x:v>4537.769174565336</x:v>
      </x:c>
      <x:c r="W15" s="10" t="n">
        <x:f>D15*E15*F15*'Assumptions'!$D$11*(1+'Assumptions'!$D$13)^(16-1)</x:f>
        <x:v>4673.902249802295</x:v>
      </x:c>
      <x:c r="X15" s="10" t="n">
        <x:f>D15*E15*F15*'Assumptions'!$D$11*(1+'Assumptions'!$D$13)^(17-1)</x:f>
        <x:v>4814.119317296365</x:v>
      </x:c>
      <x:c r="Y15" s="10" t="n">
        <x:f>D15*E15*F15*'Assumptions'!$D$11*(1+'Assumptions'!$D$13)^(18-1)</x:f>
        <x:v>4958.5428968152555</x:v>
      </x:c>
      <x:c r="Z15" s="10" t="n">
        <x:f>D15*E15*F15*'Assumptions'!$D$11*(1+'Assumptions'!$D$13)^(19-1)</x:f>
        <x:v>5107.299183719713</x:v>
      </x:c>
      <x:c r="AA15" s="10" t="n">
        <x:f>D15*E15*F15*'Assumptions'!$D$11*(1+'Assumptions'!$D$13)^(20-1)</x:f>
        <x:v>5260.518159231305</x:v>
      </x:c>
    </x:row>
    <x:row r="16" ht="30" customHeight="1">
      <x:c r="A16" s="1"/>
      <x:c r="B16" s="1"/>
      <x:c r="C16" s="23" t="str">
        <x:v>Legal and professional fees</x:v>
      </x:c>
      <x:c r="D16" s="24" t="n">
        <x:v>1</x:v>
      </x:c>
      <x:c r="E16" s="24" t="n">
        <x:v>400</x:v>
      </x:c>
      <x:c r="F16" s="24" t="n">
        <x:v>12</x:v>
      </x:c>
      <x:c r="G16" s="24" t="str">
        <x:v>Independent specialist advice and assurance allowance</x:v>
      </x:c>
      <x:c r="H16" s="10" t="n">
        <x:f>D16*E16*F16*'Assumptions'!$D$11*(1+'Assumptions'!$D$13)^(1-1)</x:f>
        <x:v>4800</x:v>
      </x:c>
      <x:c r="I16" s="10" t="n">
        <x:f>D16*E16*F16*'Assumptions'!$D$11*(1+'Assumptions'!$D$13)^(2-1)</x:f>
        <x:v>4944</x:v>
      </x:c>
      <x:c r="J16" s="10" t="n">
        <x:f>D16*E16*F16*'Assumptions'!$D$11*(1+'Assumptions'!$D$13)^(3-1)</x:f>
        <x:v>5092.32</x:v>
      </x:c>
      <x:c r="K16" s="10" t="n">
        <x:f>D16*E16*F16*'Assumptions'!$D$11*(1+'Assumptions'!$D$13)^(4-1)</x:f>
        <x:v>5245.0896</x:v>
      </x:c>
      <x:c r="L16" s="10" t="n">
        <x:f>D16*E16*F16*'Assumptions'!$D$11*(1+'Assumptions'!$D$13)^(5-1)</x:f>
        <x:v>5402.442288000001</x:v>
      </x:c>
      <x:c r="M16" s="10" t="n">
        <x:f>D16*E16*F16*'Assumptions'!$D$11*(1+'Assumptions'!$D$13)^(6-1)</x:f>
        <x:v>5564.51555664</x:v>
      </x:c>
      <x:c r="N16" s="10" t="n">
        <x:f>D16*E16*F16*'Assumptions'!$D$11*(1+'Assumptions'!$D$13)^(7-1)</x:f>
        <x:v>5731.4510233392</x:v>
      </x:c>
      <x:c r="O16" s="10" t="n">
        <x:f>D16*E16*F16*'Assumptions'!$D$11*(1+'Assumptions'!$D$13)^(8-1)</x:f>
        <x:v>5903.394554039377</x:v>
      </x:c>
      <x:c r="P16" s="10" t="n">
        <x:f>D16*E16*F16*'Assumptions'!$D$11*(1+'Assumptions'!$D$13)^(9-1)</x:f>
        <x:v>6080.496390660559</x:v>
      </x:c>
      <x:c r="Q16" s="10" t="n">
        <x:f>D16*E16*F16*'Assumptions'!$D$11*(1+'Assumptions'!$D$13)^(10-1)</x:f>
        <x:v>6262.911282380375</x:v>
      </x:c>
      <x:c r="R16" s="10" t="n">
        <x:f>D16*E16*F16*'Assumptions'!$D$11*(1+'Assumptions'!$D$13)^(11-1)</x:f>
        <x:v>6450.798620851787</x:v>
      </x:c>
      <x:c r="S16" s="10" t="n">
        <x:f>D16*E16*F16*'Assumptions'!$D$11*(1+'Assumptions'!$D$13)^(12-1)</x:f>
        <x:v>6644.322579477341</x:v>
      </x:c>
      <x:c r="T16" s="10" t="n">
        <x:f>D16*E16*F16*'Assumptions'!$D$11*(1+'Assumptions'!$D$13)^(13-1)</x:f>
        <x:v>6843.652256861661</x:v>
      </x:c>
      <x:c r="U16" s="10" t="n">
        <x:f>D16*E16*F16*'Assumptions'!$D$11*(1+'Assumptions'!$D$13)^(14-1)</x:f>
        <x:v>7048.961824567511</x:v>
      </x:c>
      <x:c r="V16" s="10" t="n">
        <x:f>D16*E16*F16*'Assumptions'!$D$11*(1+'Assumptions'!$D$13)^(15-1)</x:f>
        <x:v>7260.430679304537</x:v>
      </x:c>
      <x:c r="W16" s="10" t="n">
        <x:f>D16*E16*F16*'Assumptions'!$D$11*(1+'Assumptions'!$D$13)^(16-1)</x:f>
        <x:v>7478.243599683672</x:v>
      </x:c>
      <x:c r="X16" s="10" t="n">
        <x:f>D16*E16*F16*'Assumptions'!$D$11*(1+'Assumptions'!$D$13)^(17-1)</x:f>
        <x:v>7702.590907674184</x:v>
      </x:c>
      <x:c r="Y16" s="10" t="n">
        <x:f>D16*E16*F16*'Assumptions'!$D$11*(1+'Assumptions'!$D$13)^(18-1)</x:f>
        <x:v>7933.6686349044085</x:v>
      </x:c>
      <x:c r="Z16" s="10" t="n">
        <x:f>D16*E16*F16*'Assumptions'!$D$11*(1+'Assumptions'!$D$13)^(19-1)</x:f>
        <x:v>8171.678693951542</x:v>
      </x:c>
      <x:c r="AA16" s="10" t="n">
        <x:f>D16*E16*F16*'Assumptions'!$D$11*(1+'Assumptions'!$D$13)^(20-1)</x:f>
        <x:v>8416.829054770087</x:v>
      </x:c>
    </x:row>
    <x:row r="17" ht="30" customHeight="1">
      <x:c r="A17" s="1"/>
      <x:c r="B17" s="1"/>
      <x:c r="C17" s="23" t="str">
        <x:v>Office and administrative costs</x:v>
      </x:c>
      <x:c r="D17" s="24" t="n">
        <x:v>1</x:v>
      </x:c>
      <x:c r="E17" s="24" t="n">
        <x:v>75</x:v>
      </x:c>
      <x:c r="F17" s="24" t="n">
        <x:v>12</x:v>
      </x:c>
      <x:c r="G17" s="24" t="str">
        <x:v>Postage, documentation and administration allowance</x:v>
      </x:c>
      <x:c r="H17" s="10" t="n">
        <x:f>D17*E17*F17*'Assumptions'!$D$11*(1+'Assumptions'!$D$13)^(1-1)</x:f>
        <x:v>900</x:v>
      </x:c>
      <x:c r="I17" s="10" t="n">
        <x:f>D17*E17*F17*'Assumptions'!$D$11*(1+'Assumptions'!$D$13)^(2-1)</x:f>
        <x:v>927</x:v>
      </x:c>
      <x:c r="J17" s="10" t="n">
        <x:f>D17*E17*F17*'Assumptions'!$D$11*(1+'Assumptions'!$D$13)^(3-1)</x:f>
        <x:v>954.81</x:v>
      </x:c>
      <x:c r="K17" s="10" t="n">
        <x:f>D17*E17*F17*'Assumptions'!$D$11*(1+'Assumptions'!$D$13)^(4-1)</x:f>
        <x:v>983.4543</x:v>
      </x:c>
      <x:c r="L17" s="10" t="n">
        <x:f>D17*E17*F17*'Assumptions'!$D$11*(1+'Assumptions'!$D$13)^(5-1)</x:f>
        <x:v>1012.9579290000001</x:v>
      </x:c>
      <x:c r="M17" s="10" t="n">
        <x:f>D17*E17*F17*'Assumptions'!$D$11*(1+'Assumptions'!$D$13)^(6-1)</x:f>
        <x:v>1043.34666687</x:v>
      </x:c>
      <x:c r="N17" s="10" t="n">
        <x:f>D17*E17*F17*'Assumptions'!$D$11*(1+'Assumptions'!$D$13)^(7-1)</x:f>
        <x:v>1074.6470668761</x:v>
      </x:c>
      <x:c r="O17" s="10" t="n">
        <x:f>D17*E17*F17*'Assumptions'!$D$11*(1+'Assumptions'!$D$13)^(8-1)</x:f>
        <x:v>1106.8864788823832</x:v>
      </x:c>
      <x:c r="P17" s="10" t="n">
        <x:f>D17*E17*F17*'Assumptions'!$D$11*(1+'Assumptions'!$D$13)^(9-1)</x:f>
        <x:v>1140.0930732488548</x:v>
      </x:c>
      <x:c r="Q17" s="10" t="n">
        <x:f>D17*E17*F17*'Assumptions'!$D$11*(1+'Assumptions'!$D$13)^(10-1)</x:f>
        <x:v>1174.2958654463205</x:v>
      </x:c>
      <x:c r="R17" s="10" t="n">
        <x:f>D17*E17*F17*'Assumptions'!$D$11*(1+'Assumptions'!$D$13)^(11-1)</x:f>
        <x:v>1209.52474140971</x:v>
      </x:c>
      <x:c r="S17" s="10" t="n">
        <x:f>D17*E17*F17*'Assumptions'!$D$11*(1+'Assumptions'!$D$13)^(12-1)</x:f>
        <x:v>1245.8104836520013</x:v>
      </x:c>
      <x:c r="T17" s="10" t="n">
        <x:f>D17*E17*F17*'Assumptions'!$D$11*(1+'Assumptions'!$D$13)^(13-1)</x:f>
        <x:v>1283.1847981615613</x:v>
      </x:c>
      <x:c r="U17" s="10" t="n">
        <x:f>D17*E17*F17*'Assumptions'!$D$11*(1+'Assumptions'!$D$13)^(14-1)</x:f>
        <x:v>1321.6803421064083</x:v>
      </x:c>
      <x:c r="V17" s="10" t="n">
        <x:f>D17*E17*F17*'Assumptions'!$D$11*(1+'Assumptions'!$D$13)^(15-1)</x:f>
        <x:v>1361.3307523696008</x:v>
      </x:c>
      <x:c r="W17" s="10" t="n">
        <x:f>D17*E17*F17*'Assumptions'!$D$11*(1+'Assumptions'!$D$13)^(16-1)</x:f>
        <x:v>1402.1706749406885</x:v>
      </x:c>
      <x:c r="X17" s="10" t="n">
        <x:f>D17*E17*F17*'Assumptions'!$D$11*(1+'Assumptions'!$D$13)^(17-1)</x:f>
        <x:v>1444.2357951889094</x:v>
      </x:c>
      <x:c r="Y17" s="10" t="n">
        <x:f>D17*E17*F17*'Assumptions'!$D$11*(1+'Assumptions'!$D$13)^(18-1)</x:f>
        <x:v>1487.5628690445767</x:v>
      </x:c>
      <x:c r="Z17" s="10" t="n">
        <x:f>D17*E17*F17*'Assumptions'!$D$11*(1+'Assumptions'!$D$13)^(19-1)</x:f>
        <x:v>1532.189755115914</x:v>
      </x:c>
      <x:c r="AA17" s="10" t="n">
        <x:f>D17*E17*F17*'Assumptions'!$D$11*(1+'Assumptions'!$D$13)^(20-1)</x:f>
        <x:v>1578.1554477693915</x:v>
      </x:c>
    </x:row>
    <x:row r="18" ht="30" customHeight="1">
      <x:c r="A18" s="1"/>
      <x:c r="B18" s="1"/>
      <x:c r="C18" s="23" t="str">
        <x:v>Licenses and registration</x:v>
      </x:c>
      <x:c r="D18" s="24" t="n">
        <x:v>1</x:v>
      </x:c>
      <x:c r="E18" s="24" t="n">
        <x:v>600</x:v>
      </x:c>
      <x:c r="F18" s="24" t="n">
        <x:v>1</x:v>
      </x:c>
      <x:c r="G18" s="24" t="str">
        <x:v>Incremental compliance and filing allowance</x:v>
      </x:c>
      <x:c r="H18" s="10" t="n">
        <x:f>D18*E18*F18*'Assumptions'!$D$11*(1+'Assumptions'!$D$13)^(1-1)</x:f>
        <x:v>600</x:v>
      </x:c>
      <x:c r="I18" s="10" t="n">
        <x:f>D18*E18*F18*'Assumptions'!$D$11*(1+'Assumptions'!$D$13)^(2-1)</x:f>
        <x:v>618</x:v>
      </x:c>
      <x:c r="J18" s="10" t="n">
        <x:f>D18*E18*F18*'Assumptions'!$D$11*(1+'Assumptions'!$D$13)^(3-1)</x:f>
        <x:v>636.54</x:v>
      </x:c>
      <x:c r="K18" s="10" t="n">
        <x:f>D18*E18*F18*'Assumptions'!$D$11*(1+'Assumptions'!$D$13)^(4-1)</x:f>
        <x:v>655.6362</x:v>
      </x:c>
      <x:c r="L18" s="10" t="n">
        <x:f>D18*E18*F18*'Assumptions'!$D$11*(1+'Assumptions'!$D$13)^(5-1)</x:f>
        <x:v>675.3052860000001</x:v>
      </x:c>
      <x:c r="M18" s="10" t="n">
        <x:f>D18*E18*F18*'Assumptions'!$D$11*(1+'Assumptions'!$D$13)^(6-1)</x:f>
        <x:v>695.56444458</x:v>
      </x:c>
      <x:c r="N18" s="10" t="n">
        <x:f>D18*E18*F18*'Assumptions'!$D$11*(1+'Assumptions'!$D$13)^(7-1)</x:f>
        <x:v>716.4313779174</x:v>
      </x:c>
      <x:c r="O18" s="10" t="n">
        <x:f>D18*E18*F18*'Assumptions'!$D$11*(1+'Assumptions'!$D$13)^(8-1)</x:f>
        <x:v>737.9243192549221</x:v>
      </x:c>
      <x:c r="P18" s="10" t="n">
        <x:f>D18*E18*F18*'Assumptions'!$D$11*(1+'Assumptions'!$D$13)^(9-1)</x:f>
        <x:v>760.0620488325699</x:v>
      </x:c>
      <x:c r="Q18" s="10" t="n">
        <x:f>D18*E18*F18*'Assumptions'!$D$11*(1+'Assumptions'!$D$13)^(10-1)</x:f>
        <x:v>782.8639102975469</x:v>
      </x:c>
      <x:c r="R18" s="10" t="n">
        <x:f>D18*E18*F18*'Assumptions'!$D$11*(1+'Assumptions'!$D$13)^(11-1)</x:f>
        <x:v>806.3498276064734</x:v>
      </x:c>
      <x:c r="S18" s="10" t="n">
        <x:f>D18*E18*F18*'Assumptions'!$D$11*(1+'Assumptions'!$D$13)^(12-1)</x:f>
        <x:v>830.5403224346676</x:v>
      </x:c>
      <x:c r="T18" s="10" t="n">
        <x:f>D18*E18*F18*'Assumptions'!$D$11*(1+'Assumptions'!$D$13)^(13-1)</x:f>
        <x:v>855.4565321077076</x:v>
      </x:c>
      <x:c r="U18" s="10" t="n">
        <x:f>D18*E18*F18*'Assumptions'!$D$11*(1+'Assumptions'!$D$13)^(14-1)</x:f>
        <x:v>881.1202280709389</x:v>
      </x:c>
      <x:c r="V18" s="10" t="n">
        <x:f>D18*E18*F18*'Assumptions'!$D$11*(1+'Assumptions'!$D$13)^(15-1)</x:f>
        <x:v>907.5538349130671</x:v>
      </x:c>
      <x:c r="W18" s="10" t="n">
        <x:f>D18*E18*F18*'Assumptions'!$D$11*(1+'Assumptions'!$D$13)^(16-1)</x:f>
        <x:v>934.780449960459</x:v>
      </x:c>
      <x:c r="X18" s="10" t="n">
        <x:f>D18*E18*F18*'Assumptions'!$D$11*(1+'Assumptions'!$D$13)^(17-1)</x:f>
        <x:v>962.823863459273</x:v>
      </x:c>
      <x:c r="Y18" s="10" t="n">
        <x:f>D18*E18*F18*'Assumptions'!$D$11*(1+'Assumptions'!$D$13)^(18-1)</x:f>
        <x:v>991.7085793630511</x:v>
      </x:c>
      <x:c r="Z18" s="10" t="n">
        <x:f>D18*E18*F18*'Assumptions'!$D$11*(1+'Assumptions'!$D$13)^(19-1)</x:f>
        <x:v>1021.4598367439428</x:v>
      </x:c>
      <x:c r="AA18" s="10" t="n">
        <x:f>D18*E18*F18*'Assumptions'!$D$11*(1+'Assumptions'!$D$13)^(20-1)</x:f>
        <x:v>1052.103631846261</x:v>
      </x:c>
    </x:row>
    <x:row r="19" ht="30" customHeight="1">
      <x:c r="A19" s="1"/>
      <x:c r="B19" s="1"/>
      <x:c r="C19" s="23" t="str">
        <x:v>Travel and business development</x:v>
      </x:c>
      <x:c r="D19" s="24" t="n">
        <x:v>1</x:v>
      </x:c>
      <x:c r="E19" s="24" t="n">
        <x:v>1200</x:v>
      </x:c>
      <x:c r="F19" s="24" t="n">
        <x:v>1</x:v>
      </x:c>
      <x:c r="G19" s="24" t="str">
        <x:v>No new travel commitment; conditional target allowance</x:v>
      </x:c>
      <x:c r="H19" s="10" t="n">
        <x:f>D19*E19*F19*'Assumptions'!$D$11*(1+'Assumptions'!$D$13)^(1-1)</x:f>
        <x:v>1200</x:v>
      </x:c>
      <x:c r="I19" s="10" t="n">
        <x:f>D19*E19*F19*'Assumptions'!$D$11*(1+'Assumptions'!$D$13)^(2-1)</x:f>
        <x:v>1236</x:v>
      </x:c>
      <x:c r="J19" s="10" t="n">
        <x:f>D19*E19*F19*'Assumptions'!$D$11*(1+'Assumptions'!$D$13)^(3-1)</x:f>
        <x:v>1273.08</x:v>
      </x:c>
      <x:c r="K19" s="10" t="n">
        <x:f>D19*E19*F19*'Assumptions'!$D$11*(1+'Assumptions'!$D$13)^(4-1)</x:f>
        <x:v>1311.2724</x:v>
      </x:c>
      <x:c r="L19" s="10" t="n">
        <x:f>D19*E19*F19*'Assumptions'!$D$11*(1+'Assumptions'!$D$13)^(5-1)</x:f>
        <x:v>1350.6105720000003</x:v>
      </x:c>
      <x:c r="M19" s="10" t="n">
        <x:f>D19*E19*F19*'Assumptions'!$D$11*(1+'Assumptions'!$D$13)^(6-1)</x:f>
        <x:v>1391.12888916</x:v>
      </x:c>
      <x:c r="N19" s="10" t="n">
        <x:f>D19*E19*F19*'Assumptions'!$D$11*(1+'Assumptions'!$D$13)^(7-1)</x:f>
        <x:v>1432.8627558348</x:v>
      </x:c>
      <x:c r="O19" s="10" t="n">
        <x:f>D19*E19*F19*'Assumptions'!$D$11*(1+'Assumptions'!$D$13)^(8-1)</x:f>
        <x:v>1475.8486385098442</x:v>
      </x:c>
      <x:c r="P19" s="10" t="n">
        <x:f>D19*E19*F19*'Assumptions'!$D$11*(1+'Assumptions'!$D$13)^(9-1)</x:f>
        <x:v>1520.1240976651397</x:v>
      </x:c>
      <x:c r="Q19" s="10" t="n">
        <x:f>D19*E19*F19*'Assumptions'!$D$11*(1+'Assumptions'!$D$13)^(10-1)</x:f>
        <x:v>1565.7278205950938</x:v>
      </x:c>
      <x:c r="R19" s="10" t="n">
        <x:f>D19*E19*F19*'Assumptions'!$D$11*(1+'Assumptions'!$D$13)^(11-1)</x:f>
        <x:v>1612.6996552129467</x:v>
      </x:c>
      <x:c r="S19" s="10" t="n">
        <x:f>D19*E19*F19*'Assumptions'!$D$11*(1+'Assumptions'!$D$13)^(12-1)</x:f>
        <x:v>1661.0806448693352</x:v>
      </x:c>
      <x:c r="T19" s="10" t="n">
        <x:f>D19*E19*F19*'Assumptions'!$D$11*(1+'Assumptions'!$D$13)^(13-1)</x:f>
        <x:v>1710.9130642154153</x:v>
      </x:c>
      <x:c r="U19" s="10" t="n">
        <x:f>D19*E19*F19*'Assumptions'!$D$11*(1+'Assumptions'!$D$13)^(14-1)</x:f>
        <x:v>1762.2404561418778</x:v>
      </x:c>
      <x:c r="V19" s="10" t="n">
        <x:f>D19*E19*F19*'Assumptions'!$D$11*(1+'Assumptions'!$D$13)^(15-1)</x:f>
        <x:v>1815.1076698261343</x:v>
      </x:c>
      <x:c r="W19" s="10" t="n">
        <x:f>D19*E19*F19*'Assumptions'!$D$11*(1+'Assumptions'!$D$13)^(16-1)</x:f>
        <x:v>1869.560899920918</x:v>
      </x:c>
      <x:c r="X19" s="10" t="n">
        <x:f>D19*E19*F19*'Assumptions'!$D$11*(1+'Assumptions'!$D$13)^(17-1)</x:f>
        <x:v>1925.647726918546</x:v>
      </x:c>
      <x:c r="Y19" s="10" t="n">
        <x:f>D19*E19*F19*'Assumptions'!$D$11*(1+'Assumptions'!$D$13)^(18-1)</x:f>
        <x:v>1983.4171587261021</x:v>
      </x:c>
      <x:c r="Z19" s="10" t="n">
        <x:f>D19*E19*F19*'Assumptions'!$D$11*(1+'Assumptions'!$D$13)^(19-1)</x:f>
        <x:v>2042.9196734878856</x:v>
      </x:c>
      <x:c r="AA19" s="10" t="n">
        <x:f>D19*E19*F19*'Assumptions'!$D$11*(1+'Assumptions'!$D$13)^(20-1)</x:f>
        <x:v>2104.207263692522</x:v>
      </x:c>
    </x:row>
    <x:row r="20" ht="30" customHeight="1">
      <x:c r="A20" s="1"/>
      <x:c r="B20" s="1"/>
      <x:c r="C20" s="23" t="str">
        <x:v>Research and development</x:v>
      </x:c>
      <x:c r="D20" s="24" t="n">
        <x:v>1</x:v>
      </x:c>
      <x:c r="E20" s="24" t="n">
        <x:v>1800</x:v>
      </x:c>
      <x:c r="F20" s="24" t="n">
        <x:v>1</x:v>
      </x:c>
      <x:c r="G20" s="24" t="str">
        <x:v>Rights, prototypes and research allowance</x:v>
      </x:c>
      <x:c r="H20" s="10" t="n">
        <x:f>D20*E20*F20*'Assumptions'!$D$11*(1+'Assumptions'!$D$13)^(1-1)</x:f>
        <x:v>1800</x:v>
      </x:c>
      <x:c r="I20" s="10" t="n">
        <x:f>D20*E20*F20*'Assumptions'!$D$11*(1+'Assumptions'!$D$13)^(2-1)</x:f>
        <x:v>1854</x:v>
      </x:c>
      <x:c r="J20" s="10" t="n">
        <x:f>D20*E20*F20*'Assumptions'!$D$11*(1+'Assumptions'!$D$13)^(3-1)</x:f>
        <x:v>1909.62</x:v>
      </x:c>
      <x:c r="K20" s="10" t="n">
        <x:f>D20*E20*F20*'Assumptions'!$D$11*(1+'Assumptions'!$D$13)^(4-1)</x:f>
        <x:v>1966.9086</x:v>
      </x:c>
      <x:c r="L20" s="10" t="n">
        <x:f>D20*E20*F20*'Assumptions'!$D$11*(1+'Assumptions'!$D$13)^(5-1)</x:f>
        <x:v>2025.9158580000003</x:v>
      </x:c>
      <x:c r="M20" s="10" t="n">
        <x:f>D20*E20*F20*'Assumptions'!$D$11*(1+'Assumptions'!$D$13)^(6-1)</x:f>
        <x:v>2086.69333374</x:v>
      </x:c>
      <x:c r="N20" s="10" t="n">
        <x:f>D20*E20*F20*'Assumptions'!$D$11*(1+'Assumptions'!$D$13)^(7-1)</x:f>
        <x:v>2149.2941337522</x:v>
      </x:c>
      <x:c r="O20" s="10" t="n">
        <x:f>D20*E20*F20*'Assumptions'!$D$11*(1+'Assumptions'!$D$13)^(8-1)</x:f>
        <x:v>2213.7729577647665</x:v>
      </x:c>
      <x:c r="P20" s="10" t="n">
        <x:f>D20*E20*F20*'Assumptions'!$D$11*(1+'Assumptions'!$D$13)^(9-1)</x:f>
        <x:v>2280.1861464977096</x:v>
      </x:c>
      <x:c r="Q20" s="10" t="n">
        <x:f>D20*E20*F20*'Assumptions'!$D$11*(1+'Assumptions'!$D$13)^(10-1)</x:f>
        <x:v>2348.591730892641</x:v>
      </x:c>
      <x:c r="R20" s="10" t="n">
        <x:f>D20*E20*F20*'Assumptions'!$D$11*(1+'Assumptions'!$D$13)^(11-1)</x:f>
        <x:v>2419.04948281942</x:v>
      </x:c>
      <x:c r="S20" s="10" t="n">
        <x:f>D20*E20*F20*'Assumptions'!$D$11*(1+'Assumptions'!$D$13)^(12-1)</x:f>
        <x:v>2491.6209673040025</x:v>
      </x:c>
      <x:c r="T20" s="10" t="n">
        <x:f>D20*E20*F20*'Assumptions'!$D$11*(1+'Assumptions'!$D$13)^(13-1)</x:f>
        <x:v>2566.3695963231226</x:v>
      </x:c>
      <x:c r="U20" s="10" t="n">
        <x:f>D20*E20*F20*'Assumptions'!$D$11*(1+'Assumptions'!$D$13)^(14-1)</x:f>
        <x:v>2643.3606842128165</x:v>
      </x:c>
      <x:c r="V20" s="10" t="n">
        <x:f>D20*E20*F20*'Assumptions'!$D$11*(1+'Assumptions'!$D$13)^(15-1)</x:f>
        <x:v>2722.6615047392015</x:v>
      </x:c>
      <x:c r="W20" s="10" t="n">
        <x:f>D20*E20*F20*'Assumptions'!$D$11*(1+'Assumptions'!$D$13)^(16-1)</x:f>
        <x:v>2804.341349881377</x:v>
      </x:c>
      <x:c r="X20" s="10" t="n">
        <x:f>D20*E20*F20*'Assumptions'!$D$11*(1+'Assumptions'!$D$13)^(17-1)</x:f>
        <x:v>2888.4715903778188</x:v>
      </x:c>
      <x:c r="Y20" s="10" t="n">
        <x:f>D20*E20*F20*'Assumptions'!$D$11*(1+'Assumptions'!$D$13)^(18-1)</x:f>
        <x:v>2975.1257380891534</x:v>
      </x:c>
      <x:c r="Z20" s="10" t="n">
        <x:f>D20*E20*F20*'Assumptions'!$D$11*(1+'Assumptions'!$D$13)^(19-1)</x:f>
        <x:v>3064.379510231828</x:v>
      </x:c>
      <x:c r="AA20" s="10" t="n">
        <x:f>D20*E20*F20*'Assumptions'!$D$11*(1+'Assumptions'!$D$13)^(20-1)</x:f>
        <x:v>3156.310895538783</x:v>
      </x:c>
    </x:row>
    <x:row r="21" ht="30" customHeight="1">
      <x:c r="A21" s="1"/>
      <x:c r="B21" s="1"/>
      <x:c r="C21" s="25" t="str">
        <x:v>Total shared operating costs</x:v>
      </x:c>
      <x:c r="D21" s="26"/>
      <x:c r="E21" s="26"/>
      <x:c r="F21" s="26"/>
      <x:c r="G21" s="26"/>
      <x:c r="H21" s="11" t="n">
        <x:f>SUM(H8:H20)</x:f>
        <x:v>69780</x:v>
      </x:c>
      <x:c r="I21" s="11" t="n">
        <x:f>SUM(I8:I20)</x:f>
        <x:v>74679.12</x:v>
      </x:c>
      <x:c r="J21" s="11" t="n">
        <x:f>SUM(J8:J20)</x:f>
        <x:v>79953.87977999999</x:v>
      </x:c>
      <x:c r="K21" s="11" t="n">
        <x:f>SUM(K8:K20)</x:f>
        <x:v>85634.18482707</x:v>
      </x:c>
      <x:c r="L21" s="11" t="n">
        <x:f>SUM(L8:L20)</x:f>
        <x:v>91752.35665082623</x:v>
      </x:c>
      <x:c r="M21" s="11" t="n">
        <x:f>SUM(M8:M20)</x:f>
        <x:v>98343.32905102905</x:v>
      </x:c>
      <x:c r="N21" s="11" t="n">
        <x:f>SUM(N8:N20)</x:f>
        <x:v>105444.86036184325</x:v>
      </x:c>
      <x:c r="O21" s="11" t="n">
        <x:f>SUM(O8:O20)</x:f>
        <x:v>113097.76297428348</x:v>
      </x:c>
      <x:c r="P21" s="11" t="n">
        <x:f>SUM(P8:P20)</x:f>
        <x:v>121346.15154442606</x:v>
      </x:c>
      <x:c r="Q21" s="11" t="n">
        <x:f>SUM(Q8:Q20)</x:f>
        <x:v>130237.71140966742</x:v>
      </x:c>
      <x:c r="R21" s="11" t="n">
        <x:f>SUM(R8:R20)</x:f>
        <x:v>139823.98885935702</x:v>
      </x:c>
      <x:c r="S21" s="11" t="n">
        <x:f>SUM(S8:S20)</x:f>
        <x:v>150160.70504029046</x:v>
      </x:c>
      <x:c r="T21" s="11" t="n">
        <x:f>SUM(T8:T20)</x:f>
        <x:v>161308.09542263678</x:v>
      </x:c>
      <x:c r="U21" s="11" t="n">
        <x:f>SUM(U8:U20)</x:f>
        <x:v>173331.27690879133</x:v>
      </x:c>
      <x:c r="V21" s="11" t="n">
        <x:f>SUM(V8:V20)</x:f>
        <x:v>186300.6448373436</x:v>
      </x:c>
      <x:c r="W21" s="11" t="n">
        <x:f>SUM(W8:W20)</x:f>
        <x:v>200292.30231788754</x:v>
      </x:c>
      <x:c r="X21" s="11" t="n">
        <x:f>SUM(X8:X20)</x:f>
        <x:v>215388.52453088487</x:v>
      </x:c>
      <x:c r="Y21" s="11" t="n">
        <x:f>SUM(Y8:Y20)</x:f>
        <x:v>231678.260841464</x:v>
      </x:c>
      <x:c r="Z21" s="11" t="n">
        <x:f>SUM(Z8:Z20)</x:f>
        <x:v>249257.67780819492</x:v>
      </x:c>
      <x:c r="AA21" s="11" t="n">
        <x:f>SUM(AA8:AA20)</x:f>
        <x:v>268230.74641895876</x:v>
      </x:c>
    </x:row>
    <x:row r="22" ht="16" customHeight="1">
      <x:c r="A22" s="1"/>
      <x:c r="B22" s="1"/>
      <x:c r="C22" s="1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  <x:c r="O22" s="10"/>
      <x:c r="P22" s="10"/>
      <x:c r="Q22" s="10"/>
      <x:c r="R22" s="10"/>
      <x:c r="S22" s="10"/>
      <x:c r="T22" s="10"/>
      <x:c r="U22" s="10"/>
      <x:c r="V22" s="10"/>
      <x:c r="W22" s="10"/>
      <x:c r="X22" s="10"/>
      <x:c r="Y22" s="10"/>
      <x:c r="Z22" s="10"/>
      <x:c r="AA22" s="10"/>
    </x:row>
    <x:row r="23" ht="16" customHeight="1">
      <x:c r="A23" s="1"/>
      <x:c r="B23" s="1"/>
      <x:c r="C23" s="1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  <x:c r="O23" s="10"/>
      <x:c r="P23" s="10"/>
      <x:c r="Q23" s="10"/>
      <x:c r="R23" s="10"/>
      <x:c r="S23" s="10"/>
      <x:c r="T23" s="10"/>
      <x:c r="U23" s="10"/>
      <x:c r="V23" s="10"/>
      <x:c r="W23" s="10"/>
      <x:c r="X23" s="10"/>
      <x:c r="Y23" s="10"/>
      <x:c r="Z23" s="10"/>
      <x:c r="AA23" s="10"/>
    </x:row>
    <x:row r="24" ht="16" customHeight="1">
      <x:c r="A24" s="1"/>
      <x:c r="B24" s="1"/>
      <x:c r="C24" s="1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0"/>
      <x:c r="X24" s="10"/>
      <x:c r="Y24" s="10"/>
      <x:c r="Z24" s="10"/>
      <x:c r="AA24" s="10"/>
    </x:row>
    <x:row r="25" ht="16" customHeight="1">
      <x:c r="A25" s="1"/>
      <x:c r="B25" s="1"/>
      <x:c r="C25" s="1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  <x:c r="T25" s="10"/>
      <x:c r="U25" s="10"/>
      <x:c r="V25" s="10"/>
      <x:c r="W25" s="10"/>
      <x:c r="X25" s="10"/>
      <x:c r="Y25" s="10"/>
      <x:c r="Z25" s="10"/>
      <x:c r="AA25" s="10"/>
    </x:row>
    <x:row r="26" ht="16" customHeight="1">
      <x:c r="A26" s="1"/>
      <x:c r="B26" s="1"/>
      <x:c r="C26" s="1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0"/>
      <x:c r="T26" s="10"/>
      <x:c r="U26" s="10"/>
      <x:c r="V26" s="10"/>
      <x:c r="W26" s="10"/>
      <x:c r="X26" s="10"/>
      <x:c r="Y26" s="10"/>
      <x:c r="Z26" s="10"/>
      <x:c r="AA26" s="10"/>
    </x:row>
    <x:row r="27" ht="16" customHeight="1">
      <x:c r="A27" s="1"/>
      <x:c r="B27" s="1"/>
      <x:c r="C27" s="1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0"/>
      <x:c r="T27" s="10"/>
      <x:c r="U27" s="10"/>
      <x:c r="V27" s="10"/>
      <x:c r="W27" s="10"/>
      <x:c r="X27" s="10"/>
      <x:c r="Y27" s="10"/>
      <x:c r="Z27" s="10"/>
      <x:c r="AA27" s="10"/>
    </x:row>
    <x:row r="28" ht="16" customHeight="1">
      <x:c r="A28" s="1"/>
      <x:c r="B28" s="1"/>
      <x:c r="C28" s="1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10"/>
      <x:c r="O28" s="10"/>
      <x:c r="P28" s="10"/>
      <x:c r="Q28" s="10"/>
      <x:c r="R28" s="10"/>
      <x:c r="S28" s="10"/>
      <x:c r="T28" s="10"/>
      <x:c r="U28" s="10"/>
      <x:c r="V28" s="10"/>
      <x:c r="W28" s="10"/>
      <x:c r="X28" s="10"/>
      <x:c r="Y28" s="10"/>
      <x:c r="Z28" s="10"/>
      <x:c r="AA28" s="10"/>
    </x:row>
    <x:row r="29" ht="16" customHeight="1">
      <x:c r="A29" s="1"/>
      <x:c r="B29" s="1"/>
      <x:c r="C29" s="1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10"/>
      <x:c r="O29" s="10"/>
      <x:c r="P29" s="10"/>
      <x:c r="Q29" s="10"/>
      <x:c r="R29" s="10"/>
      <x:c r="S29" s="10"/>
      <x:c r="T29" s="10"/>
      <x:c r="U29" s="10"/>
      <x:c r="V29" s="10"/>
      <x:c r="W29" s="10"/>
      <x:c r="X29" s="10"/>
      <x:c r="Y29" s="10"/>
      <x:c r="Z29" s="10"/>
      <x:c r="AA29" s="10"/>
    </x:row>
    <x:row r="30" ht="16" customHeight="1">
      <x:c r="A30" s="1"/>
      <x:c r="B30" s="1"/>
      <x:c r="C30" s="1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10"/>
      <x:c r="O30" s="10"/>
      <x:c r="P30" s="10"/>
      <x:c r="Q30" s="10"/>
      <x:c r="R30" s="10"/>
      <x:c r="S30" s="10"/>
      <x:c r="T30" s="10"/>
      <x:c r="U30" s="10"/>
      <x:c r="V30" s="10"/>
      <x:c r="W30" s="10"/>
      <x:c r="X30" s="10"/>
      <x:c r="Y30" s="10"/>
      <x:c r="Z30" s="10"/>
      <x:c r="AA30" s="10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36" hidden="0" customWidth="1"/>
    <x:col min="4" max="4" width="28" hidden="0" customWidth="1"/>
    <x:col min="5" max="5" width="28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1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16" customHeight="1">
      <x:c r="A2" s="1"/>
      <x:c r="B2" s="1"/>
      <x:c r="C2" s="2" t="str">
        <x:v>Segment tax</x:v>
      </x:c>
      <x:c r="D2" s="2"/>
      <x:c r="E2" s="2"/>
      <x:c r="F2" s="2"/>
      <x:c r="G2" s="2"/>
      <x:c r="H2" s="2"/>
      <x:c r="I2" s="1"/>
      <x:c r="J2" s="1"/>
      <x:c r="K2" s="1"/>
      <x:c r="L2" s="1"/>
      <x:c r="M2" s="1"/>
    </x:row>
    <x:row r="3" ht="16" customHeight="1">
      <x:c r="A3" s="1"/>
      <x:c r="B3" s="1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</x:row>
    <x:row r="4" ht="16" customHeight="1">
      <x:c r="A4" s="1"/>
      <x:c r="B4" s="1"/>
      <x:c r="C4" s="1" t="str">
        <x:v>Dot comparison assumptions. USD. Not an owner or AF&amp;I budget.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16" customHeight="1">
      <x:c r="A5" s="1"/>
      <x:c r="B5" s="1"/>
      <x:c r="C5" s="1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16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 ht="43" customHeight="1">
      <x:c r="A7" s="1"/>
      <x:c r="B7" s="1"/>
      <x:c r="C7" s="20" t="str">
        <x:v>Family</x:v>
      </x:c>
      <x:c r="D7" s="20" t="str">
        <x:v>Year</x:v>
      </x:c>
      <x:c r="E7" s="20" t="str">
        <x:v>Net revenue</x:v>
      </x:c>
      <x:c r="F7" s="20" t="str">
        <x:v>Direct operating costs</x:v>
      </x:c>
      <x:c r="G7" s="20" t="str">
        <x:v>Allocated shared costs</x:v>
      </x:c>
      <x:c r="H7" s="20" t="str">
        <x:v>Allocated depreciation</x:v>
      </x:c>
      <x:c r="I7" s="20" t="str">
        <x:v>Pretax income</x:v>
      </x:c>
      <x:c r="J7" s="20" t="str">
        <x:v>Opening modeled loss pool</x:v>
      </x:c>
      <x:c r="K7" s="20" t="str">
        <x:v>Taxable positive income</x:v>
      </x:c>
      <x:c r="L7" s="20" t="str">
        <x:v>Tax provision</x:v>
      </x:c>
      <x:c r="M7" s="20" t="str">
        <x:v>Closing modeled loss pool</x:v>
      </x:c>
    </x:row>
    <x:row r="8" ht="16" customHeight="1">
      <x:c r="A8" s="1"/>
      <x:c r="B8" s="1"/>
      <x:c r="C8" s="1" t="str">
        <x:v>ETV courses</x:v>
      </x:c>
      <x:c r="D8" s="10" t="n">
        <x:v>1</x:v>
      </x:c>
      <x:c r="E8" s="10" t="n">
        <x:f>SUMIF('Revenue and costs'!$D$8:$D$135,C8,'Revenue and costs'!N8:N135)</x:f>
        <x:v>21126.6</x:v>
      </x:c>
      <x:c r="F8" s="10" t="n">
        <x:f>SUMIF('Revenue and costs'!$D$8:$D$135,C8,'Revenue and costs'!O8:O135)+SUMIF('Revenue and costs'!$D$8:$D$135,C8,'Revenue and costs'!P8:P135)+SUMIF('Revenue and costs'!$D$8:$D$135,C8,'Revenue and costs'!Q8:Q135)+SUMIF('Revenue and costs'!$D$8:$D$135,C8,'Revenue and costs'!R8:R135)+SUMIF('Revenue and costs'!$D$8:$D$135,C8,'Revenue and costs'!S8:S135)+SUMIF('Revenue and costs'!$D$8:$D$135,C8,'Revenue and costs'!T8:T135)+SUMIF('Revenue and costs'!$D$8:$D$135,C8,'Revenue and costs'!U8:U135)+SUMIF('Revenue and costs'!$D$8:$D$135,C8,'Revenue and costs'!V8:V135)+SUMIF('Revenue and costs'!$D$8:$D$135,C8,'Revenue and costs'!AE8:AE135)</x:f>
        <x:v>6988.95</x:v>
      </x:c>
      <x:c r="G8" s="10" t="n">
        <x:f>IF('Income statement'!D50=0,1/39,E8/'Income statement'!D50)*('Shared costs'!H21+'Assumptions'!$D$18*'Assumptions'!$D$19*12*(1+'Assumptions'!$D$13)^(1-1)*'Assumptions'!$D$21)</x:f>
        <x:v>1448.2147255677114</x:v>
      </x:c>
      <x:c r="H8" s="10" t="n">
        <x:f>IF('Income statement'!D50=0,1/39,E8/'Income statement'!D50)*'Cash and capital'!D18</x:f>
        <x:v>10.377004339120889</x:v>
      </x:c>
      <x:c r="I8" s="10" t="n">
        <x:f>E8-F8-G8-H8</x:f>
        <x:v>12679.058270093165</x:v>
      </x:c>
      <x:c r="J8" s="10" t="n">
        <x:f>0</x:f>
        <x:v>0</x:v>
      </x:c>
      <x:c r="K8" s="10" t="n">
        <x:f>MAX(0,I8-J8)</x:f>
        <x:v>12679.058270093165</x:v>
      </x:c>
      <x:c r="L8" s="10" t="n">
        <x:f>K8*'Assumptions'!$D$12</x:f>
        <x:v>3169.764567523291</x:v>
      </x:c>
      <x:c r="M8" s="10" t="n">
        <x:f>MAX(0,J8-I8)</x:f>
        <x:v>0</x:v>
      </x:c>
    </x:row>
    <x:row r="9" ht="16" customHeight="1">
      <x:c r="A9" s="1"/>
      <x:c r="B9" s="1"/>
      <x:c r="C9" s="1" t="str">
        <x:v>ETV services</x:v>
      </x:c>
      <x:c r="D9" s="10" t="n">
        <x:v>1</x:v>
      </x:c>
      <x:c r="E9" s="10" t="n">
        <x:f>SUMIF('Revenue and costs'!$D$8:$D$135,C9,'Revenue and costs'!N8:N135)</x:f>
        <x:v>60140</x:v>
      </x:c>
      <x:c r="F9" s="10" t="n">
        <x:f>SUMIF('Revenue and costs'!$D$8:$D$135,C9,'Revenue and costs'!O8:O135)+SUMIF('Revenue and costs'!$D$8:$D$135,C9,'Revenue and costs'!P8:P135)+SUMIF('Revenue and costs'!$D$8:$D$135,C9,'Revenue and costs'!Q8:Q135)+SUMIF('Revenue and costs'!$D$8:$D$135,C9,'Revenue and costs'!R8:R135)+SUMIF('Revenue and costs'!$D$8:$D$135,C9,'Revenue and costs'!S8:S135)+SUMIF('Revenue and costs'!$D$8:$D$135,C9,'Revenue and costs'!T8:T135)+SUMIF('Revenue and costs'!$D$8:$D$135,C9,'Revenue and costs'!U8:U135)+SUMIF('Revenue and costs'!$D$8:$D$135,C9,'Revenue and costs'!V8:V135)+SUMIF('Revenue and costs'!$D$8:$D$135,C9,'Revenue and costs'!AE8:AE135)</x:f>
        <x:v>37915.6</x:v>
      </x:c>
      <x:c r="G9" s="10" t="n">
        <x:f>IF('Income statement'!D50=0,1/39,E9/'Income statement'!D50)*('Shared costs'!H21+'Assumptions'!$D$18*'Assumptions'!$D$19*12*(1+'Assumptions'!$D$13)^(1-1)*'Assumptions'!$D$21)</x:f>
        <x:v>4122.557988301108</x:v>
      </x:c>
      <x:c r="H9" s="10" t="n">
        <x:f>IF('Income statement'!D50=0,1/39,E9/'Income statement'!D50)*'Cash and capital'!D18</x:f>
        <x:v>29.53968177343872</x:v>
      </x:c>
      <x:c r="I9" s="10" t="n">
        <x:f>E9-F9-G9-H9</x:f>
        <x:v>18072.302329925453</x:v>
      </x:c>
      <x:c r="J9" s="10" t="n">
        <x:f>0</x:f>
        <x:v>0</x:v>
      </x:c>
      <x:c r="K9" s="10" t="n">
        <x:f>MAX(0,I9-J9)</x:f>
        <x:v>18072.302329925453</x:v>
      </x:c>
      <x:c r="L9" s="10" t="n">
        <x:f>K9*'Assumptions'!$D$12</x:f>
        <x:v>4518.075582481363</x:v>
      </x:c>
      <x:c r="M9" s="10" t="n">
        <x:f>MAX(0,J9-I9)</x:f>
        <x:v>0</x:v>
      </x:c>
    </x:row>
    <x:row r="10" ht="16" customHeight="1">
      <x:c r="A10" s="1"/>
      <x:c r="B10" s="1"/>
      <x:c r="C10" s="1" t="str">
        <x:v>BPA professional services</x:v>
      </x:c>
      <x:c r="D10" s="10" t="n">
        <x:v>1</x:v>
      </x:c>
      <x:c r="E10" s="10" t="n">
        <x:f>SUMIF('Revenue and costs'!$D$8:$D$135,C10,'Revenue and costs'!N8:N135)</x:f>
        <x:v>283046</x:v>
      </x:c>
      <x:c r="F10" s="10" t="n">
        <x:f>SUMIF('Revenue and costs'!$D$8:$D$135,C10,'Revenue and costs'!O8:O135)+SUMIF('Revenue and costs'!$D$8:$D$135,C10,'Revenue and costs'!P8:P135)+SUMIF('Revenue and costs'!$D$8:$D$135,C10,'Revenue and costs'!Q8:Q135)+SUMIF('Revenue and costs'!$D$8:$D$135,C10,'Revenue and costs'!R8:R135)+SUMIF('Revenue and costs'!$D$8:$D$135,C10,'Revenue and costs'!S8:S135)+SUMIF('Revenue and costs'!$D$8:$D$135,C10,'Revenue and costs'!T8:T135)+SUMIF('Revenue and costs'!$D$8:$D$135,C10,'Revenue and costs'!U8:U135)+SUMIF('Revenue and costs'!$D$8:$D$135,C10,'Revenue and costs'!V8:V135)+SUMIF('Revenue and costs'!$D$8:$D$135,C10,'Revenue and costs'!AE8:AE135)</x:f>
        <x:v>124539.12</x:v>
      </x:c>
      <x:c r="G10" s="10" t="n">
        <x:f>IF('Income statement'!D50=0,1/39,E10/'Income statement'!D50)*('Shared costs'!H21+'Assumptions'!$D$18*'Assumptions'!$D$19*12*(1+'Assumptions'!$D$13)^(1-1)*'Assumptions'!$D$21)</x:f>
        <x:v>19402.619693326822</x:v>
      </x:c>
      <x:c r="H10" s="10" t="n">
        <x:f>IF('Income statement'!D50=0,1/39,E10/'Income statement'!D50)*'Cash and capital'!D18</x:f>
        <x:v>139.02708292724867</x:v>
      </x:c>
      <x:c r="I10" s="10" t="n">
        <x:f>E10-F10-G10-H10</x:f>
        <x:v>138965.23322374592</x:v>
      </x:c>
      <x:c r="J10" s="10" t="n">
        <x:f>0</x:f>
        <x:v>0</x:v>
      </x:c>
      <x:c r="K10" s="10" t="n">
        <x:f>MAX(0,I10-J10)</x:f>
        <x:v>138965.23322374592</x:v>
      </x:c>
      <x:c r="L10" s="10" t="n">
        <x:f>K10*'Assumptions'!$D$12</x:f>
        <x:v>34741.30830593648</x:v>
      </x:c>
      <x:c r="M10" s="10" t="n">
        <x:f>MAX(0,J10-I10)</x:f>
        <x:v>0</x:v>
      </x:c>
    </x:row>
    <x:row r="11" ht="16" customHeight="1">
      <x:c r="A11" s="1"/>
      <x:c r="B11" s="1"/>
      <x:c r="C11" s="1" t="str">
        <x:v>CornerFlow</x:v>
      </x:c>
      <x:c r="D11" s="10" t="n">
        <x:v>1</x:v>
      </x:c>
      <x:c r="E11" s="10" t="n">
        <x:f>SUMIF('Revenue and costs'!$D$8:$D$135,C11,'Revenue and costs'!N8:N135)</x:f>
        <x:v>4782.1</x:v>
      </x:c>
      <x:c r="F11" s="10" t="n">
        <x:f>SUMIF('Revenue and costs'!$D$8:$D$135,C11,'Revenue and costs'!O8:O135)+SUMIF('Revenue and costs'!$D$8:$D$135,C11,'Revenue and costs'!P8:P135)+SUMIF('Revenue and costs'!$D$8:$D$135,C11,'Revenue and costs'!Q8:Q135)+SUMIF('Revenue and costs'!$D$8:$D$135,C11,'Revenue and costs'!R8:R135)+SUMIF('Revenue and costs'!$D$8:$D$135,C11,'Revenue and costs'!S8:S135)+SUMIF('Revenue and costs'!$D$8:$D$135,C11,'Revenue and costs'!T8:T135)+SUMIF('Revenue and costs'!$D$8:$D$135,C11,'Revenue and costs'!U8:U135)+SUMIF('Revenue and costs'!$D$8:$D$135,C11,'Revenue and costs'!V8:V135)+SUMIF('Revenue and costs'!$D$8:$D$135,C11,'Revenue and costs'!AE8:AE135)</x:f>
        <x:v>1963.772</x:v>
      </x:c>
      <x:c r="G11" s="10" t="n">
        <x:f>IF('Income statement'!D50=0,1/39,E11/'Income statement'!D50)*('Shared costs'!H21+'Assumptions'!$D$18*'Assumptions'!$D$19*12*(1+'Assumptions'!$D$13)^(1-1)*'Assumptions'!$D$21)</x:f>
        <x:v>327.80985294071706</x:v>
      </x:c>
      <x:c r="H11" s="10" t="n">
        <x:f>IF('Income statement'!D50=0,1/39,E11/'Income statement'!D50)*'Cash and capital'!D18</x:f>
        <x:v>2.3488811474685947</x:v>
      </x:c>
      <x:c r="I11" s="10" t="n">
        <x:f>E11-F11-G11-H11</x:f>
        <x:v>2488.169265911815</x:v>
      </x:c>
      <x:c r="J11" s="10" t="n">
        <x:f>0</x:f>
        <x:v>0</x:v>
      </x:c>
      <x:c r="K11" s="10" t="n">
        <x:f>MAX(0,I11-J11)</x:f>
        <x:v>2488.169265911815</x:v>
      </x:c>
      <x:c r="L11" s="10" t="n">
        <x:f>K11*'Assumptions'!$D$12</x:f>
        <x:v>622.0423164779537</x:v>
      </x:c>
      <x:c r="M11" s="10" t="n">
        <x:f>MAX(0,J11-I11)</x:f>
        <x:v>0</x:v>
      </x:c>
    </x:row>
    <x:row r="12" ht="16" customHeight="1">
      <x:c r="A12" s="1"/>
      <x:c r="B12" s="1"/>
      <x:c r="C12" s="1" t="str">
        <x:v>Spindle</x:v>
      </x:c>
      <x:c r="D12" s="10" t="n">
        <x:v>1</x:v>
      </x:c>
      <x:c r="E12" s="10" t="n">
        <x:f>SUMIF('Revenue and costs'!$D$8:$D$135,C12,'Revenue and costs'!N8:N135)</x:f>
        <x:v>4782.1</x:v>
      </x:c>
      <x:c r="F12" s="10" t="n">
        <x:f>SUMIF('Revenue and costs'!$D$8:$D$135,C12,'Revenue and costs'!O8:O135)+SUMIF('Revenue and costs'!$D$8:$D$135,C12,'Revenue and costs'!P8:P135)+SUMIF('Revenue and costs'!$D$8:$D$135,C12,'Revenue and costs'!Q8:Q135)+SUMIF('Revenue and costs'!$D$8:$D$135,C12,'Revenue and costs'!R8:R135)+SUMIF('Revenue and costs'!$D$8:$D$135,C12,'Revenue and costs'!S8:S135)+SUMIF('Revenue and costs'!$D$8:$D$135,C12,'Revenue and costs'!T8:T135)+SUMIF('Revenue and costs'!$D$8:$D$135,C12,'Revenue and costs'!U8:U135)+SUMIF('Revenue and costs'!$D$8:$D$135,C12,'Revenue and costs'!V8:V135)+SUMIF('Revenue and costs'!$D$8:$D$135,C12,'Revenue and costs'!AE8:AE135)</x:f>
        <x:v>1963.772</x:v>
      </x:c>
      <x:c r="G12" s="10" t="n">
        <x:f>IF('Income statement'!D50=0,1/39,E12/'Income statement'!D50)*('Shared costs'!H21+'Assumptions'!$D$18*'Assumptions'!$D$19*12*(1+'Assumptions'!$D$13)^(1-1)*'Assumptions'!$D$21)</x:f>
        <x:v>327.80985294071706</x:v>
      </x:c>
      <x:c r="H12" s="10" t="n">
        <x:f>IF('Income statement'!D50=0,1/39,E12/'Income statement'!D50)*'Cash and capital'!D18</x:f>
        <x:v>2.3488811474685947</x:v>
      </x:c>
      <x:c r="I12" s="10" t="n">
        <x:f>E12-F12-G12-H12</x:f>
        <x:v>2488.169265911815</x:v>
      </x:c>
      <x:c r="J12" s="10" t="n">
        <x:f>0</x:f>
        <x:v>0</x:v>
      </x:c>
      <x:c r="K12" s="10" t="n">
        <x:f>MAX(0,I12-J12)</x:f>
        <x:v>2488.169265911815</x:v>
      </x:c>
      <x:c r="L12" s="10" t="n">
        <x:f>K12*'Assumptions'!$D$12</x:f>
        <x:v>622.0423164779537</x:v>
      </x:c>
      <x:c r="M12" s="10" t="n">
        <x:f>MAX(0,J12-I12)</x:f>
        <x:v>0</x:v>
      </x:c>
    </x:row>
    <x:row r="13" ht="16" customHeight="1">
      <x:c r="A13" s="1"/>
      <x:c r="B13" s="1"/>
      <x:c r="C13" s="1" t="str">
        <x:v>Maison Contour</x:v>
      </x:c>
      <x:c r="D13" s="10" t="n">
        <x:v>1</x:v>
      </x:c>
      <x:c r="E13" s="10" t="n">
        <x:f>SUMIF('Revenue and costs'!$D$8:$D$135,C13,'Revenue and costs'!N8:N135)</x:f>
        <x:v>6528.1</x:v>
      </x:c>
      <x:c r="F13" s="10" t="n">
        <x:f>SUMIF('Revenue and costs'!$D$8:$D$135,C13,'Revenue and costs'!O8:O135)+SUMIF('Revenue and costs'!$D$8:$D$135,C13,'Revenue and costs'!P8:P135)+SUMIF('Revenue and costs'!$D$8:$D$135,C13,'Revenue and costs'!Q8:Q135)+SUMIF('Revenue and costs'!$D$8:$D$135,C13,'Revenue and costs'!R8:R135)+SUMIF('Revenue and costs'!$D$8:$D$135,C13,'Revenue and costs'!S8:S135)+SUMIF('Revenue and costs'!$D$8:$D$135,C13,'Revenue and costs'!T8:T135)+SUMIF('Revenue and costs'!$D$8:$D$135,C13,'Revenue and costs'!U8:U135)+SUMIF('Revenue and costs'!$D$8:$D$135,C13,'Revenue and costs'!V8:V135)+SUMIF('Revenue and costs'!$D$8:$D$135,C13,'Revenue and costs'!AE8:AE135)</x:f>
        <x:v>2103.272</x:v>
      </x:c>
      <x:c r="G13" s="10" t="n">
        <x:f>IF('Income statement'!D50=0,1/39,E13/'Income statement'!D50)*('Shared costs'!H21+'Assumptions'!$D$18*'Assumptions'!$D$19*12*(1+'Assumptions'!$D$13)^(1-1)*'Assumptions'!$D$21)</x:f>
        <x:v>447.4970203430073</x:v>
      </x:c>
      <x:c r="H13" s="10" t="n">
        <x:f>IF('Income statement'!D50=0,1/39,E13/'Income statement'!D50)*'Cash and capital'!D18</x:f>
        <x:v>3.206484811858751</x:v>
      </x:c>
      <x:c r="I13" s="10" t="n">
        <x:f>E13-F13-G13-H13</x:f>
        <x:v>3974.124494845134</x:v>
      </x:c>
      <x:c r="J13" s="10" t="n">
        <x:f>0</x:f>
        <x:v>0</x:v>
      </x:c>
      <x:c r="K13" s="10" t="n">
        <x:f>MAX(0,I13-J13)</x:f>
        <x:v>3974.124494845134</x:v>
      </x:c>
      <x:c r="L13" s="10" t="n">
        <x:f>K13*'Assumptions'!$D$12</x:f>
        <x:v>993.5311237112835</x:v>
      </x:c>
      <x:c r="M13" s="10" t="n">
        <x:f>MAX(0,J13-I13)</x:f>
        <x:v>0</x:v>
      </x:c>
    </x:row>
    <x:row r="14" ht="16" customHeight="1">
      <x:c r="A14" s="1"/>
      <x:c r="B14" s="1"/>
      <x:c r="C14" s="1" t="str">
        <x:v>DishLoom US</x:v>
      </x:c>
      <x:c r="D14" s="10" t="n">
        <x:v>1</x:v>
      </x:c>
      <x:c r="E14" s="10" t="n">
        <x:f>SUMIF('Revenue and costs'!$D$8:$D$135,C14,'Revenue and costs'!N8:N135)</x:f>
        <x:v>5499.9</x:v>
      </x:c>
      <x:c r="F14" s="10" t="n">
        <x:f>SUMIF('Revenue and costs'!$D$8:$D$135,C14,'Revenue and costs'!O8:O135)+SUMIF('Revenue and costs'!$D$8:$D$135,C14,'Revenue and costs'!P8:P135)+SUMIF('Revenue and costs'!$D$8:$D$135,C14,'Revenue and costs'!Q8:Q135)+SUMIF('Revenue and costs'!$D$8:$D$135,C14,'Revenue and costs'!R8:R135)+SUMIF('Revenue and costs'!$D$8:$D$135,C14,'Revenue and costs'!S8:S135)+SUMIF('Revenue and costs'!$D$8:$D$135,C14,'Revenue and costs'!T8:T135)+SUMIF('Revenue and costs'!$D$8:$D$135,C14,'Revenue and costs'!U8:U135)+SUMIF('Revenue and costs'!$D$8:$D$135,C14,'Revenue and costs'!V8:V135)+SUMIF('Revenue and costs'!$D$8:$D$135,C14,'Revenue and costs'!AE8:AE135)</x:f>
        <x:v>3563.175</x:v>
      </x:c>
      <x:c r="G14" s="10" t="n">
        <x:f>IF('Income statement'!D50=0,1/39,E14/'Income statement'!D50)*('Shared costs'!H21+'Assumptions'!$D$18*'Assumptions'!$D$19*12*(1+'Assumptions'!$D$13)^(1-1)*'Assumptions'!$D$21)</x:f>
        <x:v>377.0145773172141</x:v>
      </x:c>
      <x:c r="H14" s="10" t="n">
        <x:f>IF('Income statement'!D50=0,1/39,E14/'Income statement'!D50)*'Cash and capital'!D18</x:f>
        <x:v>2.701451542828992</x:v>
      </x:c>
      <x:c r="I14" s="10" t="n">
        <x:f>E14-F14-G14-H14</x:f>
        <x:v>1557.0089711399562</x:v>
      </x:c>
      <x:c r="J14" s="10" t="n">
        <x:f>0</x:f>
        <x:v>0</x:v>
      </x:c>
      <x:c r="K14" s="10" t="n">
        <x:f>MAX(0,I14-J14)</x:f>
        <x:v>1557.0089711399562</x:v>
      </x:c>
      <x:c r="L14" s="10" t="n">
        <x:f>K14*'Assumptions'!$D$12</x:f>
        <x:v>389.25224278498905</x:v>
      </x:c>
      <x:c r="M14" s="10" t="n">
        <x:f>MAX(0,J14-I14)</x:f>
        <x:v>0</x:v>
      </x:c>
    </x:row>
    <x:row r="15" ht="16" customHeight="1">
      <x:c r="A15" s="1"/>
      <x:c r="B15" s="1"/>
      <x:c r="C15" s="1" t="str">
        <x:v>Is Makes Travel Easy</x:v>
      </x:c>
      <x:c r="D15" s="10" t="n">
        <x:v>1</x:v>
      </x:c>
      <x:c r="E15" s="10" t="n">
        <x:f>SUMIF('Revenue and costs'!$D$8:$D$135,C15,'Revenue and costs'!N8:N135)</x:f>
        <x:v>14413.230000000001</x:v>
      </x:c>
      <x:c r="F15" s="10" t="n">
        <x:f>SUMIF('Revenue and costs'!$D$8:$D$135,C15,'Revenue and costs'!O8:O135)+SUMIF('Revenue and costs'!$D$8:$D$135,C15,'Revenue and costs'!P8:P135)+SUMIF('Revenue and costs'!$D$8:$D$135,C15,'Revenue and costs'!Q8:Q135)+SUMIF('Revenue and costs'!$D$8:$D$135,C15,'Revenue and costs'!R8:R135)+SUMIF('Revenue and costs'!$D$8:$D$135,C15,'Revenue and costs'!S8:S135)+SUMIF('Revenue and costs'!$D$8:$D$135,C15,'Revenue and costs'!T8:T135)+SUMIF('Revenue and costs'!$D$8:$D$135,C15,'Revenue and costs'!U8:U135)+SUMIF('Revenue and costs'!$D$8:$D$135,C15,'Revenue and costs'!V8:V135)+SUMIF('Revenue and costs'!$D$8:$D$135,C15,'Revenue and costs'!AE8:AE135)</x:f>
        <x:v>7868.9049</x:v>
      </x:c>
      <x:c r="G15" s="10" t="n">
        <x:f>IF('Income statement'!D50=0,1/39,E15/'Income statement'!D50)*('Shared costs'!H21+'Assumptions'!$D$18*'Assumptions'!$D$19*12*(1+'Assumptions'!$D$13)^(1-1)*'Assumptions'!$D$21)</x:f>
        <x:v>988.0175669059057</x:v>
      </x:c>
      <x:c r="H15" s="10" t="n">
        <x:f>IF('Income statement'!D50=0,1/39,E15/'Income statement'!D50)*'Cash and capital'!D18</x:f>
        <x:v>7.07951824954074</x:v>
      </x:c>
      <x:c r="I15" s="10" t="n">
        <x:f>E15-F15-G15-H15</x:f>
        <x:v>5549.228014844555</x:v>
      </x:c>
      <x:c r="J15" s="10" t="n">
        <x:f>0</x:f>
        <x:v>0</x:v>
      </x:c>
      <x:c r="K15" s="10" t="n">
        <x:f>MAX(0,I15-J15)</x:f>
        <x:v>5549.228014844555</x:v>
      </x:c>
      <x:c r="L15" s="10" t="n">
        <x:f>K15*'Assumptions'!$D$12</x:f>
        <x:v>1387.3070037111388</x:v>
      </x:c>
      <x:c r="M15" s="10" t="n">
        <x:f>MAX(0,J15-I15)</x:f>
        <x:v>0</x:v>
      </x:c>
    </x:row>
    <x:row r="16" ht="16" customHeight="1">
      <x:c r="A16" s="1"/>
      <x:c r="B16" s="1"/>
      <x:c r="C16" s="1" t="str">
        <x:v>Turbo Tax - Made Easy!</x:v>
      </x:c>
      <x:c r="D16" s="10" t="n">
        <x:v>1</x:v>
      </x:c>
      <x:c r="E16" s="10" t="n">
        <x:f>SUMIF('Revenue and costs'!$D$8:$D$135,C16,'Revenue and costs'!N8:N135)</x:f>
        <x:v>47190.5</x:v>
      </x:c>
      <x:c r="F16" s="10" t="n">
        <x:f>SUMIF('Revenue and costs'!$D$8:$D$135,C16,'Revenue and costs'!O8:O135)+SUMIF('Revenue and costs'!$D$8:$D$135,C16,'Revenue and costs'!P8:P135)+SUMIF('Revenue and costs'!$D$8:$D$135,C16,'Revenue and costs'!Q8:Q135)+SUMIF('Revenue and costs'!$D$8:$D$135,C16,'Revenue and costs'!R8:R135)+SUMIF('Revenue and costs'!$D$8:$D$135,C16,'Revenue and costs'!S8:S135)+SUMIF('Revenue and costs'!$D$8:$D$135,C16,'Revenue and costs'!T8:T135)+SUMIF('Revenue and costs'!$D$8:$D$135,C16,'Revenue and costs'!U8:U135)+SUMIF('Revenue and costs'!$D$8:$D$135,C16,'Revenue and costs'!V8:V135)+SUMIF('Revenue and costs'!$D$8:$D$135,C16,'Revenue and costs'!AE8:AE135)</x:f>
        <x:v>11037.875</x:v>
      </x:c>
      <x:c r="G16" s="10" t="n">
        <x:f>IF('Income statement'!D50=0,1/39,E16/'Income statement'!D50)*('Shared costs'!H21+'Assumptions'!$D$18*'Assumptions'!$D$19*12*(1+'Assumptions'!$D$13)^(1-1)*'Assumptions'!$D$21)</x:f>
        <x:v>3234.878163400788</x:v>
      </x:c>
      <x:c r="H16" s="10" t="n">
        <x:f>IF('Income statement'!D50=0,1/39,E16/'Income statement'!D50)*'Cash and capital'!D18</x:f>
        <x:v>23.179121262545056</x:v>
      </x:c>
      <x:c r="I16" s="10" t="n">
        <x:f>E16-F16-G16-H16</x:f>
        <x:v>32894.56771533666</x:v>
      </x:c>
      <x:c r="J16" s="10" t="n">
        <x:f>0</x:f>
        <x:v>0</x:v>
      </x:c>
      <x:c r="K16" s="10" t="n">
        <x:f>MAX(0,I16-J16)</x:f>
        <x:v>32894.56771533666</x:v>
      </x:c>
      <x:c r="L16" s="10" t="n">
        <x:f>K16*'Assumptions'!$D$12</x:f>
        <x:v>8223.641928834166</x:v>
      </x:c>
      <x:c r="M16" s="10" t="n">
        <x:f>MAX(0,J16-I16)</x:f>
        <x:v>0</x:v>
      </x:c>
    </x:row>
    <x:row r="17" ht="16" customHeight="1">
      <x:c r="A17" s="1"/>
      <x:c r="B17" s="1"/>
      <x:c r="C17" s="1" t="str">
        <x:v>LavaLearning adult</x:v>
      </x:c>
      <x:c r="D17" s="10" t="n">
        <x:v>1</x:v>
      </x:c>
      <x:c r="E17" s="10" t="n">
        <x:f>SUMIF('Revenue and costs'!$D$8:$D$135,C17,'Revenue and costs'!N8:N135)</x:f>
        <x:v>21475.8</x:v>
      </x:c>
      <x:c r="F17" s="10" t="n">
        <x:f>SUMIF('Revenue and costs'!$D$8:$D$135,C17,'Revenue and costs'!O8:O135)+SUMIF('Revenue and costs'!$D$8:$D$135,C17,'Revenue and costs'!P8:P135)+SUMIF('Revenue and costs'!$D$8:$D$135,C17,'Revenue and costs'!Q8:Q135)+SUMIF('Revenue and costs'!$D$8:$D$135,C17,'Revenue and costs'!R8:R135)+SUMIF('Revenue and costs'!$D$8:$D$135,C17,'Revenue and costs'!S8:S135)+SUMIF('Revenue and costs'!$D$8:$D$135,C17,'Revenue and costs'!T8:T135)+SUMIF('Revenue and costs'!$D$8:$D$135,C17,'Revenue and costs'!U8:U135)+SUMIF('Revenue and costs'!$D$8:$D$135,C17,'Revenue and costs'!V8:V135)+SUMIF('Revenue and costs'!$D$8:$D$135,C17,'Revenue and costs'!AE8:AE135)</x:f>
        <x:v>7358.85</x:v>
      </x:c>
      <x:c r="G17" s="10" t="n">
        <x:f>IF('Income statement'!D50=0,1/39,E17/'Income statement'!D50)*('Shared costs'!H21+'Assumptions'!$D$18*'Assumptions'!$D$19*12*(1+'Assumptions'!$D$13)^(1-1)*'Assumptions'!$D$21)</x:f>
        <x:v>1472.1521590481696</x:v>
      </x:c>
      <x:c r="H17" s="10" t="n">
        <x:f>IF('Income statement'!D50=0,1/39,E17/'Income statement'!D50)*'Cash and capital'!D18</x:f>
        <x:v>10.548525071998922</x:v>
      </x:c>
      <x:c r="I17" s="10" t="n">
        <x:f>E17-F17-G17-H17</x:f>
        <x:v>12634.24931587983</x:v>
      </x:c>
      <x:c r="J17" s="10" t="n">
        <x:f>0</x:f>
        <x:v>0</x:v>
      </x:c>
      <x:c r="K17" s="10" t="n">
        <x:f>MAX(0,I17-J17)</x:f>
        <x:v>12634.24931587983</x:v>
      </x:c>
      <x:c r="L17" s="10" t="n">
        <x:f>K17*'Assumptions'!$D$12</x:f>
        <x:v>3158.5623289699574</x:v>
      </x:c>
      <x:c r="M17" s="10" t="n">
        <x:f>MAX(0,J17-I17)</x:f>
        <x:v>0</x:v>
      </x:c>
    </x:row>
    <x:row r="18" ht="16" customHeight="1">
      <x:c r="A18" s="1"/>
      <x:c r="B18" s="1"/>
      <x:c r="C18" s="1" t="str">
        <x:v>LavaLearning Model Life</x:v>
      </x:c>
      <x:c r="D18" s="10" t="n">
        <x:v>1</x:v>
      </x:c>
      <x:c r="E18" s="10" t="n">
        <x:f>SUMIF('Revenue and costs'!$D$8:$D$135,C18,'Revenue and costs'!N8:N135)</x:f>
        <x:v>0</x:v>
      </x:c>
      <x:c r="F18" s="10" t="n">
        <x:f>SUMIF('Revenue and costs'!$D$8:$D$135,C18,'Revenue and costs'!O8:O135)+SUMIF('Revenue and costs'!$D$8:$D$135,C18,'Revenue and costs'!P8:P135)+SUMIF('Revenue and costs'!$D$8:$D$135,C18,'Revenue and costs'!Q8:Q135)+SUMIF('Revenue and costs'!$D$8:$D$135,C18,'Revenue and costs'!R8:R135)+SUMIF('Revenue and costs'!$D$8:$D$135,C18,'Revenue and costs'!S8:S135)+SUMIF('Revenue and costs'!$D$8:$D$135,C18,'Revenue and costs'!T8:T135)+SUMIF('Revenue and costs'!$D$8:$D$135,C18,'Revenue and costs'!U8:U135)+SUMIF('Revenue and costs'!$D$8:$D$135,C18,'Revenue and costs'!V8:V135)+SUMIF('Revenue and costs'!$D$8:$D$135,C18,'Revenue and costs'!AE8:AE135)</x:f>
        <x:v>0</x:v>
      </x:c>
      <x:c r="G18" s="10" t="n">
        <x:f>IF('Income statement'!D50=0,1/39,E18/'Income statement'!D50)*('Shared costs'!H21+'Assumptions'!$D$18*'Assumptions'!$D$19*12*(1+'Assumptions'!$D$13)^(1-1)*'Assumptions'!$D$21)</x:f>
        <x:v>0</x:v>
      </x:c>
      <x:c r="H18" s="10" t="n">
        <x:f>IF('Income statement'!D50=0,1/39,E18/'Income statement'!D50)*'Cash and capital'!D18</x:f>
        <x:v>0</x:v>
      </x:c>
      <x:c r="I18" s="10" t="n">
        <x:f>E18-F18-G18-H18</x:f>
        <x:v>0</x:v>
      </x:c>
      <x:c r="J18" s="10" t="n">
        <x:f>0</x:f>
        <x:v>0</x:v>
      </x:c>
      <x:c r="K18" s="10" t="n">
        <x:f>MAX(0,I18-J18)</x:f>
        <x:v>0</x:v>
      </x:c>
      <x:c r="L18" s="10" t="n">
        <x:f>K18*'Assumptions'!$D$12</x:f>
        <x:v>0</x:v>
      </x:c>
      <x:c r="M18" s="10" t="n">
        <x:f>MAX(0,J18-I18)</x:f>
        <x:v>0</x:v>
      </x:c>
    </x:row>
    <x:row r="19" ht="16" customHeight="1">
      <x:c r="A19" s="1"/>
      <x:c r="B19" s="1"/>
      <x:c r="C19" s="1" t="str">
        <x:v>LavaLearning Kids</x:v>
      </x:c>
      <x:c r="D19" s="10" t="n">
        <x:v>1</x:v>
      </x:c>
      <x:c r="E19" s="10" t="n">
        <x:f>SUMIF('Revenue and costs'!$D$8:$D$135,C19,'Revenue and costs'!N8:N135)</x:f>
        <x:v>5529</x:v>
      </x:c>
      <x:c r="F19" s="10" t="n">
        <x:f>SUMIF('Revenue and costs'!$D$8:$D$135,C19,'Revenue and costs'!O8:O135)+SUMIF('Revenue and costs'!$D$8:$D$135,C19,'Revenue and costs'!P8:P135)+SUMIF('Revenue and costs'!$D$8:$D$135,C19,'Revenue and costs'!Q8:Q135)+SUMIF('Revenue and costs'!$D$8:$D$135,C19,'Revenue and costs'!R8:R135)+SUMIF('Revenue and costs'!$D$8:$D$135,C19,'Revenue and costs'!S8:S135)+SUMIF('Revenue and costs'!$D$8:$D$135,C19,'Revenue and costs'!T8:T135)+SUMIF('Revenue and costs'!$D$8:$D$135,C19,'Revenue and costs'!U8:U135)+SUMIF('Revenue and costs'!$D$8:$D$135,C19,'Revenue and costs'!V8:V135)+SUMIF('Revenue and costs'!$D$8:$D$135,C19,'Revenue and costs'!AE8:AE135)</x:f>
        <x:v>3246.75</x:v>
      </x:c>
      <x:c r="G19" s="10" t="n">
        <x:f>IF('Income statement'!D50=0,1/39,E19/'Income statement'!D50)*('Shared costs'!H21+'Assumptions'!$D$18*'Assumptions'!$D$19*12*(1+'Assumptions'!$D$13)^(1-1)*'Assumptions'!$D$21)</x:f>
        <x:v>379.0093634405857</x:v>
      </x:c>
      <x:c r="H19" s="10" t="n">
        <x:f>IF('Income statement'!D50=0,1/39,E19/'Income statement'!D50)*'Cash and capital'!D18</x:f>
        <x:v>2.715744937235495</x:v>
      </x:c>
      <x:c r="I19" s="10" t="n">
        <x:f>E19-F19-G19-H19</x:f>
        <x:v>1900.5248916221788</x:v>
      </x:c>
      <x:c r="J19" s="10" t="n">
        <x:f>0</x:f>
        <x:v>0</x:v>
      </x:c>
      <x:c r="K19" s="10" t="n">
        <x:f>MAX(0,I19-J19)</x:f>
        <x:v>1900.5248916221788</x:v>
      </x:c>
      <x:c r="L19" s="10" t="n">
        <x:f>K19*'Assumptions'!$D$12</x:f>
        <x:v>475.1312229055447</x:v>
      </x:c>
      <x:c r="M19" s="10" t="n">
        <x:f>MAX(0,J19-I19)</x:f>
        <x:v>0</x:v>
      </x:c>
    </x:row>
    <x:row r="20" ht="16" customHeight="1">
      <x:c r="A20" s="1"/>
      <x:c r="B20" s="1"/>
      <x:c r="C20" s="1" t="str">
        <x:v>VraiSkill adult</x:v>
      </x:c>
      <x:c r="D20" s="10" t="n">
        <x:v>1</x:v>
      </x:c>
      <x:c r="E20" s="10" t="n">
        <x:f>SUMIF('Revenue and costs'!$D$8:$D$135,C20,'Revenue and costs'!N8:N135)</x:f>
        <x:v>15705.27</x:v>
      </x:c>
      <x:c r="F20" s="10" t="n">
        <x:f>SUMIF('Revenue and costs'!$D$8:$D$135,C20,'Revenue and costs'!O8:O135)+SUMIF('Revenue and costs'!$D$8:$D$135,C20,'Revenue and costs'!P8:P135)+SUMIF('Revenue and costs'!$D$8:$D$135,C20,'Revenue and costs'!Q8:Q135)+SUMIF('Revenue and costs'!$D$8:$D$135,C20,'Revenue and costs'!R8:R135)+SUMIF('Revenue and costs'!$D$8:$D$135,C20,'Revenue and costs'!S8:S135)+SUMIF('Revenue and costs'!$D$8:$D$135,C20,'Revenue and costs'!T8:T135)+SUMIF('Revenue and costs'!$D$8:$D$135,C20,'Revenue and costs'!U8:U135)+SUMIF('Revenue and costs'!$D$8:$D$135,C20,'Revenue and costs'!V8:V135)+SUMIF('Revenue and costs'!$D$8:$D$135,C20,'Revenue and costs'!AE8:AE135)</x:f>
        <x:v>11754.802500000002</x:v>
      </x:c>
      <x:c r="G20" s="10" t="n">
        <x:f>IF('Income statement'!D50=0,1/39,E20/'Income statement'!D50)*('Shared costs'!H21+'Assumptions'!$D$18*'Assumptions'!$D$19*12*(1+'Assumptions'!$D$13)^(1-1)*'Assumptions'!$D$21)</x:f>
        <x:v>1076.5860707836005</x:v>
      </x:c>
      <x:c r="H20" s="10" t="n">
        <x:f>IF('Income statement'!D50=0,1/39,E20/'Income statement'!D50)*'Cash and capital'!D18</x:f>
        <x:v>7.714144961189456</x:v>
      </x:c>
      <x:c r="I20" s="10" t="n">
        <x:f>E20-F20-G20-H20</x:f>
        <x:v>2866.167284255209</x:v>
      </x:c>
      <x:c r="J20" s="10" t="n">
        <x:f>0</x:f>
        <x:v>0</x:v>
      </x:c>
      <x:c r="K20" s="10" t="n">
        <x:f>MAX(0,I20-J20)</x:f>
        <x:v>2866.167284255209</x:v>
      </x:c>
      <x:c r="L20" s="10" t="n">
        <x:f>K20*'Assumptions'!$D$12</x:f>
        <x:v>716.5418210638022</x:v>
      </x:c>
      <x:c r="M20" s="10" t="n">
        <x:f>MAX(0,J20-I20)</x:f>
        <x:v>0</x:v>
      </x:c>
    </x:row>
    <x:row r="21" ht="16" customHeight="1">
      <x:c r="A21" s="1"/>
      <x:c r="B21" s="1"/>
      <x:c r="C21" s="1" t="str">
        <x:v>VraiSkill teen</x:v>
      </x:c>
      <x:c r="D21" s="10" t="n">
        <x:v>1</x:v>
      </x:c>
      <x:c r="E21" s="10" t="n">
        <x:f>SUMIF('Revenue and costs'!$D$8:$D$135,C21,'Revenue and costs'!N8:N135)</x:f>
        <x:v>4656</x:v>
      </x:c>
      <x:c r="F21" s="10" t="n">
        <x:f>SUMIF('Revenue and costs'!$D$8:$D$135,C21,'Revenue and costs'!O8:O135)+SUMIF('Revenue and costs'!$D$8:$D$135,C21,'Revenue and costs'!P8:P135)+SUMIF('Revenue and costs'!$D$8:$D$135,C21,'Revenue and costs'!Q8:Q135)+SUMIF('Revenue and costs'!$D$8:$D$135,C21,'Revenue and costs'!R8:R135)+SUMIF('Revenue and costs'!$D$8:$D$135,C21,'Revenue and costs'!S8:S135)+SUMIF('Revenue and costs'!$D$8:$D$135,C21,'Revenue and costs'!T8:T135)+SUMIF('Revenue and costs'!$D$8:$D$135,C21,'Revenue and costs'!U8:U135)+SUMIF('Revenue and costs'!$D$8:$D$135,C21,'Revenue and costs'!V8:V135)+SUMIF('Revenue and costs'!$D$8:$D$135,C21,'Revenue and costs'!AE8:AE135)</x:f>
        <x:v>2322</x:v>
      </x:c>
      <x:c r="G21" s="10" t="n">
        <x:f>IF('Income statement'!D50=0,1/39,E21/'Income statement'!D50)*('Shared costs'!H21+'Assumptions'!$D$18*'Assumptions'!$D$19*12*(1+'Assumptions'!$D$13)^(1-1)*'Assumptions'!$D$21)</x:f>
        <x:v>319.16577973944055</x:v>
      </x:c>
      <x:c r="H21" s="10" t="n">
        <x:f>IF('Income statement'!D50=0,1/39,E21/'Income statement'!D50)*'Cash and capital'!D18</x:f>
        <x:v>2.2869431050404163</x:v>
      </x:c>
      <x:c r="I21" s="10" t="n">
        <x:f>E21-F21-G21-H21</x:f>
        <x:v>2012.5472771555192</x:v>
      </x:c>
      <x:c r="J21" s="10" t="n">
        <x:f>0</x:f>
        <x:v>0</x:v>
      </x:c>
      <x:c r="K21" s="10" t="n">
        <x:f>MAX(0,I21-J21)</x:f>
        <x:v>2012.5472771555192</x:v>
      </x:c>
      <x:c r="L21" s="10" t="n">
        <x:f>K21*'Assumptions'!$D$12</x:f>
        <x:v>503.1368192888798</x:v>
      </x:c>
      <x:c r="M21" s="10" t="n">
        <x:f>MAX(0,J21-I21)</x:f>
        <x:v>0</x:v>
      </x:c>
    </x:row>
    <x:row r="22" ht="16" customHeight="1">
      <x:c r="A22" s="1"/>
      <x:c r="B22" s="1"/>
      <x:c r="C22" s="1" t="str">
        <x:v>VraiSkill Model Life</x:v>
      </x:c>
      <x:c r="D22" s="10" t="n">
        <x:v>1</x:v>
      </x:c>
      <x:c r="E22" s="10" t="n">
        <x:f>SUMIF('Revenue and costs'!$D$8:$D$135,C22,'Revenue and costs'!N8:N135)</x:f>
        <x:v>0</x:v>
      </x:c>
      <x:c r="F22" s="10" t="n">
        <x:f>SUMIF('Revenue and costs'!$D$8:$D$135,C22,'Revenue and costs'!O8:O135)+SUMIF('Revenue and costs'!$D$8:$D$135,C22,'Revenue and costs'!P8:P135)+SUMIF('Revenue and costs'!$D$8:$D$135,C22,'Revenue and costs'!Q8:Q135)+SUMIF('Revenue and costs'!$D$8:$D$135,C22,'Revenue and costs'!R8:R135)+SUMIF('Revenue and costs'!$D$8:$D$135,C22,'Revenue and costs'!S8:S135)+SUMIF('Revenue and costs'!$D$8:$D$135,C22,'Revenue and costs'!T8:T135)+SUMIF('Revenue and costs'!$D$8:$D$135,C22,'Revenue and costs'!U8:U135)+SUMIF('Revenue and costs'!$D$8:$D$135,C22,'Revenue and costs'!V8:V135)+SUMIF('Revenue and costs'!$D$8:$D$135,C22,'Revenue and costs'!AE8:AE135)</x:f>
        <x:v>0</x:v>
      </x:c>
      <x:c r="G22" s="10" t="n">
        <x:f>IF('Income statement'!D50=0,1/39,E22/'Income statement'!D50)*('Shared costs'!H21+'Assumptions'!$D$18*'Assumptions'!$D$19*12*(1+'Assumptions'!$D$13)^(1-1)*'Assumptions'!$D$21)</x:f>
        <x:v>0</x:v>
      </x:c>
      <x:c r="H22" s="10" t="n">
        <x:f>IF('Income statement'!D50=0,1/39,E22/'Income statement'!D50)*'Cash and capital'!D18</x:f>
        <x:v>0</x:v>
      </x:c>
      <x:c r="I22" s="10" t="n">
        <x:f>E22-F22-G22-H22</x:f>
        <x:v>0</x:v>
      </x:c>
      <x:c r="J22" s="10" t="n">
        <x:f>0</x:f>
        <x:v>0</x:v>
      </x:c>
      <x:c r="K22" s="10" t="n">
        <x:f>MAX(0,I22-J22)</x:f>
        <x:v>0</x:v>
      </x:c>
      <x:c r="L22" s="10" t="n">
        <x:f>K22*'Assumptions'!$D$12</x:f>
        <x:v>0</x:v>
      </x:c>
      <x:c r="M22" s="10" t="n">
        <x:f>MAX(0,J22-I22)</x:f>
        <x:v>0</x:v>
      </x:c>
    </x:row>
    <x:row r="23" ht="16" customHeight="1">
      <x:c r="A23" s="1"/>
      <x:c r="B23" s="1"/>
      <x:c r="C23" s="1" t="str">
        <x:v>Model Life</x:v>
      </x:c>
      <x:c r="D23" s="10" t="n">
        <x:v>1</x:v>
      </x:c>
      <x:c r="E23" s="10" t="n">
        <x:f>SUMIF('Revenue and costs'!$D$8:$D$135,C23,'Revenue and costs'!N8:N135)</x:f>
        <x:v>15830.4</x:v>
      </x:c>
      <x:c r="F23" s="10" t="n">
        <x:f>SUMIF('Revenue and costs'!$D$8:$D$135,C23,'Revenue and costs'!O8:O135)+SUMIF('Revenue and costs'!$D$8:$D$135,C23,'Revenue and costs'!P8:P135)+SUMIF('Revenue and costs'!$D$8:$D$135,C23,'Revenue and costs'!Q8:Q135)+SUMIF('Revenue and costs'!$D$8:$D$135,C23,'Revenue and costs'!R8:R135)+SUMIF('Revenue and costs'!$D$8:$D$135,C23,'Revenue and costs'!S8:S135)+SUMIF('Revenue and costs'!$D$8:$D$135,C23,'Revenue and costs'!T8:T135)+SUMIF('Revenue and costs'!$D$8:$D$135,C23,'Revenue and costs'!U8:U135)+SUMIF('Revenue and costs'!$D$8:$D$135,C23,'Revenue and costs'!V8:V135)+SUMIF('Revenue and costs'!$D$8:$D$135,C23,'Revenue and costs'!AE8:AE135)</x:f>
        <x:v>5050.8</x:v>
      </x:c>
      <x:c r="G23" s="10" t="n">
        <x:f>IF('Income statement'!D50=0,1/39,E23/'Income statement'!D50)*('Shared costs'!H21+'Assumptions'!$D$18*'Assumptions'!$D$19*12*(1+'Assumptions'!$D$13)^(1-1)*'Assumptions'!$D$21)</x:f>
        <x:v>1085.163651114098</x:v>
      </x:c>
      <x:c r="H23" s="10" t="n">
        <x:f>IF('Income statement'!D50=0,1/39,E23/'Income statement'!D50)*'Cash and capital'!D18</x:f>
        <x:v>7.775606557137417</x:v>
      </x:c>
      <x:c r="I23" s="10" t="n">
        <x:f>E23-F23-G23-H23</x:f>
        <x:v>9686.660742328762</x:v>
      </x:c>
      <x:c r="J23" s="10" t="n">
        <x:f>0</x:f>
        <x:v>0</x:v>
      </x:c>
      <x:c r="K23" s="10" t="n">
        <x:f>MAX(0,I23-J23)</x:f>
        <x:v>9686.660742328762</x:v>
      </x:c>
      <x:c r="L23" s="10" t="n">
        <x:f>K23*'Assumptions'!$D$12</x:f>
        <x:v>2421.6651855821906</x:v>
      </x:c>
      <x:c r="M23" s="10" t="n">
        <x:f>MAX(0,J23-I23)</x:f>
        <x:v>0</x:v>
      </x:c>
    </x:row>
    <x:row r="24" ht="16" customHeight="1">
      <x:c r="A24" s="1"/>
      <x:c r="B24" s="1"/>
      <x:c r="C24" s="1" t="str">
        <x:v>S’otality cleaning</x:v>
      </x:c>
      <x:c r="D24" s="10" t="n">
        <x:v>1</x:v>
      </x:c>
      <x:c r="E24" s="10" t="n">
        <x:f>SUMIF('Revenue and costs'!$D$8:$D$135,C24,'Revenue and costs'!N8:N135)</x:f>
        <x:v>101384.4</x:v>
      </x:c>
      <x:c r="F24" s="10" t="n">
        <x:f>SUMIF('Revenue and costs'!$D$8:$D$135,C24,'Revenue and costs'!O8:O135)+SUMIF('Revenue and costs'!$D$8:$D$135,C24,'Revenue and costs'!P8:P135)+SUMIF('Revenue and costs'!$D$8:$D$135,C24,'Revenue and costs'!Q8:Q135)+SUMIF('Revenue and costs'!$D$8:$D$135,C24,'Revenue and costs'!R8:R135)+SUMIF('Revenue and costs'!$D$8:$D$135,C24,'Revenue and costs'!S8:S135)+SUMIF('Revenue and costs'!$D$8:$D$135,C24,'Revenue and costs'!T8:T135)+SUMIF('Revenue and costs'!$D$8:$D$135,C24,'Revenue and costs'!U8:U135)+SUMIF('Revenue and costs'!$D$8:$D$135,C24,'Revenue and costs'!V8:V135)+SUMIF('Revenue and costs'!$D$8:$D$135,C24,'Revenue and costs'!AE8:AE135)</x:f>
        <x:v>86238.456</x:v>
      </x:c>
      <x:c r="G24" s="10" t="n">
        <x:f>IF('Income statement'!D50=0,1/39,E24/'Income statement'!D50)*('Shared costs'!H21+'Assumptions'!$D$18*'Assumptions'!$D$19*12*(1+'Assumptions'!$D$13)^(1-1)*'Assumptions'!$D$21)</x:f>
        <x:v>6949.834853826318</x:v>
      </x:c>
      <x:c r="H24" s="10" t="n">
        <x:f>IF('Income statement'!D50=0,1/39,E24/'Income statement'!D50)*'Cash and capital'!D18</x:f>
        <x:v>49.798186112255074</x:v>
      </x:c>
      <x:c r="I24" s="10" t="n">
        <x:f>E24-F24-G24-H24</x:f>
        <x:v>8146.310960061415</x:v>
      </x:c>
      <x:c r="J24" s="10" t="n">
        <x:f>0</x:f>
        <x:v>0</x:v>
      </x:c>
      <x:c r="K24" s="10" t="n">
        <x:f>MAX(0,I24-J24)</x:f>
        <x:v>8146.310960061415</x:v>
      </x:c>
      <x:c r="L24" s="10" t="n">
        <x:f>K24*'Assumptions'!$D$12</x:f>
        <x:v>2036.5777400153538</x:v>
      </x:c>
      <x:c r="M24" s="10" t="n">
        <x:f>MAX(0,J24-I24)</x:f>
        <x:v>0</x:v>
      </x:c>
    </x:row>
    <x:row r="25" ht="16" customHeight="1">
      <x:c r="A25" s="1"/>
      <x:c r="B25" s="1"/>
      <x:c r="C25" s="1" t="str">
        <x:v>S’otality laundry</x:v>
      </x:c>
      <x:c r="D25" s="10" t="n">
        <x:v>1</x:v>
      </x:c>
      <x:c r="E25" s="10" t="n">
        <x:f>SUMIF('Revenue and costs'!$D$8:$D$135,C25,'Revenue and costs'!N8:N135)</x:f>
        <x:v>15714</x:v>
      </x:c>
      <x:c r="F25" s="10" t="n">
        <x:f>SUMIF('Revenue and costs'!$D$8:$D$135,C25,'Revenue and costs'!O8:O135)+SUMIF('Revenue and costs'!$D$8:$D$135,C25,'Revenue and costs'!P8:P135)+SUMIF('Revenue and costs'!$D$8:$D$135,C25,'Revenue and costs'!Q8:Q135)+SUMIF('Revenue and costs'!$D$8:$D$135,C25,'Revenue and costs'!R8:R135)+SUMIF('Revenue and costs'!$D$8:$D$135,C25,'Revenue and costs'!S8:S135)+SUMIF('Revenue and costs'!$D$8:$D$135,C25,'Revenue and costs'!T8:T135)+SUMIF('Revenue and costs'!$D$8:$D$135,C25,'Revenue and costs'!U8:U135)+SUMIF('Revenue and costs'!$D$8:$D$135,C25,'Revenue and costs'!V8:V135)+SUMIF('Revenue and costs'!$D$8:$D$135,C25,'Revenue and costs'!AE8:AE135)</x:f>
        <x:v>14274.359999999999</x:v>
      </x:c>
      <x:c r="G25" s="10" t="n">
        <x:f>IF('Income statement'!D50=0,1/39,E25/'Income statement'!D50)*('Shared costs'!H21+'Assumptions'!$D$18*'Assumptions'!$D$19*12*(1+'Assumptions'!$D$13)^(1-1)*'Assumptions'!$D$21)</x:f>
        <x:v>1077.184506620612</x:v>
      </x:c>
      <x:c r="H25" s="10" t="n">
        <x:f>IF('Income statement'!D50=0,1/39,E25/'Income statement'!D50)*'Cash and capital'!D18</x:f>
        <x:v>7.718432979511407</x:v>
      </x:c>
      <x:c r="I25" s="10" t="n">
        <x:f>E25-F25-G25-H25</x:f>
        <x:v>354.73706039987786</x:v>
      </x:c>
      <x:c r="J25" s="10" t="n">
        <x:f>0</x:f>
        <x:v>0</x:v>
      </x:c>
      <x:c r="K25" s="10" t="n">
        <x:f>MAX(0,I25-J25)</x:f>
        <x:v>354.73706039987786</x:v>
      </x:c>
      <x:c r="L25" s="10" t="n">
        <x:f>K25*'Assumptions'!$D$12</x:f>
        <x:v>88.68426509996947</x:v>
      </x:c>
      <x:c r="M25" s="10" t="n">
        <x:f>MAX(0,J25-I25)</x:f>
        <x:v>0</x:v>
      </x:c>
    </x:row>
    <x:row r="26" ht="16" customHeight="1">
      <x:c r="A26" s="1"/>
      <x:c r="B26" s="1"/>
      <x:c r="C26" s="1" t="str">
        <x:v>S’otality Personal Chef</x:v>
      </x:c>
      <x:c r="D26" s="10" t="n">
        <x:v>1</x:v>
      </x:c>
      <x:c r="E26" s="10" t="n">
        <x:f>SUMIF('Revenue and costs'!$D$8:$D$135,C26,'Revenue and costs'!N8:N135)</x:f>
        <x:v>18915</x:v>
      </x:c>
      <x:c r="F26" s="10" t="n">
        <x:f>SUMIF('Revenue and costs'!$D$8:$D$135,C26,'Revenue and costs'!O8:O135)+SUMIF('Revenue and costs'!$D$8:$D$135,C26,'Revenue and costs'!P8:P135)+SUMIF('Revenue and costs'!$D$8:$D$135,C26,'Revenue and costs'!Q8:Q135)+SUMIF('Revenue and costs'!$D$8:$D$135,C26,'Revenue and costs'!R8:R135)+SUMIF('Revenue and costs'!$D$8:$D$135,C26,'Revenue and costs'!S8:S135)+SUMIF('Revenue and costs'!$D$8:$D$135,C26,'Revenue and costs'!T8:T135)+SUMIF('Revenue and costs'!$D$8:$D$135,C26,'Revenue and costs'!U8:U135)+SUMIF('Revenue and costs'!$D$8:$D$135,C26,'Revenue and costs'!V8:V135)+SUMIF('Revenue and costs'!$D$8:$D$135,C26,'Revenue and costs'!AE8:AE135)</x:f>
        <x:v>14861.1</x:v>
      </x:c>
      <x:c r="G26" s="10" t="n">
        <x:f>IF('Income statement'!D50=0,1/39,E26/'Income statement'!D50)*('Shared costs'!H21+'Assumptions'!$D$18*'Assumptions'!$D$19*12*(1+'Assumptions'!$D$13)^(1-1)*'Assumptions'!$D$21)</x:f>
        <x:v>1296.6109801914772</x:v>
      </x:c>
      <x:c r="H26" s="10" t="n">
        <x:f>IF('Income statement'!D50=0,1/39,E26/'Income statement'!D50)*'Cash and capital'!D18</x:f>
        <x:v>9.290706364226693</x:v>
      </x:c>
      <x:c r="I26" s="10" t="n">
        <x:f>E26-F26-G26-H26</x:f>
        <x:v>2747.998313444296</x:v>
      </x:c>
      <x:c r="J26" s="10" t="n">
        <x:f>0</x:f>
        <x:v>0</x:v>
      </x:c>
      <x:c r="K26" s="10" t="n">
        <x:f>MAX(0,I26-J26)</x:f>
        <x:v>2747.998313444296</x:v>
      </x:c>
      <x:c r="L26" s="10" t="n">
        <x:f>K26*'Assumptions'!$D$12</x:f>
        <x:v>686.999578361074</x:v>
      </x:c>
      <x:c r="M26" s="10" t="n">
        <x:f>MAX(0,J26-I26)</x:f>
        <x:v>0</x:v>
      </x:c>
    </x:row>
    <x:row r="27" ht="16" customHeight="1">
      <x:c r="A27" s="1"/>
      <x:c r="B27" s="1"/>
      <x:c r="C27" s="1" t="str">
        <x:v>S’otality interiors</x:v>
      </x:c>
      <x:c r="D27" s="10" t="n">
        <x:v>1</x:v>
      </x:c>
      <x:c r="E27" s="10" t="n">
        <x:f>SUMIF('Revenue and costs'!$D$8:$D$135,C27,'Revenue and costs'!N8:N135)</x:f>
        <x:v>35356.5</x:v>
      </x:c>
      <x:c r="F27" s="10" t="n">
        <x:f>SUMIF('Revenue and costs'!$D$8:$D$135,C27,'Revenue and costs'!O8:O135)+SUMIF('Revenue and costs'!$D$8:$D$135,C27,'Revenue and costs'!P8:P135)+SUMIF('Revenue and costs'!$D$8:$D$135,C27,'Revenue and costs'!Q8:Q135)+SUMIF('Revenue and costs'!$D$8:$D$135,C27,'Revenue and costs'!R8:R135)+SUMIF('Revenue and costs'!$D$8:$D$135,C27,'Revenue and costs'!S8:S135)+SUMIF('Revenue and costs'!$D$8:$D$135,C27,'Revenue and costs'!T8:T135)+SUMIF('Revenue and costs'!$D$8:$D$135,C27,'Revenue and costs'!U8:U135)+SUMIF('Revenue and costs'!$D$8:$D$135,C27,'Revenue and costs'!V8:V135)+SUMIF('Revenue and costs'!$D$8:$D$135,C27,'Revenue and costs'!AE8:AE135)</x:f>
        <x:v>20991.15</x:v>
      </x:c>
      <x:c r="G27" s="10" t="n">
        <x:f>IF('Income statement'!D50=0,1/39,E27/'Income statement'!D50)*('Shared costs'!H21+'Assumptions'!$D$18*'Assumptions'!$D$19*12*(1+'Assumptions'!$D$13)^(1-1)*'Assumptions'!$D$21)</x:f>
        <x:v>2423.665139896377</x:v>
      </x:c>
      <x:c r="H27" s="10" t="n">
        <x:f>IF('Income statement'!D50=0,1/39,E27/'Income statement'!D50)*'Cash and capital'!D18</x:f>
        <x:v>17.366474203900662</x:v>
      </x:c>
      <x:c r="I27" s="10" t="n">
        <x:f>E27-F27-G27-H27</x:f>
        <x:v>11924.318385899722</x:v>
      </x:c>
      <x:c r="J27" s="10" t="n">
        <x:f>0</x:f>
        <x:v>0</x:v>
      </x:c>
      <x:c r="K27" s="10" t="n">
        <x:f>MAX(0,I27-J27)</x:f>
        <x:v>11924.318385899722</x:v>
      </x:c>
      <x:c r="L27" s="10" t="n">
        <x:f>K27*'Assumptions'!$D$12</x:f>
        <x:v>2981.0795964749304</x:v>
      </x:c>
      <x:c r="M27" s="10" t="n">
        <x:f>MAX(0,J27-I27)</x:f>
        <x:v>0</x:v>
      </x:c>
    </x:row>
    <x:row r="28" ht="16" customHeight="1">
      <x:c r="A28" s="1"/>
      <x:c r="B28" s="1"/>
      <x:c r="C28" s="1" t="str">
        <x:v>S’otality concierge</x:v>
      </x:c>
      <x:c r="D28" s="10" t="n">
        <x:v>1</x:v>
      </x:c>
      <x:c r="E28" s="10" t="n">
        <x:f>SUMIF('Revenue and costs'!$D$8:$D$135,C28,'Revenue and costs'!N8:N135)</x:f>
        <x:v>13095</x:v>
      </x:c>
      <x:c r="F28" s="10" t="n">
        <x:f>SUMIF('Revenue and costs'!$D$8:$D$135,C28,'Revenue and costs'!O8:O135)+SUMIF('Revenue and costs'!$D$8:$D$135,C28,'Revenue and costs'!P8:P135)+SUMIF('Revenue and costs'!$D$8:$D$135,C28,'Revenue and costs'!Q8:Q135)+SUMIF('Revenue and costs'!$D$8:$D$135,C28,'Revenue and costs'!R8:R135)+SUMIF('Revenue and costs'!$D$8:$D$135,C28,'Revenue and costs'!S8:S135)+SUMIF('Revenue and costs'!$D$8:$D$135,C28,'Revenue and costs'!T8:T135)+SUMIF('Revenue and costs'!$D$8:$D$135,C28,'Revenue and costs'!U8:U135)+SUMIF('Revenue and costs'!$D$8:$D$135,C28,'Revenue and costs'!V8:V135)+SUMIF('Revenue and costs'!$D$8:$D$135,C28,'Revenue and costs'!AE8:AE135)</x:f>
        <x:v>7044.3</x:v>
      </x:c>
      <x:c r="G28" s="10" t="n">
        <x:f>IF('Income statement'!D50=0,1/39,E28/'Income statement'!D50)*('Shared costs'!H21+'Assumptions'!$D$18*'Assumptions'!$D$19*12*(1+'Assumptions'!$D$13)^(1-1)*'Assumptions'!$D$21)</x:f>
        <x:v>897.6537555171766</x:v>
      </x:c>
      <x:c r="H28" s="10" t="n">
        <x:f>IF('Income statement'!D50=0,1/39,E28/'Income statement'!D50)*'Cash and capital'!D18</x:f>
        <x:v>6.432027482926172</x:v>
      </x:c>
      <x:c r="I28" s="10" t="n">
        <x:f>E28-F28-G28-H28</x:f>
        <x:v>5146.6142169998975</x:v>
      </x:c>
      <x:c r="J28" s="10" t="n">
        <x:f>0</x:f>
        <x:v>0</x:v>
      </x:c>
      <x:c r="K28" s="10" t="n">
        <x:f>MAX(0,I28-J28)</x:f>
        <x:v>5146.6142169998975</x:v>
      </x:c>
      <x:c r="L28" s="10" t="n">
        <x:f>K28*'Assumptions'!$D$12</x:f>
        <x:v>1286.6535542499744</x:v>
      </x:c>
      <x:c r="M28" s="10" t="n">
        <x:f>MAX(0,J28-I28)</x:f>
        <x:v>0</x:v>
      </x:c>
    </x:row>
    <x:row r="29" ht="16" customHeight="1">
      <x:c r="A29" s="1"/>
      <x:c r="B29" s="1"/>
      <x:c r="C29" s="1" t="str">
        <x:v>S’otality administration</x:v>
      </x:c>
      <x:c r="D29" s="10" t="n">
        <x:v>1</x:v>
      </x:c>
      <x:c r="E29" s="10" t="n">
        <x:f>SUMIF('Revenue and costs'!$D$8:$D$135,C29,'Revenue and costs'!N8:N135)</x:f>
        <x:v>20952</x:v>
      </x:c>
      <x:c r="F29" s="10" t="n">
        <x:f>SUMIF('Revenue and costs'!$D$8:$D$135,C29,'Revenue and costs'!O8:O135)+SUMIF('Revenue and costs'!$D$8:$D$135,C29,'Revenue and costs'!P8:P135)+SUMIF('Revenue and costs'!$D$8:$D$135,C29,'Revenue and costs'!Q8:Q135)+SUMIF('Revenue and costs'!$D$8:$D$135,C29,'Revenue and costs'!R8:R135)+SUMIF('Revenue and costs'!$D$8:$D$135,C29,'Revenue and costs'!S8:S135)+SUMIF('Revenue and costs'!$D$8:$D$135,C29,'Revenue and costs'!T8:T135)+SUMIF('Revenue and costs'!$D$8:$D$135,C29,'Revenue and costs'!U8:U135)+SUMIF('Revenue and costs'!$D$8:$D$135,C29,'Revenue and costs'!V8:V135)+SUMIF('Revenue and costs'!$D$8:$D$135,C29,'Revenue and costs'!AE8:AE135)</x:f>
        <x:v>15072.48</x:v>
      </x:c>
      <x:c r="G29" s="10" t="n">
        <x:f>IF('Income statement'!D50=0,1/39,E29/'Income statement'!D50)*('Shared costs'!H21+'Assumptions'!$D$18*'Assumptions'!$D$19*12*(1+'Assumptions'!$D$13)^(1-1)*'Assumptions'!$D$21)</x:f>
        <x:v>1436.2460088274825</x:v>
      </x:c>
      <x:c r="H29" s="10" t="n">
        <x:f>IF('Income statement'!D50=0,1/39,E29/'Income statement'!D50)*'Cash and capital'!D18</x:f>
        <x:v>10.291243972681874</x:v>
      </x:c>
      <x:c r="I29" s="10" t="n">
        <x:f>E29-F29-G29-H29</x:f>
        <x:v>4432.982747199837</x:v>
      </x:c>
      <x:c r="J29" s="10" t="n">
        <x:f>0</x:f>
        <x:v>0</x:v>
      </x:c>
      <x:c r="K29" s="10" t="n">
        <x:f>MAX(0,I29-J29)</x:f>
        <x:v>4432.982747199837</x:v>
      </x:c>
      <x:c r="L29" s="10" t="n">
        <x:f>K29*'Assumptions'!$D$12</x:f>
        <x:v>1108.2456867999592</x:v>
      </x:c>
      <x:c r="M29" s="10" t="n">
        <x:f>MAX(0,J29-I29)</x:f>
        <x:v>0</x:v>
      </x:c>
    </x:row>
    <x:row r="30" ht="16" customHeight="1">
      <x:c r="A30" s="1"/>
      <x:c r="B30" s="1"/>
      <x:c r="C30" s="1" t="str">
        <x:v>S’otality bike tours</x:v>
      </x:c>
      <x:c r="D30" s="10" t="n">
        <x:v>1</x:v>
      </x:c>
      <x:c r="E30" s="10" t="n">
        <x:f>SUMIF('Revenue and costs'!$D$8:$D$135,C30,'Revenue and costs'!N8:N135)</x:f>
        <x:v>7566</x:v>
      </x:c>
      <x:c r="F30" s="10" t="n">
        <x:f>SUMIF('Revenue and costs'!$D$8:$D$135,C30,'Revenue and costs'!O8:O135)+SUMIF('Revenue and costs'!$D$8:$D$135,C30,'Revenue and costs'!P8:P135)+SUMIF('Revenue and costs'!$D$8:$D$135,C30,'Revenue and costs'!Q8:Q135)+SUMIF('Revenue and costs'!$D$8:$D$135,C30,'Revenue and costs'!R8:R135)+SUMIF('Revenue and costs'!$D$8:$D$135,C30,'Revenue and costs'!S8:S135)+SUMIF('Revenue and costs'!$D$8:$D$135,C30,'Revenue and costs'!T8:T135)+SUMIF('Revenue and costs'!$D$8:$D$135,C30,'Revenue and costs'!U8:U135)+SUMIF('Revenue and costs'!$D$8:$D$135,C30,'Revenue and costs'!V8:V135)+SUMIF('Revenue and costs'!$D$8:$D$135,C30,'Revenue and costs'!AE8:AE135)</x:f>
        <x:v>6024.84</x:v>
      </x:c>
      <x:c r="G30" s="10" t="n">
        <x:f>IF('Income statement'!D50=0,1/39,E30/'Income statement'!D50)*('Shared costs'!H21+'Assumptions'!$D$18*'Assumptions'!$D$19*12*(1+'Assumptions'!$D$13)^(1-1)*'Assumptions'!$D$21)</x:f>
        <x:v>518.6443920765909</x:v>
      </x:c>
      <x:c r="H30" s="10" t="n">
        <x:f>IF('Income statement'!D50=0,1/39,E30/'Income statement'!D50)*'Cash and capital'!D18</x:f>
        <x:v>3.716282545690677</x:v>
      </x:c>
      <x:c r="I30" s="10" t="n">
        <x:f>E30-F30-G30-H30</x:f>
        <x:v>1018.7993253777183</x:v>
      </x:c>
      <x:c r="J30" s="10" t="n">
        <x:f>0</x:f>
        <x:v>0</x:v>
      </x:c>
      <x:c r="K30" s="10" t="n">
        <x:f>MAX(0,I30-J30)</x:f>
        <x:v>1018.7993253777183</x:v>
      </x:c>
      <x:c r="L30" s="10" t="n">
        <x:f>K30*'Assumptions'!$D$12</x:f>
        <x:v>254.69983134442958</x:v>
      </x:c>
      <x:c r="M30" s="10" t="n">
        <x:f>MAX(0,J30-I30)</x:f>
        <x:v>0</x:v>
      </x:c>
    </x:row>
    <x:row r="31" ht="16" customHeight="1">
      <x:c r="A31" s="1"/>
      <x:c r="B31" s="1"/>
      <x:c r="C31" s="1" t="str">
        <x:v>S’otality editorial</x:v>
      </x:c>
      <x:c r="D31" s="10" t="n">
        <x:v>1</x:v>
      </x:c>
      <x:c r="E31" s="10" t="n">
        <x:f>SUMIF('Revenue and costs'!$D$8:$D$135,C31,'Revenue and costs'!N8:N135)</x:f>
        <x:v>3395</x:v>
      </x:c>
      <x:c r="F31" s="10" t="n">
        <x:f>SUMIF('Revenue and costs'!$D$8:$D$135,C31,'Revenue and costs'!O8:O135)+SUMIF('Revenue and costs'!$D$8:$D$135,C31,'Revenue and costs'!P8:P135)+SUMIF('Revenue and costs'!$D$8:$D$135,C31,'Revenue and costs'!Q8:Q135)+SUMIF('Revenue and costs'!$D$8:$D$135,C31,'Revenue and costs'!R8:R135)+SUMIF('Revenue and costs'!$D$8:$D$135,C31,'Revenue and costs'!S8:S135)+SUMIF('Revenue and costs'!$D$8:$D$135,C31,'Revenue and costs'!T8:T135)+SUMIF('Revenue and costs'!$D$8:$D$135,C31,'Revenue and costs'!U8:U135)+SUMIF('Revenue and costs'!$D$8:$D$135,C31,'Revenue and costs'!V8:V135)+SUMIF('Revenue and costs'!$D$8:$D$135,C31,'Revenue and costs'!AE8:AE135)</x:f>
        <x:v>1815.5</x:v>
      </x:c>
      <x:c r="G31" s="10" t="n">
        <x:f>IF('Income statement'!D50=0,1/39,E31/'Income statement'!D50)*('Shared costs'!H21+'Assumptions'!$D$18*'Assumptions'!$D$19*12*(1+'Assumptions'!$D$13)^(1-1)*'Assumptions'!$D$21)</x:f>
        <x:v>232.7250477266754</x:v>
      </x:c>
      <x:c r="H31" s="10" t="n">
        <x:f>IF('Income statement'!D50=0,1/39,E31/'Income statement'!D50)*'Cash and capital'!D18</x:f>
        <x:v>1.6675626807586372</x:v>
      </x:c>
      <x:c r="I31" s="10" t="n">
        <x:f>E31-F31-G31-H31</x:f>
        <x:v>1345.1073895925658</x:v>
      </x:c>
      <x:c r="J31" s="10" t="n">
        <x:f>0</x:f>
        <x:v>0</x:v>
      </x:c>
      <x:c r="K31" s="10" t="n">
        <x:f>MAX(0,I31-J31)</x:f>
        <x:v>1345.1073895925658</x:v>
      </x:c>
      <x:c r="L31" s="10" t="n">
        <x:f>K31*'Assumptions'!$D$12</x:f>
        <x:v>336.27684739814146</x:v>
      </x:c>
      <x:c r="M31" s="10" t="n">
        <x:f>MAX(0,J31-I31)</x:f>
        <x:v>0</x:v>
      </x:c>
    </x:row>
    <x:row r="32" ht="16" customHeight="1">
      <x:c r="A32" s="1"/>
      <x:c r="B32" s="1"/>
      <x:c r="C32" s="1" t="str">
        <x:v>Tomato Odyssey</x:v>
      </x:c>
      <x:c r="D32" s="10" t="n">
        <x:v>1</x:v>
      </x:c>
      <x:c r="E32" s="10" t="n">
        <x:f>SUMIF('Revenue and costs'!$D$8:$D$135,C32,'Revenue and costs'!N8:N135)</x:f>
        <x:v>3395</x:v>
      </x:c>
      <x:c r="F32" s="10" t="n">
        <x:f>SUMIF('Revenue and costs'!$D$8:$D$135,C32,'Revenue and costs'!O8:O135)+SUMIF('Revenue and costs'!$D$8:$D$135,C32,'Revenue and costs'!P8:P135)+SUMIF('Revenue and costs'!$D$8:$D$135,C32,'Revenue and costs'!Q8:Q135)+SUMIF('Revenue and costs'!$D$8:$D$135,C32,'Revenue and costs'!R8:R135)+SUMIF('Revenue and costs'!$D$8:$D$135,C32,'Revenue and costs'!S8:S135)+SUMIF('Revenue and costs'!$D$8:$D$135,C32,'Revenue and costs'!T8:T135)+SUMIF('Revenue and costs'!$D$8:$D$135,C32,'Revenue and costs'!U8:U135)+SUMIF('Revenue and costs'!$D$8:$D$135,C32,'Revenue and costs'!V8:V135)+SUMIF('Revenue and costs'!$D$8:$D$135,C32,'Revenue and costs'!AE8:AE135)</x:f>
        <x:v>1815.5</x:v>
      </x:c>
      <x:c r="G32" s="10" t="n">
        <x:f>IF('Income statement'!D50=0,1/39,E32/'Income statement'!D50)*('Shared costs'!H21+'Assumptions'!$D$18*'Assumptions'!$D$19*12*(1+'Assumptions'!$D$13)^(1-1)*'Assumptions'!$D$21)</x:f>
        <x:v>232.7250477266754</x:v>
      </x:c>
      <x:c r="H32" s="10" t="n">
        <x:f>IF('Income statement'!D50=0,1/39,E32/'Income statement'!D50)*'Cash and capital'!D18</x:f>
        <x:v>1.6675626807586372</x:v>
      </x:c>
      <x:c r="I32" s="10" t="n">
        <x:f>E32-F32-G32-H32</x:f>
        <x:v>1345.1073895925658</x:v>
      </x:c>
      <x:c r="J32" s="10" t="n">
        <x:f>0</x:f>
        <x:v>0</x:v>
      </x:c>
      <x:c r="K32" s="10" t="n">
        <x:f>MAX(0,I32-J32)</x:f>
        <x:v>1345.1073895925658</x:v>
      </x:c>
      <x:c r="L32" s="10" t="n">
        <x:f>K32*'Assumptions'!$D$12</x:f>
        <x:v>336.27684739814146</x:v>
      </x:c>
      <x:c r="M32" s="10" t="n">
        <x:f>MAX(0,J32-I32)</x:f>
        <x:v>0</x:v>
      </x:c>
    </x:row>
    <x:row r="33" ht="16" customHeight="1">
      <x:c r="A33" s="1"/>
      <x:c r="B33" s="1"/>
      <x:c r="C33" s="1" t="str">
        <x:v>Semajes Studio</x:v>
      </x:c>
      <x:c r="D33" s="10" t="n">
        <x:v>1</x:v>
      </x:c>
      <x:c r="E33" s="10" t="n">
        <x:f>SUMIF('Revenue and costs'!$D$8:$D$135,C33,'Revenue and costs'!N8:N135)</x:f>
        <x:v>65452.5</x:v>
      </x:c>
      <x:c r="F33" s="10" t="n">
        <x:f>SUMIF('Revenue and costs'!$D$8:$D$135,C33,'Revenue and costs'!O8:O135)+SUMIF('Revenue and costs'!$D$8:$D$135,C33,'Revenue and costs'!P8:P135)+SUMIF('Revenue and costs'!$D$8:$D$135,C33,'Revenue and costs'!Q8:Q135)+SUMIF('Revenue and costs'!$D$8:$D$135,C33,'Revenue and costs'!R8:R135)+SUMIF('Revenue and costs'!$D$8:$D$135,C33,'Revenue and costs'!S8:S135)+SUMIF('Revenue and costs'!$D$8:$D$135,C33,'Revenue and costs'!T8:T135)+SUMIF('Revenue and costs'!$D$8:$D$135,C33,'Revenue and costs'!U8:U135)+SUMIF('Revenue and costs'!$D$8:$D$135,C33,'Revenue and costs'!V8:V135)+SUMIF('Revenue and costs'!$D$8:$D$135,C33,'Revenue and costs'!AE8:AE135)</x:f>
        <x:v>39433.95</x:v>
      </x:c>
      <x:c r="G33" s="10" t="n">
        <x:f>IF('Income statement'!D50=0,1/39,E33/'Income statement'!D50)*('Shared costs'!H21+'Assumptions'!$D$18*'Assumptions'!$D$19*12*(1+'Assumptions'!$D$13)^(1-1)*'Assumptions'!$D$21)</x:f>
        <x:v>4486.726417181215</x:v>
      </x:c>
      <x:c r="H33" s="10" t="n">
        <x:f>IF('Income statement'!D50=0,1/39,E33/'Income statement'!D50)*'Cash and capital'!D18</x:f>
        <x:v>32.149085821017586</x:v>
      </x:c>
      <x:c r="I33" s="10" t="n">
        <x:f>E33-F33-G33-H33</x:f>
        <x:v>21499.674496997774</x:v>
      </x:c>
      <x:c r="J33" s="10" t="n">
        <x:f>0</x:f>
        <x:v>0</x:v>
      </x:c>
      <x:c r="K33" s="10" t="n">
        <x:f>MAX(0,I33-J33)</x:f>
        <x:v>21499.674496997774</x:v>
      </x:c>
      <x:c r="L33" s="10" t="n">
        <x:f>K33*'Assumptions'!$D$12</x:f>
        <x:v>5374.918624249443</x:v>
      </x:c>
      <x:c r="M33" s="10" t="n">
        <x:f>MAX(0,J33-I33)</x:f>
        <x:v>0</x:v>
      </x:c>
    </x:row>
    <x:row r="34" ht="16" customHeight="1">
      <x:c r="A34" s="1"/>
      <x:c r="B34" s="1"/>
      <x:c r="C34" s="1" t="str">
        <x:v>Semajes Marketplace</x:v>
      </x:c>
      <x:c r="D34" s="10" t="n">
        <x:v>1</x:v>
      </x:c>
      <x:c r="E34" s="10" t="n">
        <x:f>SUMIF('Revenue and costs'!$D$8:$D$135,C34,'Revenue and costs'!N8:N135)</x:f>
        <x:v>10767</x:v>
      </x:c>
      <x:c r="F34" s="10" t="n">
        <x:f>SUMIF('Revenue and costs'!$D$8:$D$135,C34,'Revenue and costs'!O8:O135)+SUMIF('Revenue and costs'!$D$8:$D$135,C34,'Revenue and costs'!P8:P135)+SUMIF('Revenue and costs'!$D$8:$D$135,C34,'Revenue and costs'!Q8:Q135)+SUMIF('Revenue and costs'!$D$8:$D$135,C34,'Revenue and costs'!R8:R135)+SUMIF('Revenue and costs'!$D$8:$D$135,C34,'Revenue and costs'!S8:S135)+SUMIF('Revenue and costs'!$D$8:$D$135,C34,'Revenue and costs'!T8:T135)+SUMIF('Revenue and costs'!$D$8:$D$135,C34,'Revenue and costs'!U8:U135)+SUMIF('Revenue and costs'!$D$8:$D$135,C34,'Revenue and costs'!V8:V135)+SUMIF('Revenue and costs'!$D$8:$D$135,C34,'Revenue and costs'!AE8:AE135)</x:f>
        <x:v>5266.950000000001</x:v>
      </x:c>
      <x:c r="G34" s="10" t="n">
        <x:f>IF('Income statement'!D50=0,1/39,E34/'Income statement'!D50)*('Shared costs'!H21+'Assumptions'!$D$18*'Assumptions'!$D$19*12*(1+'Assumptions'!$D$13)^(1-1)*'Assumptions'!$D$21)</x:f>
        <x:v>738.0708656474562</x:v>
      </x:c>
      <x:c r="H34" s="10" t="n">
        <x:f>IF('Income statement'!D50=0,1/39,E34/'Income statement'!D50)*'Cash and capital'!D18</x:f>
        <x:v>5.2885559304059635</x:v>
      </x:c>
      <x:c r="I34" s="10" t="n">
        <x:f>E34-F34-G34-H34</x:f>
        <x:v>4756.690578422137</x:v>
      </x:c>
      <x:c r="J34" s="10" t="n">
        <x:f>0</x:f>
        <x:v>0</x:v>
      </x:c>
      <x:c r="K34" s="10" t="n">
        <x:f>MAX(0,I34-J34)</x:f>
        <x:v>4756.690578422137</x:v>
      </x:c>
      <x:c r="L34" s="10" t="n">
        <x:f>K34*'Assumptions'!$D$12</x:f>
        <x:v>1189.1726446055343</x:v>
      </x:c>
      <x:c r="M34" s="10" t="n">
        <x:f>MAX(0,J34-I34)</x:f>
        <x:v>0</x:v>
      </x:c>
    </x:row>
    <x:row r="35" ht="16" customHeight="1">
      <x:c r="A35" s="1"/>
      <x:c r="B35" s="1"/>
      <x:c r="C35" s="1" t="str">
        <x:v>Semajes premium and media</x:v>
      </x:c>
      <x:c r="D35" s="10" t="n">
        <x:v>1</x:v>
      </x:c>
      <x:c r="E35" s="10" t="n">
        <x:f>SUMIF('Revenue and costs'!$D$8:$D$135,C35,'Revenue and costs'!N8:N135)</x:f>
        <x:v>7510.709999999999</x:v>
      </x:c>
      <x:c r="F35" s="10" t="n">
        <x:f>SUMIF('Revenue and costs'!$D$8:$D$135,C35,'Revenue and costs'!O8:O135)+SUMIF('Revenue and costs'!$D$8:$D$135,C35,'Revenue and costs'!P8:P135)+SUMIF('Revenue and costs'!$D$8:$D$135,C35,'Revenue and costs'!Q8:Q135)+SUMIF('Revenue and costs'!$D$8:$D$135,C35,'Revenue and costs'!R8:R135)+SUMIF('Revenue and costs'!$D$8:$D$135,C35,'Revenue and costs'!S8:S135)+SUMIF('Revenue and costs'!$D$8:$D$135,C35,'Revenue and costs'!T8:T135)+SUMIF('Revenue and costs'!$D$8:$D$135,C35,'Revenue and costs'!U8:U135)+SUMIF('Revenue and costs'!$D$8:$D$135,C35,'Revenue and costs'!V8:V135)+SUMIF('Revenue and costs'!$D$8:$D$135,C35,'Revenue and costs'!AE8:AE135)</x:f>
        <x:v>3851.1825</x:v>
      </x:c>
      <x:c r="G35" s="10" t="n">
        <x:f>IF('Income statement'!D50=0,1/39,E35/'Income statement'!D50)*('Shared costs'!H21+'Assumptions'!$D$18*'Assumptions'!$D$19*12*(1+'Assumptions'!$D$13)^(1-1)*'Assumptions'!$D$21)</x:f>
        <x:v>514.854298442185</x:v>
      </x:c>
      <x:c r="H35" s="10" t="n">
        <x:f>IF('Income statement'!D50=0,1/39,E35/'Income statement'!D50)*'Cash and capital'!D18</x:f>
        <x:v>3.689125096318322</x:v>
      </x:c>
      <x:c r="I35" s="10" t="n">
        <x:f>E35-F35-G35-H35</x:f>
        <x:v>3140.9840764614955</x:v>
      </x:c>
      <x:c r="J35" s="10" t="n">
        <x:f>0</x:f>
        <x:v>0</x:v>
      </x:c>
      <x:c r="K35" s="10" t="n">
        <x:f>MAX(0,I35-J35)</x:f>
        <x:v>3140.9840764614955</x:v>
      </x:c>
      <x:c r="L35" s="10" t="n">
        <x:f>K35*'Assumptions'!$D$12</x:f>
        <x:v>785.2460191153739</x:v>
      </x:c>
      <x:c r="M35" s="10" t="n">
        <x:f>MAX(0,J35-I35)</x:f>
        <x:v>0</x:v>
      </x:c>
    </x:row>
    <x:row r="36" ht="16" customHeight="1">
      <x:c r="A36" s="1"/>
      <x:c r="B36" s="1"/>
      <x:c r="C36" s="1" t="str">
        <x:v>Semajes courses</x:v>
      </x:c>
      <x:c r="D36" s="10" t="n">
        <x:v>1</x:v>
      </x:c>
      <x:c r="E36" s="10" t="n">
        <x:f>SUMIF('Revenue and costs'!$D$8:$D$135,C36,'Revenue and costs'!N8:N135)</x:f>
        <x:v>6809.4</x:v>
      </x:c>
      <x:c r="F36" s="10" t="n">
        <x:f>SUMIF('Revenue and costs'!$D$8:$D$135,C36,'Revenue and costs'!O8:O135)+SUMIF('Revenue and costs'!$D$8:$D$135,C36,'Revenue and costs'!P8:P135)+SUMIF('Revenue and costs'!$D$8:$D$135,C36,'Revenue and costs'!Q8:Q135)+SUMIF('Revenue and costs'!$D$8:$D$135,C36,'Revenue and costs'!R8:R135)+SUMIF('Revenue and costs'!$D$8:$D$135,C36,'Revenue and costs'!S8:S135)+SUMIF('Revenue and costs'!$D$8:$D$135,C36,'Revenue and costs'!T8:T135)+SUMIF('Revenue and costs'!$D$8:$D$135,C36,'Revenue and costs'!U8:U135)+SUMIF('Revenue and costs'!$D$8:$D$135,C36,'Revenue and costs'!V8:V135)+SUMIF('Revenue and costs'!$D$8:$D$135,C36,'Revenue and costs'!AE8:AE135)</x:f>
        <x:v>2083.05</x:v>
      </x:c>
      <x:c r="G36" s="10" t="n">
        <x:f>IF('Income statement'!D50=0,1/39,E36/'Income statement'!D50)*('Shared costs'!H21+'Assumptions'!$D$18*'Assumptions'!$D$19*12*(1+'Assumptions'!$D$13)^(1-1)*'Assumptions'!$D$21)</x:f>
        <x:v>466.7799528689318</x:v>
      </x:c>
      <x:c r="H36" s="10" t="n">
        <x:f>IF('Income statement'!D50=0,1/39,E36/'Income statement'!D50)*'Cash and capital'!D18</x:f>
        <x:v>3.3446542911216093</x:v>
      </x:c>
      <x:c r="I36" s="10" t="n">
        <x:f>E36-F36-G36-H36</x:f>
        <x:v>4256.225392839946</x:v>
      </x:c>
      <x:c r="J36" s="10" t="n">
        <x:f>0</x:f>
        <x:v>0</x:v>
      </x:c>
      <x:c r="K36" s="10" t="n">
        <x:f>MAX(0,I36-J36)</x:f>
        <x:v>4256.225392839946</x:v>
      </x:c>
      <x:c r="L36" s="10" t="n">
        <x:f>K36*'Assumptions'!$D$12</x:f>
        <x:v>1064.0563482099865</x:v>
      </x:c>
      <x:c r="M36" s="10" t="n">
        <x:f>MAX(0,J36-I36)</x:f>
        <x:v>0</x:v>
      </x:c>
    </x:row>
    <x:row r="37" ht="16" customHeight="1">
      <x:c r="A37" s="1"/>
      <x:c r="B37" s="1"/>
      <x:c r="C37" s="1" t="str">
        <x:v>Sleepy Face</x:v>
      </x:c>
      <x:c r="D37" s="10" t="n">
        <x:v>1</x:v>
      </x:c>
      <x:c r="E37" s="10" t="n">
        <x:f>SUMIF('Revenue and costs'!$D$8:$D$135,C37,'Revenue and costs'!N8:N135)</x:f>
        <x:v>64800</x:v>
      </x:c>
      <x:c r="F37" s="10" t="n">
        <x:f>SUMIF('Revenue and costs'!$D$8:$D$135,C37,'Revenue and costs'!O8:O135)+SUMIF('Revenue and costs'!$D$8:$D$135,C37,'Revenue and costs'!P8:P135)+SUMIF('Revenue and costs'!$D$8:$D$135,C37,'Revenue and costs'!Q8:Q135)+SUMIF('Revenue and costs'!$D$8:$D$135,C37,'Revenue and costs'!R8:R135)+SUMIF('Revenue and costs'!$D$8:$D$135,C37,'Revenue and costs'!S8:S135)+SUMIF('Revenue and costs'!$D$8:$D$135,C37,'Revenue and costs'!T8:T135)+SUMIF('Revenue and costs'!$D$8:$D$135,C37,'Revenue and costs'!U8:U135)+SUMIF('Revenue and costs'!$D$8:$D$135,C37,'Revenue and costs'!V8:V135)+SUMIF('Revenue and costs'!$D$8:$D$135,C37,'Revenue and costs'!AE8:AE135)</x:f>
        <x:v>39898</x:v>
      </x:c>
      <x:c r="G37" s="10" t="n">
        <x:f>IF('Income statement'!D50=0,1/39,E37/'Income statement'!D50)*('Shared costs'!H21+'Assumptions'!$D$18*'Assumptions'!$D$19*12*(1+'Assumptions'!$D$13)^(1-1)*'Assumptions'!$D$21)</x:f>
        <x:v>4441.997965445822</x:v>
      </x:c>
      <x:c r="H37" s="10" t="n">
        <x:f>IF('Income statement'!D50=0,1/39,E37/'Income statement'!D50)*'Cash and capital'!D18</x:f>
        <x:v>31.828589606232605</x:v>
      </x:c>
      <x:c r="I37" s="10" t="n">
        <x:f>E37-F37-G37-H37</x:f>
        <x:v>20428.173444947945</x:v>
      </x:c>
      <x:c r="J37" s="10" t="n">
        <x:f>0</x:f>
        <x:v>0</x:v>
      </x:c>
      <x:c r="K37" s="10" t="n">
        <x:f>MAX(0,I37-J37)</x:f>
        <x:v>20428.173444947945</x:v>
      </x:c>
      <x:c r="L37" s="10" t="n">
        <x:f>K37*'Assumptions'!$D$12</x:f>
        <x:v>5107.043361236986</x:v>
      </x:c>
      <x:c r="M37" s="10" t="n">
        <x:f>MAX(0,J37-I37)</x:f>
        <x:v>0</x:v>
      </x:c>
    </x:row>
    <x:row r="38" ht="16" customHeight="1">
      <x:c r="A38" s="1"/>
      <x:c r="B38" s="1"/>
      <x:c r="C38" s="1" t="str">
        <x:v>QzoticMusic</x:v>
      </x:c>
      <x:c r="D38" s="10" t="n">
        <x:v>1</x:v>
      </x:c>
      <x:c r="E38" s="10" t="n">
        <x:f>SUMIF('Revenue and costs'!$D$8:$D$135,C38,'Revenue and costs'!N8:N135)</x:f>
        <x:v>5820</x:v>
      </x:c>
      <x:c r="F38" s="10" t="n">
        <x:f>SUMIF('Revenue and costs'!$D$8:$D$135,C38,'Revenue and costs'!O8:O135)+SUMIF('Revenue and costs'!$D$8:$D$135,C38,'Revenue and costs'!P8:P135)+SUMIF('Revenue and costs'!$D$8:$D$135,C38,'Revenue and costs'!Q8:Q135)+SUMIF('Revenue and costs'!$D$8:$D$135,C38,'Revenue and costs'!R8:R135)+SUMIF('Revenue and costs'!$D$8:$D$135,C38,'Revenue and costs'!S8:S135)+SUMIF('Revenue and costs'!$D$8:$D$135,C38,'Revenue and costs'!T8:T135)+SUMIF('Revenue and costs'!$D$8:$D$135,C38,'Revenue and costs'!U8:U135)+SUMIF('Revenue and costs'!$D$8:$D$135,C38,'Revenue and costs'!V8:V135)+SUMIF('Revenue and costs'!$D$8:$D$135,C38,'Revenue and costs'!AE8:AE135)</x:f>
        <x:v>6333.75</x:v>
      </x:c>
      <x:c r="G38" s="10" t="n">
        <x:f>IF('Income statement'!D50=0,1/39,E38/'Income statement'!D50)*('Shared costs'!H21+'Assumptions'!$D$18*'Assumptions'!$D$19*12*(1+'Assumptions'!$D$13)^(1-1)*'Assumptions'!$D$21)</x:f>
        <x:v>398.9572246743007</x:v>
      </x:c>
      <x:c r="H38" s="10" t="n">
        <x:f>IF('Income statement'!D50=0,1/39,E38/'Income statement'!D50)*'Cash and capital'!D18</x:f>
        <x:v>2.858678881300521</x:v>
      </x:c>
      <x:c r="I38" s="10" t="n">
        <x:f>E38-F38-G38-H38</x:f>
        <x:v>-915.5659035556013</x:v>
      </x:c>
      <x:c r="J38" s="10" t="n">
        <x:f>0</x:f>
        <x:v>0</x:v>
      </x:c>
      <x:c r="K38" s="10" t="n">
        <x:f>MAX(0,I38-J38)</x:f>
        <x:v>0</x:v>
      </x:c>
      <x:c r="L38" s="10" t="n">
        <x:f>K38*'Assumptions'!$D$12</x:f>
        <x:v>0</x:v>
      </x:c>
      <x:c r="M38" s="10" t="n">
        <x:f>MAX(0,J38-I38)</x:f>
        <x:v>915.5659035556013</x:v>
      </x:c>
    </x:row>
    <x:row r="39" ht="16" customHeight="1">
      <x:c r="A39" s="1"/>
      <x:c r="B39" s="1"/>
      <x:c r="C39" s="1" t="str">
        <x:v>LesPetitFilms</x:v>
      </x:c>
      <x:c r="D39" s="10" t="n">
        <x:v>1</x:v>
      </x:c>
      <x:c r="E39" s="10" t="n">
        <x:f>SUMIF('Revenue and costs'!$D$8:$D$135,C39,'Revenue and costs'!N8:N135)</x:f>
        <x:v>22310</x:v>
      </x:c>
      <x:c r="F39" s="10" t="n">
        <x:f>SUMIF('Revenue and costs'!$D$8:$D$135,C39,'Revenue and costs'!O8:O135)+SUMIF('Revenue and costs'!$D$8:$D$135,C39,'Revenue and costs'!P8:P135)+SUMIF('Revenue and costs'!$D$8:$D$135,C39,'Revenue and costs'!Q8:Q135)+SUMIF('Revenue and costs'!$D$8:$D$135,C39,'Revenue and costs'!R8:R135)+SUMIF('Revenue and costs'!$D$8:$D$135,C39,'Revenue and costs'!S8:S135)+SUMIF('Revenue and costs'!$D$8:$D$135,C39,'Revenue and costs'!T8:T135)+SUMIF('Revenue and costs'!$D$8:$D$135,C39,'Revenue and costs'!U8:U135)+SUMIF('Revenue and costs'!$D$8:$D$135,C39,'Revenue and costs'!V8:V135)+SUMIF('Revenue and costs'!$D$8:$D$135,C39,'Revenue and costs'!AE8:AE135)</x:f>
        <x:v>12186</x:v>
      </x:c>
      <x:c r="G39" s="10" t="n">
        <x:f>IF('Income statement'!D50=0,1/39,E39/'Income statement'!D50)*('Shared costs'!H21+'Assumptions'!$D$18*'Assumptions'!$D$19*12*(1+'Assumptions'!$D$13)^(1-1)*'Assumptions'!$D$21)</x:f>
        <x:v>1529.3360279181525</x:v>
      </x:c>
      <x:c r="H39" s="10" t="n">
        <x:f>IF('Income statement'!D50=0,1/39,E39/'Income statement'!D50)*'Cash and capital'!D18</x:f>
        <x:v>10.958269044985329</x:v>
      </x:c>
      <x:c r="I39" s="10" t="n">
        <x:f>E39-F39-G39-H39</x:f>
        <x:v>8583.705703036861</x:v>
      </x:c>
      <x:c r="J39" s="10" t="n">
        <x:f>0</x:f>
        <x:v>0</x:v>
      </x:c>
      <x:c r="K39" s="10" t="n">
        <x:f>MAX(0,I39-J39)</x:f>
        <x:v>8583.705703036861</x:v>
      </x:c>
      <x:c r="L39" s="10" t="n">
        <x:f>K39*'Assumptions'!$D$12</x:f>
        <x:v>2145.9264257592154</x:v>
      </x:c>
      <x:c r="M39" s="10" t="n">
        <x:f>MAX(0,J39-I39)</x:f>
        <x:v>0</x:v>
      </x:c>
    </x:row>
    <x:row r="40" ht="16" customHeight="1">
      <x:c r="A40" s="1"/>
      <x:c r="B40" s="1"/>
      <x:c r="C40" s="1" t="str">
        <x:v>Learn Anglais</x:v>
      </x:c>
      <x:c r="D40" s="10" t="n">
        <x:v>1</x:v>
      </x:c>
      <x:c r="E40" s="10" t="n">
        <x:f>SUMIF('Revenue and costs'!$D$8:$D$135,C40,'Revenue and costs'!N8:N135)</x:f>
        <x:v>26102.699999999997</x:v>
      </x:c>
      <x:c r="F40" s="10" t="n">
        <x:f>SUMIF('Revenue and costs'!$D$8:$D$135,C40,'Revenue and costs'!O8:O135)+SUMIF('Revenue and costs'!$D$8:$D$135,C40,'Revenue and costs'!P8:P135)+SUMIF('Revenue and costs'!$D$8:$D$135,C40,'Revenue and costs'!Q8:Q135)+SUMIF('Revenue and costs'!$D$8:$D$135,C40,'Revenue and costs'!R8:R135)+SUMIF('Revenue and costs'!$D$8:$D$135,C40,'Revenue and costs'!S8:S135)+SUMIF('Revenue and costs'!$D$8:$D$135,C40,'Revenue and costs'!T8:T135)+SUMIF('Revenue and costs'!$D$8:$D$135,C40,'Revenue and costs'!U8:U135)+SUMIF('Revenue and costs'!$D$8:$D$135,C40,'Revenue and costs'!V8:V135)+SUMIF('Revenue and costs'!$D$8:$D$135,C40,'Revenue and costs'!AE8:AE135)</x:f>
        <x:v>14788.665</x:v>
      </x:c>
      <x:c r="G40" s="10" t="n">
        <x:f>IF('Income statement'!D50=0,1/39,E40/'Income statement'!D50)*('Shared costs'!H21+'Assumptions'!$D$18*'Assumptions'!$D$19*12*(1+'Assumptions'!$D$13)^(1-1)*'Assumptions'!$D$21)</x:f>
        <x:v>1789.3231526642385</x:v>
      </x:c>
      <x:c r="H40" s="10" t="n">
        <x:f>IF('Income statement'!D50=0,1/39,E40/'Income statement'!D50)*'Cash and capital'!D18</x:f>
        <x:v>12.821174782632834</x:v>
      </x:c>
      <x:c r="I40" s="10" t="n">
        <x:f>E40-F40-G40-H40</x:f>
        <x:v>9511.890672553125</x:v>
      </x:c>
      <x:c r="J40" s="10" t="n">
        <x:f>0</x:f>
        <x:v>0</x:v>
      </x:c>
      <x:c r="K40" s="10" t="n">
        <x:f>MAX(0,I40-J40)</x:f>
        <x:v>9511.890672553125</x:v>
      </x:c>
      <x:c r="L40" s="10" t="n">
        <x:f>K40*'Assumptions'!$D$12</x:f>
        <x:v>2377.9726681382813</x:v>
      </x:c>
      <x:c r="M40" s="10" t="n">
        <x:f>MAX(0,J40-I40)</x:f>
        <x:v>0</x:v>
      </x:c>
    </x:row>
    <x:row r="41" ht="16" customHeight="1">
      <x:c r="A41" s="1"/>
      <x:c r="B41" s="1"/>
      <x:c r="C41" s="1" t="str">
        <x:v>Fiefé</x:v>
      </x:c>
      <x:c r="D41" s="10" t="n">
        <x:v>1</x:v>
      </x:c>
      <x:c r="E41" s="10" t="n">
        <x:f>SUMIF('Revenue and costs'!$D$8:$D$135,C41,'Revenue and costs'!N8:N135)</x:f>
        <x:v>15247.5</x:v>
      </x:c>
      <x:c r="F41" s="10" t="n">
        <x:f>SUMIF('Revenue and costs'!$D$8:$D$135,C41,'Revenue and costs'!O8:O135)+SUMIF('Revenue and costs'!$D$8:$D$135,C41,'Revenue and costs'!P8:P135)+SUMIF('Revenue and costs'!$D$8:$D$135,C41,'Revenue and costs'!Q8:Q135)+SUMIF('Revenue and costs'!$D$8:$D$135,C41,'Revenue and costs'!R8:R135)+SUMIF('Revenue and costs'!$D$8:$D$135,C41,'Revenue and costs'!S8:S135)+SUMIF('Revenue and costs'!$D$8:$D$135,C41,'Revenue and costs'!T8:T135)+SUMIF('Revenue and costs'!$D$8:$D$135,C41,'Revenue and costs'!U8:U135)+SUMIF('Revenue and costs'!$D$8:$D$135,C41,'Revenue and costs'!V8:V135)+SUMIF('Revenue and costs'!$D$8:$D$135,C41,'Revenue and costs'!AE8:AE135)</x:f>
        <x:v>11731.95</x:v>
      </x:c>
      <x:c r="G41" s="10" t="n">
        <x:f>IF('Income statement'!D50=0,1/39,E41/'Income statement'!D50)*('Shared costs'!H21+'Assumptions'!$D$18*'Assumptions'!$D$19*12*(1+'Assumptions'!$D$13)^(1-1)*'Assumptions'!$D$21)</x:f>
        <x:v>1045.2062342304812</x:v>
      </x:c>
      <x:c r="H41" s="10" t="n">
        <x:f>IF('Income statement'!D50=0,1/39,E41/'Income statement'!D50)*'Cash and capital'!D18</x:f>
        <x:v>7.489296605262834</x:v>
      </x:c>
      <x:c r="I41" s="10" t="n">
        <x:f>E41-F41-G41-H41</x:f>
        <x:v>2462.854469164255</x:v>
      </x:c>
      <x:c r="J41" s="10" t="n">
        <x:f>0</x:f>
        <x:v>0</x:v>
      </x:c>
      <x:c r="K41" s="10" t="n">
        <x:f>MAX(0,I41-J41)</x:f>
        <x:v>2462.854469164255</x:v>
      </x:c>
      <x:c r="L41" s="10" t="n">
        <x:f>K41*'Assumptions'!$D$12</x:f>
        <x:v>615.7136172910638</x:v>
      </x:c>
      <x:c r="M41" s="10" t="n">
        <x:f>MAX(0,J41-I41)</x:f>
        <x:v>0</x:v>
      </x:c>
    </x:row>
    <x:row r="42" ht="16" customHeight="1">
      <x:c r="A42" s="1"/>
      <x:c r="B42" s="1"/>
      <x:c r="C42" s="1" t="str">
        <x:v>Fiefé Design</x:v>
      </x:c>
      <x:c r="D42" s="10" t="n">
        <x:v>1</x:v>
      </x:c>
      <x:c r="E42" s="10" t="n">
        <x:f>SUMIF('Revenue and costs'!$D$8:$D$135,C42,'Revenue and costs'!N8:N135)</x:f>
        <x:v>9500</x:v>
      </x:c>
      <x:c r="F42" s="10" t="n">
        <x:f>SUMIF('Revenue and costs'!$D$8:$D$135,C42,'Revenue and costs'!O8:O135)+SUMIF('Revenue and costs'!$D$8:$D$135,C42,'Revenue and costs'!P8:P135)+SUMIF('Revenue and costs'!$D$8:$D$135,C42,'Revenue and costs'!Q8:Q135)+SUMIF('Revenue and costs'!$D$8:$D$135,C42,'Revenue and costs'!R8:R135)+SUMIF('Revenue and costs'!$D$8:$D$135,C42,'Revenue and costs'!S8:S135)+SUMIF('Revenue and costs'!$D$8:$D$135,C42,'Revenue and costs'!T8:T135)+SUMIF('Revenue and costs'!$D$8:$D$135,C42,'Revenue and costs'!U8:U135)+SUMIF('Revenue and costs'!$D$8:$D$135,C42,'Revenue and costs'!V8:V135)+SUMIF('Revenue and costs'!$D$8:$D$135,C42,'Revenue and costs'!AE8:AE135)</x:f>
        <x:v>7089.2</x:v>
      </x:c>
      <x:c r="G42" s="10" t="n">
        <x:f>IF('Income statement'!D50=0,1/39,E42/'Income statement'!D50)*('Shared costs'!H21+'Assumptions'!$D$18*'Assumptions'!$D$19*12*(1+'Assumptions'!$D$13)^(1-1)*'Assumptions'!$D$21)</x:f>
        <x:v>651.2188375267795</x:v>
      </x:c>
      <x:c r="H42" s="10" t="n">
        <x:f>IF('Income statement'!D50=0,1/39,E42/'Income statement'!D50)*'Cash and capital'!D18</x:f>
        <x:v>4.666228414493977</x:v>
      </x:c>
      <x:c r="I42" s="10" t="n">
        <x:f>E42-F42-G42-H42</x:f>
        <x:v>1754.9149340587267</x:v>
      </x:c>
      <x:c r="J42" s="10" t="n">
        <x:f>0</x:f>
        <x:v>0</x:v>
      </x:c>
      <x:c r="K42" s="10" t="n">
        <x:f>MAX(0,I42-J42)</x:f>
        <x:v>1754.9149340587267</x:v>
      </x:c>
      <x:c r="L42" s="10" t="n">
        <x:f>K42*'Assumptions'!$D$12</x:f>
        <x:v>438.72873351468166</x:v>
      </x:c>
      <x:c r="M42" s="10" t="n">
        <x:f>MAX(0,J42-I42)</x:f>
        <x:v>0</x:v>
      </x:c>
    </x:row>
    <x:row r="43" ht="16" customHeight="1">
      <x:c r="A43" s="1"/>
      <x:c r="B43" s="1"/>
      <x:c r="C43" s="1" t="str">
        <x:v>OsezArt</x:v>
      </x:c>
      <x:c r="D43" s="10" t="n">
        <x:v>1</x:v>
      </x:c>
      <x:c r="E43" s="10" t="n">
        <x:f>SUMIF('Revenue and costs'!$D$8:$D$135,C43,'Revenue and costs'!N8:N135)</x:f>
        <x:v>46075</x:v>
      </x:c>
      <x:c r="F43" s="10" t="n">
        <x:f>SUMIF('Revenue and costs'!$D$8:$D$135,C43,'Revenue and costs'!O8:O135)+SUMIF('Revenue and costs'!$D$8:$D$135,C43,'Revenue and costs'!P8:P135)+SUMIF('Revenue and costs'!$D$8:$D$135,C43,'Revenue and costs'!Q8:Q135)+SUMIF('Revenue and costs'!$D$8:$D$135,C43,'Revenue and costs'!R8:R135)+SUMIF('Revenue and costs'!$D$8:$D$135,C43,'Revenue and costs'!S8:S135)+SUMIF('Revenue and costs'!$D$8:$D$135,C43,'Revenue and costs'!T8:T135)+SUMIF('Revenue and costs'!$D$8:$D$135,C43,'Revenue and costs'!U8:U135)+SUMIF('Revenue and costs'!$D$8:$D$135,C43,'Revenue and costs'!V8:V135)+SUMIF('Revenue and costs'!$D$8:$D$135,C43,'Revenue and costs'!AE8:AE135)</x:f>
        <x:v>23919.8</x:v>
      </x:c>
      <x:c r="G43" s="10" t="n">
        <x:f>IF('Income statement'!D50=0,1/39,E43/'Income statement'!D50)*('Shared costs'!H21+'Assumptions'!$D$18*'Assumptions'!$D$19*12*(1+'Assumptions'!$D$13)^(1-1)*'Assumptions'!$D$21)</x:f>
        <x:v>3158.41136200488</x:v>
      </x:c>
      <x:c r="H43" s="10" t="n">
        <x:f>IF('Income statement'!D50=0,1/39,E43/'Income statement'!D50)*'Cash and capital'!D18</x:f>
        <x:v>22.631207810295788</x:v>
      </x:c>
      <x:c r="I43" s="10" t="n">
        <x:f>E43-F43-G43-H43</x:f>
        <x:v>18974.157430184823</x:v>
      </x:c>
      <x:c r="J43" s="10" t="n">
        <x:f>0</x:f>
        <x:v>0</x:v>
      </x:c>
      <x:c r="K43" s="10" t="n">
        <x:f>MAX(0,I43-J43)</x:f>
        <x:v>18974.157430184823</x:v>
      </x:c>
      <x:c r="L43" s="10" t="n">
        <x:f>K43*'Assumptions'!$D$12</x:f>
        <x:v>4743.539357546206</x:v>
      </x:c>
      <x:c r="M43" s="10" t="n">
        <x:f>MAX(0,J43-I43)</x:f>
        <x:v>0</x:v>
      </x:c>
    </x:row>
    <x:row r="44" ht="16" customHeight="1">
      <x:c r="A44" s="1"/>
      <x:c r="B44" s="1"/>
      <x:c r="C44" s="1" t="str">
        <x:v>FinBot research</x:v>
      </x:c>
      <x:c r="D44" s="10" t="n">
        <x:v>1</x:v>
      </x:c>
      <x:c r="E44" s="10" t="n">
        <x:f>SUMIF('Revenue and costs'!$D$8:$D$135,C44,'Revenue and costs'!N8:N135)</x:f>
        <x:v>1687.8</x:v>
      </x:c>
      <x:c r="F44" s="10" t="n">
        <x:f>SUMIF('Revenue and costs'!$D$8:$D$135,C44,'Revenue and costs'!O8:O135)+SUMIF('Revenue and costs'!$D$8:$D$135,C44,'Revenue and costs'!P8:P135)+SUMIF('Revenue and costs'!$D$8:$D$135,C44,'Revenue and costs'!Q8:Q135)+SUMIF('Revenue and costs'!$D$8:$D$135,C44,'Revenue and costs'!R8:R135)+SUMIF('Revenue and costs'!$D$8:$D$135,C44,'Revenue and costs'!S8:S135)+SUMIF('Revenue and costs'!$D$8:$D$135,C44,'Revenue and costs'!T8:T135)+SUMIF('Revenue and costs'!$D$8:$D$135,C44,'Revenue and costs'!U8:U135)+SUMIF('Revenue and costs'!$D$8:$D$135,C44,'Revenue and costs'!V8:V135)+SUMIF('Revenue and costs'!$D$8:$D$135,C44,'Revenue and costs'!AE8:AE135)</x:f>
        <x:v>1112.85</x:v>
      </x:c>
      <x:c r="G44" s="10" t="n">
        <x:f>IF('Income statement'!D50=0,1/39,E44/'Income statement'!D50)*('Shared costs'!H21+'Assumptions'!$D$18*'Assumptions'!$D$19*12*(1+'Assumptions'!$D$13)^(1-1)*'Assumptions'!$D$21)</x:f>
        <x:v>115.6975951555472</x:v>
      </x:c>
      <x:c r="H44" s="10" t="n">
        <x:f>IF('Income statement'!D50=0,1/39,E44/'Income statement'!D50)*'Cash and capital'!D18</x:f>
        <x:v>0.8290168755771511</x:v>
      </x:c>
      <x:c r="I44" s="10" t="n">
        <x:f>E44-F44-G44-H44</x:f>
        <x:v>458.42338796887566</x:v>
      </x:c>
      <x:c r="J44" s="10" t="n">
        <x:f>0</x:f>
        <x:v>0</x:v>
      </x:c>
      <x:c r="K44" s="10" t="n">
        <x:f>MAX(0,I44-J44)</x:f>
        <x:v>458.42338796887566</x:v>
      </x:c>
      <x:c r="L44" s="10" t="n">
        <x:f>K44*'Assumptions'!$D$12</x:f>
        <x:v>114.60584699221891</x:v>
      </x:c>
      <x:c r="M44" s="10" t="n">
        <x:f>MAX(0,J44-I44)</x:f>
        <x:v>0</x:v>
      </x:c>
    </x:row>
    <x:row r="45" ht="16" customHeight="1">
      <x:c r="A45" s="1"/>
      <x:c r="B45" s="1"/>
      <x:c r="C45" s="1" t="str">
        <x:v>Functional Analysis</x:v>
      </x:c>
      <x:c r="D45" s="10" t="n">
        <x:v>1</x:v>
      </x:c>
      <x:c r="E45" s="10" t="n">
        <x:f>SUMIF('Revenue and costs'!$D$8:$D$135,C45,'Revenue and costs'!N8:N135)</x:f>
        <x:v>3940.14</x:v>
      </x:c>
      <x:c r="F45" s="10" t="n">
        <x:f>SUMIF('Revenue and costs'!$D$8:$D$135,C45,'Revenue and costs'!O8:O135)+SUMIF('Revenue and costs'!$D$8:$D$135,C45,'Revenue and costs'!P8:P135)+SUMIF('Revenue and costs'!$D$8:$D$135,C45,'Revenue and costs'!Q8:Q135)+SUMIF('Revenue and costs'!$D$8:$D$135,C45,'Revenue and costs'!R8:R135)+SUMIF('Revenue and costs'!$D$8:$D$135,C45,'Revenue and costs'!S8:S135)+SUMIF('Revenue and costs'!$D$8:$D$135,C45,'Revenue and costs'!T8:T135)+SUMIF('Revenue and costs'!$D$8:$D$135,C45,'Revenue and costs'!U8:U135)+SUMIF('Revenue and costs'!$D$8:$D$135,C45,'Revenue and costs'!V8:V135)+SUMIF('Revenue and costs'!$D$8:$D$135,C45,'Revenue and costs'!AE8:AE135)</x:f>
        <x:v>1973.9196000000002</x:v>
      </x:c>
      <x:c r="G45" s="10" t="n">
        <x:f>IF('Income statement'!D50=0,1/39,E45/'Income statement'!D50)*('Shared costs'!H21+'Assumptions'!$D$18*'Assumptions'!$D$19*12*(1+'Assumptions'!$D$13)^(1-1)*'Assumptions'!$D$21)</x:f>
        <x:v>270.09404110450157</x:v>
      </x:c>
      <x:c r="H45" s="10" t="n">
        <x:f>IF('Income statement'!D50=0,1/39,E45/'Income statement'!D50)*'Cash and capital'!D18</x:f>
        <x:v>1.9353256026404526</x:v>
      </x:c>
      <x:c r="I45" s="10" t="n">
        <x:f>E45-F45-G45-H45</x:f>
        <x:v>1694.1910332928576</x:v>
      </x:c>
      <x:c r="J45" s="10" t="n">
        <x:f>0</x:f>
        <x:v>0</x:v>
      </x:c>
      <x:c r="K45" s="10" t="n">
        <x:f>MAX(0,I45-J45)</x:f>
        <x:v>1694.1910332928576</x:v>
      </x:c>
      <x:c r="L45" s="10" t="n">
        <x:f>K45*'Assumptions'!$D$12</x:f>
        <x:v>423.5477583232144</x:v>
      </x:c>
      <x:c r="M45" s="10" t="n">
        <x:f>MAX(0,J45-I45)</x:f>
        <x:v>0</x:v>
      </x:c>
    </x:row>
    <x:row r="46" ht="16" customHeight="1">
      <x:c r="A46" s="1"/>
      <x:c r="B46" s="1"/>
      <x:c r="C46" s="1" t="str">
        <x:v>Independent candy game</x:v>
      </x:c>
      <x:c r="D46" s="10" t="n">
        <x:v>1</x:v>
      </x:c>
      <x:c r="E46" s="10" t="n">
        <x:f>SUMIF('Revenue and costs'!$D$8:$D$135,C46,'Revenue and costs'!N8:N135)</x:f>
        <x:v>1452.09</x:v>
      </x:c>
      <x:c r="F46" s="10" t="n">
        <x:f>SUMIF('Revenue and costs'!$D$8:$D$135,C46,'Revenue and costs'!O8:O135)+SUMIF('Revenue and costs'!$D$8:$D$135,C46,'Revenue and costs'!P8:P135)+SUMIF('Revenue and costs'!$D$8:$D$135,C46,'Revenue and costs'!Q8:Q135)+SUMIF('Revenue and costs'!$D$8:$D$135,C46,'Revenue and costs'!R8:R135)+SUMIF('Revenue and costs'!$D$8:$D$135,C46,'Revenue and costs'!S8:S135)+SUMIF('Revenue and costs'!$D$8:$D$135,C46,'Revenue and costs'!T8:T135)+SUMIF('Revenue and costs'!$D$8:$D$135,C46,'Revenue and costs'!U8:U135)+SUMIF('Revenue and costs'!$D$8:$D$135,C46,'Revenue and costs'!V8:V135)+SUMIF('Revenue and costs'!$D$8:$D$135,C46,'Revenue and costs'!AE8:AE135)</x:f>
        <x:v>1316.0175</x:v>
      </x:c>
      <x:c r="G46" s="10" t="n">
        <x:f>IF('Income statement'!D50=0,1/39,E46/'Income statement'!D50)*('Shared costs'!H21+'Assumptions'!$D$18*'Assumptions'!$D$19*12*(1+'Assumptions'!$D$13)^(1-1)*'Assumptions'!$D$21)</x:f>
        <x:v>99.53982755623802</x:v>
      </x:c>
      <x:c r="H46" s="10" t="n">
        <x:f>IF('Income statement'!D50=0,1/39,E46/'Income statement'!D50)*'Cash and capital'!D18</x:f>
        <x:v>0.7132403808844799</x:v>
      </x:c>
      <x:c r="I46" s="10" t="n">
        <x:f>E46-F46-G46-H46</x:f>
        <x:v>35.81943206287749</x:v>
      </x:c>
      <x:c r="J46" s="10" t="n">
        <x:f>0</x:f>
        <x:v>0</x:v>
      </x:c>
      <x:c r="K46" s="10" t="n">
        <x:f>MAX(0,I46-J46)</x:f>
        <x:v>35.81943206287749</x:v>
      </x:c>
      <x:c r="L46" s="10" t="n">
        <x:f>K46*'Assumptions'!$D$12</x:f>
        <x:v>8.954858015719372</x:v>
      </x:c>
      <x:c r="M46" s="10" t="n">
        <x:f>MAX(0,J46-I46)</x:f>
        <x:v>0</x:v>
      </x:c>
    </x:row>
    <x:row r="47" ht="16" customHeight="1">
      <x:c r="A47" s="1"/>
      <x:c r="B47" s="1"/>
      <x:c r="C47" s="1" t="str">
        <x:v>ETV courses</x:v>
      </x:c>
      <x:c r="D47" s="10" t="n">
        <x:v>2</x:v>
      </x:c>
      <x:c r="E47" s="10" t="n">
        <x:f>SUMIF('Revenue and costs'!$D$136:$D$263,C47,'Revenue and costs'!N136:N263)</x:f>
        <x:v>23823.19515</x:v>
      </x:c>
      <x:c r="F47" s="10" t="n">
        <x:f>SUMIF('Revenue and costs'!$D$136:$D$263,C47,'Revenue and costs'!O136:O263)+SUMIF('Revenue and costs'!$D$136:$D$263,C47,'Revenue and costs'!P136:P263)+SUMIF('Revenue and costs'!$D$136:$D$263,C47,'Revenue and costs'!Q136:Q263)+SUMIF('Revenue and costs'!$D$136:$D$263,C47,'Revenue and costs'!R136:R263)+SUMIF('Revenue and costs'!$D$136:$D$263,C47,'Revenue and costs'!S136:S263)+SUMIF('Revenue and costs'!$D$136:$D$263,C47,'Revenue and costs'!T136:T263)+SUMIF('Revenue and costs'!$D$136:$D$263,C47,'Revenue and costs'!U136:U263)+SUMIF('Revenue and costs'!$D$136:$D$263,C47,'Revenue and costs'!V136:V263)+SUMIF('Revenue and costs'!$D$136:$D$263,C47,'Revenue and costs'!AE136:AE263)</x:f>
        <x:v>7971.475237500001</x:v>
      </x:c>
      <x:c r="G47" s="10" t="n">
        <x:f>IF('Income statement'!E50=0,1/39,E47/'Income statement'!E50)*('Shared costs'!I21+'Assumptions'!$D$18*'Assumptions'!$D$19*12*(1+'Assumptions'!$D$13)^(2-1)*'Assumptions'!$D$21)</x:f>
        <x:v>1270.5049596226406</x:v>
      </x:c>
      <x:c r="H47" s="10" t="n">
        <x:f>IF('Income statement'!E50=0,1/39,E47/'Income statement'!E50)*'Cash and capital'!E18</x:f>
        <x:v>8.506426961262001</x:v>
      </x:c>
      <x:c r="I47" s="10" t="n">
        <x:f>E47-F47-G47-H47</x:f>
        <x:v>14572.708525916098</x:v>
      </x:c>
      <x:c r="J47" s="10" t="n">
        <x:f>M8</x:f>
        <x:v>0</x:v>
      </x:c>
      <x:c r="K47" s="10" t="n">
        <x:f>MAX(0,I47-J47)</x:f>
        <x:v>14572.708525916098</x:v>
      </x:c>
      <x:c r="L47" s="10" t="n">
        <x:f>K47*'Assumptions'!$D$12</x:f>
        <x:v>3643.1771314790244</x:v>
      </x:c>
      <x:c r="M47" s="10" t="n">
        <x:f>MAX(0,J47-I47)</x:f>
        <x:v>0</x:v>
      </x:c>
    </x:row>
    <x:row r="48" ht="16" customHeight="1">
      <x:c r="A48" s="1"/>
      <x:c r="B48" s="1"/>
      <x:c r="C48" s="1" t="str">
        <x:v>ETV services</x:v>
      </x:c>
      <x:c r="D48" s="10" t="n">
        <x:v>2</x:v>
      </x:c>
      <x:c r="E48" s="10" t="n">
        <x:f>SUMIF('Revenue and costs'!$D$136:$D$263,C48,'Revenue and costs'!N136:N263)</x:f>
        <x:v>64409.94000000001</x:v>
      </x:c>
      <x:c r="F48" s="10" t="n">
        <x:f>SUMIF('Revenue and costs'!$D$136:$D$263,C48,'Revenue and costs'!O136:O263)+SUMIF('Revenue and costs'!$D$136:$D$263,C48,'Revenue and costs'!P136:P263)+SUMIF('Revenue and costs'!$D$136:$D$263,C48,'Revenue and costs'!Q136:Q263)+SUMIF('Revenue and costs'!$D$136:$D$263,C48,'Revenue and costs'!R136:R263)+SUMIF('Revenue and costs'!$D$136:$D$263,C48,'Revenue and costs'!S136:S263)+SUMIF('Revenue and costs'!$D$136:$D$263,C48,'Revenue and costs'!T136:T263)+SUMIF('Revenue and costs'!$D$136:$D$263,C48,'Revenue and costs'!U136:U263)+SUMIF('Revenue and costs'!$D$136:$D$263,C48,'Revenue and costs'!V136:V263)+SUMIF('Revenue and costs'!$D$136:$D$263,C48,'Revenue and costs'!AE136:AE263)</x:f>
        <x:v>40961.2056</x:v>
      </x:c>
      <x:c r="G48" s="10" t="n">
        <x:f>IF('Income statement'!E50=0,1/39,E48/'Income statement'!E50)*('Shared costs'!I21+'Assumptions'!$D$18*'Assumptions'!$D$19*12*(1+'Assumptions'!$D$13)^(2-1)*'Assumptions'!$D$21)</x:f>
        <x:v>3435.019849509847</x:v>
      </x:c>
      <x:c r="H48" s="10" t="n">
        <x:f>IF('Income statement'!E50=0,1/39,E48/'Income statement'!E50)*'Cash and capital'!E18</x:f>
        <x:v>22.99852923755561</x:v>
      </x:c>
      <x:c r="I48" s="10" t="n">
        <x:f>E48-F48-G48-H48</x:f>
        <x:v>19990.716021252603</x:v>
      </x:c>
      <x:c r="J48" s="10" t="n">
        <x:f>M9</x:f>
        <x:v>0</x:v>
      </x:c>
      <x:c r="K48" s="10" t="n">
        <x:f>MAX(0,I48-J48)</x:f>
        <x:v>19990.716021252603</x:v>
      </x:c>
      <x:c r="L48" s="10" t="n">
        <x:f>K48*'Assumptions'!$D$12</x:f>
        <x:v>4997.679005313151</x:v>
      </x:c>
      <x:c r="M48" s="10" t="n">
        <x:f>MAX(0,J48-I48)</x:f>
        <x:v>0</x:v>
      </x:c>
    </x:row>
    <x:row r="49" ht="16" customHeight="1">
      <x:c r="A49" s="1"/>
      <x:c r="B49" s="1"/>
      <x:c r="C49" s="1" t="str">
        <x:v>BPA professional services</x:v>
      </x:c>
      <x:c r="D49" s="10" t="n">
        <x:v>2</x:v>
      </x:c>
      <x:c r="E49" s="10" t="n">
        <x:f>SUMIF('Revenue and costs'!$D$136:$D$263,C49,'Revenue and costs'!N136:N263)</x:f>
        <x:v>366603.2550000001</x:v>
      </x:c>
      <x:c r="F49" s="10" t="n">
        <x:f>SUMIF('Revenue and costs'!$D$136:$D$263,C49,'Revenue and costs'!O136:O263)+SUMIF('Revenue and costs'!$D$136:$D$263,C49,'Revenue and costs'!P136:P263)+SUMIF('Revenue and costs'!$D$136:$D$263,C49,'Revenue and costs'!Q136:Q263)+SUMIF('Revenue and costs'!$D$136:$D$263,C49,'Revenue and costs'!R136:R263)+SUMIF('Revenue and costs'!$D$136:$D$263,C49,'Revenue and costs'!S136:S263)+SUMIF('Revenue and costs'!$D$136:$D$263,C49,'Revenue and costs'!T136:T263)+SUMIF('Revenue and costs'!$D$136:$D$263,C49,'Revenue and costs'!U136:U263)+SUMIF('Revenue and costs'!$D$136:$D$263,C49,'Revenue and costs'!V136:V263)+SUMIF('Revenue and costs'!$D$136:$D$263,C49,'Revenue and costs'!AE136:AE263)</x:f>
        <x:v>164506.78906</x:v>
      </x:c>
      <x:c r="G49" s="10" t="n">
        <x:f>IF('Income statement'!E50=0,1/39,E49/'Income statement'!E50)*('Shared costs'!I21+'Assumptions'!$D$18*'Assumptions'!$D$19*12*(1+'Assumptions'!$D$13)^(2-1)*'Assumptions'!$D$21)</x:f>
        <x:v>19551.166447599862</x:v>
      </x:c>
      <x:c r="H49" s="10" t="n">
        <x:f>IF('Income statement'!E50=0,1/39,E49/'Income statement'!E50)*'Cash and capital'!E18</x:f>
        <x:v>130.90115716146536</x:v>
      </x:c>
      <x:c r="I49" s="10" t="n">
        <x:f>E49-F49-G49-H49</x:f>
        <x:v>182414.3983352388</x:v>
      </x:c>
      <x:c r="J49" s="10" t="n">
        <x:f>M10</x:f>
        <x:v>0</x:v>
      </x:c>
      <x:c r="K49" s="10" t="n">
        <x:f>MAX(0,I49-J49)</x:f>
        <x:v>182414.3983352388</x:v>
      </x:c>
      <x:c r="L49" s="10" t="n">
        <x:f>K49*'Assumptions'!$D$12</x:f>
        <x:v>45603.5995838097</x:v>
      </x:c>
      <x:c r="M49" s="10" t="n">
        <x:f>MAX(0,J49-I49)</x:f>
        <x:v>0</x:v>
      </x:c>
    </x:row>
    <x:row r="50" ht="16" customHeight="1">
      <x:c r="A50" s="1"/>
      <x:c r="B50" s="1"/>
      <x:c r="C50" s="1" t="str">
        <x:v>CornerFlow</x:v>
      </x:c>
      <x:c r="D50" s="10" t="n">
        <x:v>2</x:v>
      </x:c>
      <x:c r="E50" s="10" t="n">
        <x:f>SUMIF('Revenue and costs'!$D$136:$D$263,C50,'Revenue and costs'!N136:N263)</x:f>
        <x:v>7280.79672</x:v>
      </x:c>
      <x:c r="F50" s="10" t="n">
        <x:f>SUMIF('Revenue and costs'!$D$136:$D$263,C50,'Revenue and costs'!O136:O263)+SUMIF('Revenue and costs'!$D$136:$D$263,C50,'Revenue and costs'!P136:P263)+SUMIF('Revenue and costs'!$D$136:$D$263,C50,'Revenue and costs'!Q136:Q263)+SUMIF('Revenue and costs'!$D$136:$D$263,C50,'Revenue and costs'!R136:R263)+SUMIF('Revenue and costs'!$D$136:$D$263,C50,'Revenue and costs'!S136:S263)+SUMIF('Revenue and costs'!$D$136:$D$263,C50,'Revenue and costs'!T136:T263)+SUMIF('Revenue and costs'!$D$136:$D$263,C50,'Revenue and costs'!U136:U263)+SUMIF('Revenue and costs'!$D$136:$D$263,C50,'Revenue and costs'!V136:V263)+SUMIF('Revenue and costs'!$D$136:$D$263,C50,'Revenue and costs'!AE136:AE263)</x:f>
        <x:v>3001.791644</x:v>
      </x:c>
      <x:c r="G50" s="10" t="n">
        <x:f>IF('Income statement'!E50=0,1/39,E50/'Income statement'!E50)*('Shared costs'!I21+'Assumptions'!$D$18*'Assumptions'!$D$19*12*(1+'Assumptions'!$D$13)^(2-1)*'Assumptions'!$D$21)</x:f>
        <x:v>388.2891561992789</x:v>
      </x:c>
      <x:c r="H50" s="10" t="n">
        <x:f>IF('Income statement'!E50=0,1/39,E50/'Income statement'!E50)*'Cash and capital'!E18</x:f>
        <x:v>2.599717003891308</x:v>
      </x:c>
      <x:c r="I50" s="10" t="n">
        <x:f>E50-F50-G50-H50</x:f>
        <x:v>3888.1162027968303</x:v>
      </x:c>
      <x:c r="J50" s="10" t="n">
        <x:f>M11</x:f>
        <x:v>0</x:v>
      </x:c>
      <x:c r="K50" s="10" t="n">
        <x:f>MAX(0,I50-J50)</x:f>
        <x:v>3888.1162027968303</x:v>
      </x:c>
      <x:c r="L50" s="10" t="n">
        <x:f>K50*'Assumptions'!$D$12</x:f>
        <x:v>972.0290506992076</x:v>
      </x:c>
      <x:c r="M50" s="10" t="n">
        <x:f>MAX(0,J50-I50)</x:f>
        <x:v>0</x:v>
      </x:c>
    </x:row>
    <x:row r="51" ht="16" customHeight="1">
      <x:c r="A51" s="1"/>
      <x:c r="B51" s="1"/>
      <x:c r="C51" s="1" t="str">
        <x:v>Spindle</x:v>
      </x:c>
      <x:c r="D51" s="10" t="n">
        <x:v>2</x:v>
      </x:c>
      <x:c r="E51" s="10" t="n">
        <x:f>SUMIF('Revenue and costs'!$D$136:$D$263,C51,'Revenue and costs'!N136:N263)</x:f>
        <x:v>7280.79672</x:v>
      </x:c>
      <x:c r="F51" s="10" t="n">
        <x:f>SUMIF('Revenue and costs'!$D$136:$D$263,C51,'Revenue and costs'!O136:O263)+SUMIF('Revenue and costs'!$D$136:$D$263,C51,'Revenue and costs'!P136:P263)+SUMIF('Revenue and costs'!$D$136:$D$263,C51,'Revenue and costs'!Q136:Q263)+SUMIF('Revenue and costs'!$D$136:$D$263,C51,'Revenue and costs'!R136:R263)+SUMIF('Revenue and costs'!$D$136:$D$263,C51,'Revenue and costs'!S136:S263)+SUMIF('Revenue and costs'!$D$136:$D$263,C51,'Revenue and costs'!T136:T263)+SUMIF('Revenue and costs'!$D$136:$D$263,C51,'Revenue and costs'!U136:U263)+SUMIF('Revenue and costs'!$D$136:$D$263,C51,'Revenue and costs'!V136:V263)+SUMIF('Revenue and costs'!$D$136:$D$263,C51,'Revenue and costs'!AE136:AE263)</x:f>
        <x:v>3001.791644</x:v>
      </x:c>
      <x:c r="G51" s="10" t="n">
        <x:f>IF('Income statement'!E50=0,1/39,E51/'Income statement'!E50)*('Shared costs'!I21+'Assumptions'!$D$18*'Assumptions'!$D$19*12*(1+'Assumptions'!$D$13)^(2-1)*'Assumptions'!$D$21)</x:f>
        <x:v>388.2891561992789</x:v>
      </x:c>
      <x:c r="H51" s="10" t="n">
        <x:f>IF('Income statement'!E50=0,1/39,E51/'Income statement'!E50)*'Cash and capital'!E18</x:f>
        <x:v>2.599717003891308</x:v>
      </x:c>
      <x:c r="I51" s="10" t="n">
        <x:f>E51-F51-G51-H51</x:f>
        <x:v>3888.1162027968303</x:v>
      </x:c>
      <x:c r="J51" s="10" t="n">
        <x:f>M12</x:f>
        <x:v>0</x:v>
      </x:c>
      <x:c r="K51" s="10" t="n">
        <x:f>MAX(0,I51-J51)</x:f>
        <x:v>3888.1162027968303</x:v>
      </x:c>
      <x:c r="L51" s="10" t="n">
        <x:f>K51*'Assumptions'!$D$12</x:f>
        <x:v>972.0290506992076</x:v>
      </x:c>
      <x:c r="M51" s="10" t="n">
        <x:f>MAX(0,J51-I51)</x:f>
        <x:v>0</x:v>
      </x:c>
    </x:row>
    <x:row r="52" ht="16" customHeight="1">
      <x:c r="A52" s="1"/>
      <x:c r="B52" s="1"/>
      <x:c r="C52" s="1" t="str">
        <x:v>Maison Contour</x:v>
      </x:c>
      <x:c r="D52" s="10" t="n">
        <x:v>2</x:v>
      </x:c>
      <x:c r="E52" s="10" t="n">
        <x:f>SUMIF('Revenue and costs'!$D$136:$D$263,C52,'Revenue and costs'!N136:N263)</x:f>
        <x:v>9809.70312</x:v>
      </x:c>
      <x:c r="F52" s="10" t="n">
        <x:f>SUMIF('Revenue and costs'!$D$136:$D$263,C52,'Revenue and costs'!O136:O263)+SUMIF('Revenue and costs'!$D$136:$D$263,C52,'Revenue and costs'!P136:P263)+SUMIF('Revenue and costs'!$D$136:$D$263,C52,'Revenue and costs'!Q136:Q263)+SUMIF('Revenue and costs'!$D$136:$D$263,C52,'Revenue and costs'!R136:R263)+SUMIF('Revenue and costs'!$D$136:$D$263,C52,'Revenue and costs'!S136:S263)+SUMIF('Revenue and costs'!$D$136:$D$263,C52,'Revenue and costs'!T136:T263)+SUMIF('Revenue and costs'!$D$136:$D$263,C52,'Revenue and costs'!U136:U263)+SUMIF('Revenue and costs'!$D$136:$D$263,C52,'Revenue and costs'!V136:V263)+SUMIF('Revenue and costs'!$D$136:$D$263,C52,'Revenue and costs'!AE136:AE263)</x:f>
        <x:v>3203.843444</x:v>
      </x:c>
      <x:c r="G52" s="10" t="n">
        <x:f>IF('Income statement'!E50=0,1/39,E52/'Income statement'!E50)*('Shared costs'!I21+'Assumptions'!$D$18*'Assumptions'!$D$19*12*(1+'Assumptions'!$D$13)^(2-1)*'Assumptions'!$D$21)</x:f>
        <x:v>523.1572166500803</x:v>
      </x:c>
      <x:c r="H52" s="10" t="n">
        <x:f>IF('Income statement'!E50=0,1/39,E52/'Income statement'!E50)*'Cash and capital'!E18</x:f>
        <x:v>3.502700732481049</x:v>
      </x:c>
      <x:c r="I52" s="10" t="n">
        <x:f>E52-F52-G52-H52</x:f>
        <x:v>6079.199758617439</x:v>
      </x:c>
      <x:c r="J52" s="10" t="n">
        <x:f>M13</x:f>
        <x:v>0</x:v>
      </x:c>
      <x:c r="K52" s="10" t="n">
        <x:f>MAX(0,I52-J52)</x:f>
        <x:v>6079.199758617439</x:v>
      </x:c>
      <x:c r="L52" s="10" t="n">
        <x:f>K52*'Assumptions'!$D$12</x:f>
        <x:v>1519.7999396543598</x:v>
      </x:c>
      <x:c r="M52" s="10" t="n">
        <x:f>MAX(0,J52-I52)</x:f>
        <x:v>0</x:v>
      </x:c>
    </x:row>
    <x:row r="53" ht="16" customHeight="1">
      <x:c r="A53" s="1"/>
      <x:c r="B53" s="1"/>
      <x:c r="C53" s="1" t="str">
        <x:v>DishLoom US</x:v>
      </x:c>
      <x:c r="D53" s="10" t="n">
        <x:v>2</x:v>
      </x:c>
      <x:c r="E53" s="10" t="n">
        <x:f>SUMIF('Revenue and costs'!$D$136:$D$263,C53,'Revenue and costs'!N136:N263)</x:f>
        <x:v>7966.055160000002</x:v>
      </x:c>
      <x:c r="F53" s="10" t="n">
        <x:f>SUMIF('Revenue and costs'!$D$136:$D$263,C53,'Revenue and costs'!O136:O263)+SUMIF('Revenue and costs'!$D$136:$D$263,C53,'Revenue and costs'!P136:P263)+SUMIF('Revenue and costs'!$D$136:$D$263,C53,'Revenue and costs'!Q136:Q263)+SUMIF('Revenue and costs'!$D$136:$D$263,C53,'Revenue and costs'!R136:R263)+SUMIF('Revenue and costs'!$D$136:$D$263,C53,'Revenue and costs'!S136:S263)+SUMIF('Revenue and costs'!$D$136:$D$263,C53,'Revenue and costs'!T136:T263)+SUMIF('Revenue and costs'!$D$136:$D$263,C53,'Revenue and costs'!U136:U263)+SUMIF('Revenue and costs'!$D$136:$D$263,C53,'Revenue and costs'!V136:V263)+SUMIF('Revenue and costs'!$D$136:$D$263,C53,'Revenue and costs'!AE136:AE263)</x:f>
        <x:v>5143.880070000001</x:v>
      </x:c>
      <x:c r="G53" s="10" t="n">
        <x:f>IF('Income statement'!E50=0,1/39,E53/'Income statement'!E50)*('Shared costs'!I21+'Assumptions'!$D$18*'Assumptions'!$D$19*12*(1+'Assumptions'!$D$13)^(2-1)*'Assumptions'!$D$21)</x:f>
        <x:v>424.8343904200243</x:v>
      </x:c>
      <x:c r="H53" s="10" t="n">
        <x:f>IF('Income statement'!E50=0,1/39,E53/'Income statement'!E50)*'Cash and capital'!E18</x:f>
        <x:v>2.8443987450576835</x:v>
      </x:c>
      <x:c r="I53" s="10" t="n">
        <x:f>E53-F53-G53-H53</x:f>
        <x:v>2394.4963008349187</x:v>
      </x:c>
      <x:c r="J53" s="10" t="n">
        <x:f>M14</x:f>
        <x:v>0</x:v>
      </x:c>
      <x:c r="K53" s="10" t="n">
        <x:f>MAX(0,I53-J53)</x:f>
        <x:v>2394.4963008349187</x:v>
      </x:c>
      <x:c r="L53" s="10" t="n">
        <x:f>K53*'Assumptions'!$D$12</x:f>
        <x:v>598.6240752087297</x:v>
      </x:c>
      <x:c r="M53" s="10" t="n">
        <x:f>MAX(0,J53-I53)</x:f>
        <x:v>0</x:v>
      </x:c>
    </x:row>
    <x:row r="54" ht="16" customHeight="1">
      <x:c r="A54" s="1"/>
      <x:c r="B54" s="1"/>
      <x:c r="C54" s="1" t="str">
        <x:v>Is Makes Travel Easy</x:v>
      </x:c>
      <x:c r="D54" s="10" t="n">
        <x:v>2</x:v>
      </x:c>
      <x:c r="E54" s="10" t="n">
        <x:f>SUMIF('Revenue and costs'!$D$136:$D$263,C54,'Revenue and costs'!N136:N263)</x:f>
        <x:v>17563.017492000003</x:v>
      </x:c>
      <x:c r="F54" s="10" t="n">
        <x:f>SUMIF('Revenue and costs'!$D$136:$D$263,C54,'Revenue and costs'!O136:O263)+SUMIF('Revenue and costs'!$D$136:$D$263,C54,'Revenue and costs'!P136:P263)+SUMIF('Revenue and costs'!$D$136:$D$263,C54,'Revenue and costs'!Q136:Q263)+SUMIF('Revenue and costs'!$D$136:$D$263,C54,'Revenue and costs'!R136:R263)+SUMIF('Revenue and costs'!$D$136:$D$263,C54,'Revenue and costs'!S136:S263)+SUMIF('Revenue and costs'!$D$136:$D$263,C54,'Revenue and costs'!T136:T263)+SUMIF('Revenue and costs'!$D$136:$D$263,C54,'Revenue and costs'!U136:U263)+SUMIF('Revenue and costs'!$D$136:$D$263,C54,'Revenue and costs'!V136:V263)+SUMIF('Revenue and costs'!$D$136:$D$263,C54,'Revenue and costs'!AE136:AE263)</x:f>
        <x:v>9623.867491560002</x:v>
      </x:c>
      <x:c r="G54" s="10" t="n">
        <x:f>IF('Income statement'!E50=0,1/39,E54/'Income statement'!E50)*('Shared costs'!I21+'Assumptions'!$D$18*'Assumptions'!$D$19*12*(1+'Assumptions'!$D$13)^(2-1)*'Assumptions'!$D$21)</x:f>
        <x:v>936.6460161631676</x:v>
      </x:c>
      <x:c r="H54" s="10" t="n">
        <x:f>IF('Income statement'!E50=0,1/39,E54/'Income statement'!E50)*'Cash and capital'!E18</x:f>
        <x:v>6.271137207851188</x:v>
      </x:c>
      <x:c r="I54" s="10" t="n">
        <x:f>E54-F54-G54-H54</x:f>
        <x:v>6996.232847068982</x:v>
      </x:c>
      <x:c r="J54" s="10" t="n">
        <x:f>M15</x:f>
        <x:v>0</x:v>
      </x:c>
      <x:c r="K54" s="10" t="n">
        <x:f>MAX(0,I54-J54)</x:f>
        <x:v>6996.232847068982</x:v>
      </x:c>
      <x:c r="L54" s="10" t="n">
        <x:f>K54*'Assumptions'!$D$12</x:f>
        <x:v>1749.0582117672454</x:v>
      </x:c>
      <x:c r="M54" s="10" t="n">
        <x:f>MAX(0,J54-I54)</x:f>
        <x:v>0</x:v>
      </x:c>
    </x:row>
    <x:row r="55" ht="16" customHeight="1">
      <x:c r="A55" s="1"/>
      <x:c r="B55" s="1"/>
      <x:c r="C55" s="1" t="str">
        <x:v>Turbo Tax - Made Easy!</x:v>
      </x:c>
      <x:c r="D55" s="10" t="n">
        <x:v>2</x:v>
      </x:c>
      <x:c r="E55" s="10" t="n">
        <x:f>SUMIF('Revenue and costs'!$D$136:$D$263,C55,'Revenue and costs'!N136:N263)</x:f>
        <x:v>62221.0865</x:v>
      </x:c>
      <x:c r="F55" s="10" t="n">
        <x:f>SUMIF('Revenue and costs'!$D$136:$D$263,C55,'Revenue and costs'!O136:O263)+SUMIF('Revenue and costs'!$D$136:$D$263,C55,'Revenue and costs'!P136:P263)+SUMIF('Revenue and costs'!$D$136:$D$263,C55,'Revenue and costs'!Q136:Q263)+SUMIF('Revenue and costs'!$D$136:$D$263,C55,'Revenue and costs'!R136:R263)+SUMIF('Revenue and costs'!$D$136:$D$263,C55,'Revenue and costs'!S136:S263)+SUMIF('Revenue and costs'!$D$136:$D$263,C55,'Revenue and costs'!T136:T263)+SUMIF('Revenue and costs'!$D$136:$D$263,C55,'Revenue and costs'!U136:U263)+SUMIF('Revenue and costs'!$D$136:$D$263,C55,'Revenue and costs'!V136:V263)+SUMIF('Revenue and costs'!$D$136:$D$263,C55,'Revenue and costs'!AE136:AE263)</x:f>
        <x:v>15187.36925</x:v>
      </x:c>
      <x:c r="G55" s="10" t="n">
        <x:f>IF('Income statement'!E50=0,1/39,E55/'Income statement'!E50)*('Shared costs'!I21+'Assumptions'!$D$18*'Assumptions'!$D$19*12*(1+'Assumptions'!$D$13)^(2-1)*'Assumptions'!$D$21)</x:f>
        <x:v>3318.287009513891</x:v>
      </x:c>
      <x:c r="H55" s="10" t="n">
        <x:f>IF('Income statement'!E50=0,1/39,E55/'Income statement'!E50)*'Cash and capital'!E18</x:f>
        <x:v>22.216966466087783</x:v>
      </x:c>
      <x:c r="I55" s="10" t="n">
        <x:f>E55-F55-G55-H55</x:f>
        <x:v>43693.21327402002</x:v>
      </x:c>
      <x:c r="J55" s="10" t="n">
        <x:f>M16</x:f>
        <x:v>0</x:v>
      </x:c>
      <x:c r="K55" s="10" t="n">
        <x:f>MAX(0,I55-J55)</x:f>
        <x:v>43693.21327402002</x:v>
      </x:c>
      <x:c r="L55" s="10" t="n">
        <x:f>K55*'Assumptions'!$D$12</x:f>
        <x:v>10923.303318505004</x:v>
      </x:c>
      <x:c r="M55" s="10" t="n">
        <x:f>MAX(0,J55-I55)</x:f>
        <x:v>0</x:v>
      </x:c>
    </x:row>
    <x:row r="56" ht="16" customHeight="1">
      <x:c r="A56" s="1"/>
      <x:c r="B56" s="1"/>
      <x:c r="C56" s="1" t="str">
        <x:v>LavaLearning adult</x:v>
      </x:c>
      <x:c r="D56" s="10" t="n">
        <x:v>2</x:v>
      </x:c>
      <x:c r="E56" s="10" t="n">
        <x:f>SUMIF('Revenue and costs'!$D$136:$D$263,C56,'Revenue and costs'!N136:N263)</x:f>
        <x:v>31335.4911</x:v>
      </x:c>
      <x:c r="F56" s="10" t="n">
        <x:f>SUMIF('Revenue and costs'!$D$136:$D$263,C56,'Revenue and costs'!O136:O263)+SUMIF('Revenue and costs'!$D$136:$D$263,C56,'Revenue and costs'!P136:P263)+SUMIF('Revenue and costs'!$D$136:$D$263,C56,'Revenue and costs'!Q136:Q263)+SUMIF('Revenue and costs'!$D$136:$D$263,C56,'Revenue and costs'!R136:R263)+SUMIF('Revenue and costs'!$D$136:$D$263,C56,'Revenue and costs'!S136:S263)+SUMIF('Revenue and costs'!$D$136:$D$263,C56,'Revenue and costs'!T136:T263)+SUMIF('Revenue and costs'!$D$136:$D$263,C56,'Revenue and costs'!U136:U263)+SUMIF('Revenue and costs'!$D$136:$D$263,C56,'Revenue and costs'!V136:V263)+SUMIF('Revenue and costs'!$D$136:$D$263,C56,'Revenue and costs'!AE136:AE263)</x:f>
        <x:v>10936.012575</x:v>
      </x:c>
      <x:c r="G56" s="10" t="n">
        <x:f>IF('Income statement'!E50=0,1/39,E56/'Income statement'!E50)*('Shared costs'!I21+'Assumptions'!$D$18*'Assumptions'!$D$19*12*(1+'Assumptions'!$D$13)^(2-1)*'Assumptions'!$D$21)</x:f>
        <x:v>1671.1401054346445</x:v>
      </x:c>
      <x:c r="H56" s="10" t="n">
        <x:f>IF('Income statement'!E50=0,1/39,E56/'Income statement'!E50)*'Cash and capital'!E18</x:f>
        <x:v>11.188804216189508</x:v>
      </x:c>
      <x:c r="I56" s="10" t="n">
        <x:f>E56-F56-G56-H56</x:f>
        <x:v>18717.149615349164</x:v>
      </x:c>
      <x:c r="J56" s="10" t="n">
        <x:f>M17</x:f>
        <x:v>0</x:v>
      </x:c>
      <x:c r="K56" s="10" t="n">
        <x:f>MAX(0,I56-J56)</x:f>
        <x:v>18717.149615349164</x:v>
      </x:c>
      <x:c r="L56" s="10" t="n">
        <x:f>K56*'Assumptions'!$D$12</x:f>
        <x:v>4679.287403837291</x:v>
      </x:c>
      <x:c r="M56" s="10" t="n">
        <x:f>MAX(0,J56-I56)</x:f>
        <x:v>0</x:v>
      </x:c>
    </x:row>
    <x:row r="57" ht="16" customHeight="1">
      <x:c r="A57" s="1"/>
      <x:c r="B57" s="1"/>
      <x:c r="C57" s="1" t="str">
        <x:v>LavaLearning Model Life</x:v>
      </x:c>
      <x:c r="D57" s="10" t="n">
        <x:v>2</x:v>
      </x:c>
      <x:c r="E57" s="10" t="n">
        <x:f>SUMIF('Revenue and costs'!$D$136:$D$263,C57,'Revenue and costs'!N136:N263)</x:f>
        <x:v>0</x:v>
      </x:c>
      <x:c r="F57" s="10" t="n">
        <x:f>SUMIF('Revenue and costs'!$D$136:$D$263,C57,'Revenue and costs'!O136:O263)+SUMIF('Revenue and costs'!$D$136:$D$263,C57,'Revenue and costs'!P136:P263)+SUMIF('Revenue and costs'!$D$136:$D$263,C57,'Revenue and costs'!Q136:Q263)+SUMIF('Revenue and costs'!$D$136:$D$263,C57,'Revenue and costs'!R136:R263)+SUMIF('Revenue and costs'!$D$136:$D$263,C57,'Revenue and costs'!S136:S263)+SUMIF('Revenue and costs'!$D$136:$D$263,C57,'Revenue and costs'!T136:T263)+SUMIF('Revenue and costs'!$D$136:$D$263,C57,'Revenue and costs'!U136:U263)+SUMIF('Revenue and costs'!$D$136:$D$263,C57,'Revenue and costs'!V136:V263)+SUMIF('Revenue and costs'!$D$136:$D$263,C57,'Revenue and costs'!AE136:AE263)</x:f>
        <x:v>0</x:v>
      </x:c>
      <x:c r="G57" s="10" t="n">
        <x:f>IF('Income statement'!E50=0,1/39,E57/'Income statement'!E50)*('Shared costs'!I21+'Assumptions'!$D$18*'Assumptions'!$D$19*12*(1+'Assumptions'!$D$13)^(2-1)*'Assumptions'!$D$21)</x:f>
        <x:v>0</x:v>
      </x:c>
      <x:c r="H57" s="10" t="n">
        <x:f>IF('Income statement'!E50=0,1/39,E57/'Income statement'!E50)*'Cash and capital'!E18</x:f>
        <x:v>0</x:v>
      </x:c>
      <x:c r="I57" s="10" t="n">
        <x:f>E57-F57-G57-H57</x:f>
        <x:v>0</x:v>
      </x:c>
      <x:c r="J57" s="10" t="n">
        <x:f>M18</x:f>
        <x:v>0</x:v>
      </x:c>
      <x:c r="K57" s="10" t="n">
        <x:f>MAX(0,I57-J57)</x:f>
        <x:v>0</x:v>
      </x:c>
      <x:c r="L57" s="10" t="n">
        <x:f>K57*'Assumptions'!$D$12</x:f>
        <x:v>0</x:v>
      </x:c>
      <x:c r="M57" s="10" t="n">
        <x:f>MAX(0,J57-I57)</x:f>
        <x:v>0</x:v>
      </x:c>
    </x:row>
    <x:row r="58" ht="16" customHeight="1">
      <x:c r="A58" s="1"/>
      <x:c r="B58" s="1"/>
      <x:c r="C58" s="1" t="str">
        <x:v>LavaLearning Kids</x:v>
      </x:c>
      <x:c r="D58" s="10" t="n">
        <x:v>2</x:v>
      </x:c>
      <x:c r="E58" s="10" t="n">
        <x:f>SUMIF('Revenue and costs'!$D$136:$D$263,C58,'Revenue and costs'!N136:N263)</x:f>
        <x:v>11138.1705</x:v>
      </x:c>
      <x:c r="F58" s="10" t="n">
        <x:f>SUMIF('Revenue and costs'!$D$136:$D$263,C58,'Revenue and costs'!O136:O263)+SUMIF('Revenue and costs'!$D$136:$D$263,C58,'Revenue and costs'!P136:P263)+SUMIF('Revenue and costs'!$D$136:$D$263,C58,'Revenue and costs'!Q136:Q263)+SUMIF('Revenue and costs'!$D$136:$D$263,C58,'Revenue and costs'!R136:R263)+SUMIF('Revenue and costs'!$D$136:$D$263,C58,'Revenue and costs'!S136:S263)+SUMIF('Revenue and costs'!$D$136:$D$263,C58,'Revenue and costs'!T136:T263)+SUMIF('Revenue and costs'!$D$136:$D$263,C58,'Revenue and costs'!U136:U263)+SUMIF('Revenue and costs'!$D$136:$D$263,C58,'Revenue and costs'!V136:V263)+SUMIF('Revenue and costs'!$D$136:$D$263,C58,'Revenue and costs'!AE136:AE263)</x:f>
        <x:v>6349.624125</x:v>
      </x:c>
      <x:c r="G58" s="10" t="n">
        <x:f>IF('Income statement'!E50=0,1/39,E58/'Income statement'!E50)*('Shared costs'!I21+'Assumptions'!$D$18*'Assumptions'!$D$19*12*(1+'Assumptions'!$D$13)^(2-1)*'Assumptions'!$D$21)</x:f>
        <x:v>594.0051606122443</x:v>
      </x:c>
      <x:c r="H58" s="10" t="n">
        <x:f>IF('Income statement'!E50=0,1/39,E58/'Income statement'!E50)*'Cash and capital'!E18</x:f>
        <x:v>3.977049814005871</x:v>
      </x:c>
      <x:c r="I58" s="10" t="n">
        <x:f>E58-F58-G58-H58</x:f>
        <x:v>4190.56416457375</x:v>
      </x:c>
      <x:c r="J58" s="10" t="n">
        <x:f>M19</x:f>
        <x:v>0</x:v>
      </x:c>
      <x:c r="K58" s="10" t="n">
        <x:f>MAX(0,I58-J58)</x:f>
        <x:v>4190.56416457375</x:v>
      </x:c>
      <x:c r="L58" s="10" t="n">
        <x:f>K58*'Assumptions'!$D$12</x:f>
        <x:v>1047.6410411434374</x:v>
      </x:c>
      <x:c r="M58" s="10" t="n">
        <x:f>MAX(0,J58-I58)</x:f>
        <x:v>0</x:v>
      </x:c>
    </x:row>
    <x:row r="59" ht="16" customHeight="1">
      <x:c r="A59" s="1"/>
      <x:c r="B59" s="1"/>
      <x:c r="C59" s="1" t="str">
        <x:v>VraiSkill adult</x:v>
      </x:c>
      <x:c r="D59" s="10" t="n">
        <x:v>2</x:v>
      </x:c>
      <x:c r="E59" s="10" t="n">
        <x:f>SUMIF('Revenue and costs'!$D$136:$D$263,C59,'Revenue and costs'!N136:N263)</x:f>
        <x:v>22427.12556</x:v>
      </x:c>
      <x:c r="F59" s="10" t="n">
        <x:f>SUMIF('Revenue and costs'!$D$136:$D$263,C59,'Revenue and costs'!O136:O263)+SUMIF('Revenue and costs'!$D$136:$D$263,C59,'Revenue and costs'!P136:P263)+SUMIF('Revenue and costs'!$D$136:$D$263,C59,'Revenue and costs'!Q136:Q263)+SUMIF('Revenue and costs'!$D$136:$D$263,C59,'Revenue and costs'!R136:R263)+SUMIF('Revenue and costs'!$D$136:$D$263,C59,'Revenue and costs'!S136:S263)+SUMIF('Revenue and costs'!$D$136:$D$263,C59,'Revenue and costs'!T136:T263)+SUMIF('Revenue and costs'!$D$136:$D$263,C59,'Revenue and costs'!U136:U263)+SUMIF('Revenue and costs'!$D$136:$D$263,C59,'Revenue and costs'!V136:V263)+SUMIF('Revenue and costs'!$D$136:$D$263,C59,'Revenue and costs'!AE136:AE263)</x:f>
        <x:v>16818.85797</x:v>
      </x:c>
      <x:c r="G59" s="10" t="n">
        <x:f>IF('Income statement'!E50=0,1/39,E59/'Income statement'!E50)*('Shared costs'!I21+'Assumptions'!$D$18*'Assumptions'!$D$19*12*(1+'Assumptions'!$D$13)^(2-1)*'Assumptions'!$D$21)</x:f>
        <x:v>1196.0517501809445</x:v>
      </x:c>
      <x:c r="H59" s="10" t="n">
        <x:f>IF('Income statement'!E50=0,1/39,E59/'Income statement'!E50)*'Cash and capital'!E18</x:f>
        <x:v>8.007939502908876</x:v>
      </x:c>
      <x:c r="I59" s="10" t="n">
        <x:f>E59-F59-G59-H59</x:f>
        <x:v>4404.207900316146</x:v>
      </x:c>
      <x:c r="J59" s="10" t="n">
        <x:f>M20</x:f>
        <x:v>0</x:v>
      </x:c>
      <x:c r="K59" s="10" t="n">
        <x:f>MAX(0,I59-J59)</x:f>
        <x:v>4404.207900316146</x:v>
      </x:c>
      <x:c r="L59" s="10" t="n">
        <x:f>K59*'Assumptions'!$D$12</x:f>
        <x:v>1101.0519750790365</x:v>
      </x:c>
      <x:c r="M59" s="10" t="n">
        <x:f>MAX(0,J59-I59)</x:f>
        <x:v>0</x:v>
      </x:c>
    </x:row>
    <x:row r="60" ht="16" customHeight="1">
      <x:c r="A60" s="1"/>
      <x:c r="B60" s="1"/>
      <x:c r="C60" s="1" t="str">
        <x:v>VraiSkill teen</x:v>
      </x:c>
      <x:c r="D60" s="10" t="n">
        <x:v>2</x:v>
      </x:c>
      <x:c r="E60" s="10" t="n">
        <x:f>SUMIF('Revenue and costs'!$D$136:$D$263,C60,'Revenue and costs'!N136:N263)</x:f>
        <x:v>9379.512</x:v>
      </x:c>
      <x:c r="F60" s="10" t="n">
        <x:f>SUMIF('Revenue and costs'!$D$136:$D$263,C60,'Revenue and costs'!O136:O263)+SUMIF('Revenue and costs'!$D$136:$D$263,C60,'Revenue and costs'!P136:P263)+SUMIF('Revenue and costs'!$D$136:$D$263,C60,'Revenue and costs'!Q136:Q263)+SUMIF('Revenue and costs'!$D$136:$D$263,C60,'Revenue and costs'!R136:R263)+SUMIF('Revenue and costs'!$D$136:$D$263,C60,'Revenue and costs'!S136:S263)+SUMIF('Revenue and costs'!$D$136:$D$263,C60,'Revenue and costs'!T136:T263)+SUMIF('Revenue and costs'!$D$136:$D$263,C60,'Revenue and costs'!U136:U263)+SUMIF('Revenue and costs'!$D$136:$D$263,C60,'Revenue and costs'!V136:V263)+SUMIF('Revenue and costs'!$D$136:$D$263,C60,'Revenue and costs'!AE136:AE263)</x:f>
        <x:v>4471.6065</x:v>
      </x:c>
      <x:c r="G60" s="10" t="n">
        <x:f>IF('Income statement'!E50=0,1/39,E60/'Income statement'!E50)*('Shared costs'!I21+'Assumptions'!$D$18*'Assumptions'!$D$19*12*(1+'Assumptions'!$D$13)^(2-1)*'Assumptions'!$D$21)</x:f>
        <x:v>500.21487209452147</x:v>
      </x:c>
      <x:c r="H60" s="10" t="n">
        <x:f>IF('Income statement'!E50=0,1/39,E60/'Income statement'!E50)*'Cash and capital'!E18</x:f>
        <x:v>3.349094580215471</x:v>
      </x:c>
      <x:c r="I60" s="10" t="n">
        <x:f>E60-F60-G60-H60</x:f>
        <x:v>4404.341533325264</x:v>
      </x:c>
      <x:c r="J60" s="10" t="n">
        <x:f>M21</x:f>
        <x:v>0</x:v>
      </x:c>
      <x:c r="K60" s="10" t="n">
        <x:f>MAX(0,I60-J60)</x:f>
        <x:v>4404.341533325264</x:v>
      </x:c>
      <x:c r="L60" s="10" t="n">
        <x:f>K60*'Assumptions'!$D$12</x:f>
        <x:v>1101.085383331316</x:v>
      </x:c>
      <x:c r="M60" s="10" t="n">
        <x:f>MAX(0,J60-I60)</x:f>
        <x:v>0</x:v>
      </x:c>
    </x:row>
    <x:row r="61" ht="16" customHeight="1">
      <x:c r="A61" s="1"/>
      <x:c r="B61" s="1"/>
      <x:c r="C61" s="1" t="str">
        <x:v>VraiSkill Model Life</x:v>
      </x:c>
      <x:c r="D61" s="10" t="n">
        <x:v>2</x:v>
      </x:c>
      <x:c r="E61" s="10" t="n">
        <x:f>SUMIF('Revenue and costs'!$D$136:$D$263,C61,'Revenue and costs'!N136:N263)</x:f>
        <x:v>0</x:v>
      </x:c>
      <x:c r="F61" s="10" t="n">
        <x:f>SUMIF('Revenue and costs'!$D$136:$D$263,C61,'Revenue and costs'!O136:O263)+SUMIF('Revenue and costs'!$D$136:$D$263,C61,'Revenue and costs'!P136:P263)+SUMIF('Revenue and costs'!$D$136:$D$263,C61,'Revenue and costs'!Q136:Q263)+SUMIF('Revenue and costs'!$D$136:$D$263,C61,'Revenue and costs'!R136:R263)+SUMIF('Revenue and costs'!$D$136:$D$263,C61,'Revenue and costs'!S136:S263)+SUMIF('Revenue and costs'!$D$136:$D$263,C61,'Revenue and costs'!T136:T263)+SUMIF('Revenue and costs'!$D$136:$D$263,C61,'Revenue and costs'!U136:U263)+SUMIF('Revenue and costs'!$D$136:$D$263,C61,'Revenue and costs'!V136:V263)+SUMIF('Revenue and costs'!$D$136:$D$263,C61,'Revenue and costs'!AE136:AE263)</x:f>
        <x:v>0</x:v>
      </x:c>
      <x:c r="G61" s="10" t="n">
        <x:f>IF('Income statement'!E50=0,1/39,E61/'Income statement'!E50)*('Shared costs'!I21+'Assumptions'!$D$18*'Assumptions'!$D$19*12*(1+'Assumptions'!$D$13)^(2-1)*'Assumptions'!$D$21)</x:f>
        <x:v>0</x:v>
      </x:c>
      <x:c r="H61" s="10" t="n">
        <x:f>IF('Income statement'!E50=0,1/39,E61/'Income statement'!E50)*'Cash and capital'!E18</x:f>
        <x:v>0</x:v>
      </x:c>
      <x:c r="I61" s="10" t="n">
        <x:f>E61-F61-G61-H61</x:f>
        <x:v>0</x:v>
      </x:c>
      <x:c r="J61" s="10" t="n">
        <x:f>M22</x:f>
        <x:v>0</x:v>
      </x:c>
      <x:c r="K61" s="10" t="n">
        <x:f>MAX(0,I61-J61)</x:f>
        <x:v>0</x:v>
      </x:c>
      <x:c r="L61" s="10" t="n">
        <x:f>K61*'Assumptions'!$D$12</x:f>
        <x:v>0</x:v>
      </x:c>
      <x:c r="M61" s="10" t="n">
        <x:f>MAX(0,J61-I61)</x:f>
        <x:v>0</x:v>
      </x:c>
    </x:row>
    <x:row r="62" ht="16" customHeight="1">
      <x:c r="A62" s="1"/>
      <x:c r="B62" s="1"/>
      <x:c r="C62" s="1" t="str">
        <x:v>Model Life</x:v>
      </x:c>
      <x:c r="D62" s="10" t="n">
        <x:v>2</x:v>
      </x:c>
      <x:c r="E62" s="10" t="n">
        <x:f>SUMIF('Revenue and costs'!$D$136:$D$263,C62,'Revenue and costs'!N136:N263)</x:f>
        <x:v>22928.751360000006</x:v>
      </x:c>
      <x:c r="F62" s="10" t="n">
        <x:f>SUMIF('Revenue and costs'!$D$136:$D$263,C62,'Revenue and costs'!O136:O263)+SUMIF('Revenue and costs'!$D$136:$D$263,C62,'Revenue and costs'!P136:P263)+SUMIF('Revenue and costs'!$D$136:$D$263,C62,'Revenue and costs'!Q136:Q263)+SUMIF('Revenue and costs'!$D$136:$D$263,C62,'Revenue and costs'!R136:R263)+SUMIF('Revenue and costs'!$D$136:$D$263,C62,'Revenue and costs'!S136:S263)+SUMIF('Revenue and costs'!$D$136:$D$263,C62,'Revenue and costs'!T136:T263)+SUMIF('Revenue and costs'!$D$136:$D$263,C62,'Revenue and costs'!U136:U263)+SUMIF('Revenue and costs'!$D$136:$D$263,C62,'Revenue and costs'!V136:V263)+SUMIF('Revenue and costs'!$D$136:$D$263,C62,'Revenue and costs'!AE136:AE263)</x:f>
        <x:v>7234.192320000002</x:v>
      </x:c>
      <x:c r="G62" s="10" t="n">
        <x:f>IF('Income statement'!E50=0,1/39,E62/'Income statement'!E50)*('Shared costs'!I21+'Assumptions'!$D$18*'Assumptions'!$D$19*12*(1+'Assumptions'!$D$13)^(2-1)*'Assumptions'!$D$21)</x:f>
        <x:v>1222.8037480872658</x:v>
      </x:c>
      <x:c r="H62" s="10" t="n">
        <x:f>IF('Income statement'!E50=0,1/39,E62/'Income statement'!E50)*'Cash and capital'!E18</x:f>
        <x:v>8.187052472546984</x:v>
      </x:c>
      <x:c r="I62" s="10" t="n">
        <x:f>E62-F62-G62-H62</x:f>
        <x:v>14463.56823944019</x:v>
      </x:c>
      <x:c r="J62" s="10" t="n">
        <x:f>M23</x:f>
        <x:v>0</x:v>
      </x:c>
      <x:c r="K62" s="10" t="n">
        <x:f>MAX(0,I62-J62)</x:f>
        <x:v>14463.56823944019</x:v>
      </x:c>
      <x:c r="L62" s="10" t="n">
        <x:f>K62*'Assumptions'!$D$12</x:f>
        <x:v>3615.8920598600475</x:v>
      </x:c>
      <x:c r="M62" s="10" t="n">
        <x:f>MAX(0,J62-I62)</x:f>
        <x:v>0</x:v>
      </x:c>
    </x:row>
    <x:row r="63" ht="16" customHeight="1">
      <x:c r="A63" s="1"/>
      <x:c r="B63" s="1"/>
      <x:c r="C63" s="1" t="str">
        <x:v>S’otality cleaning</x:v>
      </x:c>
      <x:c r="D63" s="10" t="n">
        <x:v>2</x:v>
      </x:c>
      <x:c r="E63" s="10" t="n">
        <x:f>SUMIF('Revenue and costs'!$D$136:$D$263,C63,'Revenue and costs'!N136:N263)</x:f>
        <x:v>122715.67775999999</x:v>
      </x:c>
      <x:c r="F63" s="10" t="n">
        <x:f>SUMIF('Revenue and costs'!$D$136:$D$263,C63,'Revenue and costs'!O136:O263)+SUMIF('Revenue and costs'!$D$136:$D$263,C63,'Revenue and costs'!P136:P263)+SUMIF('Revenue and costs'!$D$136:$D$263,C63,'Revenue and costs'!Q136:Q263)+SUMIF('Revenue and costs'!$D$136:$D$263,C63,'Revenue and costs'!R136:R263)+SUMIF('Revenue and costs'!$D$136:$D$263,C63,'Revenue and costs'!S136:S263)+SUMIF('Revenue and costs'!$D$136:$D$263,C63,'Revenue and costs'!T136:T263)+SUMIF('Revenue and costs'!$D$136:$D$263,C63,'Revenue and costs'!U136:U263)+SUMIF('Revenue and costs'!$D$136:$D$263,C63,'Revenue and costs'!V136:V263)+SUMIF('Revenue and costs'!$D$136:$D$263,C63,'Revenue and costs'!AE136:AE263)</x:f>
        <x:v>104509.37154240001</x:v>
      </x:c>
      <x:c r="G63" s="10" t="n">
        <x:f>IF('Income statement'!E50=0,1/39,E63/'Income statement'!E50)*('Shared costs'!I21+'Assumptions'!$D$18*'Assumptions'!$D$19*12*(1+'Assumptions'!$D$13)^(2-1)*'Assumptions'!$D$21)</x:f>
        <x:v>6544.499016016068</x:v>
      </x:c>
      <x:c r="H63" s="10" t="n">
        <x:f>IF('Income statement'!E50=0,1/39,E63/'Income statement'!E50)*'Cash and capital'!E18</x:f>
        <x:v>43.81746206982667</x:v>
      </x:c>
      <x:c r="I63" s="10" t="n">
        <x:f>E63-F63-G63-H63</x:f>
        <x:v>11617.989739514087</x:v>
      </x:c>
      <x:c r="J63" s="10" t="n">
        <x:f>M24</x:f>
        <x:v>0</x:v>
      </x:c>
      <x:c r="K63" s="10" t="n">
        <x:f>MAX(0,I63-J63)</x:f>
        <x:v>11617.989739514087</x:v>
      </x:c>
      <x:c r="L63" s="10" t="n">
        <x:f>K63*'Assumptions'!$D$12</x:f>
        <x:v>2904.4974348785217</x:v>
      </x:c>
      <x:c r="M63" s="10" t="n">
        <x:f>MAX(0,J63-I63)</x:f>
        <x:v>0</x:v>
      </x:c>
    </x:row>
    <x:row r="64" ht="16" customHeight="1">
      <x:c r="A64" s="1"/>
      <x:c r="B64" s="1"/>
      <x:c r="C64" s="1" t="str">
        <x:v>S’otality laundry</x:v>
      </x:c>
      <x:c r="D64" s="10" t="n">
        <x:v>2</x:v>
      </x:c>
      <x:c r="E64" s="10" t="n">
        <x:f>SUMIF('Revenue and costs'!$D$136:$D$263,C64,'Revenue and costs'!N136:N263)</x:f>
        <x:v>19020.225599999998</x:v>
      </x:c>
      <x:c r="F64" s="10" t="n">
        <x:f>SUMIF('Revenue and costs'!$D$136:$D$263,C64,'Revenue and costs'!O136:O263)+SUMIF('Revenue and costs'!$D$136:$D$263,C64,'Revenue and costs'!P136:P263)+SUMIF('Revenue and costs'!$D$136:$D$263,C64,'Revenue and costs'!Q136:Q263)+SUMIF('Revenue and costs'!$D$136:$D$263,C64,'Revenue and costs'!R136:R263)+SUMIF('Revenue and costs'!$D$136:$D$263,C64,'Revenue and costs'!S136:S263)+SUMIF('Revenue and costs'!$D$136:$D$263,C64,'Revenue and costs'!T136:T263)+SUMIF('Revenue and costs'!$D$136:$D$263,C64,'Revenue and costs'!U136:U263)+SUMIF('Revenue and costs'!$D$136:$D$263,C64,'Revenue and costs'!V136:V263)+SUMIF('Revenue and costs'!$D$136:$D$263,C64,'Revenue and costs'!AE136:AE263)</x:f>
        <x:v>17306.200944</x:v>
      </x:c>
      <x:c r="G64" s="10" t="n">
        <x:f>IF('Income statement'!E50=0,1/39,E64/'Income statement'!E50)*('Shared costs'!I21+'Assumptions'!$D$18*'Assumptions'!$D$19*12*(1+'Assumptions'!$D$13)^(2-1)*'Assumptions'!$D$21)</x:f>
        <x:v>1014.3597786018016</x:v>
      </x:c>
      <x:c r="H64" s="10" t="n">
        <x:f>IF('Income statement'!E50=0,1/39,E64/'Income statement'!E50)*'Cash and capital'!E18</x:f>
        <x:v>6.7914550854495985</x:v>
      </x:c>
      <x:c r="I64" s="10" t="n">
        <x:f>E64-F64-G64-H64</x:f>
        <x:v>692.8734223127466</x:v>
      </x:c>
      <x:c r="J64" s="10" t="n">
        <x:f>M25</x:f>
        <x:v>0</x:v>
      </x:c>
      <x:c r="K64" s="10" t="n">
        <x:f>MAX(0,I64-J64)</x:f>
        <x:v>692.8734223127466</x:v>
      </x:c>
      <x:c r="L64" s="10" t="n">
        <x:f>K64*'Assumptions'!$D$12</x:f>
        <x:v>173.21835557818665</x:v>
      </x:c>
      <x:c r="M64" s="10" t="n">
        <x:f>MAX(0,J64-I64)</x:f>
        <x:v>0</x:v>
      </x:c>
    </x:row>
    <x:row r="65" ht="16" customHeight="1">
      <x:c r="A65" s="1"/>
      <x:c r="B65" s="1"/>
      <x:c r="C65" s="1" t="str">
        <x:v>S’otality Personal Chef</x:v>
      </x:c>
      <x:c r="D65" s="10" t="n">
        <x:v>2</x:v>
      </x:c>
      <x:c r="E65" s="10" t="n">
        <x:f>SUMIF('Revenue and costs'!$D$136:$D$263,C65,'Revenue and costs'!N136:N263)</x:f>
        <x:v>28554.084000000003</x:v>
      </x:c>
      <x:c r="F65" s="10" t="n">
        <x:f>SUMIF('Revenue and costs'!$D$136:$D$263,C65,'Revenue and costs'!O136:O263)+SUMIF('Revenue and costs'!$D$136:$D$263,C65,'Revenue and costs'!P136:P263)+SUMIF('Revenue and costs'!$D$136:$D$263,C65,'Revenue and costs'!Q136:Q263)+SUMIF('Revenue and costs'!$D$136:$D$263,C65,'Revenue and costs'!R136:R263)+SUMIF('Revenue and costs'!$D$136:$D$263,C65,'Revenue and costs'!S136:S263)+SUMIF('Revenue and costs'!$D$136:$D$263,C65,'Revenue and costs'!T136:T263)+SUMIF('Revenue and costs'!$D$136:$D$263,C65,'Revenue and costs'!U136:U263)+SUMIF('Revenue and costs'!$D$136:$D$263,C65,'Revenue and costs'!V136:V263)+SUMIF('Revenue and costs'!$D$136:$D$263,C65,'Revenue and costs'!AE136:AE263)</x:f>
        <x:v>22489.994160000002</x:v>
      </x:c>
      <x:c r="G65" s="10" t="n">
        <x:f>IF('Income statement'!E50=0,1/39,E65/'Income statement'!E50)*('Shared costs'!I21+'Assumptions'!$D$18*'Assumptions'!$D$19*12*(1+'Assumptions'!$D$13)^(2-1)*'Assumptions'!$D$21)</x:f>
        <x:v>1522.806034667499</x:v>
      </x:c>
      <x:c r="H65" s="10" t="n">
        <x:f>IF('Income statement'!E50=0,1/39,E65/'Income statement'!E50)*'Cash and capital'!E18</x:f>
        <x:v>10.195661348630642</x:v>
      </x:c>
      <x:c r="I65" s="10" t="n">
        <x:f>E65-F65-G65-H65</x:f>
        <x:v>4531.08814398387</x:v>
      </x:c>
      <x:c r="J65" s="10" t="n">
        <x:f>M26</x:f>
        <x:v>0</x:v>
      </x:c>
      <x:c r="K65" s="10" t="n">
        <x:f>MAX(0,I65-J65)</x:f>
        <x:v>4531.08814398387</x:v>
      </x:c>
      <x:c r="L65" s="10" t="n">
        <x:f>K65*'Assumptions'!$D$12</x:f>
        <x:v>1132.7720359959676</x:v>
      </x:c>
      <x:c r="M65" s="10" t="n">
        <x:f>MAX(0,J65-I65)</x:f>
        <x:v>0</x:v>
      </x:c>
    </x:row>
    <x:row r="66" ht="16" customHeight="1">
      <x:c r="A66" s="1"/>
      <x:c r="B66" s="1"/>
      <x:c r="C66" s="1" t="str">
        <x:v>S’otality interiors</x:v>
      </x:c>
      <x:c r="D66" s="10" t="n">
        <x:v>2</x:v>
      </x:c>
      <x:c r="E66" s="10" t="n">
        <x:f>SUMIF('Revenue and costs'!$D$136:$D$263,C66,'Revenue and costs'!N136:N263)</x:f>
        <x:v>43712.681399999994</x:v>
      </x:c>
      <x:c r="F66" s="10" t="n">
        <x:f>SUMIF('Revenue and costs'!$D$136:$D$263,C66,'Revenue and costs'!O136:O263)+SUMIF('Revenue and costs'!$D$136:$D$263,C66,'Revenue and costs'!P136:P263)+SUMIF('Revenue and costs'!$D$136:$D$263,C66,'Revenue and costs'!Q136:Q263)+SUMIF('Revenue and costs'!$D$136:$D$263,C66,'Revenue and costs'!R136:R263)+SUMIF('Revenue and costs'!$D$136:$D$263,C66,'Revenue and costs'!S136:S263)+SUMIF('Revenue and costs'!$D$136:$D$263,C66,'Revenue and costs'!T136:T263)+SUMIF('Revenue and costs'!$D$136:$D$263,C66,'Revenue and costs'!U136:U263)+SUMIF('Revenue and costs'!$D$136:$D$263,C66,'Revenue and costs'!V136:V263)+SUMIF('Revenue and costs'!$D$136:$D$263,C66,'Revenue and costs'!AE136:AE263)</x:f>
        <x:v>25969.84359</x:v>
      </x:c>
      <x:c r="G66" s="10" t="n">
        <x:f>IF('Income statement'!E50=0,1/39,E66/'Income statement'!E50)*('Shared costs'!I21+'Assumptions'!$D$18*'Assumptions'!$D$19*12*(1+'Assumptions'!$D$13)^(2-1)*'Assumptions'!$D$21)</x:f>
        <x:v>2331.222918144309</x:v>
      </x:c>
      <x:c r="H66" s="10" t="n">
        <x:f>IF('Income statement'!E50=0,1/39,E66/'Income statement'!E50)*'Cash and capital'!E18</x:f>
        <x:v>15.608264519883932</x:v>
      </x:c>
      <x:c r="I66" s="10" t="n">
        <x:f>E66-F66-G66-H66</x:f>
        <x:v>15396.0066273358</x:v>
      </x:c>
      <x:c r="J66" s="10" t="n">
        <x:f>M27</x:f>
        <x:v>0</x:v>
      </x:c>
      <x:c r="K66" s="10" t="n">
        <x:f>MAX(0,I66-J66)</x:f>
        <x:v>15396.0066273358</x:v>
      </x:c>
      <x:c r="L66" s="10" t="n">
        <x:f>K66*'Assumptions'!$D$12</x:f>
        <x:v>3849.00165683395</x:v>
      </x:c>
      <x:c r="M66" s="10" t="n">
        <x:f>MAX(0,J66-I66)</x:f>
        <x:v>0</x:v>
      </x:c>
    </x:row>
    <x:row r="67" ht="16" customHeight="1">
      <x:c r="A67" s="1"/>
      <x:c r="B67" s="1"/>
      <x:c r="C67" s="1" t="str">
        <x:v>S’otality concierge</x:v>
      </x:c>
      <x:c r="D67" s="10" t="n">
        <x:v>2</x:v>
      </x:c>
      <x:c r="E67" s="10" t="n">
        <x:f>SUMIF('Revenue and costs'!$D$136:$D$263,C67,'Revenue and costs'!N136:N263)</x:f>
        <x:v>16473.51</x:v>
      </x:c>
      <x:c r="F67" s="10" t="n">
        <x:f>SUMIF('Revenue and costs'!$D$136:$D$263,C67,'Revenue and costs'!O136:O263)+SUMIF('Revenue and costs'!$D$136:$D$263,C67,'Revenue and costs'!P136:P263)+SUMIF('Revenue and costs'!$D$136:$D$263,C67,'Revenue and costs'!Q136:Q263)+SUMIF('Revenue and costs'!$D$136:$D$263,C67,'Revenue and costs'!R136:R263)+SUMIF('Revenue and costs'!$D$136:$D$263,C67,'Revenue and costs'!S136:S263)+SUMIF('Revenue and costs'!$D$136:$D$263,C67,'Revenue and costs'!T136:T263)+SUMIF('Revenue and costs'!$D$136:$D$263,C67,'Revenue and costs'!U136:U263)+SUMIF('Revenue and costs'!$D$136:$D$263,C67,'Revenue and costs'!V136:V263)+SUMIF('Revenue and costs'!$D$136:$D$263,C67,'Revenue and costs'!AE136:AE263)</x:f>
        <x:v>8935.3224</x:v>
      </x:c>
      <x:c r="G67" s="10" t="n">
        <x:f>IF('Income statement'!E50=0,1/39,E67/'Income statement'!E50)*('Shared costs'!I21+'Assumptions'!$D$18*'Assumptions'!$D$19*12*(1+'Assumptions'!$D$13)^(2-1)*'Assumptions'!$D$21)</x:f>
        <x:v>878.5419430774031</x:v>
      </x:c>
      <x:c r="H67" s="10" t="n">
        <x:f>IF('Income statement'!E50=0,1/39,E67/'Income statement'!E50)*'Cash and capital'!E18</x:f>
        <x:v>5.882112316517677</x:v>
      </x:c>
      <x:c r="I67" s="10" t="n">
        <x:f>E67-F67-G67-H67</x:f>
        <x:v>6653.7635446060785</x:v>
      </x:c>
      <x:c r="J67" s="10" t="n">
        <x:f>M28</x:f>
        <x:v>0</x:v>
      </x:c>
      <x:c r="K67" s="10" t="n">
        <x:f>MAX(0,I67-J67)</x:f>
        <x:v>6653.7635446060785</x:v>
      </x:c>
      <x:c r="L67" s="10" t="n">
        <x:f>K67*'Assumptions'!$D$12</x:f>
        <x:v>1663.4408861515196</x:v>
      </x:c>
      <x:c r="M67" s="10" t="n">
        <x:f>MAX(0,J67-I67)</x:f>
        <x:v>0</x:v>
      </x:c>
    </x:row>
    <x:row r="68" ht="16" customHeight="1">
      <x:c r="A68" s="1"/>
      <x:c r="B68" s="1"/>
      <x:c r="C68" s="1" t="str">
        <x:v>S’otality administration</x:v>
      </x:c>
      <x:c r="D68" s="10" t="n">
        <x:v>2</x:v>
      </x:c>
      <x:c r="E68" s="10" t="n">
        <x:f>SUMIF('Revenue and costs'!$D$136:$D$263,C68,'Revenue and costs'!N136:N263)</x:f>
        <x:v>26357.616</x:v>
      </x:c>
      <x:c r="F68" s="10" t="n">
        <x:f>SUMIF('Revenue and costs'!$D$136:$D$263,C68,'Revenue and costs'!O136:O263)+SUMIF('Revenue and costs'!$D$136:$D$263,C68,'Revenue and costs'!P136:P263)+SUMIF('Revenue and costs'!$D$136:$D$263,C68,'Revenue and costs'!Q136:Q263)+SUMIF('Revenue and costs'!$D$136:$D$263,C68,'Revenue and costs'!R136:R263)+SUMIF('Revenue and costs'!$D$136:$D$263,C68,'Revenue and costs'!S136:S263)+SUMIF('Revenue and costs'!$D$136:$D$263,C68,'Revenue and costs'!T136:T263)+SUMIF('Revenue and costs'!$D$136:$D$263,C68,'Revenue and costs'!U136:U263)+SUMIF('Revenue and costs'!$D$136:$D$263,C68,'Revenue and costs'!V136:V263)+SUMIF('Revenue and costs'!$D$136:$D$263,C68,'Revenue and costs'!AE136:AE263)</x:f>
        <x:v>19125.01584</x:v>
      </x:c>
      <x:c r="G68" s="10" t="n">
        <x:f>IF('Income statement'!E50=0,1/39,E68/'Income statement'!E50)*('Shared costs'!I21+'Assumptions'!$D$18*'Assumptions'!$D$19*12*(1+'Assumptions'!$D$13)^(2-1)*'Assumptions'!$D$21)</x:f>
        <x:v>1405.6671089238453</x:v>
      </x:c>
      <x:c r="H68" s="10" t="n">
        <x:f>IF('Income statement'!E50=0,1/39,E68/'Income statement'!E50)*'Cash and capital'!E18</x:f>
        <x:v>9.411379706428285</x:v>
      </x:c>
      <x:c r="I68" s="10" t="n">
        <x:f>E68-F68-G68-H68</x:f>
        <x:v>5817.521671369728</x:v>
      </x:c>
      <x:c r="J68" s="10" t="n">
        <x:f>M29</x:f>
        <x:v>0</x:v>
      </x:c>
      <x:c r="K68" s="10" t="n">
        <x:f>MAX(0,I68-J68)</x:f>
        <x:v>5817.521671369728</x:v>
      </x:c>
      <x:c r="L68" s="10" t="n">
        <x:f>K68*'Assumptions'!$D$12</x:f>
        <x:v>1454.380417842432</x:v>
      </x:c>
      <x:c r="M68" s="10" t="n">
        <x:f>MAX(0,J68-I68)</x:f>
        <x:v>0</x:v>
      </x:c>
    </x:row>
    <x:row r="69" ht="16" customHeight="1">
      <x:c r="A69" s="1"/>
      <x:c r="B69" s="1"/>
      <x:c r="C69" s="1" t="str">
        <x:v>S’otality bike tours</x:v>
      </x:c>
      <x:c r="D69" s="10" t="n">
        <x:v>2</x:v>
      </x:c>
      <x:c r="E69" s="10" t="n">
        <x:f>SUMIF('Revenue and costs'!$D$136:$D$263,C69,'Revenue and costs'!N136:N263)</x:f>
        <x:v>11421.633600000001</x:v>
      </x:c>
      <x:c r="F69" s="10" t="n">
        <x:f>SUMIF('Revenue and costs'!$D$136:$D$263,C69,'Revenue and costs'!O136:O263)+SUMIF('Revenue and costs'!$D$136:$D$263,C69,'Revenue and costs'!P136:P263)+SUMIF('Revenue and costs'!$D$136:$D$263,C69,'Revenue and costs'!Q136:Q263)+SUMIF('Revenue and costs'!$D$136:$D$263,C69,'Revenue and costs'!R136:R263)+SUMIF('Revenue and costs'!$D$136:$D$263,C69,'Revenue and costs'!S136:S263)+SUMIF('Revenue and costs'!$D$136:$D$263,C69,'Revenue and costs'!T136:T263)+SUMIF('Revenue and costs'!$D$136:$D$263,C69,'Revenue and costs'!U136:U263)+SUMIF('Revenue and costs'!$D$136:$D$263,C69,'Revenue and costs'!V136:V263)+SUMIF('Revenue and costs'!$D$136:$D$263,C69,'Revenue and costs'!AE136:AE263)</x:f>
        <x:v>9122.892864000001</x:v>
      </x:c>
      <x:c r="G69" s="10" t="n">
        <x:f>IF('Income statement'!E50=0,1/39,E69/'Income statement'!E50)*('Shared costs'!I21+'Assumptions'!$D$18*'Assumptions'!$D$19*12*(1+'Assumptions'!$D$13)^(2-1)*'Assumptions'!$D$21)</x:f>
        <x:v>609.1224138669995</x:v>
      </x:c>
      <x:c r="H69" s="10" t="n">
        <x:f>IF('Income statement'!E50=0,1/39,E69/'Income statement'!E50)*'Cash and capital'!E18</x:f>
        <x:v>4.078264539452256</x:v>
      </x:c>
      <x:c r="I69" s="10" t="n">
        <x:f>E69-F69-G69-H69</x:f>
        <x:v>1685.540057593548</x:v>
      </x:c>
      <x:c r="J69" s="10" t="n">
        <x:f>M30</x:f>
        <x:v>0</x:v>
      </x:c>
      <x:c r="K69" s="10" t="n">
        <x:f>MAX(0,I69-J69)</x:f>
        <x:v>1685.540057593548</x:v>
      </x:c>
      <x:c r="L69" s="10" t="n">
        <x:f>K69*'Assumptions'!$D$12</x:f>
        <x:v>421.385014398387</x:v>
      </x:c>
      <x:c r="M69" s="10" t="n">
        <x:f>MAX(0,J69-I69)</x:f>
        <x:v>0</x:v>
      </x:c>
    </x:row>
    <x:row r="70" ht="16" customHeight="1">
      <x:c r="A70" s="1"/>
      <x:c r="B70" s="1"/>
      <x:c r="C70" s="1" t="str">
        <x:v>S’otality editorial</x:v>
      </x:c>
      <x:c r="D70" s="10" t="n">
        <x:v>2</x:v>
      </x:c>
      <x:c r="E70" s="10" t="n">
        <x:f>SUMIF('Revenue and costs'!$D$136:$D$263,C70,'Revenue and costs'!N136:N263)</x:f>
        <x:v>6163.962000000001</x:v>
      </x:c>
      <x:c r="F70" s="10" t="n">
        <x:f>SUMIF('Revenue and costs'!$D$136:$D$263,C70,'Revenue and costs'!O136:O263)+SUMIF('Revenue and costs'!$D$136:$D$263,C70,'Revenue and costs'!P136:P263)+SUMIF('Revenue and costs'!$D$136:$D$263,C70,'Revenue and costs'!Q136:Q263)+SUMIF('Revenue and costs'!$D$136:$D$263,C70,'Revenue and costs'!R136:R263)+SUMIF('Revenue and costs'!$D$136:$D$263,C70,'Revenue and costs'!S136:S263)+SUMIF('Revenue and costs'!$D$136:$D$263,C70,'Revenue and costs'!T136:T263)+SUMIF('Revenue and costs'!$D$136:$D$263,C70,'Revenue and costs'!U136:U263)+SUMIF('Revenue and costs'!$D$136:$D$263,C70,'Revenue and costs'!V136:V263)+SUMIF('Revenue and costs'!$D$136:$D$263,C70,'Revenue and costs'!AE136:AE263)</x:f>
        <x:v>3321.768360000001</x:v>
      </x:c>
      <x:c r="G70" s="10" t="n">
        <x:f>IF('Income statement'!E50=0,1/39,E70/'Income statement'!E50)*('Shared costs'!I21+'Assumptions'!$D$18*'Assumptions'!$D$19*12*(1+'Assumptions'!$D$13)^(2-1)*'Assumptions'!$D$21)</x:f>
        <x:v>328.72770602836175</x:v>
      </x:c>
      <x:c r="H70" s="10" t="n">
        <x:f>IF('Income statement'!E50=0,1/39,E70/'Income statement'!E50)*'Cash and capital'!E18</x:f>
        <x:v>2.200934518432741</x:v>
      </x:c>
      <x:c r="I70" s="10" t="n">
        <x:f>E70-F70-G70-H70</x:f>
        <x:v>2511.2649994532057</x:v>
      </x:c>
      <x:c r="J70" s="10" t="n">
        <x:f>M31</x:f>
        <x:v>0</x:v>
      </x:c>
      <x:c r="K70" s="10" t="n">
        <x:f>MAX(0,I70-J70)</x:f>
        <x:v>2511.2649994532057</x:v>
      </x:c>
      <x:c r="L70" s="10" t="n">
        <x:f>K70*'Assumptions'!$D$12</x:f>
        <x:v>627.8162498633014</x:v>
      </x:c>
      <x:c r="M70" s="10" t="n">
        <x:f>MAX(0,J70-I70)</x:f>
        <x:v>0</x:v>
      </x:c>
    </x:row>
    <x:row r="71" ht="16" customHeight="1">
      <x:c r="A71" s="1"/>
      <x:c r="B71" s="1"/>
      <x:c r="C71" s="1" t="str">
        <x:v>Tomato Odyssey</x:v>
      </x:c>
      <x:c r="D71" s="10" t="n">
        <x:v>2</x:v>
      </x:c>
      <x:c r="E71" s="10" t="n">
        <x:f>SUMIF('Revenue and costs'!$D$136:$D$263,C71,'Revenue and costs'!N136:N263)</x:f>
        <x:v>6163.962000000001</x:v>
      </x:c>
      <x:c r="F71" s="10" t="n">
        <x:f>SUMIF('Revenue and costs'!$D$136:$D$263,C71,'Revenue and costs'!O136:O263)+SUMIF('Revenue and costs'!$D$136:$D$263,C71,'Revenue and costs'!P136:P263)+SUMIF('Revenue and costs'!$D$136:$D$263,C71,'Revenue and costs'!Q136:Q263)+SUMIF('Revenue and costs'!$D$136:$D$263,C71,'Revenue and costs'!R136:R263)+SUMIF('Revenue and costs'!$D$136:$D$263,C71,'Revenue and costs'!S136:S263)+SUMIF('Revenue and costs'!$D$136:$D$263,C71,'Revenue and costs'!T136:T263)+SUMIF('Revenue and costs'!$D$136:$D$263,C71,'Revenue and costs'!U136:U263)+SUMIF('Revenue and costs'!$D$136:$D$263,C71,'Revenue and costs'!V136:V263)+SUMIF('Revenue and costs'!$D$136:$D$263,C71,'Revenue and costs'!AE136:AE263)</x:f>
        <x:v>3321.768360000001</x:v>
      </x:c>
      <x:c r="G71" s="10" t="n">
        <x:f>IF('Income statement'!E50=0,1/39,E71/'Income statement'!E50)*('Shared costs'!I21+'Assumptions'!$D$18*'Assumptions'!$D$19*12*(1+'Assumptions'!$D$13)^(2-1)*'Assumptions'!$D$21)</x:f>
        <x:v>328.72770602836175</x:v>
      </x:c>
      <x:c r="H71" s="10" t="n">
        <x:f>IF('Income statement'!E50=0,1/39,E71/'Income statement'!E50)*'Cash and capital'!E18</x:f>
        <x:v>2.200934518432741</x:v>
      </x:c>
      <x:c r="I71" s="10" t="n">
        <x:f>E71-F71-G71-H71</x:f>
        <x:v>2511.2649994532057</x:v>
      </x:c>
      <x:c r="J71" s="10" t="n">
        <x:f>M32</x:f>
        <x:v>0</x:v>
      </x:c>
      <x:c r="K71" s="10" t="n">
        <x:f>MAX(0,I71-J71)</x:f>
        <x:v>2511.2649994532057</x:v>
      </x:c>
      <x:c r="L71" s="10" t="n">
        <x:f>K71*'Assumptions'!$D$12</x:f>
        <x:v>627.8162498633014</x:v>
      </x:c>
      <x:c r="M71" s="10" t="n">
        <x:f>MAX(0,J71-I71)</x:f>
        <x:v>0</x:v>
      </x:c>
    </x:row>
    <x:row r="72" ht="16" customHeight="1">
      <x:c r="A72" s="1"/>
      <x:c r="B72" s="1"/>
      <x:c r="C72" s="1" t="str">
        <x:v>Semajes Studio</x:v>
      </x:c>
      <x:c r="D72" s="10" t="n">
        <x:v>2</x:v>
      </x:c>
      <x:c r="E72" s="10" t="n">
        <x:f>SUMIF('Revenue and costs'!$D$136:$D$263,C72,'Revenue and costs'!N136:N263)</x:f>
        <x:v>84829.9626</x:v>
      </x:c>
      <x:c r="F72" s="10" t="n">
        <x:f>SUMIF('Revenue and costs'!$D$136:$D$263,C72,'Revenue and costs'!O136:O263)+SUMIF('Revenue and costs'!$D$136:$D$263,C72,'Revenue and costs'!P136:P263)+SUMIF('Revenue and costs'!$D$136:$D$263,C72,'Revenue and costs'!Q136:Q263)+SUMIF('Revenue and costs'!$D$136:$D$263,C72,'Revenue and costs'!R136:R263)+SUMIF('Revenue and costs'!$D$136:$D$263,C72,'Revenue and costs'!S136:S263)+SUMIF('Revenue and costs'!$D$136:$D$263,C72,'Revenue and costs'!T136:T263)+SUMIF('Revenue and costs'!$D$136:$D$263,C72,'Revenue and costs'!U136:U263)+SUMIF('Revenue and costs'!$D$136:$D$263,C72,'Revenue and costs'!V136:V263)+SUMIF('Revenue and costs'!$D$136:$D$263,C72,'Revenue and costs'!AE136:AE263)</x:f>
        <x:v>51699.1407</x:v>
      </x:c>
      <x:c r="G72" s="10" t="n">
        <x:f>IF('Income statement'!E50=0,1/39,E72/'Income statement'!E50)*('Shared costs'!I21+'Assumptions'!$D$18*'Assumptions'!$D$19*12*(1+'Assumptions'!$D$13)^(2-1)*'Assumptions'!$D$21)</x:f>
        <x:v>4524.0316225132</x:v>
      </x:c>
      <x:c r="H72" s="10" t="n">
        <x:f>IF('Income statement'!E50=0,1/39,E72/'Income statement'!E50)*'Cash and capital'!E18</x:f>
        <x:v>30.289802708663416</x:v>
      </x:c>
      <x:c r="I72" s="10" t="n">
        <x:f>E72-F72-G72-H72</x:f>
        <x:v>28576.50047477813</x:v>
      </x:c>
      <x:c r="J72" s="10" t="n">
        <x:f>M33</x:f>
        <x:v>0</x:v>
      </x:c>
      <x:c r="K72" s="10" t="n">
        <x:f>MAX(0,I72-J72)</x:f>
        <x:v>28576.50047477813</x:v>
      </x:c>
      <x:c r="L72" s="10" t="n">
        <x:f>K72*'Assumptions'!$D$12</x:f>
        <x:v>7144.125118694533</x:v>
      </x:c>
      <x:c r="M72" s="10" t="n">
        <x:f>MAX(0,J72-I72)</x:f>
        <x:v>0</x:v>
      </x:c>
    </x:row>
    <x:row r="73" ht="16" customHeight="1">
      <x:c r="A73" s="1"/>
      <x:c r="B73" s="1"/>
      <x:c r="C73" s="1" t="str">
        <x:v>Semajes Marketplace</x:v>
      </x:c>
      <x:c r="D73" s="10" t="n">
        <x:v>2</x:v>
      </x:c>
      <x:c r="E73" s="10" t="n">
        <x:f>SUMIF('Revenue and costs'!$D$136:$D$263,C73,'Revenue and costs'!N136:N263)</x:f>
        <x:v>15594.922800000002</x:v>
      </x:c>
      <x:c r="F73" s="10" t="n">
        <x:f>SUMIF('Revenue and costs'!$D$136:$D$263,C73,'Revenue and costs'!O136:O263)+SUMIF('Revenue and costs'!$D$136:$D$263,C73,'Revenue and costs'!P136:P263)+SUMIF('Revenue and costs'!$D$136:$D$263,C73,'Revenue and costs'!Q136:Q263)+SUMIF('Revenue and costs'!$D$136:$D$263,C73,'Revenue and costs'!R136:R263)+SUMIF('Revenue and costs'!$D$136:$D$263,C73,'Revenue and costs'!S136:S263)+SUMIF('Revenue and costs'!$D$136:$D$263,C73,'Revenue and costs'!T136:T263)+SUMIF('Revenue and costs'!$D$136:$D$263,C73,'Revenue and costs'!U136:U263)+SUMIF('Revenue and costs'!$D$136:$D$263,C73,'Revenue and costs'!V136:V263)+SUMIF('Revenue and costs'!$D$136:$D$263,C73,'Revenue and costs'!AE136:AE263)</x:f>
        <x:v>7561.573140000001</x:v>
      </x:c>
      <x:c r="G73" s="10" t="n">
        <x:f>IF('Income statement'!E50=0,1/39,E73/'Income statement'!E50)*('Shared costs'!I21+'Assumptions'!$D$18*'Assumptions'!$D$19*12*(1+'Assumptions'!$D$13)^(2-1)*'Assumptions'!$D$21)</x:f>
        <x:v>831.6863727799417</x:v>
      </x:c>
      <x:c r="H73" s="10" t="n">
        <x:f>IF('Income statement'!E50=0,1/39,E73/'Income statement'!E50)*'Cash and capital'!E18</x:f>
        <x:v>5.568399659636735</x:v>
      </x:c>
      <x:c r="I73" s="10" t="n">
        <x:f>E73-F73-G73-H73</x:f>
        <x:v>7196.094887560422</x:v>
      </x:c>
      <x:c r="J73" s="10" t="n">
        <x:f>M34</x:f>
        <x:v>0</x:v>
      </x:c>
      <x:c r="K73" s="10" t="n">
        <x:f>MAX(0,I73-J73)</x:f>
        <x:v>7196.094887560422</x:v>
      </x:c>
      <x:c r="L73" s="10" t="n">
        <x:f>K73*'Assumptions'!$D$12</x:f>
        <x:v>1799.0237218901054</x:v>
      </x:c>
      <x:c r="M73" s="10" t="n">
        <x:f>MAX(0,J73-I73)</x:f>
        <x:v>0</x:v>
      </x:c>
    </x:row>
    <x:row r="74" ht="16" customHeight="1">
      <x:c r="A74" s="1"/>
      <x:c r="B74" s="1"/>
      <x:c r="C74" s="1" t="str">
        <x:v>Semajes premium and media</x:v>
      </x:c>
      <x:c r="D74" s="10" t="n">
        <x:v>2</x:v>
      </x:c>
      <x:c r="E74" s="10" t="n">
        <x:f>SUMIF('Revenue and costs'!$D$136:$D$263,C74,'Revenue and costs'!N136:N263)</x:f>
        <x:v>10878.512364000002</x:v>
      </x:c>
      <x:c r="F74" s="10" t="n">
        <x:f>SUMIF('Revenue and costs'!$D$136:$D$263,C74,'Revenue and costs'!O136:O263)+SUMIF('Revenue and costs'!$D$136:$D$263,C74,'Revenue and costs'!P136:P263)+SUMIF('Revenue and costs'!$D$136:$D$263,C74,'Revenue and costs'!Q136:Q263)+SUMIF('Revenue and costs'!$D$136:$D$263,C74,'Revenue and costs'!R136:R263)+SUMIF('Revenue and costs'!$D$136:$D$263,C74,'Revenue and costs'!S136:S263)+SUMIF('Revenue and costs'!$D$136:$D$263,C74,'Revenue and costs'!T136:T263)+SUMIF('Revenue and costs'!$D$136:$D$263,C74,'Revenue and costs'!U136:U263)+SUMIF('Revenue and costs'!$D$136:$D$263,C74,'Revenue and costs'!V136:V263)+SUMIF('Revenue and costs'!$D$136:$D$263,C74,'Revenue and costs'!AE136:AE263)</x:f>
        <x:v>5621.5728930000005</x:v>
      </x:c>
      <x:c r="G74" s="10" t="n">
        <x:f>IF('Income statement'!E50=0,1/39,E74/'Income statement'!E50)*('Shared costs'!I21+'Assumptions'!$D$18*'Assumptions'!$D$19*12*(1+'Assumptions'!$D$13)^(2-1)*'Assumptions'!$D$21)</x:f>
        <x:v>580.1574400391972</x:v>
      </x:c>
      <x:c r="H74" s="10" t="n">
        <x:f>IF('Income statement'!E50=0,1/39,E74/'Income statement'!E50)*'Cash and capital'!E18</x:f>
        <x:v>3.884335005816869</x:v>
      </x:c>
      <x:c r="I74" s="10" t="n">
        <x:f>E74-F74-G74-H74</x:f>
        <x:v>4672.897695954987</x:v>
      </x:c>
      <x:c r="J74" s="10" t="n">
        <x:f>M35</x:f>
        <x:v>0</x:v>
      </x:c>
      <x:c r="K74" s="10" t="n">
        <x:f>MAX(0,I74-J74)</x:f>
        <x:v>4672.897695954987</x:v>
      </x:c>
      <x:c r="L74" s="10" t="n">
        <x:f>K74*'Assumptions'!$D$12</x:f>
        <x:v>1168.2244239887468</x:v>
      </x:c>
      <x:c r="M74" s="10" t="n">
        <x:f>MAX(0,J74-I74)</x:f>
        <x:v>0</x:v>
      </x:c>
    </x:row>
    <x:row r="75" ht="16" customHeight="1">
      <x:c r="A75" s="1"/>
      <x:c r="B75" s="1"/>
      <x:c r="C75" s="1" t="str">
        <x:v>Semajes courses</x:v>
      </x:c>
      <x:c r="D75" s="10" t="n">
        <x:v>2</x:v>
      </x:c>
      <x:c r="E75" s="10" t="n">
        <x:f>SUMIF('Revenue and costs'!$D$136:$D$263,C75,'Revenue and costs'!N136:N263)</x:f>
        <x:v>9723.823199999999</x:v>
      </x:c>
      <x:c r="F75" s="10" t="n">
        <x:f>SUMIF('Revenue and costs'!$D$136:$D$263,C75,'Revenue and costs'!O136:O263)+SUMIF('Revenue and costs'!$D$136:$D$263,C75,'Revenue and costs'!P136:P263)+SUMIF('Revenue and costs'!$D$136:$D$263,C75,'Revenue and costs'!Q136:Q263)+SUMIF('Revenue and costs'!$D$136:$D$263,C75,'Revenue and costs'!R136:R263)+SUMIF('Revenue and costs'!$D$136:$D$263,C75,'Revenue and costs'!S136:S263)+SUMIF('Revenue and costs'!$D$136:$D$263,C75,'Revenue and costs'!T136:T263)+SUMIF('Revenue and costs'!$D$136:$D$263,C75,'Revenue and costs'!U136:U263)+SUMIF('Revenue and costs'!$D$136:$D$263,C75,'Revenue and costs'!V136:V263)+SUMIF('Revenue and costs'!$D$136:$D$263,C75,'Revenue and costs'!AE136:AE263)</x:f>
        <x:v>2993.8734</x:v>
      </x:c>
      <x:c r="G75" s="10" t="n">
        <x:f>IF('Income statement'!E50=0,1/39,E75/'Income statement'!E50)*('Shared costs'!I21+'Assumptions'!$D$18*'Assumptions'!$D$19*12*(1+'Assumptions'!$D$13)^(2-1)*'Assumptions'!$D$21)</x:f>
        <x:v>518.577190184067</x:v>
      </x:c>
      <x:c r="H75" s="10" t="n">
        <x:f>IF('Income statement'!E50=0,1/39,E75/'Income statement'!E50)*'Cash and capital'!E18</x:f>
        <x:v>3.4720360268309745</x:v>
      </x:c>
      <x:c r="I75" s="10" t="n">
        <x:f>E75-F75-G75-H75</x:f>
        <x:v>6207.9005737891</x:v>
      </x:c>
      <x:c r="J75" s="10" t="n">
        <x:f>M36</x:f>
        <x:v>0</x:v>
      </x:c>
      <x:c r="K75" s="10" t="n">
        <x:f>MAX(0,I75-J75)</x:f>
        <x:v>6207.9005737891</x:v>
      </x:c>
      <x:c r="L75" s="10" t="n">
        <x:f>K75*'Assumptions'!$D$12</x:f>
        <x:v>1551.975143447275</x:v>
      </x:c>
      <x:c r="M75" s="10" t="n">
        <x:f>MAX(0,J75-I75)</x:f>
        <x:v>0</x:v>
      </x:c>
    </x:row>
    <x:row r="76" ht="16" customHeight="1">
      <x:c r="A76" s="1"/>
      <x:c r="B76" s="1"/>
      <x:c r="C76" s="1" t="str">
        <x:v>Sleepy Face</x:v>
      </x:c>
      <x:c r="D76" s="10" t="n">
        <x:v>2</x:v>
      </x:c>
      <x:c r="E76" s="10" t="n">
        <x:f>SUMIF('Revenue and costs'!$D$136:$D$263,C76,'Revenue and costs'!N136:N263)</x:f>
        <x:v>123467.32800000001</x:v>
      </x:c>
      <x:c r="F76" s="10" t="n">
        <x:f>SUMIF('Revenue and costs'!$D$136:$D$263,C76,'Revenue and costs'!O136:O263)+SUMIF('Revenue and costs'!$D$136:$D$263,C76,'Revenue and costs'!P136:P263)+SUMIF('Revenue and costs'!$D$136:$D$263,C76,'Revenue and costs'!Q136:Q263)+SUMIF('Revenue and costs'!$D$136:$D$263,C76,'Revenue and costs'!R136:R263)+SUMIF('Revenue and costs'!$D$136:$D$263,C76,'Revenue and costs'!S136:S263)+SUMIF('Revenue and costs'!$D$136:$D$263,C76,'Revenue and costs'!T136:T263)+SUMIF('Revenue and costs'!$D$136:$D$263,C76,'Revenue and costs'!U136:U263)+SUMIF('Revenue and costs'!$D$136:$D$263,C76,'Revenue and costs'!V136:V263)+SUMIF('Revenue and costs'!$D$136:$D$263,C76,'Revenue and costs'!AE136:AE263)</x:f>
        <x:v>74119.51272000001</x:v>
      </x:c>
      <x:c r="G76" s="10" t="n">
        <x:f>IF('Income statement'!E50=0,1/39,E76/'Income statement'!E50)*('Shared costs'!I21+'Assumptions'!$D$18*'Assumptions'!$D$19*12*(1+'Assumptions'!$D$13)^(2-1)*'Assumptions'!$D$21)</x:f>
        <x:v>6584.58496384165</x:v>
      </x:c>
      <x:c r="H76" s="10" t="n">
        <x:f>IF('Income statement'!E50=0,1/39,E76/'Income statement'!E50)*'Cash and capital'!E18</x:f>
        <x:v>44.08584999288724</x:v>
      </x:c>
      <x:c r="I76" s="10" t="n">
        <x:f>E76-F76-G76-H76</x:f>
        <x:v>42719.14446616546</x:v>
      </x:c>
      <x:c r="J76" s="10" t="n">
        <x:f>M37</x:f>
        <x:v>0</x:v>
      </x:c>
      <x:c r="K76" s="10" t="n">
        <x:f>MAX(0,I76-J76)</x:f>
        <x:v>42719.14446616546</x:v>
      </x:c>
      <x:c r="L76" s="10" t="n">
        <x:f>K76*'Assumptions'!$D$12</x:f>
        <x:v>10679.786116541365</x:v>
      </x:c>
      <x:c r="M76" s="10" t="n">
        <x:f>MAX(0,J76-I76)</x:f>
        <x:v>0</x:v>
      </x:c>
    </x:row>
    <x:row r="77" ht="16" customHeight="1">
      <x:c r="A77" s="1"/>
      <x:c r="B77" s="1"/>
      <x:c r="C77" s="1" t="str">
        <x:v>QzoticMusic</x:v>
      </x:c>
      <x:c r="D77" s="10" t="n">
        <x:v>2</x:v>
      </x:c>
      <x:c r="E77" s="10" t="n">
        <x:f>SUMIF('Revenue and costs'!$D$136:$D$263,C77,'Revenue and costs'!N136:N263)</x:f>
        <x:v>10856.1915</x:v>
      </x:c>
      <x:c r="F77" s="10" t="n">
        <x:f>SUMIF('Revenue and costs'!$D$136:$D$263,C77,'Revenue and costs'!O136:O263)+SUMIF('Revenue and costs'!$D$136:$D$263,C77,'Revenue and costs'!P136:P263)+SUMIF('Revenue and costs'!$D$136:$D$263,C77,'Revenue and costs'!Q136:Q263)+SUMIF('Revenue and costs'!$D$136:$D$263,C77,'Revenue and costs'!R136:R263)+SUMIF('Revenue and costs'!$D$136:$D$263,C77,'Revenue and costs'!S136:S263)+SUMIF('Revenue and costs'!$D$136:$D$263,C77,'Revenue and costs'!T136:T263)+SUMIF('Revenue and costs'!$D$136:$D$263,C77,'Revenue and costs'!U136:U263)+SUMIF('Revenue and costs'!$D$136:$D$263,C77,'Revenue and costs'!V136:V263)+SUMIF('Revenue and costs'!$D$136:$D$263,C77,'Revenue and costs'!AE136:AE263)</x:f>
        <x:v>11308.460445</x:v>
      </x:c>
      <x:c r="G77" s="10" t="n">
        <x:f>IF('Income statement'!E50=0,1/39,E77/'Income statement'!E50)*('Shared costs'!I21+'Assumptions'!$D$18*'Assumptions'!$D$19*12*(1+'Assumptions'!$D$13)^(2-1)*'Assumptions'!$D$21)</x:f>
        <x:v>578.9670552802887</x:v>
      </x:c>
      <x:c r="H77" s="10" t="n">
        <x:f>IF('Income statement'!E50=0,1/39,E77/'Income statement'!E50)*'Cash and capital'!E18</x:f>
        <x:v>3.8763650085880013</x:v>
      </x:c>
      <x:c r="I77" s="10" t="n">
        <x:f>E77-F77-G77-H77</x:f>
        <x:v>-1035.1123652888764</x:v>
      </x:c>
      <x:c r="J77" s="10" t="n">
        <x:f>M38</x:f>
        <x:v>915.5659035556013</x:v>
      </x:c>
      <x:c r="K77" s="10" t="n">
        <x:f>MAX(0,I77-J77)</x:f>
        <x:v>0</x:v>
      </x:c>
      <x:c r="L77" s="10" t="n">
        <x:f>K77*'Assumptions'!$D$12</x:f>
        <x:v>0</x:v>
      </x:c>
      <x:c r="M77" s="10" t="n">
        <x:f>MAX(0,J77-I77)</x:f>
        <x:v>1950.6782688444778</x:v>
      </x:c>
    </x:row>
    <x:row r="78" ht="16" customHeight="1">
      <x:c r="A78" s="1"/>
      <x:c r="B78" s="1"/>
      <x:c r="C78" s="1" t="str">
        <x:v>LesPetitFilms</x:v>
      </x:c>
      <x:c r="D78" s="10" t="n">
        <x:v>2</x:v>
      </x:c>
      <x:c r="E78" s="10" t="n">
        <x:f>SUMIF('Revenue and costs'!$D$136:$D$263,C78,'Revenue and costs'!N136:N263)</x:f>
        <x:v>40506.03600000001</x:v>
      </x:c>
      <x:c r="F78" s="10" t="n">
        <x:f>SUMIF('Revenue and costs'!$D$136:$D$263,C78,'Revenue and costs'!O136:O263)+SUMIF('Revenue and costs'!$D$136:$D$263,C78,'Revenue and costs'!P136:P263)+SUMIF('Revenue and costs'!$D$136:$D$263,C78,'Revenue and costs'!Q136:Q263)+SUMIF('Revenue and costs'!$D$136:$D$263,C78,'Revenue and costs'!R136:R263)+SUMIF('Revenue and costs'!$D$136:$D$263,C78,'Revenue and costs'!S136:S263)+SUMIF('Revenue and costs'!$D$136:$D$263,C78,'Revenue and costs'!T136:T263)+SUMIF('Revenue and costs'!$D$136:$D$263,C78,'Revenue and costs'!U136:U263)+SUMIF('Revenue and costs'!$D$136:$D$263,C78,'Revenue and costs'!V136:V263)+SUMIF('Revenue and costs'!$D$136:$D$263,C78,'Revenue and costs'!AE136:AE263)</x:f>
        <x:v>22297.946080000005</x:v>
      </x:c>
      <x:c r="G78" s="10" t="n">
        <x:f>IF('Income statement'!E50=0,1/39,E78/'Income statement'!E50)*('Shared costs'!I21+'Assumptions'!$D$18*'Assumptions'!$D$19*12*(1+'Assumptions'!$D$13)^(2-1)*'Assumptions'!$D$21)</x:f>
        <x:v>2160.2106396149484</x:v>
      </x:c>
      <x:c r="H78" s="10" t="n">
        <x:f>IF('Income statement'!E50=0,1/39,E78/'Income statement'!E50)*'Cash and capital'!E18</x:f>
        <x:v>14.463283978272298</x:v>
      </x:c>
      <x:c r="I78" s="10" t="n">
        <x:f>E78-F78-G78-H78</x:f>
        <x:v>16033.415996406782</x:v>
      </x:c>
      <x:c r="J78" s="10" t="n">
        <x:f>M39</x:f>
        <x:v>0</x:v>
      </x:c>
      <x:c r="K78" s="10" t="n">
        <x:f>MAX(0,I78-J78)</x:f>
        <x:v>16033.415996406782</x:v>
      </x:c>
      <x:c r="L78" s="10" t="n">
        <x:f>K78*'Assumptions'!$D$12</x:f>
        <x:v>4008.3539991016955</x:v>
      </x:c>
      <x:c r="M78" s="10" t="n">
        <x:f>MAX(0,J78-I78)</x:f>
        <x:v>0</x:v>
      </x:c>
    </x:row>
    <x:row r="79" ht="16" customHeight="1">
      <x:c r="A79" s="1"/>
      <x:c r="B79" s="1"/>
      <x:c r="C79" s="1" t="str">
        <x:v>Learn Anglais</x:v>
      </x:c>
      <x:c r="D79" s="10" t="n">
        <x:v>2</x:v>
      </x:c>
      <x:c r="E79" s="10" t="n">
        <x:f>SUMIF('Revenue and costs'!$D$136:$D$263,C79,'Revenue and costs'!N136:N263)</x:f>
        <x:v>32980.85748</x:v>
      </x:c>
      <x:c r="F79" s="10" t="n">
        <x:f>SUMIF('Revenue and costs'!$D$136:$D$263,C79,'Revenue and costs'!O136:O263)+SUMIF('Revenue and costs'!$D$136:$D$263,C79,'Revenue and costs'!P136:P263)+SUMIF('Revenue and costs'!$D$136:$D$263,C79,'Revenue and costs'!Q136:Q263)+SUMIF('Revenue and costs'!$D$136:$D$263,C79,'Revenue and costs'!R136:R263)+SUMIF('Revenue and costs'!$D$136:$D$263,C79,'Revenue and costs'!S136:S263)+SUMIF('Revenue and costs'!$D$136:$D$263,C79,'Revenue and costs'!T136:T263)+SUMIF('Revenue and costs'!$D$136:$D$263,C79,'Revenue and costs'!U136:U263)+SUMIF('Revenue and costs'!$D$136:$D$263,C79,'Revenue and costs'!V136:V263)+SUMIF('Revenue and costs'!$D$136:$D$263,C79,'Revenue and costs'!AE136:AE263)</x:f>
        <x:v>18715.951134</x:v>
      </x:c>
      <x:c r="G79" s="10" t="n">
        <x:f>IF('Income statement'!E50=0,1/39,E79/'Income statement'!E50)*('Shared costs'!I21+'Assumptions'!$D$18*'Assumptions'!$D$19*12*(1+'Assumptions'!$D$13)^(2-1)*'Assumptions'!$D$21)</x:f>
        <x:v>1758.8884587946409</x:v>
      </x:c>
      <x:c r="H79" s="10" t="n">
        <x:f>IF('Income statement'!E50=0,1/39,E79/'Income statement'!E50)*'Cash and capital'!E18</x:f>
        <x:v>11.776306809685497</x:v>
      </x:c>
      <x:c r="I79" s="10" t="n">
        <x:f>E79-F79-G79-H79</x:f>
        <x:v>12494.241580395674</x:v>
      </x:c>
      <x:c r="J79" s="10" t="n">
        <x:f>M40</x:f>
        <x:v>0</x:v>
      </x:c>
      <x:c r="K79" s="10" t="n">
        <x:f>MAX(0,I79-J79)</x:f>
        <x:v>12494.241580395674</x:v>
      </x:c>
      <x:c r="L79" s="10" t="n">
        <x:f>K79*'Assumptions'!$D$12</x:f>
        <x:v>3123.5603950989184</x:v>
      </x:c>
      <x:c r="M79" s="10" t="n">
        <x:f>MAX(0,J79-I79)</x:f>
        <x:v>0</x:v>
      </x:c>
    </x:row>
    <x:row r="80" ht="16" customHeight="1">
      <x:c r="A80" s="1"/>
      <x:c r="B80" s="1"/>
      <x:c r="C80" s="1" t="str">
        <x:v>Fiefé</x:v>
      </x:c>
      <x:c r="D80" s="10" t="n">
        <x:v>2</x:v>
      </x:c>
      <x:c r="E80" s="10" t="n">
        <x:f>SUMIF('Revenue and costs'!$D$136:$D$263,C80,'Revenue and costs'!N136:N263)</x:f>
        <x:v>29051.976599999995</x:v>
      </x:c>
      <x:c r="F80" s="10" t="n">
        <x:f>SUMIF('Revenue and costs'!$D$136:$D$263,C80,'Revenue and costs'!O136:O263)+SUMIF('Revenue and costs'!$D$136:$D$263,C80,'Revenue and costs'!P136:P263)+SUMIF('Revenue and costs'!$D$136:$D$263,C80,'Revenue and costs'!Q136:Q263)+SUMIF('Revenue and costs'!$D$136:$D$263,C80,'Revenue and costs'!R136:R263)+SUMIF('Revenue and costs'!$D$136:$D$263,C80,'Revenue and costs'!S136:S263)+SUMIF('Revenue and costs'!$D$136:$D$263,C80,'Revenue and costs'!T136:T263)+SUMIF('Revenue and costs'!$D$136:$D$263,C80,'Revenue and costs'!U136:U263)+SUMIF('Revenue and costs'!$D$136:$D$263,C80,'Revenue and costs'!V136:V263)+SUMIF('Revenue and costs'!$D$136:$D$263,C80,'Revenue and costs'!AE136:AE263)</x:f>
        <x:v>21674.534759999995</x:v>
      </x:c>
      <x:c r="G80" s="10" t="n">
        <x:f>IF('Income statement'!E50=0,1/39,E80/'Income statement'!E50)*('Shared costs'!I21+'Assumptions'!$D$18*'Assumptions'!$D$19*12*(1+'Assumptions'!$D$13)^(2-1)*'Assumptions'!$D$21)</x:f>
        <x:v>1549.3589388298697</x:v>
      </x:c>
      <x:c r="H80" s="10" t="n">
        <x:f>IF('Income statement'!E50=0,1/39,E80/'Income statement'!E50)*'Cash and capital'!E18</x:f>
        <x:v>10.373441323557842</x:v>
      </x:c>
      <x:c r="I80" s="10" t="n">
        <x:f>E80-F80-G80-H80</x:f>
        <x:v>5817.709459846572</x:v>
      </x:c>
      <x:c r="J80" s="10" t="n">
        <x:f>M41</x:f>
        <x:v>0</x:v>
      </x:c>
      <x:c r="K80" s="10" t="n">
        <x:f>MAX(0,I80-J80)</x:f>
        <x:v>5817.709459846572</x:v>
      </x:c>
      <x:c r="L80" s="10" t="n">
        <x:f>K80*'Assumptions'!$D$12</x:f>
        <x:v>1454.427364961643</x:v>
      </x:c>
      <x:c r="M80" s="10" t="n">
        <x:f>MAX(0,J80-I80)</x:f>
        <x:v>0</x:v>
      </x:c>
    </x:row>
    <x:row r="81" ht="16" customHeight="1">
      <x:c r="A81" s="1"/>
      <x:c r="B81" s="1"/>
      <x:c r="C81" s="1" t="str">
        <x:v>Fiefé Design</x:v>
      </x:c>
      <x:c r="D81" s="10" t="n">
        <x:v>2</x:v>
      </x:c>
      <x:c r="E81" s="10" t="n">
        <x:f>SUMIF('Revenue and costs'!$D$136:$D$263,C81,'Revenue and costs'!N136:N263)</x:f>
        <x:v>18100.920000000002</x:v>
      </x:c>
      <x:c r="F81" s="10" t="n">
        <x:f>SUMIF('Revenue and costs'!$D$136:$D$263,C81,'Revenue and costs'!O136:O263)+SUMIF('Revenue and costs'!$D$136:$D$263,C81,'Revenue and costs'!P136:P263)+SUMIF('Revenue and costs'!$D$136:$D$263,C81,'Revenue and costs'!Q136:Q263)+SUMIF('Revenue and costs'!$D$136:$D$263,C81,'Revenue and costs'!R136:R263)+SUMIF('Revenue and costs'!$D$136:$D$263,C81,'Revenue and costs'!S136:S263)+SUMIF('Revenue and costs'!$D$136:$D$263,C81,'Revenue and costs'!T136:T263)+SUMIF('Revenue and costs'!$D$136:$D$263,C81,'Revenue and costs'!U136:U263)+SUMIF('Revenue and costs'!$D$136:$D$263,C81,'Revenue and costs'!V136:V263)+SUMIF('Revenue and costs'!$D$136:$D$263,C81,'Revenue and costs'!AE136:AE263)</x:f>
        <x:v>12658.203120000002</x:v>
      </x:c>
      <x:c r="G81" s="10" t="n">
        <x:f>IF('Income statement'!E50=0,1/39,E81/'Income statement'!E50)*('Shared costs'!I21+'Assumptions'!$D$18*'Assumptions'!$D$19*12*(1+'Assumptions'!$D$13)^(2-1)*'Assumptions'!$D$21)</x:f>
        <x:v>965.3326721681432</x:v>
      </x:c>
      <x:c r="H81" s="10" t="n">
        <x:f>IF('Income statement'!E50=0,1/39,E81/'Income statement'!E50)*'Cash and capital'!E18</x:f>
        <x:v>6.463203316858469</x:v>
      </x:c>
      <x:c r="I81" s="10" t="n">
        <x:f>E81-F81-G81-H81</x:f>
        <x:v>4470.9210045149985</x:v>
      </x:c>
      <x:c r="J81" s="10" t="n">
        <x:f>M42</x:f>
        <x:v>0</x:v>
      </x:c>
      <x:c r="K81" s="10" t="n">
        <x:f>MAX(0,I81-J81)</x:f>
        <x:v>4470.9210045149985</x:v>
      </x:c>
      <x:c r="L81" s="10" t="n">
        <x:f>K81*'Assumptions'!$D$12</x:f>
        <x:v>1117.7302511287496</x:v>
      </x:c>
      <x:c r="M81" s="10" t="n">
        <x:f>MAX(0,J81-I81)</x:f>
        <x:v>0</x:v>
      </x:c>
    </x:row>
    <x:row r="82" ht="16" customHeight="1">
      <x:c r="A82" s="1"/>
      <x:c r="B82" s="1"/>
      <x:c r="C82" s="1" t="str">
        <x:v>OsezArt</x:v>
      </x:c>
      <x:c r="D82" s="10" t="n">
        <x:v>2</x:v>
      </x:c>
      <x:c r="E82" s="10" t="n">
        <x:f>SUMIF('Revenue and costs'!$D$136:$D$263,C82,'Revenue and costs'!N136:N263)</x:f>
        <x:v>65963.298</x:v>
      </x:c>
      <x:c r="F82" s="10" t="n">
        <x:f>SUMIF('Revenue and costs'!$D$136:$D$263,C82,'Revenue and costs'!O136:O263)+SUMIF('Revenue and costs'!$D$136:$D$263,C82,'Revenue and costs'!P136:P263)+SUMIF('Revenue and costs'!$D$136:$D$263,C82,'Revenue and costs'!Q136:Q263)+SUMIF('Revenue and costs'!$D$136:$D$263,C82,'Revenue and costs'!R136:R263)+SUMIF('Revenue and costs'!$D$136:$D$263,C82,'Revenue and costs'!S136:S263)+SUMIF('Revenue and costs'!$D$136:$D$263,C82,'Revenue and costs'!T136:T263)+SUMIF('Revenue and costs'!$D$136:$D$263,C82,'Revenue and costs'!U136:U263)+SUMIF('Revenue and costs'!$D$136:$D$263,C82,'Revenue and costs'!V136:V263)+SUMIF('Revenue and costs'!$D$136:$D$263,C82,'Revenue and costs'!AE136:AE263)</x:f>
        <x:v>34547.882750000004</x:v>
      </x:c>
      <x:c r="G82" s="10" t="n">
        <x:f>IF('Income statement'!E50=0,1/39,E82/'Income statement'!E50)*('Shared costs'!I21+'Assumptions'!$D$18*'Assumptions'!$D$19*12*(1+'Assumptions'!$D$13)^(2-1)*'Assumptions'!$D$21)</x:f>
        <x:v>3517.861342040268</x:v>
      </x:c>
      <x:c r="H82" s="10" t="n">
        <x:f>IF('Income statement'!E50=0,1/39,E82/'Income statement'!E50)*'Cash and capital'!E18</x:f>
        <x:v>23.553178867401414</x:v>
      </x:c>
      <x:c r="I82" s="10" t="n">
        <x:f>E82-F82-G82-H82</x:f>
        <x:v>27874.00072909232</x:v>
      </x:c>
      <x:c r="J82" s="10" t="n">
        <x:f>M43</x:f>
        <x:v>0</x:v>
      </x:c>
      <x:c r="K82" s="10" t="n">
        <x:f>MAX(0,I82-J82)</x:f>
        <x:v>27874.00072909232</x:v>
      </x:c>
      <x:c r="L82" s="10" t="n">
        <x:f>K82*'Assumptions'!$D$12</x:f>
        <x:v>6968.50018227308</x:v>
      </x:c>
      <x:c r="M82" s="10" t="n">
        <x:f>MAX(0,J82-I82)</x:f>
        <x:v>0</x:v>
      </x:c>
    </x:row>
    <x:row r="83" ht="16" customHeight="1">
      <x:c r="A83" s="1"/>
      <x:c r="B83" s="1"/>
      <x:c r="C83" s="1" t="str">
        <x:v>FinBot research</x:v>
      </x:c>
      <x:c r="D83" s="10" t="n">
        <x:v>2</x:v>
      </x:c>
      <x:c r="E83" s="10" t="n">
        <x:f>SUMIF('Revenue and costs'!$D$136:$D$263,C83,'Revenue and costs'!N136:N263)</x:f>
        <x:v>3400.0731</x:v>
      </x:c>
      <x:c r="F83" s="10" t="n">
        <x:f>SUMIF('Revenue and costs'!$D$136:$D$263,C83,'Revenue and costs'!O136:O263)+SUMIF('Revenue and costs'!$D$136:$D$263,C83,'Revenue and costs'!P136:P263)+SUMIF('Revenue and costs'!$D$136:$D$263,C83,'Revenue and costs'!Q136:Q263)+SUMIF('Revenue and costs'!$D$136:$D$263,C83,'Revenue and costs'!R136:R263)+SUMIF('Revenue and costs'!$D$136:$D$263,C83,'Revenue and costs'!S136:S263)+SUMIF('Revenue and costs'!$D$136:$D$263,C83,'Revenue and costs'!T136:T263)+SUMIF('Revenue and costs'!$D$136:$D$263,C83,'Revenue and costs'!U136:U263)+SUMIF('Revenue and costs'!$D$136:$D$263,C83,'Revenue and costs'!V136:V263)+SUMIF('Revenue and costs'!$D$136:$D$263,C83,'Revenue and costs'!AE136:AE263)</x:f>
        <x:v>2019.065325</x:v>
      </x:c>
      <x:c r="G83" s="10" t="n">
        <x:f>IF('Income statement'!E50=0,1/39,E83/'Income statement'!E50)*('Shared costs'!I21+'Assumptions'!$D$18*'Assumptions'!$D$19*12*(1+'Assumptions'!$D$13)^(2-1)*'Assumptions'!$D$21)</x:f>
        <x:v>181.327891134264</x:v>
      </x:c>
      <x:c r="H83" s="10" t="n">
        <x:f>IF('Income statement'!E50=0,1/39,E83/'Income statement'!E50)*'Cash and capital'!E18</x:f>
        <x:v>1.214046785328108</x:v>
      </x:c>
      <x:c r="I83" s="10" t="n">
        <x:f>E83-F83-G83-H83</x:f>
        <x:v>1198.465837080408</x:v>
      </x:c>
      <x:c r="J83" s="10" t="n">
        <x:f>M44</x:f>
        <x:v>0</x:v>
      </x:c>
      <x:c r="K83" s="10" t="n">
        <x:f>MAX(0,I83-J83)</x:f>
        <x:v>1198.465837080408</x:v>
      </x:c>
      <x:c r="L83" s="10" t="n">
        <x:f>K83*'Assumptions'!$D$12</x:f>
        <x:v>299.616459270102</x:v>
      </x:c>
      <x:c r="M83" s="10" t="n">
        <x:f>MAX(0,J83-I83)</x:f>
        <x:v>0</x:v>
      </x:c>
    </x:row>
    <x:row r="84" ht="16" customHeight="1">
      <x:c r="A84" s="1"/>
      <x:c r="B84" s="1"/>
      <x:c r="C84" s="1" t="str">
        <x:v>Functional Analysis</x:v>
      </x:c>
      <x:c r="D84" s="10" t="n">
        <x:v>2</x:v>
      </x:c>
      <x:c r="E84" s="10" t="n">
        <x:f>SUMIF('Revenue and costs'!$D$136:$D$263,C84,'Revenue and costs'!N136:N263)</x:f>
        <x:v>7276.24548</x:v>
      </x:c>
      <x:c r="F84" s="10" t="n">
        <x:f>SUMIF('Revenue and costs'!$D$136:$D$263,C84,'Revenue and costs'!O136:O263)+SUMIF('Revenue and costs'!$D$136:$D$263,C84,'Revenue and costs'!P136:P263)+SUMIF('Revenue and costs'!$D$136:$D$263,C84,'Revenue and costs'!Q136:Q263)+SUMIF('Revenue and costs'!$D$136:$D$263,C84,'Revenue and costs'!R136:R263)+SUMIF('Revenue and costs'!$D$136:$D$263,C84,'Revenue and costs'!S136:S263)+SUMIF('Revenue and costs'!$D$136:$D$263,C84,'Revenue and costs'!T136:T263)+SUMIF('Revenue and costs'!$D$136:$D$263,C84,'Revenue and costs'!U136:U263)+SUMIF('Revenue and costs'!$D$136:$D$263,C84,'Revenue and costs'!V136:V263)+SUMIF('Revenue and costs'!$D$136:$D$263,C84,'Revenue and costs'!AE136:AE263)</x:f>
        <x:v>3628.6347372</x:v>
      </x:c>
      <x:c r="G84" s="10" t="n">
        <x:f>IF('Income statement'!E50=0,1/39,E84/'Income statement'!E50)*('Shared costs'!I21+'Assumptions'!$D$18*'Assumptions'!$D$19*12*(1+'Assumptions'!$D$13)^(2-1)*'Assumptions'!$D$21)</x:f>
        <x:v>388.04643590269296</x:v>
      </x:c>
      <x:c r="H84" s="10" t="n">
        <x:f>IF('Income statement'!E50=0,1/39,E84/'Income statement'!E50)*'Cash and capital'!E18</x:f>
        <x:v>2.598091915803862</x:v>
      </x:c>
      <x:c r="I84" s="10" t="n">
        <x:f>E84-F84-G84-H84</x:f>
        <x:v>3256.966214981503</x:v>
      </x:c>
      <x:c r="J84" s="10" t="n">
        <x:f>M45</x:f>
        <x:v>0</x:v>
      </x:c>
      <x:c r="K84" s="10" t="n">
        <x:f>MAX(0,I84-J84)</x:f>
        <x:v>3256.966214981503</x:v>
      </x:c>
      <x:c r="L84" s="10" t="n">
        <x:f>K84*'Assumptions'!$D$12</x:f>
        <x:v>814.2415537453758</x:v>
      </x:c>
      <x:c r="M84" s="10" t="n">
        <x:f>MAX(0,J84-I84)</x:f>
        <x:v>0</x:v>
      </x:c>
    </x:row>
    <x:row r="85" ht="16" customHeight="1">
      <x:c r="A85" s="1"/>
      <x:c r="B85" s="1"/>
      <x:c r="C85" s="1" t="str">
        <x:v>Independent candy game</x:v>
      </x:c>
      <x:c r="D85" s="10" t="n">
        <x:v>2</x:v>
      </x:c>
      <x:c r="E85" s="10" t="n">
        <x:f>SUMIF('Revenue and costs'!$D$136:$D$263,C85,'Revenue and costs'!N136:N263)</x:f>
        <x:v>2925.235305</x:v>
      </x:c>
      <x:c r="F85" s="10" t="n">
        <x:f>SUMIF('Revenue and costs'!$D$136:$D$263,C85,'Revenue and costs'!O136:O263)+SUMIF('Revenue and costs'!$D$136:$D$263,C85,'Revenue and costs'!P136:P263)+SUMIF('Revenue and costs'!$D$136:$D$263,C85,'Revenue and costs'!Q136:Q263)+SUMIF('Revenue and costs'!$D$136:$D$263,C85,'Revenue and costs'!R136:R263)+SUMIF('Revenue and costs'!$D$136:$D$263,C85,'Revenue and costs'!S136:S263)+SUMIF('Revenue and costs'!$D$136:$D$263,C85,'Revenue and costs'!T136:T263)+SUMIF('Revenue and costs'!$D$136:$D$263,C85,'Revenue and costs'!U136:U263)+SUMIF('Revenue and costs'!$D$136:$D$263,C85,'Revenue and costs'!V136:V263)+SUMIF('Revenue and costs'!$D$136:$D$263,C85,'Revenue and costs'!AE136:AE263)</x:f>
        <x:v>2669.4847537499995</x:v>
      </x:c>
      <x:c r="G85" s="10" t="n">
        <x:f>IF('Income statement'!E50=0,1/39,E85/'Income statement'!E50)*('Shared costs'!I21+'Assumptions'!$D$18*'Assumptions'!$D$19*12*(1+'Assumptions'!$D$13)^(2-1)*'Assumptions'!$D$21)</x:f>
        <x:v>156.00451323447888</x:v>
      </x:c>
      <x:c r="H85" s="10" t="n">
        <x:f>IF('Income statement'!E50=0,1/39,E85/'Income statement'!E50)*'Cash and capital'!E18</x:f>
        <x:v>1.0444988722046997</x:v>
      </x:c>
      <x:c r="I85" s="10" t="n">
        <x:f>E85-F85-G85-H85</x:f>
        <x:v>98.70153914331705</x:v>
      </x:c>
      <x:c r="J85" s="10" t="n">
        <x:f>M46</x:f>
        <x:v>0</x:v>
      </x:c>
      <x:c r="K85" s="10" t="n">
        <x:f>MAX(0,I85-J85)</x:f>
        <x:v>98.70153914331705</x:v>
      </x:c>
      <x:c r="L85" s="10" t="n">
        <x:f>K85*'Assumptions'!$D$12</x:f>
        <x:v>24.675384785829262</x:v>
      </x:c>
      <x:c r="M85" s="10" t="n">
        <x:f>MAX(0,J85-I85)</x:f>
        <x:v>0</x:v>
      </x:c>
    </x:row>
    <x:row r="86" ht="16" customHeight="1">
      <x:c r="A86" s="1"/>
      <x:c r="B86" s="1"/>
      <x:c r="C86" s="1" t="str">
        <x:v>ETV courses</x:v>
      </x:c>
      <x:c r="D86" s="10" t="n">
        <x:v>3</x:v>
      </x:c>
      <x:c r="E86" s="10" t="n">
        <x:f>SUMIF('Revenue and costs'!$D$264:$D$391,C86,'Revenue and costs'!N264:N391)</x:f>
        <x:v>27568.355023199998</x:v>
      </x:c>
      <x:c r="F86" s="10" t="n">
        <x:f>SUMIF('Revenue and costs'!$D$264:$D$391,C86,'Revenue and costs'!O264:O391)+SUMIF('Revenue and costs'!$D$264:$D$391,C86,'Revenue and costs'!P264:P391)+SUMIF('Revenue and costs'!$D$264:$D$391,C86,'Revenue and costs'!Q264:Q391)+SUMIF('Revenue and costs'!$D$264:$D$391,C86,'Revenue and costs'!R264:R391)+SUMIF('Revenue and costs'!$D$264:$D$391,C86,'Revenue and costs'!S264:S391)+SUMIF('Revenue and costs'!$D$264:$D$391,C86,'Revenue and costs'!T264:T391)+SUMIF('Revenue and costs'!$D$264:$D$391,C86,'Revenue and costs'!U264:U391)+SUMIF('Revenue and costs'!$D$264:$D$391,C86,'Revenue and costs'!V264:V391)+SUMIF('Revenue and costs'!$D$264:$D$391,C86,'Revenue and costs'!AE264:AE391)</x:f>
        <x:v>9330.505748399999</x:v>
      </x:c>
      <x:c r="G86" s="10" t="n">
        <x:f>IF('Income statement'!F50=0,1/39,E86/'Income statement'!F50)*('Shared costs'!J21+'Assumptions'!$D$18*'Assumptions'!$D$19*12*(1+'Assumptions'!$D$13)^(3-1)*'Assumptions'!$D$21)</x:f>
        <x:v>1303.2482045208644</x:v>
      </x:c>
      <x:c r="H86" s="10" t="n">
        <x:f>IF('Income statement'!F50=0,1/39,E86/'Income statement'!F50)*'Cash and capital'!F18</x:f>
        <x:v>8.149999775538502</x:v>
      </x:c>
      <x:c r="I86" s="10" t="n">
        <x:f>E86-F86-G86-H86</x:f>
        <x:v>16926.451070503597</x:v>
      </x:c>
      <x:c r="J86" s="10" t="n">
        <x:f>M47</x:f>
        <x:v>0</x:v>
      </x:c>
      <x:c r="K86" s="10" t="n">
        <x:f>MAX(0,I86-J86)</x:f>
        <x:v>16926.451070503597</x:v>
      </x:c>
      <x:c r="L86" s="10" t="n">
        <x:f>K86*'Assumptions'!$D$12</x:f>
        <x:v>4231.612767625899</x:v>
      </x:c>
      <x:c r="M86" s="10" t="n">
        <x:f>MAX(0,J86-I86)</x:f>
        <x:v>0</x:v>
      </x:c>
    </x:row>
    <x:row r="87" ht="16" customHeight="1">
      <x:c r="A87" s="1"/>
      <x:c r="B87" s="1"/>
      <x:c r="C87" s="1" t="str">
        <x:v>ETV services</x:v>
      </x:c>
      <x:c r="D87" s="10" t="n">
        <x:v>3</x:v>
      </x:c>
      <x:c r="E87" s="10" t="n">
        <x:f>SUMIF('Revenue and costs'!$D$264:$D$391,C87,'Revenue and costs'!N264:N391)</x:f>
        <x:v>70703.71128</x:v>
      </x:c>
      <x:c r="F87" s="10" t="n">
        <x:f>SUMIF('Revenue and costs'!$D$264:$D$391,C87,'Revenue and costs'!O264:O391)+SUMIF('Revenue and costs'!$D$264:$D$391,C87,'Revenue and costs'!P264:P391)+SUMIF('Revenue and costs'!$D$264:$D$391,C87,'Revenue and costs'!Q264:Q391)+SUMIF('Revenue and costs'!$D$264:$D$391,C87,'Revenue and costs'!R264:R391)+SUMIF('Revenue and costs'!$D$264:$D$391,C87,'Revenue and costs'!S264:S391)+SUMIF('Revenue and costs'!$D$264:$D$391,C87,'Revenue and costs'!T264:T391)+SUMIF('Revenue and costs'!$D$264:$D$391,C87,'Revenue and costs'!U264:U391)+SUMIF('Revenue and costs'!$D$264:$D$391,C87,'Revenue and costs'!V264:V391)+SUMIF('Revenue and costs'!$D$264:$D$391,C87,'Revenue and costs'!AE264:AE391)</x:f>
        <x:v>45355.66364720001</x:v>
      </x:c>
      <x:c r="G87" s="10" t="n">
        <x:f>IF('Income statement'!F50=0,1/39,E87/'Income statement'!F50)*('Shared costs'!J21+'Assumptions'!$D$18*'Assumptions'!$D$19*12*(1+'Assumptions'!$D$13)^(3-1)*'Assumptions'!$D$21)</x:f>
        <x:v>3342.4005422549844</x:v>
      </x:c>
      <x:c r="H87" s="10" t="n">
        <x:f>IF('Income statement'!F50=0,1/39,E87/'Income statement'!F50)*'Cash and capital'!F18</x:f>
        <x:v>20.90205348040576</x:v>
      </x:c>
      <x:c r="I87" s="10" t="n">
        <x:f>E87-F87-G87-H87</x:f>
        <x:v>21984.745037064604</x:v>
      </x:c>
      <x:c r="J87" s="10" t="n">
        <x:f>M48</x:f>
        <x:v>0</x:v>
      </x:c>
      <x:c r="K87" s="10" t="n">
        <x:f>MAX(0,I87-J87)</x:f>
        <x:v>21984.745037064604</x:v>
      </x:c>
      <x:c r="L87" s="10" t="n">
        <x:f>K87*'Assumptions'!$D$12</x:f>
        <x:v>5496.186259266151</x:v>
      </x:c>
      <x:c r="M87" s="10" t="n">
        <x:f>MAX(0,J87-I87)</x:f>
        <x:v>0</x:v>
      </x:c>
    </x:row>
    <x:row r="88" ht="16" customHeight="1">
      <x:c r="A88" s="1"/>
      <x:c r="B88" s="1"/>
      <x:c r="C88" s="1" t="str">
        <x:v>BPA professional services</x:v>
      </x:c>
      <x:c r="D88" s="10" t="n">
        <x:v>3</x:v>
      </x:c>
      <x:c r="E88" s="10" t="n">
        <x:f>SUMIF('Revenue and costs'!$D$264:$D$391,C88,'Revenue and costs'!N264:N391)</x:f>
        <x:v>431407.35741000006</x:v>
      </x:c>
      <x:c r="F88" s="10" t="n">
        <x:f>SUMIF('Revenue and costs'!$D$264:$D$391,C88,'Revenue and costs'!O264:O391)+SUMIF('Revenue and costs'!$D$264:$D$391,C88,'Revenue and costs'!P264:P391)+SUMIF('Revenue and costs'!$D$264:$D$391,C88,'Revenue and costs'!Q264:Q391)+SUMIF('Revenue and costs'!$D$264:$D$391,C88,'Revenue and costs'!R264:R391)+SUMIF('Revenue and costs'!$D$264:$D$391,C88,'Revenue and costs'!S264:S391)+SUMIF('Revenue and costs'!$D$264:$D$391,C88,'Revenue and costs'!T264:T391)+SUMIF('Revenue and costs'!$D$264:$D$391,C88,'Revenue and costs'!U264:U391)+SUMIF('Revenue and costs'!$D$264:$D$391,C88,'Revenue and costs'!V264:V391)+SUMIF('Revenue and costs'!$D$264:$D$391,C88,'Revenue and costs'!AE264:AE391)</x:f>
        <x:v>197905.71924058</x:v>
      </x:c>
      <x:c r="G88" s="10" t="n">
        <x:f>IF('Income statement'!F50=0,1/39,E88/'Income statement'!F50)*('Shared costs'!J21+'Assumptions'!$D$18*'Assumptions'!$D$19*12*(1+'Assumptions'!$D$13)^(3-1)*'Assumptions'!$D$21)</x:f>
        <x:v>20394.066439166614</x:v>
      </x:c>
      <x:c r="H88" s="10" t="n">
        <x:f>IF('Income statement'!F50=0,1/39,E88/'Income statement'!F50)*'Cash and capital'!F18</x:f>
        <x:v>127.5364403533803</x:v>
      </x:c>
      <x:c r="I88" s="10" t="n">
        <x:f>E88-F88-G88-H88</x:f>
        <x:v>212980.0352899001</x:v>
      </x:c>
      <x:c r="J88" s="10" t="n">
        <x:f>M49</x:f>
        <x:v>0</x:v>
      </x:c>
      <x:c r="K88" s="10" t="n">
        <x:f>MAX(0,I88-J88)</x:f>
        <x:v>212980.0352899001</x:v>
      </x:c>
      <x:c r="L88" s="10" t="n">
        <x:f>K88*'Assumptions'!$D$12</x:f>
        <x:v>53245.00882247502</x:v>
      </x:c>
      <x:c r="M88" s="10" t="n">
        <x:f>MAX(0,J88-I88)</x:f>
        <x:v>0</x:v>
      </x:c>
    </x:row>
    <x:row r="89" ht="16" customHeight="1">
      <x:c r="A89" s="1"/>
      <x:c r="B89" s="1"/>
      <x:c r="C89" s="1" t="str">
        <x:v>CornerFlow</x:v>
      </x:c>
      <x:c r="D89" s="10" t="n">
        <x:v>3</x:v>
      </x:c>
      <x:c r="E89" s="10" t="n">
        <x:f>SUMIF('Revenue and costs'!$D$264:$D$391,C89,'Revenue and costs'!N264:N391)</x:f>
        <x:v>9549.360714960001</x:v>
      </x:c>
      <x:c r="F89" s="10" t="n">
        <x:f>SUMIF('Revenue and costs'!$D$264:$D$391,C89,'Revenue and costs'!O264:O391)+SUMIF('Revenue and costs'!$D$264:$D$391,C89,'Revenue and costs'!P264:P391)+SUMIF('Revenue and costs'!$D$264:$D$391,C89,'Revenue and costs'!Q264:Q391)+SUMIF('Revenue and costs'!$D$264:$D$391,C89,'Revenue and costs'!R264:R391)+SUMIF('Revenue and costs'!$D$264:$D$391,C89,'Revenue and costs'!S264:S391)+SUMIF('Revenue and costs'!$D$264:$D$391,C89,'Revenue and costs'!T264:T391)+SUMIF('Revenue and costs'!$D$264:$D$391,C89,'Revenue and costs'!U264:U391)+SUMIF('Revenue and costs'!$D$264:$D$391,C89,'Revenue and costs'!V264:V391)+SUMIF('Revenue and costs'!$D$264:$D$391,C89,'Revenue and costs'!AE264:AE391)</x:f>
        <x:v>3908.361788208</x:v>
      </x:c>
      <x:c r="G89" s="10" t="n">
        <x:f>IF('Income statement'!F50=0,1/39,E89/'Income statement'!F50)*('Shared costs'!J21+'Assumptions'!$D$18*'Assumptions'!$D$19*12*(1+'Assumptions'!$D$13)^(3-1)*'Assumptions'!$D$21)</x:f>
        <x:v>451.43017041171015</x:v>
      </x:c>
      <x:c r="H89" s="10" t="n">
        <x:f>IF('Income statement'!F50=0,1/39,E89/'Income statement'!F50)*'Cash and capital'!F18</x:f>
        <x:v>2.823066070426221</x:v>
      </x:c>
      <x:c r="I89" s="10" t="n">
        <x:f>E89-F89-G89-H89</x:f>
        <x:v>5186.745690269865</x:v>
      </x:c>
      <x:c r="J89" s="10" t="n">
        <x:f>M50</x:f>
        <x:v>0</x:v>
      </x:c>
      <x:c r="K89" s="10" t="n">
        <x:f>MAX(0,I89-J89)</x:f>
        <x:v>5186.745690269865</x:v>
      </x:c>
      <x:c r="L89" s="10" t="n">
        <x:f>K89*'Assumptions'!$D$12</x:f>
        <x:v>1296.6864225674663</x:v>
      </x:c>
      <x:c r="M89" s="10" t="n">
        <x:f>MAX(0,J89-I89)</x:f>
        <x:v>0</x:v>
      </x:c>
    </x:row>
    <x:row r="90" ht="16" customHeight="1">
      <x:c r="A90" s="1"/>
      <x:c r="B90" s="1"/>
      <x:c r="C90" s="1" t="str">
        <x:v>Spindle</x:v>
      </x:c>
      <x:c r="D90" s="10" t="n">
        <x:v>3</x:v>
      </x:c>
      <x:c r="E90" s="10" t="n">
        <x:f>SUMIF('Revenue and costs'!$D$264:$D$391,C90,'Revenue and costs'!N264:N391)</x:f>
        <x:v>9549.360714960001</x:v>
      </x:c>
      <x:c r="F90" s="10" t="n">
        <x:f>SUMIF('Revenue and costs'!$D$264:$D$391,C90,'Revenue and costs'!O264:O391)+SUMIF('Revenue and costs'!$D$264:$D$391,C90,'Revenue and costs'!P264:P391)+SUMIF('Revenue and costs'!$D$264:$D$391,C90,'Revenue and costs'!Q264:Q391)+SUMIF('Revenue and costs'!$D$264:$D$391,C90,'Revenue and costs'!R264:R391)+SUMIF('Revenue and costs'!$D$264:$D$391,C90,'Revenue and costs'!S264:S391)+SUMIF('Revenue and costs'!$D$264:$D$391,C90,'Revenue and costs'!T264:T391)+SUMIF('Revenue and costs'!$D$264:$D$391,C90,'Revenue and costs'!U264:U391)+SUMIF('Revenue and costs'!$D$264:$D$391,C90,'Revenue and costs'!V264:V391)+SUMIF('Revenue and costs'!$D$264:$D$391,C90,'Revenue and costs'!AE264:AE391)</x:f>
        <x:v>3908.361788208</x:v>
      </x:c>
      <x:c r="G90" s="10" t="n">
        <x:f>IF('Income statement'!F50=0,1/39,E90/'Income statement'!F50)*('Shared costs'!J21+'Assumptions'!$D$18*'Assumptions'!$D$19*12*(1+'Assumptions'!$D$13)^(3-1)*'Assumptions'!$D$21)</x:f>
        <x:v>451.43017041171015</x:v>
      </x:c>
      <x:c r="H90" s="10" t="n">
        <x:f>IF('Income statement'!F50=0,1/39,E90/'Income statement'!F50)*'Cash and capital'!F18</x:f>
        <x:v>2.823066070426221</x:v>
      </x:c>
      <x:c r="I90" s="10" t="n">
        <x:f>E90-F90-G90-H90</x:f>
        <x:v>5186.745690269865</x:v>
      </x:c>
      <x:c r="J90" s="10" t="n">
        <x:f>M51</x:f>
        <x:v>0</x:v>
      </x:c>
      <x:c r="K90" s="10" t="n">
        <x:f>MAX(0,I90-J90)</x:f>
        <x:v>5186.745690269865</x:v>
      </x:c>
      <x:c r="L90" s="10" t="n">
        <x:f>K90*'Assumptions'!$D$12</x:f>
        <x:v>1296.6864225674663</x:v>
      </x:c>
      <x:c r="M90" s="10" t="n">
        <x:f>MAX(0,J90-I90)</x:f>
        <x:v>0</x:v>
      </x:c>
    </x:row>
    <x:row r="91" ht="16" customHeight="1">
      <x:c r="A91" s="1"/>
      <x:c r="B91" s="1"/>
      <x:c r="C91" s="1" t="str">
        <x:v>Maison Contour</x:v>
      </x:c>
      <x:c r="D91" s="10" t="n">
        <x:v>3</x:v>
      </x:c>
      <x:c r="E91" s="10" t="n">
        <x:f>SUMIF('Revenue and costs'!$D$264:$D$391,C91,'Revenue and costs'!N264:N391)</x:f>
        <x:v>12924.48906216</x:v>
      </x:c>
      <x:c r="F91" s="10" t="n">
        <x:f>SUMIF('Revenue and costs'!$D$264:$D$391,C91,'Revenue and costs'!O264:O391)+SUMIF('Revenue and costs'!$D$264:$D$391,C91,'Revenue and costs'!P264:P391)+SUMIF('Revenue and costs'!$D$264:$D$391,C91,'Revenue and costs'!Q264:Q391)+SUMIF('Revenue and costs'!$D$264:$D$391,C91,'Revenue and costs'!R264:R391)+SUMIF('Revenue and costs'!$D$264:$D$391,C91,'Revenue and costs'!S264:S391)+SUMIF('Revenue and costs'!$D$264:$D$391,C91,'Revenue and costs'!T264:T391)+SUMIF('Revenue and costs'!$D$264:$D$391,C91,'Revenue and costs'!U264:U391)+SUMIF('Revenue and costs'!$D$264:$D$391,C91,'Revenue and costs'!V264:V391)+SUMIF('Revenue and costs'!$D$264:$D$391,C91,'Revenue and costs'!AE264:AE391)</x:f>
        <x:v>4178.024104608</x:v>
      </x:c>
      <x:c r="G91" s="10" t="n">
        <x:f>IF('Income statement'!F50=0,1/39,E91/'Income statement'!F50)*('Shared costs'!J21+'Assumptions'!$D$18*'Assumptions'!$D$19*12*(1+'Assumptions'!$D$13)^(3-1)*'Assumptions'!$D$21)</x:f>
        <x:v>610.9837583865541</x:v>
      </x:c>
      <x:c r="H91" s="10" t="n">
        <x:f>IF('Income statement'!F50=0,1/39,E91/'Income statement'!F50)*'Cash and capital'!F18</x:f>
        <x:v>3.820851221152299</x:v>
      </x:c>
      <x:c r="I91" s="10" t="n">
        <x:f>E91-F91-G91-H91</x:f>
        <x:v>8131.660347944296</x:v>
      </x:c>
      <x:c r="J91" s="10" t="n">
        <x:f>M52</x:f>
        <x:v>0</x:v>
      </x:c>
      <x:c r="K91" s="10" t="n">
        <x:f>MAX(0,I91-J91)</x:f>
        <x:v>8131.660347944296</x:v>
      </x:c>
      <x:c r="L91" s="10" t="n">
        <x:f>K91*'Assumptions'!$D$12</x:f>
        <x:v>2032.915086986074</x:v>
      </x:c>
      <x:c r="M91" s="10" t="n">
        <x:f>MAX(0,J91-I91)</x:f>
        <x:v>0</x:v>
      </x:c>
    </x:row>
    <x:row r="92" ht="16" customHeight="1">
      <x:c r="A92" s="1"/>
      <x:c r="B92" s="1"/>
      <x:c r="C92" s="1" t="str">
        <x:v>DishLoom US</x:v>
      </x:c>
      <x:c r="D92" s="10" t="n">
        <x:v>3</x:v>
      </x:c>
      <x:c r="E92" s="10" t="n">
        <x:f>SUMIF('Revenue and costs'!$D$264:$D$391,C92,'Revenue and costs'!N264:N391)</x:f>
        <x:v>10631.654293680002</x:v>
      </x:c>
      <x:c r="F92" s="10" t="n">
        <x:f>SUMIF('Revenue and costs'!$D$264:$D$391,C92,'Revenue and costs'!O264:O391)+SUMIF('Revenue and costs'!$D$264:$D$391,C92,'Revenue and costs'!P264:P391)+SUMIF('Revenue and costs'!$D$264:$D$391,C92,'Revenue and costs'!Q264:Q391)+SUMIF('Revenue and costs'!$D$264:$D$391,C92,'Revenue and costs'!R264:R391)+SUMIF('Revenue and costs'!$D$264:$D$391,C92,'Revenue and costs'!S264:S391)+SUMIF('Revenue and costs'!$D$264:$D$391,C92,'Revenue and costs'!T264:T391)+SUMIF('Revenue and costs'!$D$264:$D$391,C92,'Revenue and costs'!U264:U391)+SUMIF('Revenue and costs'!$D$264:$D$391,C92,'Revenue and costs'!V264:V391)+SUMIF('Revenue and costs'!$D$264:$D$391,C92,'Revenue and costs'!AE264:AE391)</x:f>
        <x:v>6872.307241860001</x:v>
      </x:c>
      <x:c r="G92" s="10" t="n">
        <x:f>IF('Income statement'!F50=0,1/39,E92/'Income statement'!F50)*('Shared costs'!J21+'Assumptions'!$D$18*'Assumptions'!$D$19*12*(1+'Assumptions'!$D$13)^(3-1)*'Assumptions'!$D$21)</x:f>
        <x:v>502.5938021207586</x:v>
      </x:c>
      <x:c r="H92" s="10" t="n">
        <x:f>IF('Income statement'!F50=0,1/39,E92/'Income statement'!F50)*'Cash and capital'!F18</x:f>
        <x:v>3.1430232247871457</x:v>
      </x:c>
      <x:c r="I92" s="10" t="n">
        <x:f>E92-F92-G92-H92</x:f>
        <x:v>3253.6102264744545</x:v>
      </x:c>
      <x:c r="J92" s="10" t="n">
        <x:f>M53</x:f>
        <x:v>0</x:v>
      </x:c>
      <x:c r="K92" s="10" t="n">
        <x:f>MAX(0,I92-J92)</x:f>
        <x:v>3253.6102264744545</x:v>
      </x:c>
      <x:c r="L92" s="10" t="n">
        <x:f>K92*'Assumptions'!$D$12</x:f>
        <x:v>813.4025566186136</x:v>
      </x:c>
      <x:c r="M92" s="10" t="n">
        <x:f>MAX(0,J92-I92)</x:f>
        <x:v>0</x:v>
      </x:c>
    </x:row>
    <x:row r="93" ht="16" customHeight="1">
      <x:c r="A93" s="1"/>
      <x:c r="B93" s="1"/>
      <x:c r="C93" s="1" t="str">
        <x:v>Is Makes Travel Easy</x:v>
      </x:c>
      <x:c r="D93" s="10" t="n">
        <x:v>3</x:v>
      </x:c>
      <x:c r="E93" s="10" t="n">
        <x:f>SUMIF('Revenue and costs'!$D$264:$D$391,C93,'Revenue and costs'!N264:N391)</x:f>
        <x:v>21206.790022608002</x:v>
      </x:c>
      <x:c r="F93" s="10" t="n">
        <x:f>SUMIF('Revenue and costs'!$D$264:$D$391,C93,'Revenue and costs'!O264:O391)+SUMIF('Revenue and costs'!$D$264:$D$391,C93,'Revenue and costs'!P264:P391)+SUMIF('Revenue and costs'!$D$264:$D$391,C93,'Revenue and costs'!Q264:Q391)+SUMIF('Revenue and costs'!$D$264:$D$391,C93,'Revenue and costs'!R264:R391)+SUMIF('Revenue and costs'!$D$264:$D$391,C93,'Revenue and costs'!S264:S391)+SUMIF('Revenue and costs'!$D$264:$D$391,C93,'Revenue and costs'!T264:T391)+SUMIF('Revenue and costs'!$D$264:$D$391,C93,'Revenue and costs'!U264:U391)+SUMIF('Revenue and costs'!$D$264:$D$391,C93,'Revenue and costs'!V264:V391)+SUMIF('Revenue and costs'!$D$264:$D$391,C93,'Revenue and costs'!AE264:AE391)</x:f>
        <x:v>11645.483023352639</x:v>
      </x:c>
      <x:c r="G93" s="10" t="n">
        <x:f>IF('Income statement'!F50=0,1/39,E93/'Income statement'!F50)*('Shared costs'!J21+'Assumptions'!$D$18*'Assumptions'!$D$19*12*(1+'Assumptions'!$D$13)^(3-1)*'Assumptions'!$D$21)</x:f>
        <x:v>1002.5157829459356</x:v>
      </x:c>
      <x:c r="H93" s="10" t="n">
        <x:f>IF('Income statement'!F50=0,1/39,E93/'Income statement'!F50)*'Cash and capital'!F18</x:f>
        <x:v>6.269337933971713</x:v>
      </x:c>
      <x:c r="I93" s="10" t="n">
        <x:f>E93-F93-G93-H93</x:f>
        <x:v>8552.521878375455</x:v>
      </x:c>
      <x:c r="J93" s="10" t="n">
        <x:f>M54</x:f>
        <x:v>0</x:v>
      </x:c>
      <x:c r="K93" s="10" t="n">
        <x:f>MAX(0,I93-J93)</x:f>
        <x:v>8552.521878375455</x:v>
      </x:c>
      <x:c r="L93" s="10" t="n">
        <x:f>K93*'Assumptions'!$D$12</x:f>
        <x:v>2138.130469593864</x:v>
      </x:c>
      <x:c r="M93" s="10" t="n">
        <x:f>MAX(0,J93-I93)</x:f>
        <x:v>0</x:v>
      </x:c>
    </x:row>
    <x:row r="94" ht="16" customHeight="1">
      <x:c r="A94" s="1"/>
      <x:c r="B94" s="1"/>
      <x:c r="C94" s="1" t="str">
        <x:v>Turbo Tax - Made Easy!</x:v>
      </x:c>
      <x:c r="D94" s="10" t="n">
        <x:v>3</x:v>
      </x:c>
      <x:c r="E94" s="10" t="n">
        <x:f>SUMIF('Revenue and costs'!$D$264:$D$391,C94,'Revenue and costs'!N264:N391)</x:f>
        <x:v>73855.956752</x:v>
      </x:c>
      <x:c r="F94" s="10" t="n">
        <x:f>SUMIF('Revenue and costs'!$D$264:$D$391,C94,'Revenue and costs'!O264:O391)+SUMIF('Revenue and costs'!$D$264:$D$391,C94,'Revenue and costs'!P264:P391)+SUMIF('Revenue and costs'!$D$264:$D$391,C94,'Revenue and costs'!Q264:Q391)+SUMIF('Revenue and costs'!$D$264:$D$391,C94,'Revenue and costs'!R264:R391)+SUMIF('Revenue and costs'!$D$264:$D$391,C94,'Revenue and costs'!S264:S391)+SUMIF('Revenue and costs'!$D$264:$D$391,C94,'Revenue and costs'!T264:T391)+SUMIF('Revenue and costs'!$D$264:$D$391,C94,'Revenue and costs'!U264:U391)+SUMIF('Revenue and costs'!$D$264:$D$391,C94,'Revenue and costs'!V264:V391)+SUMIF('Revenue and costs'!$D$264:$D$391,C94,'Revenue and costs'!AE264:AE391)</x:f>
        <x:v>18405.656108375</x:v>
      </x:c>
      <x:c r="G94" s="10" t="n">
        <x:f>IF('Income statement'!F50=0,1/39,E94/'Income statement'!F50)*('Shared costs'!J21+'Assumptions'!$D$18*'Assumptions'!$D$19*12*(1+'Assumptions'!$D$13)^(3-1)*'Assumptions'!$D$21)</x:f>
        <x:v>3491.417712417506</x:v>
      </x:c>
      <x:c r="H94" s="10" t="n">
        <x:f>IF('Income statement'!F50=0,1/39,E94/'Income statement'!F50)*'Cash and capital'!F18</x:f>
        <x:v>21.8339480336942</x:v>
      </x:c>
      <x:c r="I94" s="10" t="n">
        <x:f>E94-F94-G94-H94</x:f>
        <x:v>51937.0489831738</x:v>
      </x:c>
      <x:c r="J94" s="10" t="n">
        <x:f>M55</x:f>
        <x:v>0</x:v>
      </x:c>
      <x:c r="K94" s="10" t="n">
        <x:f>MAX(0,I94-J94)</x:f>
        <x:v>51937.0489831738</x:v>
      </x:c>
      <x:c r="L94" s="10" t="n">
        <x:f>K94*'Assumptions'!$D$12</x:f>
        <x:v>12984.26224579345</x:v>
      </x:c>
      <x:c r="M94" s="10" t="n">
        <x:f>MAX(0,J94-I94)</x:f>
        <x:v>0</x:v>
      </x:c>
    </x:row>
    <x:row r="95" ht="16" customHeight="1">
      <x:c r="A95" s="1"/>
      <x:c r="B95" s="1"/>
      <x:c r="C95" s="1" t="str">
        <x:v>LavaLearning adult</x:v>
      </x:c>
      <x:c r="D95" s="10" t="n">
        <x:v>3</x:v>
      </x:c>
      <x:c r="E95" s="10" t="n">
        <x:f>SUMIF('Revenue and costs'!$D$264:$D$391,C95,'Revenue and costs'!N264:N391)</x:f>
        <x:v>38006.2715913</x:v>
      </x:c>
      <x:c r="F95" s="10" t="n">
        <x:f>SUMIF('Revenue and costs'!$D$264:$D$391,C95,'Revenue and costs'!O264:O391)+SUMIF('Revenue and costs'!$D$264:$D$391,C95,'Revenue and costs'!P264:P391)+SUMIF('Revenue and costs'!$D$264:$D$391,C95,'Revenue and costs'!Q264:Q391)+SUMIF('Revenue and costs'!$D$264:$D$391,C95,'Revenue and costs'!R264:R391)+SUMIF('Revenue and costs'!$D$264:$D$391,C95,'Revenue and costs'!S264:S391)+SUMIF('Revenue and costs'!$D$264:$D$391,C95,'Revenue and costs'!T264:T391)+SUMIF('Revenue and costs'!$D$264:$D$391,C95,'Revenue and costs'!U264:U391)+SUMIF('Revenue and costs'!$D$264:$D$391,C95,'Revenue and costs'!V264:V391)+SUMIF('Revenue and costs'!$D$264:$D$391,C95,'Revenue and costs'!AE264:AE391)</x:f>
        <x:v>13466.335018724998</x:v>
      </x:c>
      <x:c r="G95" s="10" t="n">
        <x:f>IF('Income statement'!F50=0,1/39,E95/'Income statement'!F50)*('Shared costs'!J21+'Assumptions'!$D$18*'Assumptions'!$D$19*12*(1+'Assumptions'!$D$13)^(3-1)*'Assumptions'!$D$21)</x:f>
        <x:v>1796.6833773800072</x:v>
      </x:c>
      <x:c r="H95" s="10" t="n">
        <x:f>IF('Income statement'!F50=0,1/39,E95/'Income statement'!F50)*'Cash and capital'!F18</x:f>
        <x:v>11.2357485485616</x:v>
      </x:c>
      <x:c r="I95" s="10" t="n">
        <x:f>E95-F95-G95-H95</x:f>
        <x:v>22732.017446646434</x:v>
      </x:c>
      <x:c r="J95" s="10" t="n">
        <x:f>M56</x:f>
        <x:v>0</x:v>
      </x:c>
      <x:c r="K95" s="10" t="n">
        <x:f>MAX(0,I95-J95)</x:f>
        <x:v>22732.017446646434</x:v>
      </x:c>
      <x:c r="L95" s="10" t="n">
        <x:f>K95*'Assumptions'!$D$12</x:f>
        <x:v>5683.0043616616085</x:v>
      </x:c>
      <x:c r="M95" s="10" t="n">
        <x:f>MAX(0,J95-I95)</x:f>
        <x:v>0</x:v>
      </x:c>
    </x:row>
    <x:row r="96" ht="16" customHeight="1">
      <x:c r="A96" s="1"/>
      <x:c r="B96" s="1"/>
      <x:c r="C96" s="1" t="str">
        <x:v>LavaLearning Model Life</x:v>
      </x:c>
      <x:c r="D96" s="10" t="n">
        <x:v>3</x:v>
      </x:c>
      <x:c r="E96" s="10" t="n">
        <x:f>SUMIF('Revenue and costs'!$D$264:$D$391,C96,'Revenue and costs'!N264:N391)</x:f>
        <x:v>0</x:v>
      </x:c>
      <x:c r="F96" s="10" t="n">
        <x:f>SUMIF('Revenue and costs'!$D$264:$D$391,C96,'Revenue and costs'!O264:O391)+SUMIF('Revenue and costs'!$D$264:$D$391,C96,'Revenue and costs'!P264:P391)+SUMIF('Revenue and costs'!$D$264:$D$391,C96,'Revenue and costs'!Q264:Q391)+SUMIF('Revenue and costs'!$D$264:$D$391,C96,'Revenue and costs'!R264:R391)+SUMIF('Revenue and costs'!$D$264:$D$391,C96,'Revenue and costs'!S264:S391)+SUMIF('Revenue and costs'!$D$264:$D$391,C96,'Revenue and costs'!T264:T391)+SUMIF('Revenue and costs'!$D$264:$D$391,C96,'Revenue and costs'!U264:U391)+SUMIF('Revenue and costs'!$D$264:$D$391,C96,'Revenue and costs'!V264:V391)+SUMIF('Revenue and costs'!$D$264:$D$391,C96,'Revenue and costs'!AE264:AE391)</x:f>
        <x:v>0</x:v>
      </x:c>
      <x:c r="G96" s="10" t="n">
        <x:f>IF('Income statement'!F50=0,1/39,E96/'Income statement'!F50)*('Shared costs'!J21+'Assumptions'!$D$18*'Assumptions'!$D$19*12*(1+'Assumptions'!$D$13)^(3-1)*'Assumptions'!$D$21)</x:f>
        <x:v>0</x:v>
      </x:c>
      <x:c r="H96" s="10" t="n">
        <x:f>IF('Income statement'!F50=0,1/39,E96/'Income statement'!F50)*'Cash and capital'!F18</x:f>
        <x:v>0</x:v>
      </x:c>
      <x:c r="I96" s="10" t="n">
        <x:f>E96-F96-G96-H96</x:f>
        <x:v>0</x:v>
      </x:c>
      <x:c r="J96" s="10" t="n">
        <x:f>M57</x:f>
        <x:v>0</x:v>
      </x:c>
      <x:c r="K96" s="10" t="n">
        <x:f>MAX(0,I96-J96)</x:f>
        <x:v>0</x:v>
      </x:c>
      <x:c r="L96" s="10" t="n">
        <x:f>K96*'Assumptions'!$D$12</x:f>
        <x:v>0</x:v>
      </x:c>
      <x:c r="M96" s="10" t="n">
        <x:f>MAX(0,J96-I96)</x:f>
        <x:v>0</x:v>
      </x:c>
    </x:row>
    <x:row r="97" ht="16" customHeight="1">
      <x:c r="A97" s="1"/>
      <x:c r="B97" s="1"/>
      <x:c r="C97" s="1" t="str">
        <x:v>LavaLearning Kids</x:v>
      </x:c>
      <x:c r="D97" s="10" t="n">
        <x:v>3</x:v>
      </x:c>
      <x:c r="E97" s="10" t="n">
        <x:f>SUMIF('Revenue and costs'!$D$264:$D$391,C97,'Revenue and costs'!N264:N391)</x:f>
        <x:v>14251.500639</x:v>
      </x:c>
      <x:c r="F97" s="10" t="n">
        <x:f>SUMIF('Revenue and costs'!$D$264:$D$391,C97,'Revenue and costs'!O264:O391)+SUMIF('Revenue and costs'!$D$264:$D$391,C97,'Revenue and costs'!P264:P391)+SUMIF('Revenue and costs'!$D$264:$D$391,C97,'Revenue and costs'!Q264:Q391)+SUMIF('Revenue and costs'!$D$264:$D$391,C97,'Revenue and costs'!R264:R391)+SUMIF('Revenue and costs'!$D$264:$D$391,C97,'Revenue and costs'!S264:S391)+SUMIF('Revenue and costs'!$D$264:$D$391,C97,'Revenue and costs'!T264:T391)+SUMIF('Revenue and costs'!$D$264:$D$391,C97,'Revenue and costs'!U264:U391)+SUMIF('Revenue and costs'!$D$264:$D$391,C97,'Revenue and costs'!V264:V391)+SUMIF('Revenue and costs'!$D$264:$D$391,C97,'Revenue and costs'!AE264:AE391)</x:f>
        <x:v>8121.4817055</x:v>
      </x:c>
      <x:c r="G97" s="10" t="n">
        <x:f>IF('Income statement'!F50=0,1/39,E97/'Income statement'!F50)*('Shared costs'!J21+'Assumptions'!$D$18*'Assumptions'!$D$19*12*(1+'Assumptions'!$D$13)^(3-1)*'Assumptions'!$D$21)</x:f>
        <x:v>673.716027085203</x:v>
      </x:c>
      <x:c r="H97" s="10" t="n">
        <x:f>IF('Income statement'!F50=0,1/39,E97/'Income statement'!F50)*'Cash and capital'!F18</x:f>
        <x:v>4.213154064186697</x:v>
      </x:c>
      <x:c r="I97" s="10" t="n">
        <x:f>E97-F97-G97-H97</x:f>
        <x:v>5452.08975235061</x:v>
      </x:c>
      <x:c r="J97" s="10" t="n">
        <x:f>M58</x:f>
        <x:v>0</x:v>
      </x:c>
      <x:c r="K97" s="10" t="n">
        <x:f>MAX(0,I97-J97)</x:f>
        <x:v>5452.08975235061</x:v>
      </x:c>
      <x:c r="L97" s="10" t="n">
        <x:f>K97*'Assumptions'!$D$12</x:f>
        <x:v>1363.0224380876525</x:v>
      </x:c>
      <x:c r="M97" s="10" t="n">
        <x:f>MAX(0,J97-I97)</x:f>
        <x:v>0</x:v>
      </x:c>
    </x:row>
    <x:row r="98" ht="16" customHeight="1">
      <x:c r="A98" s="1"/>
      <x:c r="B98" s="1"/>
      <x:c r="C98" s="1" t="str">
        <x:v>VraiSkill adult</x:v>
      </x:c>
      <x:c r="D98" s="10" t="n">
        <x:v>3</x:v>
      </x:c>
      <x:c r="E98" s="10" t="n">
        <x:f>SUMIF('Revenue and costs'!$D$264:$D$391,C98,'Revenue and costs'!N264:N391)</x:f>
        <x:v>27328.253463629997</x:v>
      </x:c>
      <x:c r="F98" s="10" t="n">
        <x:f>SUMIF('Revenue and costs'!$D$264:$D$391,C98,'Revenue and costs'!O264:O391)+SUMIF('Revenue and costs'!$D$264:$D$391,C98,'Revenue and costs'!P264:P391)+SUMIF('Revenue and costs'!$D$264:$D$391,C98,'Revenue and costs'!Q264:Q391)+SUMIF('Revenue and costs'!$D$264:$D$391,C98,'Revenue and costs'!R264:R391)+SUMIF('Revenue and costs'!$D$264:$D$391,C98,'Revenue and costs'!S264:S391)+SUMIF('Revenue and costs'!$D$264:$D$391,C98,'Revenue and costs'!T264:T391)+SUMIF('Revenue and costs'!$D$264:$D$391,C98,'Revenue and costs'!U264:U391)+SUMIF('Revenue and costs'!$D$264:$D$391,C98,'Revenue and costs'!V264:V391)+SUMIF('Revenue and costs'!$D$264:$D$391,C98,'Revenue and costs'!AE264:AE391)</x:f>
        <x:v>20606.275906372503</x:v>
      </x:c>
      <x:c r="G98" s="10" t="n">
        <x:f>IF('Income statement'!F50=0,1/39,E98/'Income statement'!F50)*('Shared costs'!J21+'Assumptions'!$D$18*'Assumptions'!$D$19*12*(1+'Assumptions'!$D$13)^(3-1)*'Assumptions'!$D$21)</x:f>
        <x:v>1291.8978019977928</x:v>
      </x:c>
      <x:c r="H98" s="10" t="n">
        <x:f>IF('Income statement'!F50=0,1/39,E98/'Income statement'!F50)*'Cash and capital'!F18</x:f>
        <x:v>8.079018839064227</x:v>
      </x:c>
      <x:c r="I98" s="10" t="n">
        <x:f>E98-F98-G98-H98</x:f>
        <x:v>5422.000736420638</x:v>
      </x:c>
      <x:c r="J98" s="10" t="n">
        <x:f>M59</x:f>
        <x:v>0</x:v>
      </x:c>
      <x:c r="K98" s="10" t="n">
        <x:f>MAX(0,I98-J98)</x:f>
        <x:v>5422.000736420638</x:v>
      </x:c>
      <x:c r="L98" s="10" t="n">
        <x:f>K98*'Assumptions'!$D$12</x:f>
        <x:v>1355.5001841051594</x:v>
      </x:c>
      <x:c r="M98" s="10" t="n">
        <x:f>MAX(0,J98-I98)</x:f>
        <x:v>0</x:v>
      </x:c>
    </x:row>
    <x:row r="99" ht="16" customHeight="1">
      <x:c r="A99" s="1"/>
      <x:c r="B99" s="1"/>
      <x:c r="C99" s="1" t="str">
        <x:v>VraiSkill teen</x:v>
      </x:c>
      <x:c r="D99" s="10" t="n">
        <x:v>3</x:v>
      </x:c>
      <x:c r="E99" s="10" t="n">
        <x:f>SUMIF('Revenue and costs'!$D$264:$D$391,C99,'Revenue and costs'!N264:N391)</x:f>
        <x:v>12001.263695999998</x:v>
      </x:c>
      <x:c r="F99" s="10" t="n">
        <x:f>SUMIF('Revenue and costs'!$D$264:$D$391,C99,'Revenue and costs'!O264:O391)+SUMIF('Revenue and costs'!$D$264:$D$391,C99,'Revenue and costs'!P264:P391)+SUMIF('Revenue and costs'!$D$264:$D$391,C99,'Revenue and costs'!Q264:Q391)+SUMIF('Revenue and costs'!$D$264:$D$391,C99,'Revenue and costs'!R264:R391)+SUMIF('Revenue and costs'!$D$264:$D$391,C99,'Revenue and costs'!S264:S391)+SUMIF('Revenue and costs'!$D$264:$D$391,C99,'Revenue and costs'!T264:T391)+SUMIF('Revenue and costs'!$D$264:$D$391,C99,'Revenue and costs'!U264:U391)+SUMIF('Revenue and costs'!$D$264:$D$391,C99,'Revenue and costs'!V264:V391)+SUMIF('Revenue and costs'!$D$264:$D$391,C99,'Revenue and costs'!AE264:AE391)</x:f>
        <x:v>5698.9564395</x:v>
      </x:c>
      <x:c r="G99" s="10" t="n">
        <x:f>IF('Income statement'!F50=0,1/39,E99/'Income statement'!F50)*('Shared costs'!J21+'Assumptions'!$D$18*'Assumptions'!$D$19*12*(1+'Assumptions'!$D$13)^(3-1)*'Assumptions'!$D$21)</x:f>
        <x:v>567.3398122822761</x:v>
      </x:c>
      <x:c r="H99" s="10" t="n">
        <x:f>IF('Income statement'!F50=0,1/39,E99/'Income statement'!F50)*'Cash and capital'!F18</x:f>
        <x:v>3.547919211946691</x:v>
      </x:c>
      <x:c r="I99" s="10" t="n">
        <x:f>E99-F99-G99-H99</x:f>
        <x:v>5731.4195250057755</x:v>
      </x:c>
      <x:c r="J99" s="10" t="n">
        <x:f>M60</x:f>
        <x:v>0</x:v>
      </x:c>
      <x:c r="K99" s="10" t="n">
        <x:f>MAX(0,I99-J99)</x:f>
        <x:v>5731.4195250057755</x:v>
      </x:c>
      <x:c r="L99" s="10" t="n">
        <x:f>K99*'Assumptions'!$D$12</x:f>
        <x:v>1432.8548812514439</x:v>
      </x:c>
      <x:c r="M99" s="10" t="n">
        <x:f>MAX(0,J99-I99)</x:f>
        <x:v>0</x:v>
      </x:c>
    </x:row>
    <x:row r="100" ht="16" customHeight="1">
      <x:c r="A100" s="1"/>
      <x:c r="B100" s="1"/>
      <x:c r="C100" s="1" t="str">
        <x:v>VraiSkill Model Life</x:v>
      </x:c>
      <x:c r="D100" s="10" t="n">
        <x:v>3</x:v>
      </x:c>
      <x:c r="E100" s="10" t="n">
        <x:f>SUMIF('Revenue and costs'!$D$264:$D$391,C100,'Revenue and costs'!N264:N391)</x:f>
        <x:v>0</x:v>
      </x:c>
      <x:c r="F100" s="10" t="n">
        <x:f>SUMIF('Revenue and costs'!$D$264:$D$391,C100,'Revenue and costs'!O264:O391)+SUMIF('Revenue and costs'!$D$264:$D$391,C100,'Revenue and costs'!P264:P391)+SUMIF('Revenue and costs'!$D$264:$D$391,C100,'Revenue and costs'!Q264:Q391)+SUMIF('Revenue and costs'!$D$264:$D$391,C100,'Revenue and costs'!R264:R391)+SUMIF('Revenue and costs'!$D$264:$D$391,C100,'Revenue and costs'!S264:S391)+SUMIF('Revenue and costs'!$D$264:$D$391,C100,'Revenue and costs'!T264:T391)+SUMIF('Revenue and costs'!$D$264:$D$391,C100,'Revenue and costs'!U264:U391)+SUMIF('Revenue and costs'!$D$264:$D$391,C100,'Revenue and costs'!V264:V391)+SUMIF('Revenue and costs'!$D$264:$D$391,C100,'Revenue and costs'!AE264:AE391)</x:f>
        <x:v>0</x:v>
      </x:c>
      <x:c r="G100" s="10" t="n">
        <x:f>IF('Income statement'!F50=0,1/39,E100/'Income statement'!F50)*('Shared costs'!J21+'Assumptions'!$D$18*'Assumptions'!$D$19*12*(1+'Assumptions'!$D$13)^(3-1)*'Assumptions'!$D$21)</x:f>
        <x:v>0</x:v>
      </x:c>
      <x:c r="H100" s="10" t="n">
        <x:f>IF('Income statement'!F50=0,1/39,E100/'Income statement'!F50)*'Cash and capital'!F18</x:f>
        <x:v>0</x:v>
      </x:c>
      <x:c r="I100" s="10" t="n">
        <x:f>E100-F100-G100-H100</x:f>
        <x:v>0</x:v>
      </x:c>
      <x:c r="J100" s="10" t="n">
        <x:f>M61</x:f>
        <x:v>0</x:v>
      </x:c>
      <x:c r="K100" s="10" t="n">
        <x:f>MAX(0,I100-J100)</x:f>
        <x:v>0</x:v>
      </x:c>
      <x:c r="L100" s="10" t="n">
        <x:f>K100*'Assumptions'!$D$12</x:f>
        <x:v>0</x:v>
      </x:c>
      <x:c r="M100" s="10" t="n">
        <x:f>MAX(0,J100-I100)</x:f>
        <x:v>0</x:v>
      </x:c>
    </x:row>
    <x:row r="101" ht="16" customHeight="1">
      <x:c r="A101" s="1"/>
      <x:c r="B101" s="1"/>
      <x:c r="C101" s="1" t="str">
        <x:v>Model Life</x:v>
      </x:c>
      <x:c r="D101" s="10" t="n">
        <x:v>3</x:v>
      </x:c>
      <x:c r="E101" s="10" t="n">
        <x:f>SUMIF('Revenue and costs'!$D$264:$D$391,C101,'Revenue and costs'!N264:N391)</x:f>
        <x:v>30601.163681280006</x:v>
      </x:c>
      <x:c r="F101" s="10" t="n">
        <x:f>SUMIF('Revenue and costs'!$D$264:$D$391,C101,'Revenue and costs'!O264:O391)+SUMIF('Revenue and costs'!$D$264:$D$391,C101,'Revenue and costs'!P264:P391)+SUMIF('Revenue and costs'!$D$264:$D$391,C101,'Revenue and costs'!Q264:Q391)+SUMIF('Revenue and costs'!$D$264:$D$391,C101,'Revenue and costs'!R264:R391)+SUMIF('Revenue and costs'!$D$264:$D$391,C101,'Revenue and costs'!S264:S391)+SUMIF('Revenue and costs'!$D$264:$D$391,C101,'Revenue and costs'!T264:T391)+SUMIF('Revenue and costs'!$D$264:$D$391,C101,'Revenue and costs'!U264:U391)+SUMIF('Revenue and costs'!$D$264:$D$391,C101,'Revenue and costs'!V264:V391)+SUMIF('Revenue and costs'!$D$264:$D$391,C101,'Revenue and costs'!AE264:AE391)</x:f>
        <x:v>9620.387727360001</x:v>
      </x:c>
      <x:c r="G101" s="10" t="n">
        <x:f>IF('Income statement'!F50=0,1/39,E101/'Income statement'!F50)*('Shared costs'!J21+'Assumptions'!$D$18*'Assumptions'!$D$19*12*(1+'Assumptions'!$D$13)^(3-1)*'Assumptions'!$D$21)</x:f>
        <x:v>1446.6191976385858</x:v>
      </x:c>
      <x:c r="H101" s="10" t="n">
        <x:f>IF('Income statement'!F50=0,1/39,E101/'Income statement'!F50)*'Cash and capital'!F18</x:f>
        <x:v>9.046585366583107</x:v>
      </x:c>
      <x:c r="I101" s="10" t="n">
        <x:f>E101-F101-G101-H101</x:f>
        <x:v>19525.110170914835</x:v>
      </x:c>
      <x:c r="J101" s="10" t="n">
        <x:f>M62</x:f>
        <x:v>0</x:v>
      </x:c>
      <x:c r="K101" s="10" t="n">
        <x:f>MAX(0,I101-J101)</x:f>
        <x:v>19525.110170914835</x:v>
      </x:c>
      <x:c r="L101" s="10" t="n">
        <x:f>K101*'Assumptions'!$D$12</x:f>
        <x:v>4881.277542728709</x:v>
      </x:c>
      <x:c r="M101" s="10" t="n">
        <x:f>MAX(0,J101-I101)</x:f>
        <x:v>0</x:v>
      </x:c>
    </x:row>
    <x:row r="102" ht="16" customHeight="1">
      <x:c r="A102" s="1"/>
      <x:c r="B102" s="1"/>
      <x:c r="C102" s="1" t="str">
        <x:v>S’otality cleaning</x:v>
      </x:c>
      <x:c r="D102" s="10" t="n">
        <x:v>3</x:v>
      </x:c>
      <x:c r="E102" s="10" t="n">
        <x:f>SUMIF('Revenue and costs'!$D$264:$D$391,C102,'Revenue and costs'!N264:N391)</x:f>
        <x:v>143171.96759424</x:v>
      </x:c>
      <x:c r="F102" s="10" t="n">
        <x:f>SUMIF('Revenue and costs'!$D$264:$D$391,C102,'Revenue and costs'!O264:O391)+SUMIF('Revenue and costs'!$D$264:$D$391,C102,'Revenue and costs'!P264:P391)+SUMIF('Revenue and costs'!$D$264:$D$391,C102,'Revenue and costs'!Q264:Q391)+SUMIF('Revenue and costs'!$D$264:$D$391,C102,'Revenue and costs'!R264:R391)+SUMIF('Revenue and costs'!$D$264:$D$391,C102,'Revenue and costs'!S264:S391)+SUMIF('Revenue and costs'!$D$264:$D$391,C102,'Revenue and costs'!T264:T391)+SUMIF('Revenue and costs'!$D$264:$D$391,C102,'Revenue and costs'!U264:U391)+SUMIF('Revenue and costs'!$D$264:$D$391,C102,'Revenue and costs'!V264:V391)+SUMIF('Revenue and costs'!$D$264:$D$391,C102,'Revenue and costs'!AE264:AE391)</x:f>
        <x:v>122079.73615973761</x:v>
      </x:c>
      <x:c r="G102" s="10" t="n">
        <x:f>IF('Income statement'!F50=0,1/39,E102/'Income statement'!F50)*('Shared costs'!J21+'Assumptions'!$D$18*'Assumptions'!$D$19*12*(1+'Assumptions'!$D$13)^(3-1)*'Assumptions'!$D$21)</x:f>
        <x:v>6768.21702085199</x:v>
      </x:c>
      <x:c r="H102" s="10" t="n">
        <x:f>IF('Income statement'!F50=0,1/39,E102/'Income statement'!F50)*'Cash and capital'!F18</x:f>
        <x:v>42.32575729580181</x:v>
      </x:c>
      <x:c r="I102" s="10" t="n">
        <x:f>E102-F102-G102-H102</x:f>
        <x:v>14281.688656354601</x:v>
      </x:c>
      <x:c r="J102" s="10" t="n">
        <x:f>M63</x:f>
        <x:v>0</x:v>
      </x:c>
      <x:c r="K102" s="10" t="n">
        <x:f>MAX(0,I102-J102)</x:f>
        <x:v>14281.688656354601</x:v>
      </x:c>
      <x:c r="L102" s="10" t="n">
        <x:f>K102*'Assumptions'!$D$12</x:f>
        <x:v>3570.4221640886503</x:v>
      </x:c>
      <x:c r="M102" s="10" t="n">
        <x:f>MAX(0,J102-I102)</x:f>
        <x:v>0</x:v>
      </x:c>
    </x:row>
    <x:row r="103" ht="16" customHeight="1">
      <x:c r="A103" s="1"/>
      <x:c r="B103" s="1"/>
      <x:c r="C103" s="1" t="str">
        <x:v>S’otality laundry</x:v>
      </x:c>
      <x:c r="D103" s="10" t="n">
        <x:v>3</x:v>
      </x:c>
      <x:c r="E103" s="10" t="n">
        <x:f>SUMIF('Revenue and costs'!$D$264:$D$391,C103,'Revenue and costs'!N264:N391)</x:f>
        <x:v>22190.8330944</x:v>
      </x:c>
      <x:c r="F103" s="10" t="n">
        <x:f>SUMIF('Revenue and costs'!$D$264:$D$391,C103,'Revenue and costs'!O264:O391)+SUMIF('Revenue and costs'!$D$264:$D$391,C103,'Revenue and costs'!P264:P391)+SUMIF('Revenue and costs'!$D$264:$D$391,C103,'Revenue and costs'!Q264:Q391)+SUMIF('Revenue and costs'!$D$264:$D$391,C103,'Revenue and costs'!R264:R391)+SUMIF('Revenue and costs'!$D$264:$D$391,C103,'Revenue and costs'!S264:S391)+SUMIF('Revenue and costs'!$D$264:$D$391,C103,'Revenue and costs'!T264:T391)+SUMIF('Revenue and costs'!$D$264:$D$391,C103,'Revenue and costs'!U264:U391)+SUMIF('Revenue and costs'!$D$264:$D$391,C103,'Revenue and costs'!V264:V391)+SUMIF('Revenue and costs'!$D$264:$D$391,C103,'Revenue and costs'!AE264:AE391)</x:f>
        <x:v>20224.747493856004</x:v>
      </x:c>
      <x:c r="G103" s="10" t="n">
        <x:f>IF('Income statement'!F50=0,1/39,E103/'Income statement'!F50)*('Shared costs'!J21+'Assumptions'!$D$18*'Assumptions'!$D$19*12*(1+'Assumptions'!$D$13)^(3-1)*'Assumptions'!$D$21)</x:f>
        <x:v>1049.0347850918697</x:v>
      </x:c>
      <x:c r="H103" s="10" t="n">
        <x:f>IF('Income statement'!F50=0,1/39,E103/'Income statement'!F50)*'Cash and capital'!F18</x:f>
        <x:v>6.560249408648959</x:v>
      </x:c>
      <x:c r="I103" s="10" t="n">
        <x:f>E103-F103-G103-H103</x:f>
        <x:v>910.4905660434778</x:v>
      </x:c>
      <x:c r="J103" s="10" t="n">
        <x:f>M64</x:f>
        <x:v>0</x:v>
      </x:c>
      <x:c r="K103" s="10" t="n">
        <x:f>MAX(0,I103-J103)</x:f>
        <x:v>910.4905660434778</x:v>
      </x:c>
      <x:c r="L103" s="10" t="n">
        <x:f>K103*'Assumptions'!$D$12</x:f>
        <x:v>227.62264151086944</x:v>
      </x:c>
      <x:c r="M103" s="10" t="n">
        <x:f>MAX(0,J103-I103)</x:f>
        <x:v>0</x:v>
      </x:c>
    </x:row>
    <x:row r="104" ht="16" customHeight="1">
      <x:c r="A104" s="1"/>
      <x:c r="B104" s="1"/>
      <x:c r="C104" s="1" t="str">
        <x:v>S’otality Personal Chef</x:v>
      </x:c>
      <x:c r="D104" s="10" t="n">
        <x:v>3</x:v>
      </x:c>
      <x:c r="E104" s="10" t="n">
        <x:f>SUMIF('Revenue and costs'!$D$264:$D$391,C104,'Revenue and costs'!N264:N391)</x:f>
        <x:v>36524.532096</x:v>
      </x:c>
      <x:c r="F104" s="10" t="n">
        <x:f>SUMIF('Revenue and costs'!$D$264:$D$391,C104,'Revenue and costs'!O264:O391)+SUMIF('Revenue and costs'!$D$264:$D$391,C104,'Revenue and costs'!P264:P391)+SUMIF('Revenue and costs'!$D$264:$D$391,C104,'Revenue and costs'!Q264:Q391)+SUMIF('Revenue and costs'!$D$264:$D$391,C104,'Revenue and costs'!R264:R391)+SUMIF('Revenue and costs'!$D$264:$D$391,C104,'Revenue and costs'!S264:S391)+SUMIF('Revenue and costs'!$D$264:$D$391,C104,'Revenue and costs'!T264:T391)+SUMIF('Revenue and costs'!$D$264:$D$391,C104,'Revenue and costs'!U264:U391)+SUMIF('Revenue and costs'!$D$264:$D$391,C104,'Revenue and costs'!V264:V391)+SUMIF('Revenue and costs'!$D$264:$D$391,C104,'Revenue and costs'!AE264:AE391)</x:f>
        <x:v>28839.669143040002</x:v>
      </x:c>
      <x:c r="G104" s="10" t="n">
        <x:f>IF('Income statement'!F50=0,1/39,E104/'Income statement'!F50)*('Shared costs'!J21+'Assumptions'!$D$18*'Assumptions'!$D$19*12*(1+'Assumptions'!$D$13)^(3-1)*'Assumptions'!$D$21)</x:f>
        <x:v>1726.6366032728006</x:v>
      </x:c>
      <x:c r="H104" s="10" t="n">
        <x:f>IF('Income statement'!F50=0,1/39,E104/'Income statement'!F50)*'Cash and capital'!F18</x:f>
        <x:v>10.797703676318086</x:v>
      </x:c>
      <x:c r="I104" s="10" t="n">
        <x:f>E104-F104-G104-H104</x:f>
        <x:v>5947.428646010882</x:v>
      </x:c>
      <x:c r="J104" s="10" t="n">
        <x:f>M65</x:f>
        <x:v>0</x:v>
      </x:c>
      <x:c r="K104" s="10" t="n">
        <x:f>MAX(0,I104-J104)</x:f>
        <x:v>5947.428646010882</x:v>
      </x:c>
      <x:c r="L104" s="10" t="n">
        <x:f>K104*'Assumptions'!$D$12</x:f>
        <x:v>1486.8571615027206</x:v>
      </x:c>
      <x:c r="M104" s="10" t="n">
        <x:f>MAX(0,J104-I104)</x:f>
        <x:v>0</x:v>
      </x:c>
    </x:row>
    <x:row r="105" ht="16" customHeight="1">
      <x:c r="A105" s="1"/>
      <x:c r="B105" s="1"/>
      <x:c r="C105" s="1" t="str">
        <x:v>S’otality interiors</x:v>
      </x:c>
      <x:c r="D105" s="10" t="n">
        <x:v>3</x:v>
      </x:c>
      <x:c r="E105" s="10" t="n">
        <x:f>SUMIF('Revenue and costs'!$D$264:$D$391,C105,'Revenue and costs'!N264:N391)</x:f>
        <x:v>51399.8622972</x:v>
      </x:c>
      <x:c r="F105" s="10" t="n">
        <x:f>SUMIF('Revenue and costs'!$D$264:$D$391,C105,'Revenue and costs'!O264:O391)+SUMIF('Revenue and costs'!$D$264:$D$391,C105,'Revenue and costs'!P264:P391)+SUMIF('Revenue and costs'!$D$264:$D$391,C105,'Revenue and costs'!Q264:Q391)+SUMIF('Revenue and costs'!$D$264:$D$391,C105,'Revenue and costs'!R264:R391)+SUMIF('Revenue and costs'!$D$264:$D$391,C105,'Revenue and costs'!S264:S391)+SUMIF('Revenue and costs'!$D$264:$D$391,C105,'Revenue and costs'!T264:T391)+SUMIF('Revenue and costs'!$D$264:$D$391,C105,'Revenue and costs'!U264:U391)+SUMIF('Revenue and costs'!$D$264:$D$391,C105,'Revenue and costs'!V264:V391)+SUMIF('Revenue and costs'!$D$264:$D$391,C105,'Revenue and costs'!AE264:AE391)</x:f>
        <x:v>30660.22495029</x:v>
      </x:c>
      <x:c r="G105" s="10" t="n">
        <x:f>IF('Income statement'!F50=0,1/39,E105/'Income statement'!F50)*('Shared costs'!J21+'Assumptions'!$D$18*'Assumptions'!$D$19*12*(1+'Assumptions'!$D$13)^(3-1)*'Assumptions'!$D$21)</x:f>
        <x:v>2429.8431369979535</x:v>
      </x:c>
      <x:c r="H105" s="10" t="n">
        <x:f>IF('Income statement'!F50=0,1/39,E105/'Income statement'!F50)*'Cash and capital'!F18</x:f>
        <x:v>15.195279726786724</x:v>
      </x:c>
      <x:c r="I105" s="10" t="n">
        <x:f>E105-F105-G105-H105</x:f>
        <x:v>18294.59893018526</x:v>
      </x:c>
      <x:c r="J105" s="10" t="n">
        <x:f>M66</x:f>
        <x:v>0</x:v>
      </x:c>
      <x:c r="K105" s="10" t="n">
        <x:f>MAX(0,I105-J105)</x:f>
        <x:v>18294.59893018526</x:v>
      </x:c>
      <x:c r="L105" s="10" t="n">
        <x:f>K105*'Assumptions'!$D$12</x:f>
        <x:v>4573.649732546315</x:v>
      </x:c>
      <x:c r="M105" s="10" t="n">
        <x:f>MAX(0,J105-I105)</x:f>
        <x:v>0</x:v>
      </x:c>
    </x:row>
    <x:row r="106" ht="16" customHeight="1">
      <x:c r="A106" s="1"/>
      <x:c r="B106" s="1"/>
      <x:c r="C106" s="1" t="str">
        <x:v>S’otality concierge</x:v>
      </x:c>
      <x:c r="D106" s="10" t="n">
        <x:v>3</x:v>
      </x:c>
      <x:c r="E106" s="10" t="n">
        <x:f>SUMIF('Revenue and costs'!$D$264:$D$391,C106,'Revenue and costs'!N264:N391)</x:f>
        <x:v>19391.547420000003</x:v>
      </x:c>
      <x:c r="F106" s="10" t="n">
        <x:f>SUMIF('Revenue and costs'!$D$264:$D$391,C106,'Revenue and costs'!O264:O391)+SUMIF('Revenue and costs'!$D$264:$D$391,C106,'Revenue and costs'!P264:P391)+SUMIF('Revenue and costs'!$D$264:$D$391,C106,'Revenue and costs'!Q264:Q391)+SUMIF('Revenue and costs'!$D$264:$D$391,C106,'Revenue and costs'!R264:R391)+SUMIF('Revenue and costs'!$D$264:$D$391,C106,'Revenue and costs'!S264:S391)+SUMIF('Revenue and costs'!$D$264:$D$391,C106,'Revenue and costs'!T264:T391)+SUMIF('Revenue and costs'!$D$264:$D$391,C106,'Revenue and costs'!U264:U391)+SUMIF('Revenue and costs'!$D$264:$D$391,C106,'Revenue and costs'!V264:V391)+SUMIF('Revenue and costs'!$D$264:$D$391,C106,'Revenue and costs'!AE264:AE391)</x:f>
        <x:v>10605.606265800001</x:v>
      </x:c>
      <x:c r="G106" s="10" t="n">
        <x:f>IF('Income statement'!F50=0,1/39,E106/'Income statement'!F50)*('Shared costs'!J21+'Assumptions'!$D$18*'Assumptions'!$D$19*12*(1+'Assumptions'!$D$13)^(3-1)*'Assumptions'!$D$21)</x:f>
        <x:v>916.7032032462108</x:v>
      </x:c>
      <x:c r="H106" s="10" t="n">
        <x:f>IF('Income statement'!F50=0,1/39,E106/'Income statement'!F50)*'Cash and capital'!F18</x:f>
        <x:v>5.732699937567751</x:v>
      </x:c>
      <x:c r="I106" s="10" t="n">
        <x:f>E106-F106-G106-H106</x:f>
        <x:v>7863.505251016223</x:v>
      </x:c>
      <x:c r="J106" s="10" t="n">
        <x:f>M67</x:f>
        <x:v>0</x:v>
      </x:c>
      <x:c r="K106" s="10" t="n">
        <x:f>MAX(0,I106-J106)</x:f>
        <x:v>7863.505251016223</x:v>
      </x:c>
      <x:c r="L106" s="10" t="n">
        <x:f>K106*'Assumptions'!$D$12</x:f>
        <x:v>1965.8763127540558</x:v>
      </x:c>
      <x:c r="M106" s="10" t="n">
        <x:f>MAX(0,J106-I106)</x:f>
        <x:v>0</x:v>
      </x:c>
    </x:row>
    <x:row r="107" ht="16" customHeight="1">
      <x:c r="A107" s="1"/>
      <x:c r="B107" s="1"/>
      <x:c r="C107" s="1" t="str">
        <x:v>S’otality administration</x:v>
      </x:c>
      <x:c r="D107" s="10" t="n">
        <x:v>3</x:v>
      </x:c>
      <x:c r="E107" s="10" t="n">
        <x:f>SUMIF('Revenue and costs'!$D$264:$D$391,C107,'Revenue and costs'!N264:N391)</x:f>
        <x:v>31026.475872000003</x:v>
      </x:c>
      <x:c r="F107" s="10" t="n">
        <x:f>SUMIF('Revenue and costs'!$D$264:$D$391,C107,'Revenue and costs'!O264:O391)+SUMIF('Revenue and costs'!$D$264:$D$391,C107,'Revenue and costs'!P264:P391)+SUMIF('Revenue and costs'!$D$264:$D$391,C107,'Revenue and costs'!Q264:Q391)+SUMIF('Revenue and costs'!$D$264:$D$391,C107,'Revenue and costs'!R264:R391)+SUMIF('Revenue and costs'!$D$264:$D$391,C107,'Revenue and costs'!S264:S391)+SUMIF('Revenue and costs'!$D$264:$D$391,C107,'Revenue and costs'!T264:T391)+SUMIF('Revenue and costs'!$D$264:$D$391,C107,'Revenue and costs'!U264:U391)+SUMIF('Revenue and costs'!$D$264:$D$391,C107,'Revenue and costs'!V264:V391)+SUMIF('Revenue and costs'!$D$264:$D$391,C107,'Revenue and costs'!AE264:AE391)</x:f>
        <x:v>22707.568205280004</x:v>
      </x:c>
      <x:c r="G107" s="10" t="n">
        <x:f>IF('Income statement'!F50=0,1/39,E107/'Income statement'!F50)*('Shared costs'!J21+'Assumptions'!$D$18*'Assumptions'!$D$19*12*(1+'Assumptions'!$D$13)^(3-1)*'Assumptions'!$D$21)</x:f>
        <x:v>1466.7251251939372</x:v>
      </x:c>
      <x:c r="H107" s="10" t="n">
        <x:f>IF('Income statement'!F50=0,1/39,E107/'Income statement'!F50)*'Cash and capital'!F18</x:f>
        <x:v>9.1723199001084</x:v>
      </x:c>
      <x:c r="I107" s="10" t="n">
        <x:f>E107-F107-G107-H107</x:f>
        <x:v>6843.010221625954</x:v>
      </x:c>
      <x:c r="J107" s="10" t="n">
        <x:f>M68</x:f>
        <x:v>0</x:v>
      </x:c>
      <x:c r="K107" s="10" t="n">
        <x:f>MAX(0,I107-J107)</x:f>
        <x:v>6843.010221625954</x:v>
      </x:c>
      <x:c r="L107" s="10" t="n">
        <x:f>K107*'Assumptions'!$D$12</x:f>
        <x:v>1710.7525554064885</x:v>
      </x:c>
      <x:c r="M107" s="10" t="n">
        <x:f>MAX(0,J107-I107)</x:f>
        <x:v>0</x:v>
      </x:c>
    </x:row>
    <x:row r="108" ht="16" customHeight="1">
      <x:c r="A108" s="1"/>
      <x:c r="B108" s="1"/>
      <x:c r="C108" s="1" t="str">
        <x:v>S’otality bike tours</x:v>
      </x:c>
      <x:c r="D108" s="10" t="n">
        <x:v>3</x:v>
      </x:c>
      <x:c r="E108" s="10" t="n">
        <x:f>SUMIF('Revenue and costs'!$D$264:$D$391,C108,'Revenue and costs'!N264:N391)</x:f>
        <x:v>14609.812838400003</x:v>
      </x:c>
      <x:c r="F108" s="10" t="n">
        <x:f>SUMIF('Revenue and costs'!$D$264:$D$391,C108,'Revenue and costs'!O264:O391)+SUMIF('Revenue and costs'!$D$264:$D$391,C108,'Revenue and costs'!P264:P391)+SUMIF('Revenue and costs'!$D$264:$D$391,C108,'Revenue and costs'!Q264:Q391)+SUMIF('Revenue and costs'!$D$264:$D$391,C108,'Revenue and costs'!R264:R391)+SUMIF('Revenue and costs'!$D$264:$D$391,C108,'Revenue and costs'!S264:S391)+SUMIF('Revenue and costs'!$D$264:$D$391,C108,'Revenue and costs'!T264:T391)+SUMIF('Revenue and costs'!$D$264:$D$391,C108,'Revenue and costs'!U264:U391)+SUMIF('Revenue and costs'!$D$264:$D$391,C108,'Revenue and costs'!V264:V391)+SUMIF('Revenue and costs'!$D$264:$D$391,C108,'Revenue and costs'!AE264:AE391)</x:f>
        <x:v>11705.354236416</x:v>
      </x:c>
      <x:c r="G108" s="10" t="n">
        <x:f>IF('Income statement'!F50=0,1/39,E108/'Income statement'!F50)*('Shared costs'!J21+'Assumptions'!$D$18*'Assumptions'!$D$19*12*(1+'Assumptions'!$D$13)^(3-1)*'Assumptions'!$D$21)</x:f>
        <x:v>690.6546413091203</x:v>
      </x:c>
      <x:c r="H108" s="10" t="n">
        <x:f>IF('Income statement'!F50=0,1/39,E108/'Income statement'!F50)*'Cash and capital'!F18</x:f>
        <x:v>4.319081470527235</x:v>
      </x:c>
      <x:c r="I108" s="10" t="n">
        <x:f>E108-F108-G108-H108</x:f>
        <x:v>2209.4848792043554</x:v>
      </x:c>
      <x:c r="J108" s="10" t="n">
        <x:f>M69</x:f>
        <x:v>0</x:v>
      </x:c>
      <x:c r="K108" s="10" t="n">
        <x:f>MAX(0,I108-J108)</x:f>
        <x:v>2209.4848792043554</x:v>
      </x:c>
      <x:c r="L108" s="10" t="n">
        <x:f>K108*'Assumptions'!$D$12</x:f>
        <x:v>552.3712198010888</x:v>
      </x:c>
      <x:c r="M108" s="10" t="n">
        <x:f>MAX(0,J108-I108)</x:f>
        <x:v>0</x:v>
      </x:c>
    </x:row>
    <x:row r="109" ht="16" customHeight="1">
      <x:c r="A109" s="1"/>
      <x:c r="B109" s="1"/>
      <x:c r="C109" s="1" t="str">
        <x:v>S’otality editorial</x:v>
      </x:c>
      <x:c r="D109" s="10" t="n">
        <x:v>3</x:v>
      </x:c>
      <x:c r="E109" s="10" t="n">
        <x:f>SUMIF('Revenue and costs'!$D$264:$D$391,C109,'Revenue and costs'!N264:N391)</x:f>
        <x:v>7756.6189680000025</x:v>
      </x:c>
      <x:c r="F109" s="10" t="n">
        <x:f>SUMIF('Revenue and costs'!$D$264:$D$391,C109,'Revenue and costs'!O264:O391)+SUMIF('Revenue and costs'!$D$264:$D$391,C109,'Revenue and costs'!P264:P391)+SUMIF('Revenue and costs'!$D$264:$D$391,C109,'Revenue and costs'!Q264:Q391)+SUMIF('Revenue and costs'!$D$264:$D$391,C109,'Revenue and costs'!R264:R391)+SUMIF('Revenue and costs'!$D$264:$D$391,C109,'Revenue and costs'!S264:S391)+SUMIF('Revenue and costs'!$D$264:$D$391,C109,'Revenue and costs'!T264:T391)+SUMIF('Revenue and costs'!$D$264:$D$391,C109,'Revenue and costs'!U264:U391)+SUMIF('Revenue and costs'!$D$264:$D$391,C109,'Revenue and costs'!V264:V391)+SUMIF('Revenue and costs'!$D$264:$D$391,C109,'Revenue and costs'!AE264:AE391)</x:f>
        <x:v>4212.519251040001</x:v>
      </x:c>
      <x:c r="G109" s="10" t="n">
        <x:f>IF('Income statement'!F50=0,1/39,E109/'Income statement'!F50)*('Shared costs'!J21+'Assumptions'!$D$18*'Assumptions'!$D$19*12*(1+'Assumptions'!$D$13)^(3-1)*'Assumptions'!$D$21)</x:f>
        <x:v>366.68128129848435</x:v>
      </x:c>
      <x:c r="H109" s="10" t="n">
        <x:f>IF('Income statement'!F50=0,1/39,E109/'Income statement'!F50)*'Cash and capital'!F18</x:f>
        <x:v>2.2930799750271005</x:v>
      </x:c>
      <x:c r="I109" s="10" t="n">
        <x:f>E109-F109-G109-H109</x:f>
        <x:v>3175.12535568649</x:v>
      </x:c>
      <x:c r="J109" s="10" t="n">
        <x:f>M70</x:f>
        <x:v>0</x:v>
      </x:c>
      <x:c r="K109" s="10" t="n">
        <x:f>MAX(0,I109-J109)</x:f>
        <x:v>3175.12535568649</x:v>
      </x:c>
      <x:c r="L109" s="10" t="n">
        <x:f>K109*'Assumptions'!$D$12</x:f>
        <x:v>793.7813389216225</x:v>
      </x:c>
      <x:c r="M109" s="10" t="n">
        <x:f>MAX(0,J109-I109)</x:f>
        <x:v>0</x:v>
      </x:c>
    </x:row>
    <x:row r="110" ht="16" customHeight="1">
      <x:c r="A110" s="1"/>
      <x:c r="B110" s="1"/>
      <x:c r="C110" s="1" t="str">
        <x:v>Tomato Odyssey</x:v>
      </x:c>
      <x:c r="D110" s="10" t="n">
        <x:v>3</x:v>
      </x:c>
      <x:c r="E110" s="10" t="n">
        <x:f>SUMIF('Revenue and costs'!$D$264:$D$391,C110,'Revenue and costs'!N264:N391)</x:f>
        <x:v>7756.6189680000025</x:v>
      </x:c>
      <x:c r="F110" s="10" t="n">
        <x:f>SUMIF('Revenue and costs'!$D$264:$D$391,C110,'Revenue and costs'!O264:O391)+SUMIF('Revenue and costs'!$D$264:$D$391,C110,'Revenue and costs'!P264:P391)+SUMIF('Revenue and costs'!$D$264:$D$391,C110,'Revenue and costs'!Q264:Q391)+SUMIF('Revenue and costs'!$D$264:$D$391,C110,'Revenue and costs'!R264:R391)+SUMIF('Revenue and costs'!$D$264:$D$391,C110,'Revenue and costs'!S264:S391)+SUMIF('Revenue and costs'!$D$264:$D$391,C110,'Revenue and costs'!T264:T391)+SUMIF('Revenue and costs'!$D$264:$D$391,C110,'Revenue and costs'!U264:U391)+SUMIF('Revenue and costs'!$D$264:$D$391,C110,'Revenue and costs'!V264:V391)+SUMIF('Revenue and costs'!$D$264:$D$391,C110,'Revenue and costs'!AE264:AE391)</x:f>
        <x:v>4212.519251040001</x:v>
      </x:c>
      <x:c r="G110" s="10" t="n">
        <x:f>IF('Income statement'!F50=0,1/39,E110/'Income statement'!F50)*('Shared costs'!J21+'Assumptions'!$D$18*'Assumptions'!$D$19*12*(1+'Assumptions'!$D$13)^(3-1)*'Assumptions'!$D$21)</x:f>
        <x:v>366.68128129848435</x:v>
      </x:c>
      <x:c r="H110" s="10" t="n">
        <x:f>IF('Income statement'!F50=0,1/39,E110/'Income statement'!F50)*'Cash and capital'!F18</x:f>
        <x:v>2.2930799750271005</x:v>
      </x:c>
      <x:c r="I110" s="10" t="n">
        <x:f>E110-F110-G110-H110</x:f>
        <x:v>3175.12535568649</x:v>
      </x:c>
      <x:c r="J110" s="10" t="n">
        <x:f>M71</x:f>
        <x:v>0</x:v>
      </x:c>
      <x:c r="K110" s="10" t="n">
        <x:f>MAX(0,I110-J110)</x:f>
        <x:v>3175.12535568649</x:v>
      </x:c>
      <x:c r="L110" s="10" t="n">
        <x:f>K110*'Assumptions'!$D$12</x:f>
        <x:v>793.7813389216225</x:v>
      </x:c>
      <x:c r="M110" s="10" t="n">
        <x:f>MAX(0,J110-I110)</x:f>
        <x:v>0</x:v>
      </x:c>
    </x:row>
    <x:row r="111" ht="16" customHeight="1">
      <x:c r="A111" s="1"/>
      <x:c r="B111" s="1"/>
      <x:c r="C111" s="1" t="str">
        <x:v>Semajes Studio</x:v>
      </x:c>
      <x:c r="D111" s="10" t="n">
        <x:v>3</x:v>
      </x:c>
      <x:c r="E111" s="10" t="n">
        <x:f>SUMIF('Revenue and costs'!$D$264:$D$391,C111,'Revenue and costs'!N264:N391)</x:f>
        <x:v>100350.50709384002</x:v>
      </x:c>
      <x:c r="F111" s="10" t="n">
        <x:f>SUMIF('Revenue and costs'!$D$264:$D$391,C111,'Revenue and costs'!O264:O391)+SUMIF('Revenue and costs'!$D$264:$D$391,C111,'Revenue and costs'!P264:P391)+SUMIF('Revenue and costs'!$D$264:$D$391,C111,'Revenue and costs'!Q264:Q391)+SUMIF('Revenue and costs'!$D$264:$D$391,C111,'Revenue and costs'!R264:R391)+SUMIF('Revenue and costs'!$D$264:$D$391,C111,'Revenue and costs'!S264:S391)+SUMIF('Revenue and costs'!$D$264:$D$391,C111,'Revenue and costs'!T264:T391)+SUMIF('Revenue and costs'!$D$264:$D$391,C111,'Revenue and costs'!U264:U391)+SUMIF('Revenue and costs'!$D$264:$D$391,C111,'Revenue and costs'!V264:V391)+SUMIF('Revenue and costs'!$D$264:$D$391,C111,'Revenue and costs'!AE264:AE391)</x:f>
        <x:v>61701.91736431201</x:v>
      </x:c>
      <x:c r="G111" s="10" t="n">
        <x:f>IF('Income statement'!F50=0,1/39,E111/'Income statement'!F50)*('Shared costs'!J21+'Assumptions'!$D$18*'Assumptions'!$D$19*12*(1+'Assumptions'!$D$13)^(3-1)*'Assumptions'!$D$21)</x:f>
        <x:v>4743.903583755604</x:v>
      </x:c>
      <x:c r="H111" s="10" t="n">
        <x:f>IF('Income statement'!F50=0,1/39,E111/'Income statement'!F50)*'Cash and capital'!F18</x:f>
        <x:v>29.66650021743075</x:v>
      </x:c>
      <x:c r="I111" s="10" t="n">
        <x:f>E111-F111-G111-H111</x:f>
        <x:v>33875.01964555497</x:v>
      </x:c>
      <x:c r="J111" s="10" t="n">
        <x:f>M72</x:f>
        <x:v>0</x:v>
      </x:c>
      <x:c r="K111" s="10" t="n">
        <x:f>MAX(0,I111-J111)</x:f>
        <x:v>33875.01964555497</x:v>
      </x:c>
      <x:c r="L111" s="10" t="n">
        <x:f>K111*'Assumptions'!$D$12</x:f>
        <x:v>8468.754911388742</x:v>
      </x:c>
      <x:c r="M111" s="10" t="n">
        <x:f>MAX(0,J111-I111)</x:f>
        <x:v>0</x:v>
      </x:c>
    </x:row>
    <x:row r="112" ht="16" customHeight="1">
      <x:c r="A112" s="1"/>
      <x:c r="B112" s="1"/>
      <x:c r="C112" s="1" t="str">
        <x:v>Semajes Marketplace</x:v>
      </x:c>
      <x:c r="D112" s="10" t="n">
        <x:v>3</x:v>
      </x:c>
      <x:c r="E112" s="10" t="n">
        <x:f>SUMIF('Revenue and costs'!$D$264:$D$391,C112,'Revenue and costs'!N264:N391)</x:f>
        <x:v>20813.291474400005</x:v>
      </x:c>
      <x:c r="F112" s="10" t="n">
        <x:f>SUMIF('Revenue and costs'!$D$264:$D$391,C112,'Revenue and costs'!O264:O391)+SUMIF('Revenue and costs'!$D$264:$D$391,C112,'Revenue and costs'!P264:P391)+SUMIF('Revenue and costs'!$D$264:$D$391,C112,'Revenue and costs'!Q264:Q391)+SUMIF('Revenue and costs'!$D$264:$D$391,C112,'Revenue and costs'!R264:R391)+SUMIF('Revenue and costs'!$D$264:$D$391,C112,'Revenue and costs'!S264:S391)+SUMIF('Revenue and costs'!$D$264:$D$391,C112,'Revenue and costs'!T264:T391)+SUMIF('Revenue and costs'!$D$264:$D$391,C112,'Revenue and costs'!U264:U391)+SUMIF('Revenue and costs'!$D$264:$D$391,C112,'Revenue and costs'!V264:V391)+SUMIF('Revenue and costs'!$D$264:$D$391,C112,'Revenue and costs'!AE264:AE391)</x:f>
        <x:v>10061.53768632</x:v>
      </x:c>
      <x:c r="G112" s="10" t="n">
        <x:f>IF('Income statement'!F50=0,1/39,E112/'Income statement'!F50)*('Shared costs'!J21+'Assumptions'!$D$18*'Assumptions'!$D$19*12*(1+'Assumptions'!$D$13)^(3-1)*'Assumptions'!$D$21)</x:f>
        <x:v>983.9137925115381</x:v>
      </x:c>
      <x:c r="H112" s="10" t="n">
        <x:f>IF('Income statement'!F50=0,1/39,E112/'Income statement'!F50)*'Cash and capital'!F18</x:f>
        <x:v>6.153008429477481</x:v>
      </x:c>
      <x:c r="I112" s="10" t="n">
        <x:f>E112-F112-G112-H112</x:f>
        <x:v>9761.68698713899</x:v>
      </x:c>
      <x:c r="J112" s="10" t="n">
        <x:f>M73</x:f>
        <x:v>0</x:v>
      </x:c>
      <x:c r="K112" s="10" t="n">
        <x:f>MAX(0,I112-J112)</x:f>
        <x:v>9761.68698713899</x:v>
      </x:c>
      <x:c r="L112" s="10" t="n">
        <x:f>K112*'Assumptions'!$D$12</x:f>
        <x:v>2440.4217467847475</x:v>
      </x:c>
      <x:c r="M112" s="10" t="n">
        <x:f>MAX(0,J112-I112)</x:f>
        <x:v>0</x:v>
      </x:c>
    </x:row>
    <x:row r="113" ht="16" customHeight="1">
      <x:c r="A113" s="1"/>
      <x:c r="B113" s="1"/>
      <x:c r="C113" s="1" t="str">
        <x:v>Semajes premium and media</x:v>
      </x:c>
      <x:c r="D113" s="10" t="n">
        <x:v>3</x:v>
      </x:c>
      <x:c r="E113" s="10" t="n">
        <x:f>SUMIF('Revenue and costs'!$D$264:$D$391,C113,'Revenue and costs'!N264:N391)</x:f>
        <x:v>14518.677106872</x:v>
      </x:c>
      <x:c r="F113" s="10" t="n">
        <x:f>SUMIF('Revenue and costs'!$D$264:$D$391,C113,'Revenue and costs'!O264:O391)+SUMIF('Revenue and costs'!$D$264:$D$391,C113,'Revenue and costs'!P264:P391)+SUMIF('Revenue and costs'!$D$264:$D$391,C113,'Revenue and costs'!Q264:Q391)+SUMIF('Revenue and costs'!$D$264:$D$391,C113,'Revenue and costs'!R264:R391)+SUMIF('Revenue and costs'!$D$264:$D$391,C113,'Revenue and costs'!S264:S391)+SUMIF('Revenue and costs'!$D$264:$D$391,C113,'Revenue and costs'!T264:T391)+SUMIF('Revenue and costs'!$D$264:$D$391,C113,'Revenue and costs'!U264:U391)+SUMIF('Revenue and costs'!$D$264:$D$391,C113,'Revenue and costs'!V264:V391)+SUMIF('Revenue and costs'!$D$264:$D$391,C113,'Revenue and costs'!AE264:AE391)</x:f>
        <x:v>7561.383563514</x:v>
      </x:c>
      <x:c r="G113" s="10" t="n">
        <x:f>IF('Income statement'!F50=0,1/39,E113/'Income statement'!F50)*('Shared costs'!J21+'Assumptions'!$D$18*'Assumptions'!$D$19*12*(1+'Assumptions'!$D$13)^(3-1)*'Assumptions'!$D$21)</x:f>
        <x:v>686.346350938454</x:v>
      </x:c>
      <x:c r="H113" s="10" t="n">
        <x:f>IF('Income statement'!F50=0,1/39,E113/'Income statement'!F50)*'Cash and capital'!F18</x:f>
        <x:v>4.292139123373345</x:v>
      </x:c>
      <x:c r="I113" s="10" t="n">
        <x:f>E113-F113-G113-H113</x:f>
        <x:v>6266.655053296174</x:v>
      </x:c>
      <x:c r="J113" s="10" t="n">
        <x:f>M74</x:f>
        <x:v>0</x:v>
      </x:c>
      <x:c r="K113" s="10" t="n">
        <x:f>MAX(0,I113-J113)</x:f>
        <x:v>6266.655053296174</x:v>
      </x:c>
      <x:c r="L113" s="10" t="n">
        <x:f>K113*'Assumptions'!$D$12</x:f>
        <x:v>1566.6637633240434</x:v>
      </x:c>
      <x:c r="M113" s="10" t="n">
        <x:f>MAX(0,J113-I113)</x:f>
        <x:v>0</x:v>
      </x:c>
    </x:row>
    <x:row r="114" ht="16" customHeight="1">
      <x:c r="A114" s="1"/>
      <x:c r="B114" s="1"/>
      <x:c r="C114" s="1" t="str">
        <x:v>Semajes courses</x:v>
      </x:c>
      <x:c r="D114" s="10" t="n">
        <x:v>3</x:v>
      </x:c>
      <x:c r="E114" s="10" t="n">
        <x:f>SUMIF('Revenue and costs'!$D$264:$D$391,C114,'Revenue and costs'!N264:N391)</x:f>
        <x:v>11848.8258486</x:v>
      </x:c>
      <x:c r="F114" s="10" t="n">
        <x:f>SUMIF('Revenue and costs'!$D$264:$D$391,C114,'Revenue and costs'!O264:O391)+SUMIF('Revenue and costs'!$D$264:$D$391,C114,'Revenue and costs'!P264:P391)+SUMIF('Revenue and costs'!$D$264:$D$391,C114,'Revenue and costs'!Q264:Q391)+SUMIF('Revenue and costs'!$D$264:$D$391,C114,'Revenue and costs'!R264:R391)+SUMIF('Revenue and costs'!$D$264:$D$391,C114,'Revenue and costs'!S264:S391)+SUMIF('Revenue and costs'!$D$264:$D$391,C114,'Revenue and costs'!T264:T391)+SUMIF('Revenue and costs'!$D$264:$D$391,C114,'Revenue and costs'!U264:U391)+SUMIF('Revenue and costs'!$D$264:$D$391,C114,'Revenue and costs'!V264:V391)+SUMIF('Revenue and costs'!$D$264:$D$391,C114,'Revenue and costs'!AE264:AE391)</x:f>
        <x:v>3671.9170856999995</x:v>
      </x:c>
      <x:c r="G114" s="10" t="n">
        <x:f>IF('Income statement'!F50=0,1/39,E114/'Income statement'!F50)*('Shared costs'!J21+'Assumptions'!$D$18*'Assumptions'!$D$19*12*(1+'Assumptions'!$D$13)^(3-1)*'Assumptions'!$D$21)</x:f>
        <x:v>560.1335661802549</x:v>
      </x:c>
      <x:c r="H114" s="10" t="n">
        <x:f>IF('Income statement'!F50=0,1/39,E114/'Income statement'!F50)*'Cash and capital'!F18</x:f>
        <x:v>3.502854193702112</x:v>
      </x:c>
      <x:c r="I114" s="10" t="n">
        <x:f>E114-F114-G114-H114</x:f>
        <x:v>7613.272342526044</x:v>
      </x:c>
      <x:c r="J114" s="10" t="n">
        <x:f>M75</x:f>
        <x:v>0</x:v>
      </x:c>
      <x:c r="K114" s="10" t="n">
        <x:f>MAX(0,I114-J114)</x:f>
        <x:v>7613.272342526044</x:v>
      </x:c>
      <x:c r="L114" s="10" t="n">
        <x:f>K114*'Assumptions'!$D$12</x:f>
        <x:v>1903.318085631511</x:v>
      </x:c>
      <x:c r="M114" s="10" t="n">
        <x:f>MAX(0,J114-I114)</x:f>
        <x:v>0</x:v>
      </x:c>
    </x:row>
    <x:row r="115" ht="16" customHeight="1">
      <x:c r="A115" s="1"/>
      <x:c r="B115" s="1"/>
      <x:c r="C115" s="1" t="str">
        <x:v>Sleepy Face</x:v>
      </x:c>
      <x:c r="D115" s="10" t="n">
        <x:v>3</x:v>
      </x:c>
      <x:c r="E115" s="10" t="n">
        <x:f>SUMIF('Revenue and costs'!$D$264:$D$391,C115,'Revenue and costs'!N264:N391)</x:f>
        <x:v>156177.6567552</x:v>
      </x:c>
      <x:c r="F115" s="10" t="n">
        <x:f>SUMIF('Revenue and costs'!$D$264:$D$391,C115,'Revenue and costs'!O264:O391)+SUMIF('Revenue and costs'!$D$264:$D$391,C115,'Revenue and costs'!P264:P391)+SUMIF('Revenue and costs'!$D$264:$D$391,C115,'Revenue and costs'!Q264:Q391)+SUMIF('Revenue and costs'!$D$264:$D$391,C115,'Revenue and costs'!R264:R391)+SUMIF('Revenue and costs'!$D$264:$D$391,C115,'Revenue and costs'!S264:S391)+SUMIF('Revenue and costs'!$D$264:$D$391,C115,'Revenue and costs'!T264:T391)+SUMIF('Revenue and costs'!$D$264:$D$391,C115,'Revenue and costs'!U264:U391)+SUMIF('Revenue and costs'!$D$264:$D$391,C115,'Revenue and costs'!V264:V391)+SUMIF('Revenue and costs'!$D$264:$D$391,C115,'Revenue and costs'!AE264:AE391)</x:f>
        <x:v>94492.57923220801</x:v>
      </x:c>
      <x:c r="G115" s="10" t="n">
        <x:f>IF('Income statement'!F50=0,1/39,E115/'Income statement'!F50)*('Shared costs'!J21+'Assumptions'!$D$18*'Assumptions'!$D$19*12*(1+'Assumptions'!$D$13)^(3-1)*'Assumptions'!$D$21)</x:f>
        <x:v>7383.039379070814</x:v>
      </x:c>
      <x:c r="H115" s="10" t="n">
        <x:f>IF('Income statement'!F50=0,1/39,E115/'Income statement'!F50)*'Cash and capital'!F18</x:f>
        <x:v>46.17061360490501</x:v>
      </x:c>
      <x:c r="I115" s="10" t="n">
        <x:f>E115-F115-G115-H115</x:f>
        <x:v>54255.86753031628</x:v>
      </x:c>
      <x:c r="J115" s="10" t="n">
        <x:f>M76</x:f>
        <x:v>0</x:v>
      </x:c>
      <x:c r="K115" s="10" t="n">
        <x:f>MAX(0,I115-J115)</x:f>
        <x:v>54255.86753031628</x:v>
      </x:c>
      <x:c r="L115" s="10" t="n">
        <x:f>K115*'Assumptions'!$D$12</x:f>
        <x:v>13563.96688257907</x:v>
      </x:c>
      <x:c r="M115" s="10" t="n">
        <x:f>MAX(0,J115-I115)</x:f>
        <x:v>0</x:v>
      </x:c>
    </x:row>
    <x:row r="116" ht="16" customHeight="1">
      <x:c r="A116" s="1"/>
      <x:c r="B116" s="1"/>
      <x:c r="C116" s="1" t="str">
        <x:v>QzoticMusic</x:v>
      </x:c>
      <x:c r="D116" s="10" t="n">
        <x:v>3</x:v>
      </x:c>
      <x:c r="E116" s="10" t="n">
        <x:f>SUMIF('Revenue and costs'!$D$264:$D$391,C116,'Revenue and costs'!N264:N391)</x:f>
        <x:v>13723.190721</x:v>
      </x:c>
      <x:c r="F116" s="10" t="n">
        <x:f>SUMIF('Revenue and costs'!$D$264:$D$391,C116,'Revenue and costs'!O264:O391)+SUMIF('Revenue and costs'!$D$264:$D$391,C116,'Revenue and costs'!P264:P391)+SUMIF('Revenue and costs'!$D$264:$D$391,C116,'Revenue and costs'!Q264:Q391)+SUMIF('Revenue and costs'!$D$264:$D$391,C116,'Revenue and costs'!R264:R391)+SUMIF('Revenue and costs'!$D$264:$D$391,C116,'Revenue and costs'!S264:S391)+SUMIF('Revenue and costs'!$D$264:$D$391,C116,'Revenue and costs'!T264:T391)+SUMIF('Revenue and costs'!$D$264:$D$391,C116,'Revenue and costs'!U264:U391)+SUMIF('Revenue and costs'!$D$264:$D$391,C116,'Revenue and costs'!V264:V391)+SUMIF('Revenue and costs'!$D$264:$D$391,C116,'Revenue and costs'!AE264:AE391)</x:f>
        <x:v>14404.00257273</x:v>
      </x:c>
      <x:c r="G116" s="10" t="n">
        <x:f>IF('Income statement'!F50=0,1/39,E116/'Income statement'!F50)*('Shared costs'!J21+'Assumptions'!$D$18*'Assumptions'!$D$19*12*(1+'Assumptions'!$D$13)^(3-1)*'Assumptions'!$D$21)</x:f>
        <x:v>648.7410530076911</x:v>
      </x:c>
      <x:c r="H116" s="10" t="n">
        <x:f>IF('Income statement'!F50=0,1/39,E116/'Income statement'!F50)*'Cash and capital'!F18</x:f>
        <x:v>4.056970435911041</x:v>
      </x:c>
      <x:c r="I116" s="10" t="n">
        <x:f>E116-F116-G116-H116</x:f>
        <x:v>-1333.6098751736013</x:v>
      </x:c>
      <x:c r="J116" s="10" t="n">
        <x:f>M77</x:f>
        <x:v>1950.6782688444778</x:v>
      </x:c>
      <x:c r="K116" s="10" t="n">
        <x:f>MAX(0,I116-J116)</x:f>
        <x:v>0</x:v>
      </x:c>
      <x:c r="L116" s="10" t="n">
        <x:f>K116*'Assumptions'!$D$12</x:f>
        <x:v>0</x:v>
      </x:c>
      <x:c r="M116" s="10" t="n">
        <x:f>MAX(0,J116-I116)</x:f>
        <x:v>3284.288144018079</x:v>
      </x:c>
    </x:row>
    <x:row r="117" ht="16" customHeight="1">
      <x:c r="A117" s="1"/>
      <x:c r="B117" s="1"/>
      <x:c r="C117" s="1" t="str">
        <x:v>LesPetitFilms</x:v>
      </x:c>
      <x:c r="D117" s="10" t="n">
        <x:v>3</x:v>
      </x:c>
      <x:c r="E117" s="10" t="n">
        <x:f>SUMIF('Revenue and costs'!$D$264:$D$391,C117,'Revenue and costs'!N264:N391)</x:f>
        <x:v>50972.06750400001</x:v>
      </x:c>
      <x:c r="F117" s="10" t="n">
        <x:f>SUMIF('Revenue and costs'!$D$264:$D$391,C117,'Revenue and costs'!O264:O391)+SUMIF('Revenue and costs'!$D$264:$D$391,C117,'Revenue and costs'!P264:P391)+SUMIF('Revenue and costs'!$D$264:$D$391,C117,'Revenue and costs'!Q264:Q391)+SUMIF('Revenue and costs'!$D$264:$D$391,C117,'Revenue and costs'!R264:R391)+SUMIF('Revenue and costs'!$D$264:$D$391,C117,'Revenue and costs'!S264:S391)+SUMIF('Revenue and costs'!$D$264:$D$391,C117,'Revenue and costs'!T264:T391)+SUMIF('Revenue and costs'!$D$264:$D$391,C117,'Revenue and costs'!U264:U391)+SUMIF('Revenue and costs'!$D$264:$D$391,C117,'Revenue and costs'!V264:V391)+SUMIF('Revenue and costs'!$D$264:$D$391,C117,'Revenue and costs'!AE264:AE391)</x:f>
        <x:v>28279.23094512001</x:v>
      </x:c>
      <x:c r="G117" s="10" t="n">
        <x:f>IF('Income statement'!F50=0,1/39,E117/'Income statement'!F50)*('Shared costs'!J21+'Assumptions'!$D$18*'Assumptions'!$D$19*12*(1+'Assumptions'!$D$13)^(3-1)*'Assumptions'!$D$21)</x:f>
        <x:v>2409.6198485328973</x:v>
      </x:c>
      <x:c r="H117" s="10" t="n">
        <x:f>IF('Income statement'!F50=0,1/39,E117/'Income statement'!F50)*'Cash and capital'!F18</x:f>
        <x:v>15.068811264463804</x:v>
      </x:c>
      <x:c r="I117" s="10" t="n">
        <x:f>E117-F117-G117-H117</x:f>
        <x:v>20268.147899082644</x:v>
      </x:c>
      <x:c r="J117" s="10" t="n">
        <x:f>M78</x:f>
        <x:v>0</x:v>
      </x:c>
      <x:c r="K117" s="10" t="n">
        <x:f>MAX(0,I117-J117)</x:f>
        <x:v>20268.147899082644</x:v>
      </x:c>
      <x:c r="L117" s="10" t="n">
        <x:f>K117*'Assumptions'!$D$12</x:f>
        <x:v>5067.036974770661</x:v>
      </x:c>
      <x:c r="M117" s="10" t="n">
        <x:f>MAX(0,J117-I117)</x:f>
        <x:v>0</x:v>
      </x:c>
    </x:row>
    <x:row r="118" ht="16" customHeight="1">
      <x:c r="A118" s="1"/>
      <x:c r="B118" s="1"/>
      <x:c r="C118" s="1" t="str">
        <x:v>Learn Anglais</x:v>
      </x:c>
      <x:c r="D118" s="10" t="n">
        <x:v>3</x:v>
      </x:c>
      <x:c r="E118" s="10" t="n">
        <x:f>SUMIF('Revenue and costs'!$D$264:$D$391,C118,'Revenue and costs'!N264:N391)</x:f>
        <x:v>40327.78826844</x:v>
      </x:c>
      <x:c r="F118" s="10" t="n">
        <x:f>SUMIF('Revenue and costs'!$D$264:$D$391,C118,'Revenue and costs'!O264:O391)+SUMIF('Revenue and costs'!$D$264:$D$391,C118,'Revenue and costs'!P264:P391)+SUMIF('Revenue and costs'!$D$264:$D$391,C118,'Revenue and costs'!Q264:Q391)+SUMIF('Revenue and costs'!$D$264:$D$391,C118,'Revenue and costs'!R264:R391)+SUMIF('Revenue and costs'!$D$264:$D$391,C118,'Revenue and costs'!S264:S391)+SUMIF('Revenue and costs'!$D$264:$D$391,C118,'Revenue and costs'!T264:T391)+SUMIF('Revenue and costs'!$D$264:$D$391,C118,'Revenue and costs'!U264:U391)+SUMIF('Revenue and costs'!$D$264:$D$391,C118,'Revenue and costs'!V264:V391)+SUMIF('Revenue and costs'!$D$264:$D$391,C118,'Revenue and costs'!AE264:AE391)</x:f>
        <x:v>23115.701684051997</x:v>
      </x:c>
      <x:c r="G118" s="10" t="n">
        <x:f>IF('Income statement'!F50=0,1/39,E118/'Income statement'!F50)*('Shared costs'!J21+'Assumptions'!$D$18*'Assumptions'!$D$19*12*(1+'Assumptions'!$D$13)^(3-1)*'Assumptions'!$D$21)</x:f>
        <x:v>1906.429223249369</x:v>
      </x:c>
      <x:c r="H118" s="10" t="n">
        <x:f>IF('Income statement'!F50=0,1/39,E118/'Income statement'!F50)*'Cash and capital'!F18</x:f>
        <x:v>11.922055743230183</x:v>
      </x:c>
      <x:c r="I118" s="10" t="n">
        <x:f>E118-F118-G118-H118</x:f>
        <x:v>15293.735305395407</x:v>
      </x:c>
      <x:c r="J118" s="10" t="n">
        <x:f>M79</x:f>
        <x:v>0</x:v>
      </x:c>
      <x:c r="K118" s="10" t="n">
        <x:f>MAX(0,I118-J118)</x:f>
        <x:v>15293.735305395407</x:v>
      </x:c>
      <x:c r="L118" s="10" t="n">
        <x:f>K118*'Assumptions'!$D$12</x:f>
        <x:v>3823.4338263488517</x:v>
      </x:c>
      <x:c r="M118" s="10" t="n">
        <x:f>MAX(0,J118-I118)</x:f>
        <x:v>0</x:v>
      </x:c>
    </x:row>
    <x:row r="119" ht="16" customHeight="1">
      <x:c r="A119" s="1"/>
      <x:c r="B119" s="1"/>
      <x:c r="C119" s="1" t="str">
        <x:v>Fiefé</x:v>
      </x:c>
      <x:c r="D119" s="10" t="n">
        <x:v>3</x:v>
      </x:c>
      <x:c r="E119" s="10" t="n">
        <x:f>SUMIF('Revenue and costs'!$D$264:$D$391,C119,'Revenue and costs'!N264:N391)</x:f>
        <x:v>36748.747243440004</x:v>
      </x:c>
      <x:c r="F119" s="10" t="n">
        <x:f>SUMIF('Revenue and costs'!$D$264:$D$391,C119,'Revenue and costs'!O264:O391)+SUMIF('Revenue and costs'!$D$264:$D$391,C119,'Revenue and costs'!P264:P391)+SUMIF('Revenue and costs'!$D$264:$D$391,C119,'Revenue and costs'!Q264:Q391)+SUMIF('Revenue and costs'!$D$264:$D$391,C119,'Revenue and costs'!R264:R391)+SUMIF('Revenue and costs'!$D$264:$D$391,C119,'Revenue and costs'!S264:S391)+SUMIF('Revenue and costs'!$D$264:$D$391,C119,'Revenue and costs'!T264:T391)+SUMIF('Revenue and costs'!$D$264:$D$391,C119,'Revenue and costs'!U264:U391)+SUMIF('Revenue and costs'!$D$264:$D$391,C119,'Revenue and costs'!V264:V391)+SUMIF('Revenue and costs'!$D$264:$D$391,C119,'Revenue and costs'!AE264:AE391)</x:f>
        <x:v>27644.637602267998</x:v>
      </x:c>
      <x:c r="G119" s="10" t="n">
        <x:f>IF('Income statement'!F50=0,1/39,E119/'Income statement'!F50)*('Shared costs'!J21+'Assumptions'!$D$18*'Assumptions'!$D$19*12*(1+'Assumptions'!$D$13)^(3-1)*'Assumptions'!$D$21)</x:f>
        <x:v>1737.2360020429358</x:v>
      </x:c>
      <x:c r="H119" s="10" t="n">
        <x:f>IF('Income statement'!F50=0,1/39,E119/'Income statement'!F50)*'Cash and capital'!F18</x:f>
        <x:v>10.863988131802301</x:v>
      </x:c>
      <x:c r="I119" s="10" t="n">
        <x:f>E119-F119-G119-H119</x:f>
        <x:v>7356.009650997268</x:v>
      </x:c>
      <x:c r="J119" s="10" t="n">
        <x:f>M80</x:f>
        <x:v>0</x:v>
      </x:c>
      <x:c r="K119" s="10" t="n">
        <x:f>MAX(0,I119-J119)</x:f>
        <x:v>7356.009650997268</x:v>
      </x:c>
      <x:c r="L119" s="10" t="n">
        <x:f>K119*'Assumptions'!$D$12</x:f>
        <x:v>1839.002412749317</x:v>
      </x:c>
      <x:c r="M119" s="10" t="n">
        <x:f>MAX(0,J119-I119)</x:f>
        <x:v>0</x:v>
      </x:c>
    </x:row>
    <x:row r="120" ht="16" customHeight="1">
      <x:c r="A120" s="1"/>
      <x:c r="B120" s="1"/>
      <x:c r="C120" s="1" t="str">
        <x:v>Fiefé Design</x:v>
      </x:c>
      <x:c r="D120" s="10" t="n">
        <x:v>3</x:v>
      </x:c>
      <x:c r="E120" s="10" t="n">
        <x:f>SUMIF('Revenue and costs'!$D$264:$D$391,C120,'Revenue and costs'!N264:N391)</x:f>
        <x:v>22896.415728</x:v>
      </x:c>
      <x:c r="F120" s="10" t="n">
        <x:f>SUMIF('Revenue and costs'!$D$264:$D$391,C120,'Revenue and costs'!O264:O391)+SUMIF('Revenue and costs'!$D$264:$D$391,C120,'Revenue and costs'!P264:P391)+SUMIF('Revenue and costs'!$D$264:$D$391,C120,'Revenue and costs'!Q264:Q391)+SUMIF('Revenue and costs'!$D$264:$D$391,C120,'Revenue and costs'!R264:R391)+SUMIF('Revenue and costs'!$D$264:$D$391,C120,'Revenue and costs'!S264:S391)+SUMIF('Revenue and costs'!$D$264:$D$391,C120,'Revenue and costs'!T264:T391)+SUMIF('Revenue and costs'!$D$264:$D$391,C120,'Revenue and costs'!U264:U391)+SUMIF('Revenue and costs'!$D$264:$D$391,C120,'Revenue and costs'!V264:V391)+SUMIF('Revenue and costs'!$D$264:$D$391,C120,'Revenue and costs'!AE264:AE391)</x:f>
        <x:v>16143.838382351998</x:v>
      </x:c>
      <x:c r="G120" s="10" t="n">
        <x:f>IF('Income statement'!F50=0,1/39,E120/'Income statement'!F50)*('Shared costs'!J21+'Assumptions'!$D$18*'Assumptions'!$D$19*12*(1+'Assumptions'!$D$13)^(3-1)*'Assumptions'!$D$21)</x:f>
        <x:v>1082.390032425505</x:v>
      </x:c>
      <x:c r="H120" s="10" t="n">
        <x:f>IF('Income statement'!F50=0,1/39,E120/'Income statement'!F50)*'Cash and capital'!F18</x:f>
        <x:v>6.768839957509222</x:v>
      </x:c>
      <x:c r="I120" s="10" t="n">
        <x:f>E120-F120-G120-H120</x:f>
        <x:v>5663.418473264988</x:v>
      </x:c>
      <x:c r="J120" s="10" t="n">
        <x:f>M81</x:f>
        <x:v>0</x:v>
      </x:c>
      <x:c r="K120" s="10" t="n">
        <x:f>MAX(0,I120-J120)</x:f>
        <x:v>5663.418473264988</x:v>
      </x:c>
      <x:c r="L120" s="10" t="n">
        <x:f>K120*'Assumptions'!$D$12</x:f>
        <x:v>1415.854618316247</x:v>
      </x:c>
      <x:c r="M120" s="10" t="n">
        <x:f>MAX(0,J120-I120)</x:f>
        <x:v>0</x:v>
      </x:c>
    </x:row>
    <x:row r="121" ht="16" customHeight="1">
      <x:c r="A121" s="1"/>
      <x:c r="B121" s="1"/>
      <x:c r="C121" s="1" t="str">
        <x:v>OsezArt</x:v>
      </x:c>
      <x:c r="D121" s="10" t="n">
        <x:v>3</x:v>
      </x:c>
      <x:c r="E121" s="10" t="n">
        <x:f>SUMIF('Revenue and costs'!$D$264:$D$391,C121,'Revenue and costs'!N264:N391)</x:f>
        <x:v>82110.56324400002</x:v>
      </x:c>
      <x:c r="F121" s="10" t="n">
        <x:f>SUMIF('Revenue and costs'!$D$264:$D$391,C121,'Revenue and costs'!O264:O391)+SUMIF('Revenue and costs'!$D$264:$D$391,C121,'Revenue and costs'!P264:P391)+SUMIF('Revenue and costs'!$D$264:$D$391,C121,'Revenue and costs'!Q264:Q391)+SUMIF('Revenue and costs'!$D$264:$D$391,C121,'Revenue and costs'!R264:R391)+SUMIF('Revenue and costs'!$D$264:$D$391,C121,'Revenue and costs'!S264:S391)+SUMIF('Revenue and costs'!$D$264:$D$391,C121,'Revenue and costs'!T264:T391)+SUMIF('Revenue and costs'!$D$264:$D$391,C121,'Revenue and costs'!U264:U391)+SUMIF('Revenue and costs'!$D$264:$D$391,C121,'Revenue and costs'!V264:V391)+SUMIF('Revenue and costs'!$D$264:$D$391,C121,'Revenue and costs'!AE264:AE391)</x:f>
        <x:v>43307.42660715001</x:v>
      </x:c>
      <x:c r="G121" s="10" t="n">
        <x:f>IF('Income statement'!F50=0,1/39,E121/'Income statement'!F50)*('Shared costs'!J21+'Assumptions'!$D$18*'Assumptions'!$D$19*12*(1+'Assumptions'!$D$13)^(3-1)*'Assumptions'!$D$21)</x:f>
        <x:v>3881.6405269696306</x:v>
      </x:c>
      <x:c r="H121" s="10" t="n">
        <x:f>IF('Income statement'!F50=0,1/39,E121/'Income statement'!F50)*'Cash and capital'!F18</x:f>
        <x:v>24.27424746397736</x:v>
      </x:c>
      <x:c r="I121" s="10" t="n">
        <x:f>E121-F121-G121-H121</x:f>
        <x:v>34897.2218624164</x:v>
      </x:c>
      <x:c r="J121" s="10" t="n">
        <x:f>M82</x:f>
        <x:v>0</x:v>
      </x:c>
      <x:c r="K121" s="10" t="n">
        <x:f>MAX(0,I121-J121)</x:f>
        <x:v>34897.2218624164</x:v>
      </x:c>
      <x:c r="L121" s="10" t="n">
        <x:f>K121*'Assumptions'!$D$12</x:f>
        <x:v>8724.3054656041</x:v>
      </x:c>
      <x:c r="M121" s="10" t="n">
        <x:f>MAX(0,J121-I121)</x:f>
        <x:v>0</x:v>
      </x:c>
    </x:row>
    <x:row r="122" ht="16" customHeight="1">
      <x:c r="A122" s="1"/>
      <x:c r="B122" s="1"/>
      <x:c r="C122" s="1" t="str">
        <x:v>FinBot research</x:v>
      </x:c>
      <x:c r="D122" s="10" t="n">
        <x:v>3</x:v>
      </x:c>
      <x:c r="E122" s="10" t="n">
        <x:f>SUMIF('Revenue and costs'!$D$264:$D$391,C122,'Revenue and costs'!N264:N391)</x:f>
        <x:v>4350.4580897999995</x:v>
      </x:c>
      <x:c r="F122" s="10" t="n">
        <x:f>SUMIF('Revenue and costs'!$D$264:$D$391,C122,'Revenue and costs'!O264:O391)+SUMIF('Revenue and costs'!$D$264:$D$391,C122,'Revenue and costs'!P264:P391)+SUMIF('Revenue and costs'!$D$264:$D$391,C122,'Revenue and costs'!Q264:Q391)+SUMIF('Revenue and costs'!$D$264:$D$391,C122,'Revenue and costs'!R264:R391)+SUMIF('Revenue and costs'!$D$264:$D$391,C122,'Revenue and costs'!S264:S391)+SUMIF('Revenue and costs'!$D$264:$D$391,C122,'Revenue and costs'!T264:T391)+SUMIF('Revenue and costs'!$D$264:$D$391,C122,'Revenue and costs'!U264:U391)+SUMIF('Revenue and costs'!$D$264:$D$391,C122,'Revenue and costs'!V264:V391)+SUMIF('Revenue and costs'!$D$264:$D$391,C122,'Revenue and costs'!AE264:AE391)</x:f>
        <x:v>2539.2325663499996</x:v>
      </x:c>
      <x:c r="G122" s="10" t="n">
        <x:f>IF('Income statement'!F50=0,1/39,E122/'Income statement'!F50)*('Shared costs'!J21+'Assumptions'!$D$18*'Assumptions'!$D$19*12*(1+'Assumptions'!$D$13)^(3-1)*'Assumptions'!$D$21)</x:f>
        <x:v>205.66068195232512</x:v>
      </x:c>
      <x:c r="H122" s="10" t="n">
        <x:f>IF('Income statement'!F50=0,1/39,E122/'Income statement'!F50)*'Cash and capital'!F18</x:f>
        <x:v>1.2861207143306757</x:v>
      </x:c>
      <x:c r="I122" s="10" t="n">
        <x:f>E122-F122-G122-H122</x:f>
        <x:v>1604.278720783344</x:v>
      </x:c>
      <x:c r="J122" s="10" t="n">
        <x:f>M83</x:f>
        <x:v>0</x:v>
      </x:c>
      <x:c r="K122" s="10" t="n">
        <x:f>MAX(0,I122-J122)</x:f>
        <x:v>1604.278720783344</x:v>
      </x:c>
      <x:c r="L122" s="10" t="n">
        <x:f>K122*'Assumptions'!$D$12</x:f>
        <x:v>401.069680195836</x:v>
      </x:c>
      <x:c r="M122" s="10" t="n">
        <x:f>MAX(0,J122-I122)</x:f>
        <x:v>0</x:v>
      </x:c>
    </x:row>
    <x:row r="123" ht="16" customHeight="1">
      <x:c r="A123" s="1"/>
      <x:c r="B123" s="1"/>
      <x:c r="C123" s="1" t="str">
        <x:v>Functional Analysis</x:v>
      </x:c>
      <x:c r="D123" s="10" t="n">
        <x:v>3</x:v>
      </x:c>
      <x:c r="E123" s="10" t="n">
        <x:f>SUMIF('Revenue and costs'!$D$264:$D$391,C123,'Revenue and costs'!N264:N391)</x:f>
        <x:v>9315.33001776</x:v>
      </x:c>
      <x:c r="F123" s="10" t="n">
        <x:f>SUMIF('Revenue and costs'!$D$264:$D$391,C123,'Revenue and costs'!O264:O391)+SUMIF('Revenue and costs'!$D$264:$D$391,C123,'Revenue and costs'!P264:P391)+SUMIF('Revenue and costs'!$D$264:$D$391,C123,'Revenue and costs'!Q264:Q391)+SUMIF('Revenue and costs'!$D$264:$D$391,C123,'Revenue and costs'!R264:R391)+SUMIF('Revenue and costs'!$D$264:$D$391,C123,'Revenue and costs'!S264:S391)+SUMIF('Revenue and costs'!$D$264:$D$391,C123,'Revenue and costs'!T264:T391)+SUMIF('Revenue and costs'!$D$264:$D$391,C123,'Revenue and costs'!U264:U391)+SUMIF('Revenue and costs'!$D$264:$D$391,C123,'Revenue and costs'!V264:V391)+SUMIF('Revenue and costs'!$D$264:$D$391,C123,'Revenue and costs'!AE264:AE391)</x:f>
        <x:v>4681.5086604984</x:v>
      </x:c>
      <x:c r="G123" s="10" t="n">
        <x:f>IF('Income statement'!F50=0,1/39,E123/'Income statement'!F50)*('Shared costs'!J21+'Assumptions'!$D$18*'Assumptions'!$D$19*12*(1+'Assumptions'!$D$13)^(3-1)*'Assumptions'!$D$21)</x:f>
        <x:v>440.3667578260844</x:v>
      </x:c>
      <x:c r="H123" s="10" t="n">
        <x:f>IF('Income statement'!F50=0,1/39,E123/'Income statement'!F50)*'Cash and capital'!F18</x:f>
        <x:v>2.7538798557230217</x:v>
      </x:c>
      <x:c r="I123" s="10" t="n">
        <x:f>E123-F123-G123-H123</x:f>
        <x:v>4190.700719579791</x:v>
      </x:c>
      <x:c r="J123" s="10" t="n">
        <x:f>M84</x:f>
        <x:v>0</x:v>
      </x:c>
      <x:c r="K123" s="10" t="n">
        <x:f>MAX(0,I123-J123)</x:f>
        <x:v>4190.700719579791</x:v>
      </x:c>
      <x:c r="L123" s="10" t="n">
        <x:f>K123*'Assumptions'!$D$12</x:f>
        <x:v>1047.6751798949479</x:v>
      </x:c>
      <x:c r="M123" s="10" t="n">
        <x:f>MAX(0,J123-I123)</x:f>
        <x:v>0</x:v>
      </x:c>
    </x:row>
    <x:row r="124" ht="16" customHeight="1">
      <x:c r="A124" s="1"/>
      <x:c r="B124" s="1"/>
      <x:c r="C124" s="1" t="str">
        <x:v>Independent candy game</x:v>
      </x:c>
      <x:c r="D124" s="10" t="n">
        <x:v>3</x:v>
      </x:c>
      <x:c r="E124" s="10" t="n">
        <x:f>SUMIF('Revenue and costs'!$D$264:$D$391,C124,'Revenue and costs'!N264:N391)</x:f>
        <x:v>3742.8941151900003</x:v>
      </x:c>
      <x:c r="F124" s="10" t="n">
        <x:f>SUMIF('Revenue and costs'!$D$264:$D$391,C124,'Revenue and costs'!O264:O391)+SUMIF('Revenue and costs'!$D$264:$D$391,C124,'Revenue and costs'!P264:P391)+SUMIF('Revenue and costs'!$D$264:$D$391,C124,'Revenue and costs'!Q264:Q391)+SUMIF('Revenue and costs'!$D$264:$D$391,C124,'Revenue and costs'!R264:R391)+SUMIF('Revenue and costs'!$D$264:$D$391,C124,'Revenue and costs'!S264:S391)+SUMIF('Revenue and costs'!$D$264:$D$391,C124,'Revenue and costs'!T264:T391)+SUMIF('Revenue and costs'!$D$264:$D$391,C124,'Revenue and costs'!U264:U391)+SUMIF('Revenue and costs'!$D$264:$D$391,C124,'Revenue and costs'!V264:V391)+SUMIF('Revenue and costs'!$D$264:$D$391,C124,'Revenue and costs'!AE264:AE391)</x:f>
        <x:v>3439.5221863425</x:v>
      </x:c>
      <x:c r="G124" s="10" t="n">
        <x:f>IF('Income statement'!F50=0,1/39,E124/'Income statement'!F50)*('Shared costs'!J21+'Assumptions'!$D$18*'Assumptions'!$D$19*12*(1+'Assumptions'!$D$13)^(3-1)*'Assumptions'!$D$21)</x:f>
        <x:v>176.9391039555349</x:v>
      </x:c>
      <x:c r="H124" s="10" t="n">
        <x:f>IF('Income statement'!F50=0,1/39,E124/'Income statement'!F50)*'Cash and capital'!F18</x:f>
        <x:v>1.1065073042258746</x:v>
      </x:c>
      <x:c r="I124" s="10" t="n">
        <x:f>E124-F124-G124-H124</x:f>
        <x:v>125.32631758773961</x:v>
      </x:c>
      <x:c r="J124" s="10" t="n">
        <x:f>M85</x:f>
        <x:v>0</x:v>
      </x:c>
      <x:c r="K124" s="10" t="n">
        <x:f>MAX(0,I124-J124)</x:f>
        <x:v>125.32631758773961</x:v>
      </x:c>
      <x:c r="L124" s="10" t="n">
        <x:f>K124*'Assumptions'!$D$12</x:f>
        <x:v>31.331579396934902</x:v>
      </x:c>
      <x:c r="M124" s="10" t="n">
        <x:f>MAX(0,J124-I124)</x:f>
        <x:v>0</x:v>
      </x:c>
    </x:row>
    <x:row r="125" ht="16" customHeight="1">
      <x:c r="A125" s="1"/>
      <x:c r="B125" s="1"/>
      <x:c r="C125" s="1" t="str">
        <x:v>ETV courses</x:v>
      </x:c>
      <x:c r="D125" s="10" t="n">
        <x:v>4</x:v>
      </x:c>
      <x:c r="E125" s="10" t="n">
        <x:f>SUMIF('Revenue and costs'!$D$392:$D$519,C125,'Revenue and costs'!N392:N519)</x:f>
        <x:v>32088.900180487348</x:v>
      </x:c>
      <x:c r="F125" s="10" t="n">
        <x:f>SUMIF('Revenue and costs'!$D$392:$D$519,C125,'Revenue and costs'!O392:O519)+SUMIF('Revenue and costs'!$D$392:$D$519,C125,'Revenue and costs'!P392:P519)+SUMIF('Revenue and costs'!$D$392:$D$519,C125,'Revenue and costs'!Q392:Q519)+SUMIF('Revenue and costs'!$D$392:$D$519,C125,'Revenue and costs'!R392:R519)+SUMIF('Revenue and costs'!$D$392:$D$519,C125,'Revenue and costs'!S392:S519)+SUMIF('Revenue and costs'!$D$392:$D$519,C125,'Revenue and costs'!T392:T519)+SUMIF('Revenue and costs'!$D$392:$D$519,C125,'Revenue and costs'!U392:U519)+SUMIF('Revenue and costs'!$D$392:$D$519,C125,'Revenue and costs'!V392:V519)+SUMIF('Revenue and costs'!$D$392:$D$519,C125,'Revenue and costs'!AE392:AE519)</x:f>
        <x:v>10985.091636896792</x:v>
      </x:c>
      <x:c r="G125" s="10" t="n">
        <x:f>IF('Income statement'!G50=0,1/39,E125/'Income statement'!G50)*('Shared costs'!K21+'Assumptions'!$D$18*'Assumptions'!$D$19*12*(1+'Assumptions'!$D$13)^(4-1)*'Assumptions'!$D$21)</x:f>
        <x:v>1396.557659952415</x:v>
      </x:c>
      <x:c r="H125" s="10" t="n">
        <x:f>IF('Income statement'!G50=0,1/39,E125/'Income statement'!G50)*'Cash and capital'!G18</x:f>
        <x:v>8.910321649984445</x:v>
      </x:c>
      <x:c r="I125" s="10" t="n">
        <x:f>E125-F125-G125-H125</x:f>
        <x:v>19698.340561988156</x:v>
      </x:c>
      <x:c r="J125" s="10" t="n">
        <x:f>M86</x:f>
        <x:v>0</x:v>
      </x:c>
      <x:c r="K125" s="10" t="n">
        <x:f>MAX(0,I125-J125)</x:f>
        <x:v>19698.340561988156</x:v>
      </x:c>
      <x:c r="L125" s="10" t="n">
        <x:f>K125*'Assumptions'!$D$12</x:f>
        <x:v>4924.585140497039</x:v>
      </x:c>
      <x:c r="M125" s="10" t="n">
        <x:f>MAX(0,J125-I125)</x:f>
        <x:v>0</x:v>
      </x:c>
    </x:row>
    <x:row r="126" ht="16" customHeight="1">
      <x:c r="A126" s="1"/>
      <x:c r="B126" s="1"/>
      <x:c r="C126" s="1" t="str">
        <x:v>ETV services</x:v>
      </x:c>
      <x:c r="D126" s="10" t="n">
        <x:v>4</x:v>
      </x:c>
      <x:c r="E126" s="10" t="n">
        <x:f>SUMIF('Revenue and costs'!$D$392:$D$519,C126,'Revenue and costs'!N392:N519)</x:f>
        <x:v>78531.80094216001</x:v>
      </x:c>
      <x:c r="F126" s="10" t="n">
        <x:f>SUMIF('Revenue and costs'!$D$392:$D$519,C126,'Revenue and costs'!O392:O519)+SUMIF('Revenue and costs'!$D$392:$D$519,C126,'Revenue and costs'!P392:P519)+SUMIF('Revenue and costs'!$D$392:$D$519,C126,'Revenue and costs'!Q392:Q519)+SUMIF('Revenue and costs'!$D$392:$D$519,C126,'Revenue and costs'!R392:R519)+SUMIF('Revenue and costs'!$D$392:$D$519,C126,'Revenue and costs'!S392:S519)+SUMIF('Revenue and costs'!$D$392:$D$519,C126,'Revenue and costs'!T392:T519)+SUMIF('Revenue and costs'!$D$392:$D$519,C126,'Revenue and costs'!U392:U519)+SUMIF('Revenue and costs'!$D$392:$D$519,C126,'Revenue and costs'!V392:V519)+SUMIF('Revenue and costs'!$D$392:$D$519,C126,'Revenue and costs'!AE392:AE519)</x:f>
        <x:v>50816.9353309484</x:v>
      </x:c>
      <x:c r="G126" s="10" t="n">
        <x:f>IF('Income statement'!G50=0,1/39,E126/'Income statement'!G50)*('Shared costs'!K21+'Assumptions'!$D$18*'Assumptions'!$D$19*12*(1+'Assumptions'!$D$13)^(4-1)*'Assumptions'!$D$21)</x:f>
        <x:v>3417.823220451869</x:v>
      </x:c>
      <x:c r="H126" s="10" t="n">
        <x:f>IF('Income statement'!G50=0,1/39,E126/'Income statement'!G50)*'Cash and capital'!G18</x:f>
        <x:v>21.80640664564434</x:v>
      </x:c>
      <x:c r="I126" s="10" t="n">
        <x:f>E126-F126-G126-H126</x:f>
        <x:v>24275.235984114104</x:v>
      </x:c>
      <x:c r="J126" s="10" t="n">
        <x:f>M87</x:f>
        <x:v>0</x:v>
      </x:c>
      <x:c r="K126" s="10" t="n">
        <x:f>MAX(0,I126-J126)</x:f>
        <x:v>24275.235984114104</x:v>
      </x:c>
      <x:c r="L126" s="10" t="n">
        <x:f>K126*'Assumptions'!$D$12</x:f>
        <x:v>6068.808996028526</x:v>
      </x:c>
      <x:c r="M126" s="10" t="n">
        <x:f>MAX(0,J126-I126)</x:f>
        <x:v>0</x:v>
      </x:c>
    </x:row>
    <x:row r="127" ht="16" customHeight="1">
      <x:c r="A127" s="1"/>
      <x:c r="B127" s="1"/>
      <x:c r="C127" s="1" t="str">
        <x:v>BPA professional services</x:v>
      </x:c>
      <x:c r="D127" s="10" t="n">
        <x:v>4</x:v>
      </x:c>
      <x:c r="E127" s="10" t="n">
        <x:f>SUMIF('Revenue and costs'!$D$392:$D$519,C127,'Revenue and costs'!N392:N519)</x:f>
        <x:v>489174.29127402004</x:v>
      </x:c>
      <x:c r="F127" s="10" t="n">
        <x:f>SUMIF('Revenue and costs'!$D$392:$D$519,C127,'Revenue and costs'!O392:O519)+SUMIF('Revenue and costs'!$D$392:$D$519,C127,'Revenue and costs'!P392:P519)+SUMIF('Revenue and costs'!$D$392:$D$519,C127,'Revenue and costs'!Q392:Q519)+SUMIF('Revenue and costs'!$D$392:$D$519,C127,'Revenue and costs'!R392:R519)+SUMIF('Revenue and costs'!$D$392:$D$519,C127,'Revenue and costs'!S392:S519)+SUMIF('Revenue and costs'!$D$392:$D$519,C127,'Revenue and costs'!T392:T519)+SUMIF('Revenue and costs'!$D$392:$D$519,C127,'Revenue and costs'!U392:U519)+SUMIF('Revenue and costs'!$D$392:$D$519,C127,'Revenue and costs'!V392:V519)+SUMIF('Revenue and costs'!$D$392:$D$519,C127,'Revenue and costs'!AE392:AE519)</x:f>
        <x:v>229606.9339137243</x:v>
      </x:c>
      <x:c r="G127" s="10" t="n">
        <x:f>IF('Income statement'!G50=0,1/39,E127/'Income statement'!G50)*('Shared costs'!K21+'Assumptions'!$D$18*'Assumptions'!$D$19*12*(1+'Assumptions'!$D$13)^(4-1)*'Assumptions'!$D$21)</x:f>
        <x:v>21289.607923238924</x:v>
      </x:c>
      <x:c r="H127" s="10" t="n">
        <x:f>IF('Income statement'!G50=0,1/39,E127/'Income statement'!G50)*'Cash and capital'!G18</x:f>
        <x:v>135.8320245829161</x:v>
      </x:c>
      <x:c r="I127" s="10" t="n">
        <x:f>E127-F127-G127-H127</x:f>
        <x:v>238141.9174124739</x:v>
      </x:c>
      <x:c r="J127" s="10" t="n">
        <x:f>M88</x:f>
        <x:v>0</x:v>
      </x:c>
      <x:c r="K127" s="10" t="n">
        <x:f>MAX(0,I127-J127)</x:f>
        <x:v>238141.9174124739</x:v>
      </x:c>
      <x:c r="L127" s="10" t="n">
        <x:f>K127*'Assumptions'!$D$12</x:f>
        <x:v>59535.47935311848</x:v>
      </x:c>
      <x:c r="M127" s="10" t="n">
        <x:f>MAX(0,J127-I127)</x:f>
        <x:v>0</x:v>
      </x:c>
    </x:row>
    <x:row r="128" ht="16" customHeight="1">
      <x:c r="A128" s="1"/>
      <x:c r="B128" s="1"/>
      <x:c r="C128" s="1" t="str">
        <x:v>CornerFlow</x:v>
      </x:c>
      <x:c r="D128" s="10" t="n">
        <x:v>4</x:v>
      </x:c>
      <x:c r="E128" s="10" t="n">
        <x:f>SUMIF('Revenue and costs'!$D$392:$D$519,C128,'Revenue and costs'!N392:N519)</x:f>
        <x:v>11858.976180768963</x:v>
      </x:c>
      <x:c r="F128" s="10" t="n">
        <x:f>SUMIF('Revenue and costs'!$D$392:$D$519,C128,'Revenue and costs'!O392:O519)+SUMIF('Revenue and costs'!$D$392:$D$519,C128,'Revenue and costs'!P392:P519)+SUMIF('Revenue and costs'!$D$392:$D$519,C128,'Revenue and costs'!Q392:Q519)+SUMIF('Revenue and costs'!$D$392:$D$519,C128,'Revenue and costs'!R392:R519)+SUMIF('Revenue and costs'!$D$392:$D$519,C128,'Revenue and costs'!S392:S519)+SUMIF('Revenue and costs'!$D$392:$D$519,C128,'Revenue and costs'!T392:T519)+SUMIF('Revenue and costs'!$D$392:$D$519,C128,'Revenue and costs'!U392:U519)+SUMIF('Revenue and costs'!$D$392:$D$519,C128,'Revenue and costs'!V392:V519)+SUMIF('Revenue and costs'!$D$392:$D$519,C128,'Revenue and costs'!AE392:AE519)</x:f>
        <x:v>4807.5581127464575</x:v>
      </x:c>
      <x:c r="G128" s="10" t="n">
        <x:f>IF('Income statement'!G50=0,1/39,E128/'Income statement'!G50)*('Shared costs'!K21+'Assumptions'!$D$18*'Assumptions'!$D$19*12*(1+'Assumptions'!$D$13)^(4-1)*'Assumptions'!$D$21)</x:f>
        <x:v>516.1206501716445</x:v>
      </x:c>
      <x:c r="H128" s="10" t="n">
        <x:f>IF('Income statement'!G50=0,1/39,E128/'Income statement'!G50)*'Cash and capital'!G18</x:f>
        <x:v>3.292954623431121</x:v>
      </x:c>
      <x:c r="I128" s="10" t="n">
        <x:f>E128-F128-G128-H128</x:f>
        <x:v>6532.00446322743</x:v>
      </x:c>
      <x:c r="J128" s="10" t="n">
        <x:f>M89</x:f>
        <x:v>0</x:v>
      </x:c>
      <x:c r="K128" s="10" t="n">
        <x:f>MAX(0,I128-J128)</x:f>
        <x:v>6532.00446322743</x:v>
      </x:c>
      <x:c r="L128" s="10" t="n">
        <x:f>K128*'Assumptions'!$D$12</x:f>
        <x:v>1633.0011158068576</x:v>
      </x:c>
      <x:c r="M128" s="10" t="n">
        <x:f>MAX(0,J128-I128)</x:f>
        <x:v>0</x:v>
      </x:c>
    </x:row>
    <x:row r="129" ht="16" customHeight="1">
      <x:c r="A129" s="1"/>
      <x:c r="B129" s="1"/>
      <x:c r="C129" s="1" t="str">
        <x:v>Spindle</x:v>
      </x:c>
      <x:c r="D129" s="10" t="n">
        <x:v>4</x:v>
      </x:c>
      <x:c r="E129" s="10" t="n">
        <x:f>SUMIF('Revenue and costs'!$D$392:$D$519,C129,'Revenue and costs'!N392:N519)</x:f>
        <x:v>11858.976180768963</x:v>
      </x:c>
      <x:c r="F129" s="10" t="n">
        <x:f>SUMIF('Revenue and costs'!$D$392:$D$519,C129,'Revenue and costs'!O392:O519)+SUMIF('Revenue and costs'!$D$392:$D$519,C129,'Revenue and costs'!P392:P519)+SUMIF('Revenue and costs'!$D$392:$D$519,C129,'Revenue and costs'!Q392:Q519)+SUMIF('Revenue and costs'!$D$392:$D$519,C129,'Revenue and costs'!R392:R519)+SUMIF('Revenue and costs'!$D$392:$D$519,C129,'Revenue and costs'!S392:S519)+SUMIF('Revenue and costs'!$D$392:$D$519,C129,'Revenue and costs'!T392:T519)+SUMIF('Revenue and costs'!$D$392:$D$519,C129,'Revenue and costs'!U392:U519)+SUMIF('Revenue and costs'!$D$392:$D$519,C129,'Revenue and costs'!V392:V519)+SUMIF('Revenue and costs'!$D$392:$D$519,C129,'Revenue and costs'!AE392:AE519)</x:f>
        <x:v>4807.5581127464575</x:v>
      </x:c>
      <x:c r="G129" s="10" t="n">
        <x:f>IF('Income statement'!G50=0,1/39,E129/'Income statement'!G50)*('Shared costs'!K21+'Assumptions'!$D$18*'Assumptions'!$D$19*12*(1+'Assumptions'!$D$13)^(4-1)*'Assumptions'!$D$21)</x:f>
        <x:v>516.1206501716445</x:v>
      </x:c>
      <x:c r="H129" s="10" t="n">
        <x:f>IF('Income statement'!G50=0,1/39,E129/'Income statement'!G50)*'Cash and capital'!G18</x:f>
        <x:v>3.292954623431121</x:v>
      </x:c>
      <x:c r="I129" s="10" t="n">
        <x:f>E129-F129-G129-H129</x:f>
        <x:v>6532.00446322743</x:v>
      </x:c>
      <x:c r="J129" s="10" t="n">
        <x:f>M90</x:f>
        <x:v>0</x:v>
      </x:c>
      <x:c r="K129" s="10" t="n">
        <x:f>MAX(0,I129-J129)</x:f>
        <x:v>6532.00446322743</x:v>
      </x:c>
      <x:c r="L129" s="10" t="n">
        <x:f>K129*'Assumptions'!$D$12</x:f>
        <x:v>1633.0011158068576</x:v>
      </x:c>
      <x:c r="M129" s="10" t="n">
        <x:f>MAX(0,J129-I129)</x:f>
        <x:v>0</x:v>
      </x:c>
    </x:row>
    <x:row r="130" ht="16" customHeight="1">
      <x:c r="A130" s="1"/>
      <x:c r="B130" s="1"/>
      <x:c r="C130" s="1" t="str">
        <x:v>Maison Contour</x:v>
      </x:c>
      <x:c r="D130" s="10" t="n">
        <x:v>4</x:v>
      </x:c>
      <x:c r="E130" s="10" t="n">
        <x:f>SUMIF('Revenue and costs'!$D$392:$D$519,C130,'Revenue and costs'!N392:N519)</x:f>
        <x:v>16189.872574052164</x:v>
      </x:c>
      <x:c r="F130" s="10" t="n">
        <x:f>SUMIF('Revenue and costs'!$D$392:$D$519,C130,'Revenue and costs'!O392:O519)+SUMIF('Revenue and costs'!$D$392:$D$519,C130,'Revenue and costs'!P392:P519)+SUMIF('Revenue and costs'!$D$392:$D$519,C130,'Revenue and costs'!Q392:Q519)+SUMIF('Revenue and costs'!$D$392:$D$519,C130,'Revenue and costs'!R392:R519)+SUMIF('Revenue and costs'!$D$392:$D$519,C130,'Revenue and costs'!S392:S519)+SUMIF('Revenue and costs'!$D$392:$D$519,C130,'Revenue and costs'!T392:T519)+SUMIF('Revenue and costs'!$D$392:$D$519,C130,'Revenue and costs'!U392:U519)+SUMIF('Revenue and costs'!$D$392:$D$519,C130,'Revenue and costs'!V392:V519)+SUMIF('Revenue and costs'!$D$392:$D$519,C130,'Revenue and costs'!AE392:AE519)</x:f>
        <x:v>5153.583340044857</x:v>
      </x:c>
      <x:c r="G130" s="10" t="n">
        <x:f>IF('Income statement'!G50=0,1/39,E130/'Income statement'!G50)*('Shared costs'!K21+'Assumptions'!$D$18*'Assumptions'!$D$19*12*(1+'Assumptions'!$D$13)^(4-1)*'Assumptions'!$D$21)</x:f>
        <x:v>704.6078372824644</x:v>
      </x:c>
      <x:c r="H130" s="10" t="n">
        <x:f>IF('Income statement'!G50=0,1/39,E130/'Income statement'!G50)*'Cash and capital'!G18</x:f>
        <x:v>4.495541177655766</x:v>
      </x:c>
      <x:c r="I130" s="10" t="n">
        <x:f>E130-F130-G130-H130</x:f>
        <x:v>10327.185855547186</x:v>
      </x:c>
      <x:c r="J130" s="10" t="n">
        <x:f>M91</x:f>
        <x:v>0</x:v>
      </x:c>
      <x:c r="K130" s="10" t="n">
        <x:f>MAX(0,I130-J130)</x:f>
        <x:v>10327.185855547186</x:v>
      </x:c>
      <x:c r="L130" s="10" t="n">
        <x:f>K130*'Assumptions'!$D$12</x:f>
        <x:v>2581.7964638867966</x:v>
      </x:c>
      <x:c r="M130" s="10" t="n">
        <x:f>MAX(0,J130-I130)</x:f>
        <x:v>0</x:v>
      </x:c>
    </x:row>
    <x:row r="131" ht="16" customHeight="1">
      <x:c r="A131" s="1"/>
      <x:c r="B131" s="1"/>
      <x:c r="C131" s="1" t="str">
        <x:v>DishLoom US</x:v>
      </x:c>
      <x:c r="D131" s="10" t="n">
        <x:v>4</x:v>
      </x:c>
      <x:c r="E131" s="10" t="n">
        <x:f>SUMIF('Revenue and costs'!$D$392:$D$519,C131,'Revenue and costs'!N392:N519)</x:f>
        <x:v>13642.323638842085</x:v>
      </x:c>
      <x:c r="F131" s="10" t="n">
        <x:f>SUMIF('Revenue and costs'!$D$392:$D$519,C131,'Revenue and costs'!O392:O519)+SUMIF('Revenue and costs'!$D$392:$D$519,C131,'Revenue and costs'!P392:P519)+SUMIF('Revenue and costs'!$D$392:$D$519,C131,'Revenue and costs'!Q392:Q519)+SUMIF('Revenue and costs'!$D$392:$D$519,C131,'Revenue and costs'!R392:R519)+SUMIF('Revenue and costs'!$D$392:$D$519,C131,'Revenue and costs'!S392:S519)+SUMIF('Revenue and costs'!$D$392:$D$519,C131,'Revenue and costs'!T392:T519)+SUMIF('Revenue and costs'!$D$392:$D$519,C131,'Revenue and costs'!U392:U519)+SUMIF('Revenue and costs'!$D$392:$D$519,C131,'Revenue and costs'!V392:V519)+SUMIF('Revenue and costs'!$D$392:$D$519,C131,'Revenue and costs'!AE392:AE519)</x:f>
        <x:v>8844.407321042161</x:v>
      </x:c>
      <x:c r="G131" s="10" t="n">
        <x:f>IF('Income statement'!G50=0,1/39,E131/'Income statement'!G50)*('Shared costs'!K21+'Assumptions'!$D$18*'Assumptions'!$D$19*12*(1+'Assumptions'!$D$13)^(4-1)*'Assumptions'!$D$21)</x:f>
        <x:v>593.7346393990827</x:v>
      </x:c>
      <x:c r="H131" s="10" t="n">
        <x:f>IF('Income statement'!G50=0,1/39,E131/'Income statement'!G50)*'Cash and capital'!G18</x:f>
        <x:v>3.7881476458076304</x:v>
      </x:c>
      <x:c r="I131" s="10" t="n">
        <x:f>E131-F131-G131-H131</x:f>
        <x:v>4200.393530755033</x:v>
      </x:c>
      <x:c r="J131" s="10" t="n">
        <x:f>M92</x:f>
        <x:v>0</x:v>
      </x:c>
      <x:c r="K131" s="10" t="n">
        <x:f>MAX(0,I131-J131)</x:f>
        <x:v>4200.393530755033</x:v>
      </x:c>
      <x:c r="L131" s="10" t="n">
        <x:f>K131*'Assumptions'!$D$12</x:f>
        <x:v>1050.0983826887582</x:v>
      </x:c>
      <x:c r="M131" s="10" t="n">
        <x:f>MAX(0,J131-I131)</x:f>
        <x:v>0</x:v>
      </x:c>
    </x:row>
    <x:row r="132" ht="16" customHeight="1">
      <x:c r="A132" s="1"/>
      <x:c r="B132" s="1"/>
      <x:c r="C132" s="1" t="str">
        <x:v>Is Makes Travel Easy</x:v>
      </x:c>
      <x:c r="D132" s="10" t="n">
        <x:v>4</x:v>
      </x:c>
      <x:c r="E132" s="10" t="n">
        <x:f>SUMIF('Revenue and costs'!$D$392:$D$519,C132,'Revenue and costs'!N392:N519)</x:f>
        <x:v>25596.990115483466</x:v>
      </x:c>
      <x:c r="F132" s="10" t="n">
        <x:f>SUMIF('Revenue and costs'!$D$392:$D$519,C132,'Revenue and costs'!O392:O519)+SUMIF('Revenue and costs'!$D$392:$D$519,C132,'Revenue and costs'!P392:P519)+SUMIF('Revenue and costs'!$D$392:$D$519,C132,'Revenue and costs'!Q392:Q519)+SUMIF('Revenue and costs'!$D$392:$D$519,C132,'Revenue and costs'!R392:R519)+SUMIF('Revenue and costs'!$D$392:$D$519,C132,'Revenue and costs'!S392:S519)+SUMIF('Revenue and costs'!$D$392:$D$519,C132,'Revenue and costs'!T392:T519)+SUMIF('Revenue and costs'!$D$392:$D$519,C132,'Revenue and costs'!U392:U519)+SUMIF('Revenue and costs'!$D$392:$D$519,C132,'Revenue and costs'!V392:V519)+SUMIF('Revenue and costs'!$D$392:$D$519,C132,'Revenue and costs'!AE392:AE519)</x:f>
        <x:v>14084.834384560107</x:v>
      </x:c>
      <x:c r="G132" s="10" t="n">
        <x:f>IF('Income statement'!G50=0,1/39,E132/'Income statement'!G50)*('Shared costs'!K21+'Assumptions'!$D$18*'Assumptions'!$D$19*12*(1+'Assumptions'!$D$13)^(4-1)*'Assumptions'!$D$21)</x:f>
        <x:v>1114.0198765441692</x:v>
      </x:c>
      <x:c r="H132" s="10" t="n">
        <x:f>IF('Income statement'!G50=0,1/39,E132/'Income statement'!G50)*'Cash and capital'!G18</x:f>
        <x:v>7.107673180370317</x:v>
      </x:c>
      <x:c r="I132" s="10" t="n">
        <x:f>E132-F132-G132-H132</x:f>
        <x:v>10391.02818119882</x:v>
      </x:c>
      <x:c r="J132" s="10" t="n">
        <x:f>M93</x:f>
        <x:v>0</x:v>
      </x:c>
      <x:c r="K132" s="10" t="n">
        <x:f>MAX(0,I132-J132)</x:f>
        <x:v>10391.02818119882</x:v>
      </x:c>
      <x:c r="L132" s="10" t="n">
        <x:f>K132*'Assumptions'!$D$12</x:f>
        <x:v>2597.757045299705</x:v>
      </x:c>
      <x:c r="M132" s="10" t="n">
        <x:f>MAX(0,J132-I132)</x:f>
        <x:v>0</x:v>
      </x:c>
    </x:row>
    <x:row r="133" ht="16" customHeight="1">
      <x:c r="A133" s="1"/>
      <x:c r="B133" s="1"/>
      <x:c r="C133" s="1" t="str">
        <x:v>Turbo Tax - Made Easy!</x:v>
      </x:c>
      <x:c r="D133" s="10" t="n">
        <x:v>4</x:v>
      </x:c>
      <x:c r="E133" s="10" t="n">
        <x:f>SUMIF('Revenue and costs'!$D$392:$D$519,C133,'Revenue and costs'!N392:N519)</x:f>
        <x:v>85865.133787346</x:v>
      </x:c>
      <x:c r="F133" s="10" t="n">
        <x:f>SUMIF('Revenue and costs'!$D$392:$D$519,C133,'Revenue and costs'!O392:O519)+SUMIF('Revenue and costs'!$D$392:$D$519,C133,'Revenue and costs'!P392:P519)+SUMIF('Revenue and costs'!$D$392:$D$519,C133,'Revenue and costs'!Q392:Q519)+SUMIF('Revenue and costs'!$D$392:$D$519,C133,'Revenue and costs'!R392:R519)+SUMIF('Revenue and costs'!$D$392:$D$519,C133,'Revenue and costs'!S392:S519)+SUMIF('Revenue and costs'!$D$392:$D$519,C133,'Revenue and costs'!T392:T519)+SUMIF('Revenue and costs'!$D$392:$D$519,C133,'Revenue and costs'!U392:U519)+SUMIF('Revenue and costs'!$D$392:$D$519,C133,'Revenue and costs'!V392:V519)+SUMIF('Revenue and costs'!$D$392:$D$519,C133,'Revenue and costs'!AE392:AE519)</x:f>
        <x:v>21764.966324066838</x:v>
      </x:c>
      <x:c r="G133" s="10" t="n">
        <x:f>IF('Income statement'!G50=0,1/39,E133/'Income statement'!G50)*('Shared costs'!K21+'Assumptions'!$D$18*'Assumptions'!$D$19*12*(1+'Assumptions'!$D$13)^(4-1)*'Assumptions'!$D$21)</x:f>
        <x:v>3736.9810008781596</x:v>
      </x:c>
      <x:c r="H133" s="10" t="n">
        <x:f>IF('Income statement'!G50=0,1/39,E133/'Income statement'!G50)*'Cash and capital'!G18</x:f>
        <x:v>23.84269813739002</x:v>
      </x:c>
      <x:c r="I133" s="10" t="n">
        <x:f>E133-F133-G133-H133</x:f>
        <x:v>60339.34376426361</x:v>
      </x:c>
      <x:c r="J133" s="10" t="n">
        <x:f>M94</x:f>
        <x:v>0</x:v>
      </x:c>
      <x:c r="K133" s="10" t="n">
        <x:f>MAX(0,I133-J133)</x:f>
        <x:v>60339.34376426361</x:v>
      </x:c>
      <x:c r="L133" s="10" t="n">
        <x:f>K133*'Assumptions'!$D$12</x:f>
        <x:v>15084.835941065903</x:v>
      </x:c>
      <x:c r="M133" s="10" t="n">
        <x:f>MAX(0,J133-I133)</x:f>
        <x:v>0</x:v>
      </x:c>
    </x:row>
    <x:row r="134" ht="16" customHeight="1">
      <x:c r="A134" s="1"/>
      <x:c r="B134" s="1"/>
      <x:c r="C134" s="1" t="str">
        <x:v>LavaLearning adult</x:v>
      </x:c>
      <x:c r="D134" s="10" t="n">
        <x:v>4</x:v>
      </x:c>
      <x:c r="E134" s="10" t="n">
        <x:f>SUMIF('Revenue and costs'!$D$392:$D$519,C134,'Revenue and costs'!N392:N519)</x:f>
        <x:v>44548.665041499895</x:v>
      </x:c>
      <x:c r="F134" s="10" t="n">
        <x:f>SUMIF('Revenue and costs'!$D$392:$D$519,C134,'Revenue and costs'!O392:O519)+SUMIF('Revenue and costs'!$D$392:$D$519,C134,'Revenue and costs'!P392:P519)+SUMIF('Revenue and costs'!$D$392:$D$519,C134,'Revenue and costs'!Q392:Q519)+SUMIF('Revenue and costs'!$D$392:$D$519,C134,'Revenue and costs'!R392:R519)+SUMIF('Revenue and costs'!$D$392:$D$519,C134,'Revenue and costs'!S392:S519)+SUMIF('Revenue and costs'!$D$392:$D$519,C134,'Revenue and costs'!T392:T519)+SUMIF('Revenue and costs'!$D$392:$D$519,C134,'Revenue and costs'!U392:U519)+SUMIF('Revenue and costs'!$D$392:$D$519,C134,'Revenue and costs'!V392:V519)+SUMIF('Revenue and costs'!$D$392:$D$519,C134,'Revenue and costs'!AE392:AE519)</x:f>
        <x:v>16017.562791946613</x:v>
      </x:c>
      <x:c r="G134" s="10" t="n">
        <x:f>IF('Income statement'!G50=0,1/39,E134/'Income statement'!G50)*('Shared costs'!K21+'Assumptions'!$D$18*'Assumptions'!$D$19*12*(1+'Assumptions'!$D$13)^(4-1)*'Assumptions'!$D$21)</x:f>
        <x:v>1938.8255457316257</x:v>
      </x:c>
      <x:c r="H134" s="10" t="n">
        <x:f>IF('Income statement'!G50=0,1/39,E134/'Income statement'!G50)*'Cash and capital'!G18</x:f>
        <x:v>12.370100949690858</x:v>
      </x:c>
      <x:c r="I134" s="10" t="n">
        <x:f>E134-F134-G134-H134</x:f>
        <x:v>26579.906602871964</x:v>
      </x:c>
      <x:c r="J134" s="10" t="n">
        <x:f>M95</x:f>
        <x:v>0</x:v>
      </x:c>
      <x:c r="K134" s="10" t="n">
        <x:f>MAX(0,I134-J134)</x:f>
        <x:v>26579.906602871964</x:v>
      </x:c>
      <x:c r="L134" s="10" t="n">
        <x:f>K134*'Assumptions'!$D$12</x:f>
        <x:v>6644.976650717991</x:v>
      </x:c>
      <x:c r="M134" s="10" t="n">
        <x:f>MAX(0,J134-I134)</x:f>
        <x:v>0</x:v>
      </x:c>
    </x:row>
    <x:row r="135" ht="16" customHeight="1">
      <x:c r="A135" s="1"/>
      <x:c r="B135" s="1"/>
      <x:c r="C135" s="1" t="str">
        <x:v>LavaLearning Model Life</x:v>
      </x:c>
      <x:c r="D135" s="10" t="n">
        <x:v>4</x:v>
      </x:c>
      <x:c r="E135" s="10" t="n">
        <x:f>SUMIF('Revenue and costs'!$D$392:$D$519,C135,'Revenue and costs'!N392:N519)</x:f>
        <x:v>0</x:v>
      </x:c>
      <x:c r="F135" s="10" t="n">
        <x:f>SUMIF('Revenue and costs'!$D$392:$D$519,C135,'Revenue and costs'!O392:O519)+SUMIF('Revenue and costs'!$D$392:$D$519,C135,'Revenue and costs'!P392:P519)+SUMIF('Revenue and costs'!$D$392:$D$519,C135,'Revenue and costs'!Q392:Q519)+SUMIF('Revenue and costs'!$D$392:$D$519,C135,'Revenue and costs'!R392:R519)+SUMIF('Revenue and costs'!$D$392:$D$519,C135,'Revenue and costs'!S392:S519)+SUMIF('Revenue and costs'!$D$392:$D$519,C135,'Revenue and costs'!T392:T519)+SUMIF('Revenue and costs'!$D$392:$D$519,C135,'Revenue and costs'!U392:U519)+SUMIF('Revenue and costs'!$D$392:$D$519,C135,'Revenue and costs'!V392:V519)+SUMIF('Revenue and costs'!$D$392:$D$519,C135,'Revenue and costs'!AE392:AE519)</x:f>
        <x:v>0</x:v>
      </x:c>
      <x:c r="G135" s="10" t="n">
        <x:f>IF('Income statement'!G50=0,1/39,E135/'Income statement'!G50)*('Shared costs'!K21+'Assumptions'!$D$18*'Assumptions'!$D$19*12*(1+'Assumptions'!$D$13)^(4-1)*'Assumptions'!$D$21)</x:f>
        <x:v>0</x:v>
      </x:c>
      <x:c r="H135" s="10" t="n">
        <x:f>IF('Income statement'!G50=0,1/39,E135/'Income statement'!G50)*'Cash and capital'!G18</x:f>
        <x:v>0</x:v>
      </x:c>
      <x:c r="I135" s="10" t="n">
        <x:f>E135-F135-G135-H135</x:f>
        <x:v>0</x:v>
      </x:c>
      <x:c r="J135" s="10" t="n">
        <x:f>M96</x:f>
        <x:v>0</x:v>
      </x:c>
      <x:c r="K135" s="10" t="n">
        <x:f>MAX(0,I135-J135)</x:f>
        <x:v>0</x:v>
      </x:c>
      <x:c r="L135" s="10" t="n">
        <x:f>K135*'Assumptions'!$D$12</x:f>
        <x:v>0</x:v>
      </x:c>
      <x:c r="M135" s="10" t="n">
        <x:f>MAX(0,J135-I135)</x:f>
        <x:v>0</x:v>
      </x:c>
    </x:row>
    <x:row r="136" ht="16" customHeight="1">
      <x:c r="A136" s="1"/>
      <x:c r="B136" s="1"/>
      <x:c r="C136" s="1" t="str">
        <x:v>LavaLearning Kids</x:v>
      </x:c>
      <x:c r="D136" s="10" t="n">
        <x:v>4</x:v>
      </x:c>
      <x:c r="E136" s="10" t="n">
        <x:f>SUMIF('Revenue and costs'!$D$392:$D$519,C136,'Revenue and costs'!N392:N519)</x:f>
        <x:v>17019.5490433845</x:v>
      </x:c>
      <x:c r="F136" s="10" t="n">
        <x:f>SUMIF('Revenue and costs'!$D$392:$D$519,C136,'Revenue and costs'!O392:O519)+SUMIF('Revenue and costs'!$D$392:$D$519,C136,'Revenue and costs'!P392:P519)+SUMIF('Revenue and costs'!$D$392:$D$519,C136,'Revenue and costs'!Q392:Q519)+SUMIF('Revenue and costs'!$D$392:$D$519,C136,'Revenue and costs'!R392:R519)+SUMIF('Revenue and costs'!$D$392:$D$519,C136,'Revenue and costs'!S392:S519)+SUMIF('Revenue and costs'!$D$392:$D$519,C136,'Revenue and costs'!T392:T519)+SUMIF('Revenue and costs'!$D$392:$D$519,C136,'Revenue and costs'!U392:U519)+SUMIF('Revenue and costs'!$D$392:$D$519,C136,'Revenue and costs'!V392:V519)+SUMIF('Revenue and costs'!$D$392:$D$519,C136,'Revenue and costs'!AE392:AE519)</x:f>
        <x:v>9728.033071571812</x:v>
      </x:c>
      <x:c r="G136" s="10" t="n">
        <x:f>IF('Income statement'!G50=0,1/39,E136/'Income statement'!G50)*('Shared costs'!K21+'Assumptions'!$D$18*'Assumptions'!$D$19*12*(1+'Assumptions'!$D$13)^(4-1)*'Assumptions'!$D$21)</x:f>
        <x:v>740.7166170166145</x:v>
      </x:c>
      <x:c r="H136" s="10" t="n">
        <x:f>IF('Income statement'!G50=0,1/39,E136/'Income statement'!G50)*'Cash and capital'!G18</x:f>
        <x:v>4.725922529637094</x:v>
      </x:c>
      <x:c r="I136" s="10" t="n">
        <x:f>E136-F136-G136-H136</x:f>
        <x:v>6546.073432266437</x:v>
      </x:c>
      <x:c r="J136" s="10" t="n">
        <x:f>M97</x:f>
        <x:v>0</x:v>
      </x:c>
      <x:c r="K136" s="10" t="n">
        <x:f>MAX(0,I136-J136)</x:f>
        <x:v>6546.073432266437</x:v>
      </x:c>
      <x:c r="L136" s="10" t="n">
        <x:f>K136*'Assumptions'!$D$12</x:f>
        <x:v>1636.5183580666092</x:v>
      </x:c>
      <x:c r="M136" s="10" t="n">
        <x:f>MAX(0,J136-I136)</x:f>
        <x:v>0</x:v>
      </x:c>
    </x:row>
    <x:row r="137" ht="16" customHeight="1">
      <x:c r="A137" s="1"/>
      <x:c r="B137" s="1"/>
      <x:c r="C137" s="1" t="str">
        <x:v>VraiSkill adult</x:v>
      </x:c>
      <x:c r="D137" s="10" t="n">
        <x:v>4</x:v>
      </x:c>
      <x:c r="E137" s="10" t="n">
        <x:f>SUMIF('Revenue and costs'!$D$392:$D$519,C137,'Revenue and costs'!N392:N519)</x:f>
        <x:v>32316.456284184238</x:v>
      </x:c>
      <x:c r="F137" s="10" t="n">
        <x:f>SUMIF('Revenue and costs'!$D$392:$D$519,C137,'Revenue and costs'!O392:O519)+SUMIF('Revenue and costs'!$D$392:$D$519,C137,'Revenue and costs'!P392:P519)+SUMIF('Revenue and costs'!$D$392:$D$519,C137,'Revenue and costs'!Q392:Q519)+SUMIF('Revenue and costs'!$D$392:$D$519,C137,'Revenue and costs'!R392:R519)+SUMIF('Revenue and costs'!$D$392:$D$519,C137,'Revenue and costs'!S392:S519)+SUMIF('Revenue and costs'!$D$392:$D$519,C137,'Revenue and costs'!T392:T519)+SUMIF('Revenue and costs'!$D$392:$D$519,C137,'Revenue and costs'!U392:U519)+SUMIF('Revenue and costs'!$D$392:$D$519,C137,'Revenue and costs'!V392:V519)+SUMIF('Revenue and costs'!$D$392:$D$519,C137,'Revenue and costs'!AE392:AE519)</x:f>
        <x:v>24518.376154003377</x:v>
      </x:c>
      <x:c r="G137" s="10" t="n">
        <x:f>IF('Income statement'!G50=0,1/39,E137/'Income statement'!G50)*('Shared costs'!K21+'Assumptions'!$D$18*'Assumptions'!$D$19*12*(1+'Assumptions'!$D$13)^(4-1)*'Assumptions'!$D$21)</x:f>
        <x:v>1406.461247108701</x:v>
      </x:c>
      <x:c r="H137" s="10" t="n">
        <x:f>IF('Income statement'!G50=0,1/39,E137/'Income statement'!G50)*'Cash and capital'!G18</x:f>
        <x:v>8.973508548443167</x:v>
      </x:c>
      <x:c r="I137" s="10" t="n">
        <x:f>E137-F137-G137-H137</x:f>
        <x:v>6382.645374523716</x:v>
      </x:c>
      <x:c r="J137" s="10" t="n">
        <x:f>M98</x:f>
        <x:v>0</x:v>
      </x:c>
      <x:c r="K137" s="10" t="n">
        <x:f>MAX(0,I137-J137)</x:f>
        <x:v>6382.645374523716</x:v>
      </x:c>
      <x:c r="L137" s="10" t="n">
        <x:f>K137*'Assumptions'!$D$12</x:f>
        <x:v>1595.661343630929</x:v>
      </x:c>
      <x:c r="M137" s="10" t="n">
        <x:f>MAX(0,J137-I137)</x:f>
        <x:v>0</x:v>
      </x:c>
    </x:row>
    <x:row r="138" ht="16" customHeight="1">
      <x:c r="A138" s="1"/>
      <x:c r="B138" s="1"/>
      <x:c r="C138" s="1" t="str">
        <x:v>VraiSkill teen</x:v>
      </x:c>
      <x:c r="D138" s="10" t="n">
        <x:v>4</x:v>
      </x:c>
      <x:c r="E138" s="10" t="n">
        <x:f>SUMIF('Revenue and costs'!$D$392:$D$519,C138,'Revenue and costs'!N392:N519)</x:f>
        <x:v>14332.251826007998</x:v>
      </x:c>
      <x:c r="F138" s="10" t="n">
        <x:f>SUMIF('Revenue and costs'!$D$392:$D$519,C138,'Revenue and costs'!O392:O519)+SUMIF('Revenue and costs'!$D$392:$D$519,C138,'Revenue and costs'!P392:P519)+SUMIF('Revenue and costs'!$D$392:$D$519,C138,'Revenue and costs'!Q392:Q519)+SUMIF('Revenue and costs'!$D$392:$D$519,C138,'Revenue and costs'!R392:R519)+SUMIF('Revenue and costs'!$D$392:$D$519,C138,'Revenue and costs'!S392:S519)+SUMIF('Revenue and costs'!$D$392:$D$519,C138,'Revenue and costs'!T392:T519)+SUMIF('Revenue and costs'!$D$392:$D$519,C138,'Revenue and costs'!U392:U519)+SUMIF('Revenue and costs'!$D$392:$D$519,C138,'Revenue and costs'!V392:V519)+SUMIF('Revenue and costs'!$D$392:$D$519,C138,'Revenue and costs'!AE392:AE519)</x:f>
        <x:v>6811.336581536623</x:v>
      </x:c>
      <x:c r="G138" s="10" t="n">
        <x:f>IF('Income statement'!G50=0,1/39,E138/'Income statement'!G50)*('Shared costs'!K21+'Assumptions'!$D$18*'Assumptions'!$D$19*12*(1+'Assumptions'!$D$13)^(4-1)*'Assumptions'!$D$21)</x:f>
        <x:v>623.7613616982015</x:v>
      </x:c>
      <x:c r="H138" s="10" t="n">
        <x:f>IF('Income statement'!G50=0,1/39,E138/'Income statement'!G50)*'Cash and capital'!G18</x:f>
        <x:v>3.9797242354838676</x:v>
      </x:c>
      <x:c r="I138" s="10" t="n">
        <x:f>E138-F138-G138-H138</x:f>
        <x:v>6893.174158537689</x:v>
      </x:c>
      <x:c r="J138" s="10" t="n">
        <x:f>M99</x:f>
        <x:v>0</x:v>
      </x:c>
      <x:c r="K138" s="10" t="n">
        <x:f>MAX(0,I138-J138)</x:f>
        <x:v>6893.174158537689</x:v>
      </x:c>
      <x:c r="L138" s="10" t="n">
        <x:f>K138*'Assumptions'!$D$12</x:f>
        <x:v>1723.2935396344224</x:v>
      </x:c>
      <x:c r="M138" s="10" t="n">
        <x:f>MAX(0,J138-I138)</x:f>
        <x:v>0</x:v>
      </x:c>
    </x:row>
    <x:row r="139" ht="16" customHeight="1">
      <x:c r="A139" s="1"/>
      <x:c r="B139" s="1"/>
      <x:c r="C139" s="1" t="str">
        <x:v>VraiSkill Model Life</x:v>
      </x:c>
      <x:c r="D139" s="10" t="n">
        <x:v>4</x:v>
      </x:c>
      <x:c r="E139" s="10" t="n">
        <x:f>SUMIF('Revenue and costs'!$D$392:$D$519,C139,'Revenue and costs'!N392:N519)</x:f>
        <x:v>0</x:v>
      </x:c>
      <x:c r="F139" s="10" t="n">
        <x:f>SUMIF('Revenue and costs'!$D$392:$D$519,C139,'Revenue and costs'!O392:O519)+SUMIF('Revenue and costs'!$D$392:$D$519,C139,'Revenue and costs'!P392:P519)+SUMIF('Revenue and costs'!$D$392:$D$519,C139,'Revenue and costs'!Q392:Q519)+SUMIF('Revenue and costs'!$D$392:$D$519,C139,'Revenue and costs'!R392:R519)+SUMIF('Revenue and costs'!$D$392:$D$519,C139,'Revenue and costs'!S392:S519)+SUMIF('Revenue and costs'!$D$392:$D$519,C139,'Revenue and costs'!T392:T519)+SUMIF('Revenue and costs'!$D$392:$D$519,C139,'Revenue and costs'!U392:U519)+SUMIF('Revenue and costs'!$D$392:$D$519,C139,'Revenue and costs'!V392:V519)+SUMIF('Revenue and costs'!$D$392:$D$519,C139,'Revenue and costs'!AE392:AE519)</x:f>
        <x:v>0</x:v>
      </x:c>
      <x:c r="G139" s="10" t="n">
        <x:f>IF('Income statement'!G50=0,1/39,E139/'Income statement'!G50)*('Shared costs'!K21+'Assumptions'!$D$18*'Assumptions'!$D$19*12*(1+'Assumptions'!$D$13)^(4-1)*'Assumptions'!$D$21)</x:f>
        <x:v>0</x:v>
      </x:c>
      <x:c r="H139" s="10" t="n">
        <x:f>IF('Income statement'!G50=0,1/39,E139/'Income statement'!G50)*'Cash and capital'!G18</x:f>
        <x:v>0</x:v>
      </x:c>
      <x:c r="I139" s="10" t="n">
        <x:f>E139-F139-G139-H139</x:f>
        <x:v>0</x:v>
      </x:c>
      <x:c r="J139" s="10" t="n">
        <x:f>M100</x:f>
        <x:v>0</x:v>
      </x:c>
      <x:c r="K139" s="10" t="n">
        <x:f>MAX(0,I139-J139)</x:f>
        <x:v>0</x:v>
      </x:c>
      <x:c r="L139" s="10" t="n">
        <x:f>K139*'Assumptions'!$D$12</x:f>
        <x:v>0</x:v>
      </x:c>
      <x:c r="M139" s="10" t="n">
        <x:f>MAX(0,J139-I139)</x:f>
        <x:v>0</x:v>
      </x:c>
    </x:row>
    <x:row r="140" ht="16" customHeight="1">
      <x:c r="A140" s="1"/>
      <x:c r="B140" s="1"/>
      <x:c r="C140" s="1" t="str">
        <x:v>Model Life</x:v>
      </x:c>
      <x:c r="D140" s="10" t="n">
        <x:v>4</x:v>
      </x:c>
      <x:c r="E140" s="10" t="n">
        <x:f>SUMIF('Revenue and costs'!$D$392:$D$519,C140,'Revenue and costs'!N392:N519)</x:f>
        <x:v>39266.79396576768</x:v>
      </x:c>
      <x:c r="F140" s="10" t="n">
        <x:f>SUMIF('Revenue and costs'!$D$392:$D$519,C140,'Revenue and costs'!O392:O519)+SUMIF('Revenue and costs'!$D$392:$D$519,C140,'Revenue and costs'!P392:P519)+SUMIF('Revenue and costs'!$D$392:$D$519,C140,'Revenue and costs'!Q392:Q519)+SUMIF('Revenue and costs'!$D$392:$D$519,C140,'Revenue and costs'!R392:R519)+SUMIF('Revenue and costs'!$D$392:$D$519,C140,'Revenue and costs'!S392:S519)+SUMIF('Revenue and costs'!$D$392:$D$519,C140,'Revenue and costs'!T392:T519)+SUMIF('Revenue and costs'!$D$392:$D$519,C140,'Revenue and costs'!U392:U519)+SUMIF('Revenue and costs'!$D$392:$D$519,C140,'Revenue and costs'!V392:V519)+SUMIF('Revenue and costs'!$D$392:$D$519,C140,'Revenue and costs'!AE392:AE519)</x:f>
        <x:v>12341.536595900163</x:v>
      </x:c>
      <x:c r="G140" s="10" t="n">
        <x:f>IF('Income statement'!G50=0,1/39,E140/'Income statement'!G50)*('Shared costs'!K21+'Assumptions'!$D$18*'Assumptions'!$D$19*12*(1+'Assumptions'!$D$13)^(4-1)*'Assumptions'!$D$21)</x:f>
        <x:v>1708.9504964714333</x:v>
      </x:c>
      <x:c r="H140" s="10" t="n">
        <x:f>IF('Income statement'!G50=0,1/39,E140/'Income statement'!G50)*'Cash and capital'!G18</x:f>
        <x:v>10.903451424970108</x:v>
      </x:c>
      <x:c r="I140" s="10" t="n">
        <x:f>E140-F140-G140-H140</x:f>
        <x:v>25205.403421971117</x:v>
      </x:c>
      <x:c r="J140" s="10" t="n">
        <x:f>M101</x:f>
        <x:v>0</x:v>
      </x:c>
      <x:c r="K140" s="10" t="n">
        <x:f>MAX(0,I140-J140)</x:f>
        <x:v>25205.403421971117</x:v>
      </x:c>
      <x:c r="L140" s="10" t="n">
        <x:f>K140*'Assumptions'!$D$12</x:f>
        <x:v>6301.350855492779</x:v>
      </x:c>
      <x:c r="M140" s="10" t="n">
        <x:f>MAX(0,J140-I140)</x:f>
        <x:v>0</x:v>
      </x:c>
    </x:row>
    <x:row r="141" ht="16" customHeight="1">
      <x:c r="A141" s="1"/>
      <x:c r="B141" s="1"/>
      <x:c r="C141" s="1" t="str">
        <x:v>S’otality cleaning</x:v>
      </x:c>
      <x:c r="D141" s="10" t="n">
        <x:v>4</x:v>
      </x:c>
      <x:c r="E141" s="10" t="n">
        <x:f>SUMIF('Revenue and costs'!$D$392:$D$519,C141,'Revenue and costs'!N392:N519)</x:f>
        <x:v>163995.75365501957</x:v>
      </x:c>
      <x:c r="F141" s="10" t="n">
        <x:f>SUMIF('Revenue and costs'!$D$392:$D$519,C141,'Revenue and costs'!O392:O519)+SUMIF('Revenue and costs'!$D$392:$D$519,C141,'Revenue and costs'!P392:P519)+SUMIF('Revenue and costs'!$D$392:$D$519,C141,'Revenue and costs'!Q392:Q519)+SUMIF('Revenue and costs'!$D$392:$D$519,C141,'Revenue and costs'!R392:R519)+SUMIF('Revenue and costs'!$D$392:$D$519,C141,'Revenue and costs'!S392:S519)+SUMIF('Revenue and costs'!$D$392:$D$519,C141,'Revenue and costs'!T392:T519)+SUMIF('Revenue and costs'!$D$392:$D$519,C141,'Revenue and costs'!U392:U519)+SUMIF('Revenue and costs'!$D$392:$D$519,C141,'Revenue and costs'!V392:V519)+SUMIF('Revenue and costs'!$D$392:$D$519,C141,'Revenue and costs'!AE392:AE519)</x:f>
        <x:v>140008.26504879448</x:v>
      </x:c>
      <x:c r="G141" s="10" t="n">
        <x:f>IF('Income statement'!G50=0,1/39,E141/'Income statement'!G50)*('Shared costs'!K21+'Assumptions'!$D$18*'Assumptions'!$D$19*12*(1+'Assumptions'!$D$13)^(4-1)*'Assumptions'!$D$21)</x:f>
        <x:v>7137.34421181114</x:v>
      </x:c>
      <x:c r="H141" s="10" t="n">
        <x:f>IF('Income statement'!G50=0,1/39,E141/'Income statement'!G50)*'Cash and capital'!G18</x:f>
        <x:v>45.53770637444277</x:v>
      </x:c>
      <x:c r="I141" s="10" t="n">
        <x:f>E141-F141-G141-H141</x:f>
        <x:v>16804.606688039505</x:v>
      </x:c>
      <x:c r="J141" s="10" t="n">
        <x:f>M102</x:f>
        <x:v>0</x:v>
      </x:c>
      <x:c r="K141" s="10" t="n">
        <x:f>MAX(0,I141-J141)</x:f>
        <x:v>16804.606688039505</x:v>
      </x:c>
      <x:c r="L141" s="10" t="n">
        <x:f>K141*'Assumptions'!$D$12</x:f>
        <x:v>4201.151672009876</x:v>
      </x:c>
      <x:c r="M141" s="10" t="n">
        <x:f>MAX(0,J141-I141)</x:f>
        <x:v>0</x:v>
      </x:c>
    </x:row>
    <x:row r="142" ht="16" customHeight="1">
      <x:c r="A142" s="1"/>
      <x:c r="B142" s="1"/>
      <x:c r="C142" s="1" t="str">
        <x:v>S’otality laundry</x:v>
      </x:c>
      <x:c r="D142" s="10" t="n">
        <x:v>4</x:v>
      </x:c>
      <x:c r="E142" s="10" t="n">
        <x:f>SUMIF('Revenue and costs'!$D$392:$D$519,C142,'Revenue and costs'!N392:N519)</x:f>
        <x:v>25418.400394291206</x:v>
      </x:c>
      <x:c r="F142" s="10" t="n">
        <x:f>SUMIF('Revenue and costs'!$D$392:$D$519,C142,'Revenue and costs'!O392:O519)+SUMIF('Revenue and costs'!$D$392:$D$519,C142,'Revenue and costs'!P392:P519)+SUMIF('Revenue and costs'!$D$392:$D$519,C142,'Revenue and costs'!Q392:Q519)+SUMIF('Revenue and costs'!$D$392:$D$519,C142,'Revenue and costs'!R392:R519)+SUMIF('Revenue and costs'!$D$392:$D$519,C142,'Revenue and costs'!S392:S519)+SUMIF('Revenue and costs'!$D$392:$D$519,C142,'Revenue and costs'!T392:T519)+SUMIF('Revenue and costs'!$D$392:$D$519,C142,'Revenue and costs'!U392:U519)+SUMIF('Revenue and costs'!$D$392:$D$519,C142,'Revenue and costs'!V392:V519)+SUMIF('Revenue and costs'!$D$392:$D$519,C142,'Revenue and costs'!AE392:AE519)</x:f>
        <x:v>23205.364723663493</x:v>
      </x:c>
      <x:c r="G142" s="10" t="n">
        <x:f>IF('Income statement'!G50=0,1/39,E142/'Income statement'!G50)*('Shared costs'!K21+'Assumptions'!$D$18*'Assumptions'!$D$19*12*(1+'Assumptions'!$D$13)^(4-1)*'Assumptions'!$D$21)</x:f>
        <x:v>1106.2473807055153</x:v>
      </x:c>
      <x:c r="H142" s="10" t="n">
        <x:f>IF('Income statement'!G50=0,1/39,E142/'Income statement'!G50)*'Cash and capital'!G18</x:f>
        <x:v>7.058083077554276</x:v>
      </x:c>
      <x:c r="I142" s="10" t="n">
        <x:f>E142-F142-G142-H142</x:f>
        <x:v>1099.730206844643</x:v>
      </x:c>
      <x:c r="J142" s="10" t="n">
        <x:f>M103</x:f>
        <x:v>0</x:v>
      </x:c>
      <x:c r="K142" s="10" t="n">
        <x:f>MAX(0,I142-J142)</x:f>
        <x:v>1099.730206844643</x:v>
      </x:c>
      <x:c r="L142" s="10" t="n">
        <x:f>K142*'Assumptions'!$D$12</x:f>
        <x:v>274.9325517111607</x:v>
      </x:c>
      <x:c r="M142" s="10" t="n">
        <x:f>MAX(0,J142-I142)</x:f>
        <x:v>0</x:v>
      </x:c>
    </x:row>
    <x:row r="143" ht="16" customHeight="1">
      <x:c r="A143" s="1"/>
      <x:c r="B143" s="1"/>
      <x:c r="C143" s="1" t="str">
        <x:v>S’otality Personal Chef</x:v>
      </x:c>
      <x:c r="D143" s="10" t="n">
        <x:v>4</x:v>
      </x:c>
      <x:c r="E143" s="10" t="n">
        <x:f>SUMIF('Revenue and costs'!$D$392:$D$519,C143,'Revenue and costs'!N392:N519)</x:f>
        <x:v>43726.47711868802</x:v>
      </x:c>
      <x:c r="F143" s="10" t="n">
        <x:f>SUMIF('Revenue and costs'!$D$392:$D$519,C143,'Revenue and costs'!O392:O519)+SUMIF('Revenue and costs'!$D$392:$D$519,C143,'Revenue and costs'!P392:P519)+SUMIF('Revenue and costs'!$D$392:$D$519,C143,'Revenue and costs'!Q392:Q519)+SUMIF('Revenue and costs'!$D$392:$D$519,C143,'Revenue and costs'!R392:R519)+SUMIF('Revenue and costs'!$D$392:$D$519,C143,'Revenue and costs'!S392:S519)+SUMIF('Revenue and costs'!$D$392:$D$519,C143,'Revenue and costs'!T392:T519)+SUMIF('Revenue and costs'!$D$392:$D$519,C143,'Revenue and costs'!U392:U519)+SUMIF('Revenue and costs'!$D$392:$D$519,C143,'Revenue and costs'!V392:V519)+SUMIF('Revenue and costs'!$D$392:$D$519,C143,'Revenue and costs'!AE392:AE519)</x:f>
        <x:v>34613.27106717313</x:v>
      </x:c>
      <x:c r="G143" s="10" t="n">
        <x:f>IF('Income statement'!G50=0,1/39,E143/'Income statement'!G50)*('Shared costs'!K21+'Assumptions'!$D$18*'Assumptions'!$D$19*12*(1+'Assumptions'!$D$13)^(4-1)*'Assumptions'!$D$21)</x:f>
        <x:v>1903.0426789127275</x:v>
      </x:c>
      <x:c r="H143" s="10" t="n">
        <x:f>IF('Income statement'!G50=0,1/39,E143/'Income statement'!G50)*'Cash and capital'!G18</x:f>
        <x:v>12.141798988334102</x:v>
      </x:c>
      <x:c r="I143" s="10" t="n">
        <x:f>E143-F143-G143-H143</x:f>
        <x:v>7198.0215736138225</x:v>
      </x:c>
      <x:c r="J143" s="10" t="n">
        <x:f>M104</x:f>
        <x:v>0</x:v>
      </x:c>
      <x:c r="K143" s="10" t="n">
        <x:f>MAX(0,I143-J143)</x:f>
        <x:v>7198.0215736138225</x:v>
      </x:c>
      <x:c r="L143" s="10" t="n">
        <x:f>K143*'Assumptions'!$D$12</x:f>
        <x:v>1799.5053934034556</x:v>
      </x:c>
      <x:c r="M143" s="10" t="n">
        <x:f>MAX(0,J143-I143)</x:f>
        <x:v>0</x:v>
      </x:c>
    </x:row>
    <x:row r="144" ht="16" customHeight="1">
      <x:c r="A144" s="1"/>
      <x:c r="B144" s="1"/>
      <x:c r="C144" s="1" t="str">
        <x:v>S’otality interiors</x:v>
      </x:c>
      <x:c r="D144" s="10" t="n">
        <x:v>4</x:v>
      </x:c>
      <x:c r="E144" s="10" t="n">
        <x:f>SUMIF('Revenue and costs'!$D$392:$D$519,C144,'Revenue and costs'!N392:N519)</x:f>
        <x:v>59161.46403003122</x:v>
      </x:c>
      <x:c r="F144" s="10" t="n">
        <x:f>SUMIF('Revenue and costs'!$D$392:$D$519,C144,'Revenue and costs'!O392:O519)+SUMIF('Revenue and costs'!$D$392:$D$519,C144,'Revenue and costs'!P392:P519)+SUMIF('Revenue and costs'!$D$392:$D$519,C144,'Revenue and costs'!Q392:Q519)+SUMIF('Revenue and costs'!$D$392:$D$519,C144,'Revenue and costs'!R392:R519)+SUMIF('Revenue and costs'!$D$392:$D$519,C144,'Revenue and costs'!S392:S519)+SUMIF('Revenue and costs'!$D$392:$D$519,C144,'Revenue and costs'!T392:T519)+SUMIF('Revenue and costs'!$D$392:$D$519,C144,'Revenue and costs'!U392:U519)+SUMIF('Revenue and costs'!$D$392:$D$519,C144,'Revenue and costs'!V392:V519)+SUMIF('Revenue and costs'!$D$392:$D$519,C144,'Revenue and costs'!AE392:AE519)</x:f>
        <x:v>35470.20245044426</x:v>
      </x:c>
      <x:c r="G144" s="10" t="n">
        <x:f>IF('Income statement'!G50=0,1/39,E144/'Income statement'!G50)*('Shared costs'!K21+'Assumptions'!$D$18*'Assumptions'!$D$19*12*(1+'Assumptions'!$D$13)^(4-1)*'Assumptions'!$D$21)</x:f>
        <x:v>2574.7967459283777</x:v>
      </x:c>
      <x:c r="H144" s="10" t="n">
        <x:f>IF('Income statement'!G50=0,1/39,E144/'Income statement'!G50)*'Cash and capital'!G18</x:f>
        <x:v>16.427726435825672</x:v>
      </x:c>
      <x:c r="I144" s="10" t="n">
        <x:f>E144-F144-G144-H144</x:f>
        <x:v>21100.037107222754</x:v>
      </x:c>
      <x:c r="J144" s="10" t="n">
        <x:f>M105</x:f>
        <x:v>0</x:v>
      </x:c>
      <x:c r="K144" s="10" t="n">
        <x:f>MAX(0,I144-J144)</x:f>
        <x:v>21100.037107222754</x:v>
      </x:c>
      <x:c r="L144" s="10" t="n">
        <x:f>K144*'Assumptions'!$D$12</x:f>
        <x:v>5275.009276805688</x:v>
      </x:c>
      <x:c r="M144" s="10" t="n">
        <x:f>MAX(0,J144-I144)</x:f>
        <x:v>0</x:v>
      </x:c>
    </x:row>
    <x:row r="145" ht="16" customHeight="1">
      <x:c r="A145" s="1"/>
      <x:c r="B145" s="1"/>
      <x:c r="C145" s="1" t="str">
        <x:v>S’otality concierge</x:v>
      </x:c>
      <x:c r="D145" s="10" t="n">
        <x:v>4</x:v>
      </x:c>
      <x:c r="E145" s="10" t="n">
        <x:f>SUMIF('Revenue and costs'!$D$392:$D$519,C145,'Revenue and costs'!N392:N519)</x:f>
        <x:v>22220.533497240005</x:v>
      </x:c>
      <x:c r="F145" s="10" t="n">
        <x:f>SUMIF('Revenue and costs'!$D$392:$D$519,C145,'Revenue and costs'!O392:O519)+SUMIF('Revenue and costs'!$D$392:$D$519,C145,'Revenue and costs'!P392:P519)+SUMIF('Revenue and costs'!$D$392:$D$519,C145,'Revenue and costs'!Q392:Q519)+SUMIF('Revenue and costs'!$D$392:$D$519,C145,'Revenue and costs'!R392:R519)+SUMIF('Revenue and costs'!$D$392:$D$519,C145,'Revenue and costs'!S392:S519)+SUMIF('Revenue and costs'!$D$392:$D$519,C145,'Revenue and costs'!T392:T519)+SUMIF('Revenue and costs'!$D$392:$D$519,C145,'Revenue and costs'!U392:U519)+SUMIF('Revenue and costs'!$D$392:$D$519,C145,'Revenue and costs'!V392:V519)+SUMIF('Revenue and costs'!$D$392:$D$519,C145,'Revenue and costs'!AE392:AE519)</x:f>
        <x:v>12254.160691632602</x:v>
      </x:c>
      <x:c r="G145" s="10" t="n">
        <x:f>IF('Income statement'!G50=0,1/39,E145/'Income statement'!G50)*('Shared costs'!K21+'Assumptions'!$D$18*'Assumptions'!$D$19*12*(1+'Assumptions'!$D$13)^(4-1)*'Assumptions'!$D$21)</x:f>
        <x:v>967.0713576737005</x:v>
      </x:c>
      <x:c r="H145" s="10" t="n">
        <x:f>IF('Income statement'!G50=0,1/39,E145/'Income statement'!G50)*'Cash and capital'!G18</x:f>
        <x:v>6.17011177014591</x:v>
      </x:c>
      <x:c r="I145" s="10" t="n">
        <x:f>E145-F145-G145-H145</x:f>
        <x:v>8993.131336163558</x:v>
      </x:c>
      <x:c r="J145" s="10" t="n">
        <x:f>M106</x:f>
        <x:v>0</x:v>
      </x:c>
      <x:c r="K145" s="10" t="n">
        <x:f>MAX(0,I145-J145)</x:f>
        <x:v>8993.131336163558</x:v>
      </x:c>
      <x:c r="L145" s="10" t="n">
        <x:f>K145*'Assumptions'!$D$12</x:f>
        <x:v>2248.2828340408896</x:v>
      </x:c>
      <x:c r="M145" s="10" t="n">
        <x:f>MAX(0,J145-I145)</x:f>
        <x:v>0</x:v>
      </x:c>
    </x:row>
    <x:row r="146" ht="16" customHeight="1">
      <x:c r="A146" s="1"/>
      <x:c r="B146" s="1"/>
      <x:c r="C146" s="1" t="str">
        <x:v>S’otality administration</x:v>
      </x:c>
      <x:c r="D146" s="10" t="n">
        <x:v>4</x:v>
      </x:c>
      <x:c r="E146" s="10" t="n">
        <x:f>SUMIF('Revenue and costs'!$D$392:$D$519,C146,'Revenue and costs'!N392:N519)</x:f>
        <x:v>35552.853595584005</x:v>
      </x:c>
      <x:c r="F146" s="10" t="n">
        <x:f>SUMIF('Revenue and costs'!$D$392:$D$519,C146,'Revenue and costs'!O392:O519)+SUMIF('Revenue and costs'!$D$392:$D$519,C146,'Revenue and costs'!P392:P519)+SUMIF('Revenue and costs'!$D$392:$D$519,C146,'Revenue and costs'!Q392:Q519)+SUMIF('Revenue and costs'!$D$392:$D$519,C146,'Revenue and costs'!R392:R519)+SUMIF('Revenue and costs'!$D$392:$D$519,C146,'Revenue and costs'!S392:S519)+SUMIF('Revenue and costs'!$D$392:$D$519,C146,'Revenue and costs'!T392:T519)+SUMIF('Revenue and costs'!$D$392:$D$519,C146,'Revenue and costs'!U392:U519)+SUMIF('Revenue and costs'!$D$392:$D$519,C146,'Revenue and costs'!V392:V519)+SUMIF('Revenue and costs'!$D$392:$D$519,C146,'Revenue and costs'!AE392:AE519)</x:f>
        <x:v>26245.877894552166</x:v>
      </x:c>
      <x:c r="G146" s="10" t="n">
        <x:f>IF('Income statement'!G50=0,1/39,E146/'Income statement'!G50)*('Shared costs'!K21+'Assumptions'!$D$18*'Assumptions'!$D$19*12*(1+'Assumptions'!$D$13)^(4-1)*'Assumptions'!$D$21)</x:f>
        <x:v>1547.3141722779208</x:v>
      </x:c>
      <x:c r="H146" s="10" t="n">
        <x:f>IF('Income statement'!G50=0,1/39,E146/'Income statement'!G50)*'Cash and capital'!G18</x:f>
        <x:v>9.872178832233455</x:v>
      </x:c>
      <x:c r="I146" s="10" t="n">
        <x:f>E146-F146-G146-H146</x:f>
        <x:v>7749.789349921684</x:v>
      </x:c>
      <x:c r="J146" s="10" t="n">
        <x:f>M107</x:f>
        <x:v>0</x:v>
      </x:c>
      <x:c r="K146" s="10" t="n">
        <x:f>MAX(0,I146-J146)</x:f>
        <x:v>7749.789349921684</x:v>
      </x:c>
      <x:c r="L146" s="10" t="n">
        <x:f>K146*'Assumptions'!$D$12</x:f>
        <x:v>1937.447337480421</x:v>
      </x:c>
      <x:c r="M146" s="10" t="n">
        <x:f>MAX(0,J146-I146)</x:f>
        <x:v>0</x:v>
      </x:c>
    </x:row>
    <x:row r="147" ht="16" customHeight="1">
      <x:c r="A147" s="1"/>
      <x:c r="B147" s="1"/>
      <x:c r="C147" s="1" t="str">
        <x:v>S’otality bike tours</x:v>
      </x:c>
      <x:c r="D147" s="10" t="n">
        <x:v>4</x:v>
      </x:c>
      <x:c r="E147" s="10" t="n">
        <x:f>SUMIF('Revenue and costs'!$D$392:$D$519,C147,'Revenue and costs'!N392:N519)</x:f>
        <x:v>17490.590847475203</x:v>
      </x:c>
      <x:c r="F147" s="10" t="n">
        <x:f>SUMIF('Revenue and costs'!$D$392:$D$519,C147,'Revenue and costs'!O392:O519)+SUMIF('Revenue and costs'!$D$392:$D$519,C147,'Revenue and costs'!P392:P519)+SUMIF('Revenue and costs'!$D$392:$D$519,C147,'Revenue and costs'!Q392:Q519)+SUMIF('Revenue and costs'!$D$392:$D$519,C147,'Revenue and costs'!R392:R519)+SUMIF('Revenue and costs'!$D$392:$D$519,C147,'Revenue and costs'!S392:S519)+SUMIF('Revenue and costs'!$D$392:$D$519,C147,'Revenue and costs'!T392:T519)+SUMIF('Revenue and costs'!$D$392:$D$519,C147,'Revenue and costs'!U392:U519)+SUMIF('Revenue and costs'!$D$392:$D$519,C147,'Revenue and costs'!V392:V519)+SUMIF('Revenue and costs'!$D$392:$D$519,C147,'Revenue and costs'!AE392:AE519)</x:f>
        <x:v>14056.925404659649</x:v>
      </x:c>
      <x:c r="G147" s="10" t="n">
        <x:f>IF('Income statement'!G50=0,1/39,E147/'Income statement'!G50)*('Shared costs'!K21+'Assumptions'!$D$18*'Assumptions'!$D$19*12*(1+'Assumptions'!$D$13)^(4-1)*'Assumptions'!$D$21)</x:f>
        <x:v>761.2170715650908</x:v>
      </x:c>
      <x:c r="H147" s="10" t="n">
        <x:f>IF('Income statement'!G50=0,1/39,E147/'Income statement'!G50)*'Cash and capital'!G18</x:f>
        <x:v>4.85671959533364</x:v>
      </x:c>
      <x:c r="I147" s="10" t="n">
        <x:f>E147-F147-G147-H147</x:f>
        <x:v>2667.5916516551297</x:v>
      </x:c>
      <x:c r="J147" s="10" t="n">
        <x:f>M108</x:f>
        <x:v>0</x:v>
      </x:c>
      <x:c r="K147" s="10" t="n">
        <x:f>MAX(0,I147-J147)</x:f>
        <x:v>2667.5916516551297</x:v>
      </x:c>
      <x:c r="L147" s="10" t="n">
        <x:f>K147*'Assumptions'!$D$12</x:f>
        <x:v>666.8979129137824</x:v>
      </x:c>
      <x:c r="M147" s="10" t="n">
        <x:f>MAX(0,J147-I147)</x:f>
        <x:v>0</x:v>
      </x:c>
    </x:row>
    <x:row r="148" ht="16" customHeight="1">
      <x:c r="A148" s="1"/>
      <x:c r="B148" s="1"/>
      <x:c r="C148" s="1" t="str">
        <x:v>S’otality editorial</x:v>
      </x:c>
      <x:c r="D148" s="10" t="n">
        <x:v>4</x:v>
      </x:c>
      <x:c r="E148" s="10" t="n">
        <x:f>SUMIF('Revenue and costs'!$D$392:$D$519,C148,'Revenue and costs'!N392:N519)</x:f>
        <x:v>9003.039818724004</x:v>
      </x:c>
      <x:c r="F148" s="10" t="n">
        <x:f>SUMIF('Revenue and costs'!$D$392:$D$519,C148,'Revenue and costs'!O392:O519)+SUMIF('Revenue and costs'!$D$392:$D$519,C148,'Revenue and costs'!P392:P519)+SUMIF('Revenue and costs'!$D$392:$D$519,C148,'Revenue and costs'!Q392:Q519)+SUMIF('Revenue and costs'!$D$392:$D$519,C148,'Revenue and costs'!R392:R519)+SUMIF('Revenue and costs'!$D$392:$D$519,C148,'Revenue and costs'!S392:S519)+SUMIF('Revenue and costs'!$D$392:$D$519,C148,'Revenue and costs'!T392:T519)+SUMIF('Revenue and costs'!$D$392:$D$519,C148,'Revenue and costs'!U392:U519)+SUMIF('Revenue and costs'!$D$392:$D$519,C148,'Revenue and costs'!V392:V519)+SUMIF('Revenue and costs'!$D$392:$D$519,C148,'Revenue and costs'!AE392:AE519)</x:f>
        <x:v>4927.489912056722</x:v>
      </x:c>
      <x:c r="G148" s="10" t="n">
        <x:f>IF('Income statement'!G50=0,1/39,E148/'Income statement'!G50)*('Shared costs'!K21+'Assumptions'!$D$18*'Assumptions'!$D$19*12*(1+'Assumptions'!$D$13)^(4-1)*'Assumptions'!$D$21)</x:f>
        <x:v>391.8259632139456</x:v>
      </x:c>
      <x:c r="H148" s="10" t="n">
        <x:f>IF('Income statement'!G50=0,1/39,E148/'Income statement'!G50)*'Cash and capital'!G18</x:f>
        <x:v>2.4999292640521467</x:v>
      </x:c>
      <x:c r="I148" s="10" t="n">
        <x:f>E148-F148-G148-H148</x:f>
        <x:v>3681.224014189285</x:v>
      </x:c>
      <x:c r="J148" s="10" t="n">
        <x:f>M109</x:f>
        <x:v>0</x:v>
      </x:c>
      <x:c r="K148" s="10" t="n">
        <x:f>MAX(0,I148-J148)</x:f>
        <x:v>3681.224014189285</x:v>
      </x:c>
      <x:c r="L148" s="10" t="n">
        <x:f>K148*'Assumptions'!$D$12</x:f>
        <x:v>920.3060035473212</x:v>
      </x:c>
      <x:c r="M148" s="10" t="n">
        <x:f>MAX(0,J148-I148)</x:f>
        <x:v>0</x:v>
      </x:c>
    </x:row>
    <x:row r="149" ht="16" customHeight="1">
      <x:c r="A149" s="1"/>
      <x:c r="B149" s="1"/>
      <x:c r="C149" s="1" t="str">
        <x:v>Tomato Odyssey</x:v>
      </x:c>
      <x:c r="D149" s="10" t="n">
        <x:v>4</x:v>
      </x:c>
      <x:c r="E149" s="10" t="n">
        <x:f>SUMIF('Revenue and costs'!$D$392:$D$519,C149,'Revenue and costs'!N392:N519)</x:f>
        <x:v>9003.039818724004</x:v>
      </x:c>
      <x:c r="F149" s="10" t="n">
        <x:f>SUMIF('Revenue and costs'!$D$392:$D$519,C149,'Revenue and costs'!O392:O519)+SUMIF('Revenue and costs'!$D$392:$D$519,C149,'Revenue and costs'!P392:P519)+SUMIF('Revenue and costs'!$D$392:$D$519,C149,'Revenue and costs'!Q392:Q519)+SUMIF('Revenue and costs'!$D$392:$D$519,C149,'Revenue and costs'!R392:R519)+SUMIF('Revenue and costs'!$D$392:$D$519,C149,'Revenue and costs'!S392:S519)+SUMIF('Revenue and costs'!$D$392:$D$519,C149,'Revenue and costs'!T392:T519)+SUMIF('Revenue and costs'!$D$392:$D$519,C149,'Revenue and costs'!U392:U519)+SUMIF('Revenue and costs'!$D$392:$D$519,C149,'Revenue and costs'!V392:V519)+SUMIF('Revenue and costs'!$D$392:$D$519,C149,'Revenue and costs'!AE392:AE519)</x:f>
        <x:v>4927.489912056722</x:v>
      </x:c>
      <x:c r="G149" s="10" t="n">
        <x:f>IF('Income statement'!G50=0,1/39,E149/'Income statement'!G50)*('Shared costs'!K21+'Assumptions'!$D$18*'Assumptions'!$D$19*12*(1+'Assumptions'!$D$13)^(4-1)*'Assumptions'!$D$21)</x:f>
        <x:v>391.8259632139456</x:v>
      </x:c>
      <x:c r="H149" s="10" t="n">
        <x:f>IF('Income statement'!G50=0,1/39,E149/'Income statement'!G50)*'Cash and capital'!G18</x:f>
        <x:v>2.4999292640521467</x:v>
      </x:c>
      <x:c r="I149" s="10" t="n">
        <x:f>E149-F149-G149-H149</x:f>
        <x:v>3681.224014189285</x:v>
      </x:c>
      <x:c r="J149" s="10" t="n">
        <x:f>M110</x:f>
        <x:v>0</x:v>
      </x:c>
      <x:c r="K149" s="10" t="n">
        <x:f>MAX(0,I149-J149)</x:f>
        <x:v>3681.224014189285</x:v>
      </x:c>
      <x:c r="L149" s="10" t="n">
        <x:f>K149*'Assumptions'!$D$12</x:f>
        <x:v>920.3060035473212</x:v>
      </x:c>
      <x:c r="M149" s="10" t="n">
        <x:f>MAX(0,J149-I149)</x:f>
        <x:v>0</x:v>
      </x:c>
    </x:row>
    <x:row r="150" ht="16" customHeight="1">
      <x:c r="A150" s="1"/>
      <x:c r="B150" s="1"/>
      <x:c r="C150" s="1" t="str">
        <x:v>Semajes Studio</x:v>
      </x:c>
      <x:c r="D150" s="10" t="n">
        <x:v>4</x:v>
      </x:c>
      <x:c r="E150" s="10" t="n">
        <x:f>SUMIF('Revenue and costs'!$D$392:$D$519,C150,'Revenue and costs'!N392:N519)</x:f>
        <x:v>115335.06982432045</x:v>
      </x:c>
      <x:c r="F150" s="10" t="n">
        <x:f>SUMIF('Revenue and costs'!$D$392:$D$519,C150,'Revenue and costs'!O392:O519)+SUMIF('Revenue and costs'!$D$392:$D$519,C150,'Revenue and costs'!P392:P519)+SUMIF('Revenue and costs'!$D$392:$D$519,C150,'Revenue and costs'!Q392:Q519)+SUMIF('Revenue and costs'!$D$392:$D$519,C150,'Revenue and costs'!R392:R519)+SUMIF('Revenue and costs'!$D$392:$D$519,C150,'Revenue and costs'!S392:S519)+SUMIF('Revenue and costs'!$D$392:$D$519,C150,'Revenue and costs'!T392:T519)+SUMIF('Revenue and costs'!$D$392:$D$519,C150,'Revenue and costs'!U392:U519)+SUMIF('Revenue and costs'!$D$392:$D$519,C150,'Revenue and costs'!V392:V519)+SUMIF('Revenue and costs'!$D$392:$D$519,C150,'Revenue and costs'!AE392:AE519)</x:f>
        <x:v>71532.3174105613</x:v>
      </x:c>
      <x:c r="G150" s="10" t="n">
        <x:f>IF('Income statement'!G50=0,1/39,E150/'Income statement'!G50)*('Shared costs'!K21+'Assumptions'!$D$18*'Assumptions'!$D$19*12*(1+'Assumptions'!$D$13)^(4-1)*'Assumptions'!$D$21)</x:f>
        <x:v>5019.557364644308</x:v>
      </x:c>
      <x:c r="H150" s="10" t="n">
        <x:f>IF('Income statement'!G50=0,1/39,E150/'Income statement'!G50)*'Cash and capital'!G18</x:f>
        <x:v>32.02579595679064</x:v>
      </x:c>
      <x:c r="I150" s="10" t="n">
        <x:f>E150-F150-G150-H150</x:f>
        <x:v>38751.169253158056</x:v>
      </x:c>
      <x:c r="J150" s="10" t="n">
        <x:f>M111</x:f>
        <x:v>0</x:v>
      </x:c>
      <x:c r="K150" s="10" t="n">
        <x:f>MAX(0,I150-J150)</x:f>
        <x:v>38751.169253158056</x:v>
      </x:c>
      <x:c r="L150" s="10" t="n">
        <x:f>K150*'Assumptions'!$D$12</x:f>
        <x:v>9687.792313289514</x:v>
      </x:c>
      <x:c r="M150" s="10" t="n">
        <x:f>MAX(0,J150-I150)</x:f>
        <x:v>0</x:v>
      </x:c>
    </x:row>
    <x:row r="151" ht="16" customHeight="1">
      <x:c r="A151" s="1"/>
      <x:c r="B151" s="1"/>
      <x:c r="C151" s="1" t="str">
        <x:v>Semajes Marketplace</x:v>
      </x:c>
      <x:c r="D151" s="10" t="n">
        <x:v>4</x:v>
      </x:c>
      <x:c r="E151" s="10" t="n">
        <x:f>SUMIF('Revenue and costs'!$D$392:$D$519,C151,'Revenue and costs'!N392:N519)</x:f>
        <x:v>26707.194425246405</x:v>
      </x:c>
      <x:c r="F151" s="10" t="n">
        <x:f>SUMIF('Revenue and costs'!$D$392:$D$519,C151,'Revenue and costs'!O392:O519)+SUMIF('Revenue and costs'!$D$392:$D$519,C151,'Revenue and costs'!P392:P519)+SUMIF('Revenue and costs'!$D$392:$D$519,C151,'Revenue and costs'!Q392:Q519)+SUMIF('Revenue and costs'!$D$392:$D$519,C151,'Revenue and costs'!R392:R519)+SUMIF('Revenue and costs'!$D$392:$D$519,C151,'Revenue and costs'!S392:S519)+SUMIF('Revenue and costs'!$D$392:$D$519,C151,'Revenue and costs'!T392:T519)+SUMIF('Revenue and costs'!$D$392:$D$519,C151,'Revenue and costs'!U392:U519)+SUMIF('Revenue and costs'!$D$392:$D$519,C151,'Revenue and costs'!V392:V519)+SUMIF('Revenue and costs'!$D$392:$D$519,C151,'Revenue and costs'!AE392:AE519)</x:f>
        <x:v>12904.732672261323</x:v>
      </x:c>
      <x:c r="G151" s="10" t="n">
        <x:f>IF('Income statement'!G50=0,1/39,E151/'Income statement'!G50)*('Shared costs'!K21+'Assumptions'!$D$18*'Assumptions'!$D$19*12*(1+'Assumptions'!$D$13)^(4-1)*'Assumptions'!$D$21)</x:f>
        <x:v>1162.3376538500559</x:v>
      </x:c>
      <x:c r="H151" s="10" t="n">
        <x:f>IF('Income statement'!G50=0,1/39,E151/'Income statement'!G50)*'Cash and capital'!G18</x:f>
        <x:v>7.4159504177186415</x:v>
      </x:c>
      <x:c r="I151" s="10" t="n">
        <x:f>E151-F151-G151-H151</x:f>
        <x:v>12632.708148717307</x:v>
      </x:c>
      <x:c r="J151" s="10" t="n">
        <x:f>M112</x:f>
        <x:v>0</x:v>
      </x:c>
      <x:c r="K151" s="10" t="n">
        <x:f>MAX(0,I151-J151)</x:f>
        <x:v>12632.708148717307</x:v>
      </x:c>
      <x:c r="L151" s="10" t="n">
        <x:f>K151*'Assumptions'!$D$12</x:f>
        <x:v>3158.177037179327</x:v>
      </x:c>
      <x:c r="M151" s="10" t="n">
        <x:f>MAX(0,J151-I151)</x:f>
        <x:v>0</x:v>
      </x:c>
    </x:row>
    <x:row r="152" ht="16" customHeight="1">
      <x:c r="A152" s="1"/>
      <x:c r="B152" s="1"/>
      <x:c r="C152" s="1" t="str">
        <x:v>Semajes premium and media</x:v>
      </x:c>
      <x:c r="D152" s="10" t="n">
        <x:v>4</x:v>
      </x:c>
      <x:c r="E152" s="10" t="n">
        <x:f>SUMIF('Revenue and costs'!$D$392:$D$519,C152,'Revenue and costs'!N392:N519)</x:f>
        <x:v>18630.072651773236</x:v>
      </x:c>
      <x:c r="F152" s="10" t="n">
        <x:f>SUMIF('Revenue and costs'!$D$392:$D$519,C152,'Revenue and costs'!O392:O519)+SUMIF('Revenue and costs'!$D$392:$D$519,C152,'Revenue and costs'!P392:P519)+SUMIF('Revenue and costs'!$D$392:$D$519,C152,'Revenue and costs'!Q392:Q519)+SUMIF('Revenue and costs'!$D$392:$D$519,C152,'Revenue and costs'!R392:R519)+SUMIF('Revenue and costs'!$D$392:$D$519,C152,'Revenue and costs'!S392:S519)+SUMIF('Revenue and costs'!$D$392:$D$519,C152,'Revenue and costs'!T392:T519)+SUMIF('Revenue and costs'!$D$392:$D$519,C152,'Revenue and costs'!U392:U519)+SUMIF('Revenue and costs'!$D$392:$D$519,C152,'Revenue and costs'!V392:V519)+SUMIF('Revenue and costs'!$D$392:$D$519,C152,'Revenue and costs'!AE392:AE519)</x:f>
        <x:v>9778.790472467483</x:v>
      </x:c>
      <x:c r="G152" s="10" t="n">
        <x:f>IF('Income statement'!G50=0,1/39,E152/'Income statement'!G50)*('Shared costs'!K21+'Assumptions'!$D$18*'Assumptions'!$D$19*12*(1+'Assumptions'!$D$13)^(4-1)*'Assumptions'!$D$21)</x:f>
        <x:v>810.8090498883769</x:v>
      </x:c>
      <x:c r="H152" s="10" t="n">
        <x:f>IF('Income statement'!G50=0,1/39,E152/'Income statement'!G50)*'Cash and capital'!G18</x:f>
        <x:v>5.173126494089679</x:v>
      </x:c>
      <x:c r="I152" s="10" t="n">
        <x:f>E152-F152-G152-H152</x:f>
        <x:v>8035.300002923287</x:v>
      </x:c>
      <x:c r="J152" s="10" t="n">
        <x:f>M113</x:f>
        <x:v>0</x:v>
      </x:c>
      <x:c r="K152" s="10" t="n">
        <x:f>MAX(0,I152-J152)</x:f>
        <x:v>8035.300002923287</x:v>
      </x:c>
      <x:c r="L152" s="10" t="n">
        <x:f>K152*'Assumptions'!$D$12</x:f>
        <x:v>2008.8250007308218</x:v>
      </x:c>
      <x:c r="M152" s="10" t="n">
        <x:f>MAX(0,J152-I152)</x:f>
        <x:v>0</x:v>
      </x:c>
    </x:row>
    <x:row r="153" ht="16" customHeight="1">
      <x:c r="A153" s="1"/>
      <x:c r="B153" s="1"/>
      <x:c r="C153" s="1" t="str">
        <x:v>Semajes courses</x:v>
      </x:c>
      <x:c r="D153" s="10" t="n">
        <x:v>4</x:v>
      </x:c>
      <x:c r="E153" s="10" t="n">
        <x:f>SUMIF('Revenue and costs'!$D$392:$D$519,C153,'Revenue and costs'!N392:N519)</x:f>
        <x:v>14011.5819353328</x:v>
      </x:c>
      <x:c r="F153" s="10" t="n">
        <x:f>SUMIF('Revenue and costs'!$D$392:$D$519,C153,'Revenue and costs'!O392:O519)+SUMIF('Revenue and costs'!$D$392:$D$519,C153,'Revenue and costs'!P392:P519)+SUMIF('Revenue and costs'!$D$392:$D$519,C153,'Revenue and costs'!Q392:Q519)+SUMIF('Revenue and costs'!$D$392:$D$519,C153,'Revenue and costs'!R392:R519)+SUMIF('Revenue and costs'!$D$392:$D$519,C153,'Revenue and costs'!S392:S519)+SUMIF('Revenue and costs'!$D$392:$D$519,C153,'Revenue and costs'!T392:T519)+SUMIF('Revenue and costs'!$D$392:$D$519,C153,'Revenue and costs'!U392:U519)+SUMIF('Revenue and costs'!$D$392:$D$519,C153,'Revenue and costs'!V392:V519)+SUMIF('Revenue and costs'!$D$392:$D$519,C153,'Revenue and costs'!AE392:AE519)</x:f>
        <x:v>4370.602576548599</x:v>
      </x:c>
      <x:c r="G153" s="10" t="n">
        <x:f>IF('Income statement'!G50=0,1/39,E153/'Income statement'!G50)*('Shared costs'!K21+'Assumptions'!$D$18*'Assumptions'!$D$19*12*(1+'Assumptions'!$D$13)^(4-1)*'Assumptions'!$D$21)</x:f>
        <x:v>609.8053211477413</x:v>
      </x:c>
      <x:c r="H153" s="10" t="n">
        <x:f>IF('Income statement'!G50=0,1/39,E153/'Income statement'!G50)*'Cash and capital'!G18</x:f>
        <x:v>3.8906818609147695</x:v>
      </x:c>
      <x:c r="I153" s="10" t="n">
        <x:f>E153-F153-G153-H153</x:f>
        <x:v>9027.283355775546</x:v>
      </x:c>
      <x:c r="J153" s="10" t="n">
        <x:f>M114</x:f>
        <x:v>0</x:v>
      </x:c>
      <x:c r="K153" s="10" t="n">
        <x:f>MAX(0,I153-J153)</x:f>
        <x:v>9027.283355775546</x:v>
      </x:c>
      <x:c r="L153" s="10" t="n">
        <x:f>K153*'Assumptions'!$D$12</x:f>
        <x:v>2256.8208389438864</x:v>
      </x:c>
      <x:c r="M153" s="10" t="n">
        <x:f>MAX(0,J153-I153)</x:f>
        <x:v>0</x:v>
      </x:c>
    </x:row>
    <x:row r="154" ht="16" customHeight="1">
      <x:c r="A154" s="1"/>
      <x:c r="B154" s="1"/>
      <x:c r="C154" s="1" t="str">
        <x:v>Sleepy Face</x:v>
      </x:c>
      <x:c r="D154" s="10" t="n">
        <x:v>4</x:v>
      </x:c>
      <x:c r="E154" s="10" t="n">
        <x:f>SUMIF('Revenue and costs'!$D$392:$D$519,C154,'Revenue and costs'!N392:N519)</x:f>
        <x:v>183046.70093902852</x:v>
      </x:c>
      <x:c r="F154" s="10" t="n">
        <x:f>SUMIF('Revenue and costs'!$D$392:$D$519,C154,'Revenue and costs'!O392:O519)+SUMIF('Revenue and costs'!$D$392:$D$519,C154,'Revenue and costs'!P392:P519)+SUMIF('Revenue and costs'!$D$392:$D$519,C154,'Revenue and costs'!Q392:Q519)+SUMIF('Revenue and costs'!$D$392:$D$519,C154,'Revenue and costs'!R392:R519)+SUMIF('Revenue and costs'!$D$392:$D$519,C154,'Revenue and costs'!S392:S519)+SUMIF('Revenue and costs'!$D$392:$D$519,C154,'Revenue and costs'!T392:T519)+SUMIF('Revenue and costs'!$D$392:$D$519,C154,'Revenue and costs'!U392:U519)+SUMIF('Revenue and costs'!$D$392:$D$519,C154,'Revenue and costs'!V392:V519)+SUMIF('Revenue and costs'!$D$392:$D$519,C154,'Revenue and costs'!AE392:AE519)</x:f>
        <x:v>111621.15579568599</x:v>
      </x:c>
      <x:c r="G154" s="10" t="n">
        <x:f>IF('Income statement'!G50=0,1/39,E154/'Income statement'!G50)*('Shared costs'!K21+'Assumptions'!$D$18*'Assumptions'!$D$19*12*(1+'Assumptions'!$D$13)^(4-1)*'Assumptions'!$D$21)</x:f>
        <x:v>7966.470364754544</x:v>
      </x:c>
      <x:c r="H154" s="10" t="n">
        <x:f>IF('Income statement'!G50=0,1/39,E154/'Income statement'!G50)*'Cash and capital'!G18</x:f>
        <x:v>50.82769970804537</x:v>
      </x:c>
      <x:c r="I154" s="10" t="n">
        <x:f>E154-F154-G154-H154</x:f>
        <x:v>63408.24707887994</x:v>
      </x:c>
      <x:c r="J154" s="10" t="n">
        <x:f>M115</x:f>
        <x:v>0</x:v>
      </x:c>
      <x:c r="K154" s="10" t="n">
        <x:f>MAX(0,I154-J154)</x:f>
        <x:v>63408.24707887994</x:v>
      </x:c>
      <x:c r="L154" s="10" t="n">
        <x:f>K154*'Assumptions'!$D$12</x:f>
        <x:v>15852.061769719985</x:v>
      </x:c>
      <x:c r="M154" s="10" t="n">
        <x:f>MAX(0,J154-I154)</x:f>
        <x:v>0</x:v>
      </x:c>
    </x:row>
    <x:row r="155" ht="16" customHeight="1">
      <x:c r="A155" s="1"/>
      <x:c r="B155" s="1"/>
      <x:c r="C155" s="1" t="str">
        <x:v>QzoticMusic</x:v>
      </x:c>
      <x:c r="D155" s="10" t="n">
        <x:v>4</x:v>
      </x:c>
      <x:c r="E155" s="10" t="n">
        <x:f>SUMIF('Revenue and costs'!$D$392:$D$519,C155,'Revenue and costs'!N392:N519)</x:f>
        <x:v>16054.165605415506</x:v>
      </x:c>
      <x:c r="F155" s="10" t="n">
        <x:f>SUMIF('Revenue and costs'!$D$392:$D$519,C155,'Revenue and costs'!O392:O519)+SUMIF('Revenue and costs'!$D$392:$D$519,C155,'Revenue and costs'!P392:P519)+SUMIF('Revenue and costs'!$D$392:$D$519,C155,'Revenue and costs'!Q392:Q519)+SUMIF('Revenue and costs'!$D$392:$D$519,C155,'Revenue and costs'!R392:R519)+SUMIF('Revenue and costs'!$D$392:$D$519,C155,'Revenue and costs'!S392:S519)+SUMIF('Revenue and costs'!$D$392:$D$519,C155,'Revenue and costs'!T392:T519)+SUMIF('Revenue and costs'!$D$392:$D$519,C155,'Revenue and costs'!U392:U519)+SUMIF('Revenue and costs'!$D$392:$D$519,C155,'Revenue and costs'!V392:V519)+SUMIF('Revenue and costs'!$D$392:$D$519,C155,'Revenue and costs'!AE392:AE519)</x:f>
        <x:v>16972.365783659647</x:v>
      </x:c>
      <x:c r="G155" s="10" t="n">
        <x:f>IF('Income statement'!G50=0,1/39,E155/'Income statement'!G50)*('Shared costs'!K21+'Assumptions'!$D$18*'Assumptions'!$D$19*12*(1+'Assumptions'!$D$13)^(4-1)*'Assumptions'!$D$21)</x:f>
        <x:v>698.7016639486181</x:v>
      </x:c>
      <x:c r="H155" s="10" t="n">
        <x:f>IF('Income statement'!G50=0,1/39,E155/'Income statement'!G50)*'Cash and capital'!G18</x:f>
        <x:v>4.4578585916557545</x:v>
      </x:c>
      <x:c r="I155" s="10" t="n">
        <x:f>E155-F155-G155-H155</x:f>
        <x:v>-1621.3597007844144</x:v>
      </x:c>
      <x:c r="J155" s="10" t="n">
        <x:f>M116</x:f>
        <x:v>3284.288144018079</x:v>
      </x:c>
      <x:c r="K155" s="10" t="n">
        <x:f>MAX(0,I155-J155)</x:f>
        <x:v>0</x:v>
      </x:c>
      <x:c r="L155" s="10" t="n">
        <x:f>K155*'Assumptions'!$D$12</x:f>
        <x:v>0</x:v>
      </x:c>
      <x:c r="M155" s="10" t="n">
        <x:f>MAX(0,J155-I155)</x:f>
        <x:v>4905.647844802494</x:v>
      </x:c>
    </x:row>
    <x:row r="156" ht="16" customHeight="1">
      <x:c r="A156" s="1"/>
      <x:c r="B156" s="1"/>
      <x:c r="C156" s="1" t="str">
        <x:v>LesPetitFilms</x:v>
      </x:c>
      <x:c r="D156" s="10" t="n">
        <x:v>4</x:v>
      </x:c>
      <x:c r="E156" s="10" t="n">
        <x:f>SUMIF('Revenue and costs'!$D$392:$D$519,C156,'Revenue and costs'!N392:N519)</x:f>
        <x:v>59162.83309447203</x:v>
      </x:c>
      <x:c r="F156" s="10" t="n">
        <x:f>SUMIF('Revenue and costs'!$D$392:$D$519,C156,'Revenue and costs'!O392:O519)+SUMIF('Revenue and costs'!$D$392:$D$519,C156,'Revenue and costs'!P392:P519)+SUMIF('Revenue and costs'!$D$392:$D$519,C156,'Revenue and costs'!Q392:Q519)+SUMIF('Revenue and costs'!$D$392:$D$519,C156,'Revenue and costs'!R392:R519)+SUMIF('Revenue and costs'!$D$392:$D$519,C156,'Revenue and costs'!S392:S519)+SUMIF('Revenue and costs'!$D$392:$D$519,C156,'Revenue and costs'!T392:T519)+SUMIF('Revenue and costs'!$D$392:$D$519,C156,'Revenue and costs'!U392:U519)+SUMIF('Revenue and costs'!$D$392:$D$519,C156,'Revenue and costs'!V392:V519)+SUMIF('Revenue and costs'!$D$392:$D$519,C156,'Revenue and costs'!AE392:AE519)</x:f>
        <x:v>33081.196577167175</x:v>
      </x:c>
      <x:c r="G156" s="10" t="n">
        <x:f>IF('Income statement'!G50=0,1/39,E156/'Income statement'!G50)*('Shared costs'!K21+'Assumptions'!$D$18*'Assumptions'!$D$19*12*(1+'Assumptions'!$D$13)^(4-1)*'Assumptions'!$D$21)</x:f>
        <x:v>2574.8563296916427</x:v>
      </x:c>
      <x:c r="H156" s="10" t="n">
        <x:f>IF('Income statement'!G50=0,1/39,E156/'Income statement'!G50)*'Cash and capital'!G18</x:f>
        <x:v>16.428106592342676</x:v>
      </x:c>
      <x:c r="I156" s="10" t="n">
        <x:f>E156-F156-G156-H156</x:f>
        <x:v>23490.35208102087</x:v>
      </x:c>
      <x:c r="J156" s="10" t="n">
        <x:f>M117</x:f>
        <x:v>0</x:v>
      </x:c>
      <x:c r="K156" s="10" t="n">
        <x:f>MAX(0,I156-J156)</x:f>
        <x:v>23490.35208102087</x:v>
      </x:c>
      <x:c r="L156" s="10" t="n">
        <x:f>K156*'Assumptions'!$D$12</x:f>
        <x:v>5872.588020255217</x:v>
      </x:c>
      <x:c r="M156" s="10" t="n">
        <x:f>MAX(0,J156-I156)</x:f>
        <x:v>0</x:v>
      </x:c>
    </x:row>
    <x:row r="157" ht="16" customHeight="1">
      <x:c r="A157" s="1"/>
      <x:c r="B157" s="1"/>
      <x:c r="C157" s="1" t="str">
        <x:v>Learn Anglais</x:v>
      </x:c>
      <x:c r="D157" s="10" t="n">
        <x:v>4</x:v>
      </x:c>
      <x:c r="E157" s="10" t="n">
        <x:f>SUMIF('Revenue and costs'!$D$392:$D$519,C157,'Revenue and costs'!N392:N519)</x:f>
        <x:v>48994.91913474865</x:v>
      </x:c>
      <x:c r="F157" s="10" t="n">
        <x:f>SUMIF('Revenue and costs'!$D$392:$D$519,C157,'Revenue and costs'!O392:O519)+SUMIF('Revenue and costs'!$D$392:$D$519,C157,'Revenue and costs'!P392:P519)+SUMIF('Revenue and costs'!$D$392:$D$519,C157,'Revenue and costs'!Q392:Q519)+SUMIF('Revenue and costs'!$D$392:$D$519,C157,'Revenue and costs'!R392:R519)+SUMIF('Revenue and costs'!$D$392:$D$519,C157,'Revenue and costs'!S392:S519)+SUMIF('Revenue and costs'!$D$392:$D$519,C157,'Revenue and costs'!T392:T519)+SUMIF('Revenue and costs'!$D$392:$D$519,C157,'Revenue and costs'!U392:U519)+SUMIF('Revenue and costs'!$D$392:$D$519,C157,'Revenue and costs'!V392:V519)+SUMIF('Revenue and costs'!$D$392:$D$519,C157,'Revenue and costs'!AE392:AE519)</x:f>
        <x:v>28391.99385015475</x:v>
      </x:c>
      <x:c r="G157" s="10" t="n">
        <x:f>IF('Income statement'!G50=0,1/39,E157/'Income statement'!G50)*('Shared costs'!K21+'Assumptions'!$D$18*'Assumptions'!$D$19*12*(1+'Assumptions'!$D$13)^(4-1)*'Assumptions'!$D$21)</x:f>
        <x:v>2132.333275105198</x:v>
      </x:c>
      <x:c r="H157" s="10" t="n">
        <x:f>IF('Income statement'!G50=0,1/39,E157/'Income statement'!G50)*'Cash and capital'!G18</x:f>
        <x:v>13.604719583722353</x:v>
      </x:c>
      <x:c r="I157" s="10" t="n">
        <x:f>E157-F157-G157-H157</x:f>
        <x:v>18456.987289904977</x:v>
      </x:c>
      <x:c r="J157" s="10" t="n">
        <x:f>M118</x:f>
        <x:v>0</x:v>
      </x:c>
      <x:c r="K157" s="10" t="n">
        <x:f>MAX(0,I157-J157)</x:f>
        <x:v>18456.987289904977</x:v>
      </x:c>
      <x:c r="L157" s="10" t="n">
        <x:f>K157*'Assumptions'!$D$12</x:f>
        <x:v>4614.246822476244</x:v>
      </x:c>
      <x:c r="M157" s="10" t="n">
        <x:f>MAX(0,J157-I157)</x:f>
        <x:v>0</x:v>
      </x:c>
    </x:row>
    <x:row r="158" ht="16" customHeight="1">
      <x:c r="A158" s="1"/>
      <x:c r="B158" s="1"/>
      <x:c r="C158" s="1" t="str">
        <x:v>Fiefé</x:v>
      </x:c>
      <x:c r="D158" s="10" t="n">
        <x:v>4</x:v>
      </x:c>
      <x:c r="E158" s="10" t="n">
        <x:f>SUMIF('Revenue and costs'!$D$392:$D$519,C158,'Revenue and costs'!N392:N519)</x:f>
        <x:v>43071.05821863947</x:v>
      </x:c>
      <x:c r="F158" s="10" t="n">
        <x:f>SUMIF('Revenue and costs'!$D$392:$D$519,C158,'Revenue and costs'!O392:O519)+SUMIF('Revenue and costs'!$D$392:$D$519,C158,'Revenue and costs'!P392:P519)+SUMIF('Revenue and costs'!$D$392:$D$519,C158,'Revenue and costs'!Q392:Q519)+SUMIF('Revenue and costs'!$D$392:$D$519,C158,'Revenue and costs'!R392:R519)+SUMIF('Revenue and costs'!$D$392:$D$519,C158,'Revenue and costs'!S392:S519)+SUMIF('Revenue and costs'!$D$392:$D$519,C158,'Revenue and costs'!T392:T519)+SUMIF('Revenue and costs'!$D$392:$D$519,C158,'Revenue and costs'!U392:U519)+SUMIF('Revenue and costs'!$D$392:$D$519,C158,'Revenue and costs'!V392:V519)+SUMIF('Revenue and costs'!$D$392:$D$519,C158,'Revenue and costs'!AE392:AE519)</x:f>
        <x:v>32670.352029185236</x:v>
      </x:c>
      <x:c r="G158" s="10" t="n">
        <x:f>IF('Income statement'!G50=0,1/39,E158/'Income statement'!G50)*('Shared costs'!K21+'Assumptions'!$D$18*'Assumptions'!$D$19*12*(1+'Assumptions'!$D$13)^(4-1)*'Assumptions'!$D$21)</x:f>
        <x:v>1874.517853188193</x:v>
      </x:c>
      <x:c r="H158" s="10" t="n">
        <x:f>IF('Income statement'!G50=0,1/39,E158/'Income statement'!G50)*'Cash and capital'!G18</x:f>
        <x:v>11.959804803987993</x:v>
      </x:c>
      <x:c r="I158" s="10" t="n">
        <x:f>E158-F158-G158-H158</x:f>
        <x:v>8514.22853146205</x:v>
      </x:c>
      <x:c r="J158" s="10" t="n">
        <x:f>M119</x:f>
        <x:v>0</x:v>
      </x:c>
      <x:c r="K158" s="10" t="n">
        <x:f>MAX(0,I158-J158)</x:f>
        <x:v>8514.22853146205</x:v>
      </x:c>
      <x:c r="L158" s="10" t="n">
        <x:f>K158*'Assumptions'!$D$12</x:f>
        <x:v>2128.5571328655124</x:v>
      </x:c>
      <x:c r="M158" s="10" t="n">
        <x:f>MAX(0,J158-I158)</x:f>
        <x:v>0</x:v>
      </x:c>
    </x:row>
    <x:row r="159" ht="16" customHeight="1">
      <x:c r="A159" s="1"/>
      <x:c r="B159" s="1"/>
      <x:c r="C159" s="1" t="str">
        <x:v>Fiefé Design</x:v>
      </x:c>
      <x:c r="D159" s="10" t="n">
        <x:v>4</x:v>
      </x:c>
      <x:c r="E159" s="10" t="n">
        <x:f>SUMIF('Revenue and costs'!$D$392:$D$519,C159,'Revenue and costs'!N392:N519)</x:f>
        <x:v>26835.550291987205</x:v>
      </x:c>
      <x:c r="F159" s="10" t="n">
        <x:f>SUMIF('Revenue and costs'!$D$392:$D$519,C159,'Revenue and costs'!O392:O519)+SUMIF('Revenue and costs'!$D$392:$D$519,C159,'Revenue and costs'!P392:P519)+SUMIF('Revenue and costs'!$D$392:$D$519,C159,'Revenue and costs'!Q392:Q519)+SUMIF('Revenue and costs'!$D$392:$D$519,C159,'Revenue and costs'!R392:R519)+SUMIF('Revenue and costs'!$D$392:$D$519,C159,'Revenue and costs'!S392:S519)+SUMIF('Revenue and costs'!$D$392:$D$519,C159,'Revenue and costs'!T392:T519)+SUMIF('Revenue and costs'!$D$392:$D$519,C159,'Revenue and costs'!U392:U519)+SUMIF('Revenue and costs'!$D$392:$D$519,C159,'Revenue and costs'!V392:V519)+SUMIF('Revenue and costs'!$D$392:$D$519,C159,'Revenue and costs'!AE392:AE519)</x:f>
        <x:v>19077.577003870145</x:v>
      </x:c>
      <x:c r="G159" s="10" t="n">
        <x:f>IF('Income statement'!G50=0,1/39,E159/'Income statement'!G50)*('Shared costs'!K21+'Assumptions'!$D$18*'Assumptions'!$D$19*12*(1+'Assumptions'!$D$13)^(4-1)*'Assumptions'!$D$21)</x:f>
        <x:v>1167.92389606741</x:v>
      </x:c>
      <x:c r="H159" s="10" t="n">
        <x:f>IF('Income statement'!G50=0,1/39,E159/'Income statement'!G50)*'Cash and capital'!G18</x:f>
        <x:v>7.451591778185664</x:v>
      </x:c>
      <x:c r="I159" s="10" t="n">
        <x:f>E159-F159-G159-H159</x:f>
        <x:v>6582.597800271465</x:v>
      </x:c>
      <x:c r="J159" s="10" t="n">
        <x:f>M120</x:f>
        <x:v>0</x:v>
      </x:c>
      <x:c r="K159" s="10" t="n">
        <x:f>MAX(0,I159-J159)</x:f>
        <x:v>6582.597800271465</x:v>
      </x:c>
      <x:c r="L159" s="10" t="n">
        <x:f>K159*'Assumptions'!$D$12</x:f>
        <x:v>1645.6494500678662</x:v>
      </x:c>
      <x:c r="M159" s="10" t="n">
        <x:f>MAX(0,J159-I159)</x:f>
        <x:v>0</x:v>
      </x:c>
    </x:row>
    <x:row r="160" ht="16" customHeight="1">
      <x:c r="A160" s="1"/>
      <x:c r="B160" s="1"/>
      <x:c r="C160" s="1" t="str">
        <x:v>OsezArt</x:v>
      </x:c>
      <x:c r="D160" s="10" t="n">
        <x:v>4</x:v>
      </x:c>
      <x:c r="E160" s="10" t="n">
        <x:f>SUMIF('Revenue and costs'!$D$392:$D$519,C160,'Revenue and costs'!N392:N519)</x:f>
        <x:v>97158.18000218403</x:v>
      </x:c>
      <x:c r="F160" s="10" t="n">
        <x:f>SUMIF('Revenue and costs'!$D$392:$D$519,C160,'Revenue and costs'!O392:O519)+SUMIF('Revenue and costs'!$D$392:$D$519,C160,'Revenue and costs'!P392:P519)+SUMIF('Revenue and costs'!$D$392:$D$519,C160,'Revenue and costs'!Q392:Q519)+SUMIF('Revenue and costs'!$D$392:$D$519,C160,'Revenue and costs'!R392:R519)+SUMIF('Revenue and costs'!$D$392:$D$519,C160,'Revenue and costs'!S392:S519)+SUMIF('Revenue and costs'!$D$392:$D$519,C160,'Revenue and costs'!T392:T519)+SUMIF('Revenue and costs'!$D$392:$D$519,C160,'Revenue and costs'!U392:U519)+SUMIF('Revenue and costs'!$D$392:$D$519,C160,'Revenue and costs'!V392:V519)+SUMIF('Revenue and costs'!$D$392:$D$519,C160,'Revenue and costs'!AE392:AE519)</x:f>
        <x:v>51574.15740694916</x:v>
      </x:c>
      <x:c r="G160" s="10" t="n">
        <x:f>IF('Income statement'!G50=0,1/39,E160/'Income statement'!G50)*('Shared costs'!K21+'Assumptions'!$D$18*'Assumptions'!$D$19*12*(1+'Assumptions'!$D$13)^(4-1)*'Assumptions'!$D$21)</x:f>
        <x:v>4228.4715196189345</x:v>
      </x:c>
      <x:c r="H160" s="10" t="n">
        <x:f>IF('Income statement'!G50=0,1/39,E160/'Income statement'!G50)*'Cash and capital'!G18</x:f>
        <x:v>26.978507517467623</x:v>
      </x:c>
      <x:c r="I160" s="10" t="n">
        <x:f>E160-F160-G160-H160</x:f>
        <x:v>41328.57256809847</x:v>
      </x:c>
      <x:c r="J160" s="10" t="n">
        <x:f>M121</x:f>
        <x:v>0</x:v>
      </x:c>
      <x:c r="K160" s="10" t="n">
        <x:f>MAX(0,I160-J160)</x:f>
        <x:v>41328.57256809847</x:v>
      </x:c>
      <x:c r="L160" s="10" t="n">
        <x:f>K160*'Assumptions'!$D$12</x:f>
        <x:v>10332.143142024617</x:v>
      </x:c>
      <x:c r="M160" s="10" t="n">
        <x:f>MAX(0,J160-I160)</x:f>
        <x:v>0</x:v>
      </x:c>
    </x:row>
    <x:row r="161" ht="16" customHeight="1">
      <x:c r="A161" s="1"/>
      <x:c r="B161" s="1"/>
      <x:c r="C161" s="1" t="str">
        <x:v>FinBot research</x:v>
      </x:c>
      <x:c r="D161" s="10" t="n">
        <x:v>4</x:v>
      </x:c>
      <x:c r="E161" s="10" t="n">
        <x:f>SUMIF('Revenue and costs'!$D$392:$D$519,C161,'Revenue and costs'!N392:N519)</x:f>
        <x:v>5195.4412869278995</x:v>
      </x:c>
      <x:c r="F161" s="10" t="n">
        <x:f>SUMIF('Revenue and costs'!$D$392:$D$519,C161,'Revenue and costs'!O392:O519)+SUMIF('Revenue and costs'!$D$392:$D$519,C161,'Revenue and costs'!P392:P519)+SUMIF('Revenue and costs'!$D$392:$D$519,C161,'Revenue and costs'!Q392:Q519)+SUMIF('Revenue and costs'!$D$392:$D$519,C161,'Revenue and costs'!R392:R519)+SUMIF('Revenue and costs'!$D$392:$D$519,C161,'Revenue and costs'!S392:S519)+SUMIF('Revenue and costs'!$D$392:$D$519,C161,'Revenue and costs'!T392:T519)+SUMIF('Revenue and costs'!$D$392:$D$519,C161,'Revenue and costs'!U392:U519)+SUMIF('Revenue and costs'!$D$392:$D$519,C161,'Revenue and costs'!V392:V519)+SUMIF('Revenue and costs'!$D$392:$D$519,C161,'Revenue and costs'!AE392:AE519)</x:f>
        <x:v>3011.721421315425</x:v>
      </x:c>
      <x:c r="G161" s="10" t="n">
        <x:f>IF('Income statement'!G50=0,1/39,E161/'Income statement'!G50)*('Shared costs'!K21+'Assumptions'!$D$18*'Assumptions'!$D$19*12*(1+'Assumptions'!$D$13)^(4-1)*'Assumptions'!$D$21)</x:f>
        <x:v>226.1134936155981</x:v>
      </x:c>
      <x:c r="H161" s="10" t="n">
        <x:f>IF('Income statement'!G50=0,1/39,E161/'Income statement'!G50)*'Cash and capital'!G18</x:f>
        <x:v>1.4426500353629022</x:v>
      </x:c>
      <x:c r="I161" s="10" t="n">
        <x:f>E161-F161-G161-H161</x:f>
        <x:v>1956.1637219615136</x:v>
      </x:c>
      <x:c r="J161" s="10" t="n">
        <x:f>M122</x:f>
        <x:v>0</x:v>
      </x:c>
      <x:c r="K161" s="10" t="n">
        <x:f>MAX(0,I161-J161)</x:f>
        <x:v>1956.1637219615136</x:v>
      </x:c>
      <x:c r="L161" s="10" t="n">
        <x:f>K161*'Assumptions'!$D$12</x:f>
        <x:v>489.0409304903784</x:v>
      </x:c>
      <x:c r="M161" s="10" t="n">
        <x:f>MAX(0,J161-I161)</x:f>
        <x:v>0</x:v>
      </x:c>
    </x:row>
    <x:row r="162" ht="16" customHeight="1">
      <x:c r="A162" s="1"/>
      <x:c r="B162" s="1"/>
      <x:c r="C162" s="1" t="str">
        <x:v>Functional Analysis</x:v>
      </x:c>
      <x:c r="D162" s="10" t="n">
        <x:v>4</x:v>
      </x:c>
      <x:c r="E162" s="10" t="n">
        <x:f>SUMIF('Revenue and costs'!$D$392:$D$519,C162,'Revenue and costs'!N392:N519)</x:f>
        <x:v>11092.83897003732</x:v>
      </x:c>
      <x:c r="F162" s="10" t="n">
        <x:f>SUMIF('Revenue and costs'!$D$392:$D$519,C162,'Revenue and costs'!O392:O519)+SUMIF('Revenue and costs'!$D$392:$D$519,C162,'Revenue and costs'!P392:P519)+SUMIF('Revenue and costs'!$D$392:$D$519,C162,'Revenue and costs'!Q392:Q519)+SUMIF('Revenue and costs'!$D$392:$D$519,C162,'Revenue and costs'!R392:R519)+SUMIF('Revenue and costs'!$D$392:$D$519,C162,'Revenue and costs'!S392:S519)+SUMIF('Revenue and costs'!$D$392:$D$519,C162,'Revenue and costs'!T392:T519)+SUMIF('Revenue and costs'!$D$392:$D$519,C162,'Revenue and costs'!U392:U519)+SUMIF('Revenue and costs'!$D$392:$D$519,C162,'Revenue and costs'!V392:V519)+SUMIF('Revenue and costs'!$D$392:$D$519,C162,'Revenue and costs'!AE392:AE519)</x:f>
        <x:v>5615.288713843504</x:v>
      </x:c>
      <x:c r="G162" s="10" t="n">
        <x:f>IF('Income statement'!G50=0,1/39,E162/'Income statement'!G50)*('Shared costs'!K21+'Assumptions'!$D$18*'Assumptions'!$D$19*12*(1+'Assumptions'!$D$13)^(4-1)*'Assumptions'!$D$21)</x:f>
        <x:v>482.7771954504237</x:v>
      </x:c>
      <x:c r="H162" s="10" t="n">
        <x:f>IF('Income statement'!G50=0,1/39,E162/'Income statement'!G50)*'Cash and capital'!G18</x:f>
        <x:v>3.0802166069442882</x:v>
      </x:c>
      <x:c r="I162" s="10" t="n">
        <x:f>E162-F162-G162-H162</x:f>
        <x:v>4991.692844136449</x:v>
      </x:c>
      <x:c r="J162" s="10" t="n">
        <x:f>M123</x:f>
        <x:v>0</x:v>
      </x:c>
      <x:c r="K162" s="10" t="n">
        <x:f>MAX(0,I162-J162)</x:f>
        <x:v>4991.692844136449</x:v>
      </x:c>
      <x:c r="L162" s="10" t="n">
        <x:f>K162*'Assumptions'!$D$12</x:f>
        <x:v>1247.9232110341122</x:v>
      </x:c>
      <x:c r="M162" s="10" t="n">
        <x:f>MAX(0,J162-I162)</x:f>
        <x:v>0</x:v>
      </x:c>
    </x:row>
    <x:row r="163" ht="16" customHeight="1">
      <x:c r="A163" s="1"/>
      <x:c r="B163" s="1"/>
      <x:c r="C163" s="1" t="str">
        <x:v>Independent candy game</x:v>
      </x:c>
      <x:c r="D163" s="10" t="n">
        <x:v>4</x:v>
      </x:c>
      <x:c r="E163" s="10" t="n">
        <x:f>SUMIF('Revenue and costs'!$D$392:$D$519,C163,'Revenue and costs'!N392:N519)</x:f>
        <x:v>4469.871038236246</x:v>
      </x:c>
      <x:c r="F163" s="10" t="n">
        <x:f>SUMIF('Revenue and costs'!$D$392:$D$519,C163,'Revenue and costs'!O392:O519)+SUMIF('Revenue and costs'!$D$392:$D$519,C163,'Revenue and costs'!P392:P519)+SUMIF('Revenue and costs'!$D$392:$D$519,C163,'Revenue and costs'!Q392:Q519)+SUMIF('Revenue and costs'!$D$392:$D$519,C163,'Revenue and costs'!R392:R519)+SUMIF('Revenue and costs'!$D$392:$D$519,C163,'Revenue and costs'!S392:S519)+SUMIF('Revenue and costs'!$D$392:$D$519,C163,'Revenue and costs'!T392:T519)+SUMIF('Revenue and costs'!$D$392:$D$519,C163,'Revenue and costs'!U392:U519)+SUMIF('Revenue and costs'!$D$392:$D$519,C163,'Revenue and costs'!V392:V519)+SUMIF('Revenue and costs'!$D$392:$D$519,C163,'Revenue and costs'!AE392:AE519)</x:f>
        <x:v>4136.5128469035335</x:v>
      </x:c>
      <x:c r="G163" s="10" t="n">
        <x:f>IF('Income statement'!G50=0,1/39,E163/'Income statement'!G50)*('Shared costs'!K21+'Assumptions'!$D$18*'Assumptions'!$D$19*12*(1+'Assumptions'!$D$13)^(4-1)*'Assumptions'!$D$21)</x:f>
        <x:v>194.53557467962668</x:v>
      </x:c>
      <x:c r="H163" s="10" t="n">
        <x:f>IF('Income statement'!G50=0,1/39,E163/'Income statement'!G50)*'Cash and capital'!G18</x:f>
        <x:v>1.2411764959415317</x:v>
      </x:c>
      <x:c r="I163" s="10" t="n">
        <x:f>E163-F163-G163-H163</x:f>
        <x:v>137.5814401571443</x:v>
      </x:c>
      <x:c r="J163" s="10" t="n">
        <x:f>M124</x:f>
        <x:v>0</x:v>
      </x:c>
      <x:c r="K163" s="10" t="n">
        <x:f>MAX(0,I163-J163)</x:f>
        <x:v>137.5814401571443</x:v>
      </x:c>
      <x:c r="L163" s="10" t="n">
        <x:f>K163*'Assumptions'!$D$12</x:f>
        <x:v>34.395360039286075</x:v>
      </x:c>
      <x:c r="M163" s="10" t="n">
        <x:f>MAX(0,J163-I163)</x:f>
        <x:v>0</x:v>
      </x:c>
    </x:row>
    <x:row r="164" ht="16" customHeight="1">
      <x:c r="A164" s="1"/>
      <x:c r="B164" s="1"/>
      <x:c r="C164" s="1" t="str">
        <x:v>ETV courses</x:v>
      </x:c>
      <x:c r="D164" s="10" t="n">
        <x:v>5</x:v>
      </x:c>
      <x:c r="E164" s="10" t="n">
        <x:f>SUMIF('Revenue and costs'!$D$520:$D$647,C164,'Revenue and costs'!N520:N647)</x:f>
        <x:v>37400.78770843146</x:v>
      </x:c>
      <x:c r="F164" s="10" t="n">
        <x:f>SUMIF('Revenue and costs'!$D$520:$D$647,C164,'Revenue and costs'!O520:O647)+SUMIF('Revenue and costs'!$D$520:$D$647,C164,'Revenue and costs'!P520:P647)+SUMIF('Revenue and costs'!$D$520:$D$647,C164,'Revenue and costs'!Q520:Q647)+SUMIF('Revenue and costs'!$D$520:$D$647,C164,'Revenue and costs'!R520:R647)+SUMIF('Revenue and costs'!$D$520:$D$647,C164,'Revenue and costs'!S520:S647)+SUMIF('Revenue and costs'!$D$520:$D$647,C164,'Revenue and costs'!T520:T647)+SUMIF('Revenue and costs'!$D$520:$D$647,C164,'Revenue and costs'!U520:U647)+SUMIF('Revenue and costs'!$D$520:$D$647,C164,'Revenue and costs'!V520:V647)+SUMIF('Revenue and costs'!$D$520:$D$647,C164,'Revenue and costs'!AE520:AE647)</x:f>
        <x:v>12950.383410862943</x:v>
      </x:c>
      <x:c r="G164" s="10" t="n">
        <x:f>IF('Income statement'!H50=0,1/39,E164/'Income statement'!H50)*('Shared costs'!L21+'Assumptions'!$D$18*'Assumptions'!$D$19*12*(1+'Assumptions'!$D$13)^(5-1)*'Assumptions'!$D$21)</x:f>
        <x:v>1518.4279339294185</x:v>
      </x:c>
      <x:c r="H164" s="10" t="n">
        <x:f>IF('Income statement'!H50=0,1/39,E164/'Income statement'!H50)*'Cash and capital'!H18</x:f>
        <x:v>9.041877841205022</x:v>
      </x:c>
      <x:c r="I164" s="10" t="n">
        <x:f>E164-F164-G164-H164</x:f>
        <x:v>22922.93448579789</x:v>
      </x:c>
      <x:c r="J164" s="10" t="n">
        <x:f>M125</x:f>
        <x:v>0</x:v>
      </x:c>
      <x:c r="K164" s="10" t="n">
        <x:f>MAX(0,I164-J164)</x:f>
        <x:v>22922.93448579789</x:v>
      </x:c>
      <x:c r="L164" s="10" t="n">
        <x:f>K164*'Assumptions'!$D$12</x:f>
        <x:v>5730.733621449473</x:v>
      </x:c>
      <x:c r="M164" s="10" t="n">
        <x:f>MAX(0,J164-I164)</x:f>
        <x:v>0</x:v>
      </x:c>
    </x:row>
    <x:row r="165" ht="16" customHeight="1">
      <x:c r="A165" s="1"/>
      <x:c r="B165" s="1"/>
      <x:c r="C165" s="1" t="str">
        <x:v>ETV services</x:v>
      </x:c>
      <x:c r="D165" s="10" t="n">
        <x:v>5</x:v>
      </x:c>
      <x:c r="E165" s="10" t="n">
        <x:f>SUMIF('Revenue and costs'!$D$520:$D$647,C165,'Revenue and costs'!N520:N647)</x:f>
        <x:v>87705.82146896354</x:v>
      </x:c>
      <x:c r="F165" s="10" t="n">
        <x:f>SUMIF('Revenue and costs'!$D$520:$D$647,C165,'Revenue and costs'!O520:O647)+SUMIF('Revenue and costs'!$D$520:$D$647,C165,'Revenue and costs'!P520:P647)+SUMIF('Revenue and costs'!$D$520:$D$647,C165,'Revenue and costs'!Q520:Q647)+SUMIF('Revenue and costs'!$D$520:$D$647,C165,'Revenue and costs'!R520:R647)+SUMIF('Revenue and costs'!$D$520:$D$647,C165,'Revenue and costs'!S520:S647)+SUMIF('Revenue and costs'!$D$520:$D$647,C165,'Revenue and costs'!T520:T647)+SUMIF('Revenue and costs'!$D$520:$D$647,C165,'Revenue and costs'!U520:U647)+SUMIF('Revenue and costs'!$D$520:$D$647,C165,'Revenue and costs'!V520:V647)+SUMIF('Revenue and costs'!$D$520:$D$647,C165,'Revenue and costs'!AE520:AE647)</x:f>
        <x:v>57249.14652989072</x:v>
      </x:c>
      <x:c r="G165" s="10" t="n">
        <x:f>IF('Income statement'!H50=0,1/39,E165/'Income statement'!H50)*('Shared costs'!L21+'Assumptions'!$D$18*'Assumptions'!$D$19*12*(1+'Assumptions'!$D$13)^(5-1)*'Assumptions'!$D$21)</x:f>
        <x:v>3560.753060200344</x:v>
      </x:c>
      <x:c r="H165" s="10" t="n">
        <x:f>IF('Income statement'!H50=0,1/39,E165/'Income statement'!H50)*'Cash and capital'!H18</x:f>
        <x:v>21.203439079068623</x:v>
      </x:c>
      <x:c r="I165" s="10" t="n">
        <x:f>E165-F165-G165-H165</x:f>
        <x:v>26874.718439793403</x:v>
      </x:c>
      <x:c r="J165" s="10" t="n">
        <x:f>M126</x:f>
        <x:v>0</x:v>
      </x:c>
      <x:c r="K165" s="10" t="n">
        <x:f>MAX(0,I165-J165)</x:f>
        <x:v>26874.718439793403</x:v>
      </x:c>
      <x:c r="L165" s="10" t="n">
        <x:f>K165*'Assumptions'!$D$12</x:f>
        <x:v>6718.679609948351</x:v>
      </x:c>
      <x:c r="M165" s="10" t="n">
        <x:f>MAX(0,J165-I165)</x:f>
        <x:v>0</x:v>
      </x:c>
    </x:row>
    <x:row r="166" ht="16" customHeight="1">
      <x:c r="A166" s="1"/>
      <x:c r="B166" s="1"/>
      <x:c r="C166" s="1" t="str">
        <x:v>BPA professional services</x:v>
      </x:c>
      <x:c r="D166" s="10" t="n">
        <x:v>5</x:v>
      </x:c>
      <x:c r="E166" s="10" t="n">
        <x:f>SUMIF('Revenue and costs'!$D$520:$D$647,C166,'Revenue and costs'!N520:N647)</x:f>
        <x:v>546013.3579397507</x:v>
      </x:c>
      <x:c r="F166" s="10" t="n">
        <x:f>SUMIF('Revenue and costs'!$D$520:$D$647,C166,'Revenue and costs'!O520:O647)+SUMIF('Revenue and costs'!$D$520:$D$647,C166,'Revenue and costs'!P520:P647)+SUMIF('Revenue and costs'!$D$520:$D$647,C166,'Revenue and costs'!Q520:Q647)+SUMIF('Revenue and costs'!$D$520:$D$647,C166,'Revenue and costs'!R520:R647)+SUMIF('Revenue and costs'!$D$520:$D$647,C166,'Revenue and costs'!S520:S647)+SUMIF('Revenue and costs'!$D$520:$D$647,C166,'Revenue and costs'!T520:T647)+SUMIF('Revenue and costs'!$D$520:$D$647,C166,'Revenue and costs'!U520:U647)+SUMIF('Revenue and costs'!$D$520:$D$647,C166,'Revenue and costs'!V520:V647)+SUMIF('Revenue and costs'!$D$520:$D$647,C166,'Revenue and costs'!AE520:AE647)</x:f>
        <x:v>262323.966723257</x:v>
      </x:c>
      <x:c r="G166" s="10" t="n">
        <x:f>IF('Income statement'!H50=0,1/39,E166/'Income statement'!H50)*('Shared costs'!L21+'Assumptions'!$D$18*'Assumptions'!$D$19*12*(1+'Assumptions'!$D$13)^(5-1)*'Assumptions'!$D$21)</x:f>
        <x:v>22167.499290594227</x:v>
      </x:c>
      <x:c r="H166" s="10" t="n">
        <x:f>IF('Income statement'!H50=0,1/39,E166/'Income statement'!H50)*'Cash and capital'!H18</x:f>
        <x:v>132.0021952651122</x:v>
      </x:c>
      <x:c r="I166" s="10" t="n">
        <x:f>E166-F166-G166-H166</x:f>
        <x:v>261389.88973063434</x:v>
      </x:c>
      <x:c r="J166" s="10" t="n">
        <x:f>M127</x:f>
        <x:v>0</x:v>
      </x:c>
      <x:c r="K166" s="10" t="n">
        <x:f>MAX(0,I166-J166)</x:f>
        <x:v>261389.88973063434</x:v>
      </x:c>
      <x:c r="L166" s="10" t="n">
        <x:f>K166*'Assumptions'!$D$12</x:f>
        <x:v>65347.472432658586</x:v>
      </x:c>
      <x:c r="M166" s="10" t="n">
        <x:f>MAX(0,J166-I166)</x:f>
        <x:v>0</x:v>
      </x:c>
    </x:row>
    <x:row r="167" ht="16" customHeight="1">
      <x:c r="A167" s="1"/>
      <x:c r="B167" s="1"/>
      <x:c r="C167" s="1" t="str">
        <x:v>CornerFlow</x:v>
      </x:c>
      <x:c r="D167" s="10" t="n">
        <x:v>5</x:v>
      </x:c>
      <x:c r="E167" s="10" t="n">
        <x:f>SUMIF('Revenue and costs'!$D$520:$D$647,C167,'Revenue and costs'!N520:N647)</x:f>
        <x:v>14390.823256203943</x:v>
      </x:c>
      <x:c r="F167" s="10" t="n">
        <x:f>SUMIF('Revenue and costs'!$D$520:$D$647,C167,'Revenue and costs'!O520:O647)+SUMIF('Revenue and costs'!$D$520:$D$647,C167,'Revenue and costs'!P520:P647)+SUMIF('Revenue and costs'!$D$520:$D$647,C167,'Revenue and costs'!Q520:Q647)+SUMIF('Revenue and costs'!$D$520:$D$647,C167,'Revenue and costs'!R520:R647)+SUMIF('Revenue and costs'!$D$520:$D$647,C167,'Revenue and costs'!S520:S647)+SUMIF('Revenue and costs'!$D$520:$D$647,C167,'Revenue and costs'!T520:T647)+SUMIF('Revenue and costs'!$D$520:$D$647,C167,'Revenue and costs'!U520:U647)+SUMIF('Revenue and costs'!$D$520:$D$647,C167,'Revenue and costs'!V520:V647)+SUMIF('Revenue and costs'!$D$520:$D$647,C167,'Revenue and costs'!AE520:AE647)</x:f>
        <x:v>5778.216533717137</x:v>
      </x:c>
      <x:c r="G167" s="10" t="n">
        <x:f>IF('Income statement'!H50=0,1/39,E167/'Income statement'!H50)*('Shared costs'!L21+'Assumptions'!$D$18*'Assumptions'!$D$19*12*(1+'Assumptions'!$D$13)^(5-1)*'Assumptions'!$D$21)</x:f>
        <x:v>584.2504760811521</x:v>
      </x:c>
      <x:c r="H167" s="10" t="n">
        <x:f>IF('Income statement'!H50=0,1/39,E167/'Income statement'!H50)*'Cash and capital'!H18</x:f>
        <x:v>3.4790728722442035</x:v>
      </x:c>
      <x:c r="I167" s="10" t="n">
        <x:f>E167-F167-G167-H167</x:f>
        <x:v>8024.877173533409</x:v>
      </x:c>
      <x:c r="J167" s="10" t="n">
        <x:f>M128</x:f>
        <x:v>0</x:v>
      </x:c>
      <x:c r="K167" s="10" t="n">
        <x:f>MAX(0,I167-J167)</x:f>
        <x:v>8024.877173533409</x:v>
      </x:c>
      <x:c r="L167" s="10" t="n">
        <x:f>K167*'Assumptions'!$D$12</x:f>
        <x:v>2006.2192933833524</x:v>
      </x:c>
      <x:c r="M167" s="10" t="n">
        <x:f>MAX(0,J167-I167)</x:f>
        <x:v>0</x:v>
      </x:c>
    </x:row>
    <x:row r="168" ht="16" customHeight="1">
      <x:c r="A168" s="1"/>
      <x:c r="B168" s="1"/>
      <x:c r="C168" s="1" t="str">
        <x:v>Spindle</x:v>
      </x:c>
      <x:c r="D168" s="10" t="n">
        <x:v>5</x:v>
      </x:c>
      <x:c r="E168" s="10" t="n">
        <x:f>SUMIF('Revenue and costs'!$D$520:$D$647,C168,'Revenue and costs'!N520:N647)</x:f>
        <x:v>14390.823256203943</x:v>
      </x:c>
      <x:c r="F168" s="10" t="n">
        <x:f>SUMIF('Revenue and costs'!$D$520:$D$647,C168,'Revenue and costs'!O520:O647)+SUMIF('Revenue and costs'!$D$520:$D$647,C168,'Revenue and costs'!P520:P647)+SUMIF('Revenue and costs'!$D$520:$D$647,C168,'Revenue and costs'!Q520:Q647)+SUMIF('Revenue and costs'!$D$520:$D$647,C168,'Revenue and costs'!R520:R647)+SUMIF('Revenue and costs'!$D$520:$D$647,C168,'Revenue and costs'!S520:S647)+SUMIF('Revenue and costs'!$D$520:$D$647,C168,'Revenue and costs'!T520:T647)+SUMIF('Revenue and costs'!$D$520:$D$647,C168,'Revenue and costs'!U520:U647)+SUMIF('Revenue and costs'!$D$520:$D$647,C168,'Revenue and costs'!V520:V647)+SUMIF('Revenue and costs'!$D$520:$D$647,C168,'Revenue and costs'!AE520:AE647)</x:f>
        <x:v>5778.216533717137</x:v>
      </x:c>
      <x:c r="G168" s="10" t="n">
        <x:f>IF('Income statement'!H50=0,1/39,E168/'Income statement'!H50)*('Shared costs'!L21+'Assumptions'!$D$18*'Assumptions'!$D$19*12*(1+'Assumptions'!$D$13)^(5-1)*'Assumptions'!$D$21)</x:f>
        <x:v>584.2504760811521</x:v>
      </x:c>
      <x:c r="H168" s="10" t="n">
        <x:f>IF('Income statement'!H50=0,1/39,E168/'Income statement'!H50)*'Cash and capital'!H18</x:f>
        <x:v>3.4790728722442035</x:v>
      </x:c>
      <x:c r="I168" s="10" t="n">
        <x:f>E168-F168-G168-H168</x:f>
        <x:v>8024.877173533409</x:v>
      </x:c>
      <x:c r="J168" s="10" t="n">
        <x:f>M129</x:f>
        <x:v>0</x:v>
      </x:c>
      <x:c r="K168" s="10" t="n">
        <x:f>MAX(0,I168-J168)</x:f>
        <x:v>8024.877173533409</x:v>
      </x:c>
      <x:c r="L168" s="10" t="n">
        <x:f>K168*'Assumptions'!$D$12</x:f>
        <x:v>2006.2192933833524</x:v>
      </x:c>
      <x:c r="M168" s="10" t="n">
        <x:f>MAX(0,J168-I168)</x:f>
        <x:v>0</x:v>
      </x:c>
    </x:row>
    <x:row r="169" ht="16" customHeight="1">
      <x:c r="A169" s="1"/>
      <x:c r="B169" s="1"/>
      <x:c r="C169" s="1" t="str">
        <x:v>Maison Contour</x:v>
      </x:c>
      <x:c r="D169" s="10" t="n">
        <x:v>5</x:v>
      </x:c>
      <x:c r="E169" s="10" t="n">
        <x:f>SUMIF('Revenue and costs'!$D$520:$D$647,C169,'Revenue and costs'!N520:N647)</x:f>
        <x:v>19834.45429914821</x:v>
      </x:c>
      <x:c r="F169" s="10" t="n">
        <x:f>SUMIF('Revenue and costs'!$D$520:$D$647,C169,'Revenue and costs'!O520:O647)+SUMIF('Revenue and costs'!$D$520:$D$647,C169,'Revenue and costs'!P520:P647)+SUMIF('Revenue and costs'!$D$520:$D$647,C169,'Revenue and costs'!Q520:Q647)+SUMIF('Revenue and costs'!$D$520:$D$647,C169,'Revenue and costs'!R520:R647)+SUMIF('Revenue and costs'!$D$520:$D$647,C169,'Revenue and costs'!S520:S647)+SUMIF('Revenue and costs'!$D$520:$D$647,C169,'Revenue and costs'!T520:T647)+SUMIF('Revenue and costs'!$D$520:$D$647,C169,'Revenue and costs'!U520:U647)+SUMIF('Revenue and costs'!$D$520:$D$647,C169,'Revenue and costs'!V520:V647)+SUMIF('Revenue and costs'!$D$520:$D$647,C169,'Revenue and costs'!AE520:AE647)</x:f>
        <x:v>6213.1458180760865</x:v>
      </x:c>
      <x:c r="G169" s="10" t="n">
        <x:f>IF('Income statement'!H50=0,1/39,E169/'Income statement'!H50)*('Shared costs'!L21+'Assumptions'!$D$18*'Assumptions'!$D$19*12*(1+'Assumptions'!$D$13)^(5-1)*'Assumptions'!$D$21)</x:f>
        <x:v>805.2554854421852</x:v>
      </x:c>
      <x:c r="H169" s="10" t="n">
        <x:f>IF('Income statement'!H50=0,1/39,E169/'Income statement'!H50)*'Cash and capital'!H18</x:f>
        <x:v>4.795105231952967</x:v>
      </x:c>
      <x:c r="I169" s="10" t="n">
        <x:f>E169-F169-G169-H169</x:f>
        <x:v>12811.257890397985</x:v>
      </x:c>
      <x:c r="J169" s="10" t="n">
        <x:f>M130</x:f>
        <x:v>0</x:v>
      </x:c>
      <x:c r="K169" s="10" t="n">
        <x:f>MAX(0,I169-J169)</x:f>
        <x:v>12811.257890397985</x:v>
      </x:c>
      <x:c r="L169" s="10" t="n">
        <x:f>K169*'Assumptions'!$D$12</x:f>
        <x:v>3202.814472599496</x:v>
      </x:c>
      <x:c r="M169" s="10" t="n">
        <x:f>MAX(0,J169-I169)</x:f>
        <x:v>0</x:v>
      </x:c>
    </x:row>
    <x:row r="170" ht="16" customHeight="1">
      <x:c r="A170" s="1"/>
      <x:c r="B170" s="1"/>
      <x:c r="C170" s="1" t="str">
        <x:v>DishLoom US</x:v>
      </x:c>
      <x:c r="D170" s="10" t="n">
        <x:v>5</x:v>
      </x:c>
      <x:c r="E170" s="10" t="n">
        <x:f>SUMIF('Revenue and costs'!$D$520:$D$647,C170,'Revenue and costs'!N520:N647)</x:f>
        <x:v>17147.437785274426</x:v>
      </x:c>
      <x:c r="F170" s="10" t="n">
        <x:f>SUMIF('Revenue and costs'!$D$520:$D$647,C170,'Revenue and costs'!O520:O647)+SUMIF('Revenue and costs'!$D$520:$D$647,C170,'Revenue and costs'!P520:P647)+SUMIF('Revenue and costs'!$D$520:$D$647,C170,'Revenue and costs'!Q520:Q647)+SUMIF('Revenue and costs'!$D$520:$D$647,C170,'Revenue and costs'!R520:R647)+SUMIF('Revenue and costs'!$D$520:$D$647,C170,'Revenue and costs'!S520:S647)+SUMIF('Revenue and costs'!$D$520:$D$647,C170,'Revenue and costs'!T520:T647)+SUMIF('Revenue and costs'!$D$520:$D$647,C170,'Revenue and costs'!U520:U647)+SUMIF('Revenue and costs'!$D$520:$D$647,C170,'Revenue and costs'!V520:V647)+SUMIF('Revenue and costs'!$D$520:$D$647,C170,'Revenue and costs'!AE520:AE647)</x:f>
        <x:v>11161.123195521825</x:v>
      </x:c>
      <x:c r="G170" s="10" t="n">
        <x:f>IF('Income statement'!H50=0,1/39,E170/'Income statement'!H50)*('Shared costs'!L21+'Assumptions'!$D$18*'Assumptions'!$D$19*12*(1+'Assumptions'!$D$13)^(5-1)*'Assumptions'!$D$21)</x:f>
        <x:v>696.1657794872539</x:v>
      </x:c>
      <x:c r="H170" s="10" t="n">
        <x:f>IF('Income statement'!H50=0,1/39,E170/'Income statement'!H50)*'Cash and capital'!H18</x:f>
        <x:v>4.1455019330826</x:v>
      </x:c>
      <x:c r="I170" s="10" t="n">
        <x:f>E170-F170-G170-H170</x:f>
        <x:v>5286.003308332265</x:v>
      </x:c>
      <x:c r="J170" s="10" t="n">
        <x:f>M131</x:f>
        <x:v>0</x:v>
      </x:c>
      <x:c r="K170" s="10" t="n">
        <x:f>MAX(0,I170-J170)</x:f>
        <x:v>5286.003308332265</x:v>
      </x:c>
      <x:c r="L170" s="10" t="n">
        <x:f>K170*'Assumptions'!$D$12</x:f>
        <x:v>1321.5008270830663</x:v>
      </x:c>
      <x:c r="M170" s="10" t="n">
        <x:f>MAX(0,J170-I170)</x:f>
        <x:v>0</x:v>
      </x:c>
    </x:row>
    <x:row r="171" ht="16" customHeight="1">
      <x:c r="A171" s="1"/>
      <x:c r="B171" s="1"/>
      <x:c r="C171" s="1" t="str">
        <x:v>Is Makes Travel Easy</x:v>
      </x:c>
      <x:c r="D171" s="10" t="n">
        <x:v>5</x:v>
      </x:c>
      <x:c r="E171" s="10" t="n">
        <x:f>SUMIF('Revenue and costs'!$D$520:$D$647,C171,'Revenue and costs'!N520:N647)</x:f>
        <x:v>30941.3437993572</x:v>
      </x:c>
      <x:c r="F171" s="10" t="n">
        <x:f>SUMIF('Revenue and costs'!$D$520:$D$647,C171,'Revenue and costs'!O520:O647)+SUMIF('Revenue and costs'!$D$520:$D$647,C171,'Revenue and costs'!P520:P647)+SUMIF('Revenue and costs'!$D$520:$D$647,C171,'Revenue and costs'!Q520:Q647)+SUMIF('Revenue and costs'!$D$520:$D$647,C171,'Revenue and costs'!R520:R647)+SUMIF('Revenue and costs'!$D$520:$D$647,C171,'Revenue and costs'!S520:S647)+SUMIF('Revenue and costs'!$D$520:$D$647,C171,'Revenue and costs'!T520:T647)+SUMIF('Revenue and costs'!$D$520:$D$647,C171,'Revenue and costs'!U520:U647)+SUMIF('Revenue and costs'!$D$520:$D$647,C171,'Revenue and costs'!V520:V647)+SUMIF('Revenue and costs'!$D$520:$D$647,C171,'Revenue and costs'!AE520:AE647)</x:f>
        <x:v>17065.407418986782</x:v>
      </x:c>
      <x:c r="G171" s="10" t="n">
        <x:f>IF('Income statement'!H50=0,1/39,E171/'Income statement'!H50)*('Shared costs'!L21+'Assumptions'!$D$18*'Assumptions'!$D$19*12*(1+'Assumptions'!$D$13)^(5-1)*'Assumptions'!$D$21)</x:f>
        <x:v>1256.1821185297208</x:v>
      </x:c>
      <x:c r="H171" s="10" t="n">
        <x:f>IF('Income statement'!H50=0,1/39,E171/'Income statement'!H50)*'Cash and capital'!H18</x:f>
        <x:v>7.4802662729331955</x:v>
      </x:c>
      <x:c r="I171" s="10" t="n">
        <x:f>E171-F171-G171-H171</x:f>
        <x:v>12612.273995567764</x:v>
      </x:c>
      <x:c r="J171" s="10" t="n">
        <x:f>M132</x:f>
        <x:v>0</x:v>
      </x:c>
      <x:c r="K171" s="10" t="n">
        <x:f>MAX(0,I171-J171)</x:f>
        <x:v>12612.273995567764</x:v>
      </x:c>
      <x:c r="L171" s="10" t="n">
        <x:f>K171*'Assumptions'!$D$12</x:f>
        <x:v>3153.068498891941</x:v>
      </x:c>
      <x:c r="M171" s="10" t="n">
        <x:f>MAX(0,J171-I171)</x:f>
        <x:v>0</x:v>
      </x:c>
    </x:row>
    <x:row r="172" ht="16" customHeight="1">
      <x:c r="A172" s="1"/>
      <x:c r="B172" s="1"/>
      <x:c r="C172" s="1" t="str">
        <x:v>Turbo Tax - Made Easy!</x:v>
      </x:c>
      <x:c r="D172" s="10" t="n">
        <x:v>5</x:v>
      </x:c>
      <x:c r="E172" s="10" t="n">
        <x:f>SUMIF('Revenue and costs'!$D$520:$D$647,C172,'Revenue and costs'!N520:N647)</x:f>
        <x:v>99391.21541618685</x:v>
      </x:c>
      <x:c r="F172" s="10" t="n">
        <x:f>SUMIF('Revenue and costs'!$D$520:$D$647,C172,'Revenue and costs'!O520:O647)+SUMIF('Revenue and costs'!$D$520:$D$647,C172,'Revenue and costs'!P520:P647)+SUMIF('Revenue and costs'!$D$520:$D$647,C172,'Revenue and costs'!Q520:Q647)+SUMIF('Revenue and costs'!$D$520:$D$647,C172,'Revenue and costs'!R520:R647)+SUMIF('Revenue and costs'!$D$520:$D$647,C172,'Revenue and costs'!S520:S647)+SUMIF('Revenue and costs'!$D$520:$D$647,C172,'Revenue and costs'!T520:T647)+SUMIF('Revenue and costs'!$D$520:$D$647,C172,'Revenue and costs'!U520:U647)+SUMIF('Revenue and costs'!$D$520:$D$647,C172,'Revenue and costs'!V520:V647)+SUMIF('Revenue and costs'!$D$520:$D$647,C172,'Revenue and costs'!AE520:AE647)</x:f>
        <x:v>25606.518572728703</x:v>
      </x:c>
      <x:c r="G172" s="10" t="n">
        <x:f>IF('Income statement'!H50=0,1/39,E172/'Income statement'!H50)*('Shared costs'!L21+'Assumptions'!$D$18*'Assumptions'!$D$19*12*(1+'Assumptions'!$D$13)^(5-1)*'Assumptions'!$D$21)</x:f>
        <x:v>4035.166292530038</x:v>
      </x:c>
      <x:c r="H172" s="10" t="n">
        <x:f>IF('Income statement'!H50=0,1/39,E172/'Income statement'!H50)*'Cash and capital'!H18</x:f>
        <x:v>24.028457242344658</x:v>
      </x:c>
      <x:c r="I172" s="10" t="n">
        <x:f>E172-F172-G172-H172</x:f>
        <x:v>69725.50209368578</x:v>
      </x:c>
      <x:c r="J172" s="10" t="n">
        <x:f>M133</x:f>
        <x:v>0</x:v>
      </x:c>
      <x:c r="K172" s="10" t="n">
        <x:f>MAX(0,I172-J172)</x:f>
        <x:v>69725.50209368578</x:v>
      </x:c>
      <x:c r="L172" s="10" t="n">
        <x:f>K172*'Assumptions'!$D$12</x:f>
        <x:v>17431.375523421444</x:v>
      </x:c>
      <x:c r="M172" s="10" t="n">
        <x:f>MAX(0,J172-I172)</x:f>
        <x:v>0</x:v>
      </x:c>
    </x:row>
    <x:row r="173" ht="16" customHeight="1">
      <x:c r="A173" s="1"/>
      <x:c r="B173" s="1"/>
      <x:c r="C173" s="1" t="str">
        <x:v>LavaLearning adult</x:v>
      </x:c>
      <x:c r="D173" s="10" t="n">
        <x:v>5</x:v>
      </x:c>
      <x:c r="E173" s="10" t="n">
        <x:f>SUMIF('Revenue and costs'!$D$520:$D$647,C173,'Revenue and costs'!N520:N647)</x:f>
        <x:v>51846.48152099889</x:v>
      </x:c>
      <x:c r="F173" s="10" t="n">
        <x:f>SUMIF('Revenue and costs'!$D$520:$D$647,C173,'Revenue and costs'!O520:O647)+SUMIF('Revenue and costs'!$D$520:$D$647,C173,'Revenue and costs'!P520:P647)+SUMIF('Revenue and costs'!$D$520:$D$647,C173,'Revenue and costs'!Q520:Q647)+SUMIF('Revenue and costs'!$D$520:$D$647,C173,'Revenue and costs'!R520:R647)+SUMIF('Revenue and costs'!$D$520:$D$647,C173,'Revenue and costs'!S520:S647)+SUMIF('Revenue and costs'!$D$520:$D$647,C173,'Revenue and costs'!T520:T647)+SUMIF('Revenue and costs'!$D$520:$D$647,C173,'Revenue and costs'!U520:U647)+SUMIF('Revenue and costs'!$D$520:$D$647,C173,'Revenue and costs'!V520:V647)+SUMIF('Revenue and costs'!$D$520:$D$647,C173,'Revenue and costs'!AE520:AE647)</x:f>
        <x:v>18915.22226111902</x:v>
      </x:c>
      <x:c r="G173" s="10" t="n">
        <x:f>IF('Income statement'!H50=0,1/39,E173/'Income statement'!H50)*('Shared costs'!L21+'Assumptions'!$D$18*'Assumptions'!$D$19*12*(1+'Assumptions'!$D$13)^(5-1)*'Assumptions'!$D$21)</x:f>
        <x:v>2104.9060899776905</x:v>
      </x:c>
      <x:c r="H173" s="10" t="n">
        <x:f>IF('Income statement'!H50=0,1/39,E173/'Income statement'!H50)*'Cash and capital'!H18</x:f>
        <x:v>12.534216018757375</x:v>
      </x:c>
      <x:c r="I173" s="10" t="n">
        <x:f>E173-F173-G173-H173</x:f>
        <x:v>30813.81895388342</x:v>
      </x:c>
      <x:c r="J173" s="10" t="n">
        <x:f>M134</x:f>
        <x:v>0</x:v>
      </x:c>
      <x:c r="K173" s="10" t="n">
        <x:f>MAX(0,I173-J173)</x:f>
        <x:v>30813.81895388342</x:v>
      </x:c>
      <x:c r="L173" s="10" t="n">
        <x:f>K173*'Assumptions'!$D$12</x:f>
        <x:v>7703.454738470855</x:v>
      </x:c>
      <x:c r="M173" s="10" t="n">
        <x:f>MAX(0,J173-I173)</x:f>
        <x:v>0</x:v>
      </x:c>
    </x:row>
    <x:row r="174" ht="16" customHeight="1">
      <x:c r="A174" s="1"/>
      <x:c r="B174" s="1"/>
      <x:c r="C174" s="1" t="str">
        <x:v>LavaLearning Model Life</x:v>
      </x:c>
      <x:c r="D174" s="10" t="n">
        <x:v>5</x:v>
      </x:c>
      <x:c r="E174" s="10" t="n">
        <x:f>SUMIF('Revenue and costs'!$D$520:$D$647,C174,'Revenue and costs'!N520:N647)</x:f>
        <x:v>0</x:v>
      </x:c>
      <x:c r="F174" s="10" t="n">
        <x:f>SUMIF('Revenue and costs'!$D$520:$D$647,C174,'Revenue and costs'!O520:O647)+SUMIF('Revenue and costs'!$D$520:$D$647,C174,'Revenue and costs'!P520:P647)+SUMIF('Revenue and costs'!$D$520:$D$647,C174,'Revenue and costs'!Q520:Q647)+SUMIF('Revenue and costs'!$D$520:$D$647,C174,'Revenue and costs'!R520:R647)+SUMIF('Revenue and costs'!$D$520:$D$647,C174,'Revenue and costs'!S520:S647)+SUMIF('Revenue and costs'!$D$520:$D$647,C174,'Revenue and costs'!T520:T647)+SUMIF('Revenue and costs'!$D$520:$D$647,C174,'Revenue and costs'!U520:U647)+SUMIF('Revenue and costs'!$D$520:$D$647,C174,'Revenue and costs'!V520:V647)+SUMIF('Revenue and costs'!$D$520:$D$647,C174,'Revenue and costs'!AE520:AE647)</x:f>
        <x:v>0</x:v>
      </x:c>
      <x:c r="G174" s="10" t="n">
        <x:f>IF('Income statement'!H50=0,1/39,E174/'Income statement'!H50)*('Shared costs'!L21+'Assumptions'!$D$18*'Assumptions'!$D$19*12*(1+'Assumptions'!$D$13)^(5-1)*'Assumptions'!$D$21)</x:f>
        <x:v>0</x:v>
      </x:c>
      <x:c r="H174" s="10" t="n">
        <x:f>IF('Income statement'!H50=0,1/39,E174/'Income statement'!H50)*'Cash and capital'!H18</x:f>
        <x:v>0</x:v>
      </x:c>
      <x:c r="I174" s="10" t="n">
        <x:f>E174-F174-G174-H174</x:f>
        <x:v>0</x:v>
      </x:c>
      <x:c r="J174" s="10" t="n">
        <x:f>M135</x:f>
        <x:v>0</x:v>
      </x:c>
      <x:c r="K174" s="10" t="n">
        <x:f>MAX(0,I174-J174)</x:f>
        <x:v>0</x:v>
      </x:c>
      <x:c r="L174" s="10" t="n">
        <x:f>K174*'Assumptions'!$D$12</x:f>
        <x:v>0</x:v>
      </x:c>
      <x:c r="M174" s="10" t="n">
        <x:f>MAX(0,J174-I174)</x:f>
        <x:v>0</x:v>
      </x:c>
    </x:row>
    <x:row r="175" ht="16" customHeight="1">
      <x:c r="A175" s="1"/>
      <x:c r="B175" s="1"/>
      <x:c r="C175" s="1" t="str">
        <x:v>LavaLearning Kids</x:v>
      </x:c>
      <x:c r="D175" s="10" t="n">
        <x:v>5</x:v>
      </x:c>
      <x:c r="E175" s="10" t="n">
        <x:f>SUMIF('Revenue and costs'!$D$520:$D$647,C175,'Revenue and costs'!N520:N647)</x:f>
        <x:v>20041.078420318576</x:v>
      </x:c>
      <x:c r="F175" s="10" t="n">
        <x:f>SUMIF('Revenue and costs'!$D$520:$D$647,C175,'Revenue and costs'!O520:O647)+SUMIF('Revenue and costs'!$D$520:$D$647,C175,'Revenue and costs'!P520:P647)+SUMIF('Revenue and costs'!$D$520:$D$647,C175,'Revenue and costs'!Q520:Q647)+SUMIF('Revenue and costs'!$D$520:$D$647,C175,'Revenue and costs'!R520:R647)+SUMIF('Revenue and costs'!$D$520:$D$647,C175,'Revenue and costs'!S520:S647)+SUMIF('Revenue and costs'!$D$520:$D$647,C175,'Revenue and costs'!T520:T647)+SUMIF('Revenue and costs'!$D$520:$D$647,C175,'Revenue and costs'!U520:U647)+SUMIF('Revenue and costs'!$D$520:$D$647,C175,'Revenue and costs'!V520:V647)+SUMIF('Revenue and costs'!$D$520:$D$647,C175,'Revenue and costs'!AE520:AE647)</x:f>
        <x:v>11500.924975639802</x:v>
      </x:c>
      <x:c r="G175" s="10" t="n">
        <x:f>IF('Income statement'!H50=0,1/39,E175/'Income statement'!H50)*('Shared costs'!L21+'Assumptions'!$D$18*'Assumptions'!$D$19*12*(1+'Assumptions'!$D$13)^(5-1)*'Assumptions'!$D$21)</x:f>
        <x:v>813.6441814197827</x:v>
      </x:c>
      <x:c r="H175" s="10" t="n">
        <x:f>IF('Income statement'!H50=0,1/39,E175/'Income statement'!H50)*'Cash and capital'!H18</x:f>
        <x:v>4.84505792485434</x:v>
      </x:c>
      <x:c r="I175" s="10" t="n">
        <x:f>E175-F175-G175-H175</x:f>
        <x:v>7721.664205334137</x:v>
      </x:c>
      <x:c r="J175" s="10" t="n">
        <x:f>M136</x:f>
        <x:v>0</x:v>
      </x:c>
      <x:c r="K175" s="10" t="n">
        <x:f>MAX(0,I175-J175)</x:f>
        <x:v>7721.664205334137</x:v>
      </x:c>
      <x:c r="L175" s="10" t="n">
        <x:f>K175*'Assumptions'!$D$12</x:f>
        <x:v>1930.4160513335341</x:v>
      </x:c>
      <x:c r="M175" s="10" t="n">
        <x:f>MAX(0,J175-I175)</x:f>
        <x:v>0</x:v>
      </x:c>
    </x:row>
    <x:row r="176" ht="16" customHeight="1">
      <x:c r="A176" s="1"/>
      <x:c r="B176" s="1"/>
      <x:c r="C176" s="1" t="str">
        <x:v>VraiSkill adult</x:v>
      </x:c>
      <x:c r="D176" s="10" t="n">
        <x:v>5</x:v>
      </x:c>
      <x:c r="E176" s="10" t="n">
        <x:f>SUMIF('Revenue and costs'!$D$520:$D$647,C176,'Revenue and costs'!N520:N647)</x:f>
        <x:v>37973.6090390414</x:v>
      </x:c>
      <x:c r="F176" s="10" t="n">
        <x:f>SUMIF('Revenue and costs'!$D$520:$D$647,C176,'Revenue and costs'!O520:O647)+SUMIF('Revenue and costs'!$D$520:$D$647,C176,'Revenue and costs'!P520:P647)+SUMIF('Revenue and costs'!$D$520:$D$647,C176,'Revenue and costs'!Q520:Q647)+SUMIF('Revenue and costs'!$D$520:$D$647,C176,'Revenue and costs'!R520:R647)+SUMIF('Revenue and costs'!$D$520:$D$647,C176,'Revenue and costs'!S520:S647)+SUMIF('Revenue and costs'!$D$520:$D$647,C176,'Revenue and costs'!T520:T647)+SUMIF('Revenue and costs'!$D$520:$D$647,C176,'Revenue and costs'!U520:U647)+SUMIF('Revenue and costs'!$D$520:$D$647,C176,'Revenue and costs'!V520:V647)+SUMIF('Revenue and costs'!$D$520:$D$647,C176,'Revenue and costs'!AE520:AE647)</x:f>
        <x:v>28997.960436266614</x:v>
      </x:c>
      <x:c r="G176" s="10" t="n">
        <x:f>IF('Income statement'!H50=0,1/39,E176/'Income statement'!H50)*('Shared costs'!L21+'Assumptions'!$D$18*'Assumptions'!$D$19*12*(1+'Assumptions'!$D$13)^(5-1)*'Assumptions'!$D$21)</x:f>
        <x:v>1541.6838053385836</x:v>
      </x:c>
      <x:c r="H176" s="10" t="n">
        <x:f>IF('Income statement'!H50=0,1/39,E176/'Income statement'!H50)*'Cash and capital'!H18</x:f>
        <x:v>9.180361034034783</x:v>
      </x:c>
      <x:c r="I176" s="10" t="n">
        <x:f>E176-F176-G176-H176</x:f>
        <x:v>7424.78443640217</x:v>
      </x:c>
      <x:c r="J176" s="10" t="n">
        <x:f>M137</x:f>
        <x:v>0</x:v>
      </x:c>
      <x:c r="K176" s="10" t="n">
        <x:f>MAX(0,I176-J176)</x:f>
        <x:v>7424.78443640217</x:v>
      </x:c>
      <x:c r="L176" s="10" t="n">
        <x:f>K176*'Assumptions'!$D$12</x:f>
        <x:v>1856.1961091005426</x:v>
      </x:c>
      <x:c r="M176" s="10" t="n">
        <x:f>MAX(0,J176-I176)</x:f>
        <x:v>0</x:v>
      </x:c>
    </x:row>
    <x:row r="177" ht="16" customHeight="1">
      <x:c r="A177" s="1"/>
      <x:c r="B177" s="1"/>
      <x:c r="C177" s="1" t="str">
        <x:v>VraiSkill teen</x:v>
      </x:c>
      <x:c r="D177" s="10" t="n">
        <x:v>5</x:v>
      </x:c>
      <x:c r="E177" s="10" t="n">
        <x:f>SUMIF('Revenue and costs'!$D$520:$D$647,C177,'Revenue and costs'!N520:N647)</x:f>
        <x:v>16876.69761711038</x:v>
      </x:c>
      <x:c r="F177" s="10" t="n">
        <x:f>SUMIF('Revenue and costs'!$D$520:$D$647,C177,'Revenue and costs'!O520:O647)+SUMIF('Revenue and costs'!$D$520:$D$647,C177,'Revenue and costs'!P520:P647)+SUMIF('Revenue and costs'!$D$520:$D$647,C177,'Revenue and costs'!Q520:Q647)+SUMIF('Revenue and costs'!$D$520:$D$647,C177,'Revenue and costs'!R520:R647)+SUMIF('Revenue and costs'!$D$520:$D$647,C177,'Revenue and costs'!S520:S647)+SUMIF('Revenue and costs'!$D$520:$D$647,C177,'Revenue and costs'!T520:T647)+SUMIF('Revenue and costs'!$D$520:$D$647,C177,'Revenue and costs'!U520:U647)+SUMIF('Revenue and costs'!$D$520:$D$647,C177,'Revenue and costs'!V520:V647)+SUMIF('Revenue and costs'!$D$520:$D$647,C177,'Revenue and costs'!AE520:AE647)</x:f>
        <x:v>8038.239843483847</x:v>
      </x:c>
      <x:c r="G177" s="10" t="n">
        <x:f>IF('Income statement'!H50=0,1/39,E177/'Income statement'!H50)*('Shared costs'!L21+'Assumptions'!$D$18*'Assumptions'!$D$19*12*(1+'Assumptions'!$D$13)^(5-1)*'Assumptions'!$D$21)</x:f>
        <x:v>685.1740475113962</x:v>
      </x:c>
      <x:c r="H177" s="10" t="n">
        <x:f>IF('Income statement'!H50=0,1/39,E177/'Income statement'!H50)*'Cash and capital'!H18</x:f>
        <x:v>4.080048778824709</x:v>
      </x:c>
      <x:c r="I177" s="10" t="n">
        <x:f>E177-F177-G177-H177</x:f>
        <x:v>8149.203677336313</x:v>
      </x:c>
      <x:c r="J177" s="10" t="n">
        <x:f>M138</x:f>
        <x:v>0</x:v>
      </x:c>
      <x:c r="K177" s="10" t="n">
        <x:f>MAX(0,I177-J177)</x:f>
        <x:v>8149.203677336313</x:v>
      </x:c>
      <x:c r="L177" s="10" t="n">
        <x:f>K177*'Assumptions'!$D$12</x:f>
        <x:v>2037.3009193340783</x:v>
      </x:c>
      <x:c r="M177" s="10" t="n">
        <x:f>MAX(0,J177-I177)</x:f>
        <x:v>0</x:v>
      </x:c>
    </x:row>
    <x:row r="178" ht="16" customHeight="1">
      <x:c r="A178" s="1"/>
      <x:c r="B178" s="1"/>
      <x:c r="C178" s="1" t="str">
        <x:v>VraiSkill Model Life</x:v>
      </x:c>
      <x:c r="D178" s="10" t="n">
        <x:v>5</x:v>
      </x:c>
      <x:c r="E178" s="10" t="n">
        <x:f>SUMIF('Revenue and costs'!$D$520:$D$647,C178,'Revenue and costs'!N520:N647)</x:f>
        <x:v>0</x:v>
      </x:c>
      <x:c r="F178" s="10" t="n">
        <x:f>SUMIF('Revenue and costs'!$D$520:$D$647,C178,'Revenue and costs'!O520:O647)+SUMIF('Revenue and costs'!$D$520:$D$647,C178,'Revenue and costs'!P520:P647)+SUMIF('Revenue and costs'!$D$520:$D$647,C178,'Revenue and costs'!Q520:Q647)+SUMIF('Revenue and costs'!$D$520:$D$647,C178,'Revenue and costs'!R520:R647)+SUMIF('Revenue and costs'!$D$520:$D$647,C178,'Revenue and costs'!S520:S647)+SUMIF('Revenue and costs'!$D$520:$D$647,C178,'Revenue and costs'!T520:T647)+SUMIF('Revenue and costs'!$D$520:$D$647,C178,'Revenue and costs'!U520:U647)+SUMIF('Revenue and costs'!$D$520:$D$647,C178,'Revenue and costs'!V520:V647)+SUMIF('Revenue and costs'!$D$520:$D$647,C178,'Revenue and costs'!AE520:AE647)</x:f>
        <x:v>0</x:v>
      </x:c>
      <x:c r="G178" s="10" t="n">
        <x:f>IF('Income statement'!H50=0,1/39,E178/'Income statement'!H50)*('Shared costs'!L21+'Assumptions'!$D$18*'Assumptions'!$D$19*12*(1+'Assumptions'!$D$13)^(5-1)*'Assumptions'!$D$21)</x:f>
        <x:v>0</x:v>
      </x:c>
      <x:c r="H178" s="10" t="n">
        <x:f>IF('Income statement'!H50=0,1/39,E178/'Income statement'!H50)*'Cash and capital'!H18</x:f>
        <x:v>0</x:v>
      </x:c>
      <x:c r="I178" s="10" t="n">
        <x:f>E178-F178-G178-H178</x:f>
        <x:v>0</x:v>
      </x:c>
      <x:c r="J178" s="10" t="n">
        <x:f>M139</x:f>
        <x:v>0</x:v>
      </x:c>
      <x:c r="K178" s="10" t="n">
        <x:f>MAX(0,I178-J178)</x:f>
        <x:v>0</x:v>
      </x:c>
      <x:c r="L178" s="10" t="n">
        <x:f>K178*'Assumptions'!$D$12</x:f>
        <x:v>0</x:v>
      </x:c>
      <x:c r="M178" s="10" t="n">
        <x:f>MAX(0,J178-I178)</x:f>
        <x:v>0</x:v>
      </x:c>
    </x:row>
    <x:row r="179" ht="16" customHeight="1">
      <x:c r="A179" s="1"/>
      <x:c r="B179" s="1"/>
      <x:c r="C179" s="1" t="str">
        <x:v>Model Life</x:v>
      </x:c>
      <x:c r="D179" s="10" t="n">
        <x:v>5</x:v>
      </x:c>
      <x:c r="E179" s="10" t="n">
        <x:f>SUMIF('Revenue and costs'!$D$520:$D$647,C179,'Revenue and costs'!N520:N647)</x:f>
        <x:v>49355.588122694644</x:v>
      </x:c>
      <x:c r="F179" s="10" t="n">
        <x:f>SUMIF('Revenue and costs'!$D$520:$D$647,C179,'Revenue and costs'!O520:O647)+SUMIF('Revenue and costs'!$D$520:$D$647,C179,'Revenue and costs'!P520:P647)+SUMIF('Revenue and costs'!$D$520:$D$647,C179,'Revenue and costs'!Q520:Q647)+SUMIF('Revenue and costs'!$D$520:$D$647,C179,'Revenue and costs'!R520:R647)+SUMIF('Revenue and costs'!$D$520:$D$647,C179,'Revenue and costs'!S520:S647)+SUMIF('Revenue and costs'!$D$520:$D$647,C179,'Revenue and costs'!T520:T647)+SUMIF('Revenue and costs'!$D$520:$D$647,C179,'Revenue and costs'!U520:U647)+SUMIF('Revenue and costs'!$D$520:$D$647,C179,'Revenue and costs'!V520:V647)+SUMIF('Revenue and costs'!$D$520:$D$647,C179,'Revenue and costs'!AE520:AE647)</x:f>
        <x:v>15536.543761727014</x:v>
      </x:c>
      <x:c r="G179" s="10" t="n">
        <x:f>IF('Income statement'!H50=0,1/39,E179/'Income statement'!H50)*('Shared costs'!L21+'Assumptions'!$D$18*'Assumptions'!$D$19*12*(1+'Assumptions'!$D$13)^(5-1)*'Assumptions'!$D$21)</x:f>
        <x:v>2003.7787515400323</x:v>
      </x:c>
      <x:c r="H179" s="10" t="n">
        <x:f>IF('Income statement'!H50=0,1/39,E179/'Income statement'!H50)*'Cash and capital'!H18</x:f>
        <x:v>11.932026728026107</x:v>
      </x:c>
      <x:c r="I179" s="10" t="n">
        <x:f>E179-F179-G179-H179</x:f>
        <x:v>31803.333582699568</x:v>
      </x:c>
      <x:c r="J179" s="10" t="n">
        <x:f>M140</x:f>
        <x:v>0</x:v>
      </x:c>
      <x:c r="K179" s="10" t="n">
        <x:f>MAX(0,I179-J179)</x:f>
        <x:v>31803.333582699568</x:v>
      </x:c>
      <x:c r="L179" s="10" t="n">
        <x:f>K179*'Assumptions'!$D$12</x:f>
        <x:v>7950.833395674892</x:v>
      </x:c>
      <x:c r="M179" s="10" t="n">
        <x:f>MAX(0,J179-I179)</x:f>
        <x:v>0</x:v>
      </x:c>
    </x:row>
    <x:row r="180" ht="16" customHeight="1">
      <x:c r="A180" s="1"/>
      <x:c r="B180" s="1"/>
      <x:c r="C180" s="1" t="str">
        <x:v>S’otality cleaning</x:v>
      </x:c>
      <x:c r="D180" s="10" t="n">
        <x:v>5</x:v>
      </x:c>
      <x:c r="E180" s="10" t="n">
        <x:f>SUMIF('Revenue and costs'!$D$520:$D$647,C180,'Revenue and costs'!N520:N647)</x:f>
        <x:v>186057.6008816727</x:v>
      </x:c>
      <x:c r="F180" s="10" t="n">
        <x:f>SUMIF('Revenue and costs'!$D$520:$D$647,C180,'Revenue and costs'!O520:O647)+SUMIF('Revenue and costs'!$D$520:$D$647,C180,'Revenue and costs'!P520:P647)+SUMIF('Revenue and costs'!$D$520:$D$647,C180,'Revenue and costs'!Q520:Q647)+SUMIF('Revenue and costs'!$D$520:$D$647,C180,'Revenue and costs'!R520:R647)+SUMIF('Revenue and costs'!$D$520:$D$647,C180,'Revenue and costs'!S520:S647)+SUMIF('Revenue and costs'!$D$520:$D$647,C180,'Revenue and costs'!T520:T647)+SUMIF('Revenue and costs'!$D$520:$D$647,C180,'Revenue and costs'!U520:U647)+SUMIF('Revenue and costs'!$D$520:$D$647,C180,'Revenue and costs'!V520:V647)+SUMIF('Revenue and costs'!$D$520:$D$647,C180,'Revenue and costs'!AE520:AE647)</x:f>
        <x:v>159040.9919143587</x:v>
      </x:c>
      <x:c r="G180" s="10" t="n">
        <x:f>IF('Income statement'!H50=0,1/39,E180/'Income statement'!H50)*('Shared costs'!L21+'Assumptions'!$D$18*'Assumptions'!$D$19*12*(1+'Assumptions'!$D$13)^(5-1)*'Assumptions'!$D$21)</x:f>
        <x:v>7553.719475136449</x:v>
      </x:c>
      <x:c r="H180" s="10" t="n">
        <x:f>IF('Income statement'!H50=0,1/39,E180/'Income statement'!H50)*'Cash and capital'!H18</x:f>
        <x:v>44.98060606944148</x:v>
      </x:c>
      <x:c r="I180" s="10" t="n">
        <x:f>E180-F180-G180-H180</x:f>
        <x:v>19417.908886108118</x:v>
      </x:c>
      <x:c r="J180" s="10" t="n">
        <x:f>M141</x:f>
        <x:v>0</x:v>
      </x:c>
      <x:c r="K180" s="10" t="n">
        <x:f>MAX(0,I180-J180)</x:f>
        <x:v>19417.908886108118</x:v>
      </x:c>
      <x:c r="L180" s="10" t="n">
        <x:f>K180*'Assumptions'!$D$12</x:f>
        <x:v>4854.4772215270295</x:v>
      </x:c>
      <x:c r="M180" s="10" t="n">
        <x:f>MAX(0,J180-I180)</x:f>
        <x:v>0</x:v>
      </x:c>
    </x:row>
    <x:row r="181" ht="16" customHeight="1">
      <x:c r="A181" s="1"/>
      <x:c r="B181" s="1"/>
      <x:c r="C181" s="1" t="str">
        <x:v>S’otality laundry</x:v>
      </x:c>
      <x:c r="D181" s="10" t="n">
        <x:v>5</x:v>
      </x:c>
      <x:c r="E181" s="10" t="n">
        <x:f>SUMIF('Revenue and costs'!$D$520:$D$647,C181,'Revenue and costs'!N520:N647)</x:f>
        <x:v>28837.860067767862</x:v>
      </x:c>
      <x:c r="F181" s="10" t="n">
        <x:f>SUMIF('Revenue and costs'!$D$520:$D$647,C181,'Revenue and costs'!O520:O647)+SUMIF('Revenue and costs'!$D$520:$D$647,C181,'Revenue and costs'!P520:P647)+SUMIF('Revenue and costs'!$D$520:$D$647,C181,'Revenue and costs'!Q520:Q647)+SUMIF('Revenue and costs'!$D$520:$D$647,C181,'Revenue and costs'!R520:R647)+SUMIF('Revenue and costs'!$D$520:$D$647,C181,'Revenue and costs'!S520:S647)+SUMIF('Revenue and costs'!$D$520:$D$647,C181,'Revenue and costs'!T520:T647)+SUMIF('Revenue and costs'!$D$520:$D$647,C181,'Revenue and costs'!U520:U647)+SUMIF('Revenue and costs'!$D$520:$D$647,C181,'Revenue and costs'!V520:V647)+SUMIF('Revenue and costs'!$D$520:$D$647,C181,'Revenue and costs'!AE520:AE647)</x:f>
        <x:v>26371.884710105332</x:v>
      </x:c>
      <x:c r="G181" s="10" t="n">
        <x:f>IF('Income statement'!H50=0,1/39,E181/'Income statement'!H50)*('Shared costs'!L21+'Assumptions'!$D$18*'Assumptions'!$D$19*12*(1+'Assumptions'!$D$13)^(5-1)*'Assumptions'!$D$21)</x:f>
        <x:v>1170.7831563070267</x:v>
      </x:c>
      <x:c r="H181" s="10" t="n">
        <x:f>IF('Income statement'!H50=0,1/39,E181/'Income statement'!H50)*'Cash and capital'!H18</x:f>
        <x:v>6.971735728329045</x:v>
      </x:c>
      <x:c r="I181" s="10" t="n">
        <x:f>E181-F181-G181-H181</x:f>
        <x:v>1288.220465627174</x:v>
      </x:c>
      <x:c r="J181" s="10" t="n">
        <x:f>M142</x:f>
        <x:v>0</x:v>
      </x:c>
      <x:c r="K181" s="10" t="n">
        <x:f>MAX(0,I181-J181)</x:f>
        <x:v>1288.220465627174</x:v>
      </x:c>
      <x:c r="L181" s="10" t="n">
        <x:f>K181*'Assumptions'!$D$12</x:f>
        <x:v>322.0551164067935</x:v>
      </x:c>
      <x:c r="M181" s="10" t="n">
        <x:f>MAX(0,J181-I181)</x:f>
        <x:v>0</x:v>
      </x:c>
    </x:row>
    <x:row r="182" ht="16" customHeight="1">
      <x:c r="A182" s="1"/>
      <x:c r="B182" s="1"/>
      <x:c r="C182" s="1" t="str">
        <x:v>S’otality Personal Chef</x:v>
      </x:c>
      <x:c r="D182" s="10" t="n">
        <x:v>5</x:v>
      </x:c>
      <x:c r="E182" s="10" t="n">
        <x:f>SUMIF('Revenue and costs'!$D$520:$D$647,C182,'Revenue and costs'!N520:N647)</x:f>
        <x:v>50741.63001663726</x:v>
      </x:c>
      <x:c r="F182" s="10" t="n">
        <x:f>SUMIF('Revenue and costs'!$D$520:$D$647,C182,'Revenue and costs'!O520:O647)+SUMIF('Revenue and costs'!$D$520:$D$647,C182,'Revenue and costs'!P520:P647)+SUMIF('Revenue and costs'!$D$520:$D$647,C182,'Revenue and costs'!Q520:Q647)+SUMIF('Revenue and costs'!$D$520:$D$647,C182,'Revenue and costs'!R520:R647)+SUMIF('Revenue and costs'!$D$520:$D$647,C182,'Revenue and costs'!S520:S647)+SUMIF('Revenue and costs'!$D$520:$D$647,C182,'Revenue and costs'!T520:T647)+SUMIF('Revenue and costs'!$D$520:$D$647,C182,'Revenue and costs'!U520:U647)+SUMIF('Revenue and costs'!$D$520:$D$647,C182,'Revenue and costs'!V520:V647)+SUMIF('Revenue and costs'!$D$520:$D$647,C182,'Revenue and costs'!AE520:AE647)</x:f>
        <x:v>40268.289632622786</x:v>
      </x:c>
      <x:c r="G182" s="10" t="n">
        <x:f>IF('Income statement'!H50=0,1/39,E182/'Income statement'!H50)*('Shared costs'!L21+'Assumptions'!$D$18*'Assumptions'!$D$19*12*(1+'Assumptions'!$D$13)^(5-1)*'Assumptions'!$D$21)</x:f>
        <x:v>2060.0504200879236</x:v>
      </x:c>
      <x:c r="H182" s="10" t="n">
        <x:f>IF('Income statement'!H50=0,1/39,E182/'Income statement'!H50)*'Cash and capital'!H18</x:f>
        <x:v>12.267111154202412</x:v>
      </x:c>
      <x:c r="I182" s="10" t="n">
        <x:f>E182-F182-G182-H182</x:f>
        <x:v>8401.022852772348</x:v>
      </x:c>
      <x:c r="J182" s="10" t="n">
        <x:f>M143</x:f>
        <x:v>0</x:v>
      </x:c>
      <x:c r="K182" s="10" t="n">
        <x:f>MAX(0,I182-J182)</x:f>
        <x:v>8401.022852772348</x:v>
      </x:c>
      <x:c r="L182" s="10" t="n">
        <x:f>K182*'Assumptions'!$D$12</x:f>
        <x:v>2100.255713193087</x:v>
      </x:c>
      <x:c r="M182" s="10" t="n">
        <x:f>MAX(0,J182-I182)</x:f>
        <x:v>0</x:v>
      </x:c>
    </x:row>
    <x:row r="183" ht="16" customHeight="1">
      <x:c r="A183" s="1"/>
      <x:c r="B183" s="1"/>
      <x:c r="C183" s="1" t="str">
        <x:v>S’otality interiors</x:v>
      </x:c>
      <x:c r="D183" s="10" t="n">
        <x:v>5</x:v>
      </x:c>
      <x:c r="E183" s="10" t="n">
        <x:f>SUMIF('Revenue and costs'!$D$520:$D$647,C183,'Revenue and costs'!N520:N647)</x:f>
        <x:v>67453.58588614318</x:v>
      </x:c>
      <x:c r="F183" s="10" t="n">
        <x:f>SUMIF('Revenue and costs'!$D$520:$D$647,C183,'Revenue and costs'!O520:O647)+SUMIF('Revenue and costs'!$D$520:$D$647,C183,'Revenue and costs'!P520:P647)+SUMIF('Revenue and costs'!$D$520:$D$647,C183,'Revenue and costs'!Q520:Q647)+SUMIF('Revenue and costs'!$D$520:$D$647,C183,'Revenue and costs'!R520:R647)+SUMIF('Revenue and costs'!$D$520:$D$647,C183,'Revenue and costs'!S520:S647)+SUMIF('Revenue and costs'!$D$520:$D$647,C183,'Revenue and costs'!T520:T647)+SUMIF('Revenue and costs'!$D$520:$D$647,C183,'Revenue and costs'!U520:U647)+SUMIF('Revenue and costs'!$D$520:$D$647,C183,'Revenue and costs'!V520:V647)+SUMIF('Revenue and costs'!$D$520:$D$647,C183,'Revenue and costs'!AE520:AE647)</x:f>
        <x:v>40662.41489591429</x:v>
      </x:c>
      <x:c r="G183" s="10" t="n">
        <x:f>IF('Income statement'!H50=0,1/39,E183/'Income statement'!H50)*('Shared costs'!L21+'Assumptions'!$D$18*'Assumptions'!$D$19*12*(1+'Assumptions'!$D$13)^(5-1)*'Assumptions'!$D$21)</x:f>
        <x:v>2738.5361466634863</x:v>
      </x:c>
      <x:c r="H183" s="10" t="n">
        <x:f>IF('Income statement'!H50=0,1/39,E183/'Income statement'!H50)*'Cash and capital'!H18</x:f>
        <x:v>16.307332569796202</x:v>
      </x:c>
      <x:c r="I183" s="10" t="n">
        <x:f>E183-F183-G183-H183</x:f>
        <x:v>24036.327510995605</x:v>
      </x:c>
      <x:c r="J183" s="10" t="n">
        <x:f>M144</x:f>
        <x:v>0</x:v>
      </x:c>
      <x:c r="K183" s="10" t="n">
        <x:f>MAX(0,I183-J183)</x:f>
        <x:v>24036.327510995605</x:v>
      </x:c>
      <x:c r="L183" s="10" t="n">
        <x:f>K183*'Assumptions'!$D$12</x:f>
        <x:v>6009.081877748901</x:v>
      </x:c>
      <x:c r="M183" s="10" t="n">
        <x:f>MAX(0,J183-I183)</x:f>
        <x:v>0</x:v>
      </x:c>
    </x:row>
    <x:row r="184" ht="16" customHeight="1">
      <x:c r="A184" s="1"/>
      <x:c r="B184" s="1"/>
      <x:c r="C184" s="1" t="str">
        <x:v>S’otality concierge</x:v>
      </x:c>
      <x:c r="D184" s="10" t="n">
        <x:v>5</x:v>
      </x:c>
      <x:c r="E184" s="10" t="n">
        <x:f>SUMIF('Revenue and costs'!$D$520:$D$647,C184,'Revenue and costs'!N520:N647)</x:f>
        <x:v>25167.679402823287</x:v>
      </x:c>
      <x:c r="F184" s="10" t="n">
        <x:f>SUMIF('Revenue and costs'!$D$520:$D$647,C184,'Revenue and costs'!O520:O647)+SUMIF('Revenue and costs'!$D$520:$D$647,C184,'Revenue and costs'!P520:P647)+SUMIF('Revenue and costs'!$D$520:$D$647,C184,'Revenue and costs'!Q520:Q647)+SUMIF('Revenue and costs'!$D$520:$D$647,C184,'Revenue and costs'!R520:R647)+SUMIF('Revenue and costs'!$D$520:$D$647,C184,'Revenue and costs'!S520:S647)+SUMIF('Revenue and costs'!$D$520:$D$647,C184,'Revenue and costs'!T520:T647)+SUMIF('Revenue and costs'!$D$520:$D$647,C184,'Revenue and costs'!U520:U647)+SUMIF('Revenue and costs'!$D$520:$D$647,C184,'Revenue and costs'!V520:V647)+SUMIF('Revenue and costs'!$D$520:$D$647,C184,'Revenue and costs'!AE520:AE647)</x:f>
        <x:v>13995.400302983306</x:v>
      </x:c>
      <x:c r="G184" s="10" t="n">
        <x:f>IF('Income statement'!H50=0,1/39,E184/'Income statement'!H50)*('Shared costs'!L21+'Assumptions'!$D$18*'Assumptions'!$D$19*12*(1+'Assumptions'!$D$13)^(5-1)*'Assumptions'!$D$21)</x:f>
        <x:v>1021.7781436943336</x:v>
      </x:c>
      <x:c r="H184" s="10" t="n">
        <x:f>IF('Income statement'!H50=0,1/39,E184/'Income statement'!H50)*'Cash and capital'!H18</x:f>
        <x:v>6.0844462550086655</x:v>
      </x:c>
      <x:c r="I184" s="10" t="n">
        <x:f>E184-F184-G184-H184</x:f>
        <x:v>10144.41650989064</x:v>
      </x:c>
      <x:c r="J184" s="10" t="n">
        <x:f>M145</x:f>
        <x:v>0</x:v>
      </x:c>
      <x:c r="K184" s="10" t="n">
        <x:f>MAX(0,I184-J184)</x:f>
        <x:v>10144.41650989064</x:v>
      </x:c>
      <x:c r="L184" s="10" t="n">
        <x:f>K184*'Assumptions'!$D$12</x:f>
        <x:v>2536.10412747266</x:v>
      </x:c>
      <x:c r="M184" s="10" t="n">
        <x:f>MAX(0,J184-I184)</x:f>
        <x:v>0</x:v>
      </x:c>
    </x:row>
    <x:row r="185" ht="16" customHeight="1">
      <x:c r="A185" s="1"/>
      <x:c r="B185" s="1"/>
      <x:c r="C185" s="1" t="str">
        <x:v>S’otality administration</x:v>
      </x:c>
      <x:c r="D185" s="10" t="n">
        <x:v>5</x:v>
      </x:c>
      <x:c r="E185" s="10" t="n">
        <x:f>SUMIF('Revenue and costs'!$D$520:$D$647,C185,'Revenue and costs'!N520:N647)</x:f>
        <x:v>40268.28704451726</x:v>
      </x:c>
      <x:c r="F185" s="10" t="n">
        <x:f>SUMIF('Revenue and costs'!$D$520:$D$647,C185,'Revenue and costs'!O520:O647)+SUMIF('Revenue and costs'!$D$520:$D$647,C185,'Revenue and costs'!P520:P647)+SUMIF('Revenue and costs'!$D$520:$D$647,C185,'Revenue and costs'!Q520:Q647)+SUMIF('Revenue and costs'!$D$520:$D$647,C185,'Revenue and costs'!R520:R647)+SUMIF('Revenue and costs'!$D$520:$D$647,C185,'Revenue and costs'!S520:S647)+SUMIF('Revenue and costs'!$D$520:$D$647,C185,'Revenue and costs'!T520:T647)+SUMIF('Revenue and costs'!$D$520:$D$647,C185,'Revenue and costs'!U520:U647)+SUMIF('Revenue and costs'!$D$520:$D$647,C185,'Revenue and costs'!V520:V647)+SUMIF('Revenue and costs'!$D$520:$D$647,C185,'Revenue and costs'!AE520:AE647)</x:f>
        <x:v>29985.004925339315</x:v>
      </x:c>
      <x:c r="G185" s="10" t="n">
        <x:f>IF('Income statement'!H50=0,1/39,E185/'Income statement'!H50)*('Shared costs'!L21+'Assumptions'!$D$18*'Assumptions'!$D$19*12*(1+'Assumptions'!$D$13)^(5-1)*'Assumptions'!$D$21)</x:f>
        <x:v>1634.8450299109338</x:v>
      </x:c>
      <x:c r="H185" s="10" t="n">
        <x:f>IF('Income statement'!H50=0,1/39,E185/'Income statement'!H50)*'Cash and capital'!H18</x:f>
        <x:v>9.735114008013866</x:v>
      </x:c>
      <x:c r="I185" s="10" t="n">
        <x:f>E185-F185-G185-H185</x:f>
        <x:v>8638.701975258997</x:v>
      </x:c>
      <x:c r="J185" s="10" t="n">
        <x:f>M146</x:f>
        <x:v>0</x:v>
      </x:c>
      <x:c r="K185" s="10" t="n">
        <x:f>MAX(0,I185-J185)</x:f>
        <x:v>8638.701975258997</x:v>
      </x:c>
      <x:c r="L185" s="10" t="n">
        <x:f>K185*'Assumptions'!$D$12</x:f>
        <x:v>2159.675493814749</x:v>
      </x:c>
      <x:c r="M185" s="10" t="n">
        <x:f>MAX(0,J185-I185)</x:f>
        <x:v>0</x:v>
      </x:c>
    </x:row>
    <x:row r="186" ht="16" customHeight="1">
      <x:c r="A186" s="1"/>
      <x:c r="B186" s="1"/>
      <x:c r="C186" s="1" t="str">
        <x:v>S’otality bike tours</x:v>
      </x:c>
      <x:c r="D186" s="10" t="n">
        <x:v>5</x:v>
      </x:c>
      <x:c r="E186" s="10" t="n">
        <x:f>SUMIF('Revenue and costs'!$D$520:$D$647,C186,'Revenue and costs'!N520:N647)</x:f>
        <x:v>20296.6520066549</x:v>
      </x:c>
      <x:c r="F186" s="10" t="n">
        <x:f>SUMIF('Revenue and costs'!$D$520:$D$647,C186,'Revenue and costs'!O520:O647)+SUMIF('Revenue and costs'!$D$520:$D$647,C186,'Revenue and costs'!P520:P647)+SUMIF('Revenue and costs'!$D$520:$D$647,C186,'Revenue and costs'!Q520:Q647)+SUMIF('Revenue and costs'!$D$520:$D$647,C186,'Revenue and costs'!R520:R647)+SUMIF('Revenue and costs'!$D$520:$D$647,C186,'Revenue and costs'!S520:S647)+SUMIF('Revenue and costs'!$D$520:$D$647,C186,'Revenue and costs'!T520:T647)+SUMIF('Revenue and costs'!$D$520:$D$647,C186,'Revenue and costs'!U520:U647)+SUMIF('Revenue and costs'!$D$520:$D$647,C186,'Revenue and costs'!V520:V647)+SUMIF('Revenue and costs'!$D$520:$D$647,C186,'Revenue and costs'!AE520:AE647)</x:f>
        <x:v>16363.138740819995</x:v>
      </x:c>
      <x:c r="G186" s="10" t="n">
        <x:f>IF('Income statement'!H50=0,1/39,E186/'Income statement'!H50)*('Shared costs'!L21+'Assumptions'!$D$18*'Assumptions'!$D$19*12*(1+'Assumptions'!$D$13)^(5-1)*'Assumptions'!$D$21)</x:f>
        <x:v>824.0201680351691</x:v>
      </x:c>
      <x:c r="H186" s="10" t="n">
        <x:f>IF('Income statement'!H50=0,1/39,E186/'Income statement'!H50)*'Cash and capital'!H18</x:f>
        <x:v>4.906844461680963</x:v>
      </x:c>
      <x:c r="I186" s="10" t="n">
        <x:f>E186-F186-G186-H186</x:f>
        <x:v>3104.5862533380528</x:v>
      </x:c>
      <x:c r="J186" s="10" t="n">
        <x:f>M147</x:f>
        <x:v>0</x:v>
      </x:c>
      <x:c r="K186" s="10" t="n">
        <x:f>MAX(0,I186-J186)</x:f>
        <x:v>3104.5862533380528</x:v>
      </x:c>
      <x:c r="L186" s="10" t="n">
        <x:f>K186*'Assumptions'!$D$12</x:f>
        <x:v>776.1465633345132</x:v>
      </x:c>
      <x:c r="M186" s="10" t="n">
        <x:f>MAX(0,J186-I186)</x:f>
        <x:v>0</x:v>
      </x:c>
    </x:row>
    <x:row r="187" ht="16" customHeight="1">
      <x:c r="A187" s="1"/>
      <x:c r="B187" s="1"/>
      <x:c r="C187" s="1" t="str">
        <x:v>S’otality editorial</x:v>
      </x:c>
      <x:c r="D187" s="10" t="n">
        <x:v>5</x:v>
      </x:c>
      <x:c r="E187" s="10" t="n">
        <x:f>SUMIF('Revenue and costs'!$D$520:$D$647,C187,'Revenue and costs'!N520:N647)</x:f>
        <x:v>10208.551137784529</x:v>
      </x:c>
      <x:c r="F187" s="10" t="n">
        <x:f>SUMIF('Revenue and costs'!$D$520:$D$647,C187,'Revenue and costs'!O520:O647)+SUMIF('Revenue and costs'!$D$520:$D$647,C187,'Revenue and costs'!P520:P647)+SUMIF('Revenue and costs'!$D$520:$D$647,C187,'Revenue and costs'!Q520:Q647)+SUMIF('Revenue and costs'!$D$520:$D$647,C187,'Revenue and costs'!R520:R647)+SUMIF('Revenue and costs'!$D$520:$D$647,C187,'Revenue and costs'!S520:S647)+SUMIF('Revenue and costs'!$D$520:$D$647,C187,'Revenue and costs'!T520:T647)+SUMIF('Revenue and costs'!$D$520:$D$647,C187,'Revenue and costs'!U520:U647)+SUMIF('Revenue and costs'!$D$520:$D$647,C187,'Revenue and costs'!V520:V647)+SUMIF('Revenue and costs'!$D$520:$D$647,C187,'Revenue and costs'!AE520:AE647)</x:f>
        <x:v>5630.861527725398</x:v>
      </x:c>
      <x:c r="G187" s="10" t="n">
        <x:f>IF('Income statement'!H50=0,1/39,E187/'Income statement'!H50)*('Shared costs'!L21+'Assumptions'!$D$18*'Assumptions'!$D$19*12*(1+'Assumptions'!$D$13)^(5-1)*'Assumptions'!$D$21)</x:f>
        <x:v>414.4551535491996</x:v>
      </x:c>
      <x:c r="H187" s="10" t="n">
        <x:f>IF('Income statement'!H50=0,1/39,E187/'Income statement'!H50)*'Cash and capital'!H18</x:f>
        <x:v>2.4679820393925436</x:v>
      </x:c>
      <x:c r="I187" s="10" t="n">
        <x:f>E187-F187-G187-H187</x:f>
        <x:v>4160.766474470538</x:v>
      </x:c>
      <x:c r="J187" s="10" t="n">
        <x:f>M148</x:f>
        <x:v>0</x:v>
      </x:c>
      <x:c r="K187" s="10" t="n">
        <x:f>MAX(0,I187-J187)</x:f>
        <x:v>4160.766474470538</x:v>
      </x:c>
      <x:c r="L187" s="10" t="n">
        <x:f>K187*'Assumptions'!$D$12</x:f>
        <x:v>1040.1916186176345</x:v>
      </x:c>
      <x:c r="M187" s="10" t="n">
        <x:f>MAX(0,J187-I187)</x:f>
        <x:v>0</x:v>
      </x:c>
    </x:row>
    <x:row r="188" ht="16" customHeight="1">
      <x:c r="A188" s="1"/>
      <x:c r="B188" s="1"/>
      <x:c r="C188" s="1" t="str">
        <x:v>Tomato Odyssey</x:v>
      </x:c>
      <x:c r="D188" s="10" t="n">
        <x:v>5</x:v>
      </x:c>
      <x:c r="E188" s="10" t="n">
        <x:f>SUMIF('Revenue and costs'!$D$520:$D$647,C188,'Revenue and costs'!N520:N647)</x:f>
        <x:v>10208.551137784529</x:v>
      </x:c>
      <x:c r="F188" s="10" t="n">
        <x:f>SUMIF('Revenue and costs'!$D$520:$D$647,C188,'Revenue and costs'!O520:O647)+SUMIF('Revenue and costs'!$D$520:$D$647,C188,'Revenue and costs'!P520:P647)+SUMIF('Revenue and costs'!$D$520:$D$647,C188,'Revenue and costs'!Q520:Q647)+SUMIF('Revenue and costs'!$D$520:$D$647,C188,'Revenue and costs'!R520:R647)+SUMIF('Revenue and costs'!$D$520:$D$647,C188,'Revenue and costs'!S520:S647)+SUMIF('Revenue and costs'!$D$520:$D$647,C188,'Revenue and costs'!T520:T647)+SUMIF('Revenue and costs'!$D$520:$D$647,C188,'Revenue and costs'!U520:U647)+SUMIF('Revenue and costs'!$D$520:$D$647,C188,'Revenue and costs'!V520:V647)+SUMIF('Revenue and costs'!$D$520:$D$647,C188,'Revenue and costs'!AE520:AE647)</x:f>
        <x:v>5630.861527725398</x:v>
      </x:c>
      <x:c r="G188" s="10" t="n">
        <x:f>IF('Income statement'!H50=0,1/39,E188/'Income statement'!H50)*('Shared costs'!L21+'Assumptions'!$D$18*'Assumptions'!$D$19*12*(1+'Assumptions'!$D$13)^(5-1)*'Assumptions'!$D$21)</x:f>
        <x:v>414.4551535491996</x:v>
      </x:c>
      <x:c r="H188" s="10" t="n">
        <x:f>IF('Income statement'!H50=0,1/39,E188/'Income statement'!H50)*'Cash and capital'!H18</x:f>
        <x:v>2.4679820393925436</x:v>
      </x:c>
      <x:c r="I188" s="10" t="n">
        <x:f>E188-F188-G188-H188</x:f>
        <x:v>4160.766474470538</x:v>
      </x:c>
      <x:c r="J188" s="10" t="n">
        <x:f>M149</x:f>
        <x:v>0</x:v>
      </x:c>
      <x:c r="K188" s="10" t="n">
        <x:f>MAX(0,I188-J188)</x:f>
        <x:v>4160.766474470538</x:v>
      </x:c>
      <x:c r="L188" s="10" t="n">
        <x:f>K188*'Assumptions'!$D$12</x:f>
        <x:v>1040.1916186176345</x:v>
      </x:c>
      <x:c r="M188" s="10" t="n">
        <x:f>MAX(0,J188-I188)</x:f>
        <x:v>0</x:v>
      </x:c>
    </x:row>
    <x:row r="189" ht="16" customHeight="1">
      <x:c r="A189" s="1"/>
      <x:c r="B189" s="1"/>
      <x:c r="C189" s="1" t="str">
        <x:v>Semajes Studio</x:v>
      </x:c>
      <x:c r="D189" s="10" t="n">
        <x:v>5</x:v>
      </x:c>
      <x:c r="E189" s="10" t="n">
        <x:f>SUMIF('Revenue and costs'!$D$520:$D$647,C189,'Revenue and costs'!N520:N647)</x:f>
        <x:v>131178.8376259839</x:v>
      </x:c>
      <x:c r="F189" s="10" t="n">
        <x:f>SUMIF('Revenue and costs'!$D$520:$D$647,C189,'Revenue and costs'!O520:O647)+SUMIF('Revenue and costs'!$D$520:$D$647,C189,'Revenue and costs'!P520:P647)+SUMIF('Revenue and costs'!$D$520:$D$647,C189,'Revenue and costs'!Q520:Q647)+SUMIF('Revenue and costs'!$D$520:$D$647,C189,'Revenue and costs'!R520:R647)+SUMIF('Revenue and costs'!$D$520:$D$647,C189,'Revenue and costs'!S520:S647)+SUMIF('Revenue and costs'!$D$520:$D$647,C189,'Revenue and costs'!T520:T647)+SUMIF('Revenue and costs'!$D$520:$D$647,C189,'Revenue and costs'!U520:U647)+SUMIF('Revenue and costs'!$D$520:$D$647,C189,'Revenue and costs'!V520:V647)+SUMIF('Revenue and costs'!$D$520:$D$647,C189,'Revenue and costs'!AE520:AE647)</x:f>
        <x:v>82077.34132508014</x:v>
      </x:c>
      <x:c r="G189" s="10" t="n">
        <x:f>IF('Income statement'!H50=0,1/39,E189/'Income statement'!H50)*('Shared costs'!L21+'Assumptions'!$D$18*'Assumptions'!$D$19*12*(1+'Assumptions'!$D$13)^(5-1)*'Assumptions'!$D$21)</x:f>
        <x:v>5325.706317858699</x:v>
      </x:c>
      <x:c r="H189" s="10" t="n">
        <x:f>IF('Income statement'!H50=0,1/39,E189/'Income statement'!H50)*'Cash and capital'!H18</x:f>
        <x:v>31.713316693007133</x:v>
      </x:c>
      <x:c r="I189" s="10" t="n">
        <x:f>E189-F189-G189-H189</x:f>
        <x:v>43744.076666352055</x:v>
      </x:c>
      <x:c r="J189" s="10" t="n">
        <x:f>M150</x:f>
        <x:v>0</x:v>
      </x:c>
      <x:c r="K189" s="10" t="n">
        <x:f>MAX(0,I189-J189)</x:f>
        <x:v>43744.076666352055</x:v>
      </x:c>
      <x:c r="L189" s="10" t="n">
        <x:f>K189*'Assumptions'!$D$12</x:f>
        <x:v>10936.019166588014</x:v>
      </x:c>
      <x:c r="M189" s="10" t="n">
        <x:f>MAX(0,J189-I189)</x:f>
        <x:v>0</x:v>
      </x:c>
    </x:row>
    <x:row r="190" ht="16" customHeight="1">
      <x:c r="A190" s="1"/>
      <x:c r="B190" s="1"/>
      <x:c r="C190" s="1" t="str">
        <x:v>Semajes Marketplace</x:v>
      </x:c>
      <x:c r="D190" s="10" t="n">
        <x:v>5</x:v>
      </x:c>
      <x:c r="E190" s="10" t="n">
        <x:f>SUMIF('Revenue and costs'!$D$520:$D$647,C190,'Revenue and costs'!N520:N647)</x:f>
        <x:v>33569.05809815629</x:v>
      </x:c>
      <x:c r="F190" s="10" t="n">
        <x:f>SUMIF('Revenue and costs'!$D$520:$D$647,C190,'Revenue and costs'!O520:O647)+SUMIF('Revenue and costs'!$D$520:$D$647,C190,'Revenue and costs'!P520:P647)+SUMIF('Revenue and costs'!$D$520:$D$647,C190,'Revenue and costs'!Q520:Q647)+SUMIF('Revenue and costs'!$D$520:$D$647,C190,'Revenue and costs'!R520:R647)+SUMIF('Revenue and costs'!$D$520:$D$647,C190,'Revenue and costs'!S520:S647)+SUMIF('Revenue and costs'!$D$520:$D$647,C190,'Revenue and costs'!T520:T647)+SUMIF('Revenue and costs'!$D$520:$D$647,C190,'Revenue and costs'!U520:U647)+SUMIF('Revenue and costs'!$D$520:$D$647,C190,'Revenue and costs'!V520:V647)+SUMIF('Revenue and costs'!$D$520:$D$647,C190,'Revenue and costs'!AE520:AE647)</x:f>
        <x:v>16235.12383751416</x:v>
      </x:c>
      <x:c r="G190" s="10" t="n">
        <x:f>IF('Income statement'!H50=0,1/39,E190/'Income statement'!H50)*('Shared costs'!L21+'Assumptions'!$D$18*'Assumptions'!$D$19*12*(1+'Assumptions'!$D$13)^(5-1)*'Assumptions'!$D$21)</x:f>
        <x:v>1362.864224393037</x:v>
      </x:c>
      <x:c r="H190" s="10" t="n">
        <x:f>IF('Income statement'!H50=0,1/39,E190/'Income statement'!H50)*'Cash and capital'!H18</x:f>
        <x:v>8.1155328848707</x:v>
      </x:c>
      <x:c r="I190" s="10" t="n">
        <x:f>E190-F190-G190-H190</x:f>
        <x:v>15962.954503364219</x:v>
      </x:c>
      <x:c r="J190" s="10" t="n">
        <x:f>M151</x:f>
        <x:v>0</x:v>
      </x:c>
      <x:c r="K190" s="10" t="n">
        <x:f>MAX(0,I190-J190)</x:f>
        <x:v>15962.954503364219</x:v>
      </x:c>
      <x:c r="L190" s="10" t="n">
        <x:f>K190*'Assumptions'!$D$12</x:f>
        <x:v>3990.7386258410547</x:v>
      </x:c>
      <x:c r="M190" s="10" t="n">
        <x:f>MAX(0,J190-I190)</x:f>
        <x:v>0</x:v>
      </x:c>
    </x:row>
    <x:row r="191" ht="16" customHeight="1">
      <x:c r="A191" s="1"/>
      <x:c r="B191" s="1"/>
      <x:c r="C191" s="1" t="str">
        <x:v>Semajes premium and media</x:v>
      </x:c>
      <x:c r="D191" s="10" t="n">
        <x:v>5</x:v>
      </x:c>
      <x:c r="E191" s="10" t="n">
        <x:f>SUMIF('Revenue and costs'!$D$520:$D$647,C191,'Revenue and costs'!N520:N647)</x:f>
        <x:v>23416.686203065237</x:v>
      </x:c>
      <x:c r="F191" s="10" t="n">
        <x:f>SUMIF('Revenue and costs'!$D$520:$D$647,C191,'Revenue and costs'!O520:O647)+SUMIF('Revenue and costs'!$D$520:$D$647,C191,'Revenue and costs'!P520:P647)+SUMIF('Revenue and costs'!$D$520:$D$647,C191,'Revenue and costs'!Q520:Q647)+SUMIF('Revenue and costs'!$D$520:$D$647,C191,'Revenue and costs'!R520:R647)+SUMIF('Revenue and costs'!$D$520:$D$647,C191,'Revenue and costs'!S520:S647)+SUMIF('Revenue and costs'!$D$520:$D$647,C191,'Revenue and costs'!T520:T647)+SUMIF('Revenue and costs'!$D$520:$D$647,C191,'Revenue and costs'!U520:U647)+SUMIF('Revenue and costs'!$D$520:$D$647,C191,'Revenue and costs'!V520:V647)+SUMIF('Revenue and costs'!$D$520:$D$647,C191,'Revenue and costs'!AE520:AE647)</x:f>
        <x:v>12388.04333692561</x:v>
      </x:c>
      <x:c r="G191" s="10" t="n">
        <x:f>IF('Income statement'!H50=0,1/39,E191/'Income statement'!H50)*('Shared costs'!L21+'Assumptions'!$D$18*'Assumptions'!$D$19*12*(1+'Assumptions'!$D$13)^(5-1)*'Assumptions'!$D$21)</x:f>
        <x:v>950.6898819347103</x:v>
      </x:c>
      <x:c r="H191" s="10" t="n">
        <x:f>IF('Income statement'!H50=0,1/39,E191/'Income statement'!H50)*'Cash and capital'!H18</x:f>
        <x:v>5.661132534013857</x:v>
      </x:c>
      <x:c r="I191" s="10" t="n">
        <x:f>E191-F191-G191-H191</x:f>
        <x:v>10072.291851670903</x:v>
      </x:c>
      <x:c r="J191" s="10" t="n">
        <x:f>M152</x:f>
        <x:v>0</x:v>
      </x:c>
      <x:c r="K191" s="10" t="n">
        <x:f>MAX(0,I191-J191)</x:f>
        <x:v>10072.291851670903</x:v>
      </x:c>
      <x:c r="L191" s="10" t="n">
        <x:f>K191*'Assumptions'!$D$12</x:f>
        <x:v>2518.072962917726</x:v>
      </x:c>
      <x:c r="M191" s="10" t="n">
        <x:f>MAX(0,J191-I191)</x:f>
        <x:v>0</x:v>
      </x:c>
    </x:row>
    <x:row r="192" ht="16" customHeight="1">
      <x:c r="A192" s="1"/>
      <x:c r="B192" s="1"/>
      <x:c r="C192" s="1" t="str">
        <x:v>Semajes courses</x:v>
      </x:c>
      <x:c r="D192" s="10" t="n">
        <x:v>5</x:v>
      </x:c>
      <x:c r="E192" s="10" t="n">
        <x:f>SUMIF('Revenue and costs'!$D$520:$D$647,C192,'Revenue and costs'!N520:N647)</x:f>
        <x:v>16464.377459951244</x:v>
      </x:c>
      <x:c r="F192" s="10" t="n">
        <x:f>SUMIF('Revenue and costs'!$D$520:$D$647,C192,'Revenue and costs'!O520:O647)+SUMIF('Revenue and costs'!$D$520:$D$647,C192,'Revenue and costs'!P520:P647)+SUMIF('Revenue and costs'!$D$520:$D$647,C192,'Revenue and costs'!Q520:Q647)+SUMIF('Revenue and costs'!$D$520:$D$647,C192,'Revenue and costs'!R520:R647)+SUMIF('Revenue and costs'!$D$520:$D$647,C192,'Revenue and costs'!S520:S647)+SUMIF('Revenue and costs'!$D$520:$D$647,C192,'Revenue and costs'!T520:T647)+SUMIF('Revenue and costs'!$D$520:$D$647,C192,'Revenue and costs'!U520:U647)+SUMIF('Revenue and costs'!$D$520:$D$647,C192,'Revenue and costs'!V520:V647)+SUMIF('Revenue and costs'!$D$520:$D$647,C192,'Revenue and costs'!AE520:AE647)</x:f>
        <x:v>5169.532498864904</x:v>
      </x:c>
      <x:c r="G192" s="10" t="n">
        <x:f>IF('Income statement'!H50=0,1/39,E192/'Income statement'!H50)*('Shared costs'!L21+'Assumptions'!$D$18*'Assumptions'!$D$19*12*(1+'Assumptions'!$D$13)^(5-1)*'Assumptions'!$D$21)</x:f>
        <x:v>668.4343347215646</x:v>
      </x:c>
      <x:c r="H192" s="10" t="n">
        <x:f>IF('Income statement'!H50=0,1/39,E192/'Income statement'!H50)*'Cash and capital'!H18</x:f>
        <x:v>3.9803677635059076</x:v>
      </x:c>
      <x:c r="I192" s="10" t="n">
        <x:f>E192-F192-G192-H192</x:f>
        <x:v>10622.430258601267</x:v>
      </x:c>
      <x:c r="J192" s="10" t="n">
        <x:f>M153</x:f>
        <x:v>0</x:v>
      </x:c>
      <x:c r="K192" s="10" t="n">
        <x:f>MAX(0,I192-J192)</x:f>
        <x:v>10622.430258601267</x:v>
      </x:c>
      <x:c r="L192" s="10" t="n">
        <x:f>K192*'Assumptions'!$D$12</x:f>
        <x:v>2655.607564650317</x:v>
      </x:c>
      <x:c r="M192" s="10" t="n">
        <x:f>MAX(0,J192-I192)</x:f>
        <x:v>0</x:v>
      </x:c>
    </x:row>
    <x:row r="193" ht="16" customHeight="1">
      <x:c r="A193" s="1"/>
      <x:c r="B193" s="1"/>
      <x:c r="C193" s="1" t="str">
        <x:v>Sleepy Face</x:v>
      </x:c>
      <x:c r="D193" s="10" t="n">
        <x:v>5</x:v>
      </x:c>
      <x:c r="E193" s="10" t="n">
        <x:f>SUMIF('Revenue and costs'!$D$520:$D$647,C193,'Revenue and costs'!N520:N647)</x:f>
        <x:v>210529.1309864839</x:v>
      </x:c>
      <x:c r="F193" s="10" t="n">
        <x:f>SUMIF('Revenue and costs'!$D$520:$D$647,C193,'Revenue and costs'!O520:O647)+SUMIF('Revenue and costs'!$D$520:$D$647,C193,'Revenue and costs'!P520:P647)+SUMIF('Revenue and costs'!$D$520:$D$647,C193,'Revenue and costs'!Q520:Q647)+SUMIF('Revenue and costs'!$D$520:$D$647,C193,'Revenue and costs'!R520:R647)+SUMIF('Revenue and costs'!$D$520:$D$647,C193,'Revenue and costs'!S520:S647)+SUMIF('Revenue and costs'!$D$520:$D$647,C193,'Revenue and costs'!T520:T647)+SUMIF('Revenue and costs'!$D$520:$D$647,C193,'Revenue and costs'!U520:U647)+SUMIF('Revenue and costs'!$D$520:$D$647,C193,'Revenue and costs'!V520:V647)+SUMIF('Revenue and costs'!$D$520:$D$647,C193,'Revenue and costs'!AE520:AE647)</x:f>
        <x:v>129392.78411676413</x:v>
      </x:c>
      <x:c r="G193" s="10" t="n">
        <x:f>IF('Income statement'!H50=0,1/39,E193/'Income statement'!H50)*('Shared costs'!L21+'Assumptions'!$D$18*'Assumptions'!$D$19*12*(1+'Assumptions'!$D$13)^(5-1)*'Assumptions'!$D$21)</x:f>
        <x:v>8547.234777188853</x:v>
      </x:c>
      <x:c r="H193" s="10" t="n">
        <x:f>IF('Income statement'!H50=0,1/39,E193/'Income statement'!H50)*'Cash and capital'!H18</x:f>
        <x:v>50.896753812639744</x:v>
      </x:c>
      <x:c r="I193" s="10" t="n">
        <x:f>E193-F193-G193-H193</x:f>
        <x:v>72538.21533871829</x:v>
      </x:c>
      <x:c r="J193" s="10" t="n">
        <x:f>M154</x:f>
        <x:v>0</x:v>
      </x:c>
      <x:c r="K193" s="10" t="n">
        <x:f>MAX(0,I193-J193)</x:f>
        <x:v>72538.21533871829</x:v>
      </x:c>
      <x:c r="L193" s="10" t="n">
        <x:f>K193*'Assumptions'!$D$12</x:f>
        <x:v>18134.553834679573</x:v>
      </x:c>
      <x:c r="M193" s="10" t="n">
        <x:f>MAX(0,J193-I193)</x:f>
        <x:v>0</x:v>
      </x:c>
    </x:row>
    <x:row r="194" ht="16" customHeight="1">
      <x:c r="A194" s="1"/>
      <x:c r="B194" s="1"/>
      <x:c r="C194" s="1" t="str">
        <x:v>QzoticMusic</x:v>
      </x:c>
      <x:c r="D194" s="10" t="n">
        <x:v>5</x:v>
      </x:c>
      <x:c r="E194" s="10" t="n">
        <x:f>SUMIF('Revenue and costs'!$D$520:$D$647,C194,'Revenue and costs'!N520:N647)</x:f>
        <x:v>18399.24803964139</x:v>
      </x:c>
      <x:c r="F194" s="10" t="n">
        <x:f>SUMIF('Revenue and costs'!$D$520:$D$647,C194,'Revenue and costs'!O520:O647)+SUMIF('Revenue and costs'!$D$520:$D$647,C194,'Revenue and costs'!P520:P647)+SUMIF('Revenue and costs'!$D$520:$D$647,C194,'Revenue and costs'!Q520:Q647)+SUMIF('Revenue and costs'!$D$520:$D$647,C194,'Revenue and costs'!R520:R647)+SUMIF('Revenue and costs'!$D$520:$D$647,C194,'Revenue and costs'!S520:S647)+SUMIF('Revenue and costs'!$D$520:$D$647,C194,'Revenue and costs'!T520:T647)+SUMIF('Revenue and costs'!$D$520:$D$647,C194,'Revenue and costs'!U520:U647)+SUMIF('Revenue and costs'!$D$520:$D$647,C194,'Revenue and costs'!V520:V647)+SUMIF('Revenue and costs'!$D$520:$D$647,C194,'Revenue and costs'!AE520:AE647)</x:f>
        <x:v>19585.472623146292</x:v>
      </x:c>
      <x:c r="G194" s="10" t="n">
        <x:f>IF('Income statement'!H50=0,1/39,E194/'Income statement'!H50)*('Shared costs'!L21+'Assumptions'!$D$18*'Assumptions'!$D$19*12*(1+'Assumptions'!$D$13)^(5-1)*'Assumptions'!$D$21)</x:f>
        <x:v>746.987801553425</x:v>
      </x:c>
      <x:c r="H194" s="10" t="n">
        <x:f>IF('Income statement'!H50=0,1/39,E194/'Income statement'!H50)*'Cash and capital'!H18</x:f>
        <x:v>4.448135008315992</x:v>
      </x:c>
      <x:c r="I194" s="10" t="n">
        <x:f>E194-F194-G194-H194</x:f>
        <x:v>-1937.6605200666445</x:v>
      </x:c>
      <x:c r="J194" s="10" t="n">
        <x:f>M155</x:f>
        <x:v>4905.647844802494</x:v>
      </x:c>
      <x:c r="K194" s="10" t="n">
        <x:f>MAX(0,I194-J194)</x:f>
        <x:v>0</x:v>
      </x:c>
      <x:c r="L194" s="10" t="n">
        <x:f>K194*'Assumptions'!$D$12</x:f>
        <x:v>0</x:v>
      </x:c>
      <x:c r="M194" s="10" t="n">
        <x:f>MAX(0,J194-I194)</x:f>
        <x:v>6843.308364869138</x:v>
      </x:c>
    </x:row>
    <x:row r="195" ht="16" customHeight="1">
      <x:c r="A195" s="1"/>
      <x:c r="B195" s="1"/>
      <x:c r="C195" s="1" t="str">
        <x:v>LesPetitFilms</x:v>
      </x:c>
      <x:c r="D195" s="10" t="n">
        <x:v>5</x:v>
      </x:c>
      <x:c r="E195" s="10" t="n">
        <x:f>SUMIF('Revenue and costs'!$D$520:$D$647,C195,'Revenue and costs'!N520:N647)</x:f>
        <x:v>67084.7646197269</x:v>
      </x:c>
      <x:c r="F195" s="10" t="n">
        <x:f>SUMIF('Revenue and costs'!$D$520:$D$647,C195,'Revenue and costs'!O520:O647)+SUMIF('Revenue and costs'!$D$520:$D$647,C195,'Revenue and costs'!P520:P647)+SUMIF('Revenue and costs'!$D$520:$D$647,C195,'Revenue and costs'!Q520:Q647)+SUMIF('Revenue and costs'!$D$520:$D$647,C195,'Revenue and costs'!R520:R647)+SUMIF('Revenue and costs'!$D$520:$D$647,C195,'Revenue and costs'!S520:S647)+SUMIF('Revenue and costs'!$D$520:$D$647,C195,'Revenue and costs'!T520:T647)+SUMIF('Revenue and costs'!$D$520:$D$647,C195,'Revenue and costs'!U520:U647)+SUMIF('Revenue and costs'!$D$520:$D$647,C195,'Revenue and costs'!V520:V647)+SUMIF('Revenue and costs'!$D$520:$D$647,C195,'Revenue and costs'!AE520:AE647)</x:f>
        <x:v>37805.90880978627</x:v>
      </x:c>
      <x:c r="G195" s="10" t="n">
        <x:f>IF('Income statement'!H50=0,1/39,E195/'Income statement'!H50)*('Shared costs'!L21+'Assumptions'!$D$18*'Assumptions'!$D$19*12*(1+'Assumptions'!$D$13)^(5-1)*'Assumptions'!$D$21)</x:f>
        <x:v>2723.562437609026</x:v>
      </x:c>
      <x:c r="H195" s="10" t="n">
        <x:f>IF('Income statement'!H50=0,1/39,E195/'Income statement'!H50)*'Cash and capital'!H18</x:f>
        <x:v>16.218167687436715</x:v>
      </x:c>
      <x:c r="I195" s="10" t="n">
        <x:f>E195-F195-G195-H195</x:f>
        <x:v>26539.075204644174</x:v>
      </x:c>
      <x:c r="J195" s="10" t="n">
        <x:f>M156</x:f>
        <x:v>0</x:v>
      </x:c>
      <x:c r="K195" s="10" t="n">
        <x:f>MAX(0,I195-J195)</x:f>
        <x:v>26539.075204644174</x:v>
      </x:c>
      <x:c r="L195" s="10" t="n">
        <x:f>K195*'Assumptions'!$D$12</x:f>
        <x:v>6634.7688011610435</x:v>
      </x:c>
      <x:c r="M195" s="10" t="n">
        <x:f>MAX(0,J195-I195)</x:f>
        <x:v>0</x:v>
      </x:c>
    </x:row>
    <x:row r="196" ht="16" customHeight="1">
      <x:c r="A196" s="1"/>
      <x:c r="B196" s="1"/>
      <x:c r="C196" s="1" t="str">
        <x:v>Learn Anglais</x:v>
      </x:c>
      <x:c r="D196" s="10" t="n">
        <x:v>5</x:v>
      </x:c>
      <x:c r="E196" s="10" t="n">
        <x:f>SUMIF('Revenue and costs'!$D$520:$D$647,C196,'Revenue and costs'!N520:N647)</x:f>
        <x:v>59459.17980079221</x:v>
      </x:c>
      <x:c r="F196" s="10" t="n">
        <x:f>SUMIF('Revenue and costs'!$D$520:$D$647,C196,'Revenue and costs'!O520:O647)+SUMIF('Revenue and costs'!$D$520:$D$647,C196,'Revenue and costs'!P520:P647)+SUMIF('Revenue and costs'!$D$520:$D$647,C196,'Revenue and costs'!Q520:Q647)+SUMIF('Revenue and costs'!$D$520:$D$647,C196,'Revenue and costs'!R520:R647)+SUMIF('Revenue and costs'!$D$520:$D$647,C196,'Revenue and costs'!S520:S647)+SUMIF('Revenue and costs'!$D$520:$D$647,C196,'Revenue and costs'!T520:T647)+SUMIF('Revenue and costs'!$D$520:$D$647,C196,'Revenue and costs'!U520:U647)+SUMIF('Revenue and costs'!$D$520:$D$647,C196,'Revenue and costs'!V520:V647)+SUMIF('Revenue and costs'!$D$520:$D$647,C196,'Revenue and costs'!AE520:AE647)</x:f>
        <x:v>34823.86248946613</x:v>
      </x:c>
      <x:c r="G196" s="10" t="n">
        <x:f>IF('Income statement'!H50=0,1/39,E196/'Income statement'!H50)*('Shared costs'!L21+'Assumptions'!$D$18*'Assumptions'!$D$19*12*(1+'Assumptions'!$D$13)^(5-1)*'Assumptions'!$D$21)</x:f>
        <x:v>2413.9726746370484</x:v>
      </x:c>
      <x:c r="H196" s="10" t="n">
        <x:f>IF('Income statement'!H50=0,1/39,E196/'Income statement'!H50)*'Cash and capital'!H18</x:f>
        <x:v>14.37463415177775</x:v>
      </x:c>
      <x:c r="I196" s="10" t="n">
        <x:f>E196-F196-G196-H196</x:f>
        <x:v>22206.970002537255</x:v>
      </x:c>
      <x:c r="J196" s="10" t="n">
        <x:f>M157</x:f>
        <x:v>0</x:v>
      </x:c>
      <x:c r="K196" s="10" t="n">
        <x:f>MAX(0,I196-J196)</x:f>
        <x:v>22206.970002537255</x:v>
      </x:c>
      <x:c r="L196" s="10" t="n">
        <x:f>K196*'Assumptions'!$D$12</x:f>
        <x:v>5551.742500634314</x:v>
      </x:c>
      <x:c r="M196" s="10" t="n">
        <x:f>MAX(0,J196-I196)</x:f>
        <x:v>0</x:v>
      </x:c>
    </x:row>
    <x:row r="197" ht="16" customHeight="1">
      <x:c r="A197" s="1"/>
      <x:c r="B197" s="1"/>
      <x:c r="C197" s="1" t="str">
        <x:v>Fiefé</x:v>
      </x:c>
      <x:c r="D197" s="10" t="n">
        <x:v>5</x:v>
      </x:c>
      <x:c r="E197" s="10" t="n">
        <x:f>SUMIF('Revenue and costs'!$D$520:$D$647,C197,'Revenue and costs'!N520:N647)</x:f>
        <x:v>49537.6994555002</x:v>
      </x:c>
      <x:c r="F197" s="10" t="n">
        <x:f>SUMIF('Revenue and costs'!$D$520:$D$647,C197,'Revenue and costs'!O520:O647)+SUMIF('Revenue and costs'!$D$520:$D$647,C197,'Revenue and costs'!P520:P647)+SUMIF('Revenue and costs'!$D$520:$D$647,C197,'Revenue and costs'!Q520:Q647)+SUMIF('Revenue and costs'!$D$520:$D$647,C197,'Revenue and costs'!R520:R647)+SUMIF('Revenue and costs'!$D$520:$D$647,C197,'Revenue and costs'!S520:S647)+SUMIF('Revenue and costs'!$D$520:$D$647,C197,'Revenue and costs'!T520:T647)+SUMIF('Revenue and costs'!$D$520:$D$647,C197,'Revenue and costs'!U520:U647)+SUMIF('Revenue and costs'!$D$520:$D$647,C197,'Revenue and costs'!V520:V647)+SUMIF('Revenue and costs'!$D$520:$D$647,C197,'Revenue and costs'!AE520:AE647)</x:f>
        <x:v>37888.692044038165</x:v>
      </x:c>
      <x:c r="G197" s="10" t="n">
        <x:f>IF('Income statement'!H50=0,1/39,E197/'Income statement'!H50)*('Shared costs'!L21+'Assumptions'!$D$18*'Assumptions'!$D$19*12*(1+'Assumptions'!$D$13)^(5-1)*'Assumptions'!$D$21)</x:f>
        <x:v>2011.1722571788118</x:v>
      </x:c>
      <x:c r="H197" s="10" t="n">
        <x:f>IF('Income statement'!H50=0,1/39,E197/'Income statement'!H50)*'Cash and capital'!H18</x:f>
        <x:v>11.976053298738032</x:v>
      </x:c>
      <x:c r="I197" s="10" t="n">
        <x:f>E197-F197-G197-H197</x:f>
        <x:v>9625.859100984486</x:v>
      </x:c>
      <x:c r="J197" s="10" t="n">
        <x:f>M158</x:f>
        <x:v>0</x:v>
      </x:c>
      <x:c r="K197" s="10" t="n">
        <x:f>MAX(0,I197-J197)</x:f>
        <x:v>9625.859100984486</x:v>
      </x:c>
      <x:c r="L197" s="10" t="n">
        <x:f>K197*'Assumptions'!$D$12</x:f>
        <x:v>2406.4647752461215</x:v>
      </x:c>
      <x:c r="M197" s="10" t="n">
        <x:f>MAX(0,J197-I197)</x:f>
        <x:v>0</x:v>
      </x:c>
    </x:row>
    <x:row r="198" ht="16" customHeight="1">
      <x:c r="A198" s="1"/>
      <x:c r="B198" s="1"/>
      <x:c r="C198" s="1" t="str">
        <x:v>Fiefé Design</x:v>
      </x:c>
      <x:c r="D198" s="10" t="n">
        <x:v>5</x:v>
      </x:c>
      <x:c r="E198" s="10" t="n">
        <x:f>SUMIF('Revenue and costs'!$D$520:$D$647,C198,'Revenue and costs'!N520:N647)</x:f>
        <x:v>30864.6102526481</x:v>
      </x:c>
      <x:c r="F198" s="10" t="n">
        <x:f>SUMIF('Revenue and costs'!$D$520:$D$647,C198,'Revenue and costs'!O520:O647)+SUMIF('Revenue and costs'!$D$520:$D$647,C198,'Revenue and costs'!P520:P647)+SUMIF('Revenue and costs'!$D$520:$D$647,C198,'Revenue and costs'!Q520:Q647)+SUMIF('Revenue and costs'!$D$520:$D$647,C198,'Revenue and costs'!R520:R647)+SUMIF('Revenue and costs'!$D$520:$D$647,C198,'Revenue and costs'!S520:S647)+SUMIF('Revenue and costs'!$D$520:$D$647,C198,'Revenue and costs'!T520:T647)+SUMIF('Revenue and costs'!$D$520:$D$647,C198,'Revenue and costs'!U520:U647)+SUMIF('Revenue and costs'!$D$520:$D$647,C198,'Revenue and costs'!V520:V647)+SUMIF('Revenue and costs'!$D$520:$D$647,C198,'Revenue and costs'!AE520:AE647)</x:f>
        <x:v>22123.42703089332</x:v>
      </x:c>
      <x:c r="G198" s="10" t="n">
        <x:f>IF('Income statement'!H50=0,1/39,E198/'Income statement'!H50)*('Shared costs'!L21+'Assumptions'!$D$18*'Assumptions'!$D$19*12*(1+'Assumptions'!$D$13)^(5-1)*'Assumptions'!$D$21)</x:f>
        <x:v>1253.0668269026864</x:v>
      </x:c>
      <x:c r="H198" s="10" t="n">
        <x:f>IF('Income statement'!H50=0,1/39,E198/'Income statement'!H50)*'Cash and capital'!H18</x:f>
        <x:v>7.461715450927122</x:v>
      </x:c>
      <x:c r="I198" s="10" t="n">
        <x:f>E198-F198-G198-H198</x:f>
        <x:v>7480.654679401168</x:v>
      </x:c>
      <x:c r="J198" s="10" t="n">
        <x:f>M159</x:f>
        <x:v>0</x:v>
      </x:c>
      <x:c r="K198" s="10" t="n">
        <x:f>MAX(0,I198-J198)</x:f>
        <x:v>7480.654679401168</x:v>
      </x:c>
      <x:c r="L198" s="10" t="n">
        <x:f>K198*'Assumptions'!$D$12</x:f>
        <x:v>1870.163669850292</x:v>
      </x:c>
      <x:c r="M198" s="10" t="n">
        <x:f>MAX(0,J198-I198)</x:f>
        <x:v>0</x:v>
      </x:c>
    </x:row>
    <x:row r="199" ht="16" customHeight="1">
      <x:c r="A199" s="1"/>
      <x:c r="B199" s="1"/>
      <x:c r="C199" s="1" t="str">
        <x:v>OsezArt</x:v>
      </x:c>
      <x:c r="D199" s="10" t="n">
        <x:v>5</x:v>
      </x:c>
      <x:c r="E199" s="10" t="n">
        <x:f>SUMIF('Revenue and costs'!$D$520:$D$647,C199,'Revenue and costs'!N520:N647)</x:f>
        <x:v>112599.9235038855</x:v>
      </x:c>
      <x:c r="F199" s="10" t="n">
        <x:f>SUMIF('Revenue and costs'!$D$520:$D$647,C199,'Revenue and costs'!O520:O647)+SUMIF('Revenue and costs'!$D$520:$D$647,C199,'Revenue and costs'!P520:P647)+SUMIF('Revenue and costs'!$D$520:$D$647,C199,'Revenue and costs'!Q520:Q647)+SUMIF('Revenue and costs'!$D$520:$D$647,C199,'Revenue and costs'!R520:R647)+SUMIF('Revenue and costs'!$D$520:$D$647,C199,'Revenue and costs'!S520:S647)+SUMIF('Revenue and costs'!$D$520:$D$647,C199,'Revenue and costs'!T520:T647)+SUMIF('Revenue and costs'!$D$520:$D$647,C199,'Revenue and costs'!U520:U647)+SUMIF('Revenue and costs'!$D$520:$D$647,C199,'Revenue and costs'!V520:V647)+SUMIF('Revenue and costs'!$D$520:$D$647,C199,'Revenue and costs'!AE520:AE647)</x:f>
        <x:v>60139.44382185335</x:v>
      </x:c>
      <x:c r="G199" s="10" t="n">
        <x:f>IF('Income statement'!H50=0,1/39,E199/'Income statement'!H50)*('Shared costs'!L21+'Assumptions'!$D$18*'Assumptions'!$D$19*12*(1+'Assumptions'!$D$13)^(5-1)*'Assumptions'!$D$21)</x:f>
        <x:v>4571.4242849508655</x:v>
      </x:c>
      <x:c r="H199" s="10" t="n">
        <x:f>IF('Income statement'!H50=0,1/39,E199/'Income statement'!H50)*'Cash and capital'!H18</x:f>
        <x:v>27.221746268772936</x:v>
      </x:c>
      <x:c r="I199" s="10" t="n">
        <x:f>E199-F199-G199-H199</x:f>
        <x:v>47861.833650812514</x:v>
      </x:c>
      <x:c r="J199" s="10" t="n">
        <x:f>M160</x:f>
        <x:v>0</x:v>
      </x:c>
      <x:c r="K199" s="10" t="n">
        <x:f>MAX(0,I199-J199)</x:f>
        <x:v>47861.833650812514</x:v>
      </x:c>
      <x:c r="L199" s="10" t="n">
        <x:f>K199*'Assumptions'!$D$12</x:f>
        <x:v>11965.458412703128</x:v>
      </x:c>
      <x:c r="M199" s="10" t="n">
        <x:f>MAX(0,J199-I199)</x:f>
        <x:v>0</x:v>
      </x:c>
    </x:row>
    <x:row r="200" ht="16" customHeight="1">
      <x:c r="A200" s="1"/>
      <x:c r="B200" s="1"/>
      <x:c r="C200" s="1" t="str">
        <x:v>FinBot research</x:v>
      </x:c>
      <x:c r="D200" s="10" t="n">
        <x:v>5</x:v>
      </x:c>
      <x:c r="E200" s="10" t="n">
        <x:f>SUMIF('Revenue and costs'!$D$520:$D$647,C200,'Revenue and costs'!N520:N647)</x:f>
        <x:v>6117.802886202512</x:v>
      </x:c>
      <x:c r="F200" s="10" t="n">
        <x:f>SUMIF('Revenue and costs'!$D$520:$D$647,C200,'Revenue and costs'!O520:O647)+SUMIF('Revenue and costs'!$D$520:$D$647,C200,'Revenue and costs'!P520:P647)+SUMIF('Revenue and costs'!$D$520:$D$647,C200,'Revenue and costs'!Q520:Q647)+SUMIF('Revenue and costs'!$D$520:$D$647,C200,'Revenue and costs'!R520:R647)+SUMIF('Revenue and costs'!$D$520:$D$647,C200,'Revenue and costs'!S520:S647)+SUMIF('Revenue and costs'!$D$520:$D$647,C200,'Revenue and costs'!T520:T647)+SUMIF('Revenue and costs'!$D$520:$D$647,C200,'Revenue and costs'!U520:U647)+SUMIF('Revenue and costs'!$D$520:$D$647,C200,'Revenue and costs'!V520:V647)+SUMIF('Revenue and costs'!$D$520:$D$647,C200,'Revenue and costs'!AE520:AE647)</x:f>
        <x:v>3532.8504855726314</x:v>
      </x:c>
      <x:c r="G200" s="10" t="n">
        <x:f>IF('Income statement'!H50=0,1/39,E200/'Income statement'!H50)*('Shared costs'!L21+'Assumptions'!$D$18*'Assumptions'!$D$19*12*(1+'Assumptions'!$D$13)^(5-1)*'Assumptions'!$D$21)</x:f>
        <x:v>248.37559222288107</x:v>
      </x:c>
      <x:c r="H200" s="10" t="n">
        <x:f>IF('Income statement'!H50=0,1/39,E200/'Income statement'!H50)*'Cash and capital'!H18</x:f>
        <x:v>1.4790176823239567</x:v>
      </x:c>
      <x:c r="I200" s="10" t="n">
        <x:f>E200-F200-G200-H200</x:f>
        <x:v>2335.0977907246756</x:v>
      </x:c>
      <x:c r="J200" s="10" t="n">
        <x:f>M161</x:f>
        <x:v>0</x:v>
      </x:c>
      <x:c r="K200" s="10" t="n">
        <x:f>MAX(0,I200-J200)</x:f>
        <x:v>2335.0977907246756</x:v>
      </x:c>
      <x:c r="L200" s="10" t="n">
        <x:f>K200*'Assumptions'!$D$12</x:f>
        <x:v>583.7744476811689</x:v>
      </x:c>
      <x:c r="M200" s="10" t="n">
        <x:f>MAX(0,J200-I200)</x:f>
        <x:v>0</x:v>
      </x:c>
    </x:row>
    <x:row r="201" ht="16" customHeight="1">
      <x:c r="A201" s="1"/>
      <x:c r="B201" s="1"/>
      <x:c r="C201" s="1" t="str">
        <x:v>Functional Analysis</x:v>
      </x:c>
      <x:c r="D201" s="10" t="n">
        <x:v>5</x:v>
      </x:c>
      <x:c r="E201" s="10" t="n">
        <x:f>SUMIF('Revenue and costs'!$D$520:$D$647,C201,'Revenue and costs'!N520:N647)</x:f>
        <x:v>12941.162287203739</x:v>
      </x:c>
      <x:c r="F201" s="10" t="n">
        <x:f>SUMIF('Revenue and costs'!$D$520:$D$647,C201,'Revenue and costs'!O520:O647)+SUMIF('Revenue and costs'!$D$520:$D$647,C201,'Revenue and costs'!P520:P647)+SUMIF('Revenue and costs'!$D$520:$D$647,C201,'Revenue and costs'!Q520:Q647)+SUMIF('Revenue and costs'!$D$520:$D$647,C201,'Revenue and costs'!R520:R647)+SUMIF('Revenue and costs'!$D$520:$D$647,C201,'Revenue and costs'!S520:S647)+SUMIF('Revenue and costs'!$D$520:$D$647,C201,'Revenue and costs'!T520:T647)+SUMIF('Revenue and costs'!$D$520:$D$647,C201,'Revenue and costs'!U520:U647)+SUMIF('Revenue and costs'!$D$520:$D$647,C201,'Revenue and costs'!V520:V647)+SUMIF('Revenue and costs'!$D$520:$D$647,C201,'Revenue and costs'!AE520:AE647)</x:f>
        <x:v>6592.170429048725</x:v>
      </x:c>
      <x:c r="G201" s="10" t="n">
        <x:f>IF('Income statement'!H50=0,1/39,E201/'Income statement'!H50)*('Shared costs'!L21+'Assumptions'!$D$18*'Assumptions'!$D$19*12*(1+'Assumptions'!$D$13)^(5-1)*'Assumptions'!$D$21)</x:f>
        <x:v>525.3959480103202</x:v>
      </x:c>
      <x:c r="H201" s="10" t="n">
        <x:f>IF('Income statement'!H50=0,1/39,E201/'Income statement'!H50)*'Cash and capital'!H18</x:f>
        <x:v>3.1286081308316094</x:v>
      </x:c>
      <x:c r="I201" s="10" t="n">
        <x:f>E201-F201-G201-H201</x:f>
        <x:v>5820.467302013862</x:v>
      </x:c>
      <x:c r="J201" s="10" t="n">
        <x:f>M162</x:f>
        <x:v>0</x:v>
      </x:c>
      <x:c r="K201" s="10" t="n">
        <x:f>MAX(0,I201-J201)</x:f>
        <x:v>5820.467302013862</x:v>
      </x:c>
      <x:c r="L201" s="10" t="n">
        <x:f>K201*'Assumptions'!$D$12</x:f>
        <x:v>1455.1168255034654</x:v>
      </x:c>
      <x:c r="M201" s="10" t="n">
        <x:f>MAX(0,J201-I201)</x:f>
        <x:v>0</x:v>
      </x:c>
    </x:row>
    <x:row r="202" ht="16" customHeight="1">
      <x:c r="A202" s="1"/>
      <x:c r="B202" s="1"/>
      <x:c r="C202" s="1" t="str">
        <x:v>Independent candy game</x:v>
      </x:c>
      <x:c r="D202" s="10" t="n">
        <x:v>5</x:v>
      </x:c>
      <x:c r="E202" s="10" t="n">
        <x:f>SUMIF('Revenue and costs'!$D$520:$D$647,C202,'Revenue and costs'!N520:N647)</x:f>
        <x:v>5263.420069336301</x:v>
      </x:c>
      <x:c r="F202" s="10" t="n">
        <x:f>SUMIF('Revenue and costs'!$D$520:$D$647,C202,'Revenue and costs'!O520:O647)+SUMIF('Revenue and costs'!$D$520:$D$647,C202,'Revenue and costs'!P520:P647)+SUMIF('Revenue and costs'!$D$520:$D$647,C202,'Revenue and costs'!Q520:Q647)+SUMIF('Revenue and costs'!$D$520:$D$647,C202,'Revenue and costs'!R520:R647)+SUMIF('Revenue and costs'!$D$520:$D$647,C202,'Revenue and costs'!S520:S647)+SUMIF('Revenue and costs'!$D$520:$D$647,C202,'Revenue and costs'!T520:T647)+SUMIF('Revenue and costs'!$D$520:$D$647,C202,'Revenue and costs'!U520:U647)+SUMIF('Revenue and costs'!$D$520:$D$647,C202,'Revenue and costs'!V520:V647)+SUMIF('Revenue and costs'!$D$520:$D$647,C202,'Revenue and costs'!AE520:AE647)</x:f>
        <x:v>4905.469273541262</x:v>
      </x:c>
      <x:c r="G202" s="10" t="n">
        <x:f>IF('Income statement'!H50=0,1/39,E202/'Income statement'!H50)*('Shared costs'!L21+'Assumptions'!$D$18*'Assumptions'!$D$19*12*(1+'Assumptions'!$D$13)^(5-1)*'Assumptions'!$D$21)</x:f>
        <x:v>213.6886560676167</x:v>
      </x:c>
      <x:c r="H202" s="10" t="n">
        <x:f>IF('Income statement'!H50=0,1/39,E202/'Income statement'!H50)*'Cash and capital'!H18</x:f>
        <x:v>1.2724652128959562</x:v>
      </x:c>
      <x:c r="I202" s="10" t="n">
        <x:f>E202-F202-G202-H202</x:f>
        <x:v>142.98967451452643</x:v>
      </x:c>
      <x:c r="J202" s="10" t="n">
        <x:f>M163</x:f>
        <x:v>0</x:v>
      </x:c>
      <x:c r="K202" s="10" t="n">
        <x:f>MAX(0,I202-J202)</x:f>
        <x:v>142.98967451452643</x:v>
      </x:c>
      <x:c r="L202" s="10" t="n">
        <x:f>K202*'Assumptions'!$D$12</x:f>
        <x:v>35.74741862863161</x:v>
      </x:c>
      <x:c r="M202" s="10" t="n">
        <x:f>MAX(0,J202-I202)</x:f>
        <x:v>0</x:v>
      </x:c>
    </x:row>
    <x:row r="203" ht="16" customHeight="1">
      <x:c r="A203" s="1"/>
      <x:c r="B203" s="1"/>
      <x:c r="C203" s="1" t="str">
        <x:v>ETV courses</x:v>
      </x:c>
      <x:c r="D203" s="10" t="n">
        <x:v>6</x:v>
      </x:c>
      <x:c r="E203" s="10" t="n">
        <x:f>SUMIF('Revenue and costs'!$D$648:$D$775,C203,'Revenue and costs'!N648:N775)</x:f>
        <x:v>40046.45105078444</x:v>
      </x:c>
      <x:c r="F203" s="10" t="n">
        <x:f>SUMIF('Revenue and costs'!$D$648:$D$775,C203,'Revenue and costs'!O648:O775)+SUMIF('Revenue and costs'!$D$648:$D$775,C203,'Revenue and costs'!P648:P775)+SUMIF('Revenue and costs'!$D$648:$D$775,C203,'Revenue and costs'!Q648:Q775)+SUMIF('Revenue and costs'!$D$648:$D$775,C203,'Revenue and costs'!R648:R775)+SUMIF('Revenue and costs'!$D$648:$D$775,C203,'Revenue and costs'!S648:S775)+SUMIF('Revenue and costs'!$D$648:$D$775,C203,'Revenue and costs'!T648:T775)+SUMIF('Revenue and costs'!$D$648:$D$775,C203,'Revenue and costs'!U648:U775)+SUMIF('Revenue and costs'!$D$648:$D$775,C203,'Revenue and costs'!V648:V775)+SUMIF('Revenue and costs'!$D$648:$D$775,C203,'Revenue and costs'!AE648:AE775)</x:f>
        <x:v>14025.458885296172</x:v>
      </x:c>
      <x:c r="G203" s="10" t="n">
        <x:f>IF('Income statement'!I50=0,1/39,E203/'Income statement'!I50)*('Shared costs'!M21+'Assumptions'!$D$18*'Assumptions'!$D$19*12*(1+'Assumptions'!$D$13)^(6-1)*'Assumptions'!$D$21)</x:f>
        <x:v>1600.6651857839254</x:v>
      </x:c>
      <x:c r="H203" s="10" t="n">
        <x:f>IF('Income statement'!I50=0,1/39,E203/'Income statement'!I50)*'Cash and capital'!I18</x:f>
        <x:v>8.89277434140211</x:v>
      </x:c>
      <x:c r="I203" s="10" t="n">
        <x:f>E203-F203-G203-H203</x:f>
        <x:v>24411.43420536294</x:v>
      </x:c>
      <x:c r="J203" s="10" t="n">
        <x:f>M164</x:f>
        <x:v>0</x:v>
      </x:c>
      <x:c r="K203" s="10" t="n">
        <x:f>MAX(0,I203-J203)</x:f>
        <x:v>24411.43420536294</x:v>
      </x:c>
      <x:c r="L203" s="10" t="n">
        <x:f>K203*'Assumptions'!$D$12</x:f>
        <x:v>6102.858551340735</x:v>
      </x:c>
      <x:c r="M203" s="10" t="n">
        <x:f>MAX(0,J203-I203)</x:f>
        <x:v>0</x:v>
      </x:c>
    </x:row>
    <x:row r="204" ht="16" customHeight="1">
      <x:c r="A204" s="1"/>
      <x:c r="B204" s="1"/>
      <x:c r="C204" s="1" t="str">
        <x:v>ETV services</x:v>
      </x:c>
      <x:c r="D204" s="10" t="n">
        <x:v>6</x:v>
      </x:c>
      <x:c r="E204" s="10" t="n">
        <x:f>SUMIF('Revenue and costs'!$D$648:$D$775,C204,'Revenue and costs'!N648:N775)</x:f>
        <x:v>94795.89484884954</x:v>
      </x:c>
      <x:c r="F204" s="10" t="n">
        <x:f>SUMIF('Revenue and costs'!$D$648:$D$775,C204,'Revenue and costs'!O648:O775)+SUMIF('Revenue and costs'!$D$648:$D$775,C204,'Revenue and costs'!P648:P775)+SUMIF('Revenue and costs'!$D$648:$D$775,C204,'Revenue and costs'!Q648:Q775)+SUMIF('Revenue and costs'!$D$648:$D$775,C204,'Revenue and costs'!R648:R775)+SUMIF('Revenue and costs'!$D$648:$D$775,C204,'Revenue and costs'!S648:S775)+SUMIF('Revenue and costs'!$D$648:$D$775,C204,'Revenue and costs'!T648:T775)+SUMIF('Revenue and costs'!$D$648:$D$775,C204,'Revenue and costs'!U648:U775)+SUMIF('Revenue and costs'!$D$648:$D$775,C204,'Revenue and costs'!V648:V775)+SUMIF('Revenue and costs'!$D$648:$D$775,C204,'Revenue and costs'!AE648:AE775)</x:f>
        <x:v>62418.28928569926</x:v>
      </x:c>
      <x:c r="G204" s="10" t="n">
        <x:f>IF('Income statement'!I50=0,1/39,E204/'Income statement'!I50)*('Shared costs'!M21+'Assumptions'!$D$18*'Assumptions'!$D$19*12*(1+'Assumptions'!$D$13)^(6-1)*'Assumptions'!$D$21)</x:f>
        <x:v>3789.01212612734</x:v>
      </x:c>
      <x:c r="H204" s="10" t="n">
        <x:f>IF('Income statement'!I50=0,1/39,E204/'Income statement'!I50)*'Cash and capital'!I18</x:f>
        <x:v>21.05051706861771</x:v>
      </x:c>
      <x:c r="I204" s="10" t="n">
        <x:f>E204-F204-G204-H204</x:f>
        <x:v>28567.542919954318</x:v>
      </x:c>
      <x:c r="J204" s="10" t="n">
        <x:f>M165</x:f>
        <x:v>0</x:v>
      </x:c>
      <x:c r="K204" s="10" t="n">
        <x:f>MAX(0,I204-J204)</x:f>
        <x:v>28567.542919954318</x:v>
      </x:c>
      <x:c r="L204" s="10" t="n">
        <x:f>K204*'Assumptions'!$D$12</x:f>
        <x:v>7141.885729988579</x:v>
      </x:c>
      <x:c r="M204" s="10" t="n">
        <x:f>MAX(0,J204-I204)</x:f>
        <x:v>0</x:v>
      </x:c>
    </x:row>
    <x:row r="205" ht="16" customHeight="1">
      <x:c r="A205" s="1"/>
      <x:c r="B205" s="1"/>
      <x:c r="C205" s="1" t="str">
        <x:v>BPA professional services</x:v>
      </x:c>
      <x:c r="D205" s="10" t="n">
        <x:v>6</x:v>
      </x:c>
      <x:c r="E205" s="10" t="n">
        <x:f>SUMIF('Revenue and costs'!$D$648:$D$775,C205,'Revenue and costs'!N648:N775)</x:f>
        <x:v>584143.269634538</x:v>
      </x:c>
      <x:c r="F205" s="10" t="n">
        <x:f>SUMIF('Revenue and costs'!$D$648:$D$775,C205,'Revenue and costs'!O648:O775)+SUMIF('Revenue and costs'!$D$648:$D$775,C205,'Revenue and costs'!P648:P775)+SUMIF('Revenue and costs'!$D$648:$D$775,C205,'Revenue and costs'!Q648:Q775)+SUMIF('Revenue and costs'!$D$648:$D$775,C205,'Revenue and costs'!R648:R775)+SUMIF('Revenue and costs'!$D$648:$D$775,C205,'Revenue and costs'!S648:S775)+SUMIF('Revenue and costs'!$D$648:$D$775,C205,'Revenue and costs'!T648:T775)+SUMIF('Revenue and costs'!$D$648:$D$775,C205,'Revenue and costs'!U648:U775)+SUMIF('Revenue and costs'!$D$648:$D$775,C205,'Revenue and costs'!V648:V775)+SUMIF('Revenue and costs'!$D$648:$D$775,C205,'Revenue and costs'!AE648:AE775)</x:f>
        <x:v>287311.9802015728</x:v>
      </x:c>
      <x:c r="G205" s="10" t="n">
        <x:f>IF('Income statement'!I50=0,1/39,E205/'Income statement'!I50)*('Shared costs'!M21+'Assumptions'!$D$18*'Assumptions'!$D$19*12*(1+'Assumptions'!$D$13)^(6-1)*'Assumptions'!$D$21)</x:f>
        <x:v>23348.331017604167</x:v>
      </x:c>
      <x:c r="H205" s="10" t="n">
        <x:f>IF('Income statement'!I50=0,1/39,E205/'Income statement'!I50)*'Cash and capital'!I18</x:f>
        <x:v>129.71572120888348</x:v>
      </x:c>
      <x:c r="I205" s="10" t="n">
        <x:f>E205-F205-G205-H205</x:f>
        <x:v>273353.2426941521</x:v>
      </x:c>
      <x:c r="J205" s="10" t="n">
        <x:f>M166</x:f>
        <x:v>0</x:v>
      </x:c>
      <x:c r="K205" s="10" t="n">
        <x:f>MAX(0,I205-J205)</x:f>
        <x:v>273353.2426941521</x:v>
      </x:c>
      <x:c r="L205" s="10" t="n">
        <x:f>K205*'Assumptions'!$D$12</x:f>
        <x:v>68338.31067353803</x:v>
      </x:c>
      <x:c r="M205" s="10" t="n">
        <x:f>MAX(0,J205-I205)</x:f>
        <x:v>0</x:v>
      </x:c>
    </x:row>
    <x:row r="206" ht="16" customHeight="1">
      <x:c r="A206" s="1"/>
      <x:c r="B206" s="1"/>
      <x:c r="C206" s="1" t="str">
        <x:v>CornerFlow</x:v>
      </x:c>
      <x:c r="D206" s="10" t="n">
        <x:v>6</x:v>
      </x:c>
      <x:c r="E206" s="10" t="n">
        <x:f>SUMIF('Revenue and costs'!$D$648:$D$775,C206,'Revenue and costs'!N648:N775)</x:f>
        <x:v>16401.952800666804</x:v>
      </x:c>
      <x:c r="F206" s="10" t="n">
        <x:f>SUMIF('Revenue and costs'!$D$648:$D$775,C206,'Revenue and costs'!O648:O775)+SUMIF('Revenue and costs'!$D$648:$D$775,C206,'Revenue and costs'!P648:P775)+SUMIF('Revenue and costs'!$D$648:$D$775,C206,'Revenue and costs'!Q648:Q775)+SUMIF('Revenue and costs'!$D$648:$D$775,C206,'Revenue and costs'!R648:R775)+SUMIF('Revenue and costs'!$D$648:$D$775,C206,'Revenue and costs'!S648:S775)+SUMIF('Revenue and costs'!$D$648:$D$775,C206,'Revenue and costs'!T648:T775)+SUMIF('Revenue and costs'!$D$648:$D$775,C206,'Revenue and costs'!U648:U775)+SUMIF('Revenue and costs'!$D$648:$D$775,C206,'Revenue and costs'!V648:V775)+SUMIF('Revenue and costs'!$D$648:$D$775,C206,'Revenue and costs'!AE648:AE775)</x:f>
        <x:v>6558.2971188070105</x:v>
      </x:c>
      <x:c r="G206" s="10" t="n">
        <x:f>IF('Income statement'!I50=0,1/39,E206/'Income statement'!I50)*('Shared costs'!M21+'Assumptions'!$D$18*'Assumptions'!$D$19*12*(1+'Assumptions'!$D$13)^(6-1)*'Assumptions'!$D$21)</x:f>
        <x:v>655.5895500853436</x:v>
      </x:c>
      <x:c r="H206" s="10" t="n">
        <x:f>IF('Income statement'!I50=0,1/39,E206/'Income statement'!I50)*'Cash and capital'!I18</x:f>
        <x:v>3.6422419761913236</x:v>
      </x:c>
      <x:c r="I206" s="10" t="n">
        <x:f>E206-F206-G206-H206</x:f>
        <x:v>9184.423889798258</x:v>
      </x:c>
      <x:c r="J206" s="10" t="n">
        <x:f>M167</x:f>
        <x:v>0</x:v>
      </x:c>
      <x:c r="K206" s="10" t="n">
        <x:f>MAX(0,I206-J206)</x:f>
        <x:v>9184.423889798258</x:v>
      </x:c>
      <x:c r="L206" s="10" t="n">
        <x:f>K206*'Assumptions'!$D$12</x:f>
        <x:v>2296.1059724495644</x:v>
      </x:c>
      <x:c r="M206" s="10" t="n">
        <x:f>MAX(0,J206-I206)</x:f>
        <x:v>0</x:v>
      </x:c>
    </x:row>
    <x:row r="207" ht="16" customHeight="1">
      <x:c r="A207" s="1"/>
      <x:c r="B207" s="1"/>
      <x:c r="C207" s="1" t="str">
        <x:v>Spindle</x:v>
      </x:c>
      <x:c r="D207" s="10" t="n">
        <x:v>6</x:v>
      </x:c>
      <x:c r="E207" s="10" t="n">
        <x:f>SUMIF('Revenue and costs'!$D$648:$D$775,C207,'Revenue and costs'!N648:N775)</x:f>
        <x:v>16401.952800666804</x:v>
      </x:c>
      <x:c r="F207" s="10" t="n">
        <x:f>SUMIF('Revenue and costs'!$D$648:$D$775,C207,'Revenue and costs'!O648:O775)+SUMIF('Revenue and costs'!$D$648:$D$775,C207,'Revenue and costs'!P648:P775)+SUMIF('Revenue and costs'!$D$648:$D$775,C207,'Revenue and costs'!Q648:Q775)+SUMIF('Revenue and costs'!$D$648:$D$775,C207,'Revenue and costs'!R648:R775)+SUMIF('Revenue and costs'!$D$648:$D$775,C207,'Revenue and costs'!S648:S775)+SUMIF('Revenue and costs'!$D$648:$D$775,C207,'Revenue and costs'!T648:T775)+SUMIF('Revenue and costs'!$D$648:$D$775,C207,'Revenue and costs'!U648:U775)+SUMIF('Revenue and costs'!$D$648:$D$775,C207,'Revenue and costs'!V648:V775)+SUMIF('Revenue and costs'!$D$648:$D$775,C207,'Revenue and costs'!AE648:AE775)</x:f>
        <x:v>6558.2971188070105</x:v>
      </x:c>
      <x:c r="G207" s="10" t="n">
        <x:f>IF('Income statement'!I50=0,1/39,E207/'Income statement'!I50)*('Shared costs'!M21+'Assumptions'!$D$18*'Assumptions'!$D$19*12*(1+'Assumptions'!$D$13)^(6-1)*'Assumptions'!$D$21)</x:f>
        <x:v>655.5895500853436</x:v>
      </x:c>
      <x:c r="H207" s="10" t="n">
        <x:f>IF('Income statement'!I50=0,1/39,E207/'Income statement'!I50)*'Cash and capital'!I18</x:f>
        <x:v>3.6422419761913236</x:v>
      </x:c>
      <x:c r="I207" s="10" t="n">
        <x:f>E207-F207-G207-H207</x:f>
        <x:v>9184.423889798258</x:v>
      </x:c>
      <x:c r="J207" s="10" t="n">
        <x:f>M168</x:f>
        <x:v>0</x:v>
      </x:c>
      <x:c r="K207" s="10" t="n">
        <x:f>MAX(0,I207-J207)</x:f>
        <x:v>9184.423889798258</x:v>
      </x:c>
      <x:c r="L207" s="10" t="n">
        <x:f>K207*'Assumptions'!$D$12</x:f>
        <x:v>2296.1059724495644</x:v>
      </x:c>
      <x:c r="M207" s="10" t="n">
        <x:f>MAX(0,J207-I207)</x:f>
        <x:v>0</x:v>
      </x:c>
    </x:row>
    <x:row r="208" ht="16" customHeight="1">
      <x:c r="A208" s="1"/>
      <x:c r="B208" s="1"/>
      <x:c r="C208" s="1" t="str">
        <x:v>Maison Contour</x:v>
      </x:c>
      <x:c r="D208" s="10" t="n">
        <x:v>6</x:v>
      </x:c>
      <x:c r="E208" s="10" t="n">
        <x:f>SUMIF('Revenue and costs'!$D$648:$D$775,C208,'Revenue and costs'!N648:N775)</x:f>
        <x:v>22759.055756986956</x:v>
      </x:c>
      <x:c r="F208" s="10" t="n">
        <x:f>SUMIF('Revenue and costs'!$D$648:$D$775,C208,'Revenue and costs'!O648:O775)+SUMIF('Revenue and costs'!$D$648:$D$775,C208,'Revenue and costs'!P648:P775)+SUMIF('Revenue and costs'!$D$648:$D$775,C208,'Revenue and costs'!Q648:Q775)+SUMIF('Revenue and costs'!$D$648:$D$775,C208,'Revenue and costs'!R648:R775)+SUMIF('Revenue and costs'!$D$648:$D$775,C208,'Revenue and costs'!S648:S775)+SUMIF('Revenue and costs'!$D$648:$D$775,C208,'Revenue and costs'!T648:T775)+SUMIF('Revenue and costs'!$D$648:$D$775,C208,'Revenue and costs'!U648:U775)+SUMIF('Revenue and costs'!$D$648:$D$775,C208,'Revenue and costs'!V648:V775)+SUMIF('Revenue and costs'!$D$648:$D$775,C208,'Revenue and costs'!AE648:AE775)</x:f>
        <x:v>7066.209983873826</x:v>
      </x:c>
      <x:c r="G208" s="10" t="n">
        <x:f>IF('Income statement'!I50=0,1/39,E208/'Income statement'!I50)*('Shared costs'!M21+'Assumptions'!$D$18*'Assumptions'!$D$19*12*(1+'Assumptions'!$D$13)^(6-1)*'Assumptions'!$D$21)</x:f>
        <x:v>909.6843104855018</x:v>
      </x:c>
      <x:c r="H208" s="10" t="n">
        <x:f>IF('Income statement'!I50=0,1/39,E208/'Income statement'!I50)*'Cash and capital'!I18</x:f>
        <x:v>5.0539096913635015</x:v>
      </x:c>
      <x:c r="I208" s="10" t="n">
        <x:f>E208-F208-G208-H208</x:f>
        <x:v>14778.107552936266</x:v>
      </x:c>
      <x:c r="J208" s="10" t="n">
        <x:f>M169</x:f>
        <x:v>0</x:v>
      </x:c>
      <x:c r="K208" s="10" t="n">
        <x:f>MAX(0,I208-J208)</x:f>
        <x:v>14778.107552936266</x:v>
      </x:c>
      <x:c r="L208" s="10" t="n">
        <x:f>K208*'Assumptions'!$D$12</x:f>
        <x:v>3694.5268882340665</x:v>
      </x:c>
      <x:c r="M208" s="10" t="n">
        <x:f>MAX(0,J208-I208)</x:f>
        <x:v>0</x:v>
      </x:c>
    </x:row>
    <x:row r="209" ht="16" customHeight="1">
      <x:c r="A209" s="1"/>
      <x:c r="B209" s="1"/>
      <x:c r="C209" s="1" t="str">
        <x:v>DishLoom US</x:v>
      </x:c>
      <x:c r="D209" s="10" t="n">
        <x:v>6</x:v>
      </x:c>
      <x:c r="E209" s="10" t="n">
        <x:f>SUMIF('Revenue and costs'!$D$648:$D$775,C209,'Revenue and costs'!N648:N775)</x:f>
        <x:v>20024.874312408465</x:v>
      </x:c>
      <x:c r="F209" s="10" t="n">
        <x:f>SUMIF('Revenue and costs'!$D$648:$D$775,C209,'Revenue and costs'!O648:O775)+SUMIF('Revenue and costs'!$D$648:$D$775,C209,'Revenue and costs'!P648:P775)+SUMIF('Revenue and costs'!$D$648:$D$775,C209,'Revenue and costs'!Q648:Q775)+SUMIF('Revenue and costs'!$D$648:$D$775,C209,'Revenue and costs'!R648:R775)+SUMIF('Revenue and costs'!$D$648:$D$775,C209,'Revenue and costs'!S648:S775)+SUMIF('Revenue and costs'!$D$648:$D$775,C209,'Revenue and costs'!T648:T775)+SUMIF('Revenue and costs'!$D$648:$D$775,C209,'Revenue and costs'!U648:U775)+SUMIF('Revenue and costs'!$D$648:$D$775,C209,'Revenue and costs'!V648:V775)+SUMIF('Revenue and costs'!$D$648:$D$775,C209,'Revenue and costs'!AE648:AE775)</x:f>
        <x:v>13102.970259725756</x:v>
      </x:c>
      <x:c r="G209" s="10" t="n">
        <x:f>IF('Income statement'!I50=0,1/39,E209/'Income statement'!I50)*('Shared costs'!M21+'Assumptions'!$D$18*'Assumptions'!$D$19*12*(1+'Assumptions'!$D$13)^(6-1)*'Assumptions'!$D$21)</x:f>
        <x:v>800.3984952604978</x:v>
      </x:c>
      <x:c r="H209" s="10" t="n">
        <x:f>IF('Income statement'!I50=0,1/39,E209/'Income statement'!I50)*'Cash and capital'!I18</x:f>
        <x:v>4.446753302792358</x:v>
      </x:c>
      <x:c r="I209" s="10" t="n">
        <x:f>E209-F209-G209-H209</x:f>
        <x:v>6117.058804119418</x:v>
      </x:c>
      <x:c r="J209" s="10" t="n">
        <x:f>M170</x:f>
        <x:v>0</x:v>
      </x:c>
      <x:c r="K209" s="10" t="n">
        <x:f>MAX(0,I209-J209)</x:f>
        <x:v>6117.058804119418</x:v>
      </x:c>
      <x:c r="L209" s="10" t="n">
        <x:f>K209*'Assumptions'!$D$12</x:f>
        <x:v>1529.2647010298545</x:v>
      </x:c>
      <x:c r="M209" s="10" t="n">
        <x:f>MAX(0,J209-I209)</x:f>
        <x:v>0</x:v>
      </x:c>
    </x:row>
    <x:row r="210" ht="16" customHeight="1">
      <x:c r="A210" s="1"/>
      <x:c r="B210" s="1"/>
      <x:c r="C210" s="1" t="str">
        <x:v>Is Makes Travel Easy</x:v>
      </x:c>
      <x:c r="D210" s="10" t="n">
        <x:v>6</x:v>
      </x:c>
      <x:c r="E210" s="10" t="n">
        <x:f>SUMIF('Revenue and costs'!$D$648:$D$775,C210,'Revenue and costs'!N648:N775)</x:f>
        <x:v>35314.53298195403</x:v>
      </x:c>
      <x:c r="F210" s="10" t="n">
        <x:f>SUMIF('Revenue and costs'!$D$648:$D$775,C210,'Revenue and costs'!O648:O775)+SUMIF('Revenue and costs'!$D$648:$D$775,C210,'Revenue and costs'!P648:P775)+SUMIF('Revenue and costs'!$D$648:$D$775,C210,'Revenue and costs'!Q648:Q775)+SUMIF('Revenue and costs'!$D$648:$D$775,C210,'Revenue and costs'!R648:R775)+SUMIF('Revenue and costs'!$D$648:$D$775,C210,'Revenue and costs'!S648:S775)+SUMIF('Revenue and costs'!$D$648:$D$775,C210,'Revenue and costs'!T648:T775)+SUMIF('Revenue and costs'!$D$648:$D$775,C210,'Revenue and costs'!U648:U775)+SUMIF('Revenue and costs'!$D$648:$D$775,C210,'Revenue and costs'!V648:V775)+SUMIF('Revenue and costs'!$D$648:$D$775,C210,'Revenue and costs'!AE648:AE775)</x:f>
        <x:v>19552.791642376193</x:v>
      </x:c>
      <x:c r="G210" s="10" t="n">
        <x:f>IF('Income statement'!I50=0,1/39,E210/'Income statement'!I50)*('Shared costs'!M21+'Assumptions'!$D$18*'Assumptions'!$D$19*12*(1+'Assumptions'!$D$13)^(6-1)*'Assumptions'!$D$21)</x:f>
        <x:v>1411.5294118010177</x:v>
      </x:c>
      <x:c r="H210" s="10" t="n">
        <x:f>IF('Income statement'!I50=0,1/39,E210/'Income statement'!I50)*'Cash and capital'!I18</x:f>
        <x:v>7.841997593800954</x:v>
      </x:c>
      <x:c r="I210" s="10" t="n">
        <x:f>E210-F210-G210-H210</x:f>
        <x:v>14342.369930183017</x:v>
      </x:c>
      <x:c r="J210" s="10" t="n">
        <x:f>M171</x:f>
        <x:v>0</x:v>
      </x:c>
      <x:c r="K210" s="10" t="n">
        <x:f>MAX(0,I210-J210)</x:f>
        <x:v>14342.369930183017</x:v>
      </x:c>
      <x:c r="L210" s="10" t="n">
        <x:f>K210*'Assumptions'!$D$12</x:f>
        <x:v>3585.592482545754</x:v>
      </x:c>
      <x:c r="M210" s="10" t="n">
        <x:f>MAX(0,J210-I210)</x:f>
        <x:v>0</x:v>
      </x:c>
    </x:row>
    <x:row r="211" ht="16" customHeight="1">
      <x:c r="A211" s="1"/>
      <x:c r="B211" s="1"/>
      <x:c r="C211" s="1" t="str">
        <x:v>Turbo Tax - Made Easy!</x:v>
      </x:c>
      <x:c r="D211" s="10" t="n">
        <x:v>6</x:v>
      </x:c>
      <x:c r="E211" s="10" t="n">
        <x:f>SUMIF('Revenue and costs'!$D$648:$D$775,C211,'Revenue and costs'!N648:N775)</x:f>
        <x:v>105558.24326503553</x:v>
      </x:c>
      <x:c r="F211" s="10" t="n">
        <x:f>SUMIF('Revenue and costs'!$D$648:$D$775,C211,'Revenue and costs'!O648:O775)+SUMIF('Revenue and costs'!$D$648:$D$775,C211,'Revenue and costs'!P648:P775)+SUMIF('Revenue and costs'!$D$648:$D$775,C211,'Revenue and costs'!Q648:Q775)+SUMIF('Revenue and costs'!$D$648:$D$775,C211,'Revenue and costs'!R648:R775)+SUMIF('Revenue and costs'!$D$648:$D$775,C211,'Revenue and costs'!S648:S775)+SUMIF('Revenue and costs'!$D$648:$D$775,C211,'Revenue and costs'!T648:T775)+SUMIF('Revenue and costs'!$D$648:$D$775,C211,'Revenue and costs'!U648:U775)+SUMIF('Revenue and costs'!$D$648:$D$775,C211,'Revenue and costs'!V648:V775)+SUMIF('Revenue and costs'!$D$648:$D$775,C211,'Revenue and costs'!AE648:AE775)</x:f>
        <x:v>27638.55998075416</x:v>
      </x:c>
      <x:c r="G211" s="10" t="n">
        <x:f>IF('Income statement'!I50=0,1/39,E211/'Income statement'!I50)*('Shared costs'!M21+'Assumptions'!$D$18*'Assumptions'!$D$19*12*(1+'Assumptions'!$D$13)^(6-1)*'Assumptions'!$D$21)</x:f>
        <x:v>4219.185486688543</x:v>
      </x:c>
      <x:c r="H211" s="10" t="n">
        <x:f>IF('Income statement'!I50=0,1/39,E211/'Income statement'!I50)*'Cash and capital'!I18</x:f>
        <x:v>23.440420127126405</x:v>
      </x:c>
      <x:c r="I211" s="10" t="n">
        <x:f>E211-F211-G211-H211</x:f>
        <x:v>73677.05737746571</x:v>
      </x:c>
      <x:c r="J211" s="10" t="n">
        <x:f>M172</x:f>
        <x:v>0</x:v>
      </x:c>
      <x:c r="K211" s="10" t="n">
        <x:f>MAX(0,I211-J211)</x:f>
        <x:v>73677.05737746571</x:v>
      </x:c>
      <x:c r="L211" s="10" t="n">
        <x:f>K211*'Assumptions'!$D$12</x:f>
        <x:v>18419.264344366427</x:v>
      </x:c>
      <x:c r="M211" s="10" t="n">
        <x:f>MAX(0,J211-I211)</x:f>
        <x:v>0</x:v>
      </x:c>
    </x:row>
    <x:row r="212" ht="16" customHeight="1">
      <x:c r="A212" s="1"/>
      <x:c r="B212" s="1"/>
      <x:c r="C212" s="1" t="str">
        <x:v>LavaLearning adult</x:v>
      </x:c>
      <x:c r="D212" s="10" t="n">
        <x:v>6</x:v>
      </x:c>
      <x:c r="E212" s="10" t="n">
        <x:f>SUMIF('Revenue and costs'!$D$648:$D$775,C212,'Revenue and costs'!N648:N775)</x:f>
        <x:v>55330.60228878971</x:v>
      </x:c>
      <x:c r="F212" s="10" t="n">
        <x:f>SUMIF('Revenue and costs'!$D$648:$D$775,C212,'Revenue and costs'!O648:O775)+SUMIF('Revenue and costs'!$D$648:$D$775,C212,'Revenue and costs'!P648:P775)+SUMIF('Revenue and costs'!$D$648:$D$775,C212,'Revenue and costs'!Q648:Q775)+SUMIF('Revenue and costs'!$D$648:$D$775,C212,'Revenue and costs'!R648:R775)+SUMIF('Revenue and costs'!$D$648:$D$775,C212,'Revenue and costs'!S648:S775)+SUMIF('Revenue and costs'!$D$648:$D$775,C212,'Revenue and costs'!T648:T775)+SUMIF('Revenue and costs'!$D$648:$D$775,C212,'Revenue and costs'!U648:U775)+SUMIF('Revenue and costs'!$D$648:$D$775,C212,'Revenue and costs'!V648:V775)+SUMIF('Revenue and costs'!$D$648:$D$775,C212,'Revenue and costs'!AE648:AE775)</x:f>
        <x:v>20482.435587800177</x:v>
      </x:c>
      <x:c r="G212" s="10" t="n">
        <x:f>IF('Income statement'!I50=0,1/39,E212/'Income statement'!I50)*('Shared costs'!M21+'Assumptions'!$D$18*'Assumptions'!$D$19*12*(1+'Assumptions'!$D$13)^(6-1)*'Assumptions'!$D$21)</x:f>
        <x:v>2211.5759691116805</x:v>
      </x:c>
      <x:c r="H212" s="10" t="n">
        <x:f>IF('Income statement'!I50=0,1/39,E212/'Income statement'!I50)*'Cash and capital'!I18</x:f>
        <x:v>12.286795643990922</x:v>
      </x:c>
      <x:c r="I212" s="10" t="n">
        <x:f>E212-F212-G212-H212</x:f>
        <x:v>32624.30393623386</x:v>
      </x:c>
      <x:c r="J212" s="10" t="n">
        <x:f>M173</x:f>
        <x:v>0</x:v>
      </x:c>
      <x:c r="K212" s="10" t="n">
        <x:f>MAX(0,I212-J212)</x:f>
        <x:v>32624.30393623386</x:v>
      </x:c>
      <x:c r="L212" s="10" t="n">
        <x:f>K212*'Assumptions'!$D$12</x:f>
        <x:v>8156.075984058465</x:v>
      </x:c>
      <x:c r="M212" s="10" t="n">
        <x:f>MAX(0,J212-I212)</x:f>
        <x:v>0</x:v>
      </x:c>
    </x:row>
    <x:row r="213" ht="16" customHeight="1">
      <x:c r="A213" s="1"/>
      <x:c r="B213" s="1"/>
      <x:c r="C213" s="1" t="str">
        <x:v>LavaLearning Model Life</x:v>
      </x:c>
      <x:c r="D213" s="10" t="n">
        <x:v>6</x:v>
      </x:c>
      <x:c r="E213" s="10" t="n">
        <x:f>SUMIF('Revenue and costs'!$D$648:$D$775,C213,'Revenue and costs'!N648:N775)</x:f>
        <x:v>0</x:v>
      </x:c>
      <x:c r="F213" s="10" t="n">
        <x:f>SUMIF('Revenue and costs'!$D$648:$D$775,C213,'Revenue and costs'!O648:O775)+SUMIF('Revenue and costs'!$D$648:$D$775,C213,'Revenue and costs'!P648:P775)+SUMIF('Revenue and costs'!$D$648:$D$775,C213,'Revenue and costs'!Q648:Q775)+SUMIF('Revenue and costs'!$D$648:$D$775,C213,'Revenue and costs'!R648:R775)+SUMIF('Revenue and costs'!$D$648:$D$775,C213,'Revenue and costs'!S648:S775)+SUMIF('Revenue and costs'!$D$648:$D$775,C213,'Revenue and costs'!T648:T775)+SUMIF('Revenue and costs'!$D$648:$D$775,C213,'Revenue and costs'!U648:U775)+SUMIF('Revenue and costs'!$D$648:$D$775,C213,'Revenue and costs'!V648:V775)+SUMIF('Revenue and costs'!$D$648:$D$775,C213,'Revenue and costs'!AE648:AE775)</x:f>
        <x:v>0</x:v>
      </x:c>
      <x:c r="G213" s="10" t="n">
        <x:f>IF('Income statement'!I50=0,1/39,E213/'Income statement'!I50)*('Shared costs'!M21+'Assumptions'!$D$18*'Assumptions'!$D$19*12*(1+'Assumptions'!$D$13)^(6-1)*'Assumptions'!$D$21)</x:f>
        <x:v>0</x:v>
      </x:c>
      <x:c r="H213" s="10" t="n">
        <x:f>IF('Income statement'!I50=0,1/39,E213/'Income statement'!I50)*'Cash and capital'!I18</x:f>
        <x:v>0</x:v>
      </x:c>
      <x:c r="I213" s="10" t="n">
        <x:f>E213-F213-G213-H213</x:f>
        <x:v>0</x:v>
      </x:c>
      <x:c r="J213" s="10" t="n">
        <x:f>M174</x:f>
        <x:v>0</x:v>
      </x:c>
      <x:c r="K213" s="10" t="n">
        <x:f>MAX(0,I213-J213)</x:f>
        <x:v>0</x:v>
      </x:c>
      <x:c r="L213" s="10" t="n">
        <x:f>K213*'Assumptions'!$D$12</x:f>
        <x:v>0</x:v>
      </x:c>
      <x:c r="M213" s="10" t="n">
        <x:f>MAX(0,J213-I213)</x:f>
        <x:v>0</x:v>
      </x:c>
    </x:row>
    <x:row r="214" ht="16" customHeight="1">
      <x:c r="A214" s="1"/>
      <x:c r="B214" s="1"/>
      <x:c r="C214" s="1" t="str">
        <x:v>LavaLearning Kids</x:v>
      </x:c>
      <x:c r="D214" s="10" t="n">
        <x:v>6</x:v>
      </x:c>
      <x:c r="E214" s="10" t="n">
        <x:f>SUMIF('Revenue and costs'!$D$648:$D$775,C214,'Revenue and costs'!N648:N775)</x:f>
        <x:v>21606.043738198096</x:v>
      </x:c>
      <x:c r="F214" s="10" t="n">
        <x:f>SUMIF('Revenue and costs'!$D$648:$D$775,C214,'Revenue and costs'!O648:O775)+SUMIF('Revenue and costs'!$D$648:$D$775,C214,'Revenue and costs'!P648:P775)+SUMIF('Revenue and costs'!$D$648:$D$775,C214,'Revenue and costs'!Q648:Q775)+SUMIF('Revenue and costs'!$D$648:$D$775,C214,'Revenue and costs'!R648:R775)+SUMIF('Revenue and costs'!$D$648:$D$775,C214,'Revenue and costs'!S648:S775)+SUMIF('Revenue and costs'!$D$648:$D$775,C214,'Revenue and costs'!T648:T775)+SUMIF('Revenue and costs'!$D$648:$D$775,C214,'Revenue and costs'!U648:U775)+SUMIF('Revenue and costs'!$D$648:$D$775,C214,'Revenue and costs'!V648:V775)+SUMIF('Revenue and costs'!$D$648:$D$775,C214,'Revenue and costs'!AE648:AE775)</x:f>
        <x:v>12478.241649152344</x:v>
      </x:c>
      <x:c r="G214" s="10" t="n">
        <x:f>IF('Income statement'!I50=0,1/39,E214/'Income statement'!I50)*('Shared costs'!M21+'Assumptions'!$D$18*'Assumptions'!$D$19*12*(1+'Assumptions'!$D$13)^(6-1)*'Assumptions'!$D$21)</x:f>
        <x:v>863.5981742901793</x:v>
      </x:c>
      <x:c r="H214" s="10" t="n">
        <x:f>IF('Income statement'!I50=0,1/39,E214/'Income statement'!I50)*'Cash and capital'!I18</x:f>
        <x:v>4.797870131627958</x:v>
      </x:c>
      <x:c r="I214" s="10" t="n">
        <x:f>E214-F214-G214-H214</x:f>
        <x:v>8259.406044623945</x:v>
      </x:c>
      <x:c r="J214" s="10" t="n">
        <x:f>M175</x:f>
        <x:v>0</x:v>
      </x:c>
      <x:c r="K214" s="10" t="n">
        <x:f>MAX(0,I214-J214)</x:f>
        <x:v>8259.406044623945</x:v>
      </x:c>
      <x:c r="L214" s="10" t="n">
        <x:f>K214*'Assumptions'!$D$12</x:f>
        <x:v>2064.8515111559864</x:v>
      </x:c>
      <x:c r="M214" s="10" t="n">
        <x:f>MAX(0,J214-I214)</x:f>
        <x:v>0</x:v>
      </x:c>
    </x:row>
    <x:row r="215" ht="16" customHeight="1">
      <x:c r="A215" s="1"/>
      <x:c r="B215" s="1"/>
      <x:c r="C215" s="1" t="str">
        <x:v>VraiSkill adult</x:v>
      </x:c>
      <x:c r="D215" s="10" t="n">
        <x:v>6</x:v>
      </x:c>
      <x:c r="E215" s="10" t="n">
        <x:f>SUMIF('Revenue and costs'!$D$648:$D$775,C215,'Revenue and costs'!N648:N775)</x:f>
        <x:v>40920.668373470646</x:v>
      </x:c>
      <x:c r="F215" s="10" t="n">
        <x:f>SUMIF('Revenue and costs'!$D$648:$D$775,C215,'Revenue and costs'!O648:O775)+SUMIF('Revenue and costs'!$D$648:$D$775,C215,'Revenue and costs'!P648:P775)+SUMIF('Revenue and costs'!$D$648:$D$775,C215,'Revenue and costs'!Q648:Q775)+SUMIF('Revenue and costs'!$D$648:$D$775,C215,'Revenue and costs'!R648:R775)+SUMIF('Revenue and costs'!$D$648:$D$775,C215,'Revenue and costs'!S648:S775)+SUMIF('Revenue and costs'!$D$648:$D$775,C215,'Revenue and costs'!T648:T775)+SUMIF('Revenue and costs'!$D$648:$D$775,C215,'Revenue and costs'!U648:U775)+SUMIF('Revenue and costs'!$D$648:$D$775,C215,'Revenue and costs'!V648:V775)+SUMIF('Revenue and costs'!$D$648:$D$775,C215,'Revenue and costs'!AE648:AE775)</x:f>
        <x:v>31481.539883322475</x:v>
      </x:c>
      <x:c r="G215" s="10" t="n">
        <x:f>IF('Income statement'!I50=0,1/39,E215/'Income statement'!I50)*('Shared costs'!M21+'Assumptions'!$D$18*'Assumptions'!$D$19*12*(1+'Assumptions'!$D$13)^(6-1)*'Assumptions'!$D$21)</x:f>
        <x:v>1635.607838541307</x:v>
      </x:c>
      <x:c r="H215" s="10" t="n">
        <x:f>IF('Income statement'!I50=0,1/39,E215/'Income statement'!I50)*'Cash and capital'!I18</x:f>
        <x:v>9.086904337244546</x:v>
      </x:c>
      <x:c r="I215" s="10" t="n">
        <x:f>E215-F215-G215-H215</x:f>
        <x:v>7794.433747269618</x:v>
      </x:c>
      <x:c r="J215" s="10" t="n">
        <x:f>M176</x:f>
        <x:v>0</x:v>
      </x:c>
      <x:c r="K215" s="10" t="n">
        <x:f>MAX(0,I215-J215)</x:f>
        <x:v>7794.433747269618</x:v>
      </x:c>
      <x:c r="L215" s="10" t="n">
        <x:f>K215*'Assumptions'!$D$12</x:f>
        <x:v>1948.6084368174045</x:v>
      </x:c>
      <x:c r="M215" s="10" t="n">
        <x:f>MAX(0,J215-I215)</x:f>
        <x:v>0</x:v>
      </x:c>
    </x:row>
    <x:row r="216" ht="16" customHeight="1">
      <x:c r="A216" s="1"/>
      <x:c r="B216" s="1"/>
      <x:c r="C216" s="1" t="str">
        <x:v>VraiSkill teen</x:v>
      </x:c>
      <x:c r="D216" s="10" t="n">
        <x:v>6</x:v>
      </x:c>
      <x:c r="E216" s="10" t="n">
        <x:f>SUMIF('Revenue and costs'!$D$648:$D$775,C216,'Revenue and costs'!N648:N775)</x:f>
        <x:v>18194.563147956294</x:v>
      </x:c>
      <x:c r="F216" s="10" t="n">
        <x:f>SUMIF('Revenue and costs'!$D$648:$D$775,C216,'Revenue and costs'!O648:O775)+SUMIF('Revenue and costs'!$D$648:$D$775,C216,'Revenue and costs'!P648:P775)+SUMIF('Revenue and costs'!$D$648:$D$775,C216,'Revenue and costs'!Q648:Q775)+SUMIF('Revenue and costs'!$D$648:$D$775,C216,'Revenue and costs'!R648:R775)+SUMIF('Revenue and costs'!$D$648:$D$775,C216,'Revenue and costs'!S648:S775)+SUMIF('Revenue and costs'!$D$648:$D$775,C216,'Revenue and costs'!T648:T775)+SUMIF('Revenue and costs'!$D$648:$D$775,C216,'Revenue and costs'!U648:U775)+SUMIF('Revenue and costs'!$D$648:$D$775,C216,'Revenue and costs'!V648:V775)+SUMIF('Revenue and costs'!$D$648:$D$775,C216,'Revenue and costs'!AE648:AE775)</x:f>
        <x:v>8714.421634478253</x:v>
      </x:c>
      <x:c r="G216" s="10" t="n">
        <x:f>IF('Income statement'!I50=0,1/39,E216/'Income statement'!I50)*('Shared costs'!M21+'Assumptions'!$D$18*'Assumptions'!$D$19*12*(1+'Assumptions'!$D$13)^(6-1)*'Assumptions'!$D$21)</x:f>
        <x:v>727.240567823309</x:v>
      </x:c>
      <x:c r="H216" s="10" t="n">
        <x:f>IF('Income statement'!I50=0,1/39,E216/'Income statement'!I50)*'Cash and capital'!I18</x:f>
        <x:v>4.040311689791966</x:v>
      </x:c>
      <x:c r="I216" s="10" t="n">
        <x:f>E216-F216-G216-H216</x:f>
        <x:v>8748.86063396494</x:v>
      </x:c>
      <x:c r="J216" s="10" t="n">
        <x:f>M177</x:f>
        <x:v>0</x:v>
      </x:c>
      <x:c r="K216" s="10" t="n">
        <x:f>MAX(0,I216-J216)</x:f>
        <x:v>8748.86063396494</x:v>
      </x:c>
      <x:c r="L216" s="10" t="n">
        <x:f>K216*'Assumptions'!$D$12</x:f>
        <x:v>2187.215158491235</x:v>
      </x:c>
      <x:c r="M216" s="10" t="n">
        <x:f>MAX(0,J216-I216)</x:f>
        <x:v>0</x:v>
      </x:c>
    </x:row>
    <x:row r="217" ht="16" customHeight="1">
      <x:c r="A217" s="1"/>
      <x:c r="B217" s="1"/>
      <x:c r="C217" s="1" t="str">
        <x:v>VraiSkill Model Life</x:v>
      </x:c>
      <x:c r="D217" s="10" t="n">
        <x:v>6</x:v>
      </x:c>
      <x:c r="E217" s="10" t="n">
        <x:f>SUMIF('Revenue and costs'!$D$648:$D$775,C217,'Revenue and costs'!N648:N775)</x:f>
        <x:v>0</x:v>
      </x:c>
      <x:c r="F217" s="10" t="n">
        <x:f>SUMIF('Revenue and costs'!$D$648:$D$775,C217,'Revenue and costs'!O648:O775)+SUMIF('Revenue and costs'!$D$648:$D$775,C217,'Revenue and costs'!P648:P775)+SUMIF('Revenue and costs'!$D$648:$D$775,C217,'Revenue and costs'!Q648:Q775)+SUMIF('Revenue and costs'!$D$648:$D$775,C217,'Revenue and costs'!R648:R775)+SUMIF('Revenue and costs'!$D$648:$D$775,C217,'Revenue and costs'!S648:S775)+SUMIF('Revenue and costs'!$D$648:$D$775,C217,'Revenue and costs'!T648:T775)+SUMIF('Revenue and costs'!$D$648:$D$775,C217,'Revenue and costs'!U648:U775)+SUMIF('Revenue and costs'!$D$648:$D$775,C217,'Revenue and costs'!V648:V775)+SUMIF('Revenue and costs'!$D$648:$D$775,C217,'Revenue and costs'!AE648:AE775)</x:f>
        <x:v>0</x:v>
      </x:c>
      <x:c r="G217" s="10" t="n">
        <x:f>IF('Income statement'!I50=0,1/39,E217/'Income statement'!I50)*('Shared costs'!M21+'Assumptions'!$D$18*'Assumptions'!$D$19*12*(1+'Assumptions'!$D$13)^(6-1)*'Assumptions'!$D$21)</x:f>
        <x:v>0</x:v>
      </x:c>
      <x:c r="H217" s="10" t="n">
        <x:f>IF('Income statement'!I50=0,1/39,E217/'Income statement'!I50)*'Cash and capital'!I18</x:f>
        <x:v>0</x:v>
      </x:c>
      <x:c r="I217" s="10" t="n">
        <x:f>E217-F217-G217-H217</x:f>
        <x:v>0</x:v>
      </x:c>
      <x:c r="J217" s="10" t="n">
        <x:f>M178</x:f>
        <x:v>0</x:v>
      </x:c>
      <x:c r="K217" s="10" t="n">
        <x:f>MAX(0,I217-J217)</x:f>
        <x:v>0</x:v>
      </x:c>
      <x:c r="L217" s="10" t="n">
        <x:f>K217*'Assumptions'!$D$12</x:f>
        <x:v>0</x:v>
      </x:c>
      <x:c r="M217" s="10" t="n">
        <x:f>MAX(0,J217-I217)</x:f>
        <x:v>0</x:v>
      </x:c>
    </x:row>
    <x:row r="218" ht="16" customHeight="1">
      <x:c r="A218" s="1"/>
      <x:c r="B218" s="1"/>
      <x:c r="C218" s="1" t="str">
        <x:v>Model Life</x:v>
      </x:c>
      <x:c r="D218" s="10" t="n">
        <x:v>6</x:v>
      </x:c>
      <x:c r="E218" s="10" t="n">
        <x:f>SUMIF('Revenue and costs'!$D$648:$D$775,C218,'Revenue and costs'!N648:N775)</x:f>
        <x:v>57637.73347063601</x:v>
      </x:c>
      <x:c r="F218" s="10" t="n">
        <x:f>SUMIF('Revenue and costs'!$D$648:$D$775,C218,'Revenue and costs'!O648:O775)+SUMIF('Revenue and costs'!$D$648:$D$775,C218,'Revenue and costs'!P648:P775)+SUMIF('Revenue and costs'!$D$648:$D$775,C218,'Revenue and costs'!Q648:Q775)+SUMIF('Revenue and costs'!$D$648:$D$775,C218,'Revenue and costs'!R648:R775)+SUMIF('Revenue and costs'!$D$648:$D$775,C218,'Revenue and costs'!S648:S775)+SUMIF('Revenue and costs'!$D$648:$D$775,C218,'Revenue and costs'!T648:T775)+SUMIF('Revenue and costs'!$D$648:$D$775,C218,'Revenue and costs'!U648:U775)+SUMIF('Revenue and costs'!$D$648:$D$775,C218,'Revenue and costs'!V648:V775)+SUMIF('Revenue and costs'!$D$648:$D$775,C218,'Revenue and costs'!AE648:AE775)</x:f>
        <x:v>18213.53281382296</x:v>
      </x:c>
      <x:c r="G218" s="10" t="n">
        <x:f>IF('Income statement'!I50=0,1/39,E218/'Income statement'!I50)*('Shared costs'!M21+'Assumptions'!$D$18*'Assumptions'!$D$19*12*(1+'Assumptions'!$D$13)^(6-1)*'Assumptions'!$D$21)</x:f>
        <x:v>2303.792494294767</x:v>
      </x:c>
      <x:c r="H218" s="10" t="n">
        <x:f>IF('Income statement'!I50=0,1/39,E218/'Income statement'!I50)*'Cash and capital'!I18</x:f>
        <x:v>12.799120617561075</x:v>
      </x:c>
      <x:c r="I218" s="10" t="n">
        <x:f>E218-F218-G218-H218</x:f>
        <x:v>37107.60904190073</x:v>
      </x:c>
      <x:c r="J218" s="10" t="n">
        <x:f>M179</x:f>
        <x:v>0</x:v>
      </x:c>
      <x:c r="K218" s="10" t="n">
        <x:f>MAX(0,I218-J218)</x:f>
        <x:v>37107.60904190073</x:v>
      </x:c>
      <x:c r="L218" s="10" t="n">
        <x:f>K218*'Assumptions'!$D$12</x:f>
        <x:v>9276.902260475183</x:v>
      </x:c>
      <x:c r="M218" s="10" t="n">
        <x:f>MAX(0,J218-I218)</x:f>
        <x:v>0</x:v>
      </x:c>
    </x:row>
    <x:row r="219" ht="16" customHeight="1">
      <x:c r="A219" s="1"/>
      <x:c r="B219" s="1"/>
      <x:c r="C219" s="1" t="str">
        <x:v>S’otality cleaning</x:v>
      </x:c>
      <x:c r="D219" s="10" t="n">
        <x:v>6</x:v>
      </x:c>
      <x:c r="E219" s="10" t="n">
        <x:f>SUMIF('Revenue and costs'!$D$648:$D$775,C219,'Revenue and costs'!N648:N775)</x:f>
        <x:v>203895.4766864113</x:v>
      </x:c>
      <x:c r="F219" s="10" t="n">
        <x:f>SUMIF('Revenue and costs'!$D$648:$D$775,C219,'Revenue and costs'!O648:O775)+SUMIF('Revenue and costs'!$D$648:$D$775,C219,'Revenue and costs'!P648:P775)+SUMIF('Revenue and costs'!$D$648:$D$775,C219,'Revenue and costs'!Q648:Q775)+SUMIF('Revenue and costs'!$D$648:$D$775,C219,'Revenue and costs'!R648:R775)+SUMIF('Revenue and costs'!$D$648:$D$775,C219,'Revenue and costs'!S648:S775)+SUMIF('Revenue and costs'!$D$648:$D$775,C219,'Revenue and costs'!T648:T775)+SUMIF('Revenue and costs'!$D$648:$D$775,C219,'Revenue and costs'!U648:U775)+SUMIF('Revenue and costs'!$D$648:$D$775,C219,'Revenue and costs'!V648:V775)+SUMIF('Revenue and costs'!$D$648:$D$775,C219,'Revenue and costs'!AE648:AE775)</x:f>
        <x:v>174507.8510060584</x:v>
      </x:c>
      <x:c r="G219" s="10" t="n">
        <x:f>IF('Income statement'!I50=0,1/39,E219/'Income statement'!I50)*('Shared costs'!M21+'Assumptions'!$D$18*'Assumptions'!$D$19*12*(1+'Assumptions'!$D$13)^(6-1)*'Assumptions'!$D$21)</x:f>
        <x:v>8149.745670518377</x:v>
      </x:c>
      <x:c r="H219" s="10" t="n">
        <x:f>IF('Income statement'!I50=0,1/39,E219/'Income statement'!I50)*'Cash and capital'!I18</x:f>
        <x:v>45.27733209380992</x:v>
      </x:c>
      <x:c r="I219" s="10" t="n">
        <x:f>E219-F219-G219-H219</x:f>
        <x:v>21192.602677740724</x:v>
      </x:c>
      <x:c r="J219" s="10" t="n">
        <x:f>M180</x:f>
        <x:v>0</x:v>
      </x:c>
      <x:c r="K219" s="10" t="n">
        <x:f>MAX(0,I219-J219)</x:f>
        <x:v>21192.602677740724</x:v>
      </x:c>
      <x:c r="L219" s="10" t="n">
        <x:f>K219*'Assumptions'!$D$12</x:f>
        <x:v>5298.150669435181</x:v>
      </x:c>
      <x:c r="M219" s="10" t="n">
        <x:f>MAX(0,J219-I219)</x:f>
        <x:v>0</x:v>
      </x:c>
    </x:row>
    <x:row r="220" ht="16" customHeight="1">
      <x:c r="A220" s="1"/>
      <x:c r="B220" s="1"/>
      <x:c r="C220" s="1" t="str">
        <x:v>S’otality laundry</x:v>
      </x:c>
      <x:c r="D220" s="10" t="n">
        <x:v>6</x:v>
      </x:c>
      <x:c r="E220" s="10" t="n">
        <x:f>SUMIF('Revenue and costs'!$D$648:$D$775,C220,'Revenue and costs'!N648:N775)</x:f>
        <x:v>31602.628418674543</x:v>
      </x:c>
      <x:c r="F220" s="10" t="n">
        <x:f>SUMIF('Revenue and costs'!$D$648:$D$775,C220,'Revenue and costs'!O648:O775)+SUMIF('Revenue and costs'!$D$648:$D$775,C220,'Revenue and costs'!P648:P775)+SUMIF('Revenue and costs'!$D$648:$D$775,C220,'Revenue and costs'!Q648:Q775)+SUMIF('Revenue and costs'!$D$648:$D$775,C220,'Revenue and costs'!R648:R775)+SUMIF('Revenue and costs'!$D$648:$D$775,C220,'Revenue and costs'!S648:S775)+SUMIF('Revenue and costs'!$D$648:$D$775,C220,'Revenue and costs'!T648:T775)+SUMIF('Revenue and costs'!$D$648:$D$775,C220,'Revenue and costs'!U648:U775)+SUMIF('Revenue and costs'!$D$648:$D$775,C220,'Revenue and costs'!V648:V775)+SUMIF('Revenue and costs'!$D$648:$D$775,C220,'Revenue and costs'!AE648:AE775)</x:f>
        <x:v>28949.86826676487</x:v>
      </x:c>
      <x:c r="G220" s="10" t="n">
        <x:f>IF('Income statement'!I50=0,1/39,E220/'Income statement'!I50)*('Shared costs'!M21+'Assumptions'!$D$18*'Assumptions'!$D$19*12*(1+'Assumptions'!$D$13)^(6-1)*'Assumptions'!$D$21)</x:f>
        <x:v>1263.1637950860859</x:v>
      </x:c>
      <x:c r="H220" s="10" t="n">
        <x:f>IF('Income statement'!I50=0,1/39,E220/'Income statement'!I50)*'Cash and capital'!I18</x:f>
        <x:v>7.017726558742066</x:v>
      </x:c>
      <x:c r="I220" s="10" t="n">
        <x:f>E220-F220-G220-H220</x:f>
        <x:v>1382.5786302648437</x:v>
      </x:c>
      <x:c r="J220" s="10" t="n">
        <x:f>M181</x:f>
        <x:v>0</x:v>
      </x:c>
      <x:c r="K220" s="10" t="n">
        <x:f>MAX(0,I220-J220)</x:f>
        <x:v>1382.5786302648437</x:v>
      </x:c>
      <x:c r="L220" s="10" t="n">
        <x:f>K220*'Assumptions'!$D$12</x:f>
        <x:v>345.6446575662109</x:v>
      </x:c>
      <x:c r="M220" s="10" t="n">
        <x:f>MAX(0,J220-I220)</x:f>
        <x:v>0</x:v>
      </x:c>
    </x:row>
    <x:row r="221" ht="16" customHeight="1">
      <x:c r="A221" s="1"/>
      <x:c r="B221" s="1"/>
      <x:c r="C221" s="1" t="str">
        <x:v>S’otality Personal Chef</x:v>
      </x:c>
      <x:c r="D221" s="10" t="n">
        <x:v>6</x:v>
      </x:c>
      <x:c r="E221" s="10" t="n">
        <x:f>SUMIF('Revenue and costs'!$D$648:$D$775,C221,'Revenue and costs'!N648:N775)</x:f>
        <x:v>56248.34350679421</x:v>
      </x:c>
      <x:c r="F221" s="10" t="n">
        <x:f>SUMIF('Revenue and costs'!$D$648:$D$775,C221,'Revenue and costs'!O648:O775)+SUMIF('Revenue and costs'!$D$648:$D$775,C221,'Revenue and costs'!P648:P775)+SUMIF('Revenue and costs'!$D$648:$D$775,C221,'Revenue and costs'!Q648:Q775)+SUMIF('Revenue and costs'!$D$648:$D$775,C221,'Revenue and costs'!R648:R775)+SUMIF('Revenue and costs'!$D$648:$D$775,C221,'Revenue and costs'!S648:S775)+SUMIF('Revenue and costs'!$D$648:$D$775,C221,'Revenue and costs'!T648:T775)+SUMIF('Revenue and costs'!$D$648:$D$775,C221,'Revenue and costs'!U648:U775)+SUMIF('Revenue and costs'!$D$648:$D$775,C221,'Revenue and costs'!V648:V775)+SUMIF('Revenue and costs'!$D$648:$D$775,C221,'Revenue and costs'!AE648:AE775)</x:f>
        <x:v>44752.49264520603</x:v>
      </x:c>
      <x:c r="G221" s="10" t="n">
        <x:f>IF('Income statement'!I50=0,1/39,E221/'Income statement'!I50)*('Shared costs'!M21+'Assumptions'!$D$18*'Assumptions'!$D$19*12*(1+'Assumptions'!$D$13)^(6-1)*'Assumptions'!$D$21)</x:f>
        <x:v>2248.2582812435558</x:v>
      </x:c>
      <x:c r="H221" s="10" t="n">
        <x:f>IF('Income statement'!I50=0,1/39,E221/'Income statement'!I50)*'Cash and capital'!I18</x:f>
        <x:v>12.490590620608648</x:v>
      </x:c>
      <x:c r="I221" s="10" t="n">
        <x:f>E221-F221-G221-H221</x:f>
        <x:v>9235.101989724015</x:v>
      </x:c>
      <x:c r="J221" s="10" t="n">
        <x:f>M182</x:f>
        <x:v>0</x:v>
      </x:c>
      <x:c r="K221" s="10" t="n">
        <x:f>MAX(0,I221-J221)</x:f>
        <x:v>9235.101989724015</x:v>
      </x:c>
      <x:c r="L221" s="10" t="n">
        <x:f>K221*'Assumptions'!$D$12</x:f>
        <x:v>2308.7754974310037</x:v>
      </x:c>
      <x:c r="M221" s="10" t="n">
        <x:f>MAX(0,J221-I221)</x:f>
        <x:v>0</x:v>
      </x:c>
    </x:row>
    <x:row r="222" ht="16" customHeight="1">
      <x:c r="A222" s="1"/>
      <x:c r="B222" s="1"/>
      <x:c r="C222" s="1" t="str">
        <x:v>S’otality interiors</x:v>
      </x:c>
      <x:c r="D222" s="10" t="n">
        <x:v>6</x:v>
      </x:c>
      <x:c r="E222" s="10" t="n">
        <x:f>SUMIF('Revenue and costs'!$D$648:$D$775,C222,'Revenue and costs'!N648:N775)</x:f>
        <x:v>73910.8009733831</x:v>
      </x:c>
      <x:c r="F222" s="10" t="n">
        <x:f>SUMIF('Revenue and costs'!$D$648:$D$775,C222,'Revenue and costs'!O648:O775)+SUMIF('Revenue and costs'!$D$648:$D$775,C222,'Revenue and costs'!P648:P775)+SUMIF('Revenue and costs'!$D$648:$D$775,C222,'Revenue and costs'!Q648:Q775)+SUMIF('Revenue and costs'!$D$648:$D$775,C222,'Revenue and costs'!R648:R775)+SUMIF('Revenue and costs'!$D$648:$D$775,C222,'Revenue and costs'!S648:S775)+SUMIF('Revenue and costs'!$D$648:$D$775,C222,'Revenue and costs'!T648:T775)+SUMIF('Revenue and costs'!$D$648:$D$775,C222,'Revenue and costs'!U648:U775)+SUMIF('Revenue and costs'!$D$648:$D$775,C222,'Revenue and costs'!V648:V775)+SUMIF('Revenue and costs'!$D$648:$D$775,C222,'Revenue and costs'!AE648:AE775)</x:f>
        <x:v>44813.92032772285</x:v>
      </x:c>
      <x:c r="G222" s="10" t="n">
        <x:f>IF('Income statement'!I50=0,1/39,E222/'Income statement'!I50)*('Shared costs'!M21+'Assumptions'!$D$18*'Assumptions'!$D$19*12*(1+'Assumptions'!$D$13)^(6-1)*'Assumptions'!$D$21)</x:f>
        <x:v>2954.2304715459068</x:v>
      </x:c>
      <x:c r="H222" s="10" t="n">
        <x:f>IF('Income statement'!I50=0,1/39,E222/'Income statement'!I50)*'Cash and capital'!I18</x:f>
        <x:v>16.412742133255886</x:v>
      </x:c>
      <x:c r="I222" s="10" t="n">
        <x:f>E222-F222-G222-H222</x:f>
        <x:v>26126.237431981084</x:v>
      </x:c>
      <x:c r="J222" s="10" t="n">
        <x:f>M183</x:f>
        <x:v>0</x:v>
      </x:c>
      <x:c r="K222" s="10" t="n">
        <x:f>MAX(0,I222-J222)</x:f>
        <x:v>26126.237431981084</x:v>
      </x:c>
      <x:c r="L222" s="10" t="n">
        <x:f>K222*'Assumptions'!$D$12</x:f>
        <x:v>6531.559357995271</x:v>
      </x:c>
      <x:c r="M222" s="10" t="n">
        <x:f>MAX(0,J222-I222)</x:f>
        <x:v>0</x:v>
      </x:c>
    </x:row>
    <x:row r="223" ht="16" customHeight="1">
      <x:c r="A223" s="1"/>
      <x:c r="B223" s="1"/>
      <x:c r="C223" s="1" t="str">
        <x:v>S’otality concierge</x:v>
      </x:c>
      <x:c r="D223" s="10" t="n">
        <x:v>6</x:v>
      </x:c>
      <x:c r="E223" s="10" t="n">
        <x:f>SUMIF('Revenue and costs'!$D$648:$D$775,C223,'Revenue and costs'!N648:N775)</x:f>
        <x:v>27370.785305023845</x:v>
      </x:c>
      <x:c r="F223" s="10" t="n">
        <x:f>SUMIF('Revenue and costs'!$D$648:$D$775,C223,'Revenue and costs'!O648:O775)+SUMIF('Revenue and costs'!$D$648:$D$775,C223,'Revenue and costs'!P648:P775)+SUMIF('Revenue and costs'!$D$648:$D$775,C223,'Revenue and costs'!Q648:Q775)+SUMIF('Revenue and costs'!$D$648:$D$775,C223,'Revenue and costs'!R648:R775)+SUMIF('Revenue and costs'!$D$648:$D$775,C223,'Revenue and costs'!S648:S775)+SUMIF('Revenue and costs'!$D$648:$D$775,C223,'Revenue and costs'!T648:T775)+SUMIF('Revenue and costs'!$D$648:$D$775,C223,'Revenue and costs'!U648:U775)+SUMIF('Revenue and costs'!$D$648:$D$775,C223,'Revenue and costs'!V648:V775)+SUMIF('Revenue and costs'!$D$648:$D$775,C223,'Revenue and costs'!AE648:AE775)</x:f>
        <x:v>15347.91486338618</x:v>
      </x:c>
      <x:c r="G223" s="10" t="n">
        <x:f>IF('Income statement'!I50=0,1/39,E223/'Income statement'!I50)*('Shared costs'!M21+'Assumptions'!$D$18*'Assumptions'!$D$19*12*(1+'Assumptions'!$D$13)^(6-1)*'Assumptions'!$D$21)</x:f>
        <x:v>1094.0161236699585</x:v>
      </x:c>
      <x:c r="H223" s="10" t="n">
        <x:f>IF('Income statement'!I50=0,1/39,E223/'Income statement'!I50)*'Cash and capital'!I18</x:f>
        <x:v>6.077997197701096</x:v>
      </x:c>
      <x:c r="I223" s="10" t="n">
        <x:f>E223-F223-G223-H223</x:f>
        <x:v>10922.776320770005</x:v>
      </x:c>
      <x:c r="J223" s="10" t="n">
        <x:f>M184</x:f>
        <x:v>0</x:v>
      </x:c>
      <x:c r="K223" s="10" t="n">
        <x:f>MAX(0,I223-J223)</x:f>
        <x:v>10922.776320770005</x:v>
      </x:c>
      <x:c r="L223" s="10" t="n">
        <x:f>K223*'Assumptions'!$D$12</x:f>
        <x:v>2730.694080192501</x:v>
      </x:c>
      <x:c r="M223" s="10" t="n">
        <x:f>MAX(0,J223-I223)</x:f>
        <x:v>0</x:v>
      </x:c>
    </x:row>
    <x:row r="224" ht="16" customHeight="1">
      <x:c r="A224" s="1"/>
      <x:c r="B224" s="1"/>
      <x:c r="C224" s="1" t="str">
        <x:v>S’otality administration</x:v>
      </x:c>
      <x:c r="D224" s="10" t="n">
        <x:v>6</x:v>
      </x:c>
      <x:c r="E224" s="10" t="n">
        <x:f>SUMIF('Revenue and costs'!$D$648:$D$775,C224,'Revenue and costs'!N648:N775)</x:f>
        <x:v>43793.25648803815</x:v>
      </x:c>
      <x:c r="F224" s="10" t="n">
        <x:f>SUMIF('Revenue and costs'!$D$648:$D$775,C224,'Revenue and costs'!O648:O775)+SUMIF('Revenue and costs'!$D$648:$D$775,C224,'Revenue and costs'!P648:P775)+SUMIF('Revenue and costs'!$D$648:$D$775,C224,'Revenue and costs'!Q648:Q775)+SUMIF('Revenue and costs'!$D$648:$D$775,C224,'Revenue and costs'!R648:R775)+SUMIF('Revenue and costs'!$D$648:$D$775,C224,'Revenue and costs'!S648:S775)+SUMIF('Revenue and costs'!$D$648:$D$775,C224,'Revenue and costs'!T648:T775)+SUMIF('Revenue and costs'!$D$648:$D$775,C224,'Revenue and costs'!U648:U775)+SUMIF('Revenue and costs'!$D$648:$D$775,C224,'Revenue and costs'!V648:V775)+SUMIF('Revenue and costs'!$D$648:$D$775,C224,'Revenue and costs'!AE648:AE775)</x:f>
        <x:v>32893.36587362662</x:v>
      </x:c>
      <x:c r="G224" s="10" t="n">
        <x:f>IF('Income statement'!I50=0,1/39,E224/'Income statement'!I50)*('Shared costs'!M21+'Assumptions'!$D$18*'Assumptions'!$D$19*12*(1+'Assumptions'!$D$13)^(6-1)*'Assumptions'!$D$21)</x:f>
        <x:v>1750.4257978719334</x:v>
      </x:c>
      <x:c r="H224" s="10" t="n">
        <x:f>IF('Income statement'!I50=0,1/39,E224/'Income statement'!I50)*'Cash and capital'!I18</x:f>
        <x:v>9.724795516321754</x:v>
      </x:c>
      <x:c r="I224" s="10" t="n">
        <x:f>E224-F224-G224-H224</x:f>
        <x:v>9139.74002102327</x:v>
      </x:c>
      <x:c r="J224" s="10" t="n">
        <x:f>M185</x:f>
        <x:v>0</x:v>
      </x:c>
      <x:c r="K224" s="10" t="n">
        <x:f>MAX(0,I224-J224)</x:f>
        <x:v>9139.74002102327</x:v>
      </x:c>
      <x:c r="L224" s="10" t="n">
        <x:f>K224*'Assumptions'!$D$12</x:f>
        <x:v>2284.9350052558175</x:v>
      </x:c>
      <x:c r="M224" s="10" t="n">
        <x:f>MAX(0,J224-I224)</x:f>
        <x:v>0</x:v>
      </x:c>
    </x:row>
    <x:row r="225" ht="16" customHeight="1">
      <x:c r="A225" s="1"/>
      <x:c r="B225" s="1"/>
      <x:c r="C225" s="1" t="str">
        <x:v>S’otality bike tours</x:v>
      </x:c>
      <x:c r="D225" s="10" t="n">
        <x:v>6</x:v>
      </x:c>
      <x:c r="E225" s="10" t="n">
        <x:f>SUMIF('Revenue and costs'!$D$648:$D$775,C225,'Revenue and costs'!N648:N775)</x:f>
        <x:v>22499.337402717683</x:v>
      </x:c>
      <x:c r="F225" s="10" t="n">
        <x:f>SUMIF('Revenue and costs'!$D$648:$D$775,C225,'Revenue and costs'!O648:O775)+SUMIF('Revenue and costs'!$D$648:$D$775,C225,'Revenue and costs'!P648:P775)+SUMIF('Revenue and costs'!$D$648:$D$775,C225,'Revenue and costs'!Q648:Q775)+SUMIF('Revenue and costs'!$D$648:$D$775,C225,'Revenue and costs'!R648:R775)+SUMIF('Revenue and costs'!$D$648:$D$775,C225,'Revenue and costs'!S648:S775)+SUMIF('Revenue and costs'!$D$648:$D$775,C225,'Revenue and costs'!T648:T775)+SUMIF('Revenue and costs'!$D$648:$D$775,C225,'Revenue and costs'!U648:U775)+SUMIF('Revenue and costs'!$D$648:$D$775,C225,'Revenue and costs'!V648:V775)+SUMIF('Revenue and costs'!$D$648:$D$775,C225,'Revenue and costs'!AE648:AE775)</x:f>
        <x:v>18196.115466606974</x:v>
      </x:c>
      <x:c r="G225" s="10" t="n">
        <x:f>IF('Income statement'!I50=0,1/39,E225/'Income statement'!I50)*('Shared costs'!M21+'Assumptions'!$D$18*'Assumptions'!$D$19*12*(1+'Assumptions'!$D$13)^(6-1)*'Assumptions'!$D$21)</x:f>
        <x:v>899.3033124974222</x:v>
      </x:c>
      <x:c r="H225" s="10" t="n">
        <x:f>IF('Income statement'!I50=0,1/39,E225/'Income statement'!I50)*'Cash and capital'!I18</x:f>
        <x:v>4.996236248243459</x:v>
      </x:c>
      <x:c r="I225" s="10" t="n">
        <x:f>E225-F225-G225-H225</x:f>
        <x:v>3398.9223873650435</x:v>
      </x:c>
      <x:c r="J225" s="10" t="n">
        <x:f>M186</x:f>
        <x:v>0</x:v>
      </x:c>
      <x:c r="K225" s="10" t="n">
        <x:f>MAX(0,I225-J225)</x:f>
        <x:v>3398.9223873650435</x:v>
      </x:c>
      <x:c r="L225" s="10" t="n">
        <x:f>K225*'Assumptions'!$D$12</x:f>
        <x:v>849.7305968412609</x:v>
      </x:c>
      <x:c r="M225" s="10" t="n">
        <x:f>MAX(0,J225-I225)</x:f>
        <x:v>0</x:v>
      </x:c>
    </x:row>
    <x:row r="226" ht="16" customHeight="1">
      <x:c r="A226" s="1"/>
      <x:c r="B226" s="1"/>
      <x:c r="C226" s="1" t="str">
        <x:v>S’otality editorial</x:v>
      </x:c>
      <x:c r="D226" s="10" t="n">
        <x:v>6</x:v>
      </x:c>
      <x:c r="E226" s="10" t="n">
        <x:f>SUMIF('Revenue and costs'!$D$648:$D$775,C226,'Revenue and costs'!N648:N775)</x:f>
        <x:v>10992.838654367639</x:v>
      </x:c>
      <x:c r="F226" s="10" t="n">
        <x:f>SUMIF('Revenue and costs'!$D$648:$D$775,C226,'Revenue and costs'!O648:O775)+SUMIF('Revenue and costs'!$D$648:$D$775,C226,'Revenue and costs'!P648:P775)+SUMIF('Revenue and costs'!$D$648:$D$775,C226,'Revenue and costs'!Q648:Q775)+SUMIF('Revenue and costs'!$D$648:$D$775,C226,'Revenue and costs'!R648:R775)+SUMIF('Revenue and costs'!$D$648:$D$775,C226,'Revenue and costs'!S648:S775)+SUMIF('Revenue and costs'!$D$648:$D$775,C226,'Revenue and costs'!T648:T775)+SUMIF('Revenue and costs'!$D$648:$D$775,C226,'Revenue and costs'!U648:U775)+SUMIF('Revenue and costs'!$D$648:$D$775,C226,'Revenue and costs'!V648:V775)+SUMIF('Revenue and costs'!$D$648:$D$775,C226,'Revenue and costs'!AE648:AE775)</x:f>
        <x:v>6110.851685719584</x:v>
      </x:c>
      <x:c r="G226" s="10" t="n">
        <x:f>IF('Income statement'!I50=0,1/39,E226/'Income statement'!I50)*('Shared costs'!M21+'Assumptions'!$D$18*'Assumptions'!$D$19*12*(1+'Assumptions'!$D$13)^(6-1)*'Assumptions'!$D$21)</x:f>
        <x:v>439.3861045182784</x:v>
      </x:c>
      <x:c r="H226" s="10" t="n">
        <x:f>IF('Income statement'!I50=0,1/39,E226/'Income statement'!I50)*'Cash and capital'!I18</x:f>
        <x:v>2.441086062801536</x:v>
      </x:c>
      <x:c r="I226" s="10" t="n">
        <x:f>E226-F226-G226-H226</x:f>
        <x:v>4440.159778066975</x:v>
      </x:c>
      <x:c r="J226" s="10" t="n">
        <x:f>M187</x:f>
        <x:v>0</x:v>
      </x:c>
      <x:c r="K226" s="10" t="n">
        <x:f>MAX(0,I226-J226)</x:f>
        <x:v>4440.159778066975</x:v>
      </x:c>
      <x:c r="L226" s="10" t="n">
        <x:f>K226*'Assumptions'!$D$12</x:f>
        <x:v>1110.0399445167438</x:v>
      </x:c>
      <x:c r="M226" s="10" t="n">
        <x:f>MAX(0,J226-I226)</x:f>
        <x:v>0</x:v>
      </x:c>
    </x:row>
    <x:row r="227" ht="16" customHeight="1">
      <x:c r="A227" s="1"/>
      <x:c r="B227" s="1"/>
      <x:c r="C227" s="1" t="str">
        <x:v>Tomato Odyssey</x:v>
      </x:c>
      <x:c r="D227" s="10" t="n">
        <x:v>6</x:v>
      </x:c>
      <x:c r="E227" s="10" t="n">
        <x:f>SUMIF('Revenue and costs'!$D$648:$D$775,C227,'Revenue and costs'!N648:N775)</x:f>
        <x:v>10992.838654367639</x:v>
      </x:c>
      <x:c r="F227" s="10" t="n">
        <x:f>SUMIF('Revenue and costs'!$D$648:$D$775,C227,'Revenue and costs'!O648:O775)+SUMIF('Revenue and costs'!$D$648:$D$775,C227,'Revenue and costs'!P648:P775)+SUMIF('Revenue and costs'!$D$648:$D$775,C227,'Revenue and costs'!Q648:Q775)+SUMIF('Revenue and costs'!$D$648:$D$775,C227,'Revenue and costs'!R648:R775)+SUMIF('Revenue and costs'!$D$648:$D$775,C227,'Revenue and costs'!S648:S775)+SUMIF('Revenue and costs'!$D$648:$D$775,C227,'Revenue and costs'!T648:T775)+SUMIF('Revenue and costs'!$D$648:$D$775,C227,'Revenue and costs'!U648:U775)+SUMIF('Revenue and costs'!$D$648:$D$775,C227,'Revenue and costs'!V648:V775)+SUMIF('Revenue and costs'!$D$648:$D$775,C227,'Revenue and costs'!AE648:AE775)</x:f>
        <x:v>6110.851685719584</x:v>
      </x:c>
      <x:c r="G227" s="10" t="n">
        <x:f>IF('Income statement'!I50=0,1/39,E227/'Income statement'!I50)*('Shared costs'!M21+'Assumptions'!$D$18*'Assumptions'!$D$19*12*(1+'Assumptions'!$D$13)^(6-1)*'Assumptions'!$D$21)</x:f>
        <x:v>439.3861045182784</x:v>
      </x:c>
      <x:c r="H227" s="10" t="n">
        <x:f>IF('Income statement'!I50=0,1/39,E227/'Income statement'!I50)*'Cash and capital'!I18</x:f>
        <x:v>2.441086062801536</x:v>
      </x:c>
      <x:c r="I227" s="10" t="n">
        <x:f>E227-F227-G227-H227</x:f>
        <x:v>4440.159778066975</x:v>
      </x:c>
      <x:c r="J227" s="10" t="n">
        <x:f>M188</x:f>
        <x:v>0</x:v>
      </x:c>
      <x:c r="K227" s="10" t="n">
        <x:f>MAX(0,I227-J227)</x:f>
        <x:v>4440.159778066975</x:v>
      </x:c>
      <x:c r="L227" s="10" t="n">
        <x:f>K227*'Assumptions'!$D$12</x:f>
        <x:v>1110.0399445167438</x:v>
      </x:c>
      <x:c r="M227" s="10" t="n">
        <x:f>MAX(0,J227-I227)</x:f>
        <x:v>0</x:v>
      </x:c>
    </x:row>
    <x:row r="228" ht="16" customHeight="1">
      <x:c r="A228" s="1"/>
      <x:c r="B228" s="1"/>
      <x:c r="C228" s="1" t="str">
        <x:v>Semajes Studio</x:v>
      </x:c>
      <x:c r="D228" s="10" t="n">
        <x:v>6</x:v>
      </x:c>
      <x:c r="E228" s="10" t="n">
        <x:f>SUMIF('Revenue and costs'!$D$648:$D$775,C228,'Revenue and costs'!N648:N775)</x:f>
        <x:v>142118.37276925947</x:v>
      </x:c>
      <x:c r="F228" s="10" t="n">
        <x:f>SUMIF('Revenue and costs'!$D$648:$D$775,C228,'Revenue and costs'!O648:O775)+SUMIF('Revenue and costs'!$D$648:$D$775,C228,'Revenue and costs'!P648:P775)+SUMIF('Revenue and costs'!$D$648:$D$775,C228,'Revenue and costs'!Q648:Q775)+SUMIF('Revenue and costs'!$D$648:$D$775,C228,'Revenue and costs'!R648:R775)+SUMIF('Revenue and costs'!$D$648:$D$775,C228,'Revenue and costs'!S648:S775)+SUMIF('Revenue and costs'!$D$648:$D$775,C228,'Revenue and costs'!T648:T775)+SUMIF('Revenue and costs'!$D$648:$D$775,C228,'Revenue and costs'!U648:U775)+SUMIF('Revenue and costs'!$D$648:$D$775,C228,'Revenue and costs'!V648:V775)+SUMIF('Revenue and costs'!$D$648:$D$775,C228,'Revenue and costs'!AE648:AE775)</x:f>
        <x:v>89635.47191973843</x:v>
      </x:c>
      <x:c r="G228" s="10" t="n">
        <x:f>IF('Income statement'!I50=0,1/39,E228/'Income statement'!I50)*('Shared costs'!M21+'Assumptions'!$D$18*'Assumptions'!$D$19*12*(1+'Assumptions'!$D$13)^(6-1)*'Assumptions'!$D$21)</x:f>
        <x:v>5680.501657026606</x:v>
      </x:c>
      <x:c r="H228" s="10" t="n">
        <x:f>IF('Income statement'!I50=0,1/39,E228/'Income statement'!I50)*'Cash and capital'!I18</x:f>
        <x:v>31.55901673288312</x:v>
      </x:c>
      <x:c r="I228" s="10" t="n">
        <x:f>E228-F228-G228-H228</x:f>
        <x:v>46770.84017576155</x:v>
      </x:c>
      <x:c r="J228" s="10" t="n">
        <x:f>M189</x:f>
        <x:v>0</x:v>
      </x:c>
      <x:c r="K228" s="10" t="n">
        <x:f>MAX(0,I228-J228)</x:f>
        <x:v>46770.84017576155</x:v>
      </x:c>
      <x:c r="L228" s="10" t="n">
        <x:f>K228*'Assumptions'!$D$12</x:f>
        <x:v>11692.710043940388</x:v>
      </x:c>
      <x:c r="M228" s="10" t="n">
        <x:f>MAX(0,J228-I228)</x:f>
        <x:v>0</x:v>
      </x:c>
    </x:row>
    <x:row r="229" ht="16" customHeight="1">
      <x:c r="A229" s="1"/>
      <x:c r="B229" s="1"/>
      <x:c r="C229" s="1" t="str">
        <x:v>Semajes Marketplace</x:v>
      </x:c>
      <x:c r="D229" s="10" t="n">
        <x:v>6</x:v>
      </x:c>
      <x:c r="E229" s="10" t="n">
        <x:f>SUMIF('Revenue and costs'!$D$648:$D$775,C229,'Revenue and costs'!N648:N775)</x:f>
        <x:v>39202.13489730758</x:v>
      </x:c>
      <x:c r="F229" s="10" t="n">
        <x:f>SUMIF('Revenue and costs'!$D$648:$D$775,C229,'Revenue and costs'!O648:O775)+SUMIF('Revenue and costs'!$D$648:$D$775,C229,'Revenue and costs'!P648:P775)+SUMIF('Revenue and costs'!$D$648:$D$775,C229,'Revenue and costs'!Q648:Q775)+SUMIF('Revenue and costs'!$D$648:$D$775,C229,'Revenue and costs'!R648:R775)+SUMIF('Revenue and costs'!$D$648:$D$775,C229,'Revenue and costs'!S648:S775)+SUMIF('Revenue and costs'!$D$648:$D$775,C229,'Revenue and costs'!T648:T775)+SUMIF('Revenue and costs'!$D$648:$D$775,C229,'Revenue and costs'!U648:U775)+SUMIF('Revenue and costs'!$D$648:$D$775,C229,'Revenue and costs'!V648:V775)+SUMIF('Revenue and costs'!$D$648:$D$775,C229,'Revenue and costs'!AE648:AE775)</x:f>
        <x:v>19010.011733364103</x:v>
      </x:c>
      <x:c r="G229" s="10" t="n">
        <x:f>IF('Income statement'!I50=0,1/39,E229/'Income statement'!I50)*('Shared costs'!M21+'Assumptions'!$D$18*'Assumptions'!$D$19*12*(1+'Assumptions'!$D$13)^(6-1)*'Assumptions'!$D$21)</x:f>
        <x:v>1566.9176891343084</x:v>
      </x:c>
      <x:c r="H229" s="10" t="n">
        <x:f>IF('Income statement'!I50=0,1/39,E229/'Income statement'!I50)*'Cash and capital'!I18</x:f>
        <x:v>8.70528424356176</x:v>
      </x:c>
      <x:c r="I229" s="10" t="n">
        <x:f>E229-F229-G229-H229</x:f>
        <x:v>18616.500190565606</x:v>
      </x:c>
      <x:c r="J229" s="10" t="n">
        <x:f>M190</x:f>
        <x:v>0</x:v>
      </x:c>
      <x:c r="K229" s="10" t="n">
        <x:f>MAX(0,I229-J229)</x:f>
        <x:v>18616.500190565606</x:v>
      </x:c>
      <x:c r="L229" s="10" t="n">
        <x:f>K229*'Assumptions'!$D$12</x:f>
        <x:v>4654.125047641402</x:v>
      </x:c>
      <x:c r="M229" s="10" t="n">
        <x:f>MAX(0,J229-I229)</x:f>
        <x:v>0</x:v>
      </x:c>
    </x:row>
    <x:row r="230" ht="16" customHeight="1">
      <x:c r="A230" s="1"/>
      <x:c r="B230" s="1"/>
      <x:c r="C230" s="1" t="str">
        <x:v>Semajes premium and media</x:v>
      </x:c>
      <x:c r="D230" s="10" t="n">
        <x:v>6</x:v>
      </x:c>
      <x:c r="E230" s="10" t="n">
        <x:f>SUMIF('Revenue and costs'!$D$648:$D$775,C230,'Revenue and costs'!N648:N775)</x:f>
        <x:v>27346.137883770498</x:v>
      </x:c>
      <x:c r="F230" s="10" t="n">
        <x:f>SUMIF('Revenue and costs'!$D$648:$D$775,C230,'Revenue and costs'!O648:O775)+SUMIF('Revenue and costs'!$D$648:$D$775,C230,'Revenue and costs'!P648:P775)+SUMIF('Revenue and costs'!$D$648:$D$775,C230,'Revenue and costs'!Q648:Q775)+SUMIF('Revenue and costs'!$D$648:$D$775,C230,'Revenue and costs'!R648:R775)+SUMIF('Revenue and costs'!$D$648:$D$775,C230,'Revenue and costs'!S648:S775)+SUMIF('Revenue and costs'!$D$648:$D$775,C230,'Revenue and costs'!T648:T775)+SUMIF('Revenue and costs'!$D$648:$D$775,C230,'Revenue and costs'!U648:U775)+SUMIF('Revenue and costs'!$D$648:$D$775,C230,'Revenue and costs'!V648:V775)+SUMIF('Revenue and costs'!$D$648:$D$775,C230,'Revenue and costs'!AE648:AE775)</x:f>
        <x:v>14581.094365157749</x:v>
      </x:c>
      <x:c r="G230" s="10" t="n">
        <x:f>IF('Income statement'!I50=0,1/39,E230/'Income statement'!I50)*('Shared costs'!M21+'Assumptions'!$D$18*'Assumptions'!$D$19*12*(1+'Assumptions'!$D$13)^(6-1)*'Assumptions'!$D$21)</x:f>
        <x:v>1093.030960988013</x:v>
      </x:c>
      <x:c r="H230" s="10" t="n">
        <x:f>IF('Income statement'!I50=0,1/39,E230/'Income statement'!I50)*'Cash and capital'!I18</x:f>
        <x:v>6.072523954765647</x:v>
      </x:c>
      <x:c r="I230" s="10" t="n">
        <x:f>E230-F230-G230-H230</x:f>
        <x:v>11665.94003366997</x:v>
      </x:c>
      <x:c r="J230" s="10" t="n">
        <x:f>M191</x:f>
        <x:v>0</x:v>
      </x:c>
      <x:c r="K230" s="10" t="n">
        <x:f>MAX(0,I230-J230)</x:f>
        <x:v>11665.94003366997</x:v>
      </x:c>
      <x:c r="L230" s="10" t="n">
        <x:f>K230*'Assumptions'!$D$12</x:f>
        <x:v>2916.4850084174923</x:v>
      </x:c>
      <x:c r="M230" s="10" t="n">
        <x:f>MAX(0,J230-I230)</x:f>
        <x:v>0</x:v>
      </x:c>
    </x:row>
    <x:row r="231" ht="16" customHeight="1">
      <x:c r="A231" s="1"/>
      <x:c r="B231" s="1"/>
      <x:c r="C231" s="1" t="str">
        <x:v>Semajes courses</x:v>
      </x:c>
      <x:c r="D231" s="10" t="n">
        <x:v>6</x:v>
      </x:c>
      <x:c r="E231" s="10" t="n">
        <x:f>SUMIF('Revenue and costs'!$D$648:$D$775,C231,'Revenue and costs'!N648:N775)</x:f>
        <x:v>17742.146376490877</x:v>
      </x:c>
      <x:c r="F231" s="10" t="n">
        <x:f>SUMIF('Revenue and costs'!$D$648:$D$775,C231,'Revenue and costs'!O648:O775)+SUMIF('Revenue and costs'!$D$648:$D$775,C231,'Revenue and costs'!P648:P775)+SUMIF('Revenue and costs'!$D$648:$D$775,C231,'Revenue and costs'!Q648:Q775)+SUMIF('Revenue and costs'!$D$648:$D$775,C231,'Revenue and costs'!R648:R775)+SUMIF('Revenue and costs'!$D$648:$D$775,C231,'Revenue and costs'!S648:S775)+SUMIF('Revenue and costs'!$D$648:$D$775,C231,'Revenue and costs'!T648:T775)+SUMIF('Revenue and costs'!$D$648:$D$775,C231,'Revenue and costs'!U648:U775)+SUMIF('Revenue and costs'!$D$648:$D$775,C231,'Revenue and costs'!V648:V775)+SUMIF('Revenue and costs'!$D$648:$D$775,C231,'Revenue and costs'!AE648:AE775)</x:f>
        <x:v>5607.624512046712</x:v>
      </x:c>
      <x:c r="G231" s="10" t="n">
        <x:f>IF('Income statement'!I50=0,1/39,E231/'Income statement'!I50)*('Shared costs'!M21+'Assumptions'!$D$18*'Assumptions'!$D$19*12*(1+'Assumptions'!$D$13)^(6-1)*'Assumptions'!$D$21)</x:f>
        <x:v>709.1573730195769</x:v>
      </x:c>
      <x:c r="H231" s="10" t="n">
        <x:f>IF('Income statement'!I50=0,1/39,E231/'Income statement'!I50)*'Cash and capital'!I18</x:f>
        <x:v>3.9398473502227582</x:v>
      </x:c>
      <x:c r="I231" s="10" t="n">
        <x:f>E231-F231-G231-H231</x:f>
        <x:v>11421.424644074366</x:v>
      </x:c>
      <x:c r="J231" s="10" t="n">
        <x:f>M192</x:f>
        <x:v>0</x:v>
      </x:c>
      <x:c r="K231" s="10" t="n">
        <x:f>MAX(0,I231-J231)</x:f>
        <x:v>11421.424644074366</x:v>
      </x:c>
      <x:c r="L231" s="10" t="n">
        <x:f>K231*'Assumptions'!$D$12</x:f>
        <x:v>2855.3561610185916</x:v>
      </x:c>
      <x:c r="M231" s="10" t="n">
        <x:f>MAX(0,J231-I231)</x:f>
        <x:v>0</x:v>
      </x:c>
    </x:row>
    <x:row r="232" ht="16" customHeight="1">
      <x:c r="A232" s="1"/>
      <x:c r="B232" s="1"/>
      <x:c r="C232" s="1" t="str">
        <x:v>Sleepy Face</x:v>
      </x:c>
      <x:c r="D232" s="10" t="n">
        <x:v>6</x:v>
      </x:c>
      <x:c r="E232" s="10" t="n">
        <x:f>SUMIF('Revenue and costs'!$D$648:$D$775,C232,'Revenue and costs'!N648:N775)</x:f>
        <x:v>226757.30671026185</x:v>
      </x:c>
      <x:c r="F232" s="10" t="n">
        <x:f>SUMIF('Revenue and costs'!$D$648:$D$775,C232,'Revenue and costs'!O648:O775)+SUMIF('Revenue and costs'!$D$648:$D$775,C232,'Revenue and costs'!P648:P775)+SUMIF('Revenue and costs'!$D$648:$D$775,C232,'Revenue and costs'!Q648:Q775)+SUMIF('Revenue and costs'!$D$648:$D$775,C232,'Revenue and costs'!R648:R775)+SUMIF('Revenue and costs'!$D$648:$D$775,C232,'Revenue and costs'!S648:S775)+SUMIF('Revenue and costs'!$D$648:$D$775,C232,'Revenue and costs'!T648:T775)+SUMIF('Revenue and costs'!$D$648:$D$775,C232,'Revenue and costs'!U648:U775)+SUMIF('Revenue and costs'!$D$648:$D$775,C232,'Revenue and costs'!V648:V775)+SUMIF('Revenue and costs'!$D$648:$D$775,C232,'Revenue and costs'!AE648:AE775)</x:f>
        <x:v>140468.76782097</x:v>
      </x:c>
      <x:c r="G232" s="10" t="n">
        <x:f>IF('Income statement'!I50=0,1/39,E232/'Income statement'!I50)*('Shared costs'!M21+'Assumptions'!$D$18*'Assumptions'!$D$19*12*(1+'Assumptions'!$D$13)^(6-1)*'Assumptions'!$D$21)</x:f>
        <x:v>9063.537890360301</x:v>
      </x:c>
      <x:c r="H232" s="10" t="n">
        <x:f>IF('Income statement'!I50=0,1/39,E232/'Income statement'!I50)*'Cash and capital'!I18</x:f>
        <x:v>50.354063991369976</x:v>
      </x:c>
      <x:c r="I232" s="10" t="n">
        <x:f>E232-F232-G232-H232</x:f>
        <x:v>77174.64693494017</x:v>
      </x:c>
      <x:c r="J232" s="10" t="n">
        <x:f>M193</x:f>
        <x:v>0</x:v>
      </x:c>
      <x:c r="K232" s="10" t="n">
        <x:f>MAX(0,I232-J232)</x:f>
        <x:v>77174.64693494017</x:v>
      </x:c>
      <x:c r="L232" s="10" t="n">
        <x:f>K232*'Assumptions'!$D$12</x:f>
        <x:v>19293.661733735044</x:v>
      </x:c>
      <x:c r="M232" s="10" t="n">
        <x:f>MAX(0,J232-I232)</x:f>
        <x:v>0</x:v>
      </x:c>
    </x:row>
    <x:row r="233" ht="16" customHeight="1">
      <x:c r="A233" s="1"/>
      <x:c r="B233" s="1"/>
      <x:c r="C233" s="1" t="str">
        <x:v>QzoticMusic</x:v>
      </x:c>
      <x:c r="D233" s="10" t="n">
        <x:v>6</x:v>
      </x:c>
      <x:c r="E233" s="10" t="n">
        <x:f>SUMIF('Revenue and costs'!$D$648:$D$775,C233,'Revenue and costs'!N648:N775)</x:f>
        <x:v>19819.45068220902</x:v>
      </x:c>
      <x:c r="F233" s="10" t="n">
        <x:f>SUMIF('Revenue and costs'!$D$648:$D$775,C233,'Revenue and costs'!O648:O775)+SUMIF('Revenue and costs'!$D$648:$D$775,C233,'Revenue and costs'!P648:P775)+SUMIF('Revenue and costs'!$D$648:$D$775,C233,'Revenue and costs'!Q648:Q775)+SUMIF('Revenue and costs'!$D$648:$D$775,C233,'Revenue and costs'!R648:R775)+SUMIF('Revenue and costs'!$D$648:$D$775,C233,'Revenue and costs'!S648:S775)+SUMIF('Revenue and costs'!$D$648:$D$775,C233,'Revenue and costs'!T648:T775)+SUMIF('Revenue and costs'!$D$648:$D$775,C233,'Revenue and costs'!U648:U775)+SUMIF('Revenue and costs'!$D$648:$D$775,C233,'Revenue and costs'!V648:V775)+SUMIF('Revenue and costs'!$D$648:$D$775,C233,'Revenue and costs'!AE648:AE775)</x:f>
        <x:v>21270.60832251302</x:v>
      </x:c>
      <x:c r="G233" s="10" t="n">
        <x:f>IF('Income statement'!I50=0,1/39,E233/'Income statement'!I50)*('Shared costs'!M21+'Assumptions'!$D$18*'Assumptions'!$D$19*12*(1+'Assumptions'!$D$13)^(6-1)*'Assumptions'!$D$21)</x:f>
        <x:v>792.1876689682849</x:v>
      </x:c>
      <x:c r="H233" s="10" t="n">
        <x:f>IF('Income statement'!I50=0,1/39,E233/'Income statement'!I50)*'Cash and capital'!I18</x:f>
        <x:v>4.401136626661964</x:v>
      </x:c>
      <x:c r="I233" s="10" t="n">
        <x:f>E233-F233-G233-H233</x:f>
        <x:v>-2247.7464458989484</x:v>
      </x:c>
      <x:c r="J233" s="10" t="n">
        <x:f>M194</x:f>
        <x:v>6843.308364869138</x:v>
      </x:c>
      <x:c r="K233" s="10" t="n">
        <x:f>MAX(0,I233-J233)</x:f>
        <x:v>0</x:v>
      </x:c>
      <x:c r="L233" s="10" t="n">
        <x:f>K233*'Assumptions'!$D$12</x:f>
        <x:v>0</x:v>
      </x:c>
      <x:c r="M233" s="10" t="n">
        <x:f>MAX(0,J233-I233)</x:f>
        <x:v>9091.054810768086</x:v>
      </x:c>
    </x:row>
    <x:row r="234" ht="16" customHeight="1">
      <x:c r="A234" s="1"/>
      <x:c r="B234" s="1"/>
      <x:c r="C234" s="1" t="str">
        <x:v>LesPetitFilms</x:v>
      </x:c>
      <x:c r="D234" s="10" t="n">
        <x:v>6</x:v>
      </x:c>
      <x:c r="E234" s="10" t="n">
        <x:f>SUMIF('Revenue and costs'!$D$648:$D$775,C234,'Revenue and costs'!N648:N775)</x:f>
        <x:v>72238.65401441591</x:v>
      </x:c>
      <x:c r="F234" s="10" t="n">
        <x:f>SUMIF('Revenue and costs'!$D$648:$D$775,C234,'Revenue and costs'!O648:O775)+SUMIF('Revenue and costs'!$D$648:$D$775,C234,'Revenue and costs'!P648:P775)+SUMIF('Revenue and costs'!$D$648:$D$775,C234,'Revenue and costs'!Q648:Q775)+SUMIF('Revenue and costs'!$D$648:$D$775,C234,'Revenue and costs'!R648:R775)+SUMIF('Revenue and costs'!$D$648:$D$775,C234,'Revenue and costs'!S648:S775)+SUMIF('Revenue and costs'!$D$648:$D$775,C234,'Revenue and costs'!T648:T775)+SUMIF('Revenue and costs'!$D$648:$D$775,C234,'Revenue and costs'!U648:U775)+SUMIF('Revenue and costs'!$D$648:$D$775,C234,'Revenue and costs'!V648:V775)+SUMIF('Revenue and costs'!$D$648:$D$775,C234,'Revenue and costs'!AE648:AE775)</x:f>
        <x:v>41031.326117610275</x:v>
      </x:c>
      <x:c r="G234" s="10" t="n">
        <x:f>IF('Income statement'!I50=0,1/39,E234/'Income statement'!I50)*('Shared costs'!M21+'Assumptions'!$D$18*'Assumptions'!$D$19*12*(1+'Assumptions'!$D$13)^(6-1)*'Assumptions'!$D$21)</x:f>
        <x:v>2887.394401120115</x:v>
      </x:c>
      <x:c r="H234" s="10" t="n">
        <x:f>IF('Income statement'!I50=0,1/39,E234/'Income statement'!I50)*'Cash and capital'!I18</x:f>
        <x:v>16.04142269841009</x:v>
      </x:c>
      <x:c r="I234" s="10" t="n">
        <x:f>E234-F234-G234-H234</x:f>
        <x:v>28303.892072987106</x:v>
      </x:c>
      <x:c r="J234" s="10" t="n">
        <x:f>M195</x:f>
        <x:v>0</x:v>
      </x:c>
      <x:c r="K234" s="10" t="n">
        <x:f>MAX(0,I234-J234)</x:f>
        <x:v>28303.892072987106</x:v>
      </x:c>
      <x:c r="L234" s="10" t="n">
        <x:f>K234*'Assumptions'!$D$12</x:f>
        <x:v>7075.9730182467765</x:v>
      </x:c>
      <x:c r="M234" s="10" t="n">
        <x:f>MAX(0,J234-I234)</x:f>
        <x:v>0</x:v>
      </x:c>
    </x:row>
    <x:row r="235" ht="16" customHeight="1">
      <x:c r="A235" s="1"/>
      <x:c r="B235" s="1"/>
      <x:c r="C235" s="1" t="str">
        <x:v>Learn Anglais</x:v>
      </x:c>
      <x:c r="D235" s="10" t="n">
        <x:v>6</x:v>
      </x:c>
      <x:c r="E235" s="10" t="n">
        <x:f>SUMIF('Revenue and costs'!$D$648:$D$775,C235,'Revenue and costs'!N648:N775)</x:f>
        <x:v>67574.01278880337</x:v>
      </x:c>
      <x:c r="F235" s="10" t="n">
        <x:f>SUMIF('Revenue and costs'!$D$648:$D$775,C235,'Revenue and costs'!O648:O775)+SUMIF('Revenue and costs'!$D$648:$D$775,C235,'Revenue and costs'!P648:P775)+SUMIF('Revenue and costs'!$D$648:$D$775,C235,'Revenue and costs'!Q648:Q775)+SUMIF('Revenue and costs'!$D$648:$D$775,C235,'Revenue and costs'!R648:R775)+SUMIF('Revenue and costs'!$D$648:$D$775,C235,'Revenue and costs'!S648:S775)+SUMIF('Revenue and costs'!$D$648:$D$775,C235,'Revenue and costs'!T648:T775)+SUMIF('Revenue and costs'!$D$648:$D$775,C235,'Revenue and costs'!U648:U775)+SUMIF('Revenue and costs'!$D$648:$D$775,C235,'Revenue and costs'!V648:V775)+SUMIF('Revenue and costs'!$D$648:$D$775,C235,'Revenue and costs'!AE648:AE775)</x:f>
        <x:v>40045.68414249171</x:v>
      </x:c>
      <x:c r="G235" s="10" t="n">
        <x:f>IF('Income statement'!I50=0,1/39,E235/'Income statement'!I50)*('Shared costs'!M21+'Assumptions'!$D$18*'Assumptions'!$D$19*12*(1+'Assumptions'!$D$13)^(6-1)*'Assumptions'!$D$21)</x:f>
        <x:v>2700.947696903009</x:v>
      </x:c>
      <x:c r="H235" s="10" t="n">
        <x:f>IF('Income statement'!I50=0,1/39,E235/'Income statement'!I50)*'Cash and capital'!I18</x:f>
        <x:v>15.005585546439518</x:v>
      </x:c>
      <x:c r="I235" s="10" t="n">
        <x:f>E235-F235-G235-H235</x:f>
        <x:v>24812.375363862222</x:v>
      </x:c>
      <x:c r="J235" s="10" t="n">
        <x:f>M196</x:f>
        <x:v>0</x:v>
      </x:c>
      <x:c r="K235" s="10" t="n">
        <x:f>MAX(0,I235-J235)</x:f>
        <x:v>24812.375363862222</x:v>
      </x:c>
      <x:c r="L235" s="10" t="n">
        <x:f>K235*'Assumptions'!$D$12</x:f>
        <x:v>6203.0938409655555</x:v>
      </x:c>
      <x:c r="M235" s="10" t="n">
        <x:f>MAX(0,J235-I235)</x:f>
        <x:v>0</x:v>
      </x:c>
    </x:row>
    <x:row r="236" ht="16" customHeight="1">
      <x:c r="A236" s="1"/>
      <x:c r="B236" s="1"/>
      <x:c r="C236" s="1" t="str">
        <x:v>Fiefé</x:v>
      </x:c>
      <x:c r="D236" s="10" t="n">
        <x:v>6</x:v>
      </x:c>
      <x:c r="E236" s="10" t="n">
        <x:f>SUMIF('Revenue and costs'!$D$648:$D$775,C236,'Revenue and costs'!N648:N775)</x:f>
        <x:v>53356.204229393785</x:v>
      </x:c>
      <x:c r="F236" s="10" t="n">
        <x:f>SUMIF('Revenue and costs'!$D$648:$D$775,C236,'Revenue and costs'!O648:O775)+SUMIF('Revenue and costs'!$D$648:$D$775,C236,'Revenue and costs'!P648:P775)+SUMIF('Revenue and costs'!$D$648:$D$775,C236,'Revenue and costs'!Q648:Q775)+SUMIF('Revenue and costs'!$D$648:$D$775,C236,'Revenue and costs'!R648:R775)+SUMIF('Revenue and costs'!$D$648:$D$775,C236,'Revenue and costs'!S648:S775)+SUMIF('Revenue and costs'!$D$648:$D$775,C236,'Revenue and costs'!T648:T775)+SUMIF('Revenue and costs'!$D$648:$D$775,C236,'Revenue and costs'!U648:U775)+SUMIF('Revenue and costs'!$D$648:$D$775,C236,'Revenue and costs'!V648:V775)+SUMIF('Revenue and costs'!$D$648:$D$775,C236,'Revenue and costs'!AE648:AE775)</x:f>
        <x:v>41149.992756491745</x:v>
      </x:c>
      <x:c r="G236" s="10" t="n">
        <x:f>IF('Income statement'!I50=0,1/39,E236/'Income statement'!I50)*('Shared costs'!M21+'Assumptions'!$D$18*'Assumptions'!$D$19*12*(1+'Assumptions'!$D$13)^(6-1)*'Assumptions'!$D$21)</x:f>
        <x:v>2132.658857766492</x:v>
      </x:c>
      <x:c r="H236" s="10" t="n">
        <x:f>IF('Income statement'!I50=0,1/39,E236/'Income statement'!I50)*'Cash and capital'!I18</x:f>
        <x:v>11.848357881302679</x:v>
      </x:c>
      <x:c r="I236" s="10" t="n">
        <x:f>E236-F236-G236-H236</x:f>
        <x:v>10061.704257254245</x:v>
      </x:c>
      <x:c r="J236" s="10" t="n">
        <x:f>M197</x:f>
        <x:v>0</x:v>
      </x:c>
      <x:c r="K236" s="10" t="n">
        <x:f>MAX(0,I236-J236)</x:f>
        <x:v>10061.704257254245</x:v>
      </x:c>
      <x:c r="L236" s="10" t="n">
        <x:f>K236*'Assumptions'!$D$12</x:f>
        <x:v>2515.4260643135613</x:v>
      </x:c>
      <x:c r="M236" s="10" t="n">
        <x:f>MAX(0,J236-I236)</x:f>
        <x:v>0</x:v>
      </x:c>
    </x:row>
    <x:row r="237" ht="16" customHeight="1">
      <x:c r="A237" s="1"/>
      <x:c r="B237" s="1"/>
      <x:c r="C237" s="1" t="str">
        <x:v>Fiefé Design</x:v>
      </x:c>
      <x:c r="D237" s="10" t="n">
        <x:v>6</x:v>
      </x:c>
      <x:c r="E237" s="10" t="n">
        <x:f>SUMIF('Revenue and costs'!$D$648:$D$775,C237,'Revenue and costs'!N648:N775)</x:f>
        <x:v>33243.74095289333</x:v>
      </x:c>
      <x:c r="F237" s="10" t="n">
        <x:f>SUMIF('Revenue and costs'!$D$648:$D$775,C237,'Revenue and costs'!O648:O775)+SUMIF('Revenue and costs'!$D$648:$D$775,C237,'Revenue and costs'!P648:P775)+SUMIF('Revenue and costs'!$D$648:$D$775,C237,'Revenue and costs'!Q648:Q775)+SUMIF('Revenue and costs'!$D$648:$D$775,C237,'Revenue and costs'!R648:R775)+SUMIF('Revenue and costs'!$D$648:$D$775,C237,'Revenue and costs'!S648:S775)+SUMIF('Revenue and costs'!$D$648:$D$775,C237,'Revenue and costs'!T648:T775)+SUMIF('Revenue and costs'!$D$648:$D$775,C237,'Revenue and costs'!U648:U775)+SUMIF('Revenue and costs'!$D$648:$D$775,C237,'Revenue and costs'!V648:V775)+SUMIF('Revenue and costs'!$D$648:$D$775,C237,'Revenue and costs'!AE648:AE775)</x:f>
        <x:v>24026.241410444523</x:v>
      </x:c>
      <x:c r="G237" s="10" t="n">
        <x:f>IF('Income statement'!I50=0,1/39,E237/'Income statement'!I50)*('Shared costs'!M21+'Assumptions'!$D$18*'Assumptions'!$D$19*12*(1+'Assumptions'!$D$13)^(6-1)*'Assumptions'!$D$21)</x:f>
        <x:v>1328.7594129386243</x:v>
      </x:c>
      <x:c r="H237" s="10" t="n">
        <x:f>IF('Income statement'!I50=0,1/39,E237/'Income statement'!I50)*'Cash and capital'!I18</x:f>
        <x:v>7.38215444317924</x:v>
      </x:c>
      <x:c r="I237" s="10" t="n">
        <x:f>E237-F237-G237-H237</x:f>
        <x:v>7881.357975067001</x:v>
      </x:c>
      <x:c r="J237" s="10" t="n">
        <x:f>M198</x:f>
        <x:v>0</x:v>
      </x:c>
      <x:c r="K237" s="10" t="n">
        <x:f>MAX(0,I237-J237)</x:f>
        <x:v>7881.357975067001</x:v>
      </x:c>
      <x:c r="L237" s="10" t="n">
        <x:f>K237*'Assumptions'!$D$12</x:f>
        <x:v>1970.3394937667501</x:v>
      </x:c>
      <x:c r="M237" s="10" t="n">
        <x:f>MAX(0,J237-I237)</x:f>
        <x:v>0</x:v>
      </x:c>
    </x:row>
    <x:row r="238" ht="16" customHeight="1">
      <x:c r="A238" s="1"/>
      <x:c r="B238" s="1"/>
      <x:c r="C238" s="1" t="str">
        <x:v>OsezArt</x:v>
      </x:c>
      <x:c r="D238" s="10" t="n">
        <x:v>6</x:v>
      </x:c>
      <x:c r="E238" s="10" t="n">
        <x:f>SUMIF('Revenue and costs'!$D$648:$D$775,C238,'Revenue and costs'!N648:N775)</x:f>
        <x:v>124273.14690458297</x:v>
      </x:c>
      <x:c r="F238" s="10" t="n">
        <x:f>SUMIF('Revenue and costs'!$D$648:$D$775,C238,'Revenue and costs'!O648:O775)+SUMIF('Revenue and costs'!$D$648:$D$775,C238,'Revenue and costs'!P648:P775)+SUMIF('Revenue and costs'!$D$648:$D$775,C238,'Revenue and costs'!Q648:Q775)+SUMIF('Revenue and costs'!$D$648:$D$775,C238,'Revenue and costs'!R648:R775)+SUMIF('Revenue and costs'!$D$648:$D$775,C238,'Revenue and costs'!S648:S775)+SUMIF('Revenue and costs'!$D$648:$D$775,C238,'Revenue and costs'!T648:T775)+SUMIF('Revenue and costs'!$D$648:$D$775,C238,'Revenue and costs'!U648:U775)+SUMIF('Revenue and costs'!$D$648:$D$775,C238,'Revenue and costs'!V648:V775)+SUMIF('Revenue and costs'!$D$648:$D$775,C238,'Revenue and costs'!AE648:AE775)</x:f>
        <x:v>66812.5659667097</x:v>
      </x:c>
      <x:c r="G238" s="10" t="n">
        <x:f>IF('Income statement'!I50=0,1/39,E238/'Income statement'!I50)*('Shared costs'!M21+'Assumptions'!$D$18*'Assumptions'!$D$19*12*(1+'Assumptions'!$D$13)^(6-1)*'Assumptions'!$D$21)</x:f>
        <x:v>4967.224174889297</x:v>
      </x:c>
      <x:c r="H238" s="10" t="n">
        <x:f>IF('Income statement'!I50=0,1/39,E238/'Income statement'!I50)*'Cash and capital'!I18</x:f>
        <x:v>27.59627939856415</x:v>
      </x:c>
      <x:c r="I238" s="10" t="n">
        <x:f>E238-F238-G238-H238</x:f>
        <x:v>52465.7604835854</x:v>
      </x:c>
      <x:c r="J238" s="10" t="n">
        <x:f>M199</x:f>
        <x:v>0</x:v>
      </x:c>
      <x:c r="K238" s="10" t="n">
        <x:f>MAX(0,I238-J238)</x:f>
        <x:v>52465.7604835854</x:v>
      </x:c>
      <x:c r="L238" s="10" t="n">
        <x:f>K238*'Assumptions'!$D$12</x:f>
        <x:v>13116.44012089635</x:v>
      </x:c>
      <x:c r="M238" s="10" t="n">
        <x:f>MAX(0,J238-I238)</x:f>
        <x:v>0</x:v>
      </x:c>
    </x:row>
    <x:row r="239" ht="16" customHeight="1">
      <x:c r="A239" s="1"/>
      <x:c r="B239" s="1"/>
      <x:c r="C239" s="1" t="str">
        <x:v>FinBot research</x:v>
      </x:c>
      <x:c r="D239" s="10" t="n">
        <x:v>6</x:v>
      </x:c>
      <x:c r="E239" s="10" t="n">
        <x:f>SUMIF('Revenue and costs'!$D$648:$D$775,C239,'Revenue and costs'!N648:N775)</x:f>
        <x:v>6595.529141134154</x:v>
      </x:c>
      <x:c r="F239" s="10" t="n">
        <x:f>SUMIF('Revenue and costs'!$D$648:$D$775,C239,'Revenue and costs'!O648:O775)+SUMIF('Revenue and costs'!$D$648:$D$775,C239,'Revenue and costs'!P648:P775)+SUMIF('Revenue and costs'!$D$648:$D$775,C239,'Revenue and costs'!Q648:Q775)+SUMIF('Revenue and costs'!$D$648:$D$775,C239,'Revenue and costs'!R648:R775)+SUMIF('Revenue and costs'!$D$648:$D$775,C239,'Revenue and costs'!S648:S775)+SUMIF('Revenue and costs'!$D$648:$D$775,C239,'Revenue and costs'!T648:T775)+SUMIF('Revenue and costs'!$D$648:$D$775,C239,'Revenue and costs'!U648:U775)+SUMIF('Revenue and costs'!$D$648:$D$775,C239,'Revenue and costs'!V648:V775)+SUMIF('Revenue and costs'!$D$648:$D$775,C239,'Revenue and costs'!AE648:AE775)</x:f>
        <x:v>3823.141495034456</x:v>
      </x:c>
      <x:c r="G239" s="10" t="n">
        <x:f>IF('Income statement'!I50=0,1/39,E239/'Income statement'!I50)*('Shared costs'!M21+'Assumptions'!$D$18*'Assumptions'!$D$19*12*(1+'Assumptions'!$D$13)^(6-1)*'Assumptions'!$D$21)</x:f>
        <x:v>263.6247058359494</x:v>
      </x:c>
      <x:c r="H239" s="10" t="n">
        <x:f>IF('Income statement'!I50=0,1/39,E239/'Income statement'!I50)*'Cash and capital'!I18</x:f>
        <x:v>1.464612987549587</x:v>
      </x:c>
      <x:c r="I239" s="10" t="n">
        <x:f>E239-F239-G239-H239</x:f>
        <x:v>2507.298327276199</x:v>
      </x:c>
      <x:c r="J239" s="10" t="n">
        <x:f>M200</x:f>
        <x:v>0</x:v>
      </x:c>
      <x:c r="K239" s="10" t="n">
        <x:f>MAX(0,I239-J239)</x:f>
        <x:v>2507.298327276199</x:v>
      </x:c>
      <x:c r="L239" s="10" t="n">
        <x:f>K239*'Assumptions'!$D$12</x:f>
        <x:v>626.8245818190497</x:v>
      </x:c>
      <x:c r="M239" s="10" t="n">
        <x:f>MAX(0,J239-I239)</x:f>
        <x:v>0</x:v>
      </x:c>
    </x:row>
    <x:row r="240" ht="16" customHeight="1">
      <x:c r="A240" s="1"/>
      <x:c r="B240" s="1"/>
      <x:c r="C240" s="1" t="str">
        <x:v>Functional Analysis</x:v>
      </x:c>
      <x:c r="D240" s="10" t="n">
        <x:v>6</x:v>
      </x:c>
      <x:c r="E240" s="10" t="n">
        <x:f>SUMIF('Revenue and costs'!$D$648:$D$775,C240,'Revenue and costs'!N648:N775)</x:f>
        <x:v>14032.01348830578</x:v>
      </x:c>
      <x:c r="F240" s="10" t="n">
        <x:f>SUMIF('Revenue and costs'!$D$648:$D$775,C240,'Revenue and costs'!O648:O775)+SUMIF('Revenue and costs'!$D$648:$D$775,C240,'Revenue and costs'!P648:P775)+SUMIF('Revenue and costs'!$D$648:$D$775,C240,'Revenue and costs'!Q648:Q775)+SUMIF('Revenue and costs'!$D$648:$D$775,C240,'Revenue and costs'!R648:R775)+SUMIF('Revenue and costs'!$D$648:$D$775,C240,'Revenue and costs'!S648:S775)+SUMIF('Revenue and costs'!$D$648:$D$775,C240,'Revenue and costs'!T648:T775)+SUMIF('Revenue and costs'!$D$648:$D$775,C240,'Revenue and costs'!U648:U775)+SUMIF('Revenue and costs'!$D$648:$D$775,C240,'Revenue and costs'!V648:V775)+SUMIF('Revenue and costs'!$D$648:$D$775,C240,'Revenue and costs'!AE648:AE775)</x:f>
        <x:v>7209.480608777102</x:v>
      </x:c>
      <x:c r="G240" s="10" t="n">
        <x:f>IF('Income statement'!I50=0,1/39,E240/'Income statement'!I50)*('Shared costs'!M21+'Assumptions'!$D$18*'Assumptions'!$D$19*12*(1+'Assumptions'!$D$13)^(6-1)*'Assumptions'!$D$21)</x:f>
        <x:v>560.8625705358617</x:v>
      </x:c>
      <x:c r="H240" s="10" t="n">
        <x:f>IF('Income statement'!I50=0,1/39,E240/'Income statement'!I50)*'Cash and capital'!I18</x:f>
        <x:v>3.1159697359641476</x:v>
      </x:c>
      <x:c r="I240" s="10" t="n">
        <x:f>E240-F240-G240-H240</x:f>
        <x:v>6258.554339256852</x:v>
      </x:c>
      <x:c r="J240" s="10" t="n">
        <x:f>M201</x:f>
        <x:v>0</x:v>
      </x:c>
      <x:c r="K240" s="10" t="n">
        <x:f>MAX(0,I240-J240)</x:f>
        <x:v>6258.554339256852</x:v>
      </x:c>
      <x:c r="L240" s="10" t="n">
        <x:f>K240*'Assumptions'!$D$12</x:f>
        <x:v>1564.638584814213</x:v>
      </x:c>
      <x:c r="M240" s="10" t="n">
        <x:f>MAX(0,J240-I240)</x:f>
        <x:v>0</x:v>
      </x:c>
    </x:row>
    <x:row r="241" ht="16" customHeight="1">
      <x:c r="A241" s="1"/>
      <x:c r="B241" s="1"/>
      <x:c r="C241" s="1" t="str">
        <x:v>Independent candy game</x:v>
      </x:c>
      <x:c r="D241" s="10" t="n">
        <x:v>6</x:v>
      </x:c>
      <x:c r="E241" s="10" t="n">
        <x:f>SUMIF('Revenue and costs'!$D$648:$D$775,C241,'Revenue and costs'!N648:N775)</x:f>
        <x:v>5674.4293817688695</x:v>
      </x:c>
      <x:c r="F241" s="10" t="n">
        <x:f>SUMIF('Revenue and costs'!$D$648:$D$775,C241,'Revenue and costs'!O648:O775)+SUMIF('Revenue and costs'!$D$648:$D$775,C241,'Revenue and costs'!P648:P775)+SUMIF('Revenue and costs'!$D$648:$D$775,C241,'Revenue and costs'!Q648:Q775)+SUMIF('Revenue and costs'!$D$648:$D$775,C241,'Revenue and costs'!R648:R775)+SUMIF('Revenue and costs'!$D$648:$D$775,C241,'Revenue and costs'!S648:S775)+SUMIF('Revenue and costs'!$D$648:$D$775,C241,'Revenue and costs'!T648:T775)+SUMIF('Revenue and costs'!$D$648:$D$775,C241,'Revenue and costs'!U648:U775)+SUMIF('Revenue and costs'!$D$648:$D$775,C241,'Revenue and costs'!V648:V775)+SUMIF('Revenue and costs'!$D$648:$D$775,C241,'Revenue and costs'!AE648:AE775)</x:f>
        <x:v>5326.374133904519</x:v>
      </x:c>
      <x:c r="G241" s="10" t="n">
        <x:f>IF('Income statement'!I50=0,1/39,E241/'Income statement'!I50)*('Shared costs'!M21+'Assumptions'!$D$18*'Assumptions'!$D$19*12*(1+'Assumptions'!$D$13)^(6-1)*'Assumptions'!$D$21)</x:f>
        <x:v>226.8081520898945</x:v>
      </x:c>
      <x:c r="H241" s="10" t="n">
        <x:f>IF('Income statement'!I50=0,1/39,E241/'Income statement'!I50)*'Cash and capital'!I18</x:f>
        <x:v>1.2600722082538693</x:v>
      </x:c>
      <x:c r="I241" s="10" t="n">
        <x:f>E241-F241-G241-H241</x:f>
        <x:v>119.98702356620198</x:v>
      </x:c>
      <x:c r="J241" s="10" t="n">
        <x:f>M202</x:f>
        <x:v>0</x:v>
      </x:c>
      <x:c r="K241" s="10" t="n">
        <x:f>MAX(0,I241-J241)</x:f>
        <x:v>119.98702356620198</x:v>
      </x:c>
      <x:c r="L241" s="10" t="n">
        <x:f>K241*'Assumptions'!$D$12</x:f>
        <x:v>29.996755891550496</x:v>
      </x:c>
      <x:c r="M241" s="10" t="n">
        <x:f>MAX(0,J241-I241)</x:f>
        <x:v>0</x:v>
      </x:c>
    </x:row>
    <x:row r="242" ht="16" customHeight="1">
      <x:c r="A242" s="1"/>
      <x:c r="B242" s="1"/>
      <x:c r="C242" s="1" t="str">
        <x:v>ETV courses</x:v>
      </x:c>
      <x:c r="D242" s="10" t="n">
        <x:v>7</x:v>
      </x:c>
      <x:c r="E242" s="10" t="n">
        <x:f>SUMIF('Revenue and costs'!$D$776:$D$903,C242,'Revenue and costs'!N776:N903)</x:f>
        <x:v>42076.65233857823</x:v>
      </x:c>
      <x:c r="F242" s="10" t="n">
        <x:f>SUMIF('Revenue and costs'!$D$776:$D$903,C242,'Revenue and costs'!O776:O903)+SUMIF('Revenue and costs'!$D$776:$D$903,C242,'Revenue and costs'!P776:P903)+SUMIF('Revenue and costs'!$D$776:$D$903,C242,'Revenue and costs'!Q776:Q903)+SUMIF('Revenue and costs'!$D$776:$D$903,C242,'Revenue and costs'!R776:R903)+SUMIF('Revenue and costs'!$D$776:$D$903,C242,'Revenue and costs'!S776:S903)+SUMIF('Revenue and costs'!$D$776:$D$903,C242,'Revenue and costs'!T776:T903)+SUMIF('Revenue and costs'!$D$776:$D$903,C242,'Revenue and costs'!U776:U903)+SUMIF('Revenue and costs'!$D$776:$D$903,C242,'Revenue and costs'!V776:V903)+SUMIF('Revenue and costs'!$D$776:$D$903,C242,'Revenue and costs'!AE776:AE903)</x:f>
        <x:v>14905.384482058716</x:v>
      </x:c>
      <x:c r="G242" s="10" t="n">
        <x:f>IF('Income statement'!J50=0,1/39,E242/'Income statement'!J50)*('Shared costs'!N21+'Assumptions'!$D$18*'Assumptions'!$D$19*12*(1+'Assumptions'!$D$13)^(7-1)*'Assumptions'!$D$21)</x:f>
        <x:v>1690.4203857246002</x:v>
      </x:c>
      <x:c r="H242" s="10" t="n">
        <x:f>IF('Income statement'!J50=0,1/39,E242/'Income statement'!J50)*'Cash and capital'!J18</x:f>
        <x:v>9.571117723269813</x:v>
      </x:c>
      <x:c r="I242" s="10" t="n">
        <x:f>E242-F242-G242-H242</x:f>
        <x:v>25471.27635307164</x:v>
      </x:c>
      <x:c r="J242" s="10" t="n">
        <x:f>M203</x:f>
        <x:v>0</x:v>
      </x:c>
      <x:c r="K242" s="10" t="n">
        <x:f>MAX(0,I242-J242)</x:f>
        <x:v>25471.27635307164</x:v>
      </x:c>
      <x:c r="L242" s="10" t="n">
        <x:f>K242*'Assumptions'!$D$12</x:f>
        <x:v>6367.81908826791</x:v>
      </x:c>
      <x:c r="M242" s="10" t="n">
        <x:f>MAX(0,J242-I242)</x:f>
        <x:v>0</x:v>
      </x:c>
    </x:row>
    <x:row r="243" ht="16" customHeight="1">
      <x:c r="A243" s="1"/>
      <x:c r="B243" s="1"/>
      <x:c r="C243" s="1" t="str">
        <x:v>ETV services</x:v>
      </x:c>
      <x:c r="D243" s="10" t="n">
        <x:v>7</x:v>
      </x:c>
      <x:c r="E243" s="10" t="n">
        <x:f>SUMIF('Revenue and costs'!$D$776:$D$903,C243,'Revenue and costs'!N776:N903)</x:f>
        <x:v>100945.16812311509</x:v>
      </x:c>
      <x:c r="F243" s="10" t="n">
        <x:f>SUMIF('Revenue and costs'!$D$776:$D$903,C243,'Revenue and costs'!O776:O903)+SUMIF('Revenue and costs'!$D$776:$D$903,C243,'Revenue and costs'!P776:P903)+SUMIF('Revenue and costs'!$D$776:$D$903,C243,'Revenue and costs'!Q776:Q903)+SUMIF('Revenue and costs'!$D$776:$D$903,C243,'Revenue and costs'!R776:R903)+SUMIF('Revenue and costs'!$D$776:$D$903,C243,'Revenue and costs'!S776:S903)+SUMIF('Revenue and costs'!$D$776:$D$903,C243,'Revenue and costs'!T776:T903)+SUMIF('Revenue and costs'!$D$776:$D$903,C243,'Revenue and costs'!U776:U903)+SUMIF('Revenue and costs'!$D$776:$D$903,C243,'Revenue and costs'!V776:V903)+SUMIF('Revenue and costs'!$D$776:$D$903,C243,'Revenue and costs'!AE776:AE903)</x:f>
        <x:v>67049.20318737076</x:v>
      </x:c>
      <x:c r="G243" s="10" t="n">
        <x:f>IF('Income statement'!J50=0,1/39,E243/'Income statement'!J50)*('Shared costs'!N21+'Assumptions'!$D$18*'Assumptions'!$D$19*12*(1+'Assumptions'!$D$13)^(7-1)*'Assumptions'!$D$21)</x:f>
        <x:v>4055.45024501055</x:v>
      </x:c>
      <x:c r="H243" s="10" t="n">
        <x:f>IF('Income statement'!J50=0,1/39,E243/'Income statement'!J50)*'Cash and capital'!J18</x:f>
        <x:v>22.961857324751332</x:v>
      </x:c>
      <x:c r="I243" s="10" t="n">
        <x:f>E243-F243-G243-H243</x:f>
        <x:v>29817.552833409027</x:v>
      </x:c>
      <x:c r="J243" s="10" t="n">
        <x:f>M204</x:f>
        <x:v>0</x:v>
      </x:c>
      <x:c r="K243" s="10" t="n">
        <x:f>MAX(0,I243-J243)</x:f>
        <x:v>29817.552833409027</x:v>
      </x:c>
      <x:c r="L243" s="10" t="n">
        <x:f>K243*'Assumptions'!$D$12</x:f>
        <x:v>7454.388208352257</x:v>
      </x:c>
      <x:c r="M243" s="10" t="n">
        <x:f>MAX(0,J243-I243)</x:f>
        <x:v>0</x:v>
      </x:c>
    </x:row>
    <x:row r="244" ht="16" customHeight="1">
      <x:c r="A244" s="1"/>
      <x:c r="B244" s="1"/>
      <x:c r="C244" s="1" t="str">
        <x:v>BPA professional services</x:v>
      </x:c>
      <x:c r="D244" s="10" t="n">
        <x:v>7</x:v>
      </x:c>
      <x:c r="E244" s="10" t="n">
        <x:f>SUMIF('Revenue and costs'!$D$776:$D$903,C244,'Revenue and costs'!N776:N903)</x:f>
        <x:v>613222.7969060804</x:v>
      </x:c>
      <x:c r="F244" s="10" t="n">
        <x:f>SUMIF('Revenue and costs'!$D$776:$D$903,C244,'Revenue and costs'!O776:O903)+SUMIF('Revenue and costs'!$D$776:$D$903,C244,'Revenue and costs'!P776:P903)+SUMIF('Revenue and costs'!$D$776:$D$903,C244,'Revenue and costs'!Q776:Q903)+SUMIF('Revenue and costs'!$D$776:$D$903,C244,'Revenue and costs'!R776:R903)+SUMIF('Revenue and costs'!$D$776:$D$903,C244,'Revenue and costs'!S776:S903)+SUMIF('Revenue and costs'!$D$776:$D$903,C244,'Revenue and costs'!T776:T903)+SUMIF('Revenue and costs'!$D$776:$D$903,C244,'Revenue and costs'!U776:U903)+SUMIF('Revenue and costs'!$D$776:$D$903,C244,'Revenue and costs'!V776:V903)+SUMIF('Revenue and costs'!$D$776:$D$903,C244,'Revenue and costs'!AE776:AE903)</x:f>
        <x:v>308818.3887518333</x:v>
      </x:c>
      <x:c r="G244" s="10" t="n">
        <x:f>IF('Income statement'!J50=0,1/39,E244/'Income statement'!J50)*('Shared costs'!N21+'Assumptions'!$D$18*'Assumptions'!$D$19*12*(1+'Assumptions'!$D$13)^(7-1)*'Assumptions'!$D$21)</x:f>
        <x:v>24636.09292250367</x:v>
      </x:c>
      <x:c r="H244" s="10" t="n">
        <x:f>IF('Income statement'!J50=0,1/39,E244/'Income statement'!J50)*'Cash and capital'!J18</x:f>
        <x:v>139.48893872432993</x:v>
      </x:c>
      <x:c r="I244" s="10" t="n">
        <x:f>E244-F244-G244-H244</x:f>
        <x:v>279628.82629301917</x:v>
      </x:c>
      <x:c r="J244" s="10" t="n">
        <x:f>M205</x:f>
        <x:v>0</x:v>
      </x:c>
      <x:c r="K244" s="10" t="n">
        <x:f>MAX(0,I244-J244)</x:f>
        <x:v>279628.82629301917</x:v>
      </x:c>
      <x:c r="L244" s="10" t="n">
        <x:f>K244*'Assumptions'!$D$12</x:f>
        <x:v>69907.20657325479</x:v>
      </x:c>
      <x:c r="M244" s="10" t="n">
        <x:f>MAX(0,J244-I244)</x:f>
        <x:v>0</x:v>
      </x:c>
    </x:row>
    <x:row r="245" ht="16" customHeight="1">
      <x:c r="A245" s="1"/>
      <x:c r="B245" s="1"/>
      <x:c r="C245" s="1" t="str">
        <x:v>CornerFlow</x:v>
      </x:c>
      <x:c r="D245" s="10" t="n">
        <x:v>7</x:v>
      </x:c>
      <x:c r="E245" s="10" t="n">
        <x:f>SUMIF('Revenue and costs'!$D$776:$D$903,C245,'Revenue and costs'!N776:N903)</x:f>
        <x:v>18098.787752750293</x:v>
      </x:c>
      <x:c r="F245" s="10" t="n">
        <x:f>SUMIF('Revenue and costs'!$D$776:$D$903,C245,'Revenue and costs'!O776:O903)+SUMIF('Revenue and costs'!$D$776:$D$903,C245,'Revenue and costs'!P776:P903)+SUMIF('Revenue and costs'!$D$776:$D$903,C245,'Revenue and costs'!Q776:Q903)+SUMIF('Revenue and costs'!$D$776:$D$903,C245,'Revenue and costs'!R776:R903)+SUMIF('Revenue and costs'!$D$776:$D$903,C245,'Revenue and costs'!S776:S903)+SUMIF('Revenue and costs'!$D$776:$D$903,C245,'Revenue and costs'!T776:T903)+SUMIF('Revenue and costs'!$D$776:$D$903,C245,'Revenue and costs'!U776:U903)+SUMIF('Revenue and costs'!$D$776:$D$903,C245,'Revenue and costs'!V776:V903)+SUMIF('Revenue and costs'!$D$776:$D$903,C245,'Revenue and costs'!AE776:AE903)</x:f>
        <x:v>7231.6687471406285</x:v>
      </x:c>
      <x:c r="G245" s="10" t="n">
        <x:f>IF('Income statement'!J50=0,1/39,E245/'Income statement'!J50)*('Shared costs'!N21+'Assumptions'!$D$18*'Assumptions'!$D$19*12*(1+'Assumptions'!$D$13)^(7-1)*'Assumptions'!$D$21)</x:f>
        <x:v>727.1148742529837</x:v>
      </x:c>
      <x:c r="H245" s="10" t="n">
        <x:f>IF('Income statement'!J50=0,1/39,E245/'Income statement'!J50)*'Cash and capital'!J18</x:f>
        <x:v>4.116906136832184</x:v>
      </x:c>
      <x:c r="I245" s="10" t="n">
        <x:f>E245-F245-G245-H245</x:f>
        <x:v>10135.887225219847</x:v>
      </x:c>
      <x:c r="J245" s="10" t="n">
        <x:f>M206</x:f>
        <x:v>0</x:v>
      </x:c>
      <x:c r="K245" s="10" t="n">
        <x:f>MAX(0,I245-J245)</x:f>
        <x:v>10135.887225219847</x:v>
      </x:c>
      <x:c r="L245" s="10" t="n">
        <x:f>K245*'Assumptions'!$D$12</x:f>
        <x:v>2533.971806304962</x:v>
      </x:c>
      <x:c r="M245" s="10" t="n">
        <x:f>MAX(0,J245-I245)</x:f>
        <x:v>0</x:v>
      </x:c>
    </x:row>
    <x:row r="246" ht="16" customHeight="1">
      <x:c r="A246" s="1"/>
      <x:c r="B246" s="1"/>
      <x:c r="C246" s="1" t="str">
        <x:v>Spindle</x:v>
      </x:c>
      <x:c r="D246" s="10" t="n">
        <x:v>7</x:v>
      </x:c>
      <x:c r="E246" s="10" t="n">
        <x:f>SUMIF('Revenue and costs'!$D$776:$D$903,C246,'Revenue and costs'!N776:N903)</x:f>
        <x:v>18098.787752750293</x:v>
      </x:c>
      <x:c r="F246" s="10" t="n">
        <x:f>SUMIF('Revenue and costs'!$D$776:$D$903,C246,'Revenue and costs'!O776:O903)+SUMIF('Revenue and costs'!$D$776:$D$903,C246,'Revenue and costs'!P776:P903)+SUMIF('Revenue and costs'!$D$776:$D$903,C246,'Revenue and costs'!Q776:Q903)+SUMIF('Revenue and costs'!$D$776:$D$903,C246,'Revenue and costs'!R776:R903)+SUMIF('Revenue and costs'!$D$776:$D$903,C246,'Revenue and costs'!S776:S903)+SUMIF('Revenue and costs'!$D$776:$D$903,C246,'Revenue and costs'!T776:T903)+SUMIF('Revenue and costs'!$D$776:$D$903,C246,'Revenue and costs'!U776:U903)+SUMIF('Revenue and costs'!$D$776:$D$903,C246,'Revenue and costs'!V776:V903)+SUMIF('Revenue and costs'!$D$776:$D$903,C246,'Revenue and costs'!AE776:AE903)</x:f>
        <x:v>7231.6687471406285</x:v>
      </x:c>
      <x:c r="G246" s="10" t="n">
        <x:f>IF('Income statement'!J50=0,1/39,E246/'Income statement'!J50)*('Shared costs'!N21+'Assumptions'!$D$18*'Assumptions'!$D$19*12*(1+'Assumptions'!$D$13)^(7-1)*'Assumptions'!$D$21)</x:f>
        <x:v>727.1148742529837</x:v>
      </x:c>
      <x:c r="H246" s="10" t="n">
        <x:f>IF('Income statement'!J50=0,1/39,E246/'Income statement'!J50)*'Cash and capital'!J18</x:f>
        <x:v>4.116906136832184</x:v>
      </x:c>
      <x:c r="I246" s="10" t="n">
        <x:f>E246-F246-G246-H246</x:f>
        <x:v>10135.887225219847</x:v>
      </x:c>
      <x:c r="J246" s="10" t="n">
        <x:f>M207</x:f>
        <x:v>0</x:v>
      </x:c>
      <x:c r="K246" s="10" t="n">
        <x:f>MAX(0,I246-J246)</x:f>
        <x:v>10135.887225219847</x:v>
      </x:c>
      <x:c r="L246" s="10" t="n">
        <x:f>K246*'Assumptions'!$D$12</x:f>
        <x:v>2533.971806304962</x:v>
      </x:c>
      <x:c r="M246" s="10" t="n">
        <x:f>MAX(0,J246-I246)</x:f>
        <x:v>0</x:v>
      </x:c>
    </x:row>
    <x:row r="247" ht="16" customHeight="1">
      <x:c r="A247" s="1"/>
      <x:c r="B247" s="1"/>
      <x:c r="C247" s="1" t="str">
        <x:v>Maison Contour</x:v>
      </x:c>
      <x:c r="D247" s="10" t="n">
        <x:v>7</x:v>
      </x:c>
      <x:c r="E247" s="10" t="n">
        <x:f>SUMIF('Revenue and costs'!$D$776:$D$903,C247,'Revenue and costs'!N776:N903)</x:f>
        <x:v>25233.10938503872</x:v>
      </x:c>
      <x:c r="F247" s="10" t="n">
        <x:f>SUMIF('Revenue and costs'!$D$776:$D$903,C247,'Revenue and costs'!O776:O903)+SUMIF('Revenue and costs'!$D$776:$D$903,C247,'Revenue and costs'!P776:P903)+SUMIF('Revenue and costs'!$D$776:$D$903,C247,'Revenue and costs'!Q776:Q903)+SUMIF('Revenue and costs'!$D$776:$D$903,C247,'Revenue and costs'!R776:R903)+SUMIF('Revenue and costs'!$D$776:$D$903,C247,'Revenue and costs'!S776:S903)+SUMIF('Revenue and costs'!$D$776:$D$903,C247,'Revenue and costs'!T776:T903)+SUMIF('Revenue and costs'!$D$776:$D$903,C247,'Revenue and costs'!U776:U903)+SUMIF('Revenue and costs'!$D$776:$D$903,C247,'Revenue and costs'!V776:V903)+SUMIF('Revenue and costs'!$D$776:$D$903,C247,'Revenue and costs'!AE776:AE903)</x:f>
        <x:v>7801.678980648209</x:v>
      </x:c>
      <x:c r="G247" s="10" t="n">
        <x:f>IF('Income statement'!J50=0,1/39,E247/'Income statement'!J50)*('Shared costs'!N21+'Assumptions'!$D$18*'Assumptions'!$D$19*12*(1+'Assumptions'!$D$13)^(7-1)*'Assumptions'!$D$21)</x:f>
        <x:v>1013.7346991500102</x:v>
      </x:c>
      <x:c r="H247" s="10" t="n">
        <x:f>IF('Income statement'!J50=0,1/39,E247/'Income statement'!J50)*'Cash and capital'!J18</x:f>
        <x:v>5.739740379177477</x:v>
      </x:c>
      <x:c r="I247" s="10" t="n">
        <x:f>E247-F247-G247-H247</x:f>
        <x:v>16411.955964861325</x:v>
      </x:c>
      <x:c r="J247" s="10" t="n">
        <x:f>M208</x:f>
        <x:v>0</x:v>
      </x:c>
      <x:c r="K247" s="10" t="n">
        <x:f>MAX(0,I247-J247)</x:f>
        <x:v>16411.955964861325</x:v>
      </x:c>
      <x:c r="L247" s="10" t="n">
        <x:f>K247*'Assumptions'!$D$12</x:f>
        <x:v>4102.988991215331</x:v>
      </x:c>
      <x:c r="M247" s="10" t="n">
        <x:f>MAX(0,J247-I247)</x:f>
        <x:v>0</x:v>
      </x:c>
    </x:row>
    <x:row r="248" ht="16" customHeight="1">
      <x:c r="A248" s="1"/>
      <x:c r="B248" s="1"/>
      <x:c r="C248" s="1" t="str">
        <x:v>DishLoom US</x:v>
      </x:c>
      <x:c r="D248" s="10" t="n">
        <x:v>7</x:v>
      </x:c>
      <x:c r="E248" s="10" t="n">
        <x:f>SUMIF('Revenue and costs'!$D$776:$D$903,C248,'Revenue and costs'!N776:N903)</x:f>
        <x:v>22473.113141708534</x:v>
      </x:c>
      <x:c r="F248" s="10" t="n">
        <x:f>SUMIF('Revenue and costs'!$D$776:$D$903,C248,'Revenue and costs'!O776:O903)+SUMIF('Revenue and costs'!$D$776:$D$903,C248,'Revenue and costs'!P776:P903)+SUMIF('Revenue and costs'!$D$776:$D$903,C248,'Revenue and costs'!Q776:Q903)+SUMIF('Revenue and costs'!$D$776:$D$903,C248,'Revenue and costs'!R776:R903)+SUMIF('Revenue and costs'!$D$776:$D$903,C248,'Revenue and costs'!S776:S903)+SUMIF('Revenue and costs'!$D$776:$D$903,C248,'Revenue and costs'!T776:T903)+SUMIF('Revenue and costs'!$D$776:$D$903,C248,'Revenue and costs'!U776:U903)+SUMIF('Revenue and costs'!$D$776:$D$903,C248,'Revenue and costs'!V776:V903)+SUMIF('Revenue and costs'!$D$776:$D$903,C248,'Revenue and costs'!AE776:AE903)</x:f>
        <x:v>14791.547311515496</x:v>
      </x:c>
      <x:c r="G248" s="10" t="n">
        <x:f>IF('Income statement'!J50=0,1/39,E248/'Income statement'!J50)*('Shared costs'!N21+'Assumptions'!$D$18*'Assumptions'!$D$19*12*(1+'Assumptions'!$D$13)^(7-1)*'Assumptions'!$D$21)</x:f>
        <x:v>902.8524484256337</x:v>
      </x:c>
      <x:c r="H248" s="10" t="n">
        <x:f>IF('Income statement'!J50=0,1/39,E248/'Income statement'!J50)*'Cash and capital'!J18</x:f>
        <x:v>5.111927863387677</x:v>
      </x:c>
      <x:c r="I248" s="10" t="n">
        <x:f>E248-F248-G248-H248</x:f>
        <x:v>6773.601453904016</x:v>
      </x:c>
      <x:c r="J248" s="10" t="n">
        <x:f>M209</x:f>
        <x:v>0</x:v>
      </x:c>
      <x:c r="K248" s="10" t="n">
        <x:f>MAX(0,I248-J248)</x:f>
        <x:v>6773.601453904016</x:v>
      </x:c>
      <x:c r="L248" s="10" t="n">
        <x:f>K248*'Assumptions'!$D$12</x:f>
        <x:v>1693.400363476004</x:v>
      </x:c>
      <x:c r="M248" s="10" t="n">
        <x:f>MAX(0,J248-I248)</x:f>
        <x:v>0</x:v>
      </x:c>
    </x:row>
    <x:row r="249" ht="16" customHeight="1">
      <x:c r="A249" s="1"/>
      <x:c r="B249" s="1"/>
      <x:c r="C249" s="1" t="str">
        <x:v>Is Makes Travel Easy</x:v>
      </x:c>
      <x:c r="D249" s="10" t="n">
        <x:v>7</x:v>
      </x:c>
      <x:c r="E249" s="10" t="n">
        <x:f>SUMIF('Revenue and costs'!$D$776:$D$903,C249,'Revenue and costs'!N776:N903)</x:f>
        <x:v>39076.22288438371</x:v>
      </x:c>
      <x:c r="F249" s="10" t="n">
        <x:f>SUMIF('Revenue and costs'!$D$776:$D$903,C249,'Revenue and costs'!O776:O903)+SUMIF('Revenue and costs'!$D$776:$D$903,C249,'Revenue and costs'!P776:P903)+SUMIF('Revenue and costs'!$D$776:$D$903,C249,'Revenue and costs'!Q776:Q903)+SUMIF('Revenue and costs'!$D$776:$D$903,C249,'Revenue and costs'!R776:R903)+SUMIF('Revenue and costs'!$D$776:$D$903,C249,'Revenue and costs'!S776:S903)+SUMIF('Revenue and costs'!$D$776:$D$903,C249,'Revenue and costs'!T776:T903)+SUMIF('Revenue and costs'!$D$776:$D$903,C249,'Revenue and costs'!U776:U903)+SUMIF('Revenue and costs'!$D$776:$D$903,C249,'Revenue and costs'!V776:V903)+SUMIF('Revenue and costs'!$D$776:$D$903,C249,'Revenue and costs'!AE776:AE903)</x:f>
        <x:v>21740.0158690862</x:v>
      </x:c>
      <x:c r="G249" s="10" t="n">
        <x:f>IF('Income statement'!J50=0,1/39,E249/'Income statement'!J50)*('Shared costs'!N21+'Assumptions'!$D$18*'Assumptions'!$D$19*12*(1+'Assumptions'!$D$13)^(7-1)*'Assumptions'!$D$21)</x:f>
        <x:v>1569.878782878295</x:v>
      </x:c>
      <x:c r="H249" s="10" t="n">
        <x:f>IF('Income statement'!J50=0,1/39,E249/'Income statement'!J50)*'Cash and capital'!J18</x:f>
        <x:v>8.88861419862196</x:v>
      </x:c>
      <x:c r="I249" s="10" t="n">
        <x:f>E249-F249-G249-H249</x:f>
        <x:v>15757.43961822059</x:v>
      </x:c>
      <x:c r="J249" s="10" t="n">
        <x:f>M210</x:f>
        <x:v>0</x:v>
      </x:c>
      <x:c r="K249" s="10" t="n">
        <x:f>MAX(0,I249-J249)</x:f>
        <x:v>15757.43961822059</x:v>
      </x:c>
      <x:c r="L249" s="10" t="n">
        <x:f>K249*'Assumptions'!$D$12</x:f>
        <x:v>3939.3599045551473</x:v>
      </x:c>
      <x:c r="M249" s="10" t="n">
        <x:f>MAX(0,J249-I249)</x:f>
        <x:v>0</x:v>
      </x:c>
    </x:row>
    <x:row r="250" ht="16" customHeight="1">
      <x:c r="A250" s="1"/>
      <x:c r="B250" s="1"/>
      <x:c r="C250" s="1" t="str">
        <x:v>Turbo Tax - Made Easy!</x:v>
      </x:c>
      <x:c r="D250" s="10" t="n">
        <x:v>7</x:v>
      </x:c>
      <x:c r="E250" s="10" t="n">
        <x:f>SUMIF('Revenue and costs'!$D$776:$D$903,C250,'Revenue and costs'!N776:N903)</x:f>
        <x:v>109980.75619093834</x:v>
      </x:c>
      <x:c r="F250" s="10" t="n">
        <x:f>SUMIF('Revenue and costs'!$D$776:$D$903,C250,'Revenue and costs'!O776:O903)+SUMIF('Revenue and costs'!$D$776:$D$903,C250,'Revenue and costs'!P776:P903)+SUMIF('Revenue and costs'!$D$776:$D$903,C250,'Revenue and costs'!Q776:Q903)+SUMIF('Revenue and costs'!$D$776:$D$903,C250,'Revenue and costs'!R776:R903)+SUMIF('Revenue and costs'!$D$776:$D$903,C250,'Revenue and costs'!S776:S903)+SUMIF('Revenue and costs'!$D$776:$D$903,C250,'Revenue and costs'!T776:T903)+SUMIF('Revenue and costs'!$D$776:$D$903,C250,'Revenue and costs'!U776:U903)+SUMIF('Revenue and costs'!$D$776:$D$903,C250,'Revenue and costs'!V776:V903)+SUMIF('Revenue and costs'!$D$776:$D$903,C250,'Revenue and costs'!AE776:AE903)</x:f>
        <x:v>29267.06577962443</x:v>
      </x:c>
      <x:c r="G250" s="10" t="n">
        <x:f>IF('Income statement'!J50=0,1/39,E250/'Income statement'!J50)*('Shared costs'!N21+'Assumptions'!$D$18*'Assumptions'!$D$19*12*(1+'Assumptions'!$D$13)^(7-1)*'Assumptions'!$D$21)</x:f>
        <x:v>4418.453036771491</x:v>
      </x:c>
      <x:c r="H250" s="10" t="n">
        <x:f>IF('Income statement'!J50=0,1/39,E250/'Income statement'!J50)*'Cash and capital'!J18</x:f>
        <x:v>25.017170005052613</x:v>
      </x:c>
      <x:c r="I250" s="10" t="n">
        <x:f>E250-F250-G250-H250</x:f>
        <x:v>76270.22020453736</x:v>
      </x:c>
      <x:c r="J250" s="10" t="n">
        <x:f>M211</x:f>
        <x:v>0</x:v>
      </x:c>
      <x:c r="K250" s="10" t="n">
        <x:f>MAX(0,I250-J250)</x:f>
        <x:v>76270.22020453736</x:v>
      </x:c>
      <x:c r="L250" s="10" t="n">
        <x:f>K250*'Assumptions'!$D$12</x:f>
        <x:v>19067.55505113434</x:v>
      </x:c>
      <x:c r="M250" s="10" t="n">
        <x:f>MAX(0,J250-I250)</x:f>
        <x:v>0</x:v>
      </x:c>
    </x:row>
    <x:row r="251" ht="16" customHeight="1">
      <x:c r="A251" s="1"/>
      <x:c r="B251" s="1"/>
      <x:c r="C251" s="1" t="str">
        <x:v>LavaLearning adult</x:v>
      </x:c>
      <x:c r="D251" s="10" t="n">
        <x:v>7</x:v>
      </x:c>
      <x:c r="E251" s="10" t="n">
        <x:f>SUMIF('Revenue and costs'!$D$776:$D$903,C251,'Revenue and costs'!N776:N903)</x:f>
        <x:v>57922.48606660223</x:v>
      </x:c>
      <x:c r="F251" s="10" t="n">
        <x:f>SUMIF('Revenue and costs'!$D$776:$D$903,C251,'Revenue and costs'!O776:O903)+SUMIF('Revenue and costs'!$D$776:$D$903,C251,'Revenue and costs'!P776:P903)+SUMIF('Revenue and costs'!$D$776:$D$903,C251,'Revenue and costs'!Q776:Q903)+SUMIF('Revenue and costs'!$D$776:$D$903,C251,'Revenue and costs'!R776:R903)+SUMIF('Revenue and costs'!$D$776:$D$903,C251,'Revenue and costs'!S776:S903)+SUMIF('Revenue and costs'!$D$776:$D$903,C251,'Revenue and costs'!T776:T903)+SUMIF('Revenue and costs'!$D$776:$D$903,C251,'Revenue and costs'!U776:U903)+SUMIF('Revenue and costs'!$D$776:$D$903,C251,'Revenue and costs'!V776:V903)+SUMIF('Revenue and costs'!$D$776:$D$903,C251,'Revenue and costs'!AE776:AE903)</x:f>
        <x:v>21756.38135304863</x:v>
      </x:c>
      <x:c r="G251" s="10" t="n">
        <x:f>IF('Income statement'!J50=0,1/39,E251/'Income statement'!J50)*('Shared costs'!N21+'Assumptions'!$D$18*'Assumptions'!$D$19*12*(1+'Assumptions'!$D$13)^(7-1)*'Assumptions'!$D$21)</x:f>
        <x:v>2327.023320461763</x:v>
      </x:c>
      <x:c r="H251" s="10" t="n">
        <x:f>IF('Income statement'!J50=0,1/39,E251/'Income statement'!J50)*'Cash and capital'!J18</x:f>
        <x:v>13.175547534222822</x:v>
      </x:c>
      <x:c r="I251" s="10" t="n">
        <x:f>E251-F251-G251-H251</x:f>
        <x:v>33825.905845557616</x:v>
      </x:c>
      <x:c r="J251" s="10" t="n">
        <x:f>M212</x:f>
        <x:v>0</x:v>
      </x:c>
      <x:c r="K251" s="10" t="n">
        <x:f>MAX(0,I251-J251)</x:f>
        <x:v>33825.905845557616</x:v>
      </x:c>
      <x:c r="L251" s="10" t="n">
        <x:f>K251*'Assumptions'!$D$12</x:f>
        <x:v>8456.476461389404</x:v>
      </x:c>
      <x:c r="M251" s="10" t="n">
        <x:f>MAX(0,J251-I251)</x:f>
        <x:v>0</x:v>
      </x:c>
    </x:row>
    <x:row r="252" ht="16" customHeight="1">
      <x:c r="A252" s="1"/>
      <x:c r="B252" s="1"/>
      <x:c r="C252" s="1" t="str">
        <x:v>LavaLearning Model Life</x:v>
      </x:c>
      <x:c r="D252" s="10" t="n">
        <x:v>7</x:v>
      </x:c>
      <x:c r="E252" s="10" t="n">
        <x:f>SUMIF('Revenue and costs'!$D$776:$D$903,C252,'Revenue and costs'!N776:N903)</x:f>
        <x:v>0</x:v>
      </x:c>
      <x:c r="F252" s="10" t="n">
        <x:f>SUMIF('Revenue and costs'!$D$776:$D$903,C252,'Revenue and costs'!O776:O903)+SUMIF('Revenue and costs'!$D$776:$D$903,C252,'Revenue and costs'!P776:P903)+SUMIF('Revenue and costs'!$D$776:$D$903,C252,'Revenue and costs'!Q776:Q903)+SUMIF('Revenue and costs'!$D$776:$D$903,C252,'Revenue and costs'!R776:R903)+SUMIF('Revenue and costs'!$D$776:$D$903,C252,'Revenue and costs'!S776:S903)+SUMIF('Revenue and costs'!$D$776:$D$903,C252,'Revenue and costs'!T776:T903)+SUMIF('Revenue and costs'!$D$776:$D$903,C252,'Revenue and costs'!U776:U903)+SUMIF('Revenue and costs'!$D$776:$D$903,C252,'Revenue and costs'!V776:V903)+SUMIF('Revenue and costs'!$D$776:$D$903,C252,'Revenue and costs'!AE776:AE903)</x:f>
        <x:v>0</x:v>
      </x:c>
      <x:c r="G252" s="10" t="n">
        <x:f>IF('Income statement'!J50=0,1/39,E252/'Income statement'!J50)*('Shared costs'!N21+'Assumptions'!$D$18*'Assumptions'!$D$19*12*(1+'Assumptions'!$D$13)^(7-1)*'Assumptions'!$D$21)</x:f>
        <x:v>0</x:v>
      </x:c>
      <x:c r="H252" s="10" t="n">
        <x:f>IF('Income statement'!J50=0,1/39,E252/'Income statement'!J50)*'Cash and capital'!J18</x:f>
        <x:v>0</x:v>
      </x:c>
      <x:c r="I252" s="10" t="n">
        <x:f>E252-F252-G252-H252</x:f>
        <x:v>0</x:v>
      </x:c>
      <x:c r="J252" s="10" t="n">
        <x:f>M213</x:f>
        <x:v>0</x:v>
      </x:c>
      <x:c r="K252" s="10" t="n">
        <x:f>MAX(0,I252-J252)</x:f>
        <x:v>0</x:v>
      </x:c>
      <x:c r="L252" s="10" t="n">
        <x:f>K252*'Assumptions'!$D$12</x:f>
        <x:v>0</x:v>
      </x:c>
      <x:c r="M252" s="10" t="n">
        <x:f>MAX(0,J252-I252)</x:f>
        <x:v>0</x:v>
      </x:c>
    </x:row>
    <x:row r="253" ht="16" customHeight="1">
      <x:c r="A253" s="1"/>
      <x:c r="B253" s="1"/>
      <x:c r="C253" s="1" t="str">
        <x:v>LavaLearning Kids</x:v>
      </x:c>
      <x:c r="D253" s="10" t="n">
        <x:v>7</x:v>
      </x:c>
      <x:c r="E253" s="10" t="n">
        <x:f>SUMIF('Revenue and costs'!$D$776:$D$903,C253,'Revenue and costs'!N776:N903)</x:f>
        <x:v>22839.785672552825</x:v>
      </x:c>
      <x:c r="F253" s="10" t="n">
        <x:f>SUMIF('Revenue and costs'!$D$776:$D$903,C253,'Revenue and costs'!O776:O903)+SUMIF('Revenue and costs'!$D$776:$D$903,C253,'Revenue and costs'!P776:P903)+SUMIF('Revenue and costs'!$D$776:$D$903,C253,'Revenue and costs'!Q776:Q903)+SUMIF('Revenue and costs'!$D$776:$D$903,C253,'Revenue and costs'!R776:R903)+SUMIF('Revenue and costs'!$D$776:$D$903,C253,'Revenue and costs'!S776:S903)+SUMIF('Revenue and costs'!$D$776:$D$903,C253,'Revenue and costs'!T776:T903)+SUMIF('Revenue and costs'!$D$776:$D$903,C253,'Revenue and costs'!U776:U903)+SUMIF('Revenue and costs'!$D$776:$D$903,C253,'Revenue and costs'!V776:V903)+SUMIF('Revenue and costs'!$D$776:$D$903,C253,'Revenue and costs'!AE776:AE903)</x:f>
        <x:v>13281.873531643976</x:v>
      </x:c>
      <x:c r="G253" s="10" t="n">
        <x:f>IF('Income statement'!J50=0,1/39,E253/'Income statement'!J50)*('Shared costs'!N21+'Assumptions'!$D$18*'Assumptions'!$D$19*12*(1+'Assumptions'!$D$13)^(7-1)*'Assumptions'!$D$21)</x:f>
        <x:v>917.5834378597937</x:v>
      </x:c>
      <x:c r="H253" s="10" t="n">
        <x:f>IF('Income statement'!J50=0,1/39,E253/'Income statement'!J50)*'Cash and capital'!J18</x:f>
        <x:v>5.1953343551960165</x:v>
      </x:c>
      <x:c r="I253" s="10" t="n">
        <x:f>E253-F253-G253-H253</x:f>
        <x:v>8635.13336869386</x:v>
      </x:c>
      <x:c r="J253" s="10" t="n">
        <x:f>M214</x:f>
        <x:v>0</x:v>
      </x:c>
      <x:c r="K253" s="10" t="n">
        <x:f>MAX(0,I253-J253)</x:f>
        <x:v>8635.13336869386</x:v>
      </x:c>
      <x:c r="L253" s="10" t="n">
        <x:f>K253*'Assumptions'!$D$12</x:f>
        <x:v>2158.783342173465</x:v>
      </x:c>
      <x:c r="M253" s="10" t="n">
        <x:f>MAX(0,J253-I253)</x:f>
        <x:v>0</x:v>
      </x:c>
    </x:row>
    <x:row r="254" ht="16" customHeight="1">
      <x:c r="A254" s="1"/>
      <x:c r="B254" s="1"/>
      <x:c r="C254" s="1" t="str">
        <x:v>VraiSkill adult</x:v>
      </x:c>
      <x:c r="D254" s="10" t="n">
        <x:v>7</x:v>
      </x:c>
      <x:c r="E254" s="10" t="n">
        <x:f>SUMIF('Revenue and costs'!$D$776:$D$903,C254,'Revenue and costs'!N776:N903)</x:f>
        <x:v>43252.78084601696</x:v>
      </x:c>
      <x:c r="F254" s="10" t="n">
        <x:f>SUMIF('Revenue and costs'!$D$776:$D$903,C254,'Revenue and costs'!O776:O903)+SUMIF('Revenue and costs'!$D$776:$D$903,C254,'Revenue and costs'!P776:P903)+SUMIF('Revenue and costs'!$D$776:$D$903,C254,'Revenue and costs'!Q776:Q903)+SUMIF('Revenue and costs'!$D$776:$D$903,C254,'Revenue and costs'!R776:R903)+SUMIF('Revenue and costs'!$D$776:$D$903,C254,'Revenue and costs'!S776:S903)+SUMIF('Revenue and costs'!$D$776:$D$903,C254,'Revenue and costs'!T776:T903)+SUMIF('Revenue and costs'!$D$776:$D$903,C254,'Revenue and costs'!U776:U903)+SUMIF('Revenue and costs'!$D$776:$D$903,C254,'Revenue and costs'!V776:V903)+SUMIF('Revenue and costs'!$D$776:$D$903,C254,'Revenue and costs'!AE776:AE903)</x:f>
        <x:v>33531.25458784878</x:v>
      </x:c>
      <x:c r="G254" s="10" t="n">
        <x:f>IF('Income statement'!J50=0,1/39,E254/'Income statement'!J50)*('Shared costs'!N21+'Assumptions'!$D$18*'Assumptions'!$D$19*12*(1+'Assumptions'!$D$13)^(7-1)*'Assumptions'!$D$21)</x:f>
        <x:v>1737.6710935330118</x:v>
      </x:c>
      <x:c r="H254" s="10" t="n">
        <x:f>IF('Income statement'!J50=0,1/39,E254/'Income statement'!J50)*'Cash and capital'!J18</x:f>
        <x:v>9.838650042899452</x:v>
      </x:c>
      <x:c r="I254" s="10" t="n">
        <x:f>E254-F254-G254-H254</x:f>
        <x:v>7974.01651459227</x:v>
      </x:c>
      <x:c r="J254" s="10" t="n">
        <x:f>M215</x:f>
        <x:v>0</x:v>
      </x:c>
      <x:c r="K254" s="10" t="n">
        <x:f>MAX(0,I254-J254)</x:f>
        <x:v>7974.01651459227</x:v>
      </x:c>
      <x:c r="L254" s="10" t="n">
        <x:f>K254*'Assumptions'!$D$12</x:f>
        <x:v>1993.5041286480675</x:v>
      </x:c>
      <x:c r="M254" s="10" t="n">
        <x:f>MAX(0,J254-I254)</x:f>
        <x:v>0</x:v>
      </x:c>
    </x:row>
    <x:row r="255" ht="16" customHeight="1">
      <x:c r="A255" s="1"/>
      <x:c r="B255" s="1"/>
      <x:c r="C255" s="1" t="str">
        <x:v>VraiSkill teen</x:v>
      </x:c>
      <x:c r="D255" s="10" t="n">
        <x:v>7</x:v>
      </x:c>
      <x:c r="E255" s="10" t="n">
        <x:f>SUMIF('Revenue and costs'!$D$776:$D$903,C255,'Revenue and costs'!N776:N903)</x:f>
        <x:v>19233.503724255013</x:v>
      </x:c>
      <x:c r="F255" s="10" t="n">
        <x:f>SUMIF('Revenue and costs'!$D$776:$D$903,C255,'Revenue and costs'!O776:O903)+SUMIF('Revenue and costs'!$D$776:$D$903,C255,'Revenue and costs'!P776:P903)+SUMIF('Revenue and costs'!$D$776:$D$903,C255,'Revenue and costs'!Q776:Q903)+SUMIF('Revenue and costs'!$D$776:$D$903,C255,'Revenue and costs'!R776:R903)+SUMIF('Revenue and costs'!$D$776:$D$903,C255,'Revenue and costs'!S776:S903)+SUMIF('Revenue and costs'!$D$776:$D$903,C255,'Revenue and costs'!T776:T903)+SUMIF('Revenue and costs'!$D$776:$D$903,C255,'Revenue and costs'!U776:U903)+SUMIF('Revenue and costs'!$D$776:$D$903,C255,'Revenue and costs'!V776:V903)+SUMIF('Revenue and costs'!$D$776:$D$903,C255,'Revenue and costs'!AE776:AE903)</x:f>
        <x:v>9270.251842840162</x:v>
      </x:c>
      <x:c r="G255" s="10" t="n">
        <x:f>IF('Income statement'!J50=0,1/39,E255/'Income statement'!J50)*('Shared costs'!N21+'Assumptions'!$D$18*'Assumptions'!$D$19*12*(1+'Assumptions'!$D$13)^(7-1)*'Assumptions'!$D$21)</x:f>
        <x:v>772.7018424082476</x:v>
      </x:c>
      <x:c r="H255" s="10" t="n">
        <x:f>IF('Income statement'!J50=0,1/39,E255/'Income statement'!J50)*'Cash and capital'!J18</x:f>
        <x:v>4.375018404375594</x:v>
      </x:c>
      <x:c r="I255" s="10" t="n">
        <x:f>E255-F255-G255-H255</x:f>
        <x:v>9186.17502060223</x:v>
      </x:c>
      <x:c r="J255" s="10" t="n">
        <x:f>M216</x:f>
        <x:v>0</x:v>
      </x:c>
      <x:c r="K255" s="10" t="n">
        <x:f>MAX(0,I255-J255)</x:f>
        <x:v>9186.17502060223</x:v>
      </x:c>
      <x:c r="L255" s="10" t="n">
        <x:f>K255*'Assumptions'!$D$12</x:f>
        <x:v>2296.5437551505574</x:v>
      </x:c>
      <x:c r="M255" s="10" t="n">
        <x:f>MAX(0,J255-I255)</x:f>
        <x:v>0</x:v>
      </x:c>
    </x:row>
    <x:row r="256" ht="16" customHeight="1">
      <x:c r="A256" s="1"/>
      <x:c r="B256" s="1"/>
      <x:c r="C256" s="1" t="str">
        <x:v>VraiSkill Model Life</x:v>
      </x:c>
      <x:c r="D256" s="10" t="n">
        <x:v>7</x:v>
      </x:c>
      <x:c r="E256" s="10" t="n">
        <x:f>SUMIF('Revenue and costs'!$D$776:$D$903,C256,'Revenue and costs'!N776:N903)</x:f>
        <x:v>0</x:v>
      </x:c>
      <x:c r="F256" s="10" t="n">
        <x:f>SUMIF('Revenue and costs'!$D$776:$D$903,C256,'Revenue and costs'!O776:O903)+SUMIF('Revenue and costs'!$D$776:$D$903,C256,'Revenue and costs'!P776:P903)+SUMIF('Revenue and costs'!$D$776:$D$903,C256,'Revenue and costs'!Q776:Q903)+SUMIF('Revenue and costs'!$D$776:$D$903,C256,'Revenue and costs'!R776:R903)+SUMIF('Revenue and costs'!$D$776:$D$903,C256,'Revenue and costs'!S776:S903)+SUMIF('Revenue and costs'!$D$776:$D$903,C256,'Revenue and costs'!T776:T903)+SUMIF('Revenue and costs'!$D$776:$D$903,C256,'Revenue and costs'!U776:U903)+SUMIF('Revenue and costs'!$D$776:$D$903,C256,'Revenue and costs'!V776:V903)+SUMIF('Revenue and costs'!$D$776:$D$903,C256,'Revenue and costs'!AE776:AE903)</x:f>
        <x:v>0</x:v>
      </x:c>
      <x:c r="G256" s="10" t="n">
        <x:f>IF('Income statement'!J50=0,1/39,E256/'Income statement'!J50)*('Shared costs'!N21+'Assumptions'!$D$18*'Assumptions'!$D$19*12*(1+'Assumptions'!$D$13)^(7-1)*'Assumptions'!$D$21)</x:f>
        <x:v>0</x:v>
      </x:c>
      <x:c r="H256" s="10" t="n">
        <x:f>IF('Income statement'!J50=0,1/39,E256/'Income statement'!J50)*'Cash and capital'!J18</x:f>
        <x:v>0</x:v>
      </x:c>
      <x:c r="I256" s="10" t="n">
        <x:f>E256-F256-G256-H256</x:f>
        <x:v>0</x:v>
      </x:c>
      <x:c r="J256" s="10" t="n">
        <x:f>M217</x:f>
        <x:v>0</x:v>
      </x:c>
      <x:c r="K256" s="10" t="n">
        <x:f>MAX(0,I256-J256)</x:f>
        <x:v>0</x:v>
      </x:c>
      <x:c r="L256" s="10" t="n">
        <x:f>K256*'Assumptions'!$D$12</x:f>
        <x:v>0</x:v>
      </x:c>
      <x:c r="M256" s="10" t="n">
        <x:f>MAX(0,J256-I256)</x:f>
        <x:v>0</x:v>
      </x:c>
    </x:row>
    <x:row r="257" ht="16" customHeight="1">
      <x:c r="A257" s="1"/>
      <x:c r="B257" s="1"/>
      <x:c r="C257" s="1" t="str">
        <x:v>Model Life</x:v>
      </x:c>
      <x:c r="D257" s="10" t="n">
        <x:v>7</x:v>
      </x:c>
      <x:c r="E257" s="10" t="n">
        <x:f>SUMIF('Revenue and costs'!$D$776:$D$903,C257,'Revenue and costs'!N776:N903)</x:f>
        <x:v>64684.51613274836</x:v>
      </x:c>
      <x:c r="F257" s="10" t="n">
        <x:f>SUMIF('Revenue and costs'!$D$776:$D$903,C257,'Revenue and costs'!O776:O903)+SUMIF('Revenue and costs'!$D$776:$D$903,C257,'Revenue and costs'!P776:P903)+SUMIF('Revenue and costs'!$D$776:$D$903,C257,'Revenue and costs'!Q776:Q903)+SUMIF('Revenue and costs'!$D$776:$D$903,C257,'Revenue and costs'!R776:R903)+SUMIF('Revenue and costs'!$D$776:$D$903,C257,'Revenue and costs'!S776:S903)+SUMIF('Revenue and costs'!$D$776:$D$903,C257,'Revenue and costs'!T776:T903)+SUMIF('Revenue and costs'!$D$776:$D$903,C257,'Revenue and costs'!U776:U903)+SUMIF('Revenue and costs'!$D$776:$D$903,C257,'Revenue and costs'!V776:V903)+SUMIF('Revenue and costs'!$D$776:$D$903,C257,'Revenue and costs'!AE776:AE903)</x:f>
        <x:v>20540.41698485474</x:v>
      </x:c>
      <x:c r="G257" s="10" t="n">
        <x:f>IF('Income statement'!J50=0,1/39,E257/'Income statement'!J50)*('Shared costs'!N21+'Assumptions'!$D$18*'Assumptions'!$D$19*12*(1+'Assumptions'!$D$13)^(7-1)*'Assumptions'!$D$21)</x:f>
        <x:v>2598.686412399707</x:v>
      </x:c>
      <x:c r="H257" s="10" t="n">
        <x:f>IF('Income statement'!J50=0,1/39,E257/'Income statement'!J50)*'Cash and capital'!J18</x:f>
        <x:v>14.71369713059733</x:v>
      </x:c>
      <x:c r="I257" s="10" t="n">
        <x:f>E257-F257-G257-H257</x:f>
        <x:v>41530.69903836332</x:v>
      </x:c>
      <x:c r="J257" s="10" t="n">
        <x:f>M218</x:f>
        <x:v>0</x:v>
      </x:c>
      <x:c r="K257" s="10" t="n">
        <x:f>MAX(0,I257-J257)</x:f>
        <x:v>41530.69903836332</x:v>
      </x:c>
      <x:c r="L257" s="10" t="n">
        <x:f>K257*'Assumptions'!$D$12</x:f>
        <x:v>10382.67475959083</x:v>
      </x:c>
      <x:c r="M257" s="10" t="n">
        <x:f>MAX(0,J257-I257)</x:f>
        <x:v>0</x:v>
      </x:c>
    </x:row>
    <x:row r="258" ht="16" customHeight="1">
      <x:c r="A258" s="1"/>
      <x:c r="B258" s="1"/>
      <x:c r="C258" s="1" t="str">
        <x:v>S’otality cleaning</x:v>
      </x:c>
      <x:c r="D258" s="10" t="n">
        <x:v>7</x:v>
      </x:c>
      <x:c r="E258" s="10" t="n">
        <x:f>SUMIF('Revenue and costs'!$D$776:$D$903,C258,'Revenue and costs'!N776:N903)</x:f>
        <x:v>219367.68486122086</x:v>
      </x:c>
      <x:c r="F258" s="10" t="n">
        <x:f>SUMIF('Revenue and costs'!$D$776:$D$903,C258,'Revenue and costs'!O776:O903)+SUMIF('Revenue and costs'!$D$776:$D$903,C258,'Revenue and costs'!P776:P903)+SUMIF('Revenue and costs'!$D$776:$D$903,C258,'Revenue and costs'!Q776:Q903)+SUMIF('Revenue and costs'!$D$776:$D$903,C258,'Revenue and costs'!R776:R903)+SUMIF('Revenue and costs'!$D$776:$D$903,C258,'Revenue and costs'!S776:S903)+SUMIF('Revenue and costs'!$D$776:$D$903,C258,'Revenue and costs'!T776:T903)+SUMIF('Revenue and costs'!$D$776:$D$903,C258,'Revenue and costs'!U776:U903)+SUMIF('Revenue and costs'!$D$776:$D$903,C258,'Revenue and costs'!V776:V903)+SUMIF('Revenue and costs'!$D$776:$D$903,C258,'Revenue and costs'!AE776:AE903)</x:f>
        <x:v>187988.33855396116</x:v>
      </x:c>
      <x:c r="G258" s="10" t="n">
        <x:f>IF('Income statement'!J50=0,1/39,E258/'Income statement'!J50)*('Shared costs'!N21+'Assumptions'!$D$18*'Assumptions'!$D$19*12*(1+'Assumptions'!$D$13)^(7-1)*'Assumptions'!$D$21)</x:f>
        <x:v>8813.049181639046</x:v>
      </x:c>
      <x:c r="H258" s="10" t="n">
        <x:f>IF('Income statement'!J50=0,1/39,E258/'Income statement'!J50)*'Cash and capital'!J18</x:f>
        <x:v>49.89926288795729</x:v>
      </x:c>
      <x:c r="I258" s="10" t="n">
        <x:f>E258-F258-G258-H258</x:f>
        <x:v>22516.39786273269</x:v>
      </x:c>
      <x:c r="J258" s="10" t="n">
        <x:f>M219</x:f>
        <x:v>0</x:v>
      </x:c>
      <x:c r="K258" s="10" t="n">
        <x:f>MAX(0,I258-J258)</x:f>
        <x:v>22516.39786273269</x:v>
      </x:c>
      <x:c r="L258" s="10" t="n">
        <x:f>K258*'Assumptions'!$D$12</x:f>
        <x:v>5629.099465683173</x:v>
      </x:c>
      <x:c r="M258" s="10" t="n">
        <x:f>MAX(0,J258-I258)</x:f>
        <x:v>0</x:v>
      </x:c>
    </x:row>
    <x:row r="259" ht="16" customHeight="1">
      <x:c r="A259" s="1"/>
      <x:c r="B259" s="1"/>
      <x:c r="C259" s="1" t="str">
        <x:v>S’otality laundry</x:v>
      </x:c>
      <x:c r="D259" s="10" t="n">
        <x:v>7</x:v>
      </x:c>
      <x:c r="E259" s="10" t="n">
        <x:f>SUMIF('Revenue and costs'!$D$776:$D$903,C259,'Revenue and costs'!N776:N903)</x:f>
        <x:v>34000.73186712379</x:v>
      </x:c>
      <x:c r="F259" s="10" t="n">
        <x:f>SUMIF('Revenue and costs'!$D$776:$D$903,C259,'Revenue and costs'!O776:O903)+SUMIF('Revenue and costs'!$D$776:$D$903,C259,'Revenue and costs'!P776:P903)+SUMIF('Revenue and costs'!$D$776:$D$903,C259,'Revenue and costs'!Q776:Q903)+SUMIF('Revenue and costs'!$D$776:$D$903,C259,'Revenue and costs'!R776:R903)+SUMIF('Revenue and costs'!$D$776:$D$903,C259,'Revenue and costs'!S776:S903)+SUMIF('Revenue and costs'!$D$776:$D$903,C259,'Revenue and costs'!T776:T903)+SUMIF('Revenue and costs'!$D$776:$D$903,C259,'Revenue and costs'!U776:U903)+SUMIF('Revenue and costs'!$D$776:$D$903,C259,'Revenue and costs'!V776:V903)+SUMIF('Revenue and costs'!$D$776:$D$903,C259,'Revenue and costs'!AE776:AE903)</x:f>
        <x:v>31200.6909554296</x:v>
      </x:c>
      <x:c r="G259" s="10" t="n">
        <x:f>IF('Income statement'!J50=0,1/39,E259/'Income statement'!J50)*('Shared costs'!N21+'Assumptions'!$D$18*'Assumptions'!$D$19*12*(1+'Assumptions'!$D$13)^(7-1)*'Assumptions'!$D$21)</x:f>
        <x:v>1365.9720315973263</x:v>
      </x:c>
      <x:c r="H259" s="10" t="n">
        <x:f>IF('Income statement'!J50=0,1/39,E259/'Income statement'!J50)*'Cash and capital'!J18</x:f>
        <x:v>7.734099299511177</x:v>
      </x:c>
      <x:c r="I259" s="10" t="n">
        <x:f>E259-F259-G259-H259</x:f>
        <x:v>1426.3347807973507</x:v>
      </x:c>
      <x:c r="J259" s="10" t="n">
        <x:f>M220</x:f>
        <x:v>0</x:v>
      </x:c>
      <x:c r="K259" s="10" t="n">
        <x:f>MAX(0,I259-J259)</x:f>
        <x:v>1426.3347807973507</x:v>
      </x:c>
      <x:c r="L259" s="10" t="n">
        <x:f>K259*'Assumptions'!$D$12</x:f>
        <x:v>356.5836951993377</x:v>
      </x:c>
      <x:c r="M259" s="10" t="n">
        <x:f>MAX(0,J259-I259)</x:f>
        <x:v>0</x:v>
      </x:c>
    </x:row>
    <x:row r="260" ht="16" customHeight="1">
      <x:c r="A260" s="1"/>
      <x:c r="B260" s="1"/>
      <x:c r="C260" s="1" t="str">
        <x:v>S’otality Personal Chef</x:v>
      </x:c>
      <x:c r="D260" s="10" t="n">
        <x:v>7</x:v>
      </x:c>
      <x:c r="E260" s="10" t="n">
        <x:f>SUMIF('Revenue and costs'!$D$776:$D$903,C260,'Revenue and costs'!N776:N903)</x:f>
        <x:v>60893.29213916284</x:v>
      </x:c>
      <x:c r="F260" s="10" t="n">
        <x:f>SUMIF('Revenue and costs'!$D$776:$D$903,C260,'Revenue and costs'!O776:O903)+SUMIF('Revenue and costs'!$D$776:$D$903,C260,'Revenue and costs'!P776:P903)+SUMIF('Revenue and costs'!$D$776:$D$903,C260,'Revenue and costs'!Q776:Q903)+SUMIF('Revenue and costs'!$D$776:$D$903,C260,'Revenue and costs'!R776:R903)+SUMIF('Revenue and costs'!$D$776:$D$903,C260,'Revenue and costs'!S776:S903)+SUMIF('Revenue and costs'!$D$776:$D$903,C260,'Revenue and costs'!T776:T903)+SUMIF('Revenue and costs'!$D$776:$D$903,C260,'Revenue and costs'!U776:U903)+SUMIF('Revenue and costs'!$D$776:$D$903,C260,'Revenue and costs'!V776:V903)+SUMIF('Revenue and costs'!$D$776:$D$903,C260,'Revenue and costs'!AE776:AE903)</x:f>
        <x:v>48572.87540224591</x:v>
      </x:c>
      <x:c r="G260" s="10" t="n">
        <x:f>IF('Income statement'!J50=0,1/39,E260/'Income statement'!J50)*('Shared costs'!N21+'Assumptions'!$D$18*'Assumptions'!$D$19*12*(1+'Assumptions'!$D$13)^(7-1)*'Assumptions'!$D$21)</x:f>
        <x:v>2446.3748103731054</x:v>
      </x:c>
      <x:c r="H260" s="10" t="n">
        <x:f>IF('Income statement'!J50=0,1/39,E260/'Income statement'!J50)*'Cash and capital'!J18</x:f>
        <x:v>13.851312669354845</x:v>
      </x:c>
      <x:c r="I260" s="10" t="n">
        <x:f>E260-F260-G260-H260</x:f>
        <x:v>9860.19061387447</x:v>
      </x:c>
      <x:c r="J260" s="10" t="n">
        <x:f>M221</x:f>
        <x:v>0</x:v>
      </x:c>
      <x:c r="K260" s="10" t="n">
        <x:f>MAX(0,I260-J260)</x:f>
        <x:v>9860.19061387447</x:v>
      </x:c>
      <x:c r="L260" s="10" t="n">
        <x:f>K260*'Assumptions'!$D$12</x:f>
        <x:v>2465.0476534686177</x:v>
      </x:c>
      <x:c r="M260" s="10" t="n">
        <x:f>MAX(0,J260-I260)</x:f>
        <x:v>0</x:v>
      </x:c>
    </x:row>
    <x:row r="261" ht="16" customHeight="1">
      <x:c r="A261" s="1"/>
      <x:c r="B261" s="1"/>
      <x:c r="C261" s="1" t="str">
        <x:v>S’otality interiors</x:v>
      </x:c>
      <x:c r="D261" s="10" t="n">
        <x:v>7</x:v>
      </x:c>
      <x:c r="E261" s="10" t="n">
        <x:f>SUMIF('Revenue and costs'!$D$776:$D$903,C261,'Revenue and costs'!N776:N903)</x:f>
        <x:v>79428.71114364926</x:v>
      </x:c>
      <x:c r="F261" s="10" t="n">
        <x:f>SUMIF('Revenue and costs'!$D$776:$D$903,C261,'Revenue and costs'!O776:O903)+SUMIF('Revenue and costs'!$D$776:$D$903,C261,'Revenue and costs'!P776:P903)+SUMIF('Revenue and costs'!$D$776:$D$903,C261,'Revenue and costs'!Q776:Q903)+SUMIF('Revenue and costs'!$D$776:$D$903,C261,'Revenue and costs'!R776:R903)+SUMIF('Revenue and costs'!$D$776:$D$903,C261,'Revenue and costs'!S776:S903)+SUMIF('Revenue and costs'!$D$776:$D$903,C261,'Revenue and costs'!T776:T903)+SUMIF('Revenue and costs'!$D$776:$D$903,C261,'Revenue and costs'!U776:U903)+SUMIF('Revenue and costs'!$D$776:$D$903,C261,'Revenue and costs'!V776:V903)+SUMIF('Revenue and costs'!$D$776:$D$903,C261,'Revenue and costs'!AE776:AE903)</x:f>
        <x:v>48432.160300461546</x:v>
      </x:c>
      <x:c r="G261" s="10" t="n">
        <x:f>IF('Income statement'!J50=0,1/39,E261/'Income statement'!J50)*('Shared costs'!N21+'Assumptions'!$D$18*'Assumptions'!$D$19*12*(1+'Assumptions'!$D$13)^(7-1)*'Assumptions'!$D$21)</x:f>
        <x:v>3191.031250505428</x:v>
      </x:c>
      <x:c r="H261" s="10" t="n">
        <x:f>IF('Income statement'!J50=0,1/39,E261/'Income statement'!J50)*'Cash and capital'!J18</x:f>
        <x:v>18.0675387111642</x:v>
      </x:c>
      <x:c r="I261" s="10" t="n">
        <x:f>E261-F261-G261-H261</x:f>
        <x:v>27787.452053971116</x:v>
      </x:c>
      <x:c r="J261" s="10" t="n">
        <x:f>M222</x:f>
        <x:v>0</x:v>
      </x:c>
      <x:c r="K261" s="10" t="n">
        <x:f>MAX(0,I261-J261)</x:f>
        <x:v>27787.452053971116</x:v>
      </x:c>
      <x:c r="L261" s="10" t="n">
        <x:f>K261*'Assumptions'!$D$12</x:f>
        <x:v>6946.863013492779</x:v>
      </x:c>
      <x:c r="M261" s="10" t="n">
        <x:f>MAX(0,J261-I261)</x:f>
        <x:v>0</x:v>
      </x:c>
    </x:row>
    <x:row r="262" ht="16" customHeight="1">
      <x:c r="A262" s="1"/>
      <x:c r="B262" s="1"/>
      <x:c r="C262" s="1" t="str">
        <x:v>S’otality concierge</x:v>
      </x:c>
      <x:c r="D262" s="10" t="n">
        <x:v>7</x:v>
      </x:c>
      <x:c r="E262" s="10" t="n">
        <x:f>SUMIF('Revenue and costs'!$D$776:$D$903,C262,'Revenue and costs'!N776:N903)</x:f>
        <x:v>29229.853916911074</x:v>
      </x:c>
      <x:c r="F262" s="10" t="n">
        <x:f>SUMIF('Revenue and costs'!$D$776:$D$903,C262,'Revenue and costs'!O776:O903)+SUMIF('Revenue and costs'!$D$776:$D$903,C262,'Revenue and costs'!P776:P903)+SUMIF('Revenue and costs'!$D$776:$D$903,C262,'Revenue and costs'!Q776:Q903)+SUMIF('Revenue and costs'!$D$776:$D$903,C262,'Revenue and costs'!R776:R903)+SUMIF('Revenue and costs'!$D$776:$D$903,C262,'Revenue and costs'!S776:S903)+SUMIF('Revenue and costs'!$D$776:$D$903,C262,'Revenue and costs'!T776:T903)+SUMIF('Revenue and costs'!$D$776:$D$903,C262,'Revenue and costs'!U776:U903)+SUMIF('Revenue and costs'!$D$776:$D$903,C262,'Revenue and costs'!V776:V903)+SUMIF('Revenue and costs'!$D$776:$D$903,C262,'Revenue and costs'!AE776:AE903)</x:f>
        <x:v>16527.819187124787</x:v>
      </x:c>
      <x:c r="G262" s="10" t="n">
        <x:f>IF('Income statement'!J50=0,1/39,E262/'Income statement'!J50)*('Shared costs'!N21+'Assumptions'!$D$18*'Assumptions'!$D$19*12*(1+'Assumptions'!$D$13)^(7-1)*'Assumptions'!$D$21)</x:f>
        <x:v>1174.303044246607</x:v>
      </x:c>
      <x:c r="H262" s="10" t="n">
        <x:f>IF('Income statement'!J50=0,1/39,E262/'Income statement'!J50)*'Cash and capital'!J18</x:f>
        <x:v>6.648874312090492</x:v>
      </x:c>
      <x:c r="I262" s="10" t="n">
        <x:f>E262-F262-G262-H262</x:f>
        <x:v>11521.082811227589</x:v>
      </x:c>
      <x:c r="J262" s="10" t="n">
        <x:f>M223</x:f>
        <x:v>0</x:v>
      </x:c>
      <x:c r="K262" s="10" t="n">
        <x:f>MAX(0,I262-J262)</x:f>
        <x:v>11521.082811227589</x:v>
      </x:c>
      <x:c r="L262" s="10" t="n">
        <x:f>K262*'Assumptions'!$D$12</x:f>
        <x:v>2880.270702806897</x:v>
      </x:c>
      <x:c r="M262" s="10" t="n">
        <x:f>MAX(0,J262-I262)</x:f>
        <x:v>0</x:v>
      </x:c>
    </x:row>
    <x:row r="263" ht="16" customHeight="1">
      <x:c r="A263" s="1"/>
      <x:c r="B263" s="1"/>
      <x:c r="C263" s="1" t="str">
        <x:v>S’otality administration</x:v>
      </x:c>
      <x:c r="D263" s="10" t="n">
        <x:v>7</x:v>
      </x:c>
      <x:c r="E263" s="10" t="n">
        <x:f>SUMIF('Revenue and costs'!$D$776:$D$903,C263,'Revenue and costs'!N776:N903)</x:f>
        <x:v>46767.76626705772</x:v>
      </x:c>
      <x:c r="F263" s="10" t="n">
        <x:f>SUMIF('Revenue and costs'!$D$776:$D$903,C263,'Revenue and costs'!O776:O903)+SUMIF('Revenue and costs'!$D$776:$D$903,C263,'Revenue and costs'!P776:P903)+SUMIF('Revenue and costs'!$D$776:$D$903,C263,'Revenue and costs'!Q776:Q903)+SUMIF('Revenue and costs'!$D$776:$D$903,C263,'Revenue and costs'!R776:R903)+SUMIF('Revenue and costs'!$D$776:$D$903,C263,'Revenue and costs'!S776:S903)+SUMIF('Revenue and costs'!$D$776:$D$903,C263,'Revenue and costs'!T776:T903)+SUMIF('Revenue and costs'!$D$776:$D$903,C263,'Revenue and costs'!U776:U903)+SUMIF('Revenue and costs'!$D$776:$D$903,C263,'Revenue and costs'!V776:V903)+SUMIF('Revenue and costs'!$D$776:$D$903,C263,'Revenue and costs'!AE776:AE903)</x:f>
        <x:v>35433.45465117737</x:v>
      </x:c>
      <x:c r="G263" s="10" t="n">
        <x:f>IF('Income statement'!J50=0,1/39,E263/'Income statement'!J50)*('Shared costs'!N21+'Assumptions'!$D$18*'Assumptions'!$D$19*12*(1+'Assumptions'!$D$13)^(7-1)*'Assumptions'!$D$21)</x:f>
        <x:v>1878.8848707945713</x:v>
      </x:c>
      <x:c r="H263" s="10" t="n">
        <x:f>IF('Income statement'!J50=0,1/39,E263/'Income statement'!J50)*'Cash and capital'!J18</x:f>
        <x:v>10.638198899344788</x:v>
      </x:c>
      <x:c r="I263" s="10" t="n">
        <x:f>E263-F263-G263-H263</x:f>
        <x:v>9444.78854618643</x:v>
      </x:c>
      <x:c r="J263" s="10" t="n">
        <x:f>M224</x:f>
        <x:v>0</x:v>
      </x:c>
      <x:c r="K263" s="10" t="n">
        <x:f>MAX(0,I263-J263)</x:f>
        <x:v>9444.78854618643</x:v>
      </x:c>
      <x:c r="L263" s="10" t="n">
        <x:f>K263*'Assumptions'!$D$12</x:f>
        <x:v>2361.1971365466075</x:v>
      </x:c>
      <x:c r="M263" s="10" t="n">
        <x:f>MAX(0,J263-I263)</x:f>
        <x:v>0</x:v>
      </x:c>
    </x:row>
    <x:row r="264" ht="16" customHeight="1">
      <x:c r="A264" s="1"/>
      <x:c r="B264" s="1"/>
      <x:c r="C264" s="1" t="str">
        <x:v>S’otality bike tours</x:v>
      </x:c>
      <x:c r="D264" s="10" t="n">
        <x:v>7</x:v>
      </x:c>
      <x:c r="E264" s="10" t="n">
        <x:f>SUMIF('Revenue and costs'!$D$776:$D$903,C264,'Revenue and costs'!N776:N903)</x:f>
        <x:v>24357.31685566514</x:v>
      </x:c>
      <x:c r="F264" s="10" t="n">
        <x:f>SUMIF('Revenue and costs'!$D$776:$D$903,C264,'Revenue and costs'!O776:O903)+SUMIF('Revenue and costs'!$D$776:$D$903,C264,'Revenue and costs'!P776:P903)+SUMIF('Revenue and costs'!$D$776:$D$903,C264,'Revenue and costs'!Q776:Q903)+SUMIF('Revenue and costs'!$D$776:$D$903,C264,'Revenue and costs'!R776:R903)+SUMIF('Revenue and costs'!$D$776:$D$903,C264,'Revenue and costs'!S776:S903)+SUMIF('Revenue and costs'!$D$776:$D$903,C264,'Revenue and costs'!T776:T903)+SUMIF('Revenue and costs'!$D$776:$D$903,C264,'Revenue and costs'!U776:U903)+SUMIF('Revenue and costs'!$D$776:$D$903,C264,'Revenue and costs'!V776:V903)+SUMIF('Revenue and costs'!$D$776:$D$903,C264,'Revenue and costs'!AE776:AE903)</x:f>
        <x:v>19761.30200630778</x:v>
      </x:c>
      <x:c r="G264" s="10" t="n">
        <x:f>IF('Income statement'!J50=0,1/39,E264/'Income statement'!J50)*('Shared costs'!N21+'Assumptions'!$D$18*'Assumptions'!$D$19*12*(1+'Assumptions'!$D$13)^(7-1)*'Assumptions'!$D$21)</x:f>
        <x:v>978.5499241492423</x:v>
      </x:c>
      <x:c r="H264" s="10" t="n">
        <x:f>IF('Income statement'!J50=0,1/39,E264/'Income statement'!J50)*'Cash and capital'!J18</x:f>
        <x:v>5.540525067741939</x:v>
      </x:c>
      <x:c r="I264" s="10" t="n">
        <x:f>E264-F264-G264-H264</x:f>
        <x:v>3611.924400140377</x:v>
      </x:c>
      <x:c r="J264" s="10" t="n">
        <x:f>M225</x:f>
        <x:v>0</x:v>
      </x:c>
      <x:c r="K264" s="10" t="n">
        <x:f>MAX(0,I264-J264)</x:f>
        <x:v>3611.924400140377</x:v>
      </x:c>
      <x:c r="L264" s="10" t="n">
        <x:f>K264*'Assumptions'!$D$12</x:f>
        <x:v>902.9811000350943</x:v>
      </x:c>
      <x:c r="M264" s="10" t="n">
        <x:f>MAX(0,J264-I264)</x:f>
        <x:v>0</x:v>
      </x:c>
    </x:row>
    <x:row r="265" ht="16" customHeight="1">
      <x:c r="A265" s="1"/>
      <x:c r="B265" s="1"/>
      <x:c r="C265" s="1" t="str">
        <x:v>S’otality editorial</x:v>
      </x:c>
      <x:c r="D265" s="10" t="n">
        <x:v>7</x:v>
      </x:c>
      <x:c r="E265" s="10" t="n">
        <x:f>SUMIF('Revenue and costs'!$D$776:$D$903,C265,'Revenue and costs'!N776:N903)</x:f>
        <x:v>11644.657624235646</x:v>
      </x:c>
      <x:c r="F265" s="10" t="n">
        <x:f>SUMIF('Revenue and costs'!$D$776:$D$903,C265,'Revenue and costs'!O776:O903)+SUMIF('Revenue and costs'!$D$776:$D$903,C265,'Revenue and costs'!P776:P903)+SUMIF('Revenue and costs'!$D$776:$D$903,C265,'Revenue and costs'!Q776:Q903)+SUMIF('Revenue and costs'!$D$776:$D$903,C265,'Revenue and costs'!R776:R903)+SUMIF('Revenue and costs'!$D$776:$D$903,C265,'Revenue and costs'!S776:S903)+SUMIF('Revenue and costs'!$D$776:$D$903,C265,'Revenue and costs'!T776:T903)+SUMIF('Revenue and costs'!$D$776:$D$903,C265,'Revenue and costs'!U776:U903)+SUMIF('Revenue and costs'!$D$776:$D$903,C265,'Revenue and costs'!V776:V903)+SUMIF('Revenue and costs'!$D$776:$D$903,C265,'Revenue and costs'!AE776:AE903)</x:f>
        <x:v>6523.891059618593</x:v>
      </x:c>
      <x:c r="G265" s="10" t="n">
        <x:f>IF('Income statement'!J50=0,1/39,E265/'Income statement'!J50)*('Shared costs'!N21+'Assumptions'!$D$18*'Assumptions'!$D$19*12*(1+'Assumptions'!$D$13)^(7-1)*'Assumptions'!$D$21)</x:f>
        <x:v>467.8215955584375</x:v>
      </x:c>
      <x:c r="H265" s="10" t="n">
        <x:f>IF('Income statement'!J50=0,1/39,E265/'Income statement'!J50)*'Cash and capital'!J18</x:f>
        <x:v>2.6487941120388268</x:v>
      </x:c>
      <x:c r="I265" s="10" t="n">
        <x:f>E265-F265-G265-H265</x:f>
        <x:v>4650.296174946577</x:v>
      </x:c>
      <x:c r="J265" s="10" t="n">
        <x:f>M226</x:f>
        <x:v>0</x:v>
      </x:c>
      <x:c r="K265" s="10" t="n">
        <x:f>MAX(0,I265-J265)</x:f>
        <x:v>4650.296174946577</x:v>
      </x:c>
      <x:c r="L265" s="10" t="n">
        <x:f>K265*'Assumptions'!$D$12</x:f>
        <x:v>1162.5740437366442</x:v>
      </x:c>
      <x:c r="M265" s="10" t="n">
        <x:f>MAX(0,J265-I265)</x:f>
        <x:v>0</x:v>
      </x:c>
    </x:row>
    <x:row r="266" ht="16" customHeight="1">
      <x:c r="A266" s="1"/>
      <x:c r="B266" s="1"/>
      <x:c r="C266" s="1" t="str">
        <x:v>Tomato Odyssey</x:v>
      </x:c>
      <x:c r="D266" s="10" t="n">
        <x:v>7</x:v>
      </x:c>
      <x:c r="E266" s="10" t="n">
        <x:f>SUMIF('Revenue and costs'!$D$776:$D$903,C266,'Revenue and costs'!N776:N903)</x:f>
        <x:v>11644.657624235646</x:v>
      </x:c>
      <x:c r="F266" s="10" t="n">
        <x:f>SUMIF('Revenue and costs'!$D$776:$D$903,C266,'Revenue and costs'!O776:O903)+SUMIF('Revenue and costs'!$D$776:$D$903,C266,'Revenue and costs'!P776:P903)+SUMIF('Revenue and costs'!$D$776:$D$903,C266,'Revenue and costs'!Q776:Q903)+SUMIF('Revenue and costs'!$D$776:$D$903,C266,'Revenue and costs'!R776:R903)+SUMIF('Revenue and costs'!$D$776:$D$903,C266,'Revenue and costs'!S776:S903)+SUMIF('Revenue and costs'!$D$776:$D$903,C266,'Revenue and costs'!T776:T903)+SUMIF('Revenue and costs'!$D$776:$D$903,C266,'Revenue and costs'!U776:U903)+SUMIF('Revenue and costs'!$D$776:$D$903,C266,'Revenue and costs'!V776:V903)+SUMIF('Revenue and costs'!$D$776:$D$903,C266,'Revenue and costs'!AE776:AE903)</x:f>
        <x:v>6523.891059618593</x:v>
      </x:c>
      <x:c r="G266" s="10" t="n">
        <x:f>IF('Income statement'!J50=0,1/39,E266/'Income statement'!J50)*('Shared costs'!N21+'Assumptions'!$D$18*'Assumptions'!$D$19*12*(1+'Assumptions'!$D$13)^(7-1)*'Assumptions'!$D$21)</x:f>
        <x:v>467.8215955584375</x:v>
      </x:c>
      <x:c r="H266" s="10" t="n">
        <x:f>IF('Income statement'!J50=0,1/39,E266/'Income statement'!J50)*'Cash and capital'!J18</x:f>
        <x:v>2.6487941120388268</x:v>
      </x:c>
      <x:c r="I266" s="10" t="n">
        <x:f>E266-F266-G266-H266</x:f>
        <x:v>4650.296174946577</x:v>
      </x:c>
      <x:c r="J266" s="10" t="n">
        <x:f>M227</x:f>
        <x:v>0</x:v>
      </x:c>
      <x:c r="K266" s="10" t="n">
        <x:f>MAX(0,I266-J266)</x:f>
        <x:v>4650.296174946577</x:v>
      </x:c>
      <x:c r="L266" s="10" t="n">
        <x:f>K266*'Assumptions'!$D$12</x:f>
        <x:v>1162.5740437366442</x:v>
      </x:c>
      <x:c r="M266" s="10" t="n">
        <x:f>MAX(0,J266-I266)</x:f>
        <x:v>0</x:v>
      </x:c>
    </x:row>
    <x:row r="267" ht="16" customHeight="1">
      <x:c r="A267" s="1"/>
      <x:c r="B267" s="1"/>
      <x:c r="C267" s="1" t="str">
        <x:v>Semajes Studio</x:v>
      </x:c>
      <x:c r="D267" s="10" t="n">
        <x:v>7</x:v>
      </x:c>
      <x:c r="E267" s="10" t="n">
        <x:f>SUMIF('Revenue and costs'!$D$776:$D$903,C267,'Revenue and costs'!N776:N903)</x:f>
        <x:v>151258.08203556467</x:v>
      </x:c>
      <x:c r="F267" s="10" t="n">
        <x:f>SUMIF('Revenue and costs'!$D$776:$D$903,C267,'Revenue and costs'!O776:O903)+SUMIF('Revenue and costs'!$D$776:$D$903,C267,'Revenue and costs'!P776:P903)+SUMIF('Revenue and costs'!$D$776:$D$903,C267,'Revenue and costs'!Q776:Q903)+SUMIF('Revenue and costs'!$D$776:$D$903,C267,'Revenue and costs'!R776:R903)+SUMIF('Revenue and costs'!$D$776:$D$903,C267,'Revenue and costs'!S776:S903)+SUMIF('Revenue and costs'!$D$776:$D$903,C267,'Revenue and costs'!T776:T903)+SUMIF('Revenue and costs'!$D$776:$D$903,C267,'Revenue and costs'!U776:U903)+SUMIF('Revenue and costs'!$D$776:$D$903,C267,'Revenue and costs'!V776:V903)+SUMIF('Revenue and costs'!$D$776:$D$903,C267,'Revenue and costs'!AE776:AE903)</x:f>
        <x:v>96170.81063163755</x:v>
      </x:c>
      <x:c r="G267" s="10" t="n">
        <x:f>IF('Income statement'!J50=0,1/39,E267/'Income statement'!J50)*('Shared costs'!N21+'Assumptions'!$D$18*'Assumptions'!$D$19*12*(1+'Assumptions'!$D$13)^(7-1)*'Assumptions'!$D$21)</x:f>
        <x:v>6076.760653890989</x:v>
      </x:c>
      <x:c r="H267" s="10" t="n">
        <x:f>IF('Income statement'!J50=0,1/39,E267/'Income statement'!J50)*'Cash and capital'!J18</x:f>
        <x:v>34.40646603986249</x:v>
      </x:c>
      <x:c r="I267" s="10" t="n">
        <x:f>E267-F267-G267-H267</x:f>
        <x:v>48976.10428399627</x:v>
      </x:c>
      <x:c r="J267" s="10" t="n">
        <x:f>M228</x:f>
        <x:v>0</x:v>
      </x:c>
      <x:c r="K267" s="10" t="n">
        <x:f>MAX(0,I267-J267)</x:f>
        <x:v>48976.10428399627</x:v>
      </x:c>
      <x:c r="L267" s="10" t="n">
        <x:f>K267*'Assumptions'!$D$12</x:f>
        <x:v>12244.026070999067</x:v>
      </x:c>
      <x:c r="M267" s="10" t="n">
        <x:f>MAX(0,J267-I267)</x:f>
        <x:v>0</x:v>
      </x:c>
    </x:row>
    <x:row r="268" ht="16" customHeight="1">
      <x:c r="A268" s="1"/>
      <x:c r="B268" s="1"/>
      <x:c r="C268" s="1" t="str">
        <x:v>Semajes Marketplace</x:v>
      </x:c>
      <x:c r="D268" s="10" t="n">
        <x:v>7</x:v>
      </x:c>
      <x:c r="E268" s="10" t="n">
        <x:f>SUMIF('Revenue and costs'!$D$776:$D$903,C268,'Revenue and costs'!N776:N903)</x:f>
        <x:v>43994.983399111945</x:v>
      </x:c>
      <x:c r="F268" s="10" t="n">
        <x:f>SUMIF('Revenue and costs'!$D$776:$D$903,C268,'Revenue and costs'!O776:O903)+SUMIF('Revenue and costs'!$D$776:$D$903,C268,'Revenue and costs'!P776:P903)+SUMIF('Revenue and costs'!$D$776:$D$903,C268,'Revenue and costs'!Q776:Q903)+SUMIF('Revenue and costs'!$D$776:$D$903,C268,'Revenue and costs'!R776:R903)+SUMIF('Revenue and costs'!$D$776:$D$903,C268,'Revenue and costs'!S776:S903)+SUMIF('Revenue and costs'!$D$776:$D$903,C268,'Revenue and costs'!T776:T903)+SUMIF('Revenue and costs'!$D$776:$D$903,C268,'Revenue and costs'!U776:U903)+SUMIF('Revenue and costs'!$D$776:$D$903,C268,'Revenue and costs'!V776:V903)+SUMIF('Revenue and costs'!$D$776:$D$903,C268,'Revenue and costs'!AE776:AE903)</x:f>
        <x:v>21408.132273214585</x:v>
      </x:c>
      <x:c r="G268" s="10" t="n">
        <x:f>IF('Income statement'!J50=0,1/39,E268/'Income statement'!J50)*('Shared costs'!N21+'Assumptions'!$D$18*'Assumptions'!$D$19*12*(1+'Assumptions'!$D$13)^(7-1)*'Assumptions'!$D$21)</x:f>
        <x:v>1767.4889201983306</x:v>
      </x:c>
      <x:c r="H268" s="10" t="n">
        <x:f>IF('Income statement'!J50=0,1/39,E268/'Income statement'!J50)*'Cash and capital'!J18</x:f>
        <x:v>10.00747782779598</x:v>
      </x:c>
      <x:c r="I268" s="10" t="n">
        <x:f>E268-F268-G268-H268</x:f>
        <x:v>20809.354727871232</x:v>
      </x:c>
      <x:c r="J268" s="10" t="n">
        <x:f>M229</x:f>
        <x:v>0</x:v>
      </x:c>
      <x:c r="K268" s="10" t="n">
        <x:f>MAX(0,I268-J268)</x:f>
        <x:v>20809.354727871232</x:v>
      </x:c>
      <x:c r="L268" s="10" t="n">
        <x:f>K268*'Assumptions'!$D$12</x:f>
        <x:v>5202.338681967808</x:v>
      </x:c>
      <x:c r="M268" s="10" t="n">
        <x:f>MAX(0,J268-I268)</x:f>
        <x:v>0</x:v>
      </x:c>
    </x:row>
    <x:row r="269" ht="16" customHeight="1">
      <x:c r="A269" s="1"/>
      <x:c r="B269" s="1"/>
      <x:c r="C269" s="1" t="str">
        <x:v>Semajes premium and media</x:v>
      </x:c>
      <x:c r="D269" s="10" t="n">
        <x:v>7</x:v>
      </x:c>
      <x:c r="E269" s="10" t="n">
        <x:f>SUMIF('Revenue and costs'!$D$776:$D$903,C269,'Revenue and costs'!N776:N903)</x:f>
        <x:v>30689.47355489403</x:v>
      </x:c>
      <x:c r="F269" s="10" t="n">
        <x:f>SUMIF('Revenue and costs'!$D$776:$D$903,C269,'Revenue and costs'!O776:O903)+SUMIF('Revenue and costs'!$D$776:$D$903,C269,'Revenue and costs'!P776:P903)+SUMIF('Revenue and costs'!$D$776:$D$903,C269,'Revenue and costs'!Q776:Q903)+SUMIF('Revenue and costs'!$D$776:$D$903,C269,'Revenue and costs'!R776:R903)+SUMIF('Revenue and costs'!$D$776:$D$903,C269,'Revenue and costs'!S776:S903)+SUMIF('Revenue and costs'!$D$776:$D$903,C269,'Revenue and costs'!T776:T903)+SUMIF('Revenue and costs'!$D$776:$D$903,C269,'Revenue and costs'!U776:U903)+SUMIF('Revenue and costs'!$D$776:$D$903,C269,'Revenue and costs'!V776:V903)+SUMIF('Revenue and costs'!$D$776:$D$903,C269,'Revenue and costs'!AE776:AE903)</x:f>
        <x:v>16493.40772781037</x:v>
      </x:c>
      <x:c r="G269" s="10" t="n">
        <x:f>IF('Income statement'!J50=0,1/39,E269/'Income statement'!J50)*('Shared costs'!N21+'Assumptions'!$D$18*'Assumptions'!$D$19*12*(1+'Assumptions'!$D$13)^(7-1)*'Assumptions'!$D$21)</x:f>
        <x:v>1232.9429467653756</x:v>
      </x:c>
      <x:c r="H269" s="10" t="n">
        <x:f>IF('Income statement'!J50=0,1/39,E269/'Income statement'!J50)*'Cash and capital'!J18</x:f>
        <x:v>6.980891965822005</x:v>
      </x:c>
      <x:c r="I269" s="10" t="n">
        <x:f>E269-F269-G269-H269</x:f>
        <x:v>12956.141988352463</x:v>
      </x:c>
      <x:c r="J269" s="10" t="n">
        <x:f>M230</x:f>
        <x:v>0</x:v>
      </x:c>
      <x:c r="K269" s="10" t="n">
        <x:f>MAX(0,I269-J269)</x:f>
        <x:v>12956.141988352463</x:v>
      </x:c>
      <x:c r="L269" s="10" t="n">
        <x:f>K269*'Assumptions'!$D$12</x:f>
        <x:v>3239.035497088116</x:v>
      </x:c>
      <x:c r="M269" s="10" t="n">
        <x:f>MAX(0,J269-I269)</x:f>
        <x:v>0</x:v>
      </x:c>
    </x:row>
    <x:row r="270" ht="16" customHeight="1">
      <x:c r="A270" s="1"/>
      <x:c r="B270" s="1"/>
      <x:c r="C270" s="1" t="str">
        <x:v>Semajes courses</x:v>
      </x:c>
      <x:c r="D270" s="10" t="n">
        <x:v>7</x:v>
      </x:c>
      <x:c r="E270" s="10" t="n">
        <x:f>SUMIF('Revenue and costs'!$D$776:$D$903,C270,'Revenue and costs'!N776:N903)</x:f>
        <x:v>18753.29019449318</x:v>
      </x:c>
      <x:c r="F270" s="10" t="n">
        <x:f>SUMIF('Revenue and costs'!$D$776:$D$903,C270,'Revenue and costs'!O776:O903)+SUMIF('Revenue and costs'!$D$776:$D$903,C270,'Revenue and costs'!P776:P903)+SUMIF('Revenue and costs'!$D$776:$D$903,C270,'Revenue and costs'!Q776:Q903)+SUMIF('Revenue and costs'!$D$776:$D$903,C270,'Revenue and costs'!R776:R903)+SUMIF('Revenue and costs'!$D$776:$D$903,C270,'Revenue and costs'!S776:S903)+SUMIF('Revenue and costs'!$D$776:$D$903,C270,'Revenue and costs'!T776:T903)+SUMIF('Revenue and costs'!$D$776:$D$903,C270,'Revenue and costs'!U776:U903)+SUMIF('Revenue and costs'!$D$776:$D$903,C270,'Revenue and costs'!V776:V903)+SUMIF('Revenue and costs'!$D$776:$D$903,C270,'Revenue and costs'!AE776:AE903)</x:f>
        <x:v>5966.667679459257</x:v>
      </x:c>
      <x:c r="G270" s="10" t="n">
        <x:f>IF('Income statement'!J50=0,1/39,E270/'Income statement'!J50)*('Shared costs'!N21+'Assumptions'!$D$18*'Assumptions'!$D$19*12*(1+'Assumptions'!$D$13)^(7-1)*'Assumptions'!$D$21)</x:f>
        <x:v>753.4093679576149</x:v>
      </x:c>
      <x:c r="H270" s="10" t="n">
        <x:f>IF('Income statement'!J50=0,1/39,E270/'Income statement'!J50)*'Cash and capital'!J18</x:f>
        <x:v>4.265784899089256</x:v>
      </x:c>
      <x:c r="I270" s="10" t="n">
        <x:f>E270-F270-G270-H270</x:f>
        <x:v>12028.94736217722</x:v>
      </x:c>
      <x:c r="J270" s="10" t="n">
        <x:f>M231</x:f>
        <x:v>0</x:v>
      </x:c>
      <x:c r="K270" s="10" t="n">
        <x:f>MAX(0,I270-J270)</x:f>
        <x:v>12028.94736217722</x:v>
      </x:c>
      <x:c r="L270" s="10" t="n">
        <x:f>K270*'Assumptions'!$D$12</x:f>
        <x:v>3007.236840544305</x:v>
      </x:c>
      <x:c r="M270" s="10" t="n">
        <x:f>MAX(0,J270-I270)</x:f>
        <x:v>0</x:v>
      </x:c>
    </x:row>
    <x:row r="271" ht="16" customHeight="1">
      <x:c r="A271" s="1"/>
      <x:c r="B271" s="1"/>
      <x:c r="C271" s="1" t="str">
        <x:v>Sleepy Face</x:v>
      </x:c>
      <x:c r="D271" s="10" t="n">
        <x:v>7</x:v>
      </x:c>
      <x:c r="E271" s="10" t="n">
        <x:f>SUMIF('Revenue and costs'!$D$776:$D$903,C271,'Revenue and costs'!N776:N903)</x:f>
        <x:v>239937.2993487348</x:v>
      </x:c>
      <x:c r="F271" s="10" t="n">
        <x:f>SUMIF('Revenue and costs'!$D$776:$D$903,C271,'Revenue and costs'!O776:O903)+SUMIF('Revenue and costs'!$D$776:$D$903,C271,'Revenue and costs'!P776:P903)+SUMIF('Revenue and costs'!$D$776:$D$903,C271,'Revenue and costs'!Q776:Q903)+SUMIF('Revenue and costs'!$D$776:$D$903,C271,'Revenue and costs'!R776:R903)+SUMIF('Revenue and costs'!$D$776:$D$903,C271,'Revenue and costs'!S776:S903)+SUMIF('Revenue and costs'!$D$776:$D$903,C271,'Revenue and costs'!T776:T903)+SUMIF('Revenue and costs'!$D$776:$D$903,C271,'Revenue and costs'!U776:U903)+SUMIF('Revenue and costs'!$D$776:$D$903,C271,'Revenue and costs'!V776:V903)+SUMIF('Revenue and costs'!$D$776:$D$903,C271,'Revenue and costs'!AE776:AE903)</x:f>
        <x:v>149811.16295461138</x:v>
      </x:c>
      <x:c r="G271" s="10" t="n">
        <x:f>IF('Income statement'!J50=0,1/39,E271/'Income statement'!J50)*('Shared costs'!N21+'Assumptions'!$D$18*'Assumptions'!$D$19*12*(1+'Assumptions'!$D$13)^(7-1)*'Assumptions'!$D$21)</x:f>
        <x:v>9639.428984300042</x:v>
      </x:c>
      <x:c r="H271" s="10" t="n">
        <x:f>IF('Income statement'!J50=0,1/39,E271/'Income statement'!J50)*'Cash and capital'!J18</x:f>
        <x:v>54.5782045537078</x:v>
      </x:c>
      <x:c r="I271" s="10" t="n">
        <x:f>E271-F271-G271-H271</x:f>
        <x:v>80432.12920526968</x:v>
      </x:c>
      <x:c r="J271" s="10" t="n">
        <x:f>M232</x:f>
        <x:v>0</x:v>
      </x:c>
      <x:c r="K271" s="10" t="n">
        <x:f>MAX(0,I271-J271)</x:f>
        <x:v>80432.12920526968</x:v>
      </x:c>
      <x:c r="L271" s="10" t="n">
        <x:f>K271*'Assumptions'!$D$12</x:f>
        <x:v>20108.03230131742</x:v>
      </x:c>
      <x:c r="M271" s="10" t="n">
        <x:f>MAX(0,J271-I271)</x:f>
        <x:v>0</x:v>
      </x:c>
    </x:row>
    <x:row r="272" ht="16" customHeight="1">
      <x:c r="A272" s="1"/>
      <x:c r="B272" s="1"/>
      <x:c r="C272" s="1" t="str">
        <x:v>QzoticMusic</x:v>
      </x:c>
      <x:c r="D272" s="10" t="n">
        <x:v>7</x:v>
      </x:c>
      <x:c r="E272" s="10" t="n">
        <x:f>SUMIF('Revenue and costs'!$D$776:$D$903,C272,'Revenue and costs'!N776:N903)</x:f>
        <x:v>20982.172573561234</x:v>
      </x:c>
      <x:c r="F272" s="10" t="n">
        <x:f>SUMIF('Revenue and costs'!$D$776:$D$903,C272,'Revenue and costs'!O776:O903)+SUMIF('Revenue and costs'!$D$776:$D$903,C272,'Revenue and costs'!P776:P903)+SUMIF('Revenue and costs'!$D$776:$D$903,C272,'Revenue and costs'!Q776:Q903)+SUMIF('Revenue and costs'!$D$776:$D$903,C272,'Revenue and costs'!R776:R903)+SUMIF('Revenue and costs'!$D$776:$D$903,C272,'Revenue and costs'!S776:S903)+SUMIF('Revenue and costs'!$D$776:$D$903,C272,'Revenue and costs'!T776:T903)+SUMIF('Revenue and costs'!$D$776:$D$903,C272,'Revenue and costs'!U776:U903)+SUMIF('Revenue and costs'!$D$776:$D$903,C272,'Revenue and costs'!V776:V903)+SUMIF('Revenue and costs'!$D$776:$D$903,C272,'Revenue and costs'!AE776:AE903)</x:f>
        <x:v>22706.752022396133</x:v>
      </x:c>
      <x:c r="G272" s="10" t="n">
        <x:f>IF('Income statement'!J50=0,1/39,E272/'Income statement'!J50)*('Shared costs'!N21+'Assumptions'!$D$18*'Assumptions'!$D$19*12*(1+'Assumptions'!$D$13)^(7-1)*'Assumptions'!$D$21)</x:f>
        <x:v>842.9542343277112</x:v>
      </x:c>
      <x:c r="H272" s="10" t="n">
        <x:f>IF('Income statement'!J50=0,1/39,E272/'Income statement'!J50)*'Cash and capital'!J18</x:f>
        <x:v>4.7727856811315785</x:v>
      </x:c>
      <x:c r="I272" s="10" t="n">
        <x:f>E272-F272-G272-H272</x:f>
        <x:v>-2572.306468843741</x:v>
      </x:c>
      <x:c r="J272" s="10" t="n">
        <x:f>M233</x:f>
        <x:v>9091.054810768086</x:v>
      </x:c>
      <x:c r="K272" s="10" t="n">
        <x:f>MAX(0,I272-J272)</x:f>
        <x:v>0</x:v>
      </x:c>
      <x:c r="L272" s="10" t="n">
        <x:f>K272*'Assumptions'!$D$12</x:f>
        <x:v>0</x:v>
      </x:c>
      <x:c r="M272" s="10" t="n">
        <x:f>MAX(0,J272-I272)</x:f>
        <x:v>11663.361279611827</x:v>
      </x:c>
    </x:row>
    <x:row r="273" ht="16" customHeight="1">
      <x:c r="A273" s="1"/>
      <x:c r="B273" s="1"/>
      <x:c r="C273" s="1" t="str">
        <x:v>LesPetitFilms</x:v>
      </x:c>
      <x:c r="D273" s="10" t="n">
        <x:v>7</x:v>
      </x:c>
      <x:c r="E273" s="10" t="n">
        <x:f>SUMIF('Revenue and costs'!$D$776:$D$903,C273,'Revenue and costs'!N776:N903)</x:f>
        <x:v>76522.03581640567</x:v>
      </x:c>
      <x:c r="F273" s="10" t="n">
        <x:f>SUMIF('Revenue and costs'!$D$776:$D$903,C273,'Revenue and costs'!O776:O903)+SUMIF('Revenue and costs'!$D$776:$D$903,C273,'Revenue and costs'!P776:P903)+SUMIF('Revenue and costs'!$D$776:$D$903,C273,'Revenue and costs'!Q776:Q903)+SUMIF('Revenue and costs'!$D$776:$D$903,C273,'Revenue and costs'!R776:R903)+SUMIF('Revenue and costs'!$D$776:$D$903,C273,'Revenue and costs'!S776:S903)+SUMIF('Revenue and costs'!$D$776:$D$903,C273,'Revenue and costs'!T776:T903)+SUMIF('Revenue and costs'!$D$776:$D$903,C273,'Revenue and costs'!U776:U903)+SUMIF('Revenue and costs'!$D$776:$D$903,C273,'Revenue and costs'!V776:V903)+SUMIF('Revenue and costs'!$D$776:$D$903,C273,'Revenue and costs'!AE776:AE903)</x:f>
        <x:v>43807.563528993116</x:v>
      </x:c>
      <x:c r="G273" s="10" t="n">
        <x:f>IF('Income statement'!J50=0,1/39,E273/'Income statement'!J50)*('Shared costs'!N21+'Assumptions'!$D$18*'Assumptions'!$D$19*12*(1+'Assumptions'!$D$13)^(7-1)*'Assumptions'!$D$21)</x:f>
        <x:v>3074.2561993840172</x:v>
      </x:c>
      <x:c r="H273" s="10" t="n">
        <x:f>IF('Income statement'!J50=0,1/39,E273/'Income statement'!J50)*'Cash and capital'!J18</x:f>
        <x:v>17.406361307683717</x:v>
      </x:c>
      <x:c r="I273" s="10" t="n">
        <x:f>E273-F273-G273-H273</x:f>
        <x:v>29622.80972672085</x:v>
      </x:c>
      <x:c r="J273" s="10" t="n">
        <x:f>M234</x:f>
        <x:v>0</x:v>
      </x:c>
      <x:c r="K273" s="10" t="n">
        <x:f>MAX(0,I273-J273)</x:f>
        <x:v>29622.80972672085</x:v>
      </x:c>
      <x:c r="L273" s="10" t="n">
        <x:f>K273*'Assumptions'!$D$12</x:f>
        <x:v>7405.702431680213</x:v>
      </x:c>
      <x:c r="M273" s="10" t="n">
        <x:f>MAX(0,J273-I273)</x:f>
        <x:v>0</x:v>
      </x:c>
    </x:row>
    <x:row r="274" ht="16" customHeight="1">
      <x:c r="A274" s="1"/>
      <x:c r="B274" s="1"/>
      <x:c r="C274" s="1" t="str">
        <x:v>Learn Anglais</x:v>
      </x:c>
      <x:c r="D274" s="10" t="n">
        <x:v>7</x:v>
      </x:c>
      <x:c r="E274" s="10" t="n">
        <x:f>SUMIF('Revenue and costs'!$D$776:$D$903,C274,'Revenue and costs'!N776:N903)</x:f>
        <x:v>74487.31378264786</x:v>
      </x:c>
      <x:c r="F274" s="10" t="n">
        <x:f>SUMIF('Revenue and costs'!$D$776:$D$903,C274,'Revenue and costs'!O776:O903)+SUMIF('Revenue and costs'!$D$776:$D$903,C274,'Revenue and costs'!P776:P903)+SUMIF('Revenue and costs'!$D$776:$D$903,C274,'Revenue and costs'!Q776:Q903)+SUMIF('Revenue and costs'!$D$776:$D$903,C274,'Revenue and costs'!R776:R903)+SUMIF('Revenue and costs'!$D$776:$D$903,C274,'Revenue and costs'!S776:S903)+SUMIF('Revenue and costs'!$D$776:$D$903,C274,'Revenue and costs'!T776:T903)+SUMIF('Revenue and costs'!$D$776:$D$903,C274,'Revenue and costs'!U776:U903)+SUMIF('Revenue and costs'!$D$776:$D$903,C274,'Revenue and costs'!V776:V903)+SUMIF('Revenue and costs'!$D$776:$D$903,C274,'Revenue and costs'!AE776:AE903)</x:f>
        <x:v>44608.655643794395</x:v>
      </x:c>
      <x:c r="G274" s="10" t="n">
        <x:f>IF('Income statement'!J50=0,1/39,E274/'Income statement'!J50)*('Shared costs'!N21+'Assumptions'!$D$18*'Assumptions'!$D$19*12*(1+'Assumptions'!$D$13)^(7-1)*'Assumptions'!$D$21)</x:f>
        <x:v>2992.5116827939073</x:v>
      </x:c>
      <x:c r="H274" s="10" t="n">
        <x:f>IF('Income statement'!J50=0,1/39,E274/'Income statement'!J50)*'Cash and capital'!J18</x:f>
        <x:v>16.943525909978575</x:v>
      </x:c>
      <x:c r="I274" s="10" t="n">
        <x:f>E274-F274-G274-H274</x:f>
        <x:v>26869.202930149586</x:v>
      </x:c>
      <x:c r="J274" s="10" t="n">
        <x:f>M235</x:f>
        <x:v>0</x:v>
      </x:c>
      <x:c r="K274" s="10" t="n">
        <x:f>MAX(0,I274-J274)</x:f>
        <x:v>26869.202930149586</x:v>
      </x:c>
      <x:c r="L274" s="10" t="n">
        <x:f>K274*'Assumptions'!$D$12</x:f>
        <x:v>6717.3007325373965</x:v>
      </x:c>
      <x:c r="M274" s="10" t="n">
        <x:f>MAX(0,J274-I274)</x:f>
        <x:v>0</x:v>
      </x:c>
    </x:row>
    <x:row r="275" ht="16" customHeight="1">
      <x:c r="A275" s="1"/>
      <x:c r="B275" s="1"/>
      <x:c r="C275" s="1" t="str">
        <x:v>Fiefé</x:v>
      </x:c>
      <x:c r="D275" s="10" t="n">
        <x:v>7</x:v>
      </x:c>
      <x:c r="E275" s="10" t="n">
        <x:f>SUMIF('Revenue and costs'!$D$776:$D$903,C275,'Revenue and costs'!N776:N903)</x:f>
        <x:v>56457.46870092336</x:v>
      </x:c>
      <x:c r="F275" s="10" t="n">
        <x:f>SUMIF('Revenue and costs'!$D$776:$D$903,C275,'Revenue and costs'!O776:O903)+SUMIF('Revenue and costs'!$D$776:$D$903,C275,'Revenue and costs'!P776:P903)+SUMIF('Revenue and costs'!$D$776:$D$903,C275,'Revenue and costs'!Q776:Q903)+SUMIF('Revenue and costs'!$D$776:$D$903,C275,'Revenue and costs'!R776:R903)+SUMIF('Revenue and costs'!$D$776:$D$903,C275,'Revenue and costs'!S776:S903)+SUMIF('Revenue and costs'!$D$776:$D$903,C275,'Revenue and costs'!T776:T903)+SUMIF('Revenue and costs'!$D$776:$D$903,C275,'Revenue and costs'!U776:U903)+SUMIF('Revenue and costs'!$D$776:$D$903,C275,'Revenue and costs'!V776:V903)+SUMIF('Revenue and costs'!$D$776:$D$903,C275,'Revenue and costs'!AE776:AE903)</x:f>
        <x:v>43905.89153370774</x:v>
      </x:c>
      <x:c r="G275" s="10" t="n">
        <x:f>IF('Income statement'!J50=0,1/39,E275/'Income statement'!J50)*('Shared costs'!N21+'Assumptions'!$D$18*'Assumptions'!$D$19*12*(1+'Assumptions'!$D$13)^(7-1)*'Assumptions'!$D$21)</x:f>
        <x:v>2268.1665654030076</x:v>
      </x:c>
      <x:c r="H275" s="10" t="n">
        <x:f>IF('Income statement'!J50=0,1/39,E275/'Income statement'!J50)*'Cash and capital'!J18</x:f>
        <x:v>12.84230206686203</x:v>
      </x:c>
      <x:c r="I275" s="10" t="n">
        <x:f>E275-F275-G275-H275</x:f>
        <x:v>10270.56829974575</x:v>
      </x:c>
      <x:c r="J275" s="10" t="n">
        <x:f>M236</x:f>
        <x:v>0</x:v>
      </x:c>
      <x:c r="K275" s="10" t="n">
        <x:f>MAX(0,I275-J275)</x:f>
        <x:v>10270.56829974575</x:v>
      </x:c>
      <x:c r="L275" s="10" t="n">
        <x:f>K275*'Assumptions'!$D$12</x:f>
        <x:v>2567.6420749364374</x:v>
      </x:c>
      <x:c r="M275" s="10" t="n">
        <x:f>MAX(0,J275-I275)</x:f>
        <x:v>0</x:v>
      </x:c>
    </x:row>
    <x:row r="276" ht="16" customHeight="1">
      <x:c r="A276" s="1"/>
      <x:c r="B276" s="1"/>
      <x:c r="C276" s="1" t="str">
        <x:v>Fiefé Design</x:v>
      </x:c>
      <x:c r="D276" s="10" t="n">
        <x:v>7</x:v>
      </x:c>
      <x:c r="E276" s="10" t="n">
        <x:f>SUMIF('Revenue and costs'!$D$776:$D$903,C276,'Revenue and costs'!N776:N903)</x:f>
        <x:v>35175.99296007685</x:v>
      </x:c>
      <x:c r="F276" s="10" t="n">
        <x:f>SUMIF('Revenue and costs'!$D$776:$D$903,C276,'Revenue and costs'!O776:O903)+SUMIF('Revenue and costs'!$D$776:$D$903,C276,'Revenue and costs'!P776:P903)+SUMIF('Revenue and costs'!$D$776:$D$903,C276,'Revenue and costs'!Q776:Q903)+SUMIF('Revenue and costs'!$D$776:$D$903,C276,'Revenue and costs'!R776:R903)+SUMIF('Revenue and costs'!$D$776:$D$903,C276,'Revenue and costs'!S776:S903)+SUMIF('Revenue and costs'!$D$776:$D$903,C276,'Revenue and costs'!T776:T903)+SUMIF('Revenue and costs'!$D$776:$D$903,C276,'Revenue and costs'!U776:U903)+SUMIF('Revenue and costs'!$D$776:$D$903,C276,'Revenue and costs'!V776:V903)+SUMIF('Revenue and costs'!$D$776:$D$903,C276,'Revenue and costs'!AE776:AE903)</x:f>
        <x:v>25633.745226245926</x:v>
      </x:c>
      <x:c r="G276" s="10" t="n">
        <x:f>IF('Income statement'!J50=0,1/39,E276/'Income statement'!J50)*('Shared costs'!N21+'Assumptions'!$D$18*'Assumptions'!$D$19*12*(1+'Assumptions'!$D$13)^(7-1)*'Assumptions'!$D$21)</x:f>
        <x:v>1413.1878912168268</x:v>
      </x:c>
      <x:c r="H276" s="10" t="n">
        <x:f>IF('Income statement'!J50=0,1/39,E276/'Income statement'!J50)*'Cash and capital'!J18</x:f>
        <x:v>8.001434309571357</x:v>
      </x:c>
      <x:c r="I276" s="10" t="n">
        <x:f>E276-F276-G276-H276</x:f>
        <x:v>8121.058408304527</x:v>
      </x:c>
      <x:c r="J276" s="10" t="n">
        <x:f>M237</x:f>
        <x:v>0</x:v>
      </x:c>
      <x:c r="K276" s="10" t="n">
        <x:f>MAX(0,I276-J276)</x:f>
        <x:v>8121.058408304527</x:v>
      </x:c>
      <x:c r="L276" s="10" t="n">
        <x:f>K276*'Assumptions'!$D$12</x:f>
        <x:v>2030.2646020761317</x:v>
      </x:c>
      <x:c r="M276" s="10" t="n">
        <x:f>MAX(0,J276-I276)</x:f>
        <x:v>0</x:v>
      </x:c>
    </x:row>
    <x:row r="277" ht="16" customHeight="1">
      <x:c r="A277" s="1"/>
      <x:c r="B277" s="1"/>
      <x:c r="C277" s="1" t="str">
        <x:v>OsezArt</x:v>
      </x:c>
      <x:c r="D277" s="10" t="n">
        <x:v>7</x:v>
      </x:c>
      <x:c r="E277" s="10" t="n">
        <x:f>SUMIF('Revenue and costs'!$D$776:$D$903,C277,'Revenue and costs'!N776:N903)</x:f>
        <x:v>134042.81489053927</x:v>
      </x:c>
      <x:c r="F277" s="10" t="n">
        <x:f>SUMIF('Revenue and costs'!$D$776:$D$903,C277,'Revenue and costs'!O776:O903)+SUMIF('Revenue and costs'!$D$776:$D$903,C277,'Revenue and costs'!P776:P903)+SUMIF('Revenue and costs'!$D$776:$D$903,C277,'Revenue and costs'!Q776:Q903)+SUMIF('Revenue and costs'!$D$776:$D$903,C277,'Revenue and costs'!R776:R903)+SUMIF('Revenue and costs'!$D$776:$D$903,C277,'Revenue and costs'!S776:S903)+SUMIF('Revenue and costs'!$D$776:$D$903,C277,'Revenue and costs'!T776:T903)+SUMIF('Revenue and costs'!$D$776:$D$903,C277,'Revenue and costs'!U776:U903)+SUMIF('Revenue and costs'!$D$776:$D$903,C277,'Revenue and costs'!V776:V903)+SUMIF('Revenue and costs'!$D$776:$D$903,C277,'Revenue and costs'!AE776:AE903)</x:f>
        <x:v>72567.33764015054</x:v>
      </x:c>
      <x:c r="G277" s="10" t="n">
        <x:f>IF('Income statement'!J50=0,1/39,E277/'Income statement'!J50)*('Shared costs'!N21+'Assumptions'!$D$18*'Assumptions'!$D$19*12*(1+'Assumptions'!$D$13)^(7-1)*'Assumptions'!$D$21)</x:f>
        <x:v>5385.141028511134</x:v>
      </x:c>
      <x:c r="H277" s="10" t="n">
        <x:f>IF('Income statement'!J50=0,1/39,E277/'Income statement'!J50)*'Cash and capital'!J18</x:f>
        <x:v>30.490533109725188</x:v>
      </x:c>
      <x:c r="I277" s="10" t="n">
        <x:f>E277-F277-G277-H277</x:f>
        <x:v>56059.84568876788</x:v>
      </x:c>
      <x:c r="J277" s="10" t="n">
        <x:f>M238</x:f>
        <x:v>0</x:v>
      </x:c>
      <x:c r="K277" s="10" t="n">
        <x:f>MAX(0,I277-J277)</x:f>
        <x:v>56059.84568876788</x:v>
      </x:c>
      <x:c r="L277" s="10" t="n">
        <x:f>K277*'Assumptions'!$D$12</x:f>
        <x:v>14014.96142219197</x:v>
      </x:c>
      <x:c r="M277" s="10" t="n">
        <x:f>MAX(0,J277-I277)</x:f>
        <x:v>0</x:v>
      </x:c>
    </x:row>
    <x:row r="278" ht="16" customHeight="1">
      <x:c r="A278" s="1"/>
      <x:c r="B278" s="1"/>
      <x:c r="C278" s="1" t="str">
        <x:v>FinBot research</x:v>
      </x:c>
      <x:c r="D278" s="10" t="n">
        <x:v>7</x:v>
      </x:c>
      <x:c r="E278" s="10" t="n">
        <x:f>SUMIF('Revenue and costs'!$D$776:$D$903,C278,'Revenue and costs'!N776:N903)</x:f>
        <x:v>6972.145100042441</x:v>
      </x:c>
      <x:c r="F278" s="10" t="n">
        <x:f>SUMIF('Revenue and costs'!$D$776:$D$903,C278,'Revenue and costs'!O776:O903)+SUMIF('Revenue and costs'!$D$776:$D$903,C278,'Revenue and costs'!P776:P903)+SUMIF('Revenue and costs'!$D$776:$D$903,C278,'Revenue and costs'!Q776:Q903)+SUMIF('Revenue and costs'!$D$776:$D$903,C278,'Revenue and costs'!R776:R903)+SUMIF('Revenue and costs'!$D$776:$D$903,C278,'Revenue and costs'!S776:S903)+SUMIF('Revenue and costs'!$D$776:$D$903,C278,'Revenue and costs'!T776:T903)+SUMIF('Revenue and costs'!$D$776:$D$903,C278,'Revenue and costs'!U776:U903)+SUMIF('Revenue and costs'!$D$776:$D$903,C278,'Revenue and costs'!V776:V903)+SUMIF('Revenue and costs'!$D$776:$D$903,C278,'Revenue and costs'!AE776:AE903)</x:f>
        <x:v>4063.205501286494</x:v>
      </x:c>
      <x:c r="G278" s="10" t="n">
        <x:f>IF('Income statement'!J50=0,1/39,E278/'Income statement'!J50)*('Shared costs'!N21+'Assumptions'!$D$18*'Assumptions'!$D$19*12*(1+'Assumptions'!$D$13)^(7-1)*'Assumptions'!$D$21)</x:f>
        <x:v>280.10441787298964</x:v>
      </x:c>
      <x:c r="H278" s="10" t="n">
        <x:f>IF('Income statement'!J50=0,1/39,E278/'Income statement'!J50)*'Cash and capital'!J18</x:f>
        <x:v>1.5859441715861524</x:v>
      </x:c>
      <x:c r="I278" s="10" t="n">
        <x:f>E278-F278-G278-H278</x:f>
        <x:v>2627.2492367113714</x:v>
      </x:c>
      <x:c r="J278" s="10" t="n">
        <x:f>M239</x:f>
        <x:v>0</x:v>
      </x:c>
      <x:c r="K278" s="10" t="n">
        <x:f>MAX(0,I278-J278)</x:f>
        <x:v>2627.2492367113714</x:v>
      </x:c>
      <x:c r="L278" s="10" t="n">
        <x:f>K278*'Assumptions'!$D$12</x:f>
        <x:v>656.8123091778428</x:v>
      </x:c>
      <x:c r="M278" s="10" t="n">
        <x:f>MAX(0,J278-I278)</x:f>
        <x:v>0</x:v>
      </x:c>
    </x:row>
    <x:row r="279" ht="16" customHeight="1">
      <x:c r="A279" s="1"/>
      <x:c r="B279" s="1"/>
      <x:c r="C279" s="1" t="str">
        <x:v>Functional Analysis</x:v>
      </x:c>
      <x:c r="D279" s="10" t="n">
        <x:v>7</x:v>
      </x:c>
      <x:c r="E279" s="10" t="n">
        <x:f>SUMIF('Revenue and costs'!$D$776:$D$903,C279,'Revenue and costs'!N776:N903)</x:f>
        <x:v>14908.217400911752</x:v>
      </x:c>
      <x:c r="F279" s="10" t="n">
        <x:f>SUMIF('Revenue and costs'!$D$776:$D$903,C279,'Revenue and costs'!O776:O903)+SUMIF('Revenue and costs'!$D$776:$D$903,C279,'Revenue and costs'!P776:P903)+SUMIF('Revenue and costs'!$D$776:$D$903,C279,'Revenue and costs'!Q776:Q903)+SUMIF('Revenue and costs'!$D$776:$D$903,C279,'Revenue and costs'!R776:R903)+SUMIF('Revenue and costs'!$D$776:$D$903,C279,'Revenue and costs'!S776:S903)+SUMIF('Revenue and costs'!$D$776:$D$903,C279,'Revenue and costs'!T776:T903)+SUMIF('Revenue and costs'!$D$776:$D$903,C279,'Revenue and costs'!U776:U903)+SUMIF('Revenue and costs'!$D$776:$D$903,C279,'Revenue and costs'!V776:V903)+SUMIF('Revenue and costs'!$D$776:$D$903,C279,'Revenue and costs'!AE776:AE903)</x:f>
        <x:v>7725.131210532876</x:v>
      </x:c>
      <x:c r="G279" s="10" t="n">
        <x:f>IF('Income statement'!J50=0,1/39,E279/'Income statement'!J50)*('Shared costs'!N21+'Assumptions'!$D$18*'Assumptions'!$D$19*12*(1+'Assumptions'!$D$13)^(7-1)*'Assumptions'!$D$21)</x:f>
        <x:v>598.93440206529</x:v>
      </x:c>
      <x:c r="H279" s="10" t="n">
        <x:f>IF('Income statement'!J50=0,1/39,E279/'Income statement'!J50)*'Cash and capital'!J18</x:f>
        <x:v>3.3911515260305363</x:v>
      </x:c>
      <x:c r="I279" s="10" t="n">
        <x:f>E279-F279-G279-H279</x:f>
        <x:v>6580.760636787555</x:v>
      </x:c>
      <x:c r="J279" s="10" t="n">
        <x:f>M240</x:f>
        <x:v>0</x:v>
      </x:c>
      <x:c r="K279" s="10" t="n">
        <x:f>MAX(0,I279-J279)</x:f>
        <x:v>6580.760636787555</x:v>
      </x:c>
      <x:c r="L279" s="10" t="n">
        <x:f>K279*'Assumptions'!$D$12</x:f>
        <x:v>1645.1901591968888</x:v>
      </x:c>
      <x:c r="M279" s="10" t="n">
        <x:f>MAX(0,J279-I279)</x:f>
        <x:v>0</x:v>
      </x:c>
    </x:row>
    <x:row r="280" ht="16" customHeight="1">
      <x:c r="A280" s="1"/>
      <x:c r="B280" s="1"/>
      <x:c r="C280" s="1" t="str">
        <x:v>Independent candy game</x:v>
      </x:c>
      <x:c r="D280" s="10" t="n">
        <x:v>7</x:v>
      </x:c>
      <x:c r="E280" s="10" t="n">
        <x:f>SUMIF('Revenue and costs'!$D$776:$D$903,C280,'Revenue and costs'!N776:N903)</x:f>
        <x:v>5998.448974002033</x:v>
      </x:c>
      <x:c r="F280" s="10" t="n">
        <x:f>SUMIF('Revenue and costs'!$D$776:$D$903,C280,'Revenue and costs'!O776:O903)+SUMIF('Revenue and costs'!$D$776:$D$903,C280,'Revenue and costs'!P776:P903)+SUMIF('Revenue and costs'!$D$776:$D$903,C280,'Revenue and costs'!Q776:Q903)+SUMIF('Revenue and costs'!$D$776:$D$903,C280,'Revenue and costs'!R776:R903)+SUMIF('Revenue and costs'!$D$776:$D$903,C280,'Revenue and costs'!S776:S903)+SUMIF('Revenue and costs'!$D$776:$D$903,C280,'Revenue and costs'!T776:T903)+SUMIF('Revenue and costs'!$D$776:$D$903,C280,'Revenue and costs'!U776:U903)+SUMIF('Revenue and costs'!$D$776:$D$903,C280,'Revenue and costs'!V776:V903)+SUMIF('Revenue and costs'!$D$776:$D$903,C280,'Revenue and costs'!AE776:AE903)</x:f>
        <x:v>5671.117799524319</x:v>
      </x:c>
      <x:c r="G280" s="10" t="n">
        <x:f>IF('Income statement'!J50=0,1/39,E280/'Income statement'!J50)*('Shared costs'!N21+'Assumptions'!$D$18*'Assumptions'!$D$19*12*(1+'Assumptions'!$D$13)^(7-1)*'Assumptions'!$D$21)</x:f>
        <x:v>240.9863871010722</x:v>
      </x:c>
      <x:c r="H280" s="10" t="n">
        <x:f>IF('Income statement'!J50=0,1/39,E280/'Income statement'!J50)*'Cash and capital'!J18</x:f>
        <x:v>1.3644588648646383</x:v>
      </x:c>
      <x:c r="I280" s="10" t="n">
        <x:f>E280-F280-G280-H280</x:f>
        <x:v>84.98032851177697</x:v>
      </x:c>
      <x:c r="J280" s="10" t="n">
        <x:f>M241</x:f>
        <x:v>0</x:v>
      </x:c>
      <x:c r="K280" s="10" t="n">
        <x:f>MAX(0,I280-J280)</x:f>
        <x:v>84.98032851177697</x:v>
      </x:c>
      <x:c r="L280" s="10" t="n">
        <x:f>K280*'Assumptions'!$D$12</x:f>
        <x:v>21.245082127944244</x:v>
      </x:c>
      <x:c r="M280" s="10" t="n">
        <x:f>MAX(0,J280-I280)</x:f>
        <x:v>0</x:v>
      </x:c>
    </x:row>
    <x:row r="281" ht="16" customHeight="1">
      <x:c r="A281" s="1"/>
      <x:c r="B281" s="1"/>
      <x:c r="C281" s="1" t="str">
        <x:v>ETV courses</x:v>
      </x:c>
      <x:c r="D281" s="10" t="n">
        <x:v>8</x:v>
      </x:c>
      <x:c r="E281" s="10" t="n">
        <x:f>SUMIF('Revenue and costs'!$D$904:$D$1031,C281,'Revenue and costs'!N904:N1031)</x:f>
        <x:v>44014.0339095755</x:v>
      </x:c>
      <x:c r="F281" s="10" t="n">
        <x:f>SUMIF('Revenue and costs'!$D$904:$D$1031,C281,'Revenue and costs'!O904:O1031)+SUMIF('Revenue and costs'!$D$904:$D$1031,C281,'Revenue and costs'!P904:P1031)+SUMIF('Revenue and costs'!$D$904:$D$1031,C281,'Revenue and costs'!Q904:Q1031)+SUMIF('Revenue and costs'!$D$904:$D$1031,C281,'Revenue and costs'!R904:R1031)+SUMIF('Revenue and costs'!$D$904:$D$1031,C281,'Revenue and costs'!S904:S1031)+SUMIF('Revenue and costs'!$D$904:$D$1031,C281,'Revenue and costs'!T904:T1031)+SUMIF('Revenue and costs'!$D$904:$D$1031,C281,'Revenue and costs'!U904:U1031)+SUMIF('Revenue and costs'!$D$904:$D$1031,C281,'Revenue and costs'!V904:V1031)+SUMIF('Revenue and costs'!$D$904:$D$1031,C281,'Revenue and costs'!AE904:AE1031)</x:f>
        <x:v>15770.28668106032</x:v>
      </x:c>
      <x:c r="G281" s="10" t="n">
        <x:f>IF('Income statement'!K50=0,1/39,E281/'Income statement'!K50)*('Shared costs'!O21+'Assumptions'!$D$18*'Assumptions'!$D$19*12*(1+'Assumptions'!$D$13)^(8-1)*'Assumptions'!$D$21)</x:f>
        <x:v>1794.2343482130384</x:v>
      </x:c>
      <x:c r="H281" s="10" t="n">
        <x:f>IF('Income statement'!K50=0,1/39,E281/'Income statement'!K50)*'Cash and capital'!K18</x:f>
        <x:v>9.471494341060222</x:v>
      </x:c>
      <x:c r="I281" s="10" t="n">
        <x:f>E281-F281-G281-H281</x:f>
        <x:v>26440.041385961078</x:v>
      </x:c>
      <x:c r="J281" s="10" t="n">
        <x:f>M242</x:f>
        <x:v>0</x:v>
      </x:c>
      <x:c r="K281" s="10" t="n">
        <x:f>MAX(0,I281-J281)</x:f>
        <x:v>26440.041385961078</x:v>
      </x:c>
      <x:c r="L281" s="10" t="n">
        <x:f>K281*'Assumptions'!$D$12</x:f>
        <x:v>6610.0103464902695</x:v>
      </x:c>
      <x:c r="M281" s="10" t="n">
        <x:f>MAX(0,J281-I281)</x:f>
        <x:v>0</x:v>
      </x:c>
    </x:row>
    <x:row r="282" ht="16" customHeight="1">
      <x:c r="A282" s="1"/>
      <x:c r="B282" s="1"/>
      <x:c r="C282" s="1" t="str">
        <x:v>ETV services</x:v>
      </x:c>
      <x:c r="D282" s="10" t="n">
        <x:v>8</x:v>
      </x:c>
      <x:c r="E282" s="10" t="n">
        <x:f>SUMIF('Revenue and costs'!$D$904:$D$1031,C282,'Revenue and costs'!N904:N1031)</x:f>
        <x:v>106742.82013755072</x:v>
      </x:c>
      <x:c r="F282" s="10" t="n">
        <x:f>SUMIF('Revenue and costs'!$D$904:$D$1031,C282,'Revenue and costs'!O904:O1031)+SUMIF('Revenue and costs'!$D$904:$D$1031,C282,'Revenue and costs'!P904:P1031)+SUMIF('Revenue and costs'!$D$904:$D$1031,C282,'Revenue and costs'!Q904:Q1031)+SUMIF('Revenue and costs'!$D$904:$D$1031,C282,'Revenue and costs'!R904:R1031)+SUMIF('Revenue and costs'!$D$904:$D$1031,C282,'Revenue and costs'!S904:S1031)+SUMIF('Revenue and costs'!$D$904:$D$1031,C282,'Revenue and costs'!T904:T1031)+SUMIF('Revenue and costs'!$D$904:$D$1031,C282,'Revenue and costs'!U904:U1031)+SUMIF('Revenue and costs'!$D$904:$D$1031,C282,'Revenue and costs'!V904:V1031)+SUMIF('Revenue and costs'!$D$904:$D$1031,C282,'Revenue and costs'!AE904:AE1031)</x:f>
        <x:v>71521.48098344494</x:v>
      </x:c>
      <x:c r="G282" s="10" t="n">
        <x:f>IF('Income statement'!K50=0,1/39,E282/'Income statement'!K50)*('Shared costs'!O21+'Assumptions'!$D$18*'Assumptions'!$D$19*12*(1+'Assumptions'!$D$13)^(8-1)*'Assumptions'!$D$21)</x:f>
        <x:v>4351.376533888963</x:v>
      </x:c>
      <x:c r="H282" s="10" t="n">
        <x:f>IF('Income statement'!K50=0,1/39,E282/'Income statement'!K50)*'Cash and capital'!K18</x:f>
        <x:v>22.970264869579903</x:v>
      </x:c>
      <x:c r="I282" s="10" t="n">
        <x:f>E282-F282-G282-H282</x:f>
        <x:v>30846.992355347236</x:v>
      </x:c>
      <x:c r="J282" s="10" t="n">
        <x:f>M243</x:f>
        <x:v>0</x:v>
      </x:c>
      <x:c r="K282" s="10" t="n">
        <x:f>MAX(0,I282-J282)</x:f>
        <x:v>30846.992355347236</x:v>
      </x:c>
      <x:c r="L282" s="10" t="n">
        <x:f>K282*'Assumptions'!$D$12</x:f>
        <x:v>7711.748088836809</x:v>
      </x:c>
      <x:c r="M282" s="10" t="n">
        <x:f>MAX(0,J282-I282)</x:f>
        <x:v>0</x:v>
      </x:c>
    </x:row>
    <x:row r="283" ht="16" customHeight="1">
      <x:c r="A283" s="1"/>
      <x:c r="B283" s="1"/>
      <x:c r="C283" s="1" t="str">
        <x:v>BPA professional services</x:v>
      </x:c>
      <x:c r="D283" s="10" t="n">
        <x:v>8</x:v>
      </x:c>
      <x:c r="E283" s="10" t="n">
        <x:f>SUMIF('Revenue and costs'!$D$904:$D$1031,C283,'Revenue and costs'!N904:N1031)</x:f>
        <x:v>638101.3428719885</x:v>
      </x:c>
      <x:c r="F283" s="10" t="n">
        <x:f>SUMIF('Revenue and costs'!$D$904:$D$1031,C283,'Revenue and costs'!O904:O1031)+SUMIF('Revenue and costs'!$D$904:$D$1031,C283,'Revenue and costs'!P904:P1031)+SUMIF('Revenue and costs'!$D$904:$D$1031,C283,'Revenue and costs'!Q904:Q1031)+SUMIF('Revenue and costs'!$D$904:$D$1031,C283,'Revenue and costs'!R904:R1031)+SUMIF('Revenue and costs'!$D$904:$D$1031,C283,'Revenue and costs'!S904:S1031)+SUMIF('Revenue and costs'!$D$904:$D$1031,C283,'Revenue and costs'!T904:T1031)+SUMIF('Revenue and costs'!$D$904:$D$1031,C283,'Revenue and costs'!U904:U1031)+SUMIF('Revenue and costs'!$D$904:$D$1031,C283,'Revenue and costs'!V904:V1031)+SUMIF('Revenue and costs'!$D$904:$D$1031,C283,'Revenue and costs'!AE904:AE1031)</x:f>
        <x:v>329049.72279944003</x:v>
      </x:c>
      <x:c r="G283" s="10" t="n">
        <x:f>IF('Income statement'!K50=0,1/39,E283/'Income statement'!K50)*('Shared costs'!O21+'Assumptions'!$D$18*'Assumptions'!$D$19*12*(1+'Assumptions'!$D$13)^(8-1)*'Assumptions'!$D$21)</x:f>
        <x:v>26012.233947334393</x:v>
      </x:c>
      <x:c r="H283" s="10" t="n">
        <x:f>IF('Income statement'!K50=0,1/39,E283/'Income statement'!K50)*'Cash and capital'!K18</x:f>
        <x:v>137.31468627600867</x:v>
      </x:c>
      <x:c r="I283" s="10" t="n">
        <x:f>E283-F283-G283-H283</x:f>
        <x:v>282902.0714389381</x:v>
      </x:c>
      <x:c r="J283" s="10" t="n">
        <x:f>M244</x:f>
        <x:v>0</x:v>
      </x:c>
      <x:c r="K283" s="10" t="n">
        <x:f>MAX(0,I283-J283)</x:f>
        <x:v>282902.0714389381</x:v>
      </x:c>
      <x:c r="L283" s="10" t="n">
        <x:f>K283*'Assumptions'!$D$12</x:f>
        <x:v>70725.51785973452</x:v>
      </x:c>
      <x:c r="M283" s="10" t="n">
        <x:f>MAX(0,J283-I283)</x:f>
        <x:v>0</x:v>
      </x:c>
    </x:row>
    <x:row r="284" ht="16" customHeight="1">
      <x:c r="A284" s="1"/>
      <x:c r="B284" s="1"/>
      <x:c r="C284" s="1" t="str">
        <x:v>CornerFlow</x:v>
      </x:c>
      <x:c r="D284" s="10" t="n">
        <x:v>8</x:v>
      </x:c>
      <x:c r="E284" s="10" t="n">
        <x:f>SUMIF('Revenue and costs'!$D$904:$D$1031,C284,'Revenue and costs'!N904:N1031)</x:f>
        <x:v>19608.492460185334</x:v>
      </x:c>
      <x:c r="F284" s="10" t="n">
        <x:f>SUMIF('Revenue and costs'!$D$904:$D$1031,C284,'Revenue and costs'!O904:O1031)+SUMIF('Revenue and costs'!$D$904:$D$1031,C284,'Revenue and costs'!P904:P1031)+SUMIF('Revenue and costs'!$D$904:$D$1031,C284,'Revenue and costs'!Q904:Q1031)+SUMIF('Revenue and costs'!$D$904:$D$1031,C284,'Revenue and costs'!R904:R1031)+SUMIF('Revenue and costs'!$D$904:$D$1031,C284,'Revenue and costs'!S904:S1031)+SUMIF('Revenue and costs'!$D$904:$D$1031,C284,'Revenue and costs'!T904:T1031)+SUMIF('Revenue and costs'!$D$904:$D$1031,C284,'Revenue and costs'!U904:U1031)+SUMIF('Revenue and costs'!$D$904:$D$1031,C284,'Revenue and costs'!V904:V1031)+SUMIF('Revenue and costs'!$D$904:$D$1031,C284,'Revenue and costs'!AE904:AE1031)</x:f>
        <x:v>7848.04119535173</x:v>
      </x:c>
      <x:c r="G284" s="10" t="n">
        <x:f>IF('Income statement'!K50=0,1/39,E284/'Income statement'!K50)*('Shared costs'!O21+'Assumptions'!$D$18*'Assumptions'!$D$19*12*(1+'Assumptions'!$D$13)^(8-1)*'Assumptions'!$D$21)</x:f>
        <x:v>799.3412001504099</x:v>
      </x:c>
      <x:c r="H284" s="10" t="n">
        <x:f>IF('Income statement'!K50=0,1/39,E284/'Income statement'!K50)*'Cash and capital'!K18</x:f>
        <x:v>4.2196024512300525</x:v>
      </x:c>
      <x:c r="I284" s="10" t="n">
        <x:f>E284-F284-G284-H284</x:f>
        <x:v>10956.890462231966</x:v>
      </x:c>
      <x:c r="J284" s="10" t="n">
        <x:f>M245</x:f>
        <x:v>0</x:v>
      </x:c>
      <x:c r="K284" s="10" t="n">
        <x:f>MAX(0,I284-J284)</x:f>
        <x:v>10956.890462231966</x:v>
      </x:c>
      <x:c r="L284" s="10" t="n">
        <x:f>K284*'Assumptions'!$D$12</x:f>
        <x:v>2739.2226155579915</x:v>
      </x:c>
      <x:c r="M284" s="10" t="n">
        <x:f>MAX(0,J284-I284)</x:f>
        <x:v>0</x:v>
      </x:c>
    </x:row>
    <x:row r="285" ht="16" customHeight="1">
      <x:c r="A285" s="1"/>
      <x:c r="B285" s="1"/>
      <x:c r="C285" s="1" t="str">
        <x:v>Spindle</x:v>
      </x:c>
      <x:c r="D285" s="10" t="n">
        <x:v>8</x:v>
      </x:c>
      <x:c r="E285" s="10" t="n">
        <x:f>SUMIF('Revenue and costs'!$D$904:$D$1031,C285,'Revenue and costs'!N904:N1031)</x:f>
        <x:v>19608.492460185334</x:v>
      </x:c>
      <x:c r="F285" s="10" t="n">
        <x:f>SUMIF('Revenue and costs'!$D$904:$D$1031,C285,'Revenue and costs'!O904:O1031)+SUMIF('Revenue and costs'!$D$904:$D$1031,C285,'Revenue and costs'!P904:P1031)+SUMIF('Revenue and costs'!$D$904:$D$1031,C285,'Revenue and costs'!Q904:Q1031)+SUMIF('Revenue and costs'!$D$904:$D$1031,C285,'Revenue and costs'!R904:R1031)+SUMIF('Revenue and costs'!$D$904:$D$1031,C285,'Revenue and costs'!S904:S1031)+SUMIF('Revenue and costs'!$D$904:$D$1031,C285,'Revenue and costs'!T904:T1031)+SUMIF('Revenue and costs'!$D$904:$D$1031,C285,'Revenue and costs'!U904:U1031)+SUMIF('Revenue and costs'!$D$904:$D$1031,C285,'Revenue and costs'!V904:V1031)+SUMIF('Revenue and costs'!$D$904:$D$1031,C285,'Revenue and costs'!AE904:AE1031)</x:f>
        <x:v>7848.04119535173</x:v>
      </x:c>
      <x:c r="G285" s="10" t="n">
        <x:f>IF('Income statement'!K50=0,1/39,E285/'Income statement'!K50)*('Shared costs'!O21+'Assumptions'!$D$18*'Assumptions'!$D$19*12*(1+'Assumptions'!$D$13)^(8-1)*'Assumptions'!$D$21)</x:f>
        <x:v>799.3412001504099</x:v>
      </x:c>
      <x:c r="H285" s="10" t="n">
        <x:f>IF('Income statement'!K50=0,1/39,E285/'Income statement'!K50)*'Cash and capital'!K18</x:f>
        <x:v>4.2196024512300525</x:v>
      </x:c>
      <x:c r="I285" s="10" t="n">
        <x:f>E285-F285-G285-H285</x:f>
        <x:v>10956.890462231966</x:v>
      </x:c>
      <x:c r="J285" s="10" t="n">
        <x:f>M246</x:f>
        <x:v>0</x:v>
      </x:c>
      <x:c r="K285" s="10" t="n">
        <x:f>MAX(0,I285-J285)</x:f>
        <x:v>10956.890462231966</x:v>
      </x:c>
      <x:c r="L285" s="10" t="n">
        <x:f>K285*'Assumptions'!$D$12</x:f>
        <x:v>2739.2226155579915</x:v>
      </x:c>
      <x:c r="M285" s="10" t="n">
        <x:f>MAX(0,J285-I285)</x:f>
        <x:v>0</x:v>
      </x:c>
    </x:row>
    <x:row r="286" ht="16" customHeight="1">
      <x:c r="A286" s="1"/>
      <x:c r="B286" s="1"/>
      <x:c r="C286" s="1" t="str">
        <x:v>Maison Contour</x:v>
      </x:c>
      <x:c r="D286" s="10" t="n">
        <x:v>8</x:v>
      </x:c>
      <x:c r="E286" s="10" t="n">
        <x:f>SUMIF('Revenue and costs'!$D$904:$D$1031,C286,'Revenue and costs'!N904:N1031)</x:f>
        <x:v>27429.07294326178</x:v>
      </x:c>
      <x:c r="F286" s="10" t="n">
        <x:f>SUMIF('Revenue and costs'!$D$904:$D$1031,C286,'Revenue and costs'!O904:O1031)+SUMIF('Revenue and costs'!$D$904:$D$1031,C286,'Revenue and costs'!P904:P1031)+SUMIF('Revenue and costs'!$D$904:$D$1031,C286,'Revenue and costs'!Q904:Q1031)+SUMIF('Revenue and costs'!$D$904:$D$1031,C286,'Revenue and costs'!R904:R1031)+SUMIF('Revenue and costs'!$D$904:$D$1031,C286,'Revenue and costs'!S904:S1031)+SUMIF('Revenue and costs'!$D$904:$D$1031,C286,'Revenue and costs'!T904:T1031)+SUMIF('Revenue and costs'!$D$904:$D$1031,C286,'Revenue and costs'!U904:U1031)+SUMIF('Revenue and costs'!$D$904:$D$1031,C286,'Revenue and costs'!V904:V1031)+SUMIF('Revenue and costs'!$D$904:$D$1031,C286,'Revenue and costs'!AE904:AE1031)</x:f>
        <x:v>8472.88138858722</x:v>
      </x:c>
      <x:c r="G286" s="10" t="n">
        <x:f>IF('Income statement'!K50=0,1/39,E286/'Income statement'!K50)*('Shared costs'!O21+'Assumptions'!$D$18*'Assumptions'!$D$19*12*(1+'Assumptions'!$D$13)^(8-1)*'Assumptions'!$D$21)</x:f>
        <x:v>1118.1475643779693</x:v>
      </x:c>
      <x:c r="H286" s="10" t="n">
        <x:f>IF('Income statement'!K50=0,1/39,E286/'Income statement'!K50)*'Cash and capital'!K18</x:f>
        <x:v>5.902533489576657</x:v>
      </x:c>
      <x:c r="I286" s="10" t="n">
        <x:f>E286-F286-G286-H286</x:f>
        <x:v>17832.14145680701</x:v>
      </x:c>
      <x:c r="J286" s="10" t="n">
        <x:f>M247</x:f>
        <x:v>0</x:v>
      </x:c>
      <x:c r="K286" s="10" t="n">
        <x:f>MAX(0,I286-J286)</x:f>
        <x:v>17832.14145680701</x:v>
      </x:c>
      <x:c r="L286" s="10" t="n">
        <x:f>K286*'Assumptions'!$D$12</x:f>
        <x:v>4458.035364201753</x:v>
      </x:c>
      <x:c r="M286" s="10" t="n">
        <x:f>MAX(0,J286-I286)</x:f>
        <x:v>0</x:v>
      </x:c>
    </x:row>
    <x:row r="287" ht="16" customHeight="1">
      <x:c r="A287" s="1"/>
      <x:c r="B287" s="1"/>
      <x:c r="C287" s="1" t="str">
        <x:v>DishLoom US</x:v>
      </x:c>
      <x:c r="D287" s="10" t="n">
        <x:v>8</x:v>
      </x:c>
      <x:c r="E287" s="10" t="n">
        <x:f>SUMIF('Revenue and costs'!$D$904:$D$1031,C287,'Revenue and costs'!N904:N1031)</x:f>
        <x:v>24634.828521690804</x:v>
      </x:c>
      <x:c r="F287" s="10" t="n">
        <x:f>SUMIF('Revenue and costs'!$D$904:$D$1031,C287,'Revenue and costs'!O904:O1031)+SUMIF('Revenue and costs'!$D$904:$D$1031,C287,'Revenue and costs'!P904:P1031)+SUMIF('Revenue and costs'!$D$904:$D$1031,C287,'Revenue and costs'!Q904:Q1031)+SUMIF('Revenue and costs'!$D$904:$D$1031,C287,'Revenue and costs'!R904:R1031)+SUMIF('Revenue and costs'!$D$904:$D$1031,C287,'Revenue and costs'!S904:S1031)+SUMIF('Revenue and costs'!$D$904:$D$1031,C287,'Revenue and costs'!T904:T1031)+SUMIF('Revenue and costs'!$D$904:$D$1031,C287,'Revenue and costs'!U904:U1031)+SUMIF('Revenue and costs'!$D$904:$D$1031,C287,'Revenue and costs'!V904:V1031)+SUMIF('Revenue and costs'!$D$904:$D$1031,C287,'Revenue and costs'!AE904:AE1031)</x:f>
        <x:v>16315.189414560797</x:v>
      </x:c>
      <x:c r="G287" s="10" t="n">
        <x:f>IF('Income statement'!K50=0,1/39,E287/'Income statement'!K50)*('Shared costs'!O21+'Assumptions'!$D$18*'Assumptions'!$D$19*12*(1+'Assumptions'!$D$13)^(8-1)*'Assumptions'!$D$21)</x:f>
        <x:v>1004.240047316812</x:v>
      </x:c>
      <x:c r="H287" s="10" t="n">
        <x:f>IF('Income statement'!K50=0,1/39,E287/'Income statement'!K50)*'Cash and capital'!K18</x:f>
        <x:v>5.301232770791804</x:v>
      </x:c>
      <x:c r="I287" s="10" t="n">
        <x:f>E287-F287-G287-H287</x:f>
        <x:v>7310.097827042404</x:v>
      </x:c>
      <x:c r="J287" s="10" t="n">
        <x:f>M248</x:f>
        <x:v>0</x:v>
      </x:c>
      <x:c r="K287" s="10" t="n">
        <x:f>MAX(0,I287-J287)</x:f>
        <x:v>7310.097827042404</x:v>
      </x:c>
      <x:c r="L287" s="10" t="n">
        <x:f>K287*'Assumptions'!$D$12</x:f>
        <x:v>1827.524456760601</x:v>
      </x:c>
      <x:c r="M287" s="10" t="n">
        <x:f>MAX(0,J287-I287)</x:f>
        <x:v>0</x:v>
      </x:c>
    </x:row>
    <x:row r="288" ht="16" customHeight="1">
      <x:c r="A288" s="1"/>
      <x:c r="B288" s="1"/>
      <x:c r="C288" s="1" t="str">
        <x:v>Is Makes Travel Easy</x:v>
      </x:c>
      <x:c r="D288" s="10" t="n">
        <x:v>8</x:v>
      </x:c>
      <x:c r="E288" s="10" t="n">
        <x:f>SUMIF('Revenue and costs'!$D$904:$D$1031,C288,'Revenue and costs'!N904:N1031)</x:f>
        <x:v>42452.8225760718</x:v>
      </x:c>
      <x:c r="F288" s="10" t="n">
        <x:f>SUMIF('Revenue and costs'!$D$904:$D$1031,C288,'Revenue and costs'!O904:O1031)+SUMIF('Revenue and costs'!$D$904:$D$1031,C288,'Revenue and costs'!P904:P1031)+SUMIF('Revenue and costs'!$D$904:$D$1031,C288,'Revenue and costs'!Q904:Q1031)+SUMIF('Revenue and costs'!$D$904:$D$1031,C288,'Revenue and costs'!R904:R1031)+SUMIF('Revenue and costs'!$D$904:$D$1031,C288,'Revenue and costs'!S904:S1031)+SUMIF('Revenue and costs'!$D$904:$D$1031,C288,'Revenue and costs'!T904:T1031)+SUMIF('Revenue and costs'!$D$904:$D$1031,C288,'Revenue and costs'!U904:U1031)+SUMIF('Revenue and costs'!$D$904:$D$1031,C288,'Revenue and costs'!V904:V1031)+SUMIF('Revenue and costs'!$D$904:$D$1031,C288,'Revenue and costs'!AE904:AE1031)</x:f>
        <x:v>23747.100409421044</x:v>
      </x:c>
      <x:c r="G288" s="10" t="n">
        <x:f>IF('Income statement'!K50=0,1/39,E288/'Income statement'!K50)*('Shared costs'!O21+'Assumptions'!$D$18*'Assumptions'!$D$19*12*(1+'Assumptions'!$D$13)^(8-1)*'Assumptions'!$D$21)</x:f>
        <x:v>1730.5914881846509</x:v>
      </x:c>
      <x:c r="H288" s="10" t="n">
        <x:f>IF('Income statement'!K50=0,1/39,E288/'Income statement'!K50)*'Cash and capital'!K18</x:f>
        <x:v>9.135533216913807</x:v>
      </x:c>
      <x:c r="I288" s="10" t="n">
        <x:f>E288-F288-G288-H288</x:f>
        <x:v>16965.995145249188</x:v>
      </x:c>
      <x:c r="J288" s="10" t="n">
        <x:f>M249</x:f>
        <x:v>0</x:v>
      </x:c>
      <x:c r="K288" s="10" t="n">
        <x:f>MAX(0,I288-J288)</x:f>
        <x:v>16965.995145249188</x:v>
      </x:c>
      <x:c r="L288" s="10" t="n">
        <x:f>K288*'Assumptions'!$D$12</x:f>
        <x:v>4241.498786312297</x:v>
      </x:c>
      <x:c r="M288" s="10" t="n">
        <x:f>MAX(0,J288-I288)</x:f>
        <x:v>0</x:v>
      </x:c>
    </x:row>
    <x:row r="289" ht="16" customHeight="1">
      <x:c r="A289" s="1"/>
      <x:c r="B289" s="1"/>
      <x:c r="C289" s="1" t="str">
        <x:v>Turbo Tax - Made Easy!</x:v>
      </x:c>
      <x:c r="D289" s="10" t="n">
        <x:v>8</x:v>
      </x:c>
      <x:c r="E289" s="10" t="n">
        <x:f>SUMIF('Revenue and costs'!$D$904:$D$1031,C289,'Revenue and costs'!N904:N1031)</x:f>
        <x:v>114074.01267034363</x:v>
      </x:c>
      <x:c r="F289" s="10" t="n">
        <x:f>SUMIF('Revenue and costs'!$D$904:$D$1031,C289,'Revenue and costs'!O904:O1031)+SUMIF('Revenue and costs'!$D$904:$D$1031,C289,'Revenue and costs'!P904:P1031)+SUMIF('Revenue and costs'!$D$904:$D$1031,C289,'Revenue and costs'!Q904:Q1031)+SUMIF('Revenue and costs'!$D$904:$D$1031,C289,'Revenue and costs'!R904:R1031)+SUMIF('Revenue and costs'!$D$904:$D$1031,C289,'Revenue and costs'!S904:S1031)+SUMIF('Revenue and costs'!$D$904:$D$1031,C289,'Revenue and costs'!T904:T1031)+SUMIF('Revenue and costs'!$D$904:$D$1031,C289,'Revenue and costs'!U904:U1031)+SUMIF('Revenue and costs'!$D$904:$D$1031,C289,'Revenue and costs'!V904:V1031)+SUMIF('Revenue and costs'!$D$904:$D$1031,C289,'Revenue and costs'!AE904:AE1031)</x:f>
        <x:v>30854.43954665355</x:v>
      </x:c>
      <x:c r="G289" s="10" t="n">
        <x:f>IF('Income statement'!K50=0,1/39,E289/'Income statement'!K50)*('Shared costs'!O21+'Assumptions'!$D$18*'Assumptions'!$D$19*12*(1+'Assumptions'!$D$13)^(8-1)*'Assumptions'!$D$21)</x:f>
        <x:v>4650.232973240191</x:v>
      </x:c>
      <x:c r="H289" s="10" t="n">
        <x:f>IF('Income statement'!K50=0,1/39,E289/'Income statement'!K50)*'Cash and capital'!K18</x:f>
        <x:v>24.54788324307928</x:v>
      </x:c>
      <x:c r="I289" s="10" t="n">
        <x:f>E289-F289-G289-H289</x:f>
        <x:v>78544.79226720681</x:v>
      </x:c>
      <x:c r="J289" s="10" t="n">
        <x:f>M250</x:f>
        <x:v>0</x:v>
      </x:c>
      <x:c r="K289" s="10" t="n">
        <x:f>MAX(0,I289-J289)</x:f>
        <x:v>78544.79226720681</x:v>
      </x:c>
      <x:c r="L289" s="10" t="n">
        <x:f>K289*'Assumptions'!$D$12</x:f>
        <x:v>19636.198066801702</x:v>
      </x:c>
      <x:c r="M289" s="10" t="n">
        <x:f>MAX(0,J289-I289)</x:f>
        <x:v>0</x:v>
      </x:c>
    </x:row>
    <x:row r="290" ht="16" customHeight="1">
      <x:c r="A290" s="1"/>
      <x:c r="B290" s="1"/>
      <x:c r="C290" s="1" t="str">
        <x:v>LavaLearning adult</x:v>
      </x:c>
      <x:c r="D290" s="10" t="n">
        <x:v>8</x:v>
      </x:c>
      <x:c r="E290" s="10" t="n">
        <x:f>SUMIF('Revenue and costs'!$D$904:$D$1031,C290,'Revenue and costs'!N904:N1031)</x:f>
        <x:v>60362.944990810254</x:v>
      </x:c>
      <x:c r="F290" s="10" t="n">
        <x:f>SUMIF('Revenue and costs'!$D$904:$D$1031,C290,'Revenue and costs'!O904:O1031)+SUMIF('Revenue and costs'!$D$904:$D$1031,C290,'Revenue and costs'!P904:P1031)+SUMIF('Revenue and costs'!$D$904:$D$1031,C290,'Revenue and costs'!Q904:Q1031)+SUMIF('Revenue and costs'!$D$904:$D$1031,C290,'Revenue and costs'!R904:R1031)+SUMIF('Revenue and costs'!$D$904:$D$1031,C290,'Revenue and costs'!S904:S1031)+SUMIF('Revenue and costs'!$D$904:$D$1031,C290,'Revenue and costs'!T904:T1031)+SUMIF('Revenue and costs'!$D$904:$D$1031,C290,'Revenue and costs'!U904:U1031)+SUMIF('Revenue and costs'!$D$904:$D$1031,C290,'Revenue and costs'!V904:V1031)+SUMIF('Revenue and costs'!$D$904:$D$1031,C290,'Revenue and costs'!AE904:AE1031)</x:f>
        <x:v>23005.55873852213</x:v>
      </x:c>
      <x:c r="G290" s="10" t="n">
        <x:f>IF('Income statement'!K50=0,1/39,E290/'Income statement'!K50)*('Shared costs'!O21+'Assumptions'!$D$18*'Assumptions'!$D$19*12*(1+'Assumptions'!$D$13)^(8-1)*'Assumptions'!$D$21)</x:f>
        <x:v>2460.698546384396</x:v>
      </x:c>
      <x:c r="H290" s="10" t="n">
        <x:f>IF('Income statement'!K50=0,1/39,E290/'Income statement'!K50)*'Cash and capital'!K18</x:f>
        <x:v>12.989659004325125</x:v>
      </x:c>
      <x:c r="I290" s="10" t="n">
        <x:f>E290-F290-G290-H290</x:f>
        <x:v>34883.6980468994</x:v>
      </x:c>
      <x:c r="J290" s="10" t="n">
        <x:f>M251</x:f>
        <x:v>0</x:v>
      </x:c>
      <x:c r="K290" s="10" t="n">
        <x:f>MAX(0,I290-J290)</x:f>
        <x:v>34883.6980468994</x:v>
      </x:c>
      <x:c r="L290" s="10" t="n">
        <x:f>K290*'Assumptions'!$D$12</x:f>
        <x:v>8720.92451172485</x:v>
      </x:c>
      <x:c r="M290" s="10" t="n">
        <x:f>MAX(0,J290-I290)</x:f>
        <x:v>0</x:v>
      </x:c>
    </x:row>
    <x:row r="291" ht="16" customHeight="1">
      <x:c r="A291" s="1"/>
      <x:c r="B291" s="1"/>
      <x:c r="C291" s="1" t="str">
        <x:v>LavaLearning Model Life</x:v>
      </x:c>
      <x:c r="D291" s="10" t="n">
        <x:v>8</x:v>
      </x:c>
      <x:c r="E291" s="10" t="n">
        <x:f>SUMIF('Revenue and costs'!$D$904:$D$1031,C291,'Revenue and costs'!N904:N1031)</x:f>
        <x:v>0</x:v>
      </x:c>
      <x:c r="F291" s="10" t="n">
        <x:f>SUMIF('Revenue and costs'!$D$904:$D$1031,C291,'Revenue and costs'!O904:O1031)+SUMIF('Revenue and costs'!$D$904:$D$1031,C291,'Revenue and costs'!P904:P1031)+SUMIF('Revenue and costs'!$D$904:$D$1031,C291,'Revenue and costs'!Q904:Q1031)+SUMIF('Revenue and costs'!$D$904:$D$1031,C291,'Revenue and costs'!R904:R1031)+SUMIF('Revenue and costs'!$D$904:$D$1031,C291,'Revenue and costs'!S904:S1031)+SUMIF('Revenue and costs'!$D$904:$D$1031,C291,'Revenue and costs'!T904:T1031)+SUMIF('Revenue and costs'!$D$904:$D$1031,C291,'Revenue and costs'!U904:U1031)+SUMIF('Revenue and costs'!$D$904:$D$1031,C291,'Revenue and costs'!V904:V1031)+SUMIF('Revenue and costs'!$D$904:$D$1031,C291,'Revenue and costs'!AE904:AE1031)</x:f>
        <x:v>0</x:v>
      </x:c>
      <x:c r="G291" s="10" t="n">
        <x:f>IF('Income statement'!K50=0,1/39,E291/'Income statement'!K50)*('Shared costs'!O21+'Assumptions'!$D$18*'Assumptions'!$D$19*12*(1+'Assumptions'!$D$13)^(8-1)*'Assumptions'!$D$21)</x:f>
        <x:v>0</x:v>
      </x:c>
      <x:c r="H291" s="10" t="n">
        <x:f>IF('Income statement'!K50=0,1/39,E291/'Income statement'!K50)*'Cash and capital'!K18</x:f>
        <x:v>0</x:v>
      </x:c>
      <x:c r="I291" s="10" t="n">
        <x:f>E291-F291-G291-H291</x:f>
        <x:v>0</x:v>
      </x:c>
      <x:c r="J291" s="10" t="n">
        <x:f>M252</x:f>
        <x:v>0</x:v>
      </x:c>
      <x:c r="K291" s="10" t="n">
        <x:f>MAX(0,I291-J291)</x:f>
        <x:v>0</x:v>
      </x:c>
      <x:c r="L291" s="10" t="n">
        <x:f>K291*'Assumptions'!$D$12</x:f>
        <x:v>0</x:v>
      </x:c>
      <x:c r="M291" s="10" t="n">
        <x:f>MAX(0,J291-I291)</x:f>
        <x:v>0</x:v>
      </x:c>
    </x:row>
    <x:row r="292" ht="16" customHeight="1">
      <x:c r="A292" s="1"/>
      <x:c r="B292" s="1"/>
      <x:c r="C292" s="1" t="str">
        <x:v>LavaLearning Kids</x:v>
      </x:c>
      <x:c r="D292" s="10" t="n">
        <x:v>8</x:v>
      </x:c>
      <x:c r="E292" s="10" t="n">
        <x:f>SUMIF('Revenue and costs'!$D$904:$D$1031,C292,'Revenue and costs'!N904:N1031)</x:f>
        <x:v>24031.300238490487</x:v>
      </x:c>
      <x:c r="F292" s="10" t="n">
        <x:f>SUMIF('Revenue and costs'!$D$904:$D$1031,C292,'Revenue and costs'!O904:O1031)+SUMIF('Revenue and costs'!$D$904:$D$1031,C292,'Revenue and costs'!P904:P1031)+SUMIF('Revenue and costs'!$D$904:$D$1031,C292,'Revenue and costs'!Q904:Q1031)+SUMIF('Revenue and costs'!$D$904:$D$1031,C292,'Revenue and costs'!R904:R1031)+SUMIF('Revenue and costs'!$D$904:$D$1031,C292,'Revenue and costs'!S904:S1031)+SUMIF('Revenue and costs'!$D$904:$D$1031,C292,'Revenue and costs'!T904:T1031)+SUMIF('Revenue and costs'!$D$904:$D$1031,C292,'Revenue and costs'!U904:U1031)+SUMIF('Revenue and costs'!$D$904:$D$1031,C292,'Revenue and costs'!V904:V1031)+SUMIF('Revenue and costs'!$D$904:$D$1031,C292,'Revenue and costs'!AE904:AE1031)</x:f>
        <x:v>14073.425816857562</x:v>
      </x:c>
      <x:c r="G292" s="10" t="n">
        <x:f>IF('Income statement'!K50=0,1/39,E292/'Income statement'!K50)*('Shared costs'!O21+'Assumptions'!$D$18*'Assumptions'!$D$19*12*(1+'Assumptions'!$D$13)^(8-1)*'Assumptions'!$D$21)</x:f>
        <x:v>979.6371859189961</x:v>
      </x:c>
      <x:c r="H292" s="10" t="n">
        <x:f>IF('Income statement'!K50=0,1/39,E292/'Income statement'!K50)*'Cash and capital'!K18</x:f>
        <x:v>5.171357951075315</x:v>
      </x:c>
      <x:c r="I292" s="10" t="n">
        <x:f>E292-F292-G292-H292</x:f>
        <x:v>8973.065877762852</x:v>
      </x:c>
      <x:c r="J292" s="10" t="n">
        <x:f>M253</x:f>
        <x:v>0</x:v>
      </x:c>
      <x:c r="K292" s="10" t="n">
        <x:f>MAX(0,I292-J292)</x:f>
        <x:v>8973.065877762852</x:v>
      </x:c>
      <x:c r="L292" s="10" t="n">
        <x:f>K292*'Assumptions'!$D$12</x:f>
        <x:v>2243.266469440713</x:v>
      </x:c>
      <x:c r="M292" s="10" t="n">
        <x:f>MAX(0,J292-I292)</x:f>
        <x:v>0</x:v>
      </x:c>
    </x:row>
    <x:row r="293" ht="16" customHeight="1">
      <x:c r="A293" s="1"/>
      <x:c r="B293" s="1"/>
      <x:c r="C293" s="1" t="str">
        <x:v>VraiSkill adult</x:v>
      </x:c>
      <x:c r="D293" s="10" t="n">
        <x:v>8</x:v>
      </x:c>
      <x:c r="E293" s="10" t="n">
        <x:f>SUMIF('Revenue and costs'!$D$904:$D$1031,C293,'Revenue and costs'!N904:N1031)</x:f>
        <x:v>45508.06085330184</x:v>
      </x:c>
      <x:c r="F293" s="10" t="n">
        <x:f>SUMIF('Revenue and costs'!$D$904:$D$1031,C293,'Revenue and costs'!O904:O1031)+SUMIF('Revenue and costs'!$D$904:$D$1031,C293,'Revenue and costs'!P904:P1031)+SUMIF('Revenue and costs'!$D$904:$D$1031,C293,'Revenue and costs'!Q904:Q1031)+SUMIF('Revenue and costs'!$D$904:$D$1031,C293,'Revenue and costs'!R904:R1031)+SUMIF('Revenue and costs'!$D$904:$D$1031,C293,'Revenue and costs'!S904:S1031)+SUMIF('Revenue and costs'!$D$904:$D$1031,C293,'Revenue and costs'!T904:T1031)+SUMIF('Revenue and costs'!$D$904:$D$1031,C293,'Revenue and costs'!U904:U1031)+SUMIF('Revenue and costs'!$D$904:$D$1031,C293,'Revenue and costs'!V904:V1031)+SUMIF('Revenue and costs'!$D$904:$D$1031,C293,'Revenue and costs'!AE904:AE1031)</x:f>
        <x:v>35553.32348037112</x:v>
      </x:c>
      <x:c r="G293" s="10" t="n">
        <x:f>IF('Income statement'!K50=0,1/39,E293/'Income statement'!K50)*('Shared costs'!O21+'Assumptions'!$D$18*'Assumptions'!$D$19*12*(1+'Assumptions'!$D$13)^(8-1)*'Assumptions'!$D$21)</x:f>
        <x:v>1855.138433148693</x:v>
      </x:c>
      <x:c r="H293" s="10" t="n">
        <x:f>IF('Income statement'!K50=0,1/39,E293/'Income statement'!K50)*'Cash and capital'!K18</x:f>
        <x:v>9.792997881771063</x:v>
      </x:c>
      <x:c r="I293" s="10" t="n">
        <x:f>E293-F293-G293-H293</x:f>
        <x:v>8089.8059419002575</x:v>
      </x:c>
      <x:c r="J293" s="10" t="n">
        <x:f>M254</x:f>
        <x:v>0</x:v>
      </x:c>
      <x:c r="K293" s="10" t="n">
        <x:f>MAX(0,I293-J293)</x:f>
        <x:v>8089.8059419002575</x:v>
      </x:c>
      <x:c r="L293" s="10" t="n">
        <x:f>K293*'Assumptions'!$D$12</x:f>
        <x:v>2022.4514854750644</x:v>
      </x:c>
      <x:c r="M293" s="10" t="n">
        <x:f>MAX(0,J293-I293)</x:f>
        <x:v>0</x:v>
      </x:c>
    </x:row>
    <x:row r="294" ht="16" customHeight="1">
      <x:c r="A294" s="1"/>
      <x:c r="B294" s="1"/>
      <x:c r="C294" s="1" t="str">
        <x:v>VraiSkill teen</x:v>
      </x:c>
      <x:c r="D294" s="10" t="n">
        <x:v>8</x:v>
      </x:c>
      <x:c r="E294" s="10" t="n">
        <x:f>SUMIF('Revenue and costs'!$D$904:$D$1031,C294,'Revenue and costs'!N904:N1031)</x:f>
        <x:v>20236.88441136041</x:v>
      </x:c>
      <x:c r="F294" s="10" t="n">
        <x:f>SUMIF('Revenue and costs'!$D$904:$D$1031,C294,'Revenue and costs'!O904:O1031)+SUMIF('Revenue and costs'!$D$904:$D$1031,C294,'Revenue and costs'!P904:P1031)+SUMIF('Revenue and costs'!$D$904:$D$1031,C294,'Revenue and costs'!Q904:Q1031)+SUMIF('Revenue and costs'!$D$904:$D$1031,C294,'Revenue and costs'!R904:R1031)+SUMIF('Revenue and costs'!$D$904:$D$1031,C294,'Revenue and costs'!S904:S1031)+SUMIF('Revenue and costs'!$D$904:$D$1031,C294,'Revenue and costs'!T904:T1031)+SUMIF('Revenue and costs'!$D$904:$D$1031,C294,'Revenue and costs'!U904:U1031)+SUMIF('Revenue and costs'!$D$904:$D$1031,C294,'Revenue and costs'!V904:V1031)+SUMIF('Revenue and costs'!$D$904:$D$1031,C294,'Revenue and costs'!AE904:AE1031)</x:f>
        <x:v>9817.520553006822</x:v>
      </x:c>
      <x:c r="G294" s="10" t="n">
        <x:f>IF('Income statement'!K50=0,1/39,E294/'Income statement'!K50)*('Shared costs'!O21+'Assumptions'!$D$18*'Assumptions'!$D$19*12*(1+'Assumptions'!$D$13)^(8-1)*'Assumptions'!$D$21)</x:f>
        <x:v>824.9576302475758</x:v>
      </x:c>
      <x:c r="H294" s="10" t="n">
        <x:f>IF('Income statement'!K50=0,1/39,E294/'Income statement'!K50)*'Cash and capital'!K18</x:f>
        <x:v>4.35482774827395</x:v>
      </x:c>
      <x:c r="I294" s="10" t="n">
        <x:f>E294-F294-G294-H294</x:f>
        <x:v>9590.05140035774</x:v>
      </x:c>
      <x:c r="J294" s="10" t="n">
        <x:f>M255</x:f>
        <x:v>0</x:v>
      </x:c>
      <x:c r="K294" s="10" t="n">
        <x:f>MAX(0,I294-J294)</x:f>
        <x:v>9590.05140035774</x:v>
      </x:c>
      <x:c r="L294" s="10" t="n">
        <x:f>K294*'Assumptions'!$D$12</x:f>
        <x:v>2397.512850089435</x:v>
      </x:c>
      <x:c r="M294" s="10" t="n">
        <x:f>MAX(0,J294-I294)</x:f>
        <x:v>0</x:v>
      </x:c>
    </x:row>
    <x:row r="295" ht="16" customHeight="1">
      <x:c r="A295" s="1"/>
      <x:c r="B295" s="1"/>
      <x:c r="C295" s="1" t="str">
        <x:v>VraiSkill Model Life</x:v>
      </x:c>
      <x:c r="D295" s="10" t="n">
        <x:v>8</x:v>
      </x:c>
      <x:c r="E295" s="10" t="n">
        <x:f>SUMIF('Revenue and costs'!$D$904:$D$1031,C295,'Revenue and costs'!N904:N1031)</x:f>
        <x:v>0</x:v>
      </x:c>
      <x:c r="F295" s="10" t="n">
        <x:f>SUMIF('Revenue and costs'!$D$904:$D$1031,C295,'Revenue and costs'!O904:O1031)+SUMIF('Revenue and costs'!$D$904:$D$1031,C295,'Revenue and costs'!P904:P1031)+SUMIF('Revenue and costs'!$D$904:$D$1031,C295,'Revenue and costs'!Q904:Q1031)+SUMIF('Revenue and costs'!$D$904:$D$1031,C295,'Revenue and costs'!R904:R1031)+SUMIF('Revenue and costs'!$D$904:$D$1031,C295,'Revenue and costs'!S904:S1031)+SUMIF('Revenue and costs'!$D$904:$D$1031,C295,'Revenue and costs'!T904:T1031)+SUMIF('Revenue and costs'!$D$904:$D$1031,C295,'Revenue and costs'!U904:U1031)+SUMIF('Revenue and costs'!$D$904:$D$1031,C295,'Revenue and costs'!V904:V1031)+SUMIF('Revenue and costs'!$D$904:$D$1031,C295,'Revenue and costs'!AE904:AE1031)</x:f>
        <x:v>0</x:v>
      </x:c>
      <x:c r="G295" s="10" t="n">
        <x:f>IF('Income statement'!K50=0,1/39,E295/'Income statement'!K50)*('Shared costs'!O21+'Assumptions'!$D$18*'Assumptions'!$D$19*12*(1+'Assumptions'!$D$13)^(8-1)*'Assumptions'!$D$21)</x:f>
        <x:v>0</x:v>
      </x:c>
      <x:c r="H295" s="10" t="n">
        <x:f>IF('Income statement'!K50=0,1/39,E295/'Income statement'!K50)*'Cash and capital'!K18</x:f>
        <x:v>0</x:v>
      </x:c>
      <x:c r="I295" s="10" t="n">
        <x:f>E295-F295-G295-H295</x:f>
        <x:v>0</x:v>
      </x:c>
      <x:c r="J295" s="10" t="n">
        <x:f>M256</x:f>
        <x:v>0</x:v>
      </x:c>
      <x:c r="K295" s="10" t="n">
        <x:f>MAX(0,I295-J295)</x:f>
        <x:v>0</x:v>
      </x:c>
      <x:c r="L295" s="10" t="n">
        <x:f>K295*'Assumptions'!$D$12</x:f>
        <x:v>0</x:v>
      </x:c>
      <x:c r="M295" s="10" t="n">
        <x:f>MAX(0,J295-I295)</x:f>
        <x:v>0</x:v>
      </x:c>
    </x:row>
    <x:row r="296" ht="16" customHeight="1">
      <x:c r="A296" s="1"/>
      <x:c r="B296" s="1"/>
      <x:c r="C296" s="1" t="str">
        <x:v>Model Life</x:v>
      </x:c>
      <x:c r="D296" s="10" t="n">
        <x:v>8</x:v>
      </x:c>
      <x:c r="E296" s="10" t="n">
        <x:f>SUMIF('Revenue and costs'!$D$904:$D$1031,C296,'Revenue and costs'!N904:N1031)</x:f>
        <x:v>70906.59637989312</x:v>
      </x:c>
      <x:c r="F296" s="10" t="n">
        <x:f>SUMIF('Revenue and costs'!$D$904:$D$1031,C296,'Revenue and costs'!O904:O1031)+SUMIF('Revenue and costs'!$D$904:$D$1031,C296,'Revenue and costs'!P904:P1031)+SUMIF('Revenue and costs'!$D$904:$D$1031,C296,'Revenue and costs'!Q904:Q1031)+SUMIF('Revenue and costs'!$D$904:$D$1031,C296,'Revenue and costs'!R904:R1031)+SUMIF('Revenue and costs'!$D$904:$D$1031,C296,'Revenue and costs'!S904:S1031)+SUMIF('Revenue and costs'!$D$904:$D$1031,C296,'Revenue and costs'!T904:T1031)+SUMIF('Revenue and costs'!$D$904:$D$1031,C296,'Revenue and costs'!U904:U1031)+SUMIF('Revenue and costs'!$D$904:$D$1031,C296,'Revenue and costs'!V904:V1031)+SUMIF('Revenue and costs'!$D$904:$D$1031,C296,'Revenue and costs'!AE904:AE1031)</x:f>
        <x:v>22639.129932382206</x:v>
      </x:c>
      <x:c r="G296" s="10" t="n">
        <x:f>IF('Income statement'!K50=0,1/39,E296/'Income statement'!K50)*('Shared costs'!O21+'Assumptions'!$D$18*'Assumptions'!$D$19*12*(1+'Assumptions'!$D$13)^(8-1)*'Assumptions'!$D$21)</x:f>
        <x:v>2890.511035663206</x:v>
      </x:c>
      <x:c r="H296" s="10" t="n">
        <x:f>IF('Income statement'!K50=0,1/39,E296/'Income statement'!K50)*'Cash and capital'!K18</x:f>
        <x:v>15.258574747675887</x:v>
      </x:c>
      <x:c r="I296" s="10" t="n">
        <x:f>E296-F296-G296-H296</x:f>
        <x:v>45361.69683710003</x:v>
      </x:c>
      <x:c r="J296" s="10" t="n">
        <x:f>M257</x:f>
        <x:v>0</x:v>
      </x:c>
      <x:c r="K296" s="10" t="n">
        <x:f>MAX(0,I296-J296)</x:f>
        <x:v>45361.69683710003</x:v>
      </x:c>
      <x:c r="L296" s="10" t="n">
        <x:f>K296*'Assumptions'!$D$12</x:f>
        <x:v>11340.424209275008</x:v>
      </x:c>
      <x:c r="M296" s="10" t="n">
        <x:f>MAX(0,J296-I296)</x:f>
        <x:v>0</x:v>
      </x:c>
    </x:row>
    <x:row r="297" ht="16" customHeight="1">
      <x:c r="A297" s="1"/>
      <x:c r="B297" s="1"/>
      <x:c r="C297" s="1" t="str">
        <x:v>S’otality cleaning</x:v>
      </x:c>
      <x:c r="D297" s="10" t="n">
        <x:v>8</x:v>
      </x:c>
      <x:c r="E297" s="10" t="n">
        <x:f>SUMIF('Revenue and costs'!$D$904:$D$1031,C297,'Revenue and costs'!N904:N1031)</x:f>
        <x:v>233622.6091125386</x:v>
      </x:c>
      <x:c r="F297" s="10" t="n">
        <x:f>SUMIF('Revenue and costs'!$D$904:$D$1031,C297,'Revenue and costs'!O904:O1031)+SUMIF('Revenue and costs'!$D$904:$D$1031,C297,'Revenue and costs'!P904:P1031)+SUMIF('Revenue and costs'!$D$904:$D$1031,C297,'Revenue and costs'!Q904:Q1031)+SUMIF('Revenue and costs'!$D$904:$D$1031,C297,'Revenue and costs'!R904:R1031)+SUMIF('Revenue and costs'!$D$904:$D$1031,C297,'Revenue and costs'!S904:S1031)+SUMIF('Revenue and costs'!$D$904:$D$1031,C297,'Revenue and costs'!T904:T1031)+SUMIF('Revenue and costs'!$D$904:$D$1031,C297,'Revenue and costs'!U904:U1031)+SUMIF('Revenue and costs'!$D$904:$D$1031,C297,'Revenue and costs'!V904:V1031)+SUMIF('Revenue and costs'!$D$904:$D$1031,C297,'Revenue and costs'!AE904:AE1031)</x:f>
        <x:v>200460.67650529483</x:v>
      </x:c>
      <x:c r="G297" s="10" t="n">
        <x:f>IF('Income statement'!K50=0,1/39,E297/'Income statement'!K50)*('Shared costs'!O21+'Assumptions'!$D$18*'Assumptions'!$D$19*12*(1+'Assumptions'!$D$13)^(8-1)*'Assumptions'!$D$21)</x:f>
        <x:v>9523.637634533461</x:v>
      </x:c>
      <x:c r="H297" s="10" t="n">
        <x:f>IF('Income statement'!K50=0,1/39,E297/'Income statement'!K50)*'Cash and capital'!K18</x:f>
        <x:v>50.273856395419735</x:v>
      </x:c>
      <x:c r="I297" s="10" t="n">
        <x:f>E297-F297-G297-H297</x:f>
        <x:v>23588.02111631489</x:v>
      </x:c>
      <x:c r="J297" s="10" t="n">
        <x:f>M258</x:f>
        <x:v>0</x:v>
      </x:c>
      <x:c r="K297" s="10" t="n">
        <x:f>MAX(0,I297-J297)</x:f>
        <x:v>23588.02111631489</x:v>
      </x:c>
      <x:c r="L297" s="10" t="n">
        <x:f>K297*'Assumptions'!$D$12</x:f>
        <x:v>5897.005279078722</x:v>
      </x:c>
      <x:c r="M297" s="10" t="n">
        <x:f>MAX(0,J297-I297)</x:f>
        <x:v>0</x:v>
      </x:c>
    </x:row>
    <x:row r="298" ht="16" customHeight="1">
      <x:c r="A298" s="1"/>
      <x:c r="B298" s="1"/>
      <x:c r="C298" s="1" t="str">
        <x:v>S’otality laundry</x:v>
      </x:c>
      <x:c r="D298" s="10" t="n">
        <x:v>8</x:v>
      </x:c>
      <x:c r="E298" s="10" t="n">
        <x:f>SUMIF('Revenue and costs'!$D$904:$D$1031,C298,'Revenue and costs'!N904:N1031)</x:f>
        <x:v>36210.163295284394</x:v>
      </x:c>
      <x:c r="F298" s="10" t="n">
        <x:f>SUMIF('Revenue and costs'!$D$904:$D$1031,C298,'Revenue and costs'!O904:O1031)+SUMIF('Revenue and costs'!$D$904:$D$1031,C298,'Revenue and costs'!P904:P1031)+SUMIF('Revenue and costs'!$D$904:$D$1031,C298,'Revenue and costs'!Q904:Q1031)+SUMIF('Revenue and costs'!$D$904:$D$1031,C298,'Revenue and costs'!R904:R1031)+SUMIF('Revenue and costs'!$D$904:$D$1031,C298,'Revenue and costs'!S904:S1031)+SUMIF('Revenue and costs'!$D$904:$D$1031,C298,'Revenue and costs'!T904:T1031)+SUMIF('Revenue and costs'!$D$904:$D$1031,C298,'Revenue and costs'!U904:U1031)+SUMIF('Revenue and costs'!$D$904:$D$1031,C298,'Revenue and costs'!V904:V1031)+SUMIF('Revenue and costs'!$D$904:$D$1031,C298,'Revenue and costs'!AE904:AE1031)</x:f>
        <x:v>33286.360947361405</x:v>
      </x:c>
      <x:c r="G298" s="10" t="n">
        <x:f>IF('Income statement'!K50=0,1/39,E298/'Income statement'!K50)*('Shared costs'!O21+'Assumptions'!$D$18*'Assumptions'!$D$19*12*(1+'Assumptions'!$D$13)^(8-1)*'Assumptions'!$D$21)</x:f>
        <x:v>1476.109162642959</x:v>
      </x:c>
      <x:c r="H298" s="10" t="n">
        <x:f>IF('Income statement'!K50=0,1/39,E298/'Income statement'!K50)*'Cash and capital'!K18</x:f>
        <x:v>7.792159142803288</x:v>
      </x:c>
      <x:c r="I298" s="10" t="n">
        <x:f>E298-F298-G298-H298</x:f>
        <x:v>1439.9010261372264</x:v>
      </x:c>
      <x:c r="J298" s="10" t="n">
        <x:f>M259</x:f>
        <x:v>0</x:v>
      </x:c>
      <x:c r="K298" s="10" t="n">
        <x:f>MAX(0,I298-J298)</x:f>
        <x:v>1439.9010261372264</x:v>
      </x:c>
      <x:c r="L298" s="10" t="n">
        <x:f>K298*'Assumptions'!$D$12</x:f>
        <x:v>359.9752565343066</x:v>
      </x:c>
      <x:c r="M298" s="10" t="n">
        <x:f>MAX(0,J298-I298)</x:f>
        <x:v>0</x:v>
      </x:c>
    </x:row>
    <x:row r="299" ht="16" customHeight="1">
      <x:c r="A299" s="1"/>
      <x:c r="B299" s="1"/>
      <x:c r="C299" s="1" t="str">
        <x:v>S’otality Personal Chef</x:v>
      </x:c>
      <x:c r="D299" s="10" t="n">
        <x:v>8</x:v>
      </x:c>
      <x:c r="E299" s="10" t="n">
        <x:f>SUMIF('Revenue and costs'!$D$904:$D$1031,C299,'Revenue and costs'!N904:N1031)</x:f>
        <x:v>65075.34758137049</x:v>
      </x:c>
      <x:c r="F299" s="10" t="n">
        <x:f>SUMIF('Revenue and costs'!$D$904:$D$1031,C299,'Revenue and costs'!O904:O1031)+SUMIF('Revenue and costs'!$D$904:$D$1031,C299,'Revenue and costs'!P904:P1031)+SUMIF('Revenue and costs'!$D$904:$D$1031,C299,'Revenue and costs'!Q904:Q1031)+SUMIF('Revenue and costs'!$D$904:$D$1031,C299,'Revenue and costs'!R904:R1031)+SUMIF('Revenue and costs'!$D$904:$D$1031,C299,'Revenue and costs'!S904:S1031)+SUMIF('Revenue and costs'!$D$904:$D$1031,C299,'Revenue and costs'!T904:T1031)+SUMIF('Revenue and costs'!$D$904:$D$1031,C299,'Revenue and costs'!U904:U1031)+SUMIF('Revenue and costs'!$D$904:$D$1031,C299,'Revenue and costs'!V904:V1031)+SUMIF('Revenue and costs'!$D$904:$D$1031,C299,'Revenue and costs'!AE904:AE1031)</x:f>
        <x:v>52043.42853111317</x:v>
      </x:c>
      <x:c r="G299" s="10" t="n">
        <x:f>IF('Income statement'!K50=0,1/39,E299/'Income statement'!K50)*('Shared costs'!O21+'Assumptions'!$D$18*'Assumptions'!$D$19*12*(1+'Assumptions'!$D$13)^(8-1)*'Assumptions'!$D$21)</x:f>
        <x:v>2652.7998795174135</x:v>
      </x:c>
      <x:c r="H299" s="10" t="n">
        <x:f>IF('Income statement'!K50=0,1/39,E299/'Income statement'!K50)*'Cash and capital'!K18</x:f>
        <x:v>14.003733164421106</x:v>
      </x:c>
      <x:c r="I299" s="10" t="n">
        <x:f>E299-F299-G299-H299</x:f>
        <x:v>10365.11543757549</x:v>
      </x:c>
      <x:c r="J299" s="10" t="n">
        <x:f>M260</x:f>
        <x:v>0</x:v>
      </x:c>
      <x:c r="K299" s="10" t="n">
        <x:f>MAX(0,I299-J299)</x:f>
        <x:v>10365.11543757549</x:v>
      </x:c>
      <x:c r="L299" s="10" t="n">
        <x:f>K299*'Assumptions'!$D$12</x:f>
        <x:v>2591.2788593938726</x:v>
      </x:c>
      <x:c r="M299" s="10" t="n">
        <x:f>MAX(0,J299-I299)</x:f>
        <x:v>0</x:v>
      </x:c>
    </x:row>
    <x:row r="300" ht="16" customHeight="1">
      <x:c r="A300" s="1"/>
      <x:c r="B300" s="1"/>
      <x:c r="C300" s="1" t="str">
        <x:v>S’otality interiors</x:v>
      </x:c>
      <x:c r="D300" s="10" t="n">
        <x:v>8</x:v>
      </x:c>
      <x:c r="E300" s="10" t="n">
        <x:f>SUMIF('Revenue and costs'!$D$904:$D$1031,C300,'Revenue and costs'!N904:N1031)</x:f>
        <x:v>84504.32021502306</x:v>
      </x:c>
      <x:c r="F300" s="10" t="n">
        <x:f>SUMIF('Revenue and costs'!$D$904:$D$1031,C300,'Revenue and costs'!O904:O1031)+SUMIF('Revenue and costs'!$D$904:$D$1031,C300,'Revenue and costs'!P904:P1031)+SUMIF('Revenue and costs'!$D$904:$D$1031,C300,'Revenue and costs'!Q904:Q1031)+SUMIF('Revenue and costs'!$D$904:$D$1031,C300,'Revenue and costs'!R904:R1031)+SUMIF('Revenue and costs'!$D$904:$D$1031,C300,'Revenue and costs'!S904:S1031)+SUMIF('Revenue and costs'!$D$904:$D$1031,C300,'Revenue and costs'!T904:T1031)+SUMIF('Revenue and costs'!$D$904:$D$1031,C300,'Revenue and costs'!U904:U1031)+SUMIF('Revenue and costs'!$D$904:$D$1031,C300,'Revenue and costs'!V904:V1031)+SUMIF('Revenue and costs'!$D$904:$D$1031,C300,'Revenue and costs'!AE904:AE1031)</x:f>
        <x:v>51806.44585158082</x:v>
      </x:c>
      <x:c r="G300" s="10" t="n">
        <x:f>IF('Income statement'!K50=0,1/39,E300/'Income statement'!K50)*('Shared costs'!O21+'Assumptions'!$D$18*'Assumptions'!$D$19*12*(1+'Assumptions'!$D$13)^(8-1)*'Assumptions'!$D$21)</x:f>
        <x:v>3444.8229447381304</x:v>
      </x:c>
      <x:c r="H300" s="10" t="n">
        <x:f>IF('Income statement'!K50=0,1/39,E300/'Income statement'!K50)*'Cash and capital'!K18</x:f>
        <x:v>18.184704277641867</x:v>
      </x:c>
      <x:c r="I300" s="10" t="n">
        <x:f>E300-F300-G300-H300</x:f>
        <x:v>29234.86671442647</x:v>
      </x:c>
      <x:c r="J300" s="10" t="n">
        <x:f>M261</x:f>
        <x:v>0</x:v>
      </x:c>
      <x:c r="K300" s="10" t="n">
        <x:f>MAX(0,I300-J300)</x:f>
        <x:v>29234.86671442647</x:v>
      </x:c>
      <x:c r="L300" s="10" t="n">
        <x:f>K300*'Assumptions'!$D$12</x:f>
        <x:v>7308.716678606617</x:v>
      </x:c>
      <x:c r="M300" s="10" t="n">
        <x:f>MAX(0,J300-I300)</x:f>
        <x:v>0</x:v>
      </x:c>
    </x:row>
    <x:row r="301" ht="16" customHeight="1">
      <x:c r="A301" s="1"/>
      <x:c r="B301" s="1"/>
      <x:c r="C301" s="1" t="str">
        <x:v>S’otality concierge</x:v>
      </x:c>
      <x:c r="D301" s="10" t="n">
        <x:v>8</x:v>
      </x:c>
      <x:c r="E301" s="10" t="n">
        <x:f>SUMIF('Revenue and costs'!$D$904:$D$1031,C301,'Revenue and costs'!N904:N1031)</x:f>
        <x:v>30950.679031587817</x:v>
      </x:c>
      <x:c r="F301" s="10" t="n">
        <x:f>SUMIF('Revenue and costs'!$D$904:$D$1031,C301,'Revenue and costs'!O904:O1031)+SUMIF('Revenue and costs'!$D$904:$D$1031,C301,'Revenue and costs'!P904:P1031)+SUMIF('Revenue and costs'!$D$904:$D$1031,C301,'Revenue and costs'!Q904:Q1031)+SUMIF('Revenue and costs'!$D$904:$D$1031,C301,'Revenue and costs'!R904:R1031)+SUMIF('Revenue and costs'!$D$904:$D$1031,C301,'Revenue and costs'!S904:S1031)+SUMIF('Revenue and costs'!$D$904:$D$1031,C301,'Revenue and costs'!T904:T1031)+SUMIF('Revenue and costs'!$D$904:$D$1031,C301,'Revenue and costs'!U904:U1031)+SUMIF('Revenue and costs'!$D$904:$D$1031,C301,'Revenue and costs'!V904:V1031)+SUMIF('Revenue and costs'!$D$904:$D$1031,C301,'Revenue and costs'!AE904:AE1031)</x:f>
        <x:v>17647.88210184233</x:v>
      </x:c>
      <x:c r="G301" s="10" t="n">
        <x:f>IF('Income statement'!K50=0,1/39,E301/'Income statement'!K50)*('Shared costs'!O21+'Assumptions'!$D$18*'Assumptions'!$D$19*12*(1+'Assumptions'!$D$13)^(8-1)*'Assumptions'!$D$21)</x:f>
        <x:v>1261.7060170644904</x:v>
      </x:c>
      <x:c r="H301" s="10" t="n">
        <x:f>IF('Income statement'!K50=0,1/39,E301/'Income statement'!K50)*'Cash and capital'!K18</x:f>
        <x:v>6.660357055704432</x:v>
      </x:c>
      <x:c r="I301" s="10" t="n">
        <x:f>E301-F301-G301-H301</x:f>
        <x:v>12034.430555625293</x:v>
      </x:c>
      <x:c r="J301" s="10" t="n">
        <x:f>M262</x:f>
        <x:v>0</x:v>
      </x:c>
      <x:c r="K301" s="10" t="n">
        <x:f>MAX(0,I301-J301)</x:f>
        <x:v>12034.430555625293</x:v>
      </x:c>
      <x:c r="L301" s="10" t="n">
        <x:f>K301*'Assumptions'!$D$12</x:f>
        <x:v>3008.6076389063232</x:v>
      </x:c>
      <x:c r="M301" s="10" t="n">
        <x:f>MAX(0,J301-I301)</x:f>
        <x:v>0</x:v>
      </x:c>
    </x:row>
    <x:row r="302" ht="16" customHeight="1">
      <x:c r="A302" s="1"/>
      <x:c r="B302" s="1"/>
      <x:c r="C302" s="1" t="str">
        <x:v>S’otality administration</x:v>
      </x:c>
      <x:c r="D302" s="10" t="n">
        <x:v>8</x:v>
      </x:c>
      <x:c r="E302" s="10" t="n">
        <x:f>SUMIF('Revenue and costs'!$D$904:$D$1031,C302,'Revenue and costs'!N904:N1031)</x:f>
        <x:v>49521.08645054051</x:v>
      </x:c>
      <x:c r="F302" s="10" t="n">
        <x:f>SUMIF('Revenue and costs'!$D$904:$D$1031,C302,'Revenue and costs'!O904:O1031)+SUMIF('Revenue and costs'!$D$904:$D$1031,C302,'Revenue and costs'!P904:P1031)+SUMIF('Revenue and costs'!$D$904:$D$1031,C302,'Revenue and costs'!Q904:Q1031)+SUMIF('Revenue and costs'!$D$904:$D$1031,C302,'Revenue and costs'!R904:R1031)+SUMIF('Revenue and costs'!$D$904:$D$1031,C302,'Revenue and costs'!S904:S1031)+SUMIF('Revenue and costs'!$D$904:$D$1031,C302,'Revenue and costs'!T904:T1031)+SUMIF('Revenue and costs'!$D$904:$D$1031,C302,'Revenue and costs'!U904:U1031)+SUMIF('Revenue and costs'!$D$904:$D$1031,C302,'Revenue and costs'!V904:V1031)+SUMIF('Revenue and costs'!$D$904:$D$1031,C302,'Revenue and costs'!AE904:AE1031)</x:f>
        <x:v>37846.735799736576</x:v>
      </x:c>
      <x:c r="G302" s="10" t="n">
        <x:f>IF('Income statement'!K50=0,1/39,E302/'Income statement'!K50)*('Shared costs'!O21+'Assumptions'!$D$18*'Assumptions'!$D$19*12*(1+'Assumptions'!$D$13)^(8-1)*'Assumptions'!$D$21)</x:f>
        <x:v>2018.729627303185</x:v>
      </x:c>
      <x:c r="H302" s="10" t="n">
        <x:f>IF('Income statement'!K50=0,1/39,E302/'Income statement'!K50)*'Cash and capital'!K18</x:f>
        <x:v>10.656571289127092</x:v>
      </x:c>
      <x:c r="I302" s="10" t="n">
        <x:f>E302-F302-G302-H302</x:f>
        <x:v>9644.964452211623</x:v>
      </x:c>
      <x:c r="J302" s="10" t="n">
        <x:f>M263</x:f>
        <x:v>0</x:v>
      </x:c>
      <x:c r="K302" s="10" t="n">
        <x:f>MAX(0,I302-J302)</x:f>
        <x:v>9644.964452211623</x:v>
      </x:c>
      <x:c r="L302" s="10" t="n">
        <x:f>K302*'Assumptions'!$D$12</x:f>
        <x:v>2411.241113052906</x:v>
      </x:c>
      <x:c r="M302" s="10" t="n">
        <x:f>MAX(0,J302-I302)</x:f>
        <x:v>0</x:v>
      </x:c>
    </x:row>
    <x:row r="303" ht="16" customHeight="1">
      <x:c r="A303" s="1"/>
      <x:c r="B303" s="1"/>
      <x:c r="C303" s="1" t="str">
        <x:v>S’otality bike tours</x:v>
      </x:c>
      <x:c r="D303" s="10" t="n">
        <x:v>8</x:v>
      </x:c>
      <x:c r="E303" s="10" t="n">
        <x:f>SUMIF('Revenue and costs'!$D$904:$D$1031,C303,'Revenue and costs'!N904:N1031)</x:f>
        <x:v>26030.139032548195</x:v>
      </x:c>
      <x:c r="F303" s="10" t="n">
        <x:f>SUMIF('Revenue and costs'!$D$904:$D$1031,C303,'Revenue and costs'!O904:O1031)+SUMIF('Revenue and costs'!$D$904:$D$1031,C303,'Revenue and costs'!P904:P1031)+SUMIF('Revenue and costs'!$D$904:$D$1031,C303,'Revenue and costs'!Q904:Q1031)+SUMIF('Revenue and costs'!$D$904:$D$1031,C303,'Revenue and costs'!R904:R1031)+SUMIF('Revenue and costs'!$D$904:$D$1031,C303,'Revenue and costs'!S904:S1031)+SUMIF('Revenue and costs'!$D$904:$D$1031,C303,'Revenue and costs'!T904:T1031)+SUMIF('Revenue and costs'!$D$904:$D$1031,C303,'Revenue and costs'!U904:U1031)+SUMIF('Revenue and costs'!$D$904:$D$1031,C303,'Revenue and costs'!V904:V1031)+SUMIF('Revenue and costs'!$D$904:$D$1031,C303,'Revenue and costs'!AE904:AE1031)</x:f>
        <x:v>21186.058244166437</x:v>
      </x:c>
      <x:c r="G303" s="10" t="n">
        <x:f>IF('Income statement'!K50=0,1/39,E303/'Income statement'!K50)*('Shared costs'!O21+'Assumptions'!$D$18*'Assumptions'!$D$19*12*(1+'Assumptions'!$D$13)^(8-1)*'Assumptions'!$D$21)</x:f>
        <x:v>1061.1199518069652</x:v>
      </x:c>
      <x:c r="H303" s="10" t="n">
        <x:f>IF('Income statement'!K50=0,1/39,E303/'Income statement'!K50)*'Cash and capital'!K18</x:f>
        <x:v>5.601493265768442</x:v>
      </x:c>
      <x:c r="I303" s="10" t="n">
        <x:f>E303-F303-G303-H303</x:f>
        <x:v>3777.359343309024</x:v>
      </x:c>
      <x:c r="J303" s="10" t="n">
        <x:f>M264</x:f>
        <x:v>0</x:v>
      </x:c>
      <x:c r="K303" s="10" t="n">
        <x:f>MAX(0,I303-J303)</x:f>
        <x:v>3777.359343309024</x:v>
      </x:c>
      <x:c r="L303" s="10" t="n">
        <x:f>K303*'Assumptions'!$D$12</x:f>
        <x:v>944.339835827256</x:v>
      </x:c>
      <x:c r="M303" s="10" t="n">
        <x:f>MAX(0,J303-I303)</x:f>
        <x:v>0</x:v>
      </x:c>
    </x:row>
    <x:row r="304" ht="16" customHeight="1">
      <x:c r="A304" s="1"/>
      <x:c r="B304" s="1"/>
      <x:c r="C304" s="1" t="str">
        <x:v>S’otality editorial</x:v>
      </x:c>
      <x:c r="D304" s="10" t="n">
        <x:v>8</x:v>
      </x:c>
      <x:c r="E304" s="10" t="n">
        <x:f>SUMIF('Revenue and costs'!$D$904:$D$1031,C304,'Revenue and costs'!N904:N1031)</x:f>
        <x:v>12267.99983624462</x:v>
      </x:c>
      <x:c r="F304" s="10" t="n">
        <x:f>SUMIF('Revenue and costs'!$D$904:$D$1031,C304,'Revenue and costs'!O904:O1031)+SUMIF('Revenue and costs'!$D$904:$D$1031,C304,'Revenue and costs'!P904:P1031)+SUMIF('Revenue and costs'!$D$904:$D$1031,C304,'Revenue and costs'!Q904:Q1031)+SUMIF('Revenue and costs'!$D$904:$D$1031,C304,'Revenue and costs'!R904:R1031)+SUMIF('Revenue and costs'!$D$904:$D$1031,C304,'Revenue and costs'!S904:S1031)+SUMIF('Revenue and costs'!$D$904:$D$1031,C304,'Revenue and costs'!T904:T1031)+SUMIF('Revenue and costs'!$D$904:$D$1031,C304,'Revenue and costs'!U904:U1031)+SUMIF('Revenue and costs'!$D$904:$D$1031,C304,'Revenue and costs'!V904:V1031)+SUMIF('Revenue and costs'!$D$904:$D$1031,C304,'Revenue and costs'!AE904:AE1031)</x:f>
        <x:v>6927.0562202150695</x:v>
      </x:c>
      <x:c r="G304" s="10" t="n">
        <x:f>IF('Income statement'!K50=0,1/39,E304/'Income statement'!K50)*('Shared costs'!O21+'Assumptions'!$D$18*'Assumptions'!$D$19*12*(1+'Assumptions'!$D$13)^(8-1)*'Assumptions'!$D$21)</x:f>
        <x:v>500.10564210687517</x:v>
      </x:c>
      <x:c r="H304" s="10" t="n">
        <x:f>IF('Income statement'!K50=0,1/39,E304/'Income statement'!K50)*'Cash and capital'!K18</x:f>
        <x:v>2.6399827669474187</x:v>
      </x:c>
      <x:c r="I304" s="10" t="n">
        <x:f>E304-F304-G304-H304</x:f>
        <x:v>4838.197991155728</x:v>
      </x:c>
      <x:c r="J304" s="10" t="n">
        <x:f>M265</x:f>
        <x:v>0</x:v>
      </x:c>
      <x:c r="K304" s="10" t="n">
        <x:f>MAX(0,I304-J304)</x:f>
        <x:v>4838.197991155728</x:v>
      </x:c>
      <x:c r="L304" s="10" t="n">
        <x:f>K304*'Assumptions'!$D$12</x:f>
        <x:v>1209.549497788932</x:v>
      </x:c>
      <x:c r="M304" s="10" t="n">
        <x:f>MAX(0,J304-I304)</x:f>
        <x:v>0</x:v>
      </x:c>
    </x:row>
    <x:row r="305" ht="16" customHeight="1">
      <x:c r="A305" s="1"/>
      <x:c r="B305" s="1"/>
      <x:c r="C305" s="1" t="str">
        <x:v>Tomato Odyssey</x:v>
      </x:c>
      <x:c r="D305" s="10" t="n">
        <x:v>8</x:v>
      </x:c>
      <x:c r="E305" s="10" t="n">
        <x:f>SUMIF('Revenue and costs'!$D$904:$D$1031,C305,'Revenue and costs'!N904:N1031)</x:f>
        <x:v>12267.99983624462</x:v>
      </x:c>
      <x:c r="F305" s="10" t="n">
        <x:f>SUMIF('Revenue and costs'!$D$904:$D$1031,C305,'Revenue and costs'!O904:O1031)+SUMIF('Revenue and costs'!$D$904:$D$1031,C305,'Revenue and costs'!P904:P1031)+SUMIF('Revenue and costs'!$D$904:$D$1031,C305,'Revenue and costs'!Q904:Q1031)+SUMIF('Revenue and costs'!$D$904:$D$1031,C305,'Revenue and costs'!R904:R1031)+SUMIF('Revenue and costs'!$D$904:$D$1031,C305,'Revenue and costs'!S904:S1031)+SUMIF('Revenue and costs'!$D$904:$D$1031,C305,'Revenue and costs'!T904:T1031)+SUMIF('Revenue and costs'!$D$904:$D$1031,C305,'Revenue and costs'!U904:U1031)+SUMIF('Revenue and costs'!$D$904:$D$1031,C305,'Revenue and costs'!V904:V1031)+SUMIF('Revenue and costs'!$D$904:$D$1031,C305,'Revenue and costs'!AE904:AE1031)</x:f>
        <x:v>6927.0562202150695</x:v>
      </x:c>
      <x:c r="G305" s="10" t="n">
        <x:f>IF('Income statement'!K50=0,1/39,E305/'Income statement'!K50)*('Shared costs'!O21+'Assumptions'!$D$18*'Assumptions'!$D$19*12*(1+'Assumptions'!$D$13)^(8-1)*'Assumptions'!$D$21)</x:f>
        <x:v>500.10564210687517</x:v>
      </x:c>
      <x:c r="H305" s="10" t="n">
        <x:f>IF('Income statement'!K50=0,1/39,E305/'Income statement'!K50)*'Cash and capital'!K18</x:f>
        <x:v>2.6399827669474187</x:v>
      </x:c>
      <x:c r="I305" s="10" t="n">
        <x:f>E305-F305-G305-H305</x:f>
        <x:v>4838.197991155728</x:v>
      </x:c>
      <x:c r="J305" s="10" t="n">
        <x:f>M266</x:f>
        <x:v>0</x:v>
      </x:c>
      <x:c r="K305" s="10" t="n">
        <x:f>MAX(0,I305-J305)</x:f>
        <x:v>4838.197991155728</x:v>
      </x:c>
      <x:c r="L305" s="10" t="n">
        <x:f>K305*'Assumptions'!$D$12</x:f>
        <x:v>1209.549497788932</x:v>
      </x:c>
      <x:c r="M305" s="10" t="n">
        <x:f>MAX(0,J305-I305)</x:f>
        <x:v>0</x:v>
      </x:c>
    </x:row>
    <x:row r="306" ht="16" customHeight="1">
      <x:c r="A306" s="1"/>
      <x:c r="B306" s="1"/>
      <x:c r="C306" s="1" t="str">
        <x:v>Semajes Studio</x:v>
      </x:c>
      <x:c r="D306" s="10" t="n">
        <x:v>8</x:v>
      </x:c>
      <x:c r="E306" s="10" t="n">
        <x:f>SUMIF('Revenue and costs'!$D$904:$D$1031,C306,'Revenue and costs'!N904:N1031)</x:f>
        <x:v>159830.38066075157</x:v>
      </x:c>
      <x:c r="F306" s="10" t="n">
        <x:f>SUMIF('Revenue and costs'!$D$904:$D$1031,C306,'Revenue and costs'!O904:O1031)+SUMIF('Revenue and costs'!$D$904:$D$1031,C306,'Revenue and costs'!P904:P1031)+SUMIF('Revenue and costs'!$D$904:$D$1031,C306,'Revenue and costs'!Q904:Q1031)+SUMIF('Revenue and costs'!$D$904:$D$1031,C306,'Revenue and costs'!R904:R1031)+SUMIF('Revenue and costs'!$D$904:$D$1031,C306,'Revenue and costs'!S904:S1031)+SUMIF('Revenue and costs'!$D$904:$D$1031,C306,'Revenue and costs'!T904:T1031)+SUMIF('Revenue and costs'!$D$904:$D$1031,C306,'Revenue and costs'!U904:U1031)+SUMIF('Revenue and costs'!$D$904:$D$1031,C306,'Revenue and costs'!V904:V1031)+SUMIF('Revenue and costs'!$D$904:$D$1031,C306,'Revenue and costs'!AE904:AE1031)</x:f>
        <x:v>102457.26328317722</x:v>
      </x:c>
      <x:c r="G306" s="10" t="n">
        <x:f>IF('Income statement'!K50=0,1/39,E306/'Income statement'!K50)*('Shared costs'!O21+'Assumptions'!$D$18*'Assumptions'!$D$19*12*(1+'Assumptions'!$D$13)^(8-1)*'Assumptions'!$D$21)</x:f>
        <x:v>6515.493659559715</x:v>
      </x:c>
      <x:c r="H306" s="10" t="n">
        <x:f>IF('Income statement'!K50=0,1/39,E306/'Income statement'!K50)*'Cash and capital'!K18</x:f>
        <x:v>34.39431498298698</x:v>
      </x:c>
      <x:c r="I306" s="10" t="n">
        <x:f>E306-F306-G306-H306</x:f>
        <x:v>50823.22940303165</x:v>
      </x:c>
      <x:c r="J306" s="10" t="n">
        <x:f>M267</x:f>
        <x:v>0</x:v>
      </x:c>
      <x:c r="K306" s="10" t="n">
        <x:f>MAX(0,I306-J306)</x:f>
        <x:v>50823.22940303165</x:v>
      </x:c>
      <x:c r="L306" s="10" t="n">
        <x:f>K306*'Assumptions'!$D$12</x:f>
        <x:v>12705.807350757912</x:v>
      </x:c>
      <x:c r="M306" s="10" t="n">
        <x:f>MAX(0,J306-I306)</x:f>
        <x:v>0</x:v>
      </x:c>
    </x:row>
    <x:row r="307" ht="16" customHeight="1">
      <x:c r="A307" s="1"/>
      <x:c r="B307" s="1"/>
      <x:c r="C307" s="1" t="str">
        <x:v>Semajes Marketplace</x:v>
      </x:c>
      <x:c r="D307" s="10" t="n">
        <x:v>8</x:v>
      </x:c>
      <x:c r="E307" s="10" t="n">
        <x:f>SUMIF('Revenue and costs'!$D$904:$D$1031,C307,'Revenue and costs'!N904:N1031)</x:f>
        <x:v>48226.91297897143</x:v>
      </x:c>
      <x:c r="F307" s="10" t="n">
        <x:f>SUMIF('Revenue and costs'!$D$904:$D$1031,C307,'Revenue and costs'!O904:O1031)+SUMIF('Revenue and costs'!$D$904:$D$1031,C307,'Revenue and costs'!P904:P1031)+SUMIF('Revenue and costs'!$D$904:$D$1031,C307,'Revenue and costs'!Q904:Q1031)+SUMIF('Revenue and costs'!$D$904:$D$1031,C307,'Revenue and costs'!R904:R1031)+SUMIF('Revenue and costs'!$D$904:$D$1031,C307,'Revenue and costs'!S904:S1031)+SUMIF('Revenue and costs'!$D$904:$D$1031,C307,'Revenue and costs'!T904:T1031)+SUMIF('Revenue and costs'!$D$904:$D$1031,C307,'Revenue and costs'!U904:U1031)+SUMIF('Revenue and costs'!$D$904:$D$1031,C307,'Revenue and costs'!V904:V1031)+SUMIF('Revenue and costs'!$D$904:$D$1031,C307,'Revenue and costs'!AE904:AE1031)</x:f>
        <x:v>23558.8959611606</x:v>
      </x:c>
      <x:c r="G307" s="10" t="n">
        <x:f>IF('Income statement'!K50=0,1/39,E307/'Income statement'!K50)*('Shared costs'!O21+'Assumptions'!$D$18*'Assumptions'!$D$19*12*(1+'Assumptions'!$D$13)^(8-1)*'Assumptions'!$D$21)</x:f>
        <x:v>1965.9725794032836</x:v>
      </x:c>
      <x:c r="H307" s="10" t="n">
        <x:f>IF('Income statement'!K50=0,1/39,E307/'Income statement'!K50)*'Cash and capital'!K18</x:f>
        <x:v>10.378074736470733</x:v>
      </x:c>
      <x:c r="I307" s="10" t="n">
        <x:f>E307-F307-G307-H307</x:f>
        <x:v>22691.666363671076</x:v>
      </x:c>
      <x:c r="J307" s="10" t="n">
        <x:f>M268</x:f>
        <x:v>0</x:v>
      </x:c>
      <x:c r="K307" s="10" t="n">
        <x:f>MAX(0,I307-J307)</x:f>
        <x:v>22691.666363671076</x:v>
      </x:c>
      <x:c r="L307" s="10" t="n">
        <x:f>K307*'Assumptions'!$D$12</x:f>
        <x:v>5672.916590917769</x:v>
      </x:c>
      <x:c r="M307" s="10" t="n">
        <x:f>MAX(0,J307-I307)</x:f>
        <x:v>0</x:v>
      </x:c>
    </x:row>
    <x:row r="308" ht="16" customHeight="1">
      <x:c r="A308" s="1"/>
      <x:c r="B308" s="1"/>
      <x:c r="C308" s="1" t="str">
        <x:v>Semajes premium and media</x:v>
      </x:c>
      <x:c r="D308" s="10" t="n">
        <x:v>8</x:v>
      </x:c>
      <x:c r="E308" s="10" t="n">
        <x:f>SUMIF('Revenue and costs'!$D$904:$D$1031,C308,'Revenue and costs'!N904:N1031)</x:f>
        <x:v>33641.53037803385</x:v>
      </x:c>
      <x:c r="F308" s="10" t="n">
        <x:f>SUMIF('Revenue and costs'!$D$904:$D$1031,C308,'Revenue and costs'!O904:O1031)+SUMIF('Revenue and costs'!$D$904:$D$1031,C308,'Revenue and costs'!P904:P1031)+SUMIF('Revenue and costs'!$D$904:$D$1031,C308,'Revenue and costs'!Q904:Q1031)+SUMIF('Revenue and costs'!$D$904:$D$1031,C308,'Revenue and costs'!R904:R1031)+SUMIF('Revenue and costs'!$D$904:$D$1031,C308,'Revenue and costs'!S904:S1031)+SUMIF('Revenue and costs'!$D$904:$D$1031,C308,'Revenue and costs'!T904:T1031)+SUMIF('Revenue and costs'!$D$904:$D$1031,C308,'Revenue and costs'!U904:U1031)+SUMIF('Revenue and costs'!$D$904:$D$1031,C308,'Revenue and costs'!V904:V1031)+SUMIF('Revenue and costs'!$D$904:$D$1031,C308,'Revenue and costs'!AE904:AE1031)</x:f>
        <x:v>18223.566333356983</x:v>
      </x:c>
      <x:c r="G308" s="10" t="n">
        <x:f>IF('Income statement'!K50=0,1/39,E308/'Income statement'!K50)*('Shared costs'!O21+'Assumptions'!$D$18*'Assumptions'!$D$19*12*(1+'Assumptions'!$D$13)^(8-1)*'Assumptions'!$D$21)</x:f>
        <x:v>1371.398710118885</x:v>
      </x:c>
      <x:c r="H308" s="10" t="n">
        <x:f>IF('Income statement'!K50=0,1/39,E308/'Income statement'!K50)*'Cash and capital'!K18</x:f>
        <x:v>7.239408349954313</x:v>
      </x:c>
      <x:c r="I308" s="10" t="n">
        <x:f>E308-F308-G308-H308</x:f>
        <x:v>14039.325926208028</x:v>
      </x:c>
      <x:c r="J308" s="10" t="n">
        <x:f>M269</x:f>
        <x:v>0</x:v>
      </x:c>
      <x:c r="K308" s="10" t="n">
        <x:f>MAX(0,I308-J308)</x:f>
        <x:v>14039.325926208028</x:v>
      </x:c>
      <x:c r="L308" s="10" t="n">
        <x:f>K308*'Assumptions'!$D$12</x:f>
        <x:v>3509.831481552007</x:v>
      </x:c>
      <x:c r="M308" s="10" t="n">
        <x:f>MAX(0,J308-I308)</x:f>
        <x:v>0</x:v>
      </x:c>
    </x:row>
    <x:row r="309" ht="16" customHeight="1">
      <x:c r="A309" s="1"/>
      <x:c r="B309" s="1"/>
      <x:c r="C309" s="1" t="str">
        <x:v>Semajes courses</x:v>
      </x:c>
      <x:c r="D309" s="10" t="n">
        <x:v>8</x:v>
      </x:c>
      <x:c r="E309" s="10" t="n">
        <x:f>SUMIF('Revenue and costs'!$D$904:$D$1031,C309,'Revenue and costs'!N904:N1031)</x:f>
        <x:v>19731.121437229256</x:v>
      </x:c>
      <x:c r="F309" s="10" t="n">
        <x:f>SUMIF('Revenue and costs'!$D$904:$D$1031,C309,'Revenue and costs'!O904:O1031)+SUMIF('Revenue and costs'!$D$904:$D$1031,C309,'Revenue and costs'!P904:P1031)+SUMIF('Revenue and costs'!$D$904:$D$1031,C309,'Revenue and costs'!Q904:Q1031)+SUMIF('Revenue and costs'!$D$904:$D$1031,C309,'Revenue and costs'!R904:R1031)+SUMIF('Revenue and costs'!$D$904:$D$1031,C309,'Revenue and costs'!S904:S1031)+SUMIF('Revenue and costs'!$D$904:$D$1031,C309,'Revenue and costs'!T904:T1031)+SUMIF('Revenue and costs'!$D$904:$D$1031,C309,'Revenue and costs'!U904:U1031)+SUMIF('Revenue and costs'!$D$904:$D$1031,C309,'Revenue and costs'!V904:V1031)+SUMIF('Revenue and costs'!$D$904:$D$1031,C309,'Revenue and costs'!AE904:AE1031)</x:f>
        <x:v>6319.78564430824</x:v>
      </x:c>
      <x:c r="G309" s="10" t="n">
        <x:f>IF('Income statement'!K50=0,1/39,E309/'Income statement'!K50)*('Shared costs'!O21+'Assumptions'!$D$18*'Assumptions'!$D$19*12*(1+'Assumptions'!$D$13)^(8-1)*'Assumptions'!$D$21)</x:f>
        <x:v>804.3401766848139</x:v>
      </x:c>
      <x:c r="H309" s="10" t="n">
        <x:f>IF('Income statement'!K50=0,1/39,E309/'Income statement'!K50)*'Cash and capital'!K18</x:f>
        <x:v>4.245991299489399</x:v>
      </x:c>
      <x:c r="I309" s="10" t="n">
        <x:f>E309-F309-G309-H309</x:f>
        <x:v>12602.749624936712</x:v>
      </x:c>
      <x:c r="J309" s="10" t="n">
        <x:f>M270</x:f>
        <x:v>0</x:v>
      </x:c>
      <x:c r="K309" s="10" t="n">
        <x:f>MAX(0,I309-J309)</x:f>
        <x:v>12602.749624936712</x:v>
      </x:c>
      <x:c r="L309" s="10" t="n">
        <x:f>K309*'Assumptions'!$D$12</x:f>
        <x:v>3150.687406234178</x:v>
      </x:c>
      <x:c r="M309" s="10" t="n">
        <x:f>MAX(0,J309-I309)</x:f>
        <x:v>0</x:v>
      </x:c>
    </x:row>
    <x:row r="310" ht="16" customHeight="1">
      <x:c r="A310" s="1"/>
      <x:c r="B310" s="1"/>
      <x:c r="C310" s="1" t="str">
        <x:v>Sleepy Face</x:v>
      </x:c>
      <x:c r="D310" s="10" t="n">
        <x:v>8</x:v>
      </x:c>
      <x:c r="E310" s="10" t="n">
        <x:f>SUMIF('Revenue and costs'!$D$904:$D$1031,C310,'Revenue and costs'!N904:N1031)</x:f>
        <x:v>252600.18500897448</x:v>
      </x:c>
      <x:c r="F310" s="10" t="n">
        <x:f>SUMIF('Revenue and costs'!$D$904:$D$1031,C310,'Revenue and costs'!O904:O1031)+SUMIF('Revenue and costs'!$D$904:$D$1031,C310,'Revenue and costs'!P904:P1031)+SUMIF('Revenue and costs'!$D$904:$D$1031,C310,'Revenue and costs'!Q904:Q1031)+SUMIF('Revenue and costs'!$D$904:$D$1031,C310,'Revenue and costs'!R904:R1031)+SUMIF('Revenue and costs'!$D$904:$D$1031,C310,'Revenue and costs'!S904:S1031)+SUMIF('Revenue and costs'!$D$904:$D$1031,C310,'Revenue and costs'!T904:T1031)+SUMIF('Revenue and costs'!$D$904:$D$1031,C310,'Revenue and costs'!U904:U1031)+SUMIF('Revenue and costs'!$D$904:$D$1031,C310,'Revenue and costs'!V904:V1031)+SUMIF('Revenue and costs'!$D$904:$D$1031,C310,'Revenue and costs'!AE904:AE1031)</x:f>
        <x:v>158970.02214308828</x:v>
      </x:c>
      <x:c r="G310" s="10" t="n">
        <x:f>IF('Income statement'!K50=0,1/39,E310/'Income statement'!K50)*('Shared costs'!O21+'Assumptions'!$D$18*'Assumptions'!$D$19*12*(1+'Assumptions'!$D$13)^(8-1)*'Assumptions'!$D$21)</x:f>
        <x:v>10297.259488625716</x:v>
      </x:c>
      <x:c r="H310" s="10" t="n">
        <x:f>IF('Income statement'!K50=0,1/39,E310/'Income statement'!K50)*'Cash and capital'!K18</x:f>
        <x:v>54.35769027166503</x:v>
      </x:c>
      <x:c r="I310" s="10" t="n">
        <x:f>E310-F310-G310-H310</x:f>
        <x:v>83278.54568698883</x:v>
      </x:c>
      <x:c r="J310" s="10" t="n">
        <x:f>M271</x:f>
        <x:v>0</x:v>
      </x:c>
      <x:c r="K310" s="10" t="n">
        <x:f>MAX(0,I310-J310)</x:f>
        <x:v>83278.54568698883</x:v>
      </x:c>
      <x:c r="L310" s="10" t="n">
        <x:f>K310*'Assumptions'!$D$12</x:f>
        <x:v>20819.636421747207</x:v>
      </x:c>
      <x:c r="M310" s="10" t="n">
        <x:f>MAX(0,J310-I310)</x:f>
        <x:v>0</x:v>
      </x:c>
    </x:row>
    <x:row r="311" ht="16" customHeight="1">
      <x:c r="A311" s="1"/>
      <x:c r="B311" s="1"/>
      <x:c r="C311" s="1" t="str">
        <x:v>QzoticMusic</x:v>
      </x:c>
      <x:c r="D311" s="10" t="n">
        <x:v>8</x:v>
      </x:c>
      <x:c r="E311" s="10" t="n">
        <x:f>SUMIF('Revenue and costs'!$D$904:$D$1031,C311,'Revenue and costs'!N904:N1031)</x:f>
        <x:v>22097.169025150353</x:v>
      </x:c>
      <x:c r="F311" s="10" t="n">
        <x:f>SUMIF('Revenue and costs'!$D$904:$D$1031,C311,'Revenue and costs'!O904:O1031)+SUMIF('Revenue and costs'!$D$904:$D$1031,C311,'Revenue and costs'!P904:P1031)+SUMIF('Revenue and costs'!$D$904:$D$1031,C311,'Revenue and costs'!Q904:Q1031)+SUMIF('Revenue and costs'!$D$904:$D$1031,C311,'Revenue and costs'!R904:R1031)+SUMIF('Revenue and costs'!$D$904:$D$1031,C311,'Revenue and costs'!S904:S1031)+SUMIF('Revenue and costs'!$D$904:$D$1031,C311,'Revenue and costs'!T904:T1031)+SUMIF('Revenue and costs'!$D$904:$D$1031,C311,'Revenue and costs'!U904:U1031)+SUMIF('Revenue and costs'!$D$904:$D$1031,C311,'Revenue and costs'!V904:V1031)+SUMIF('Revenue and costs'!$D$904:$D$1031,C311,'Revenue and costs'!AE904:AE1031)</x:f>
        <x:v>24113.251190273568</x:v>
      </x:c>
      <x:c r="G311" s="10" t="n">
        <x:f>IF('Income statement'!K50=0,1/39,E311/'Income statement'!K50)*('Shared costs'!O21+'Assumptions'!$D$18*'Assumptions'!$D$19*12*(1+'Assumptions'!$D$13)^(8-1)*'Assumptions'!$D$21)</x:f>
        <x:v>900.7922278754925</x:v>
      </x:c>
      <x:c r="H311" s="10" t="n">
        <x:f>IF('Income statement'!K50=0,1/39,E311/'Income statement'!K50)*'Cash and capital'!K18</x:f>
        <x:v>4.755147228839433</x:v>
      </x:c>
      <x:c r="I311" s="10" t="n">
        <x:f>E311-F311-G311-H311</x:f>
        <x:v>-2921.6295402275464</x:v>
      </x:c>
      <x:c r="J311" s="10" t="n">
        <x:f>M272</x:f>
        <x:v>11663.361279611827</x:v>
      </x:c>
      <x:c r="K311" s="10" t="n">
        <x:f>MAX(0,I311-J311)</x:f>
        <x:v>0</x:v>
      </x:c>
      <x:c r="L311" s="10" t="n">
        <x:f>K311*'Assumptions'!$D$12</x:f>
        <x:v>0</x:v>
      </x:c>
      <x:c r="M311" s="10" t="n">
        <x:f>MAX(0,J311-I311)</x:f>
        <x:v>14584.990819839373</x:v>
      </x:c>
    </x:row>
    <x:row r="312" ht="16" customHeight="1">
      <x:c r="A312" s="1"/>
      <x:c r="B312" s="1"/>
      <x:c r="C312" s="1" t="str">
        <x:v>LesPetitFilms</x:v>
      </x:c>
      <x:c r="D312" s="10" t="n">
        <x:v>8</x:v>
      </x:c>
      <x:c r="E312" s="10" t="n">
        <x:f>SUMIF('Revenue and costs'!$D$904:$D$1031,C312,'Revenue and costs'!N904:N1031)</x:f>
        <x:v>80618.28463817893</x:v>
      </x:c>
      <x:c r="F312" s="10" t="n">
        <x:f>SUMIF('Revenue and costs'!$D$904:$D$1031,C312,'Revenue and costs'!O904:O1031)+SUMIF('Revenue and costs'!$D$904:$D$1031,C312,'Revenue and costs'!P904:P1031)+SUMIF('Revenue and costs'!$D$904:$D$1031,C312,'Revenue and costs'!Q904:Q1031)+SUMIF('Revenue and costs'!$D$904:$D$1031,C312,'Revenue and costs'!R904:R1031)+SUMIF('Revenue and costs'!$D$904:$D$1031,C312,'Revenue and costs'!S904:S1031)+SUMIF('Revenue and costs'!$D$904:$D$1031,C312,'Revenue and costs'!T904:T1031)+SUMIF('Revenue and costs'!$D$904:$D$1031,C312,'Revenue and costs'!U904:U1031)+SUMIF('Revenue and costs'!$D$904:$D$1031,C312,'Revenue and costs'!V904:V1031)+SUMIF('Revenue and costs'!$D$904:$D$1031,C312,'Revenue and costs'!AE904:AE1031)</x:f>
        <x:v>46517.81654074794</x:v>
      </x:c>
      <x:c r="G312" s="10" t="n">
        <x:f>IF('Income statement'!K50=0,1/39,E312/'Income statement'!K50)*('Shared costs'!O21+'Assumptions'!$D$18*'Assumptions'!$D$19*12*(1+'Assumptions'!$D$13)^(8-1)*'Assumptions'!$D$21)</x:f>
        <x:v>3286.4085052737505</x:v>
      </x:c>
      <x:c r="H312" s="10" t="n">
        <x:f>IF('Income statement'!K50=0,1/39,E312/'Income statement'!K50)*'Cash and capital'!K18</x:f>
        <x:v>17.348458182797323</x:v>
      </x:c>
      <x:c r="I312" s="10" t="n">
        <x:f>E312-F312-G312-H312</x:f>
        <x:v>30796.71113397444</x:v>
      </x:c>
      <x:c r="J312" s="10" t="n">
        <x:f>M273</x:f>
        <x:v>0</x:v>
      </x:c>
      <x:c r="K312" s="10" t="n">
        <x:f>MAX(0,I312-J312)</x:f>
        <x:v>30796.71113397444</x:v>
      </x:c>
      <x:c r="L312" s="10" t="n">
        <x:f>K312*'Assumptions'!$D$12</x:f>
        <x:v>7699.17778349361</x:v>
      </x:c>
      <x:c r="M312" s="10" t="n">
        <x:f>MAX(0,J312-I312)</x:f>
        <x:v>0</x:v>
      </x:c>
    </x:row>
    <x:row r="313" ht="16" customHeight="1">
      <x:c r="A313" s="1"/>
      <x:c r="B313" s="1"/>
      <x:c r="C313" s="1" t="str">
        <x:v>Learn Anglais</x:v>
      </x:c>
      <x:c r="D313" s="10" t="n">
        <x:v>8</x:v>
      </x:c>
      <x:c r="E313" s="10" t="n">
        <x:f>SUMIF('Revenue and costs'!$D$904:$D$1031,C313,'Revenue and costs'!N904:N1031)</x:f>
        <x:v>80712.42651334131</x:v>
      </x:c>
      <x:c r="F313" s="10" t="n">
        <x:f>SUMIF('Revenue and costs'!$D$904:$D$1031,C313,'Revenue and costs'!O904:O1031)+SUMIF('Revenue and costs'!$D$904:$D$1031,C313,'Revenue and costs'!P904:P1031)+SUMIF('Revenue and costs'!$D$904:$D$1031,C313,'Revenue and costs'!Q904:Q1031)+SUMIF('Revenue and costs'!$D$904:$D$1031,C313,'Revenue and costs'!R904:R1031)+SUMIF('Revenue and costs'!$D$904:$D$1031,C313,'Revenue and costs'!S904:S1031)+SUMIF('Revenue and costs'!$D$904:$D$1031,C313,'Revenue and costs'!T904:T1031)+SUMIF('Revenue and costs'!$D$904:$D$1031,C313,'Revenue and costs'!U904:U1031)+SUMIF('Revenue and costs'!$D$904:$D$1031,C313,'Revenue and costs'!V904:V1031)+SUMIF('Revenue and costs'!$D$904:$D$1031,C313,'Revenue and costs'!AE904:AE1031)</x:f>
        <x:v>48790.618478276025</x:v>
      </x:c>
      <x:c r="G313" s="10" t="n">
        <x:f>IF('Income statement'!K50=0,1/39,E313/'Income statement'!K50)*('Shared costs'!O21+'Assumptions'!$D$18*'Assumptions'!$D$19*12*(1+'Assumptions'!$D$13)^(8-1)*'Assumptions'!$D$21)</x:f>
        <x:v>3290.24620363988</x:v>
      </x:c>
      <x:c r="H313" s="10" t="n">
        <x:f>IF('Income statement'!K50=0,1/39,E313/'Income statement'!K50)*'Cash and capital'!K18</x:f>
        <x:v>17.36871681757025</x:v>
      </x:c>
      <x:c r="I313" s="10" t="n">
        <x:f>E313-F313-G313-H313</x:f>
        <x:v>28614.19311460784</x:v>
      </x:c>
      <x:c r="J313" s="10" t="n">
        <x:f>M274</x:f>
        <x:v>0</x:v>
      </x:c>
      <x:c r="K313" s="10" t="n">
        <x:f>MAX(0,I313-J313)</x:f>
        <x:v>28614.19311460784</x:v>
      </x:c>
      <x:c r="L313" s="10" t="n">
        <x:f>K313*'Assumptions'!$D$12</x:f>
        <x:v>7153.54827865196</x:v>
      </x:c>
      <x:c r="M313" s="10" t="n">
        <x:f>MAX(0,J313-I313)</x:f>
        <x:v>0</x:v>
      </x:c>
    </x:row>
    <x:row r="314" ht="16" customHeight="1">
      <x:c r="A314" s="1"/>
      <x:c r="B314" s="1"/>
      <x:c r="C314" s="1" t="str">
        <x:v>Fiefé</x:v>
      </x:c>
      <x:c r="D314" s="10" t="n">
        <x:v>8</x:v>
      </x:c>
      <x:c r="E314" s="10" t="n">
        <x:f>SUMIF('Revenue and costs'!$D$904:$D$1031,C314,'Revenue and costs'!N904:N1031)</x:f>
        <x:v>59437.057421671896</x:v>
      </x:c>
      <x:c r="F314" s="10" t="n">
        <x:f>SUMIF('Revenue and costs'!$D$904:$D$1031,C314,'Revenue and costs'!O904:O1031)+SUMIF('Revenue and costs'!$D$904:$D$1031,C314,'Revenue and costs'!P904:P1031)+SUMIF('Revenue and costs'!$D$904:$D$1031,C314,'Revenue and costs'!Q904:Q1031)+SUMIF('Revenue and costs'!$D$904:$D$1031,C314,'Revenue and costs'!R904:R1031)+SUMIF('Revenue and costs'!$D$904:$D$1031,C314,'Revenue and costs'!S904:S1031)+SUMIF('Revenue and costs'!$D$904:$D$1031,C314,'Revenue and costs'!T904:T1031)+SUMIF('Revenue and costs'!$D$904:$D$1031,C314,'Revenue and costs'!U904:U1031)+SUMIF('Revenue and costs'!$D$904:$D$1031,C314,'Revenue and costs'!V904:V1031)+SUMIF('Revenue and costs'!$D$904:$D$1031,C314,'Revenue and costs'!AE904:AE1031)</x:f>
        <x:v>46610.17308799556</x:v>
      </x:c>
      <x:c r="G314" s="10" t="n">
        <x:f>IF('Income statement'!K50=0,1/39,E314/'Income statement'!K50)*('Shared costs'!O21+'Assumptions'!$D$18*'Assumptions'!$D$19*12*(1+'Assumptions'!$D$13)^(8-1)*'Assumptions'!$D$21)</x:f>
        <x:v>2422.9546921731576</x:v>
      </x:c>
      <x:c r="H314" s="10" t="n">
        <x:f>IF('Income statement'!K50=0,1/39,E314/'Income statement'!K50)*'Cash and capital'!K18</x:f>
        <x:v>12.790414852117477</x:v>
      </x:c>
      <x:c r="I314" s="10" t="n">
        <x:f>E314-F314-G314-H314</x:f>
        <x:v>10391.139226651063</x:v>
      </x:c>
      <x:c r="J314" s="10" t="n">
        <x:f>M275</x:f>
        <x:v>0</x:v>
      </x:c>
      <x:c r="K314" s="10" t="n">
        <x:f>MAX(0,I314-J314)</x:f>
        <x:v>10391.139226651063</x:v>
      </x:c>
      <x:c r="L314" s="10" t="n">
        <x:f>K314*'Assumptions'!$D$12</x:f>
        <x:v>2597.7848066627657</x:v>
      </x:c>
      <x:c r="M314" s="10" t="n">
        <x:f>MAX(0,J314-I314)</x:f>
        <x:v>0</x:v>
      </x:c>
    </x:row>
    <x:row r="315" ht="16" customHeight="1">
      <x:c r="A315" s="1"/>
      <x:c r="B315" s="1"/>
      <x:c r="C315" s="1" t="str">
        <x:v>Fiefé Design</x:v>
      </x:c>
      <x:c r="D315" s="10" t="n">
        <x:v>8</x:v>
      </x:c>
      <x:c r="E315" s="10" t="n">
        <x:f>SUMIF('Revenue and costs'!$D$904:$D$1031,C315,'Revenue and costs'!N904:N1031)</x:f>
        <x:v>37032.43453063669</x:v>
      </x:c>
      <x:c r="F315" s="10" t="n">
        <x:f>SUMIF('Revenue and costs'!$D$904:$D$1031,C315,'Revenue and costs'!O904:O1031)+SUMIF('Revenue and costs'!$D$904:$D$1031,C315,'Revenue and costs'!P904:P1031)+SUMIF('Revenue and costs'!$D$904:$D$1031,C315,'Revenue and costs'!Q904:Q1031)+SUMIF('Revenue and costs'!$D$904:$D$1031,C315,'Revenue and costs'!R904:R1031)+SUMIF('Revenue and costs'!$D$904:$D$1031,C315,'Revenue and costs'!S904:S1031)+SUMIF('Revenue and costs'!$D$904:$D$1031,C315,'Revenue and costs'!T904:T1031)+SUMIF('Revenue and costs'!$D$904:$D$1031,C315,'Revenue and costs'!U904:U1031)+SUMIF('Revenue and costs'!$D$904:$D$1031,C315,'Revenue and costs'!V904:V1031)+SUMIF('Revenue and costs'!$D$904:$D$1031,C315,'Revenue and costs'!AE904:AE1031)</x:f>
        <x:v>27210.911117926258</x:v>
      </x:c>
      <x:c r="G315" s="10" t="n">
        <x:f>IF('Income statement'!K50=0,1/39,E315/'Income statement'!K50)*('Shared costs'!O21+'Assumptions'!$D$18*'Assumptions'!$D$19*12*(1+'Assumptions'!$D$13)^(8-1)*'Assumptions'!$D$21)</x:f>
        <x:v>1509.6290916966711</x:v>
      </x:c>
      <x:c r="H315" s="10" t="n">
        <x:f>IF('Income statement'!K50=0,1/39,E315/'Income statement'!K50)*'Cash and capital'!K18</x:f>
        <x:v>7.969105826864471</x:v>
      </x:c>
      <x:c r="I315" s="10" t="n">
        <x:f>E315-F315-G315-H315</x:f>
        <x:v>8303.925215186895</x:v>
      </x:c>
      <x:c r="J315" s="10" t="n">
        <x:f>M276</x:f>
        <x:v>0</x:v>
      </x:c>
      <x:c r="K315" s="10" t="n">
        <x:f>MAX(0,I315-J315)</x:f>
        <x:v>8303.925215186895</x:v>
      </x:c>
      <x:c r="L315" s="10" t="n">
        <x:f>K315*'Assumptions'!$D$12</x:f>
        <x:v>2075.9813037967238</x:v>
      </x:c>
      <x:c r="M315" s="10" t="n">
        <x:f>MAX(0,J315-I315)</x:f>
        <x:v>0</x:v>
      </x:c>
    </x:row>
    <x:row r="316" ht="16" customHeight="1">
      <x:c r="A316" s="1"/>
      <x:c r="B316" s="1"/>
      <x:c r="C316" s="1" t="str">
        <x:v>OsezArt</x:v>
      </x:c>
      <x:c r="D316" s="10" t="n">
        <x:v>8</x:v>
      </x:c>
      <x:c r="E316" s="10" t="n">
        <x:f>SUMIF('Revenue and costs'!$D$904:$D$1031,C316,'Revenue and costs'!N904:N1031)</x:f>
        <x:v>142910.69266895595</x:v>
      </x:c>
      <x:c r="F316" s="10" t="n">
        <x:f>SUMIF('Revenue and costs'!$D$904:$D$1031,C316,'Revenue and costs'!O904:O1031)+SUMIF('Revenue and costs'!$D$904:$D$1031,C316,'Revenue and costs'!P904:P1031)+SUMIF('Revenue and costs'!$D$904:$D$1031,C316,'Revenue and costs'!Q904:Q1031)+SUMIF('Revenue and costs'!$D$904:$D$1031,C316,'Revenue and costs'!R904:R1031)+SUMIF('Revenue and costs'!$D$904:$D$1031,C316,'Revenue and costs'!S904:S1031)+SUMIF('Revenue and costs'!$D$904:$D$1031,C316,'Revenue and costs'!T904:T1031)+SUMIF('Revenue and costs'!$D$904:$D$1031,C316,'Revenue and costs'!U904:U1031)+SUMIF('Revenue and costs'!$D$904:$D$1031,C316,'Revenue and costs'!V904:V1031)+SUMIF('Revenue and costs'!$D$904:$D$1031,C316,'Revenue and costs'!AE904:AE1031)</x:f>
        <x:v>77930.38371464133</x:v>
      </x:c>
      <x:c r="G316" s="10" t="n">
        <x:f>IF('Income statement'!K50=0,1/39,E316/'Income statement'!K50)*('Shared costs'!O21+'Assumptions'!$D$18*'Assumptions'!$D$19*12*(1+'Assumptions'!$D$13)^(8-1)*'Assumptions'!$D$21)</x:f>
        <x:v>5825.761711374823</x:v>
      </x:c>
      <x:c r="H316" s="10" t="n">
        <x:f>IF('Income statement'!K50=0,1/39,E316/'Income statement'!K50)*'Cash and capital'!K18</x:f>
        <x:v>30.753323352998425</x:v>
      </x:c>
      <x:c r="I316" s="10" t="n">
        <x:f>E316-F316-G316-H316</x:f>
        <x:v>59123.7939195868</x:v>
      </x:c>
      <x:c r="J316" s="10" t="n">
        <x:f>M277</x:f>
        <x:v>0</x:v>
      </x:c>
      <x:c r="K316" s="10" t="n">
        <x:f>MAX(0,I316-J316)</x:f>
        <x:v>59123.7939195868</x:v>
      </x:c>
      <x:c r="L316" s="10" t="n">
        <x:f>K316*'Assumptions'!$D$12</x:f>
        <x:v>14780.9484798967</x:v>
      </x:c>
      <x:c r="M316" s="10" t="n">
        <x:f>MAX(0,J316-I316)</x:f>
        <x:v>0</x:v>
      </x:c>
    </x:row>
    <x:row r="317" ht="16" customHeight="1">
      <x:c r="A317" s="1"/>
      <x:c r="B317" s="1"/>
      <x:c r="C317" s="1" t="str">
        <x:v>FinBot research</x:v>
      </x:c>
      <x:c r="D317" s="10" t="n">
        <x:v>8</x:v>
      </x:c>
      <x:c r="E317" s="10" t="n">
        <x:f>SUMIF('Revenue and costs'!$D$904:$D$1031,C317,'Revenue and costs'!N904:N1031)</x:f>
        <x:v>7335.870599118148</x:v>
      </x:c>
      <x:c r="F317" s="10" t="n">
        <x:f>SUMIF('Revenue and costs'!$D$904:$D$1031,C317,'Revenue and costs'!O904:O1031)+SUMIF('Revenue and costs'!$D$904:$D$1031,C317,'Revenue and costs'!P904:P1031)+SUMIF('Revenue and costs'!$D$904:$D$1031,C317,'Revenue and costs'!Q904:Q1031)+SUMIF('Revenue and costs'!$D$904:$D$1031,C317,'Revenue and costs'!R904:R1031)+SUMIF('Revenue and costs'!$D$904:$D$1031,C317,'Revenue and costs'!S904:S1031)+SUMIF('Revenue and costs'!$D$904:$D$1031,C317,'Revenue and costs'!T904:T1031)+SUMIF('Revenue and costs'!$D$904:$D$1031,C317,'Revenue and costs'!U904:U1031)+SUMIF('Revenue and costs'!$D$904:$D$1031,C317,'Revenue and costs'!V904:V1031)+SUMIF('Revenue and costs'!$D$904:$D$1031,C317,'Revenue and costs'!AE904:AE1031)</x:f>
        <x:v>4299.991414236304</x:v>
      </x:c>
      <x:c r="G317" s="10" t="n">
        <x:f>IF('Income statement'!K50=0,1/39,E317/'Income statement'!K50)*('Shared costs'!O21+'Assumptions'!$D$18*'Assumptions'!$D$19*12*(1+'Assumptions'!$D$13)^(8-1)*'Assumptions'!$D$21)</x:f>
        <x:v>299.0471409647462</x:v>
      </x:c>
      <x:c r="H317" s="10" t="n">
        <x:f>IF('Income statement'!K50=0,1/39,E317/'Income statement'!K50)*'Cash and capital'!K18</x:f>
        <x:v>1.5786250587493065</x:v>
      </x:c>
      <x:c r="I317" s="10" t="n">
        <x:f>E317-F317-G317-H317</x:f>
        <x:v>2735.253418858348</x:v>
      </x:c>
      <x:c r="J317" s="10" t="n">
        <x:f>M278</x:f>
        <x:v>0</x:v>
      </x:c>
      <x:c r="K317" s="10" t="n">
        <x:f>MAX(0,I317-J317)</x:f>
        <x:v>2735.253418858348</x:v>
      </x:c>
      <x:c r="L317" s="10" t="n">
        <x:f>K317*'Assumptions'!$D$12</x:f>
        <x:v>683.813354714587</x:v>
      </x:c>
      <x:c r="M317" s="10" t="n">
        <x:f>MAX(0,J317-I317)</x:f>
        <x:v>0</x:v>
      </x:c>
    </x:row>
    <x:row r="318" ht="16" customHeight="1">
      <x:c r="A318" s="1"/>
      <x:c r="B318" s="1"/>
      <x:c r="C318" s="1" t="str">
        <x:v>Functional Analysis</x:v>
      </x:c>
      <x:c r="D318" s="10" t="n">
        <x:v>8</x:v>
      </x:c>
      <x:c r="E318" s="10" t="n">
        <x:f>SUMIF('Revenue and costs'!$D$904:$D$1031,C318,'Revenue and costs'!N904:N1031)</x:f>
        <x:v>15732.998492385119</x:v>
      </x:c>
      <x:c r="F318" s="10" t="n">
        <x:f>SUMIF('Revenue and costs'!$D$904:$D$1031,C318,'Revenue and costs'!O904:O1031)+SUMIF('Revenue and costs'!$D$904:$D$1031,C318,'Revenue and costs'!P904:P1031)+SUMIF('Revenue and costs'!$D$904:$D$1031,C318,'Revenue and costs'!Q904:Q1031)+SUMIF('Revenue and costs'!$D$904:$D$1031,C318,'Revenue and costs'!R904:R1031)+SUMIF('Revenue and costs'!$D$904:$D$1031,C318,'Revenue and costs'!S904:S1031)+SUMIF('Revenue and costs'!$D$904:$D$1031,C318,'Revenue and costs'!T904:T1031)+SUMIF('Revenue and costs'!$D$904:$D$1031,C318,'Revenue and costs'!U904:U1031)+SUMIF('Revenue and costs'!$D$904:$D$1031,C318,'Revenue and costs'!V904:V1031)+SUMIF('Revenue and costs'!$D$904:$D$1031,C318,'Revenue and costs'!AE904:AE1031)</x:f>
        <x:v>8219.883252002322</x:v>
      </x:c>
      <x:c r="G318" s="10" t="n">
        <x:f>IF('Income statement'!K50=0,1/39,E318/'Income statement'!K50)*('Shared costs'!O21+'Assumptions'!$D$18*'Assumptions'!$D$19*12*(1+'Assumptions'!$D$13)^(8-1)*'Assumptions'!$D$21)</x:f>
        <x:v>641.3564899190034</x:v>
      </x:c>
      <x:c r="H318" s="10" t="n">
        <x:f>IF('Income statement'!K50=0,1/39,E318/'Income statement'!K50)*'Cash and capital'!K18</x:f>
        <x:v>3.3856248326312937</x:v>
      </x:c>
      <x:c r="I318" s="10" t="n">
        <x:f>E318-F318-G318-H318</x:f>
        <x:v>6868.373125631162</x:v>
      </x:c>
      <x:c r="J318" s="10" t="n">
        <x:f>M279</x:f>
        <x:v>0</x:v>
      </x:c>
      <x:c r="K318" s="10" t="n">
        <x:f>MAX(0,I318-J318)</x:f>
        <x:v>6868.373125631162</x:v>
      </x:c>
      <x:c r="L318" s="10" t="n">
        <x:f>K318*'Assumptions'!$D$12</x:f>
        <x:v>1717.0932814077905</x:v>
      </x:c>
      <x:c r="M318" s="10" t="n">
        <x:f>MAX(0,J318-I318)</x:f>
        <x:v>0</x:v>
      </x:c>
    </x:row>
    <x:row r="319" ht="16" customHeight="1">
      <x:c r="A319" s="1"/>
      <x:c r="B319" s="1"/>
      <x:c r="C319" s="1" t="str">
        <x:v>Independent candy game</x:v>
      </x:c>
      <x:c r="D319" s="10" t="n">
        <x:v>8</x:v>
      </x:c>
      <x:c r="E319" s="10" t="n">
        <x:f>SUMIF('Revenue and costs'!$D$904:$D$1031,C319,'Revenue and costs'!N904:N1031)</x:f>
        <x:v>6311.378325793028</x:v>
      </x:c>
      <x:c r="F319" s="10" t="n">
        <x:f>SUMIF('Revenue and costs'!$D$904:$D$1031,C319,'Revenue and costs'!O904:O1031)+SUMIF('Revenue and costs'!$D$904:$D$1031,C319,'Revenue and costs'!P904:P1031)+SUMIF('Revenue and costs'!$D$904:$D$1031,C319,'Revenue and costs'!Q904:Q1031)+SUMIF('Revenue and costs'!$D$904:$D$1031,C319,'Revenue and costs'!R904:R1031)+SUMIF('Revenue and costs'!$D$904:$D$1031,C319,'Revenue and costs'!S904:S1031)+SUMIF('Revenue and costs'!$D$904:$D$1031,C319,'Revenue and costs'!T904:T1031)+SUMIF('Revenue and costs'!$D$904:$D$1031,C319,'Revenue and costs'!U904:U1031)+SUMIF('Revenue and costs'!$D$904:$D$1031,C319,'Revenue and costs'!V904:V1031)+SUMIF('Revenue and costs'!$D$904:$D$1031,C319,'Revenue and costs'!AE904:AE1031)</x:f>
        <x:v>6010.310516505846</x:v>
      </x:c>
      <x:c r="G319" s="10" t="n">
        <x:f>IF('Income statement'!K50=0,1/39,E319/'Income statement'!K50)*('Shared costs'!O21+'Assumptions'!$D$18*'Assumptions'!$D$19*12*(1+'Assumptions'!$D$13)^(8-1)*'Assumptions'!$D$21)</x:f>
        <x:v>257.2836609334627</x:v>
      </x:c>
      <x:c r="H319" s="10" t="n">
        <x:f>IF('Income statement'!K50=0,1/39,E319/'Income statement'!K50)*'Cash and capital'!K18</x:f>
        <x:v>1.358161903992938</x:v>
      </x:c>
      <x:c r="I319" s="10" t="n">
        <x:f>E319-F319-G319-H319</x:f>
        <x:v>42.42598644972651</x:v>
      </x:c>
      <x:c r="J319" s="10" t="n">
        <x:f>M280</x:f>
        <x:v>0</x:v>
      </x:c>
      <x:c r="K319" s="10" t="n">
        <x:f>MAX(0,I319-J319)</x:f>
        <x:v>42.42598644972651</x:v>
      </x:c>
      <x:c r="L319" s="10" t="n">
        <x:f>K319*'Assumptions'!$D$12</x:f>
        <x:v>10.606496612431627</x:v>
      </x:c>
      <x:c r="M319" s="10" t="n">
        <x:f>MAX(0,J319-I319)</x:f>
        <x:v>0</x:v>
      </x:c>
    </x:row>
    <x:row r="320" ht="16" customHeight="1">
      <x:c r="A320" s="1"/>
      <x:c r="B320" s="1"/>
      <x:c r="C320" s="1" t="str">
        <x:v>ETV courses</x:v>
      </x:c>
      <x:c r="D320" s="10" t="n">
        <x:v>9</x:v>
      </x:c>
      <x:c r="E320" s="10" t="n">
        <x:f>SUMIF('Revenue and costs'!$D$1032:$D$1159,C320,'Revenue and costs'!N1032:N1159)</x:f>
        <x:v>45994.09646377538</x:v>
      </x:c>
      <x:c r="F320" s="10" t="n">
        <x:f>SUMIF('Revenue and costs'!$D$1032:$D$1159,C320,'Revenue and costs'!O1032:O1159)+SUMIF('Revenue and costs'!$D$1032:$D$1159,C320,'Revenue and costs'!P1032:P1159)+SUMIF('Revenue and costs'!$D$1032:$D$1159,C320,'Revenue and costs'!Q1032:Q1159)+SUMIF('Revenue and costs'!$D$1032:$D$1159,C320,'Revenue and costs'!R1032:R1159)+SUMIF('Revenue and costs'!$D$1032:$D$1159,C320,'Revenue and costs'!S1032:S1159)+SUMIF('Revenue and costs'!$D$1032:$D$1159,C320,'Revenue and costs'!T1032:T1159)+SUMIF('Revenue and costs'!$D$1032:$D$1159,C320,'Revenue and costs'!U1032:U1159)+SUMIF('Revenue and costs'!$D$1032:$D$1159,C320,'Revenue and costs'!V1032:V1159)+SUMIF('Revenue and costs'!$D$1032:$D$1159,C320,'Revenue and costs'!AE1032:AE1159)</x:f>
        <x:v>16668.404966791866</x:v>
      </x:c>
      <x:c r="G320" s="10" t="n">
        <x:f>IF('Income statement'!L50=0,1/39,E320/'Income statement'!L50)*('Shared costs'!P21+'Assumptions'!$D$18*'Assumptions'!$D$19*12*(1+'Assumptions'!$D$13)^(9-1)*'Assumptions'!$D$21)</x:f>
        <x:v>1911.8731901652254</x:v>
      </x:c>
      <x:c r="H320" s="10" t="n">
        <x:f>IF('Income statement'!L50=0,1/39,E320/'Income statement'!L50)*'Cash and capital'!L18</x:f>
        <x:v>9.406464664654935</x:v>
      </x:c>
      <x:c r="I320" s="10" t="n">
        <x:f>E320-F320-G320-H320</x:f>
        <x:v>27404.411842153633</x:v>
      </x:c>
      <x:c r="J320" s="10" t="n">
        <x:f>M281</x:f>
        <x:v>0</x:v>
      </x:c>
      <x:c r="K320" s="10" t="n">
        <x:f>MAX(0,I320-J320)</x:f>
        <x:v>27404.411842153633</x:v>
      </x:c>
      <x:c r="L320" s="10" t="n">
        <x:f>K320*'Assumptions'!$D$12</x:f>
        <x:v>6851.102960538408</x:v>
      </x:c>
      <x:c r="M320" s="10" t="n">
        <x:f>MAX(0,J320-I320)</x:f>
        <x:v>0</x:v>
      </x:c>
    </x:row>
    <x:row r="321" ht="16" customHeight="1">
      <x:c r="A321" s="1"/>
      <x:c r="B321" s="1"/>
      <x:c r="C321" s="1" t="str">
        <x:v>ETV services</x:v>
      </x:c>
      <x:c r="D321" s="10" t="n">
        <x:v>9</x:v>
      </x:c>
      <x:c r="E321" s="10" t="n">
        <x:f>SUMIF('Revenue and costs'!$D$1032:$D$1159,C321,'Revenue and costs'!N1032:N1159)</x:f>
        <x:v>112495.81835528789</x:v>
      </x:c>
      <x:c r="F321" s="10" t="n">
        <x:f>SUMIF('Revenue and costs'!$D$1032:$D$1159,C321,'Revenue and costs'!O1032:O1159)+SUMIF('Revenue and costs'!$D$1032:$D$1159,C321,'Revenue and costs'!P1032:P1159)+SUMIF('Revenue and costs'!$D$1032:$D$1159,C321,'Revenue and costs'!Q1032:Q1159)+SUMIF('Revenue and costs'!$D$1032:$D$1159,C321,'Revenue and costs'!R1032:R1159)+SUMIF('Revenue and costs'!$D$1032:$D$1159,C321,'Revenue and costs'!S1032:S1159)+SUMIF('Revenue and costs'!$D$1032:$D$1159,C321,'Revenue and costs'!T1032:T1159)+SUMIF('Revenue and costs'!$D$1032:$D$1159,C321,'Revenue and costs'!U1032:U1159)+SUMIF('Revenue and costs'!$D$1032:$D$1159,C321,'Revenue and costs'!V1032:V1159)+SUMIF('Revenue and costs'!$D$1032:$D$1159,C321,'Revenue and costs'!AE1032:AE1159)</x:f>
        <x:v>76037.51237546431</x:v>
      </x:c>
      <x:c r="G321" s="10" t="n">
        <x:f>IF('Income statement'!L50=0,1/39,E321/'Income statement'!L50)*('Shared costs'!P21+'Assumptions'!$D$18*'Assumptions'!$D$19*12*(1+'Assumptions'!$D$13)^(9-1)*'Assumptions'!$D$21)</x:f>
        <x:v>4676.203157693632</x:v>
      </x:c>
      <x:c r="H321" s="10" t="n">
        <x:f>IF('Income statement'!L50=0,1/39,E321/'Income statement'!L50)*'Cash and capital'!L18</x:f>
        <x:v>23.007038329666432</x:v>
      </x:c>
      <x:c r="I321" s="10" t="n">
        <x:f>E321-F321-G321-H321</x:f>
        <x:v>31759.09578380028</x:v>
      </x:c>
      <x:c r="J321" s="10" t="n">
        <x:f>M282</x:f>
        <x:v>0</x:v>
      </x:c>
      <x:c r="K321" s="10" t="n">
        <x:f>MAX(0,I321-J321)</x:f>
        <x:v>31759.09578380028</x:v>
      </x:c>
      <x:c r="L321" s="10" t="n">
        <x:f>K321*'Assumptions'!$D$12</x:f>
        <x:v>7939.77394595007</x:v>
      </x:c>
      <x:c r="M321" s="10" t="n">
        <x:f>MAX(0,J321-I321)</x:f>
        <x:v>0</x:v>
      </x:c>
    </x:row>
    <x:row r="322" ht="16" customHeight="1">
      <x:c r="A322" s="1"/>
      <x:c r="B322" s="1"/>
      <x:c r="C322" s="1" t="str">
        <x:v>BPA professional services</x:v>
      </x:c>
      <x:c r="D322" s="10" t="n">
        <x:v>9</x:v>
      </x:c>
      <x:c r="E322" s="10" t="n">
        <x:f>SUMIF('Revenue and costs'!$D$1032:$D$1159,C322,'Revenue and costs'!N1032:N1159)</x:f>
        <x:v>661219.7608916913</x:v>
      </x:c>
      <x:c r="F322" s="10" t="n">
        <x:f>SUMIF('Revenue and costs'!$D$1032:$D$1159,C322,'Revenue and costs'!O1032:O1159)+SUMIF('Revenue and costs'!$D$1032:$D$1159,C322,'Revenue and costs'!P1032:P1159)+SUMIF('Revenue and costs'!$D$1032:$D$1159,C322,'Revenue and costs'!Q1032:Q1159)+SUMIF('Revenue and costs'!$D$1032:$D$1159,C322,'Revenue and costs'!R1032:R1159)+SUMIF('Revenue and costs'!$D$1032:$D$1159,C322,'Revenue and costs'!S1032:S1159)+SUMIF('Revenue and costs'!$D$1032:$D$1159,C322,'Revenue and costs'!T1032:T1159)+SUMIF('Revenue and costs'!$D$1032:$D$1159,C322,'Revenue and costs'!U1032:U1159)+SUMIF('Revenue and costs'!$D$1032:$D$1159,C322,'Revenue and costs'!V1032:V1159)+SUMIF('Revenue and costs'!$D$1032:$D$1159,C322,'Revenue and costs'!AE1032:AE1159)</x:f>
        <x:v>349167.9490386387</x:v>
      </x:c>
      <x:c r="G322" s="10" t="n">
        <x:f>IF('Income statement'!L50=0,1/39,E322/'Income statement'!L50)*('Shared costs'!P21+'Assumptions'!$D$18*'Assumptions'!$D$19*12*(1+'Assumptions'!$D$13)^(9-1)*'Assumptions'!$D$21)</x:f>
        <x:v>27485.447717229</x:v>
      </x:c>
      <x:c r="H322" s="10" t="n">
        <x:f>IF('Income statement'!L50=0,1/39,E322/'Income statement'!L50)*'Cash and capital'!L18</x:f>
        <x:v>135.22910100642812</x:v>
      </x:c>
      <x:c r="I322" s="10" t="n">
        <x:f>E322-F322-G322-H322</x:f>
        <x:v>284431.1350348172</x:v>
      </x:c>
      <x:c r="J322" s="10" t="n">
        <x:f>M283</x:f>
        <x:v>0</x:v>
      </x:c>
      <x:c r="K322" s="10" t="n">
        <x:f>MAX(0,I322-J322)</x:f>
        <x:v>284431.1350348172</x:v>
      </x:c>
      <x:c r="L322" s="10" t="n">
        <x:f>K322*'Assumptions'!$D$12</x:f>
        <x:v>71107.7837587043</x:v>
      </x:c>
      <x:c r="M322" s="10" t="n">
        <x:f>MAX(0,J322-I322)</x:f>
        <x:v>0</x:v>
      </x:c>
    </x:row>
    <x:row r="323" ht="16" customHeight="1">
      <x:c r="A323" s="1"/>
      <x:c r="B323" s="1"/>
      <x:c r="C323" s="1" t="str">
        <x:v>CornerFlow</x:v>
      </x:c>
      <x:c r="D323" s="10" t="n">
        <x:v>9</x:v>
      </x:c>
      <x:c r="E323" s="10" t="n">
        <x:f>SUMIF('Revenue and costs'!$D$1032:$D$1159,C323,'Revenue and costs'!N1032:N1159)</x:f>
        <x:v>21011.95161982303</x:v>
      </x:c>
      <x:c r="F323" s="10" t="n">
        <x:f>SUMIF('Revenue and costs'!$D$1032:$D$1159,C323,'Revenue and costs'!O1032:O1159)+SUMIF('Revenue and costs'!$D$1032:$D$1159,C323,'Revenue and costs'!P1032:P1159)+SUMIF('Revenue and costs'!$D$1032:$D$1159,C323,'Revenue and costs'!Q1032:Q1159)+SUMIF('Revenue and costs'!$D$1032:$D$1159,C323,'Revenue and costs'!R1032:R1159)+SUMIF('Revenue and costs'!$D$1032:$D$1159,C323,'Revenue and costs'!S1032:S1159)+SUMIF('Revenue and costs'!$D$1032:$D$1159,C323,'Revenue and costs'!T1032:T1159)+SUMIF('Revenue and costs'!$D$1032:$D$1159,C323,'Revenue and costs'!U1032:U1159)+SUMIF('Revenue and costs'!$D$1032:$D$1159,C323,'Revenue and costs'!V1032:V1159)+SUMIF('Revenue and costs'!$D$1032:$D$1159,C323,'Revenue and costs'!AE1032:AE1159)</x:f>
        <x:v>8437.95057580927</x:v>
      </x:c>
      <x:c r="G323" s="10" t="n">
        <x:f>IF('Income statement'!L50=0,1/39,E323/'Income statement'!L50)*('Shared costs'!P21+'Assumptions'!$D$18*'Assumptions'!$D$19*12*(1+'Assumptions'!$D$13)^(9-1)*'Assumptions'!$D$21)</x:f>
        <x:v>873.420505316976</x:v>
      </x:c>
      <x:c r="H323" s="10" t="n">
        <x:f>IF('Income statement'!L50=0,1/39,E323/'Income statement'!L50)*'Cash and capital'!L18</x:f>
        <x:v>4.297251074449753</x:v>
      </x:c>
      <x:c r="I323" s="10" t="n">
        <x:f>E323-F323-G323-H323</x:f>
        <x:v>11696.283287622337</x:v>
      </x:c>
      <x:c r="J323" s="10" t="n">
        <x:f>M284</x:f>
        <x:v>0</x:v>
      </x:c>
      <x:c r="K323" s="10" t="n">
        <x:f>MAX(0,I323-J323)</x:f>
        <x:v>11696.283287622337</x:v>
      </x:c>
      <x:c r="L323" s="10" t="n">
        <x:f>K323*'Assumptions'!$D$12</x:f>
        <x:v>2924.070821905584</x:v>
      </x:c>
      <x:c r="M323" s="10" t="n">
        <x:f>MAX(0,J323-I323)</x:f>
        <x:v>0</x:v>
      </x:c>
    </x:row>
    <x:row r="324" ht="16" customHeight="1">
      <x:c r="A324" s="1"/>
      <x:c r="B324" s="1"/>
      <x:c r="C324" s="1" t="str">
        <x:v>Spindle</x:v>
      </x:c>
      <x:c r="D324" s="10" t="n">
        <x:v>9</x:v>
      </x:c>
      <x:c r="E324" s="10" t="n">
        <x:f>SUMIF('Revenue and costs'!$D$1032:$D$1159,C324,'Revenue and costs'!N1032:N1159)</x:f>
        <x:v>21011.95161982303</x:v>
      </x:c>
      <x:c r="F324" s="10" t="n">
        <x:f>SUMIF('Revenue and costs'!$D$1032:$D$1159,C324,'Revenue and costs'!O1032:O1159)+SUMIF('Revenue and costs'!$D$1032:$D$1159,C324,'Revenue and costs'!P1032:P1159)+SUMIF('Revenue and costs'!$D$1032:$D$1159,C324,'Revenue and costs'!Q1032:Q1159)+SUMIF('Revenue and costs'!$D$1032:$D$1159,C324,'Revenue and costs'!R1032:R1159)+SUMIF('Revenue and costs'!$D$1032:$D$1159,C324,'Revenue and costs'!S1032:S1159)+SUMIF('Revenue and costs'!$D$1032:$D$1159,C324,'Revenue and costs'!T1032:T1159)+SUMIF('Revenue and costs'!$D$1032:$D$1159,C324,'Revenue and costs'!U1032:U1159)+SUMIF('Revenue and costs'!$D$1032:$D$1159,C324,'Revenue and costs'!V1032:V1159)+SUMIF('Revenue and costs'!$D$1032:$D$1159,C324,'Revenue and costs'!AE1032:AE1159)</x:f>
        <x:v>8437.95057580927</x:v>
      </x:c>
      <x:c r="G324" s="10" t="n">
        <x:f>IF('Income statement'!L50=0,1/39,E324/'Income statement'!L50)*('Shared costs'!P21+'Assumptions'!$D$18*'Assumptions'!$D$19*12*(1+'Assumptions'!$D$13)^(9-1)*'Assumptions'!$D$21)</x:f>
        <x:v>873.420505316976</x:v>
      </x:c>
      <x:c r="H324" s="10" t="n">
        <x:f>IF('Income statement'!L50=0,1/39,E324/'Income statement'!L50)*'Cash and capital'!L18</x:f>
        <x:v>4.297251074449753</x:v>
      </x:c>
      <x:c r="I324" s="10" t="n">
        <x:f>E324-F324-G324-H324</x:f>
        <x:v>11696.283287622337</x:v>
      </x:c>
      <x:c r="J324" s="10" t="n">
        <x:f>M285</x:f>
        <x:v>0</x:v>
      </x:c>
      <x:c r="K324" s="10" t="n">
        <x:f>MAX(0,I324-J324)</x:f>
        <x:v>11696.283287622337</x:v>
      </x:c>
      <x:c r="L324" s="10" t="n">
        <x:f>K324*'Assumptions'!$D$12</x:f>
        <x:v>2924.070821905584</x:v>
      </x:c>
      <x:c r="M324" s="10" t="n">
        <x:f>MAX(0,J324-I324)</x:f>
        <x:v>0</x:v>
      </x:c>
    </x:row>
    <x:row r="325" ht="16" customHeight="1">
      <x:c r="A325" s="1"/>
      <x:c r="B325" s="1"/>
      <x:c r="C325" s="1" t="str">
        <x:v>Maison Contour</x:v>
      </x:c>
      <x:c r="D325" s="10" t="n">
        <x:v>9</x:v>
      </x:c>
      <x:c r="E325" s="10" t="n">
        <x:f>SUMIF('Revenue and costs'!$D$1032:$D$1159,C325,'Revenue and costs'!N1032:N1159)</x:f>
        <x:v>29460.49066914583</x:v>
      </x:c>
      <x:c r="F325" s="10" t="n">
        <x:f>SUMIF('Revenue and costs'!$D$1032:$D$1159,C325,'Revenue and costs'!O1032:O1159)+SUMIF('Revenue and costs'!$D$1032:$D$1159,C325,'Revenue and costs'!P1032:P1159)+SUMIF('Revenue and costs'!$D$1032:$D$1159,C325,'Revenue and costs'!Q1032:Q1159)+SUMIF('Revenue and costs'!$D$1032:$D$1159,C325,'Revenue and costs'!R1032:R1159)+SUMIF('Revenue and costs'!$D$1032:$D$1159,C325,'Revenue and costs'!S1032:S1159)+SUMIF('Revenue and costs'!$D$1032:$D$1159,C325,'Revenue and costs'!T1032:T1159)+SUMIF('Revenue and costs'!$D$1032:$D$1159,C325,'Revenue and costs'!U1032:U1159)+SUMIF('Revenue and costs'!$D$1032:$D$1159,C325,'Revenue and costs'!V1032:V1159)+SUMIF('Revenue and costs'!$D$1032:$D$1159,C325,'Revenue and costs'!AE1032:AE1159)</x:f>
        <x:v>9112.962716347947</x:v>
      </x:c>
      <x:c r="G325" s="10" t="n">
        <x:f>IF('Income statement'!L50=0,1/39,E325/'Income statement'!L50)*('Shared costs'!P21+'Assumptions'!$D$18*'Assumptions'!$D$19*12*(1+'Assumptions'!$D$13)^(9-1)*'Assumptions'!$D$21)</x:f>
        <x:v>1224.607647718738</x:v>
      </x:c>
      <x:c r="H325" s="10" t="n">
        <x:f>IF('Income statement'!L50=0,1/39,E325/'Income statement'!L50)*'Cash and capital'!L18</x:f>
        <x:v>6.025100736590699</x:v>
      </x:c>
      <x:c r="I325" s="10" t="n">
        <x:f>E325-F325-G325-H325</x:f>
        <x:v>19116.895204342556</x:v>
      </x:c>
      <x:c r="J325" s="10" t="n">
        <x:f>M286</x:f>
        <x:v>0</x:v>
      </x:c>
      <x:c r="K325" s="10" t="n">
        <x:f>MAX(0,I325-J325)</x:f>
        <x:v>19116.895204342556</x:v>
      </x:c>
      <x:c r="L325" s="10" t="n">
        <x:f>K325*'Assumptions'!$D$12</x:f>
        <x:v>4779.223801085639</x:v>
      </x:c>
      <x:c r="M325" s="10" t="n">
        <x:f>MAX(0,J325-I325)</x:f>
        <x:v>0</x:v>
      </x:c>
    </x:row>
    <x:row r="326" ht="16" customHeight="1">
      <x:c r="A326" s="1"/>
      <x:c r="B326" s="1"/>
      <x:c r="C326" s="1" t="str">
        <x:v>DishLoom US</x:v>
      </x:c>
      <x:c r="D326" s="10" t="n">
        <x:v>9</x:v>
      </x:c>
      <x:c r="E326" s="10" t="n">
        <x:f>SUMIF('Revenue and costs'!$D$1032:$D$1159,C326,'Revenue and costs'!N1032:N1159)</x:f>
        <x:v>26612.898005366813</x:v>
      </x:c>
      <x:c r="F326" s="10" t="n">
        <x:f>SUMIF('Revenue and costs'!$D$1032:$D$1159,C326,'Revenue and costs'!O1032:O1159)+SUMIF('Revenue and costs'!$D$1032:$D$1159,C326,'Revenue and costs'!P1032:P1159)+SUMIF('Revenue and costs'!$D$1032:$D$1159,C326,'Revenue and costs'!Q1032:Q1159)+SUMIF('Revenue and costs'!$D$1032:$D$1159,C326,'Revenue and costs'!R1032:R1159)+SUMIF('Revenue and costs'!$D$1032:$D$1159,C326,'Revenue and costs'!S1032:S1159)+SUMIF('Revenue and costs'!$D$1032:$D$1159,C326,'Revenue and costs'!T1032:T1159)+SUMIF('Revenue and costs'!$D$1032:$D$1159,C326,'Revenue and costs'!U1032:U1159)+SUMIF('Revenue and costs'!$D$1032:$D$1159,C326,'Revenue and costs'!V1032:V1159)+SUMIF('Revenue and costs'!$D$1032:$D$1159,C326,'Revenue and costs'!AE1032:AE1159)</x:f>
        <x:v>17738.386179391895</x:v>
      </x:c>
      <x:c r="G326" s="10" t="n">
        <x:f>IF('Income statement'!L50=0,1/39,E326/'Income statement'!L50)*('Shared costs'!P21+'Assumptions'!$D$18*'Assumptions'!$D$19*12*(1+'Assumptions'!$D$13)^(9-1)*'Assumptions'!$D$21)</x:f>
        <x:v>1106.2394985655499</x:v>
      </x:c>
      <x:c r="H326" s="10" t="n">
        <x:f>IF('Income statement'!L50=0,1/39,E326/'Income statement'!L50)*'Cash and capital'!L18</x:f>
        <x:v>5.442726435743975</x:v>
      </x:c>
      <x:c r="I326" s="10" t="n">
        <x:f>E326-F326-G326-H326</x:f>
        <x:v>7762.829600973624</x:v>
      </x:c>
      <x:c r="J326" s="10" t="n">
        <x:f>M287</x:f>
        <x:v>0</x:v>
      </x:c>
      <x:c r="K326" s="10" t="n">
        <x:f>MAX(0,I326-J326)</x:f>
        <x:v>7762.829600973624</x:v>
      </x:c>
      <x:c r="L326" s="10" t="n">
        <x:f>K326*'Assumptions'!$D$12</x:f>
        <x:v>1940.707400243406</x:v>
      </x:c>
      <x:c r="M326" s="10" t="n">
        <x:f>MAX(0,J326-I326)</x:f>
        <x:v>0</x:v>
      </x:c>
    </x:row>
    <x:row r="327" ht="16" customHeight="1">
      <x:c r="A327" s="1"/>
      <x:c r="B327" s="1"/>
      <x:c r="C327" s="1" t="str">
        <x:v>Is Makes Travel Easy</x:v>
      </x:c>
      <x:c r="D327" s="10" t="n">
        <x:v>9</x:v>
      </x:c>
      <x:c r="E327" s="10" t="n">
        <x:f>SUMIF('Revenue and costs'!$D$1032:$D$1159,C327,'Revenue and costs'!N1032:N1159)</x:f>
        <x:v>45596.26547288373</x:v>
      </x:c>
      <x:c r="F327" s="10" t="n">
        <x:f>SUMIF('Revenue and costs'!$D$1032:$D$1159,C327,'Revenue and costs'!O1032:O1159)+SUMIF('Revenue and costs'!$D$1032:$D$1159,C327,'Revenue and costs'!P1032:P1159)+SUMIF('Revenue and costs'!$D$1032:$D$1159,C327,'Revenue and costs'!Q1032:Q1159)+SUMIF('Revenue and costs'!$D$1032:$D$1159,C327,'Revenue and costs'!R1032:R1159)+SUMIF('Revenue and costs'!$D$1032:$D$1159,C327,'Revenue and costs'!S1032:S1159)+SUMIF('Revenue and costs'!$D$1032:$D$1159,C327,'Revenue and costs'!T1032:T1159)+SUMIF('Revenue and costs'!$D$1032:$D$1159,C327,'Revenue and costs'!U1032:U1159)+SUMIF('Revenue and costs'!$D$1032:$D$1159,C327,'Revenue and costs'!V1032:V1159)+SUMIF('Revenue and costs'!$D$1032:$D$1159,C327,'Revenue and costs'!AE1032:AE1159)</x:f>
        <x:v>25654.50763030603</x:v>
      </x:c>
      <x:c r="G327" s="10" t="n">
        <x:f>IF('Income statement'!L50=0,1/39,E327/'Income statement'!L50)*('Shared costs'!P21+'Assumptions'!$D$18*'Assumptions'!$D$19*12*(1+'Assumptions'!$D$13)^(9-1)*'Assumptions'!$D$21)</x:f>
        <x:v>1895.336232942864</x:v>
      </x:c>
      <x:c r="H327" s="10" t="n">
        <x:f>IF('Income statement'!L50=0,1/39,E327/'Income statement'!L50)*'Cash and capital'!L18</x:f>
        <x:v>9.325102415017652</x:v>
      </x:c>
      <x:c r="I327" s="10" t="n">
        <x:f>E327-F327-G327-H327</x:f>
        <x:v>18037.09650721982</x:v>
      </x:c>
      <x:c r="J327" s="10" t="n">
        <x:f>M288</x:f>
        <x:v>0</x:v>
      </x:c>
      <x:c r="K327" s="10" t="n">
        <x:f>MAX(0,I327-J327)</x:f>
        <x:v>18037.09650721982</x:v>
      </x:c>
      <x:c r="L327" s="10" t="n">
        <x:f>K327*'Assumptions'!$D$12</x:f>
        <x:v>4509.274126804955</x:v>
      </x:c>
      <x:c r="M327" s="10" t="n">
        <x:f>MAX(0,J327-I327)</x:f>
        <x:v>0</x:v>
      </x:c>
    </x:row>
    <x:row r="328" ht="16" customHeight="1">
      <x:c r="A328" s="1"/>
      <x:c r="B328" s="1"/>
      <x:c r="C328" s="1" t="str">
        <x:v>Turbo Tax - Made Easy!</x:v>
      </x:c>
      <x:c r="D328" s="10" t="n">
        <x:v>9</x:v>
      </x:c>
      <x:c r="E328" s="10" t="n">
        <x:f>SUMIF('Revenue and costs'!$D$1032:$D$1159,C328,'Revenue and costs'!N1032:N1159)</x:f>
        <x:v>118198.15289947968</x:v>
      </x:c>
      <x:c r="F328" s="10" t="n">
        <x:f>SUMIF('Revenue and costs'!$D$1032:$D$1159,C328,'Revenue and costs'!O1032:O1159)+SUMIF('Revenue and costs'!$D$1032:$D$1159,C328,'Revenue and costs'!P1032:P1159)+SUMIF('Revenue and costs'!$D$1032:$D$1159,C328,'Revenue and costs'!Q1032:Q1159)+SUMIF('Revenue and costs'!$D$1032:$D$1159,C328,'Revenue and costs'!R1032:R1159)+SUMIF('Revenue and costs'!$D$1032:$D$1159,C328,'Revenue and costs'!S1032:S1159)+SUMIF('Revenue and costs'!$D$1032:$D$1159,C328,'Revenue and costs'!T1032:T1159)+SUMIF('Revenue and costs'!$D$1032:$D$1159,C328,'Revenue and costs'!U1032:U1159)+SUMIF('Revenue and costs'!$D$1032:$D$1159,C328,'Revenue and costs'!V1032:V1159)+SUMIF('Revenue and costs'!$D$1032:$D$1159,C328,'Revenue and costs'!AE1032:AE1159)</x:f>
        <x:v>32496.82068288028</x:v>
      </x:c>
      <x:c r="G328" s="10" t="n">
        <x:f>IF('Income statement'!L50=0,1/39,E328/'Income statement'!L50)*('Shared costs'!P21+'Assumptions'!$D$18*'Assumptions'!$D$19*12*(1+'Assumptions'!$D$13)^(9-1)*'Assumptions'!$D$21)</x:f>
        <x:v>4913.236633174117</x:v>
      </x:c>
      <x:c r="H328" s="10" t="n">
        <x:f>IF('Income statement'!L50=0,1/39,E328/'Income statement'!L50)*'Cash and capital'!L18</x:f>
        <x:v>24.173249050605953</x:v>
      </x:c>
      <x:c r="I328" s="10" t="n">
        <x:f>E328-F328-G328-H328</x:f>
        <x:v>80763.92233437467</x:v>
      </x:c>
      <x:c r="J328" s="10" t="n">
        <x:f>M289</x:f>
        <x:v>0</x:v>
      </x:c>
      <x:c r="K328" s="10" t="n">
        <x:f>MAX(0,I328-J328)</x:f>
        <x:v>80763.92233437467</x:v>
      </x:c>
      <x:c r="L328" s="10" t="n">
        <x:f>K328*'Assumptions'!$D$12</x:f>
        <x:v>20190.980583593668</x:v>
      </x:c>
      <x:c r="M328" s="10" t="n">
        <x:f>MAX(0,J328-I328)</x:f>
        <x:v>0</x:v>
      </x:c>
    </x:row>
    <x:row r="329" ht="16" customHeight="1">
      <x:c r="A329" s="1"/>
      <x:c r="B329" s="1"/>
      <x:c r="C329" s="1" t="str">
        <x:v>LavaLearning adult</x:v>
      </x:c>
      <x:c r="D329" s="10" t="n">
        <x:v>9</x:v>
      </x:c>
      <x:c r="E329" s="10" t="n">
        <x:f>SUMIF('Revenue and costs'!$D$1032:$D$1159,C329,'Revenue and costs'!N1032:N1159)</x:f>
        <x:v>62842.39253840358</x:v>
      </x:c>
      <x:c r="F329" s="10" t="n">
        <x:f>SUMIF('Revenue and costs'!$D$1032:$D$1159,C329,'Revenue and costs'!O1032:O1159)+SUMIF('Revenue and costs'!$D$1032:$D$1159,C329,'Revenue and costs'!P1032:P1159)+SUMIF('Revenue and costs'!$D$1032:$D$1159,C329,'Revenue and costs'!Q1032:Q1159)+SUMIF('Revenue and costs'!$D$1032:$D$1159,C329,'Revenue and costs'!R1032:R1159)+SUMIF('Revenue and costs'!$D$1032:$D$1159,C329,'Revenue and costs'!S1032:S1159)+SUMIF('Revenue and costs'!$D$1032:$D$1159,C329,'Revenue and costs'!T1032:T1159)+SUMIF('Revenue and costs'!$D$1032:$D$1159,C329,'Revenue and costs'!U1032:U1159)+SUMIF('Revenue and costs'!$D$1032:$D$1159,C329,'Revenue and costs'!V1032:V1159)+SUMIF('Revenue and costs'!$D$1032:$D$1159,C329,'Revenue and costs'!AE1032:AE1159)</x:f>
        <x:v>24301.724019347632</x:v>
      </x:c>
      <x:c r="G329" s="10" t="n">
        <x:f>IF('Income statement'!L50=0,1/39,E329/'Income statement'!L50)*('Shared costs'!P21+'Assumptions'!$D$18*'Assumptions'!$D$19*12*(1+'Assumptions'!$D$13)^(9-1)*'Assumptions'!$D$21)</x:f>
        <x:v>2612.2197137765206</x:v>
      </x:c>
      <x:c r="H329" s="10" t="n">
        <x:f>IF('Income statement'!L50=0,1/39,E329/'Income statement'!L50)*'Cash and capital'!L18</x:f>
        <x:v>12.85218735235801</x:v>
      </x:c>
      <x:c r="I329" s="10" t="n">
        <x:f>E329-F329-G329-H329</x:f>
        <x:v>35915.596617927076</x:v>
      </x:c>
      <x:c r="J329" s="10" t="n">
        <x:f>M290</x:f>
        <x:v>0</x:v>
      </x:c>
      <x:c r="K329" s="10" t="n">
        <x:f>MAX(0,I329-J329)</x:f>
        <x:v>35915.596617927076</x:v>
      </x:c>
      <x:c r="L329" s="10" t="n">
        <x:f>K329*'Assumptions'!$D$12</x:f>
        <x:v>8978.899154481769</x:v>
      </x:c>
      <x:c r="M329" s="10" t="n">
        <x:f>MAX(0,J329-I329)</x:f>
        <x:v>0</x:v>
      </x:c>
    </x:row>
    <x:row r="330" ht="16" customHeight="1">
      <x:c r="A330" s="1"/>
      <x:c r="B330" s="1"/>
      <x:c r="C330" s="1" t="str">
        <x:v>LavaLearning Model Life</x:v>
      </x:c>
      <x:c r="D330" s="10" t="n">
        <x:v>9</x:v>
      </x:c>
      <x:c r="E330" s="10" t="n">
        <x:f>SUMIF('Revenue and costs'!$D$1032:$D$1159,C330,'Revenue and costs'!N1032:N1159)</x:f>
        <x:v>0</x:v>
      </x:c>
      <x:c r="F330" s="10" t="n">
        <x:f>SUMIF('Revenue and costs'!$D$1032:$D$1159,C330,'Revenue and costs'!O1032:O1159)+SUMIF('Revenue and costs'!$D$1032:$D$1159,C330,'Revenue and costs'!P1032:P1159)+SUMIF('Revenue and costs'!$D$1032:$D$1159,C330,'Revenue and costs'!Q1032:Q1159)+SUMIF('Revenue and costs'!$D$1032:$D$1159,C330,'Revenue and costs'!R1032:R1159)+SUMIF('Revenue and costs'!$D$1032:$D$1159,C330,'Revenue and costs'!S1032:S1159)+SUMIF('Revenue and costs'!$D$1032:$D$1159,C330,'Revenue and costs'!T1032:T1159)+SUMIF('Revenue and costs'!$D$1032:$D$1159,C330,'Revenue and costs'!U1032:U1159)+SUMIF('Revenue and costs'!$D$1032:$D$1159,C330,'Revenue and costs'!V1032:V1159)+SUMIF('Revenue and costs'!$D$1032:$D$1159,C330,'Revenue and costs'!AE1032:AE1159)</x:f>
        <x:v>0</x:v>
      </x:c>
      <x:c r="G330" s="10" t="n">
        <x:f>IF('Income statement'!L50=0,1/39,E330/'Income statement'!L50)*('Shared costs'!P21+'Assumptions'!$D$18*'Assumptions'!$D$19*12*(1+'Assumptions'!$D$13)^(9-1)*'Assumptions'!$D$21)</x:f>
        <x:v>0</x:v>
      </x:c>
      <x:c r="H330" s="10" t="n">
        <x:f>IF('Income statement'!L50=0,1/39,E330/'Income statement'!L50)*'Cash and capital'!L18</x:f>
        <x:v>0</x:v>
      </x:c>
      <x:c r="I330" s="10" t="n">
        <x:f>E330-F330-G330-H330</x:f>
        <x:v>0</x:v>
      </x:c>
      <x:c r="J330" s="10" t="n">
        <x:f>M291</x:f>
        <x:v>0</x:v>
      </x:c>
      <x:c r="K330" s="10" t="n">
        <x:f>MAX(0,I330-J330)</x:f>
        <x:v>0</x:v>
      </x:c>
      <x:c r="L330" s="10" t="n">
        <x:f>K330*'Assumptions'!$D$12</x:f>
        <x:v>0</x:v>
      </x:c>
      <x:c r="M330" s="10" t="n">
        <x:f>MAX(0,J330-I330)</x:f>
        <x:v>0</x:v>
      </x:c>
    </x:row>
    <x:row r="331" ht="16" customHeight="1">
      <x:c r="A331" s="1"/>
      <x:c r="B331" s="1"/>
      <x:c r="C331" s="1" t="str">
        <x:v>LavaLearning Kids</x:v>
      </x:c>
      <x:c r="D331" s="10" t="n">
        <x:v>9</x:v>
      </x:c>
      <x:c r="E331" s="10" t="n">
        <x:f>SUMIF('Revenue and costs'!$D$1032:$D$1159,C331,'Revenue and costs'!N1032:N1159)</x:f>
        <x:v>25256.418490339267</x:v>
      </x:c>
      <x:c r="F331" s="10" t="n">
        <x:f>SUMIF('Revenue and costs'!$D$1032:$D$1159,C331,'Revenue and costs'!O1032:O1159)+SUMIF('Revenue and costs'!$D$1032:$D$1159,C331,'Revenue and costs'!P1032:P1159)+SUMIF('Revenue and costs'!$D$1032:$D$1159,C331,'Revenue and costs'!Q1032:Q1159)+SUMIF('Revenue and costs'!$D$1032:$D$1159,C331,'Revenue and costs'!R1032:R1159)+SUMIF('Revenue and costs'!$D$1032:$D$1159,C331,'Revenue and costs'!S1032:S1159)+SUMIF('Revenue and costs'!$D$1032:$D$1159,C331,'Revenue and costs'!T1032:T1159)+SUMIF('Revenue and costs'!$D$1032:$D$1159,C331,'Revenue and costs'!U1032:U1159)+SUMIF('Revenue and costs'!$D$1032:$D$1159,C331,'Revenue and costs'!V1032:V1159)+SUMIF('Revenue and costs'!$D$1032:$D$1159,C331,'Revenue and costs'!AE1032:AE1159)</x:f>
        <x:v>14896.355242827129</x:v>
      </x:c>
      <x:c r="G331" s="10" t="n">
        <x:f>IF('Income statement'!L50=0,1/39,E331/'Income statement'!L50)*('Shared costs'!P21+'Assumptions'!$D$18*'Assumptions'!$D$19*12*(1+'Assumptions'!$D$13)^(9-1)*'Assumptions'!$D$21)</x:f>
        <x:v>1049.8536356574255</x:v>
      </x:c>
      <x:c r="H331" s="10" t="n">
        <x:f>IF('Income statement'!L50=0,1/39,E331/'Income statement'!L50)*'Cash and capital'!L18</x:f>
        <x:v>5.165306557814982</x:v>
      </x:c>
      <x:c r="I331" s="10" t="n">
        <x:f>E331-F331-G331-H331</x:f>
        <x:v>9305.044305296897</x:v>
      </x:c>
      <x:c r="J331" s="10" t="n">
        <x:f>M292</x:f>
        <x:v>0</x:v>
      </x:c>
      <x:c r="K331" s="10" t="n">
        <x:f>MAX(0,I331-J331)</x:f>
        <x:v>9305.044305296897</x:v>
      </x:c>
      <x:c r="L331" s="10" t="n">
        <x:f>K331*'Assumptions'!$D$12</x:f>
        <x:v>2326.261076324224</x:v>
      </x:c>
      <x:c r="M331" s="10" t="n">
        <x:f>MAX(0,J331-I331)</x:f>
        <x:v>0</x:v>
      </x:c>
    </x:row>
    <x:row r="332" ht="16" customHeight="1">
      <x:c r="A332" s="1"/>
      <x:c r="B332" s="1"/>
      <x:c r="C332" s="1" t="str">
        <x:v>VraiSkill adult</x:v>
      </x:c>
      <x:c r="D332" s="10" t="n">
        <x:v>9</x:v>
      </x:c>
      <x:c r="E332" s="10" t="n">
        <x:f>SUMIF('Revenue and costs'!$D$1032:$D$1159,C332,'Revenue and costs'!N1032:N1159)</x:f>
        <x:v>47827.774503080414</x:v>
      </x:c>
      <x:c r="F332" s="10" t="n">
        <x:f>SUMIF('Revenue and costs'!$D$1032:$D$1159,C332,'Revenue and costs'!O1032:O1159)+SUMIF('Revenue and costs'!$D$1032:$D$1159,C332,'Revenue and costs'!P1032:P1159)+SUMIF('Revenue and costs'!$D$1032:$D$1159,C332,'Revenue and costs'!Q1032:Q1159)+SUMIF('Revenue and costs'!$D$1032:$D$1159,C332,'Revenue and costs'!R1032:R1159)+SUMIF('Revenue and costs'!$D$1032:$D$1159,C332,'Revenue and costs'!S1032:S1159)+SUMIF('Revenue and costs'!$D$1032:$D$1159,C332,'Revenue and costs'!T1032:T1159)+SUMIF('Revenue and costs'!$D$1032:$D$1159,C332,'Revenue and costs'!U1032:U1159)+SUMIF('Revenue and costs'!$D$1032:$D$1159,C332,'Revenue and costs'!V1032:V1159)+SUMIF('Revenue and costs'!$D$1032:$D$1159,C332,'Revenue and costs'!AE1032:AE1159)</x:f>
        <x:v>37657.17022884539</x:v>
      </x:c>
      <x:c r="G332" s="10" t="n">
        <x:f>IF('Income statement'!L50=0,1/39,E332/'Income statement'!L50)*('Shared costs'!P21+'Assumptions'!$D$18*'Assumptions'!$D$19*12*(1+'Assumptions'!$D$13)^(9-1)*'Assumptions'!$D$21)</x:f>
        <x:v>1988.0951436827415</x:v>
      </x:c>
      <x:c r="H332" s="10" t="n">
        <x:f>IF('Income statement'!L50=0,1/39,E332/'Income statement'!L50)*'Cash and capital'!L18</x:f>
        <x:v>9.781478612296267</x:v>
      </x:c>
      <x:c r="I332" s="10" t="n">
        <x:f>E332-F332-G332-H332</x:f>
        <x:v>8172.7276519399875</x:v>
      </x:c>
      <x:c r="J332" s="10" t="n">
        <x:f>M293</x:f>
        <x:v>0</x:v>
      </x:c>
      <x:c r="K332" s="10" t="n">
        <x:f>MAX(0,I332-J332)</x:f>
        <x:v>8172.7276519399875</x:v>
      </x:c>
      <x:c r="L332" s="10" t="n">
        <x:f>K332*'Assumptions'!$D$12</x:f>
        <x:v>2043.1819129849969</x:v>
      </x:c>
      <x:c r="M332" s="10" t="n">
        <x:f>MAX(0,J332-I332)</x:f>
        <x:v>0</x:v>
      </x:c>
    </x:row>
    <x:row r="333" ht="16" customHeight="1">
      <x:c r="A333" s="1"/>
      <x:c r="B333" s="1"/>
      <x:c r="C333" s="1" t="str">
        <x:v>VraiSkill teen</x:v>
      </x:c>
      <x:c r="D333" s="10" t="n">
        <x:v>9</x:v>
      </x:c>
      <x:c r="E333" s="10" t="n">
        <x:f>SUMIF('Revenue and costs'!$D$1032:$D$1159,C333,'Revenue and costs'!N1032:N1159)</x:f>
        <x:v>21268.562939233067</x:v>
      </x:c>
      <x:c r="F333" s="10" t="n">
        <x:f>SUMIF('Revenue and costs'!$D$1032:$D$1159,C333,'Revenue and costs'!O1032:O1159)+SUMIF('Revenue and costs'!$D$1032:$D$1159,C333,'Revenue and costs'!P1032:P1159)+SUMIF('Revenue and costs'!$D$1032:$D$1159,C333,'Revenue and costs'!Q1032:Q1159)+SUMIF('Revenue and costs'!$D$1032:$D$1159,C333,'Revenue and costs'!R1032:R1159)+SUMIF('Revenue and costs'!$D$1032:$D$1159,C333,'Revenue and costs'!S1032:S1159)+SUMIF('Revenue and costs'!$D$1032:$D$1159,C333,'Revenue and costs'!T1032:T1159)+SUMIF('Revenue and costs'!$D$1032:$D$1159,C333,'Revenue and costs'!U1032:U1159)+SUMIF('Revenue and costs'!$D$1032:$D$1159,C333,'Revenue and costs'!V1032:V1159)+SUMIF('Revenue and costs'!$D$1032:$D$1159,C333,'Revenue and costs'!AE1032:AE1159)</x:f>
        <x:v>10386.26435168411</x:v>
      </x:c>
      <x:c r="G333" s="10" t="n">
        <x:f>IF('Income statement'!L50=0,1/39,E333/'Income statement'!L50)*('Shared costs'!P21+'Assumptions'!$D$18*'Assumptions'!$D$19*12*(1+'Assumptions'!$D$13)^(9-1)*'Assumptions'!$D$21)</x:f>
        <x:v>884.0872721325687</x:v>
      </x:c>
      <x:c r="H333" s="10" t="n">
        <x:f>IF('Income statement'!L50=0,1/39,E333/'Income statement'!L50)*'Cash and capital'!L18</x:f>
        <x:v>4.349731838159984</x:v>
      </x:c>
      <x:c r="I333" s="10" t="n">
        <x:f>E333-F333-G333-H333</x:f>
        <x:v>9993.861583578228</x:v>
      </x:c>
      <x:c r="J333" s="10" t="n">
        <x:f>M294</x:f>
        <x:v>0</x:v>
      </x:c>
      <x:c r="K333" s="10" t="n">
        <x:f>MAX(0,I333-J333)</x:f>
        <x:v>9993.861583578228</x:v>
      </x:c>
      <x:c r="L333" s="10" t="n">
        <x:f>K333*'Assumptions'!$D$12</x:f>
        <x:v>2498.465395894557</x:v>
      </x:c>
      <x:c r="M333" s="10" t="n">
        <x:f>MAX(0,J333-I333)</x:f>
        <x:v>0</x:v>
      </x:c>
    </x:row>
    <x:row r="334" ht="16" customHeight="1">
      <x:c r="A334" s="1"/>
      <x:c r="B334" s="1"/>
      <x:c r="C334" s="1" t="str">
        <x:v>VraiSkill Model Life</x:v>
      </x:c>
      <x:c r="D334" s="10" t="n">
        <x:v>9</x:v>
      </x:c>
      <x:c r="E334" s="10" t="n">
        <x:f>SUMIF('Revenue and costs'!$D$1032:$D$1159,C334,'Revenue and costs'!N1032:N1159)</x:f>
        <x:v>0</x:v>
      </x:c>
      <x:c r="F334" s="10" t="n">
        <x:f>SUMIF('Revenue and costs'!$D$1032:$D$1159,C334,'Revenue and costs'!O1032:O1159)+SUMIF('Revenue and costs'!$D$1032:$D$1159,C334,'Revenue and costs'!P1032:P1159)+SUMIF('Revenue and costs'!$D$1032:$D$1159,C334,'Revenue and costs'!Q1032:Q1159)+SUMIF('Revenue and costs'!$D$1032:$D$1159,C334,'Revenue and costs'!R1032:R1159)+SUMIF('Revenue and costs'!$D$1032:$D$1159,C334,'Revenue and costs'!S1032:S1159)+SUMIF('Revenue and costs'!$D$1032:$D$1159,C334,'Revenue and costs'!T1032:T1159)+SUMIF('Revenue and costs'!$D$1032:$D$1159,C334,'Revenue and costs'!U1032:U1159)+SUMIF('Revenue and costs'!$D$1032:$D$1159,C334,'Revenue and costs'!V1032:V1159)+SUMIF('Revenue and costs'!$D$1032:$D$1159,C334,'Revenue and costs'!AE1032:AE1159)</x:f>
        <x:v>0</x:v>
      </x:c>
      <x:c r="G334" s="10" t="n">
        <x:f>IF('Income statement'!L50=0,1/39,E334/'Income statement'!L50)*('Shared costs'!P21+'Assumptions'!$D$18*'Assumptions'!$D$19*12*(1+'Assumptions'!$D$13)^(9-1)*'Assumptions'!$D$21)</x:f>
        <x:v>0</x:v>
      </x:c>
      <x:c r="H334" s="10" t="n">
        <x:f>IF('Income statement'!L50=0,1/39,E334/'Income statement'!L50)*'Cash and capital'!L18</x:f>
        <x:v>0</x:v>
      </x:c>
      <x:c r="I334" s="10" t="n">
        <x:f>E334-F334-G334-H334</x:f>
        <x:v>0</x:v>
      </x:c>
      <x:c r="J334" s="10" t="n">
        <x:f>M295</x:f>
        <x:v>0</x:v>
      </x:c>
      <x:c r="K334" s="10" t="n">
        <x:f>MAX(0,I334-J334)</x:f>
        <x:v>0</x:v>
      </x:c>
      <x:c r="L334" s="10" t="n">
        <x:f>K334*'Assumptions'!$D$12</x:f>
        <x:v>0</x:v>
      </x:c>
      <x:c r="M334" s="10" t="n">
        <x:f>MAX(0,J334-I334)</x:f>
        <x:v>0</x:v>
      </x:c>
    </x:row>
    <x:row r="335" ht="16" customHeight="1">
      <x:c r="A335" s="1"/>
      <x:c r="B335" s="1"/>
      <x:c r="C335" s="1" t="str">
        <x:v>Model Life</x:v>
      </x:c>
      <x:c r="D335" s="10" t="n">
        <x:v>9</x:v>
      </x:c>
      <x:c r="E335" s="10" t="n">
        <x:f>SUMIF('Revenue and costs'!$D$1032:$D$1159,C335,'Revenue and costs'!N1032:N1159)</x:f>
        <x:v>76600.08738052669</x:v>
      </x:c>
      <x:c r="F335" s="10" t="n">
        <x:f>SUMIF('Revenue and costs'!$D$1032:$D$1159,C335,'Revenue and costs'!O1032:O1159)+SUMIF('Revenue and costs'!$D$1032:$D$1159,C335,'Revenue and costs'!P1032:P1159)+SUMIF('Revenue and costs'!$D$1032:$D$1159,C335,'Revenue and costs'!Q1032:Q1159)+SUMIF('Revenue and costs'!$D$1032:$D$1159,C335,'Revenue and costs'!R1032:R1159)+SUMIF('Revenue and costs'!$D$1032:$D$1159,C335,'Revenue and costs'!S1032:S1159)+SUMIF('Revenue and costs'!$D$1032:$D$1159,C335,'Revenue and costs'!T1032:T1159)+SUMIF('Revenue and costs'!$D$1032:$D$1159,C335,'Revenue and costs'!U1032:U1159)+SUMIF('Revenue and costs'!$D$1032:$D$1159,C335,'Revenue and costs'!V1032:V1159)+SUMIF('Revenue and costs'!$D$1032:$D$1159,C335,'Revenue and costs'!AE1032:AE1159)</x:f>
        <x:v>24598.65066941105</x:v>
      </x:c>
      <x:c r="G335" s="10" t="n">
        <x:f>IF('Income statement'!L50=0,1/39,E335/'Income statement'!L50)*('Shared costs'!P21+'Assumptions'!$D$18*'Assumptions'!$D$19*12*(1+'Assumptions'!$D$13)^(9-1)*'Assumptions'!$D$21)</x:f>
        <x:v>3184.096757775974</x:v>
      </x:c>
      <x:c r="H335" s="10" t="n">
        <x:f>IF('Income statement'!L50=0,1/39,E335/'Income statement'!L50)*'Cash and capital'!L18</x:f>
        <x:v>15.66583693674456</x:v>
      </x:c>
      <x:c r="I335" s="10" t="n">
        <x:f>E335-F335-G335-H335</x:f>
        <x:v>48801.67411640292</x:v>
      </x:c>
      <x:c r="J335" s="10" t="n">
        <x:f>M296</x:f>
        <x:v>0</x:v>
      </x:c>
      <x:c r="K335" s="10" t="n">
        <x:f>MAX(0,I335-J335)</x:f>
        <x:v>48801.67411640292</x:v>
      </x:c>
      <x:c r="L335" s="10" t="n">
        <x:f>K335*'Assumptions'!$D$12</x:f>
        <x:v>12200.41852910073</x:v>
      </x:c>
      <x:c r="M335" s="10" t="n">
        <x:f>MAX(0,J335-I335)</x:f>
        <x:v>0</x:v>
      </x:c>
    </x:row>
    <x:row r="336" ht="16" customHeight="1">
      <x:c r="A336" s="1"/>
      <x:c r="B336" s="1"/>
      <x:c r="C336" s="1" t="str">
        <x:v>S’otality cleaning</x:v>
      </x:c>
      <x:c r="D336" s="10" t="n">
        <x:v>9</x:v>
      </x:c>
      <x:c r="E336" s="10" t="n">
        <x:f>SUMIF('Revenue and costs'!$D$1032:$D$1159,C336,'Revenue and costs'!N1032:N1159)</x:f>
        <x:v>247374.72380480514</x:v>
      </x:c>
      <x:c r="F336" s="10" t="n">
        <x:f>SUMIF('Revenue and costs'!$D$1032:$D$1159,C336,'Revenue and costs'!O1032:O1159)+SUMIF('Revenue and costs'!$D$1032:$D$1159,C336,'Revenue and costs'!P1032:P1159)+SUMIF('Revenue and costs'!$D$1032:$D$1159,C336,'Revenue and costs'!Q1032:Q1159)+SUMIF('Revenue and costs'!$D$1032:$D$1159,C336,'Revenue and costs'!R1032:R1159)+SUMIF('Revenue and costs'!$D$1032:$D$1159,C336,'Revenue and costs'!S1032:S1159)+SUMIF('Revenue and costs'!$D$1032:$D$1159,C336,'Revenue and costs'!T1032:T1159)+SUMIF('Revenue and costs'!$D$1032:$D$1159,C336,'Revenue and costs'!U1032:U1159)+SUMIF('Revenue and costs'!$D$1032:$D$1159,C336,'Revenue and costs'!V1032:V1159)+SUMIF('Revenue and costs'!$D$1032:$D$1159,C336,'Revenue and costs'!AE1032:AE1159)</x:f>
        <x:v>212535.22583783252</x:v>
      </x:c>
      <x:c r="G336" s="10" t="n">
        <x:f>IF('Income statement'!L50=0,1/39,E336/'Income statement'!L50)*('Shared costs'!P21+'Assumptions'!$D$18*'Assumptions'!$D$19*12*(1+'Assumptions'!$D$13)^(9-1)*'Assumptions'!$D$21)</x:f>
        <x:v>10282.821899532815</x:v>
      </x:c>
      <x:c r="H336" s="10" t="n">
        <x:f>IF('Income statement'!L50=0,1/39,E336/'Income statement'!L50)*'Cash and capital'!L18</x:f>
        <x:v>50.59174496951669</x:v>
      </x:c>
      <x:c r="I336" s="10" t="n">
        <x:f>E336-F336-G336-H336</x:f>
        <x:v>24506.084322470288</x:v>
      </x:c>
      <x:c r="J336" s="10" t="n">
        <x:f>M297</x:f>
        <x:v>0</x:v>
      </x:c>
      <x:c r="K336" s="10" t="n">
        <x:f>MAX(0,I336-J336)</x:f>
        <x:v>24506.084322470288</x:v>
      </x:c>
      <x:c r="L336" s="10" t="n">
        <x:f>K336*'Assumptions'!$D$12</x:f>
        <x:v>6126.521080617572</x:v>
      </x:c>
      <x:c r="M336" s="10" t="n">
        <x:f>MAX(0,J336-I336)</x:f>
        <x:v>0</x:v>
      </x:c>
    </x:row>
    <x:row r="337" ht="16" customHeight="1">
      <x:c r="A337" s="1"/>
      <x:c r="B337" s="1"/>
      <x:c r="C337" s="1" t="str">
        <x:v>S’otality laundry</x:v>
      </x:c>
      <x:c r="D337" s="10" t="n">
        <x:v>9</x:v>
      </x:c>
      <x:c r="E337" s="10" t="n">
        <x:f>SUMIF('Revenue and costs'!$D$1032:$D$1159,C337,'Revenue and costs'!N1032:N1159)</x:f>
        <x:v>38341.662128184485</x:v>
      </x:c>
      <x:c r="F337" s="10" t="n">
        <x:f>SUMIF('Revenue and costs'!$D$1032:$D$1159,C337,'Revenue and costs'!O1032:O1159)+SUMIF('Revenue and costs'!$D$1032:$D$1159,C337,'Revenue and costs'!P1032:P1159)+SUMIF('Revenue and costs'!$D$1032:$D$1159,C337,'Revenue and costs'!Q1032:Q1159)+SUMIF('Revenue and costs'!$D$1032:$D$1159,C337,'Revenue and costs'!R1032:R1159)+SUMIF('Revenue and costs'!$D$1032:$D$1159,C337,'Revenue and costs'!S1032:S1159)+SUMIF('Revenue and costs'!$D$1032:$D$1159,C337,'Revenue and costs'!T1032:T1159)+SUMIF('Revenue and costs'!$D$1032:$D$1159,C337,'Revenue and costs'!U1032:U1159)+SUMIF('Revenue and costs'!$D$1032:$D$1159,C337,'Revenue and costs'!V1032:V1159)+SUMIF('Revenue and costs'!$D$1032:$D$1159,C337,'Revenue and costs'!AE1032:AE1159)</x:f>
        <x:v>35308.07228950876</x:v>
      </x:c>
      <x:c r="G337" s="10" t="n">
        <x:f>IF('Income statement'!L50=0,1/39,E337/'Income statement'!L50)*('Shared costs'!P21+'Assumptions'!$D$18*'Assumptions'!$D$19*12*(1+'Assumptions'!$D$13)^(9-1)*'Assumptions'!$D$21)</x:f>
        <x:v>1593.7783655992305</x:v>
      </x:c>
      <x:c r="H337" s="10" t="n">
        <x:f>IF('Income statement'!L50=0,1/39,E337/'Income statement'!L50)*'Cash and capital'!L18</x:f>
        <x:v>7.8414300469400136</x:v>
      </x:c>
      <x:c r="I337" s="10" t="n">
        <x:f>E337-F337-G337-H337</x:f>
        <x:v>1431.9700430295547</x:v>
      </x:c>
      <x:c r="J337" s="10" t="n">
        <x:f>M298</x:f>
        <x:v>0</x:v>
      </x:c>
      <x:c r="K337" s="10" t="n">
        <x:f>MAX(0,I337-J337)</x:f>
        <x:v>1431.9700430295547</x:v>
      </x:c>
      <x:c r="L337" s="10" t="n">
        <x:f>K337*'Assumptions'!$D$12</x:f>
        <x:v>357.9925107573887</x:v>
      </x:c>
      <x:c r="M337" s="10" t="n">
        <x:f>MAX(0,J337-I337)</x:f>
        <x:v>0</x:v>
      </x:c>
    </x:row>
    <x:row r="338" ht="16" customHeight="1">
      <x:c r="A338" s="1"/>
      <x:c r="B338" s="1"/>
      <x:c r="C338" s="1" t="str">
        <x:v>S’otality Personal Chef</x:v>
      </x:c>
      <x:c r="D338" s="10" t="n">
        <x:v>9</x:v>
      </x:c>
      <x:c r="E338" s="10" t="n">
        <x:f>SUMIF('Revenue and costs'!$D$1032:$D$1159,C338,'Revenue and costs'!N1032:N1159)</x:f>
        <x:v>69041.88334328705</x:v>
      </x:c>
      <x:c r="F338" s="10" t="n">
        <x:f>SUMIF('Revenue and costs'!$D$1032:$D$1159,C338,'Revenue and costs'!O1032:O1159)+SUMIF('Revenue and costs'!$D$1032:$D$1159,C338,'Revenue and costs'!P1032:P1159)+SUMIF('Revenue and costs'!$D$1032:$D$1159,C338,'Revenue and costs'!Q1032:Q1159)+SUMIF('Revenue and costs'!$D$1032:$D$1159,C338,'Revenue and costs'!R1032:R1159)+SUMIF('Revenue and costs'!$D$1032:$D$1159,C338,'Revenue and costs'!S1032:S1159)+SUMIF('Revenue and costs'!$D$1032:$D$1159,C338,'Revenue and costs'!T1032:T1159)+SUMIF('Revenue and costs'!$D$1032:$D$1159,C338,'Revenue and costs'!U1032:U1159)+SUMIF('Revenue and costs'!$D$1032:$D$1159,C338,'Revenue and costs'!V1032:V1159)+SUMIF('Revenue and costs'!$D$1032:$D$1159,C338,'Revenue and costs'!AE1032:AE1159)</x:f>
        <x:v>55359.89893481935</x:v>
      </x:c>
      <x:c r="G338" s="10" t="n">
        <x:f>IF('Income statement'!L50=0,1/39,E338/'Income statement'!L50)*('Shared costs'!P21+'Assumptions'!$D$18*'Assumptions'!$D$19*12*(1+'Assumptions'!$D$13)^(9-1)*'Assumptions'!$D$21)</x:f>
        <x:v>2869.9188789697664</x:v>
      </x:c>
      <x:c r="H338" s="10" t="n">
        <x:f>IF('Income statement'!L50=0,1/39,E338/'Income statement'!L50)*'Cash and capital'!L18</x:f>
        <x:v>14.120073791673503</x:v>
      </x:c>
      <x:c r="I338" s="10" t="n">
        <x:f>E338-F338-G338-H338</x:f>
        <x:v>10797.945455706256</x:v>
      </x:c>
      <x:c r="J338" s="10" t="n">
        <x:f>M299</x:f>
        <x:v>0</x:v>
      </x:c>
      <x:c r="K338" s="10" t="n">
        <x:f>MAX(0,I338-J338)</x:f>
        <x:v>10797.945455706256</x:v>
      </x:c>
      <x:c r="L338" s="10" t="n">
        <x:f>K338*'Assumptions'!$D$12</x:f>
        <x:v>2699.486363926564</x:v>
      </x:c>
      <x:c r="M338" s="10" t="n">
        <x:f>MAX(0,J338-I338)</x:f>
        <x:v>0</x:v>
      </x:c>
    </x:row>
    <x:row r="339" ht="16" customHeight="1">
      <x:c r="A339" s="1"/>
      <x:c r="B339" s="1"/>
      <x:c r="C339" s="1" t="str">
        <x:v>S’otality interiors</x:v>
      </x:c>
      <x:c r="D339" s="10" t="n">
        <x:v>9</x:v>
      </x:c>
      <x:c r="E339" s="10" t="n">
        <x:f>SUMIF('Revenue and costs'!$D$1032:$D$1159,C339,'Revenue and costs'!N1032:N1159)</x:f>
        <x:v>89419.03780456557</x:v>
      </x:c>
      <x:c r="F339" s="10" t="n">
        <x:f>SUMIF('Revenue and costs'!$D$1032:$D$1159,C339,'Revenue and costs'!O1032:O1159)+SUMIF('Revenue and costs'!$D$1032:$D$1159,C339,'Revenue and costs'!P1032:P1159)+SUMIF('Revenue and costs'!$D$1032:$D$1159,C339,'Revenue and costs'!Q1032:Q1159)+SUMIF('Revenue and costs'!$D$1032:$D$1159,C339,'Revenue and costs'!R1032:R1159)+SUMIF('Revenue and costs'!$D$1032:$D$1159,C339,'Revenue and costs'!S1032:S1159)+SUMIF('Revenue and costs'!$D$1032:$D$1159,C339,'Revenue and costs'!T1032:T1159)+SUMIF('Revenue and costs'!$D$1032:$D$1159,C339,'Revenue and costs'!U1032:U1159)+SUMIF('Revenue and costs'!$D$1032:$D$1159,C339,'Revenue and costs'!V1032:V1159)+SUMIF('Revenue and costs'!$D$1032:$D$1159,C339,'Revenue and costs'!AE1032:AE1159)</x:f>
        <x:v>55105.46471615873</x:v>
      </x:c>
      <x:c r="G339" s="10" t="n">
        <x:f>IF('Income statement'!L50=0,1/39,E339/'Income statement'!L50)*('Shared costs'!P21+'Assumptions'!$D$18*'Assumptions'!$D$19*12*(1+'Assumptions'!$D$13)^(9-1)*'Assumptions'!$D$21)</x:f>
        <x:v>3716.9522658970996</x:v>
      </x:c>
      <x:c r="H339" s="10" t="n">
        <x:f>IF('Income statement'!L50=0,1/39,E339/'Income statement'!L50)*'Cash and capital'!L18</x:f>
        <x:v>18.287499573310406</x:v>
      </x:c>
      <x:c r="I339" s="10" t="n">
        <x:f>E339-F339-G339-H339</x:f>
        <x:v>30578.33332293643</x:v>
      </x:c>
      <x:c r="J339" s="10" t="n">
        <x:f>M300</x:f>
        <x:v>0</x:v>
      </x:c>
      <x:c r="K339" s="10" t="n">
        <x:f>MAX(0,I339-J339)</x:f>
        <x:v>30578.33332293643</x:v>
      </x:c>
      <x:c r="L339" s="10" t="n">
        <x:f>K339*'Assumptions'!$D$12</x:f>
        <x:v>7644.583330734107</x:v>
      </x:c>
      <x:c r="M339" s="10" t="n">
        <x:f>MAX(0,J339-I339)</x:f>
        <x:v>0</x:v>
      </x:c>
    </x:row>
    <x:row r="340" ht="16" customHeight="1">
      <x:c r="A340" s="1"/>
      <x:c r="B340" s="1"/>
      <x:c r="C340" s="1" t="str">
        <x:v>S’otality concierge</x:v>
      </x:c>
      <x:c r="D340" s="10" t="n">
        <x:v>9</x:v>
      </x:c>
      <x:c r="E340" s="10" t="n">
        <x:f>SUMIF('Revenue and costs'!$D$1032:$D$1159,C340,'Revenue and costs'!N1032:N1159)</x:f>
        <x:v>32640.098588891502</x:v>
      </x:c>
      <x:c r="F340" s="10" t="n">
        <x:f>SUMIF('Revenue and costs'!$D$1032:$D$1159,C340,'Revenue and costs'!O1032:O1159)+SUMIF('Revenue and costs'!$D$1032:$D$1159,C340,'Revenue and costs'!P1032:P1159)+SUMIF('Revenue and costs'!$D$1032:$D$1159,C340,'Revenue and costs'!Q1032:Q1159)+SUMIF('Revenue and costs'!$D$1032:$D$1159,C340,'Revenue and costs'!R1032:R1159)+SUMIF('Revenue and costs'!$D$1032:$D$1159,C340,'Revenue and costs'!S1032:S1159)+SUMIF('Revenue and costs'!$D$1032:$D$1159,C340,'Revenue and costs'!T1032:T1159)+SUMIF('Revenue and costs'!$D$1032:$D$1159,C340,'Revenue and costs'!U1032:U1159)+SUMIF('Revenue and costs'!$D$1032:$D$1159,C340,'Revenue and costs'!V1032:V1159)+SUMIF('Revenue and costs'!$D$1032:$D$1159,C340,'Revenue and costs'!AE1032:AE1159)</x:f>
        <x:v>18767.827589577035</x:v>
      </x:c>
      <x:c r="G340" s="10" t="n">
        <x:f>IF('Income statement'!L50=0,1/39,E340/'Income statement'!L50)*('Shared costs'!P21+'Assumptions'!$D$18*'Assumptions'!$D$19*12*(1+'Assumptions'!$D$13)^(9-1)*'Assumptions'!$D$21)</x:f>
        <x:v>1356.7769390926114</x:v>
      </x:c>
      <x:c r="H340" s="10" t="n">
        <x:f>IF('Income statement'!L50=0,1/39,E340/'Income statement'!L50)*'Cash and capital'!L18</x:f>
        <x:v>6.6753770077660795</x:v>
      </x:c>
      <x:c r="I340" s="10" t="n">
        <x:f>E340-F340-G340-H340</x:f>
        <x:v>12508.81868321409</x:v>
      </x:c>
      <x:c r="J340" s="10" t="n">
        <x:f>M301</x:f>
        <x:v>0</x:v>
      </x:c>
      <x:c r="K340" s="10" t="n">
        <x:f>MAX(0,I340-J340)</x:f>
        <x:v>12508.81868321409</x:v>
      </x:c>
      <x:c r="L340" s="10" t="n">
        <x:f>K340*'Assumptions'!$D$12</x:f>
        <x:v>3127.2046708035223</x:v>
      </x:c>
      <x:c r="M340" s="10" t="n">
        <x:f>MAX(0,J340-I340)</x:f>
        <x:v>0</x:v>
      </x:c>
    </x:row>
    <x:row r="341" ht="16" customHeight="1">
      <x:c r="A341" s="1"/>
      <x:c r="B341" s="1"/>
      <x:c r="C341" s="1" t="str">
        <x:v>S’otality administration</x:v>
      </x:c>
      <x:c r="D341" s="10" t="n">
        <x:v>9</x:v>
      </x:c>
      <x:c r="E341" s="10" t="n">
        <x:f>SUMIF('Revenue and costs'!$D$1032:$D$1159,C341,'Revenue and costs'!N1032:N1159)</x:f>
        <x:v>52224.15774222641</x:v>
      </x:c>
      <x:c r="F341" s="10" t="n">
        <x:f>SUMIF('Revenue and costs'!$D$1032:$D$1159,C341,'Revenue and costs'!O1032:O1159)+SUMIF('Revenue and costs'!$D$1032:$D$1159,C341,'Revenue and costs'!P1032:P1159)+SUMIF('Revenue and costs'!$D$1032:$D$1159,C341,'Revenue and costs'!Q1032:Q1159)+SUMIF('Revenue and costs'!$D$1032:$D$1159,C341,'Revenue and costs'!R1032:R1159)+SUMIF('Revenue and costs'!$D$1032:$D$1159,C341,'Revenue and costs'!S1032:S1159)+SUMIF('Revenue and costs'!$D$1032:$D$1159,C341,'Revenue and costs'!T1032:T1159)+SUMIF('Revenue and costs'!$D$1032:$D$1159,C341,'Revenue and costs'!U1032:U1159)+SUMIF('Revenue and costs'!$D$1032:$D$1159,C341,'Revenue and costs'!V1032:V1159)+SUMIF('Revenue and costs'!$D$1032:$D$1159,C341,'Revenue and costs'!AE1032:AE1159)</x:f>
        <x:v>40261.19112562218</x:v>
      </x:c>
      <x:c r="G341" s="10" t="n">
        <x:f>IF('Income statement'!L50=0,1/39,E341/'Income statement'!L50)*('Shared costs'!P21+'Assumptions'!$D$18*'Assumptions'!$D$19*12*(1+'Assumptions'!$D$13)^(9-1)*'Assumptions'!$D$21)</x:f>
        <x:v>2170.8431025481786</x:v>
      </x:c>
      <x:c r="H341" s="10" t="n">
        <x:f>IF('Income statement'!L50=0,1/39,E341/'Income statement'!L50)*'Cash and capital'!L18</x:f>
        <x:v>10.680603212425728</x:v>
      </x:c>
      <x:c r="I341" s="10" t="n">
        <x:f>E341-F341-G341-H341</x:f>
        <x:v>9781.442910843625</x:v>
      </x:c>
      <x:c r="J341" s="10" t="n">
        <x:f>M302</x:f>
        <x:v>0</x:v>
      </x:c>
      <x:c r="K341" s="10" t="n">
        <x:f>MAX(0,I341-J341)</x:f>
        <x:v>9781.442910843625</x:v>
      </x:c>
      <x:c r="L341" s="10" t="n">
        <x:f>K341*'Assumptions'!$D$12</x:f>
        <x:v>2445.3607277109063</x:v>
      </x:c>
      <x:c r="M341" s="10" t="n">
        <x:f>MAX(0,J341-I341)</x:f>
        <x:v>0</x:v>
      </x:c>
    </x:row>
    <x:row r="342" ht="16" customHeight="1">
      <x:c r="A342" s="1"/>
      <x:c r="B342" s="1"/>
      <x:c r="C342" s="1" t="str">
        <x:v>S’otality bike tours</x:v>
      </x:c>
      <x:c r="D342" s="10" t="n">
        <x:v>9</x:v>
      </x:c>
      <x:c r="E342" s="10" t="n">
        <x:f>SUMIF('Revenue and costs'!$D$1032:$D$1159,C342,'Revenue and costs'!N1032:N1159)</x:f>
        <x:v>27616.75333731482</x:v>
      </x:c>
      <x:c r="F342" s="10" t="n">
        <x:f>SUMIF('Revenue and costs'!$D$1032:$D$1159,C342,'Revenue and costs'!O1032:O1159)+SUMIF('Revenue and costs'!$D$1032:$D$1159,C342,'Revenue and costs'!P1032:P1159)+SUMIF('Revenue and costs'!$D$1032:$D$1159,C342,'Revenue and costs'!Q1032:Q1159)+SUMIF('Revenue and costs'!$D$1032:$D$1159,C342,'Revenue and costs'!R1032:R1159)+SUMIF('Revenue and costs'!$D$1032:$D$1159,C342,'Revenue and costs'!S1032:S1159)+SUMIF('Revenue and costs'!$D$1032:$D$1159,C342,'Revenue and costs'!T1032:T1159)+SUMIF('Revenue and costs'!$D$1032:$D$1159,C342,'Revenue and costs'!U1032:U1159)+SUMIF('Revenue and costs'!$D$1032:$D$1159,C342,'Revenue and costs'!V1032:V1159)+SUMIF('Revenue and costs'!$D$1032:$D$1159,C342,'Revenue and costs'!AE1032:AE1159)</x:f>
        <x:v>22549.882066205</x:v>
      </x:c>
      <x:c r="G342" s="10" t="n">
        <x:f>IF('Income statement'!L50=0,1/39,E342/'Income statement'!L50)*('Shared costs'!P21+'Assumptions'!$D$18*'Assumptions'!$D$19*12*(1+'Assumptions'!$D$13)^(9-1)*'Assumptions'!$D$21)</x:f>
        <x:v>1147.9675515879067</x:v>
      </x:c>
      <x:c r="H342" s="10" t="n">
        <x:f>IF('Income statement'!L50=0,1/39,E342/'Income statement'!L50)*'Cash and capital'!L18</x:f>
        <x:v>5.648029516669402</x:v>
      </x:c>
      <x:c r="I342" s="10" t="n">
        <x:f>E342-F342-G342-H342</x:f>
        <x:v>3913.2556900052473</x:v>
      </x:c>
      <x:c r="J342" s="10" t="n">
        <x:f>M303</x:f>
        <x:v>0</x:v>
      </x:c>
      <x:c r="K342" s="10" t="n">
        <x:f>MAX(0,I342-J342)</x:f>
        <x:v>3913.2556900052473</x:v>
      </x:c>
      <x:c r="L342" s="10" t="n">
        <x:f>K342*'Assumptions'!$D$12</x:f>
        <x:v>978.3139225013118</x:v>
      </x:c>
      <x:c r="M342" s="10" t="n">
        <x:f>MAX(0,J342-I342)</x:f>
        <x:v>0</x:v>
      </x:c>
    </x:row>
    <x:row r="343" ht="16" customHeight="1">
      <x:c r="A343" s="1"/>
      <x:c r="B343" s="1"/>
      <x:c r="C343" s="1" t="str">
        <x:v>S’otality editorial</x:v>
      </x:c>
      <x:c r="D343" s="10" t="n">
        <x:v>9</x:v>
      </x:c>
      <x:c r="E343" s="10" t="n">
        <x:f>SUMIF('Revenue and costs'!$D$1032:$D$1159,C343,'Revenue and costs'!N1032:N1159)</x:f>
        <x:v>12900.942373390084</x:v>
      </x:c>
      <x:c r="F343" s="10" t="n">
        <x:f>SUMIF('Revenue and costs'!$D$1032:$D$1159,C343,'Revenue and costs'!O1032:O1159)+SUMIF('Revenue and costs'!$D$1032:$D$1159,C343,'Revenue and costs'!P1032:P1159)+SUMIF('Revenue and costs'!$D$1032:$D$1159,C343,'Revenue and costs'!Q1032:Q1159)+SUMIF('Revenue and costs'!$D$1032:$D$1159,C343,'Revenue and costs'!R1032:R1159)+SUMIF('Revenue and costs'!$D$1032:$D$1159,C343,'Revenue and costs'!S1032:S1159)+SUMIF('Revenue and costs'!$D$1032:$D$1159,C343,'Revenue and costs'!T1032:T1159)+SUMIF('Revenue and costs'!$D$1032:$D$1159,C343,'Revenue and costs'!U1032:U1159)+SUMIF('Revenue and costs'!$D$1032:$D$1159,C343,'Revenue and costs'!V1032:V1159)+SUMIF('Revenue and costs'!$D$1032:$D$1159,C343,'Revenue and costs'!AE1032:AE1159)</x:f>
        <x:v>7341.726476267069</x:v>
      </x:c>
      <x:c r="G343" s="10" t="n">
        <x:f>IF('Income statement'!L50=0,1/39,E343/'Income statement'!L50)*('Shared costs'!P21+'Assumptions'!$D$18*'Assumptions'!$D$19*12*(1+'Assumptions'!$D$13)^(9-1)*'Assumptions'!$D$21)</x:f>
        <x:v>536.263732693977</x:v>
      </x:c>
      <x:c r="H343" s="10" t="n">
        <x:f>IF('Income statement'!L50=0,1/39,E343/'Income statement'!L50)*'Cash and capital'!L18</x:f>
        <x:v>2.638431188046482</x:v>
      </x:c>
      <x:c r="I343" s="10" t="n">
        <x:f>E343-F343-G343-H343</x:f>
        <x:v>5020.3137332409915</x:v>
      </x:c>
      <x:c r="J343" s="10" t="n">
        <x:f>M304</x:f>
        <x:v>0</x:v>
      </x:c>
      <x:c r="K343" s="10" t="n">
        <x:f>MAX(0,I343-J343)</x:f>
        <x:v>5020.3137332409915</x:v>
      </x:c>
      <x:c r="L343" s="10" t="n">
        <x:f>K343*'Assumptions'!$D$12</x:f>
        <x:v>1255.0784333102479</x:v>
      </x:c>
      <x:c r="M343" s="10" t="n">
        <x:f>MAX(0,J343-I343)</x:f>
        <x:v>0</x:v>
      </x:c>
    </x:row>
    <x:row r="344" ht="16" customHeight="1">
      <x:c r="A344" s="1"/>
      <x:c r="B344" s="1"/>
      <x:c r="C344" s="1" t="str">
        <x:v>Tomato Odyssey</x:v>
      </x:c>
      <x:c r="D344" s="10" t="n">
        <x:v>9</x:v>
      </x:c>
      <x:c r="E344" s="10" t="n">
        <x:f>SUMIF('Revenue and costs'!$D$1032:$D$1159,C344,'Revenue and costs'!N1032:N1159)</x:f>
        <x:v>12900.942373390084</x:v>
      </x:c>
      <x:c r="F344" s="10" t="n">
        <x:f>SUMIF('Revenue and costs'!$D$1032:$D$1159,C344,'Revenue and costs'!O1032:O1159)+SUMIF('Revenue and costs'!$D$1032:$D$1159,C344,'Revenue and costs'!P1032:P1159)+SUMIF('Revenue and costs'!$D$1032:$D$1159,C344,'Revenue and costs'!Q1032:Q1159)+SUMIF('Revenue and costs'!$D$1032:$D$1159,C344,'Revenue and costs'!R1032:R1159)+SUMIF('Revenue and costs'!$D$1032:$D$1159,C344,'Revenue and costs'!S1032:S1159)+SUMIF('Revenue and costs'!$D$1032:$D$1159,C344,'Revenue and costs'!T1032:T1159)+SUMIF('Revenue and costs'!$D$1032:$D$1159,C344,'Revenue and costs'!U1032:U1159)+SUMIF('Revenue and costs'!$D$1032:$D$1159,C344,'Revenue and costs'!V1032:V1159)+SUMIF('Revenue and costs'!$D$1032:$D$1159,C344,'Revenue and costs'!AE1032:AE1159)</x:f>
        <x:v>7341.726476267069</x:v>
      </x:c>
      <x:c r="G344" s="10" t="n">
        <x:f>IF('Income statement'!L50=0,1/39,E344/'Income statement'!L50)*('Shared costs'!P21+'Assumptions'!$D$18*'Assumptions'!$D$19*12*(1+'Assumptions'!$D$13)^(9-1)*'Assumptions'!$D$21)</x:f>
        <x:v>536.263732693977</x:v>
      </x:c>
      <x:c r="H344" s="10" t="n">
        <x:f>IF('Income statement'!L50=0,1/39,E344/'Income statement'!L50)*'Cash and capital'!L18</x:f>
        <x:v>2.638431188046482</x:v>
      </x:c>
      <x:c r="I344" s="10" t="n">
        <x:f>E344-F344-G344-H344</x:f>
        <x:v>5020.3137332409915</x:v>
      </x:c>
      <x:c r="J344" s="10" t="n">
        <x:f>M305</x:f>
        <x:v>0</x:v>
      </x:c>
      <x:c r="K344" s="10" t="n">
        <x:f>MAX(0,I344-J344)</x:f>
        <x:v>5020.3137332409915</x:v>
      </x:c>
      <x:c r="L344" s="10" t="n">
        <x:f>K344*'Assumptions'!$D$12</x:f>
        <x:v>1255.0784333102479</x:v>
      </x:c>
      <x:c r="M344" s="10" t="n">
        <x:f>MAX(0,J344-I344)</x:f>
        <x:v>0</x:v>
      </x:c>
    </x:row>
    <x:row r="345" ht="16" customHeight="1">
      <x:c r="A345" s="1"/>
      <x:c r="B345" s="1"/>
      <x:c r="C345" s="1" t="str">
        <x:v>Semajes Studio</x:v>
      </x:c>
      <x:c r="D345" s="10" t="n">
        <x:v>9</x:v>
      </x:c>
      <x:c r="E345" s="10" t="n">
        <x:f>SUMIF('Revenue and costs'!$D$1032:$D$1159,C345,'Revenue and costs'!N1032:N1159)</x:f>
        <x:v>168363.32192689407</x:v>
      </x:c>
      <x:c r="F345" s="10" t="n">
        <x:f>SUMIF('Revenue and costs'!$D$1032:$D$1159,C345,'Revenue and costs'!O1032:O1159)+SUMIF('Revenue and costs'!$D$1032:$D$1159,C345,'Revenue and costs'!P1032:P1159)+SUMIF('Revenue and costs'!$D$1032:$D$1159,C345,'Revenue and costs'!Q1032:Q1159)+SUMIF('Revenue and costs'!$D$1032:$D$1159,C345,'Revenue and costs'!R1032:R1159)+SUMIF('Revenue and costs'!$D$1032:$D$1159,C345,'Revenue and costs'!S1032:S1159)+SUMIF('Revenue and costs'!$D$1032:$D$1159,C345,'Revenue and costs'!T1032:T1159)+SUMIF('Revenue and costs'!$D$1032:$D$1159,C345,'Revenue and costs'!U1032:U1159)+SUMIF('Revenue and costs'!$D$1032:$D$1159,C345,'Revenue and costs'!V1032:V1159)+SUMIF('Revenue and costs'!$D$1032:$D$1159,C345,'Revenue and costs'!AE1032:AE1159)</x:f>
        <x:v>108827.10511738065</x:v>
      </x:c>
      <x:c r="G345" s="10" t="n">
        <x:f>IF('Income statement'!L50=0,1/39,E345/'Income statement'!L50)*('Shared costs'!P21+'Assumptions'!$D$18*'Assumptions'!$D$19*12*(1+'Assumptions'!$D$13)^(9-1)*'Assumptions'!$D$21)</x:f>
        <x:v>6998.492114149987</x:v>
      </x:c>
      <x:c r="H345" s="10" t="n">
        <x:f>IF('Income statement'!L50=0,1/39,E345/'Income statement'!L50)*'Cash and capital'!L18</x:f>
        <x:v>34.432758990636245</x:v>
      </x:c>
      <x:c r="I345" s="10" t="n">
        <x:f>E345-F345-G345-H345</x:f>
        <x:v>52503.2919363728</x:v>
      </x:c>
      <x:c r="J345" s="10" t="n">
        <x:f>M306</x:f>
        <x:v>0</x:v>
      </x:c>
      <x:c r="K345" s="10" t="n">
        <x:f>MAX(0,I345-J345)</x:f>
        <x:v>52503.2919363728</x:v>
      </x:c>
      <x:c r="L345" s="10" t="n">
        <x:f>K345*'Assumptions'!$D$12</x:f>
        <x:v>13125.8229840932</x:v>
      </x:c>
      <x:c r="M345" s="10" t="n">
        <x:f>MAX(0,J345-I345)</x:f>
        <x:v>0</x:v>
      </x:c>
    </x:row>
    <x:row r="346" ht="16" customHeight="1">
      <x:c r="A346" s="1"/>
      <x:c r="B346" s="1"/>
      <x:c r="C346" s="1" t="str">
        <x:v>Semajes Marketplace</x:v>
      </x:c>
      <x:c r="D346" s="10" t="n">
        <x:v>9</x:v>
      </x:c>
      <x:c r="E346" s="10" t="n">
        <x:f>SUMIF('Revenue and costs'!$D$1032:$D$1159,C346,'Revenue and costs'!N1032:N1159)</x:f>
        <x:v>52099.32413749058</x:v>
      </x:c>
      <x:c r="F346" s="10" t="n">
        <x:f>SUMIF('Revenue and costs'!$D$1032:$D$1159,C346,'Revenue and costs'!O1032:O1159)+SUMIF('Revenue and costs'!$D$1032:$D$1159,C346,'Revenue and costs'!P1032:P1159)+SUMIF('Revenue and costs'!$D$1032:$D$1159,C346,'Revenue and costs'!Q1032:Q1159)+SUMIF('Revenue and costs'!$D$1032:$D$1159,C346,'Revenue and costs'!R1032:R1159)+SUMIF('Revenue and costs'!$D$1032:$D$1159,C346,'Revenue and costs'!S1032:S1159)+SUMIF('Revenue and costs'!$D$1032:$D$1159,C346,'Revenue and costs'!T1032:T1159)+SUMIF('Revenue and costs'!$D$1032:$D$1159,C346,'Revenue and costs'!U1032:U1159)+SUMIF('Revenue and costs'!$D$1032:$D$1159,C346,'Revenue and costs'!V1032:V1159)+SUMIF('Revenue and costs'!$D$1032:$D$1159,C346,'Revenue and costs'!AE1032:AE1159)</x:f>
        <x:v>25556.41221055003</x:v>
      </x:c>
      <x:c r="G346" s="10" t="n">
        <x:f>IF('Income statement'!L50=0,1/39,E346/'Income statement'!L50)*('Shared costs'!P21+'Assumptions'!$D$18*'Assumptions'!$D$19*12*(1+'Assumptions'!$D$13)^(9-1)*'Assumptions'!$D$21)</x:f>
        <x:v>2165.654044810865</x:v>
      </x:c>
      <x:c r="H346" s="10" t="n">
        <x:f>IF('Income statement'!L50=0,1/39,E346/'Income statement'!L50)*'Cash and capital'!L18</x:f>
        <x:v>10.655072916535822</x:v>
      </x:c>
      <x:c r="I346" s="10" t="n">
        <x:f>E346-F346-G346-H346</x:f>
        <x:v>24366.60280921315</x:v>
      </x:c>
      <x:c r="J346" s="10" t="n">
        <x:f>M307</x:f>
        <x:v>0</x:v>
      </x:c>
      <x:c r="K346" s="10" t="n">
        <x:f>MAX(0,I346-J346)</x:f>
        <x:v>24366.60280921315</x:v>
      </x:c>
      <x:c r="L346" s="10" t="n">
        <x:f>K346*'Assumptions'!$D$12</x:f>
        <x:v>6091.650702303287</x:v>
      </x:c>
      <x:c r="M346" s="10" t="n">
        <x:f>MAX(0,J346-I346)</x:f>
        <x:v>0</x:v>
      </x:c>
    </x:row>
    <x:row r="347" ht="16" customHeight="1">
      <x:c r="A347" s="1"/>
      <x:c r="B347" s="1"/>
      <x:c r="C347" s="1" t="str">
        <x:v>Semajes premium and media</x:v>
      </x:c>
      <x:c r="D347" s="10" t="n">
        <x:v>9</x:v>
      </x:c>
      <x:c r="E347" s="10" t="n">
        <x:f>SUMIF('Revenue and costs'!$D$1032:$D$1159,C347,'Revenue and costs'!N1032:N1159)</x:f>
        <x:v>36342.79881050357</x:v>
      </x:c>
      <x:c r="F347" s="10" t="n">
        <x:f>SUMIF('Revenue and costs'!$D$1032:$D$1159,C347,'Revenue and costs'!O1032:O1159)+SUMIF('Revenue and costs'!$D$1032:$D$1159,C347,'Revenue and costs'!P1032:P1159)+SUMIF('Revenue and costs'!$D$1032:$D$1159,C347,'Revenue and costs'!Q1032:Q1159)+SUMIF('Revenue and costs'!$D$1032:$D$1159,C347,'Revenue and costs'!R1032:R1159)+SUMIF('Revenue and costs'!$D$1032:$D$1159,C347,'Revenue and costs'!S1032:S1159)+SUMIF('Revenue and costs'!$D$1032:$D$1159,C347,'Revenue and costs'!T1032:T1159)+SUMIF('Revenue and costs'!$D$1032:$D$1159,C347,'Revenue and costs'!U1032:U1159)+SUMIF('Revenue and costs'!$D$1032:$D$1159,C347,'Revenue and costs'!V1032:V1159)+SUMIF('Revenue and costs'!$D$1032:$D$1159,C347,'Revenue and costs'!AE1032:AE1159)</x:f>
        <x:v>19843.68623874429</x:v>
      </x:c>
      <x:c r="G347" s="10" t="n">
        <x:f>IF('Income statement'!L50=0,1/39,E347/'Income statement'!L50)*('Shared costs'!P21+'Assumptions'!$D$18*'Assumptions'!$D$19*12*(1+'Assumptions'!$D$13)^(9-1)*'Assumptions'!$D$21)</x:f>
        <x:v>1510.690024231579</x:v>
      </x:c>
      <x:c r="H347" s="10" t="n">
        <x:f>IF('Income statement'!L50=0,1/39,E347/'Income statement'!L50)*'Cash and capital'!L18</x:f>
        <x:v>7.432633296642962</x:v>
      </x:c>
      <x:c r="I347" s="10" t="n">
        <x:f>E347-F347-G347-H347</x:f>
        <x:v>14980.989914231059</x:v>
      </x:c>
      <x:c r="J347" s="10" t="n">
        <x:f>M308</x:f>
        <x:v>0</x:v>
      </x:c>
      <x:c r="K347" s="10" t="n">
        <x:f>MAX(0,I347-J347)</x:f>
        <x:v>14980.989914231059</x:v>
      </x:c>
      <x:c r="L347" s="10" t="n">
        <x:f>K347*'Assumptions'!$D$12</x:f>
        <x:v>3745.2474785577647</x:v>
      </x:c>
      <x:c r="M347" s="10" t="n">
        <x:f>MAX(0,J347-I347)</x:f>
        <x:v>0</x:v>
      </x:c>
    </x:row>
    <x:row r="348" ht="16" customHeight="1">
      <x:c r="A348" s="1"/>
      <x:c r="B348" s="1"/>
      <x:c r="C348" s="1" t="str">
        <x:v>Semajes courses</x:v>
      </x:c>
      <x:c r="D348" s="10" t="n">
        <x:v>9</x:v>
      </x:c>
      <x:c r="E348" s="10" t="n">
        <x:f>SUMIF('Revenue and costs'!$D$1032:$D$1159,C348,'Revenue and costs'!N1032:N1159)</x:f>
        <x:v>20736.889445471214</x:v>
      </x:c>
      <x:c r="F348" s="10" t="n">
        <x:f>SUMIF('Revenue and costs'!$D$1032:$D$1159,C348,'Revenue and costs'!O1032:O1159)+SUMIF('Revenue and costs'!$D$1032:$D$1159,C348,'Revenue and costs'!P1032:P1159)+SUMIF('Revenue and costs'!$D$1032:$D$1159,C348,'Revenue and costs'!Q1032:Q1159)+SUMIF('Revenue and costs'!$D$1032:$D$1159,C348,'Revenue and costs'!R1032:R1159)+SUMIF('Revenue and costs'!$D$1032:$D$1159,C348,'Revenue and costs'!S1032:S1159)+SUMIF('Revenue and costs'!$D$1032:$D$1159,C348,'Revenue and costs'!T1032:T1159)+SUMIF('Revenue and costs'!$D$1032:$D$1159,C348,'Revenue and costs'!U1032:U1159)+SUMIF('Revenue and costs'!$D$1032:$D$1159,C348,'Revenue and costs'!V1032:V1159)+SUMIF('Revenue and costs'!$D$1032:$D$1159,C348,'Revenue and costs'!AE1032:AE1159)</x:f>
        <x:v>6686.591454103769</x:v>
      </x:c>
      <x:c r="G348" s="10" t="n">
        <x:f>IF('Income statement'!L50=0,1/39,E348/'Income statement'!L50)*('Shared costs'!P21+'Assumptions'!$D$18*'Assumptions'!$D$19*12*(1+'Assumptions'!$D$13)^(9-1)*'Assumptions'!$D$21)</x:f>
        <x:v>861.9867771387092</x:v>
      </x:c>
      <x:c r="H348" s="10" t="n">
        <x:f>IF('Income statement'!L50=0,1/39,E348/'Income statement'!L50)*'Cash and capital'!L18</x:f>
        <x:v>4.240996841351353</x:v>
      </x:c>
      <x:c r="I348" s="10" t="n">
        <x:f>E348-F348-G348-H348</x:f>
        <x:v>13184.070217387383</x:v>
      </x:c>
      <x:c r="J348" s="10" t="n">
        <x:f>M309</x:f>
        <x:v>0</x:v>
      </x:c>
      <x:c r="K348" s="10" t="n">
        <x:f>MAX(0,I348-J348)</x:f>
        <x:v>13184.070217387383</x:v>
      </x:c>
      <x:c r="L348" s="10" t="n">
        <x:f>K348*'Assumptions'!$D$12</x:f>
        <x:v>3296.017554346846</x:v>
      </x:c>
      <x:c r="M348" s="10" t="n">
        <x:f>MAX(0,J348-I348)</x:f>
        <x:v>0</x:v>
      </x:c>
    </x:row>
    <x:row r="349" ht="16" customHeight="1">
      <x:c r="A349" s="1"/>
      <x:c r="B349" s="1"/>
      <x:c r="C349" s="1" t="str">
        <x:v>Sleepy Face</x:v>
      </x:c>
      <x:c r="D349" s="10" t="n">
        <x:v>9</x:v>
      </x:c>
      <x:c r="E349" s="10" t="n">
        <x:f>SUMIF('Revenue and costs'!$D$1032:$D$1159,C349,'Revenue and costs'!N1032:N1159)</x:f>
        <x:v>265541.5042142659</x:v>
      </x:c>
      <x:c r="F349" s="10" t="n">
        <x:f>SUMIF('Revenue and costs'!$D$1032:$D$1159,C349,'Revenue and costs'!O1032:O1159)+SUMIF('Revenue and costs'!$D$1032:$D$1159,C349,'Revenue and costs'!P1032:P1159)+SUMIF('Revenue and costs'!$D$1032:$D$1159,C349,'Revenue and costs'!Q1032:Q1159)+SUMIF('Revenue and costs'!$D$1032:$D$1159,C349,'Revenue and costs'!R1032:R1159)+SUMIF('Revenue and costs'!$D$1032:$D$1159,C349,'Revenue and costs'!S1032:S1159)+SUMIF('Revenue and costs'!$D$1032:$D$1159,C349,'Revenue and costs'!T1032:T1159)+SUMIF('Revenue and costs'!$D$1032:$D$1159,C349,'Revenue and costs'!U1032:U1159)+SUMIF('Revenue and costs'!$D$1032:$D$1159,C349,'Revenue and costs'!V1032:V1159)+SUMIF('Revenue and costs'!$D$1032:$D$1159,C349,'Revenue and costs'!AE1032:AE1159)</x:f>
        <x:v>168444.29649160997</x:v>
      </x:c>
      <x:c r="G349" s="10" t="n">
        <x:f>IF('Income statement'!L50=0,1/39,E349/'Income statement'!L50)*('Shared costs'!P21+'Assumptions'!$D$18*'Assumptions'!$D$19*12*(1+'Assumptions'!$D$13)^(9-1)*'Assumptions'!$D$21)</x:f>
        <x:v>11037.974910176737</x:v>
      </x:c>
      <x:c r="H349" s="10" t="n">
        <x:f>IF('Income statement'!L50=0,1/39,E349/'Income statement'!L50)*'Cash and capital'!L18</x:f>
        <x:v>54.30711696571899</x:v>
      </x:c>
      <x:c r="I349" s="10" t="n">
        <x:f>E349-F349-G349-H349</x:f>
        <x:v>86004.92569551348</x:v>
      </x:c>
      <x:c r="J349" s="10" t="n">
        <x:f>M310</x:f>
        <x:v>0</x:v>
      </x:c>
      <x:c r="K349" s="10" t="n">
        <x:f>MAX(0,I349-J349)</x:f>
        <x:v>86004.92569551348</x:v>
      </x:c>
      <x:c r="L349" s="10" t="n">
        <x:f>K349*'Assumptions'!$D$12</x:f>
        <x:v>21501.23142387837</x:v>
      </x:c>
      <x:c r="M349" s="10" t="n">
        <x:f>MAX(0,J349-I349)</x:f>
        <x:v>0</x:v>
      </x:c>
    </x:row>
    <x:row r="350" ht="16" customHeight="1">
      <x:c r="A350" s="1"/>
      <x:c r="B350" s="1"/>
      <x:c r="C350" s="1" t="str">
        <x:v>QzoticMusic</x:v>
      </x:c>
      <x:c r="D350" s="10" t="n">
        <x:v>9</x:v>
      </x:c>
      <x:c r="E350" s="10" t="n">
        <x:f>SUMIF('Revenue and costs'!$D$1032:$D$1159,C350,'Revenue and costs'!N1032:N1159)</x:f>
        <x:v>23233.35182715473</x:v>
      </x:c>
      <x:c r="F350" s="10" t="n">
        <x:f>SUMIF('Revenue and costs'!$D$1032:$D$1159,C350,'Revenue and costs'!O1032:O1159)+SUMIF('Revenue and costs'!$D$1032:$D$1159,C350,'Revenue and costs'!P1032:P1159)+SUMIF('Revenue and costs'!$D$1032:$D$1159,C350,'Revenue and costs'!Q1032:Q1159)+SUMIF('Revenue and costs'!$D$1032:$D$1159,C350,'Revenue and costs'!R1032:R1159)+SUMIF('Revenue and costs'!$D$1032:$D$1159,C350,'Revenue and costs'!S1032:S1159)+SUMIF('Revenue and costs'!$D$1032:$D$1159,C350,'Revenue and costs'!T1032:T1159)+SUMIF('Revenue and costs'!$D$1032:$D$1159,C350,'Revenue and costs'!U1032:U1159)+SUMIF('Revenue and costs'!$D$1032:$D$1159,C350,'Revenue and costs'!V1032:V1159)+SUMIF('Revenue and costs'!$D$1032:$D$1159,C350,'Revenue and costs'!AE1032:AE1159)</x:f>
        <x:v>25564.9247204751</x:v>
      </x:c>
      <x:c r="G350" s="10" t="n">
        <x:f>IF('Income statement'!L50=0,1/39,E350/'Income statement'!L50)*('Shared costs'!P21+'Assumptions'!$D$18*'Assumptions'!$D$19*12*(1+'Assumptions'!$D$13)^(9-1)*'Assumptions'!$D$21)</x:f>
        <x:v>965.7592145765411</x:v>
      </x:c>
      <x:c r="H350" s="10" t="n">
        <x:f>IF('Income statement'!L50=0,1/39,E350/'Income statement'!L50)*'Cash and capital'!L18</x:f>
        <x:v>4.751559869770474</x:v>
      </x:c>
      <x:c r="I350" s="10" t="n">
        <x:f>E350-F350-G350-H350</x:f>
        <x:v>-3302.0836677666834</x:v>
      </x:c>
      <x:c r="J350" s="10" t="n">
        <x:f>M311</x:f>
        <x:v>14584.990819839373</x:v>
      </x:c>
      <x:c r="K350" s="10" t="n">
        <x:f>MAX(0,I350-J350)</x:f>
        <x:v>0</x:v>
      </x:c>
      <x:c r="L350" s="10" t="n">
        <x:f>K350*'Assumptions'!$D$12</x:f>
        <x:v>0</x:v>
      </x:c>
      <x:c r="M350" s="10" t="n">
        <x:f>MAX(0,J350-I350)</x:f>
        <x:v>17887.074487606056</x:v>
      </x:c>
    </x:row>
    <x:row r="351" ht="16" customHeight="1">
      <x:c r="A351" s="1"/>
      <x:c r="B351" s="1"/>
      <x:c r="C351" s="1" t="str">
        <x:v>LesPetitFilms</x:v>
      </x:c>
      <x:c r="D351" s="10" t="n">
        <x:v>9</x:v>
      </x:c>
      <x:c r="E351" s="10" t="n">
        <x:f>SUMIF('Revenue and costs'!$D$1032:$D$1159,C351,'Revenue and costs'!N1032:N1159)</x:f>
        <x:v>84777.62131084914</x:v>
      </x:c>
      <x:c r="F351" s="10" t="n">
        <x:f>SUMIF('Revenue and costs'!$D$1032:$D$1159,C351,'Revenue and costs'!O1032:O1159)+SUMIF('Revenue and costs'!$D$1032:$D$1159,C351,'Revenue and costs'!P1032:P1159)+SUMIF('Revenue and costs'!$D$1032:$D$1159,C351,'Revenue and costs'!Q1032:Q1159)+SUMIF('Revenue and costs'!$D$1032:$D$1159,C351,'Revenue and costs'!R1032:R1159)+SUMIF('Revenue and costs'!$D$1032:$D$1159,C351,'Revenue and costs'!S1032:S1159)+SUMIF('Revenue and costs'!$D$1032:$D$1159,C351,'Revenue and costs'!T1032:T1159)+SUMIF('Revenue and costs'!$D$1032:$D$1159,C351,'Revenue and costs'!U1032:U1159)+SUMIF('Revenue and costs'!$D$1032:$D$1159,C351,'Revenue and costs'!V1032:V1159)+SUMIF('Revenue and costs'!$D$1032:$D$1159,C351,'Revenue and costs'!AE1032:AE1159)</x:f>
        <x:v>49305.64536563888</x:v>
      </x:c>
      <x:c r="G351" s="10" t="n">
        <x:f>IF('Income statement'!L50=0,1/39,E351/'Income statement'!L50)*('Shared costs'!P21+'Assumptions'!$D$18*'Assumptions'!$D$19*12*(1+'Assumptions'!$D$13)^(9-1)*'Assumptions'!$D$21)</x:f>
        <x:v>3524.0188148461352</x:v>
      </x:c>
      <x:c r="H351" s="10" t="n">
        <x:f>IF('Income statement'!L50=0,1/39,E351/'Income statement'!L50)*'Cash and capital'!L18</x:f>
        <x:v>17.33826209287689</x:v>
      </x:c>
      <x:c r="I351" s="10" t="n">
        <x:f>E351-F351-G351-H351</x:f>
        <x:v>31930.61886827125</x:v>
      </x:c>
      <x:c r="J351" s="10" t="n">
        <x:f>M312</x:f>
        <x:v>0</x:v>
      </x:c>
      <x:c r="K351" s="10" t="n">
        <x:f>MAX(0,I351-J351)</x:f>
        <x:v>31930.61886827125</x:v>
      </x:c>
      <x:c r="L351" s="10" t="n">
        <x:f>K351*'Assumptions'!$D$12</x:f>
        <x:v>7982.654717067812</x:v>
      </x:c>
      <x:c r="M351" s="10" t="n">
        <x:f>MAX(0,J351-I351)</x:f>
        <x:v>0</x:v>
      </x:c>
    </x:row>
    <x:row r="352" ht="16" customHeight="1">
      <x:c r="A352" s="1"/>
      <x:c r="B352" s="1"/>
      <x:c r="C352" s="1" t="str">
        <x:v>Learn Anglais</x:v>
      </x:c>
      <x:c r="D352" s="10" t="n">
        <x:v>9</x:v>
      </x:c>
      <x:c r="E352" s="10" t="n">
        <x:f>SUMIF('Revenue and costs'!$D$1032:$D$1159,C352,'Revenue and costs'!N1032:N1159)</x:f>
        <x:v>86540.2294877345</x:v>
      </x:c>
      <x:c r="F352" s="10" t="n">
        <x:f>SUMIF('Revenue and costs'!$D$1032:$D$1159,C352,'Revenue and costs'!O1032:O1159)+SUMIF('Revenue and costs'!$D$1032:$D$1159,C352,'Revenue and costs'!P1032:P1159)+SUMIF('Revenue and costs'!$D$1032:$D$1159,C352,'Revenue and costs'!Q1032:Q1159)+SUMIF('Revenue and costs'!$D$1032:$D$1159,C352,'Revenue and costs'!R1032:R1159)+SUMIF('Revenue and costs'!$D$1032:$D$1159,C352,'Revenue and costs'!S1032:S1159)+SUMIF('Revenue and costs'!$D$1032:$D$1159,C352,'Revenue and costs'!T1032:T1159)+SUMIF('Revenue and costs'!$D$1032:$D$1159,C352,'Revenue and costs'!U1032:U1159)+SUMIF('Revenue and costs'!$D$1032:$D$1159,C352,'Revenue and costs'!V1032:V1159)+SUMIF('Revenue and costs'!$D$1032:$D$1159,C352,'Revenue and costs'!AE1032:AE1159)</x:f>
        <x:v>52763.15064941725</x:v>
      </x:c>
      <x:c r="G352" s="10" t="n">
        <x:f>IF('Income statement'!L50=0,1/39,E352/'Income statement'!L50)*('Shared costs'!P21+'Assumptions'!$D$18*'Assumptions'!$D$19*12*(1+'Assumptions'!$D$13)^(9-1)*'Assumptions'!$D$21)</x:f>
        <x:v>3597.286550865414</x:v>
      </x:c>
      <x:c r="H352" s="10" t="n">
        <x:f>IF('Income statement'!L50=0,1/39,E352/'Income statement'!L50)*'Cash and capital'!L18</x:f>
        <x:v>17.698741215378234</x:v>
      </x:c>
      <x:c r="I352" s="10" t="n">
        <x:f>E352-F352-G352-H352</x:f>
        <x:v>30162.093546236454</x:v>
      </x:c>
      <x:c r="J352" s="10" t="n">
        <x:f>M313</x:f>
        <x:v>0</x:v>
      </x:c>
      <x:c r="K352" s="10" t="n">
        <x:f>MAX(0,I352-J352)</x:f>
        <x:v>30162.093546236454</x:v>
      </x:c>
      <x:c r="L352" s="10" t="n">
        <x:f>K352*'Assumptions'!$D$12</x:f>
        <x:v>7540.5233865591135</x:v>
      </x:c>
      <x:c r="M352" s="10" t="n">
        <x:f>MAX(0,J352-I352)</x:f>
        <x:v>0</x:v>
      </x:c>
    </x:row>
    <x:row r="353" ht="16" customHeight="1">
      <x:c r="A353" s="1"/>
      <x:c r="B353" s="1"/>
      <x:c r="C353" s="1" t="str">
        <x:v>Fiefé</x:v>
      </x:c>
      <x:c r="D353" s="10" t="n">
        <x:v>9</x:v>
      </x:c>
      <x:c r="E353" s="10" t="n">
        <x:f>SUMIF('Revenue and costs'!$D$1032:$D$1159,C353,'Revenue and costs'!N1032:N1159)</x:f>
        <x:v>62482.16181337992</x:v>
      </x:c>
      <x:c r="F353" s="10" t="n">
        <x:f>SUMIF('Revenue and costs'!$D$1032:$D$1159,C353,'Revenue and costs'!O1032:O1159)+SUMIF('Revenue and costs'!$D$1032:$D$1159,C353,'Revenue and costs'!P1032:P1159)+SUMIF('Revenue and costs'!$D$1032:$D$1159,C353,'Revenue and costs'!Q1032:Q1159)+SUMIF('Revenue and costs'!$D$1032:$D$1159,C353,'Revenue and costs'!R1032:R1159)+SUMIF('Revenue and costs'!$D$1032:$D$1159,C353,'Revenue and costs'!S1032:S1159)+SUMIF('Revenue and costs'!$D$1032:$D$1159,C353,'Revenue and costs'!T1032:T1159)+SUMIF('Revenue and costs'!$D$1032:$D$1159,C353,'Revenue and costs'!U1032:U1159)+SUMIF('Revenue and costs'!$D$1032:$D$1159,C353,'Revenue and costs'!V1032:V1159)+SUMIF('Revenue and costs'!$D$1032:$D$1159,C353,'Revenue and costs'!AE1032:AE1159)</x:f>
        <x:v>49409.09400067661</x:v>
      </x:c>
      <x:c r="G353" s="10" t="n">
        <x:f>IF('Income statement'!L50=0,1/39,E353/'Income statement'!L50)*('Shared costs'!P21+'Assumptions'!$D$18*'Assumptions'!$D$19*12*(1+'Assumptions'!$D$13)^(9-1)*'Assumptions'!$D$21)</x:f>
        <x:v>2597.2457167117245</x:v>
      </x:c>
      <x:c r="H353" s="10" t="n">
        <x:f>IF('Income statement'!L50=0,1/39,E353/'Income statement'!L50)*'Cash and capital'!L18</x:f>
        <x:v>12.778514906401236</x:v>
      </x:c>
      <x:c r="I353" s="10" t="n">
        <x:f>E353-F353-G353-H353</x:f>
        <x:v>10463.043581085183</x:v>
      </x:c>
      <x:c r="J353" s="10" t="n">
        <x:f>M314</x:f>
        <x:v>0</x:v>
      </x:c>
      <x:c r="K353" s="10" t="n">
        <x:f>MAX(0,I353-J353)</x:f>
        <x:v>10463.043581085183</x:v>
      </x:c>
      <x:c r="L353" s="10" t="n">
        <x:f>K353*'Assumptions'!$D$12</x:f>
        <x:v>2615.760895271296</x:v>
      </x:c>
      <x:c r="M353" s="10" t="n">
        <x:f>MAX(0,J353-I353)</x:f>
        <x:v>0</x:v>
      </x:c>
    </x:row>
    <x:row r="354" ht="16" customHeight="1">
      <x:c r="A354" s="1"/>
      <x:c r="B354" s="1"/>
      <x:c r="C354" s="1" t="str">
        <x:v>Fiefé Design</x:v>
      </x:c>
      <x:c r="D354" s="10" t="n">
        <x:v>9</x:v>
      </x:c>
      <x:c r="E354" s="10" t="n">
        <x:f>SUMIF('Revenue and costs'!$D$1032:$D$1159,C354,'Revenue and costs'!N1032:N1159)</x:f>
        <x:v>38929.695833881575</x:v>
      </x:c>
      <x:c r="F354" s="10" t="n">
        <x:f>SUMIF('Revenue and costs'!$D$1032:$D$1159,C354,'Revenue and costs'!O1032:O1159)+SUMIF('Revenue and costs'!$D$1032:$D$1159,C354,'Revenue and costs'!P1032:P1159)+SUMIF('Revenue and costs'!$D$1032:$D$1159,C354,'Revenue and costs'!Q1032:Q1159)+SUMIF('Revenue and costs'!$D$1032:$D$1159,C354,'Revenue and costs'!R1032:R1159)+SUMIF('Revenue and costs'!$D$1032:$D$1159,C354,'Revenue and costs'!S1032:S1159)+SUMIF('Revenue and costs'!$D$1032:$D$1159,C354,'Revenue and costs'!T1032:T1159)+SUMIF('Revenue and costs'!$D$1032:$D$1159,C354,'Revenue and costs'!U1032:U1159)+SUMIF('Revenue and costs'!$D$1032:$D$1159,C354,'Revenue and costs'!V1032:V1159)+SUMIF('Revenue and costs'!$D$1032:$D$1159,C354,'Revenue and costs'!AE1032:AE1159)</x:f>
        <x:v>28843.123299258532</x:v>
      </x:c>
      <x:c r="G354" s="10" t="n">
        <x:f>IF('Income statement'!L50=0,1/39,E354/'Income statement'!L50)*('Shared costs'!P21+'Assumptions'!$D$18*'Assumptions'!$D$19*12*(1+'Assumptions'!$D$13)^(9-1)*'Assumptions'!$D$21)</x:f>
        <x:v>1618.2216303499845</x:v>
      </x:c>
      <x:c r="H354" s="10" t="n">
        <x:f>IF('Income statement'!L50=0,1/39,E354/'Income statement'!L50)*'Cash and capital'!L18</x:f>
        <x:v>7.961691530468062</x:v>
      </x:c>
      <x:c r="I354" s="10" t="n">
        <x:f>E354-F354-G354-H354</x:f>
        <x:v>8460.38921274259</x:v>
      </x:c>
      <x:c r="J354" s="10" t="n">
        <x:f>M315</x:f>
        <x:v>0</x:v>
      </x:c>
      <x:c r="K354" s="10" t="n">
        <x:f>MAX(0,I354-J354)</x:f>
        <x:v>8460.38921274259</x:v>
      </x:c>
      <x:c r="L354" s="10" t="n">
        <x:f>K354*'Assumptions'!$D$12</x:f>
        <x:v>2115.0973031856474</x:v>
      </x:c>
      <x:c r="M354" s="10" t="n">
        <x:f>MAX(0,J354-I354)</x:f>
        <x:v>0</x:v>
      </x:c>
    </x:row>
    <x:row r="355" ht="16" customHeight="1">
      <x:c r="A355" s="1"/>
      <x:c r="B355" s="1"/>
      <x:c r="C355" s="1" t="str">
        <x:v>OsezArt</x:v>
      </x:c>
      <x:c r="D355" s="10" t="n">
        <x:v>9</x:v>
      </x:c>
      <x:c r="E355" s="10" t="n">
        <x:f>SUMIF('Revenue and costs'!$D$1032:$D$1159,C355,'Revenue and costs'!N1032:N1159)</x:f>
        <x:v>151426.66078374448</x:v>
      </x:c>
      <x:c r="F355" s="10" t="n">
        <x:f>SUMIF('Revenue and costs'!$D$1032:$D$1159,C355,'Revenue and costs'!O1032:O1159)+SUMIF('Revenue and costs'!$D$1032:$D$1159,C355,'Revenue and costs'!P1032:P1159)+SUMIF('Revenue and costs'!$D$1032:$D$1159,C355,'Revenue and costs'!Q1032:Q1159)+SUMIF('Revenue and costs'!$D$1032:$D$1159,C355,'Revenue and costs'!R1032:R1159)+SUMIF('Revenue and costs'!$D$1032:$D$1159,C355,'Revenue and costs'!S1032:S1159)+SUMIF('Revenue and costs'!$D$1032:$D$1159,C355,'Revenue and costs'!T1032:T1159)+SUMIF('Revenue and costs'!$D$1032:$D$1159,C355,'Revenue and costs'!U1032:U1159)+SUMIF('Revenue and costs'!$D$1032:$D$1159,C355,'Revenue and costs'!V1032:V1159)+SUMIF('Revenue and costs'!$D$1032:$D$1159,C355,'Revenue and costs'!AE1032:AE1159)</x:f>
        <x:v>83193.51686197957</x:v>
      </x:c>
      <x:c r="G355" s="10" t="n">
        <x:f>IF('Income statement'!L50=0,1/39,E355/'Income statement'!L50)*('Shared costs'!P21+'Assumptions'!$D$18*'Assumptions'!$D$19*12*(1+'Assumptions'!$D$13)^(9-1)*'Assumptions'!$D$21)</x:f>
        <x:v>6294.472449452286</x:v>
      </x:c>
      <x:c r="H355" s="10" t="n">
        <x:f>IF('Income statement'!L50=0,1/39,E355/'Income statement'!L50)*'Cash and capital'!L18</x:f>
        <x:v>30.968964355475936</x:v>
      </x:c>
      <x:c r="I355" s="10" t="n">
        <x:f>E355-F355-G355-H355</x:f>
        <x:v>61907.70250795714</x:v>
      </x:c>
      <x:c r="J355" s="10" t="n">
        <x:f>M316</x:f>
        <x:v>0</x:v>
      </x:c>
      <x:c r="K355" s="10" t="n">
        <x:f>MAX(0,I355-J355)</x:f>
        <x:v>61907.70250795714</x:v>
      </x:c>
      <x:c r="L355" s="10" t="n">
        <x:f>K355*'Assumptions'!$D$12</x:f>
        <x:v>15476.925626989285</x:v>
      </x:c>
      <x:c r="M355" s="10" t="n">
        <x:f>MAX(0,J355-I355)</x:f>
        <x:v>0</x:v>
      </x:c>
    </x:row>
    <x:row r="356" ht="16" customHeight="1">
      <x:c r="A356" s="1"/>
      <x:c r="B356" s="1"/>
      <x:c r="C356" s="1" t="str">
        <x:v>FinBot research</x:v>
      </x:c>
      <x:c r="D356" s="10" t="n">
        <x:v>9</x:v>
      </x:c>
      <x:c r="E356" s="10" t="n">
        <x:f>SUMIF('Revenue and costs'!$D$1032:$D$1159,C356,'Revenue and costs'!N1032:N1159)</x:f>
        <x:v>7709.854065471984</x:v>
      </x:c>
      <x:c r="F356" s="10" t="n">
        <x:f>SUMIF('Revenue and costs'!$D$1032:$D$1159,C356,'Revenue and costs'!O1032:O1159)+SUMIF('Revenue and costs'!$D$1032:$D$1159,C356,'Revenue and costs'!P1032:P1159)+SUMIF('Revenue and costs'!$D$1032:$D$1159,C356,'Revenue and costs'!Q1032:Q1159)+SUMIF('Revenue and costs'!$D$1032:$D$1159,C356,'Revenue and costs'!R1032:R1159)+SUMIF('Revenue and costs'!$D$1032:$D$1159,C356,'Revenue and costs'!S1032:S1159)+SUMIF('Revenue and costs'!$D$1032:$D$1159,C356,'Revenue and costs'!T1032:T1159)+SUMIF('Revenue and costs'!$D$1032:$D$1159,C356,'Revenue and costs'!U1032:U1159)+SUMIF('Revenue and costs'!$D$1032:$D$1159,C356,'Revenue and costs'!V1032:V1159)+SUMIF('Revenue and costs'!$D$1032:$D$1159,C356,'Revenue and costs'!AE1032:AE1159)</x:f>
        <x:v>4546.132861487947</x:v>
      </x:c>
      <x:c r="G356" s="10" t="n">
        <x:f>IF('Income statement'!L50=0,1/39,E356/'Income statement'!L50)*('Shared costs'!P21+'Assumptions'!$D$18*'Assumptions'!$D$19*12*(1+'Assumptions'!$D$13)^(9-1)*'Assumptions'!$D$21)</x:f>
        <x:v>320.4816361480561</x:v>
      </x:c>
      <x:c r="H356" s="10" t="n">
        <x:f>IF('Income statement'!L50=0,1/39,E356/'Income statement'!L50)*'Cash and capital'!L18</x:f>
        <x:v>1.5767777913329941</x:v>
      </x:c>
      <x:c r="I356" s="10" t="n">
        <x:f>E356-F356-G356-H356</x:f>
        <x:v>2841.662790044648</x:v>
      </x:c>
      <x:c r="J356" s="10" t="n">
        <x:f>M317</x:f>
        <x:v>0</x:v>
      </x:c>
      <x:c r="K356" s="10" t="n">
        <x:f>MAX(0,I356-J356)</x:f>
        <x:v>2841.662790044648</x:v>
      </x:c>
      <x:c r="L356" s="10" t="n">
        <x:f>K356*'Assumptions'!$D$12</x:f>
        <x:v>710.415697511162</x:v>
      </x:c>
      <x:c r="M356" s="10" t="n">
        <x:f>MAX(0,J356-I356)</x:f>
        <x:v>0</x:v>
      </x:c>
    </x:row>
    <x:row r="357" ht="16" customHeight="1">
      <x:c r="A357" s="1"/>
      <x:c r="B357" s="1"/>
      <x:c r="C357" s="1" t="str">
        <x:v>Functional Analysis</x:v>
      </x:c>
      <x:c r="D357" s="10" t="n">
        <x:v>9</x:v>
      </x:c>
      <x:c r="E357" s="10" t="n">
        <x:f>SUMIF('Revenue and costs'!$D$1032:$D$1159,C357,'Revenue and costs'!N1032:N1159)</x:f>
        <x:v>16561.351330590835</x:v>
      </x:c>
      <x:c r="F357" s="10" t="n">
        <x:f>SUMIF('Revenue and costs'!$D$1032:$D$1159,C357,'Revenue and costs'!O1032:O1159)+SUMIF('Revenue and costs'!$D$1032:$D$1159,C357,'Revenue and costs'!P1032:P1159)+SUMIF('Revenue and costs'!$D$1032:$D$1159,C357,'Revenue and costs'!Q1032:Q1159)+SUMIF('Revenue and costs'!$D$1032:$D$1159,C357,'Revenue and costs'!R1032:R1159)+SUMIF('Revenue and costs'!$D$1032:$D$1159,C357,'Revenue and costs'!S1032:S1159)+SUMIF('Revenue and costs'!$D$1032:$D$1159,C357,'Revenue and costs'!T1032:T1159)+SUMIF('Revenue and costs'!$D$1032:$D$1159,C357,'Revenue and costs'!U1032:U1159)+SUMIF('Revenue and costs'!$D$1032:$D$1159,C357,'Revenue and costs'!V1032:V1159)+SUMIF('Revenue and costs'!$D$1032:$D$1159,C357,'Revenue and costs'!AE1032:AE1159)</x:f>
        <x:v>8722.545702614001</x:v>
      </x:c>
      <x:c r="G357" s="10" t="n">
        <x:f>IF('Income statement'!L50=0,1/39,E357/'Income statement'!L50)*('Shared costs'!P21+'Assumptions'!$D$18*'Assumptions'!$D$19*12*(1+'Assumptions'!$D$13)^(9-1)*'Assumptions'!$D$21)</x:f>
        <x:v>688.4188632078361</x:v>
      </x:c>
      <x:c r="H357" s="10" t="n">
        <x:f>IF('Income statement'!L50=0,1/39,E357/'Income statement'!L50)*'Cash and capital'!L18</x:f>
        <x:v>3.3870382955089218</x:v>
      </x:c>
      <x:c r="I357" s="10" t="n">
        <x:f>E357-F357-G357-H357</x:f>
        <x:v>7146.999726473488</x:v>
      </x:c>
      <x:c r="J357" s="10" t="n">
        <x:f>M318</x:f>
        <x:v>0</x:v>
      </x:c>
      <x:c r="K357" s="10" t="n">
        <x:f>MAX(0,I357-J357)</x:f>
        <x:v>7146.999726473488</x:v>
      </x:c>
      <x:c r="L357" s="10" t="n">
        <x:f>K357*'Assumptions'!$D$12</x:f>
        <x:v>1786.749931618372</x:v>
      </x:c>
      <x:c r="M357" s="10" t="n">
        <x:f>MAX(0,J357-I357)</x:f>
        <x:v>0</x:v>
      </x:c>
    </x:row>
    <x:row r="358" ht="16" customHeight="1">
      <x:c r="A358" s="1"/>
      <x:c r="B358" s="1"/>
      <x:c r="C358" s="1" t="str">
        <x:v>Independent candy game</x:v>
      </x:c>
      <x:c r="D358" s="10" t="n">
        <x:v>9</x:v>
      </x:c>
      <x:c r="E358" s="10" t="n">
        <x:f>SUMIF('Revenue and costs'!$D$1032:$D$1159,C358,'Revenue and costs'!N1032:N1159)</x:f>
        <x:v>6633.133066673313</x:v>
      </x:c>
      <x:c r="F358" s="10" t="n">
        <x:f>SUMIF('Revenue and costs'!$D$1032:$D$1159,C358,'Revenue and costs'!O1032:O1159)+SUMIF('Revenue and costs'!$D$1032:$D$1159,C358,'Revenue and costs'!P1032:P1159)+SUMIF('Revenue and costs'!$D$1032:$D$1159,C358,'Revenue and costs'!Q1032:Q1159)+SUMIF('Revenue and costs'!$D$1032:$D$1159,C358,'Revenue and costs'!R1032:R1159)+SUMIF('Revenue and costs'!$D$1032:$D$1159,C358,'Revenue and costs'!S1032:S1159)+SUMIF('Revenue and costs'!$D$1032:$D$1159,C358,'Revenue and costs'!T1032:T1159)+SUMIF('Revenue and costs'!$D$1032:$D$1159,C358,'Revenue and costs'!U1032:U1159)+SUMIF('Revenue and costs'!$D$1032:$D$1159,C358,'Revenue and costs'!V1032:V1159)+SUMIF('Revenue and costs'!$D$1032:$D$1159,C358,'Revenue and costs'!AE1032:AE1159)</x:f>
        <x:v>6362.92304463975</x:v>
      </x:c>
      <x:c r="G358" s="10" t="n">
        <x:f>IF('Income statement'!L50=0,1/39,E358/'Income statement'!L50)*('Shared costs'!P21+'Assumptions'!$D$18*'Assumptions'!$D$19*12*(1+'Assumptions'!$D$13)^(9-1)*'Assumptions'!$D$21)</x:f>
        <x:v>275.7247179963449</x:v>
      </x:c>
      <x:c r="H358" s="10" t="n">
        <x:f>IF('Income statement'!L50=0,1/39,E358/'Income statement'!L50)*'Cash and capital'!L18</x:f>
        <x:v>1.3565726170261454</x:v>
      </x:c>
      <x:c r="I358" s="10" t="n">
        <x:f>E358-F358-G358-H358</x:f>
        <x:v>-6.8712685798077615</x:v>
      </x:c>
      <x:c r="J358" s="10" t="n">
        <x:f>M319</x:f>
        <x:v>0</x:v>
      </x:c>
      <x:c r="K358" s="10" t="n">
        <x:f>MAX(0,I358-J358)</x:f>
        <x:v>0</x:v>
      </x:c>
      <x:c r="L358" s="10" t="n">
        <x:f>K358*'Assumptions'!$D$12</x:f>
        <x:v>0</x:v>
      </x:c>
      <x:c r="M358" s="10" t="n">
        <x:f>MAX(0,J358-I358)</x:f>
        <x:v>6.8712685798077615</x:v>
      </x:c>
    </x:row>
    <x:row r="359" ht="16" customHeight="1">
      <x:c r="A359" s="1"/>
      <x:c r="B359" s="1"/>
      <x:c r="C359" s="1" t="str">
        <x:v>ETV courses</x:v>
      </x:c>
      <x:c r="D359" s="10" t="n">
        <x:v>10</x:v>
      </x:c>
      <x:c r="E359" s="10" t="n">
        <x:f>SUMIF('Revenue and costs'!$D$1160:$D$1287,C359,'Revenue and costs'!N1160:N1287)</x:f>
        <x:v>48054.36449524677</x:v>
      </x:c>
      <x:c r="F359" s="10" t="n">
        <x:f>SUMIF('Revenue and costs'!$D$1160:$D$1287,C359,'Revenue and costs'!O1160:O1287)+SUMIF('Revenue and costs'!$D$1160:$D$1287,C359,'Revenue and costs'!P1160:P1287)+SUMIF('Revenue and costs'!$D$1160:$D$1287,C359,'Revenue and costs'!Q1160:Q1287)+SUMIF('Revenue and costs'!$D$1160:$D$1287,C359,'Revenue and costs'!R1160:R1287)+SUMIF('Revenue and costs'!$D$1160:$D$1287,C359,'Revenue and costs'!S1160:S1287)+SUMIF('Revenue and costs'!$D$1160:$D$1287,C359,'Revenue and costs'!T1160:T1287)+SUMIF('Revenue and costs'!$D$1160:$D$1287,C359,'Revenue and costs'!U1160:U1287)+SUMIF('Revenue and costs'!$D$1160:$D$1287,C359,'Revenue and costs'!V1160:V1287)+SUMIF('Revenue and costs'!$D$1160:$D$1287,C359,'Revenue and costs'!AE1160:AE1287)</x:f>
        <x:v>17614.28984241434</x:v>
      </x:c>
      <x:c r="G359" s="10" t="n">
        <x:f>IF('Income statement'!M50=0,1/39,E359/'Income statement'!M50)*('Shared costs'!Q21+'Assumptions'!$D$18*'Assumptions'!$D$19*12*(1+'Assumptions'!$D$13)^(10-1)*'Assumptions'!$D$21)</x:f>
        <x:v>2042.5441816863777</x:v>
      </x:c>
      <x:c r="H359" s="10" t="n">
        <x:f>IF('Income statement'!M50=0,1/39,E359/'Income statement'!M50)*'Cash and capital'!M18</x:f>
        <x:v>10.231509929822868</x:v>
      </x:c>
      <x:c r="I359" s="10" t="n">
        <x:f>E359-F359-G359-H359</x:f>
        <x:v>28387.298961216235</x:v>
      </x:c>
      <x:c r="J359" s="10" t="n">
        <x:f>M320</x:f>
        <x:v>0</x:v>
      </x:c>
      <x:c r="K359" s="10" t="n">
        <x:f>MAX(0,I359-J359)</x:f>
        <x:v>28387.298961216235</x:v>
      </x:c>
      <x:c r="L359" s="10" t="n">
        <x:f>K359*'Assumptions'!$D$12</x:f>
        <x:v>7096.824740304059</x:v>
      </x:c>
      <x:c r="M359" s="10" t="n">
        <x:f>MAX(0,J359-I359)</x:f>
        <x:v>0</x:v>
      </x:c>
    </x:row>
    <x:row r="360" ht="16" customHeight="1">
      <x:c r="A360" s="1"/>
      <x:c r="B360" s="1"/>
      <x:c r="C360" s="1" t="str">
        <x:v>ETV services</x:v>
      </x:c>
      <x:c r="D360" s="10" t="n">
        <x:v>10</x:v>
      </x:c>
      <x:c r="E360" s="10" t="n">
        <x:f>SUMIF('Revenue and costs'!$D$1160:$D$1287,C360,'Revenue and costs'!N1160:N1287)</x:f>
        <x:v>118367.53063864177</x:v>
      </x:c>
      <x:c r="F360" s="10" t="n">
        <x:f>SUMIF('Revenue and costs'!$D$1160:$D$1287,C360,'Revenue and costs'!O1160:O1287)+SUMIF('Revenue and costs'!$D$1160:$D$1287,C360,'Revenue and costs'!P1160:P1287)+SUMIF('Revenue and costs'!$D$1160:$D$1287,C360,'Revenue and costs'!Q1160:Q1287)+SUMIF('Revenue and costs'!$D$1160:$D$1287,C360,'Revenue and costs'!R1160:R1287)+SUMIF('Revenue and costs'!$D$1160:$D$1287,C360,'Revenue and costs'!S1160:S1287)+SUMIF('Revenue and costs'!$D$1160:$D$1287,C360,'Revenue and costs'!T1160:T1287)+SUMIF('Revenue and costs'!$D$1160:$D$1287,C360,'Revenue and costs'!U1160:U1287)+SUMIF('Revenue and costs'!$D$1160:$D$1287,C360,'Revenue and costs'!V1160:V1287)+SUMIF('Revenue and costs'!$D$1160:$D$1287,C360,'Revenue and costs'!AE1160:AE1287)</x:f>
        <x:v>80708.95511385605</x:v>
      </x:c>
      <x:c r="G360" s="10" t="n">
        <x:f>IF('Income statement'!M50=0,1/39,E360/'Income statement'!M50)*('Shared costs'!Q21+'Assumptions'!$D$18*'Assumptions'!$D$19*12*(1+'Assumptions'!$D$13)^(10-1)*'Assumptions'!$D$21)</x:f>
        <x:v>5031.195679020086</x:v>
      </x:c>
      <x:c r="H360" s="10" t="n">
        <x:f>IF('Income statement'!M50=0,1/39,E360/'Income statement'!M50)*'Cash and capital'!M18</x:f>
        <x:v>25.20225952041605</x:v>
      </x:c>
      <x:c r="I360" s="10" t="n">
        <x:f>E360-F360-G360-H360</x:f>
        <x:v>32602.177586245216</x:v>
      </x:c>
      <x:c r="J360" s="10" t="n">
        <x:f>M321</x:f>
        <x:v>0</x:v>
      </x:c>
      <x:c r="K360" s="10" t="n">
        <x:f>MAX(0,I360-J360)</x:f>
        <x:v>32602.177586245216</x:v>
      </x:c>
      <x:c r="L360" s="10" t="n">
        <x:f>K360*'Assumptions'!$D$12</x:f>
        <x:v>8150.544396561304</x:v>
      </x:c>
      <x:c r="M360" s="10" t="n">
        <x:f>MAX(0,J360-I360)</x:f>
        <x:v>0</x:v>
      </x:c>
    </x:row>
    <x:row r="361" ht="16" customHeight="1">
      <x:c r="A361" s="1"/>
      <x:c r="B361" s="1"/>
      <x:c r="C361" s="1" t="str">
        <x:v>BPA professional services</x:v>
      </x:c>
      <x:c r="D361" s="10" t="n">
        <x:v>10</x:v>
      </x:c>
      <x:c r="E361" s="10" t="n">
        <x:f>SUMIF('Revenue and costs'!$D$1160:$D$1287,C361,'Revenue and costs'!N1160:N1287)</x:f>
        <x:v>683812.8800932007</x:v>
      </x:c>
      <x:c r="F361" s="10" t="n">
        <x:f>SUMIF('Revenue and costs'!$D$1160:$D$1287,C361,'Revenue and costs'!O1160:O1287)+SUMIF('Revenue and costs'!$D$1160:$D$1287,C361,'Revenue and costs'!P1160:P1287)+SUMIF('Revenue and costs'!$D$1160:$D$1287,C361,'Revenue and costs'!Q1160:Q1287)+SUMIF('Revenue and costs'!$D$1160:$D$1287,C361,'Revenue and costs'!R1160:R1287)+SUMIF('Revenue and costs'!$D$1160:$D$1287,C361,'Revenue and costs'!S1160:S1287)+SUMIF('Revenue and costs'!$D$1160:$D$1287,C361,'Revenue and costs'!T1160:T1287)+SUMIF('Revenue and costs'!$D$1160:$D$1287,C361,'Revenue and costs'!U1160:U1287)+SUMIF('Revenue and costs'!$D$1160:$D$1287,C361,'Revenue and costs'!V1160:V1287)+SUMIF('Revenue and costs'!$D$1160:$D$1287,C361,'Revenue and costs'!AE1160:AE1287)</x:f>
        <x:v>369801.29887860204</x:v>
      </x:c>
      <x:c r="G361" s="10" t="n">
        <x:f>IF('Income statement'!M50=0,1/39,E361/'Income statement'!M50)*('Shared costs'!Q21+'Assumptions'!$D$18*'Assumptions'!$D$19*12*(1+'Assumptions'!$D$13)^(10-1)*'Assumptions'!$D$21)</x:f>
        <x:v>29065.37281821147</x:v>
      </x:c>
      <x:c r="H361" s="10" t="n">
        <x:f>IF('Income statement'!M50=0,1/39,E361/'Income statement'!M50)*'Cash and capital'!M18</x:f>
        <x:v>145.59423158132498</x:v>
      </x:c>
      <x:c r="I361" s="10" t="n">
        <x:f>E361-F361-G361-H361</x:f>
        <x:v>284800.6141648059</x:v>
      </x:c>
      <x:c r="J361" s="10" t="n">
        <x:f>M322</x:f>
        <x:v>0</x:v>
      </x:c>
      <x:c r="K361" s="10" t="n">
        <x:f>MAX(0,I361-J361)</x:f>
        <x:v>284800.6141648059</x:v>
      </x:c>
      <x:c r="L361" s="10" t="n">
        <x:f>K361*'Assumptions'!$D$12</x:f>
        <x:v>71200.15354120148</x:v>
      </x:c>
      <x:c r="M361" s="10" t="n">
        <x:f>MAX(0,J361-I361)</x:f>
        <x:v>0</x:v>
      </x:c>
    </x:row>
    <x:row r="362" ht="16" customHeight="1">
      <x:c r="A362" s="1"/>
      <x:c r="B362" s="1"/>
      <x:c r="C362" s="1" t="str">
        <x:v>CornerFlow</x:v>
      </x:c>
      <x:c r="D362" s="10" t="n">
        <x:v>10</x:v>
      </x:c>
      <x:c r="E362" s="10" t="n">
        <x:f>SUMIF('Revenue and costs'!$D$1160:$D$1287,C362,'Revenue and costs'!N1160:N1287)</x:f>
        <x:v>22362.285219748814</x:v>
      </x:c>
      <x:c r="F362" s="10" t="n">
        <x:f>SUMIF('Revenue and costs'!$D$1160:$D$1287,C362,'Revenue and costs'!O1160:O1287)+SUMIF('Revenue and costs'!$D$1160:$D$1287,C362,'Revenue and costs'!P1160:P1287)+SUMIF('Revenue and costs'!$D$1160:$D$1287,C362,'Revenue and costs'!Q1160:Q1287)+SUMIF('Revenue and costs'!$D$1160:$D$1287,C362,'Revenue and costs'!R1160:R1287)+SUMIF('Revenue and costs'!$D$1160:$D$1287,C362,'Revenue and costs'!S1160:S1287)+SUMIF('Revenue and costs'!$D$1160:$D$1287,C362,'Revenue and costs'!T1160:T1287)+SUMIF('Revenue and costs'!$D$1160:$D$1287,C362,'Revenue and costs'!U1160:U1287)+SUMIF('Revenue and costs'!$D$1160:$D$1287,C362,'Revenue and costs'!V1160:V1287)+SUMIF('Revenue and costs'!$D$1160:$D$1287,C362,'Revenue and costs'!AE1160:AE1287)</x:f>
        <x:v>9020.93263279904</x:v>
      </x:c>
      <x:c r="G362" s="10" t="n">
        <x:f>IF('Income statement'!M50=0,1/39,E362/'Income statement'!M50)*('Shared costs'!Q21+'Assumptions'!$D$18*'Assumptions'!$D$19*12*(1+'Assumptions'!$D$13)^(10-1)*'Assumptions'!$D$21)</x:f>
        <x:v>950.5058706858395</x:v>
      </x:c>
      <x:c r="H362" s="10" t="n">
        <x:f>IF('Income statement'!M50=0,1/39,E362/'Income statement'!M50)*'Cash and capital'!M18</x:f>
        <x:v>4.761272897533014</x:v>
      </x:c>
      <x:c r="I362" s="10" t="n">
        <x:f>E362-F362-G362-H362</x:f>
        <x:v>12386.0854433664</x:v>
      </x:c>
      <x:c r="J362" s="10" t="n">
        <x:f>M323</x:f>
        <x:v>0</x:v>
      </x:c>
      <x:c r="K362" s="10" t="n">
        <x:f>MAX(0,I362-J362)</x:f>
        <x:v>12386.0854433664</x:v>
      </x:c>
      <x:c r="L362" s="10" t="n">
        <x:f>K362*'Assumptions'!$D$12</x:f>
        <x:v>3096.5213608416</x:v>
      </x:c>
      <x:c r="M362" s="10" t="n">
        <x:f>MAX(0,J362-I362)</x:f>
        <x:v>0</x:v>
      </x:c>
    </x:row>
    <x:row r="363" ht="16" customHeight="1">
      <x:c r="A363" s="1"/>
      <x:c r="B363" s="1"/>
      <x:c r="C363" s="1" t="str">
        <x:v>Spindle</x:v>
      </x:c>
      <x:c r="D363" s="10" t="n">
        <x:v>10</x:v>
      </x:c>
      <x:c r="E363" s="10" t="n">
        <x:f>SUMIF('Revenue and costs'!$D$1160:$D$1287,C363,'Revenue and costs'!N1160:N1287)</x:f>
        <x:v>22362.285219748814</x:v>
      </x:c>
      <x:c r="F363" s="10" t="n">
        <x:f>SUMIF('Revenue and costs'!$D$1160:$D$1287,C363,'Revenue and costs'!O1160:O1287)+SUMIF('Revenue and costs'!$D$1160:$D$1287,C363,'Revenue and costs'!P1160:P1287)+SUMIF('Revenue and costs'!$D$1160:$D$1287,C363,'Revenue and costs'!Q1160:Q1287)+SUMIF('Revenue and costs'!$D$1160:$D$1287,C363,'Revenue and costs'!R1160:R1287)+SUMIF('Revenue and costs'!$D$1160:$D$1287,C363,'Revenue and costs'!S1160:S1287)+SUMIF('Revenue and costs'!$D$1160:$D$1287,C363,'Revenue and costs'!T1160:T1287)+SUMIF('Revenue and costs'!$D$1160:$D$1287,C363,'Revenue and costs'!U1160:U1287)+SUMIF('Revenue and costs'!$D$1160:$D$1287,C363,'Revenue and costs'!V1160:V1287)+SUMIF('Revenue and costs'!$D$1160:$D$1287,C363,'Revenue and costs'!AE1160:AE1287)</x:f>
        <x:v>9020.93263279904</x:v>
      </x:c>
      <x:c r="G363" s="10" t="n">
        <x:f>IF('Income statement'!M50=0,1/39,E363/'Income statement'!M50)*('Shared costs'!Q21+'Assumptions'!$D$18*'Assumptions'!$D$19*12*(1+'Assumptions'!$D$13)^(10-1)*'Assumptions'!$D$21)</x:f>
        <x:v>950.5058706858395</x:v>
      </x:c>
      <x:c r="H363" s="10" t="n">
        <x:f>IF('Income statement'!M50=0,1/39,E363/'Income statement'!M50)*'Cash and capital'!M18</x:f>
        <x:v>4.761272897533014</x:v>
      </x:c>
      <x:c r="I363" s="10" t="n">
        <x:f>E363-F363-G363-H363</x:f>
        <x:v>12386.0854433664</x:v>
      </x:c>
      <x:c r="J363" s="10" t="n">
        <x:f>M324</x:f>
        <x:v>0</x:v>
      </x:c>
      <x:c r="K363" s="10" t="n">
        <x:f>MAX(0,I363-J363)</x:f>
        <x:v>12386.0854433664</x:v>
      </x:c>
      <x:c r="L363" s="10" t="n">
        <x:f>K363*'Assumptions'!$D$12</x:f>
        <x:v>3096.5213608416</x:v>
      </x:c>
      <x:c r="M363" s="10" t="n">
        <x:f>MAX(0,J363-I363)</x:f>
        <x:v>0</x:v>
      </x:c>
    </x:row>
    <x:row r="364" ht="16" customHeight="1">
      <x:c r="A364" s="1"/>
      <x:c r="B364" s="1"/>
      <x:c r="C364" s="1" t="str">
        <x:v>Maison Contour</x:v>
      </x:c>
      <x:c r="D364" s="10" t="n">
        <x:v>10</x:v>
      </x:c>
      <x:c r="E364" s="10" t="n">
        <x:f>SUMIF('Revenue and costs'!$D$1160:$D$1287,C364,'Revenue and costs'!N1160:N1287)</x:f>
        <x:v>31404.137701342457</x:v>
      </x:c>
      <x:c r="F364" s="10" t="n">
        <x:f>SUMIF('Revenue and costs'!$D$1160:$D$1287,C364,'Revenue and costs'!O1160:O1287)+SUMIF('Revenue and costs'!$D$1160:$D$1287,C364,'Revenue and costs'!P1160:P1287)+SUMIF('Revenue and costs'!$D$1160:$D$1287,C364,'Revenue and costs'!Q1160:Q1287)+SUMIF('Revenue and costs'!$D$1160:$D$1287,C364,'Revenue and costs'!R1160:R1287)+SUMIF('Revenue and costs'!$D$1160:$D$1287,C364,'Revenue and costs'!S1160:S1287)+SUMIF('Revenue and costs'!$D$1160:$D$1287,C364,'Revenue and costs'!T1160:T1287)+SUMIF('Revenue and costs'!$D$1160:$D$1287,C364,'Revenue and costs'!U1160:U1287)+SUMIF('Revenue and costs'!$D$1160:$D$1287,C364,'Revenue and costs'!V1160:V1287)+SUMIF('Revenue and costs'!$D$1160:$D$1287,C364,'Revenue and costs'!AE1160:AE1287)</x:f>
        <x:v>9743.348681586162</x:v>
      </x:c>
      <x:c r="G364" s="10" t="n">
        <x:f>IF('Income statement'!M50=0,1/39,E364/'Income statement'!M50)*('Shared costs'!Q21+'Assumptions'!$D$18*'Assumptions'!$D$19*12*(1+'Assumptions'!$D$13)^(10-1)*'Assumptions'!$D$21)</x:f>
        <x:v>1334.8285721081504</x:v>
      </x:c>
      <x:c r="H364" s="10" t="n">
        <x:f>IF('Income statement'!M50=0,1/39,E364/'Income statement'!M50)*'Cash and capital'!M18</x:f>
        <x:v>6.686421724723718</x:v>
      </x:c>
      <x:c r="I364" s="10" t="n">
        <x:f>E364-F364-G364-H364</x:f>
        <x:v>20319.27402592342</x:v>
      </x:c>
      <x:c r="J364" s="10" t="n">
        <x:f>M325</x:f>
        <x:v>0</x:v>
      </x:c>
      <x:c r="K364" s="10" t="n">
        <x:f>MAX(0,I364-J364)</x:f>
        <x:v>20319.27402592342</x:v>
      </x:c>
      <x:c r="L364" s="10" t="n">
        <x:f>K364*'Assumptions'!$D$12</x:f>
        <x:v>5079.818506480855</x:v>
      </x:c>
      <x:c r="M364" s="10" t="n">
        <x:f>MAX(0,J364-I364)</x:f>
        <x:v>0</x:v>
      </x:c>
    </x:row>
    <x:row r="365" ht="16" customHeight="1">
      <x:c r="A365" s="1"/>
      <x:c r="B365" s="1"/>
      <x:c r="C365" s="1" t="str">
        <x:v>DishLoom US</x:v>
      </x:c>
      <x:c r="D365" s="10" t="n">
        <x:v>10</x:v>
      </x:c>
      <x:c r="E365" s="10" t="n">
        <x:f>SUMIF('Revenue and costs'!$D$1160:$D$1287,C365,'Revenue and costs'!N1160:N1287)</x:f>
        <x:v>28481.835317019984</x:v>
      </x:c>
      <x:c r="F365" s="10" t="n">
        <x:f>SUMIF('Revenue and costs'!$D$1160:$D$1287,C365,'Revenue and costs'!O1160:O1287)+SUMIF('Revenue and costs'!$D$1160:$D$1287,C365,'Revenue and costs'!P1160:P1287)+SUMIF('Revenue and costs'!$D$1160:$D$1287,C365,'Revenue and costs'!Q1160:Q1287)+SUMIF('Revenue and costs'!$D$1160:$D$1287,C365,'Revenue and costs'!R1160:R1287)+SUMIF('Revenue and costs'!$D$1160:$D$1287,C365,'Revenue and costs'!S1160:S1287)+SUMIF('Revenue and costs'!$D$1160:$D$1287,C365,'Revenue and costs'!T1160:T1287)+SUMIF('Revenue and costs'!$D$1160:$D$1287,C365,'Revenue and costs'!U1160:U1287)+SUMIF('Revenue and costs'!$D$1160:$D$1287,C365,'Revenue and costs'!V1160:V1287)+SUMIF('Revenue and costs'!$D$1160:$D$1287,C365,'Revenue and costs'!AE1160:AE1287)</x:f>
        <x:v>19108.551957281717</x:v>
      </x:c>
      <x:c r="G365" s="10" t="n">
        <x:f>IF('Income statement'!M50=0,1/39,E365/'Income statement'!M50)*('Shared costs'!Q21+'Assumptions'!$D$18*'Assumptions'!$D$19*12*(1+'Assumptions'!$D$13)^(10-1)*'Assumptions'!$D$21)</x:f>
        <x:v>1210.6165094802802</x:v>
      </x:c>
      <x:c r="H365" s="10" t="n">
        <x:f>IF('Income statement'!M50=0,1/39,E365/'Income statement'!M50)*'Cash and capital'!M18</x:f>
        <x:v>6.064218805650718</x:v>
      </x:c>
      <x:c r="I365" s="10" t="n">
        <x:f>E365-F365-G365-H365</x:f>
        <x:v>8156.602631452336</x:v>
      </x:c>
      <x:c r="J365" s="10" t="n">
        <x:f>M326</x:f>
        <x:v>0</x:v>
      </x:c>
      <x:c r="K365" s="10" t="n">
        <x:f>MAX(0,I365-J365)</x:f>
        <x:v>8156.602631452336</x:v>
      </x:c>
      <x:c r="L365" s="10" t="n">
        <x:f>K365*'Assumptions'!$D$12</x:f>
        <x:v>2039.150657863084</x:v>
      </x:c>
      <x:c r="M365" s="10" t="n">
        <x:f>MAX(0,J365-I365)</x:f>
        <x:v>0</x:v>
      </x:c>
    </x:row>
    <x:row r="366" ht="16" customHeight="1">
      <x:c r="A366" s="1"/>
      <x:c r="B366" s="1"/>
      <x:c r="C366" s="1" t="str">
        <x:v>Is Makes Travel Easy</x:v>
      </x:c>
      <x:c r="D366" s="10" t="n">
        <x:v>10</x:v>
      </x:c>
      <x:c r="E366" s="10" t="n">
        <x:f>SUMIF('Revenue and costs'!$D$1160:$D$1287,C366,'Revenue and costs'!N1160:N1287)</x:f>
        <x:v>48612.74533102493</x:v>
      </x:c>
      <x:c r="F366" s="10" t="n">
        <x:f>SUMIF('Revenue and costs'!$D$1160:$D$1287,C366,'Revenue and costs'!O1160:O1287)+SUMIF('Revenue and costs'!$D$1160:$D$1287,C366,'Revenue and costs'!P1160:P1287)+SUMIF('Revenue and costs'!$D$1160:$D$1287,C366,'Revenue and costs'!Q1160:Q1287)+SUMIF('Revenue and costs'!$D$1160:$D$1287,C366,'Revenue and costs'!R1160:R1287)+SUMIF('Revenue and costs'!$D$1160:$D$1287,C366,'Revenue and costs'!S1160:S1287)+SUMIF('Revenue and costs'!$D$1160:$D$1287,C366,'Revenue and costs'!T1160:T1287)+SUMIF('Revenue and costs'!$D$1160:$D$1287,C366,'Revenue and costs'!U1160:U1287)+SUMIF('Revenue and costs'!$D$1160:$D$1287,C366,'Revenue and costs'!V1160:V1287)+SUMIF('Revenue and costs'!$D$1160:$D$1287,C366,'Revenue and costs'!AE1160:AE1287)</x:f>
        <x:v>27518.974162035563</x:v>
      </x:c>
      <x:c r="G366" s="10" t="n">
        <x:f>IF('Income statement'!M50=0,1/39,E366/'Income statement'!M50)*('Shared costs'!Q21+'Assumptions'!$D$18*'Assumptions'!$D$19*12*(1+'Assumptions'!$D$13)^(10-1)*'Assumptions'!$D$21)</x:f>
        <x:v>2066.2780826392595</x:v>
      </x:c>
      <x:c r="H366" s="10" t="n">
        <x:f>IF('Income statement'!M50=0,1/39,E366/'Income statement'!M50)*'Cash and capital'!M18</x:f>
        <x:v>10.35039775876195</x:v>
      </x:c>
      <x:c r="I366" s="10" t="n">
        <x:f>E366-F366-G366-H366</x:f>
        <x:v>19017.14268859135</x:v>
      </x:c>
      <x:c r="J366" s="10" t="n">
        <x:f>M327</x:f>
        <x:v>0</x:v>
      </x:c>
      <x:c r="K366" s="10" t="n">
        <x:f>MAX(0,I366-J366)</x:f>
        <x:v>19017.14268859135</x:v>
      </x:c>
      <x:c r="L366" s="10" t="n">
        <x:f>K366*'Assumptions'!$D$12</x:f>
        <x:v>4754.285672147837</x:v>
      </x:c>
      <x:c r="M366" s="10" t="n">
        <x:f>MAX(0,J366-I366)</x:f>
        <x:v>0</x:v>
      </x:c>
    </x:row>
    <x:row r="367" ht="16" customHeight="1">
      <x:c r="A367" s="1"/>
      <x:c r="B367" s="1"/>
      <x:c r="C367" s="1" t="str">
        <x:v>Turbo Tax - Made Easy!</x:v>
      </x:c>
      <x:c r="D367" s="10" t="n">
        <x:v>10</x:v>
      </x:c>
      <x:c r="E367" s="10" t="n">
        <x:f>SUMIF('Revenue and costs'!$D$1160:$D$1287,C367,'Revenue and costs'!N1160:N1287)</x:f>
        <x:v>122448.33204328107</x:v>
      </x:c>
      <x:c r="F367" s="10" t="n">
        <x:f>SUMIF('Revenue and costs'!$D$1160:$D$1287,C367,'Revenue and costs'!O1160:O1287)+SUMIF('Revenue and costs'!$D$1160:$D$1287,C367,'Revenue and costs'!P1160:P1287)+SUMIF('Revenue and costs'!$D$1160:$D$1287,C367,'Revenue and costs'!Q1160:Q1287)+SUMIF('Revenue and costs'!$D$1160:$D$1287,C367,'Revenue and costs'!R1160:R1287)+SUMIF('Revenue and costs'!$D$1160:$D$1287,C367,'Revenue and costs'!S1160:S1287)+SUMIF('Revenue and costs'!$D$1160:$D$1287,C367,'Revenue and costs'!T1160:T1287)+SUMIF('Revenue and costs'!$D$1160:$D$1287,C367,'Revenue and costs'!U1160:U1287)+SUMIF('Revenue and costs'!$D$1160:$D$1287,C367,'Revenue and costs'!V1160:V1287)+SUMIF('Revenue and costs'!$D$1160:$D$1287,C367,'Revenue and costs'!AE1160:AE1287)</x:f>
        <x:v>34222.5618514385</x:v>
      </x:c>
      <x:c r="G367" s="10" t="n">
        <x:f>IF('Income statement'!M50=0,1/39,E367/'Income statement'!M50)*('Shared costs'!Q21+'Assumptions'!$D$18*'Assumptions'!$D$19*12*(1+'Assumptions'!$D$13)^(10-1)*'Assumptions'!$D$21)</x:f>
        <x:v>5204.6495838467345</x:v>
      </x:c>
      <x:c r="H367" s="10" t="n">
        <x:f>IF('Income statement'!M50=0,1/39,E367/'Income statement'!M50)*'Cash and capital'!M18</x:f>
        <x:v>26.07112461793143</x:v>
      </x:c>
      <x:c r="I367" s="10" t="n">
        <x:f>E367-F367-G367-H367</x:f>
        <x:v>82995.04948337791</x:v>
      </x:c>
      <x:c r="J367" s="10" t="n">
        <x:f>M328</x:f>
        <x:v>0</x:v>
      </x:c>
      <x:c r="K367" s="10" t="n">
        <x:f>MAX(0,I367-J367)</x:f>
        <x:v>82995.04948337791</x:v>
      </x:c>
      <x:c r="L367" s="10" t="n">
        <x:f>K367*'Assumptions'!$D$12</x:f>
        <x:v>20748.762370844477</x:v>
      </x:c>
      <x:c r="M367" s="10" t="n">
        <x:f>MAX(0,J367-I367)</x:f>
        <x:v>0</x:v>
      </x:c>
    </x:row>
    <x:row r="368" ht="16" customHeight="1">
      <x:c r="A368" s="1"/>
      <x:c r="B368" s="1"/>
      <x:c r="C368" s="1" t="str">
        <x:v>LavaLearning adult</x:v>
      </x:c>
      <x:c r="D368" s="10" t="n">
        <x:v>10</x:v>
      </x:c>
      <x:c r="E368" s="10" t="n">
        <x:f>SUMIF('Revenue and costs'!$D$1160:$D$1287,C368,'Revenue and costs'!N1160:N1287)</x:f>
        <x:v>65412.42726217683</x:v>
      </x:c>
      <x:c r="F368" s="10" t="n">
        <x:f>SUMIF('Revenue and costs'!$D$1160:$D$1287,C368,'Revenue and costs'!O1160:O1287)+SUMIF('Revenue and costs'!$D$1160:$D$1287,C368,'Revenue and costs'!P1160:P1287)+SUMIF('Revenue and costs'!$D$1160:$D$1287,C368,'Revenue and costs'!Q1160:Q1287)+SUMIF('Revenue and costs'!$D$1160:$D$1287,C368,'Revenue and costs'!R1160:R1287)+SUMIF('Revenue and costs'!$D$1160:$D$1287,C368,'Revenue and costs'!S1160:S1287)+SUMIF('Revenue and costs'!$D$1160:$D$1287,C368,'Revenue and costs'!T1160:T1287)+SUMIF('Revenue and costs'!$D$1160:$D$1287,C368,'Revenue and costs'!U1160:U1287)+SUMIF('Revenue and costs'!$D$1160:$D$1287,C368,'Revenue and costs'!V1160:V1287)+SUMIF('Revenue and costs'!$D$1160:$D$1287,C368,'Revenue and costs'!AE1160:AE1287)</x:f>
        <x:v>25666.406047741548</x:v>
      </x:c>
      <x:c r="G368" s="10" t="n">
        <x:f>IF('Income statement'!M50=0,1/39,E368/'Income statement'!M50)*('Shared costs'!Q21+'Assumptions'!$D$18*'Assumptions'!$D$19*12*(1+'Assumptions'!$D$13)^(10-1)*'Assumptions'!$D$21)</x:f>
        <x:v>2780.346262357882</x:v>
      </x:c>
      <x:c r="H368" s="10" t="n">
        <x:f>IF('Income statement'!M50=0,1/39,E368/'Income statement'!M50)*'Cash and capital'!M18</x:f>
        <x:v>13.927307250790468</x:v>
      </x:c>
      <x:c r="I368" s="10" t="n">
        <x:f>E368-F368-G368-H368</x:f>
        <x:v>36951.74764482661</x:v>
      </x:c>
      <x:c r="J368" s="10" t="n">
        <x:f>M329</x:f>
        <x:v>0</x:v>
      </x:c>
      <x:c r="K368" s="10" t="n">
        <x:f>MAX(0,I368-J368)</x:f>
        <x:v>36951.74764482661</x:v>
      </x:c>
      <x:c r="L368" s="10" t="n">
        <x:f>K368*'Assumptions'!$D$12</x:f>
        <x:v>9237.936911206652</x:v>
      </x:c>
      <x:c r="M368" s="10" t="n">
        <x:f>MAX(0,J368-I368)</x:f>
        <x:v>0</x:v>
      </x:c>
    </x:row>
    <x:row r="369" ht="16" customHeight="1">
      <x:c r="A369" s="1"/>
      <x:c r="B369" s="1"/>
      <x:c r="C369" s="1" t="str">
        <x:v>LavaLearning Model Life</x:v>
      </x:c>
      <x:c r="D369" s="10" t="n">
        <x:v>10</x:v>
      </x:c>
      <x:c r="E369" s="10" t="n">
        <x:f>SUMIF('Revenue and costs'!$D$1160:$D$1287,C369,'Revenue and costs'!N1160:N1287)</x:f>
        <x:v>0</x:v>
      </x:c>
      <x:c r="F369" s="10" t="n">
        <x:f>SUMIF('Revenue and costs'!$D$1160:$D$1287,C369,'Revenue and costs'!O1160:O1287)+SUMIF('Revenue and costs'!$D$1160:$D$1287,C369,'Revenue and costs'!P1160:P1287)+SUMIF('Revenue and costs'!$D$1160:$D$1287,C369,'Revenue and costs'!Q1160:Q1287)+SUMIF('Revenue and costs'!$D$1160:$D$1287,C369,'Revenue and costs'!R1160:R1287)+SUMIF('Revenue and costs'!$D$1160:$D$1287,C369,'Revenue and costs'!S1160:S1287)+SUMIF('Revenue and costs'!$D$1160:$D$1287,C369,'Revenue and costs'!T1160:T1287)+SUMIF('Revenue and costs'!$D$1160:$D$1287,C369,'Revenue and costs'!U1160:U1287)+SUMIF('Revenue and costs'!$D$1160:$D$1287,C369,'Revenue and costs'!V1160:V1287)+SUMIF('Revenue and costs'!$D$1160:$D$1287,C369,'Revenue and costs'!AE1160:AE1287)</x:f>
        <x:v>0</x:v>
      </x:c>
      <x:c r="G369" s="10" t="n">
        <x:f>IF('Income statement'!M50=0,1/39,E369/'Income statement'!M50)*('Shared costs'!Q21+'Assumptions'!$D$18*'Assumptions'!$D$19*12*(1+'Assumptions'!$D$13)^(10-1)*'Assumptions'!$D$21)</x:f>
        <x:v>0</x:v>
      </x:c>
      <x:c r="H369" s="10" t="n">
        <x:f>IF('Income statement'!M50=0,1/39,E369/'Income statement'!M50)*'Cash and capital'!M18</x:f>
        <x:v>0</x:v>
      </x:c>
      <x:c r="I369" s="10" t="n">
        <x:f>E369-F369-G369-H369</x:f>
        <x:v>0</x:v>
      </x:c>
      <x:c r="J369" s="10" t="n">
        <x:f>M330</x:f>
        <x:v>0</x:v>
      </x:c>
      <x:c r="K369" s="10" t="n">
        <x:f>MAX(0,I369-J369)</x:f>
        <x:v>0</x:v>
      </x:c>
      <x:c r="L369" s="10" t="n">
        <x:f>K369*'Assumptions'!$D$12</x:f>
        <x:v>0</x:v>
      </x:c>
      <x:c r="M369" s="10" t="n">
        <x:f>MAX(0,J369-I369)</x:f>
        <x:v>0</x:v>
      </x:c>
    </x:row>
    <x:row r="370" ht="16" customHeight="1">
      <x:c r="A370" s="1"/>
      <x:c r="B370" s="1"/>
      <x:c r="C370" s="1" t="str">
        <x:v>LavaLearning Kids</x:v>
      </x:c>
      <x:c r="D370" s="10" t="n">
        <x:v>10</x:v>
      </x:c>
      <x:c r="E370" s="10" t="n">
        <x:f>SUMIF('Revenue and costs'!$D$1160:$D$1287,C370,'Revenue and costs'!N1160:N1287)</x:f>
        <x:v>26536.722553194628</x:v>
      </x:c>
      <x:c r="F370" s="10" t="n">
        <x:f>SUMIF('Revenue and costs'!$D$1160:$D$1287,C370,'Revenue and costs'!O1160:O1287)+SUMIF('Revenue and costs'!$D$1160:$D$1287,C370,'Revenue and costs'!P1160:P1287)+SUMIF('Revenue and costs'!$D$1160:$D$1287,C370,'Revenue and costs'!Q1160:Q1287)+SUMIF('Revenue and costs'!$D$1160:$D$1287,C370,'Revenue and costs'!R1160:R1287)+SUMIF('Revenue and costs'!$D$1160:$D$1287,C370,'Revenue and costs'!S1160:S1287)+SUMIF('Revenue and costs'!$D$1160:$D$1287,C370,'Revenue and costs'!T1160:T1287)+SUMIF('Revenue and costs'!$D$1160:$D$1287,C370,'Revenue and costs'!U1160:U1287)+SUMIF('Revenue and costs'!$D$1160:$D$1287,C370,'Revenue and costs'!V1160:V1287)+SUMIF('Revenue and costs'!$D$1160:$D$1287,C370,'Revenue and costs'!AE1160:AE1287)</x:f>
        <x:v>15763.878259337085</x:v>
      </x:c>
      <x:c r="G370" s="10" t="n">
        <x:f>IF('Income statement'!M50=0,1/39,E370/'Income statement'!M50)*('Shared costs'!Q21+'Assumptions'!$D$18*'Assumptions'!$D$19*12*(1+'Assumptions'!$D$13)^(10-1)*'Assumptions'!$D$21)</x:f>
        <x:v>1127.9397578426976</x:v>
      </x:c>
      <x:c r="H370" s="10" t="n">
        <x:f>IF('Income statement'!M50=0,1/39,E370/'Income statement'!M50)*'Cash and capital'!M18</x:f>
        <x:v>5.6500745178894505</x:v>
      </x:c>
      <x:c r="I370" s="10" t="n">
        <x:f>E370-F370-G370-H370</x:f>
        <x:v>9639.254461496956</x:v>
      </x:c>
      <x:c r="J370" s="10" t="n">
        <x:f>M331</x:f>
        <x:v>0</x:v>
      </x:c>
      <x:c r="K370" s="10" t="n">
        <x:f>MAX(0,I370-J370)</x:f>
        <x:v>9639.254461496956</x:v>
      </x:c>
      <x:c r="L370" s="10" t="n">
        <x:f>K370*'Assumptions'!$D$12</x:f>
        <x:v>2409.813615374239</x:v>
      </x:c>
      <x:c r="M370" s="10" t="n">
        <x:f>MAX(0,J370-I370)</x:f>
        <x:v>0</x:v>
      </x:c>
    </x:row>
    <x:row r="371" ht="16" customHeight="1">
      <x:c r="A371" s="1"/>
      <x:c r="B371" s="1"/>
      <x:c r="C371" s="1" t="str">
        <x:v>VraiSkill adult</x:v>
      </x:c>
      <x:c r="D371" s="10" t="n">
        <x:v>10</x:v>
      </x:c>
      <x:c r="E371" s="10" t="n">
        <x:f>SUMIF('Revenue and costs'!$D$1160:$D$1287,C371,'Revenue and costs'!N1160:N1287)</x:f>
        <x:v>50252.19636443966</x:v>
      </x:c>
      <x:c r="F371" s="10" t="n">
        <x:f>SUMIF('Revenue and costs'!$D$1160:$D$1287,C371,'Revenue and costs'!O1160:O1287)+SUMIF('Revenue and costs'!$D$1160:$D$1287,C371,'Revenue and costs'!P1160:P1287)+SUMIF('Revenue and costs'!$D$1160:$D$1287,C371,'Revenue and costs'!Q1160:Q1287)+SUMIF('Revenue and costs'!$D$1160:$D$1287,C371,'Revenue and costs'!R1160:R1287)+SUMIF('Revenue and costs'!$D$1160:$D$1287,C371,'Revenue and costs'!S1160:S1287)+SUMIF('Revenue and costs'!$D$1160:$D$1287,C371,'Revenue and costs'!T1160:T1287)+SUMIF('Revenue and costs'!$D$1160:$D$1287,C371,'Revenue and costs'!U1160:U1287)+SUMIF('Revenue and costs'!$D$1160:$D$1287,C371,'Revenue and costs'!V1160:V1287)+SUMIF('Revenue and costs'!$D$1160:$D$1287,C371,'Revenue and costs'!AE1160:AE1287)</x:f>
        <x:v>39876.23921219087</x:v>
      </x:c>
      <x:c r="G371" s="10" t="n">
        <x:f>IF('Income statement'!M50=0,1/39,E371/'Income statement'!M50)*('Shared costs'!Q21+'Assumptions'!$D$18*'Assumptions'!$D$19*12*(1+'Assumptions'!$D$13)^(10-1)*'Assumptions'!$D$21)</x:f>
        <x:v>2135.9627242869956</x:v>
      </x:c>
      <x:c r="H371" s="10" t="n">
        <x:f>IF('Income statement'!M50=0,1/39,E371/'Income statement'!M50)*'Cash and capital'!M18</x:f>
        <x:v>10.699461984332975</x:v>
      </x:c>
      <x:c r="I371" s="10" t="n">
        <x:f>E371-F371-G371-H371</x:f>
        <x:v>8229.29496597746</x:v>
      </x:c>
      <x:c r="J371" s="10" t="n">
        <x:f>M332</x:f>
        <x:v>0</x:v>
      </x:c>
      <x:c r="K371" s="10" t="n">
        <x:f>MAX(0,I371-J371)</x:f>
        <x:v>8229.29496597746</x:v>
      </x:c>
      <x:c r="L371" s="10" t="n">
        <x:f>K371*'Assumptions'!$D$12</x:f>
        <x:v>2057.323741494365</x:v>
      </x:c>
      <x:c r="M371" s="10" t="n">
        <x:f>MAX(0,J371-I371)</x:f>
        <x:v>0</x:v>
      </x:c>
    </x:row>
    <x:row r="372" ht="16" customHeight="1">
      <x:c r="A372" s="1"/>
      <x:c r="B372" s="1"/>
      <x:c r="C372" s="1" t="str">
        <x:v>VraiSkill teen</x:v>
      </x:c>
      <x:c r="D372" s="10" t="n">
        <x:v>10</x:v>
      </x:c>
      <x:c r="E372" s="10" t="n">
        <x:f>SUMIF('Revenue and costs'!$D$1160:$D$1287,C372,'Revenue and costs'!N1160:N1287)</x:f>
        <x:v>22346.713729006005</x:v>
      </x:c>
      <x:c r="F372" s="10" t="n">
        <x:f>SUMIF('Revenue and costs'!$D$1160:$D$1287,C372,'Revenue and costs'!O1160:O1287)+SUMIF('Revenue and costs'!$D$1160:$D$1287,C372,'Revenue and costs'!P1160:P1287)+SUMIF('Revenue and costs'!$D$1160:$D$1287,C372,'Revenue and costs'!Q1160:Q1287)+SUMIF('Revenue and costs'!$D$1160:$D$1287,C372,'Revenue and costs'!R1160:R1287)+SUMIF('Revenue and costs'!$D$1160:$D$1287,C372,'Revenue and costs'!S1160:S1287)+SUMIF('Revenue and costs'!$D$1160:$D$1287,C372,'Revenue and costs'!T1160:T1287)+SUMIF('Revenue and costs'!$D$1160:$D$1287,C372,'Revenue and costs'!U1160:U1287)+SUMIF('Revenue and costs'!$D$1160:$D$1287,C372,'Revenue and costs'!V1160:V1287)+SUMIF('Revenue and costs'!$D$1160:$D$1287,C372,'Revenue and costs'!AE1160:AE1287)</x:f>
        <x:v>10985.599301222723</x:v>
      </x:c>
      <x:c r="G372" s="10" t="n">
        <x:f>IF('Income statement'!M50=0,1/39,E372/'Income statement'!M50)*('Shared costs'!Q21+'Assumptions'!$D$18*'Assumptions'!$D$19*12*(1+'Assumptions'!$D$13)^(10-1)*'Assumptions'!$D$21)</x:f>
        <x:v>949.844006604377</x:v>
      </x:c>
      <x:c r="H372" s="10" t="n">
        <x:f>IF('Income statement'!M50=0,1/39,E372/'Income statement'!M50)*'Cash and capital'!M18</x:f>
        <x:v>4.757957488749011</x:v>
      </x:c>
      <x:c r="I372" s="10" t="n">
        <x:f>E372-F372-G372-H372</x:f>
        <x:v>10406.512463690156</x:v>
      </x:c>
      <x:c r="J372" s="10" t="n">
        <x:f>M333</x:f>
        <x:v>0</x:v>
      </x:c>
      <x:c r="K372" s="10" t="n">
        <x:f>MAX(0,I372-J372)</x:f>
        <x:v>10406.512463690156</x:v>
      </x:c>
      <x:c r="L372" s="10" t="n">
        <x:f>K372*'Assumptions'!$D$12</x:f>
        <x:v>2601.628115922539</x:v>
      </x:c>
      <x:c r="M372" s="10" t="n">
        <x:f>MAX(0,J372-I372)</x:f>
        <x:v>0</x:v>
      </x:c>
    </x:row>
    <x:row r="373" ht="16" customHeight="1">
      <x:c r="A373" s="1"/>
      <x:c r="B373" s="1"/>
      <x:c r="C373" s="1" t="str">
        <x:v>VraiSkill Model Life</x:v>
      </x:c>
      <x:c r="D373" s="10" t="n">
        <x:v>10</x:v>
      </x:c>
      <x:c r="E373" s="10" t="n">
        <x:f>SUMIF('Revenue and costs'!$D$1160:$D$1287,C373,'Revenue and costs'!N1160:N1287)</x:f>
        <x:v>0</x:v>
      </x:c>
      <x:c r="F373" s="10" t="n">
        <x:f>SUMIF('Revenue and costs'!$D$1160:$D$1287,C373,'Revenue and costs'!O1160:O1287)+SUMIF('Revenue and costs'!$D$1160:$D$1287,C373,'Revenue and costs'!P1160:P1287)+SUMIF('Revenue and costs'!$D$1160:$D$1287,C373,'Revenue and costs'!Q1160:Q1287)+SUMIF('Revenue and costs'!$D$1160:$D$1287,C373,'Revenue and costs'!R1160:R1287)+SUMIF('Revenue and costs'!$D$1160:$D$1287,C373,'Revenue and costs'!S1160:S1287)+SUMIF('Revenue and costs'!$D$1160:$D$1287,C373,'Revenue and costs'!T1160:T1287)+SUMIF('Revenue and costs'!$D$1160:$D$1287,C373,'Revenue and costs'!U1160:U1287)+SUMIF('Revenue and costs'!$D$1160:$D$1287,C373,'Revenue and costs'!V1160:V1287)+SUMIF('Revenue and costs'!$D$1160:$D$1287,C373,'Revenue and costs'!AE1160:AE1287)</x:f>
        <x:v>0</x:v>
      </x:c>
      <x:c r="G373" s="10" t="n">
        <x:f>IF('Income statement'!M50=0,1/39,E373/'Income statement'!M50)*('Shared costs'!Q21+'Assumptions'!$D$18*'Assumptions'!$D$19*12*(1+'Assumptions'!$D$13)^(10-1)*'Assumptions'!$D$21)</x:f>
        <x:v>0</x:v>
      </x:c>
      <x:c r="H373" s="10" t="n">
        <x:f>IF('Income statement'!M50=0,1/39,E373/'Income statement'!M50)*'Cash and capital'!M18</x:f>
        <x:v>0</x:v>
      </x:c>
      <x:c r="I373" s="10" t="n">
        <x:f>E373-F373-G373-H373</x:f>
        <x:v>0</x:v>
      </x:c>
      <x:c r="J373" s="10" t="n">
        <x:f>M334</x:f>
        <x:v>0</x:v>
      </x:c>
      <x:c r="K373" s="10" t="n">
        <x:f>MAX(0,I373-J373)</x:f>
        <x:v>0</x:v>
      </x:c>
      <x:c r="L373" s="10" t="n">
        <x:f>K373*'Assumptions'!$D$12</x:f>
        <x:v>0</x:v>
      </x:c>
      <x:c r="M373" s="10" t="n">
        <x:f>MAX(0,J373-I373)</x:f>
        <x:v>0</x:v>
      </x:c>
    </x:row>
    <x:row r="374" ht="16" customHeight="1">
      <x:c r="A374" s="1"/>
      <x:c r="B374" s="1"/>
      <x:c r="C374" s="1" t="str">
        <x:v>Model Life</x:v>
      </x:c>
      <x:c r="D374" s="10" t="n">
        <x:v>10</x:v>
      </x:c>
      <x:c r="E374" s="10" t="n">
        <x:f>SUMIF('Revenue and costs'!$D$1160:$D$1287,C374,'Revenue and costs'!N1160:N1287)</x:f>
        <x:v>81979.46249978238</x:v>
      </x:c>
      <x:c r="F374" s="10" t="n">
        <x:f>SUMIF('Revenue and costs'!$D$1160:$D$1287,C374,'Revenue and costs'!O1160:O1287)+SUMIF('Revenue and costs'!$D$1160:$D$1287,C374,'Revenue and costs'!P1160:P1287)+SUMIF('Revenue and costs'!$D$1160:$D$1287,C374,'Revenue and costs'!Q1160:Q1287)+SUMIF('Revenue and costs'!$D$1160:$D$1287,C374,'Revenue and costs'!R1160:R1287)+SUMIF('Revenue and costs'!$D$1160:$D$1287,C374,'Revenue and costs'!S1160:S1287)+SUMIF('Revenue and costs'!$D$1160:$D$1287,C374,'Revenue and costs'!T1160:T1287)+SUMIF('Revenue and costs'!$D$1160:$D$1287,C374,'Revenue and costs'!U1160:U1287)+SUMIF('Revenue and costs'!$D$1160:$D$1287,C374,'Revenue and costs'!V1160:V1287)+SUMIF('Revenue and costs'!$D$1160:$D$1287,C374,'Revenue and costs'!AE1160:AE1287)</x:f>
        <x:v>26484.36406843787</x:v>
      </x:c>
      <x:c r="G374" s="10" t="n">
        <x:f>IF('Income statement'!M50=0,1/39,E374/'Income statement'!M50)*('Shared costs'!Q21+'Assumptions'!$D$18*'Assumptions'!$D$19*12*(1+'Assumptions'!$D$13)^(10-1)*'Assumptions'!$D$21)</x:f>
        <x:v>3484.525826228955</x:v>
      </x:c>
      <x:c r="H374" s="10" t="n">
        <x:f>IF('Income statement'!M50=0,1/39,E374/'Income statement'!M50)*'Cash and capital'!M18</x:f>
        <x:v>17.454682699862385</x:v>
      </x:c>
      <x:c r="I374" s="10" t="n">
        <x:f>E374-F374-G374-H374</x:f>
        <x:v>51993.117922415695</x:v>
      </x:c>
      <x:c r="J374" s="10" t="n">
        <x:f>M335</x:f>
        <x:v>0</x:v>
      </x:c>
      <x:c r="K374" s="10" t="n">
        <x:f>MAX(0,I374-J374)</x:f>
        <x:v>51993.117922415695</x:v>
      </x:c>
      <x:c r="L374" s="10" t="n">
        <x:f>K374*'Assumptions'!$D$12</x:f>
        <x:v>12998.279480603924</x:v>
      </x:c>
      <x:c r="M374" s="10" t="n">
        <x:f>MAX(0,J374-I374)</x:f>
        <x:v>0</x:v>
      </x:c>
    </x:row>
    <x:row r="375" ht="16" customHeight="1">
      <x:c r="A375" s="1"/>
      <x:c r="B375" s="1"/>
      <x:c r="C375" s="1" t="str">
        <x:v>S’otality cleaning</x:v>
      </x:c>
      <x:c r="D375" s="10" t="n">
        <x:v>10</x:v>
      </x:c>
      <x:c r="E375" s="10" t="n">
        <x:f>SUMIF('Revenue and costs'!$D$1160:$D$1287,C375,'Revenue and costs'!N1160:N1287)</x:f>
        <x:v>261073.5409600856</x:v>
      </x:c>
      <x:c r="F375" s="10" t="n">
        <x:f>SUMIF('Revenue and costs'!$D$1160:$D$1287,C375,'Revenue and costs'!O1160:O1287)+SUMIF('Revenue and costs'!$D$1160:$D$1287,C375,'Revenue and costs'!P1160:P1287)+SUMIF('Revenue and costs'!$D$1160:$D$1287,C375,'Revenue and costs'!Q1160:Q1287)+SUMIF('Revenue and costs'!$D$1160:$D$1287,C375,'Revenue and costs'!R1160:R1287)+SUMIF('Revenue and costs'!$D$1160:$D$1287,C375,'Revenue and costs'!S1160:S1287)+SUMIF('Revenue and costs'!$D$1160:$D$1287,C375,'Revenue and costs'!T1160:T1287)+SUMIF('Revenue and costs'!$D$1160:$D$1287,C375,'Revenue and costs'!U1160:U1287)+SUMIF('Revenue and costs'!$D$1160:$D$1287,C375,'Revenue and costs'!V1160:V1287)+SUMIF('Revenue and costs'!$D$1160:$D$1287,C375,'Revenue and costs'!AE1160:AE1287)</x:f>
        <x:v>224597.5294934518</x:v>
      </x:c>
      <x:c r="G375" s="10" t="n">
        <x:f>IF('Income statement'!M50=0,1/39,E375/'Income statement'!M50)*('Shared costs'!Q21+'Assumptions'!$D$18*'Assumptions'!$D$19*12*(1+'Assumptions'!$D$13)^(10-1)*'Assumptions'!$D$21)</x:f>
        <x:v>11096.895103732546</x:v>
      </x:c>
      <x:c r="H375" s="10" t="n">
        <x:f>IF('Income statement'!M50=0,1/39,E375/'Income statement'!M50)*'Cash and capital'!M18</x:f>
        <x:v>55.58655399576347</x:v>
      </x:c>
      <x:c r="I375" s="10" t="n">
        <x:f>E375-F375-G375-H375</x:f>
        <x:v>25323.52980890551</x:v>
      </x:c>
      <x:c r="J375" s="10" t="n">
        <x:f>M336</x:f>
        <x:v>0</x:v>
      </x:c>
      <x:c r="K375" s="10" t="n">
        <x:f>MAX(0,I375-J375)</x:f>
        <x:v>25323.52980890551</x:v>
      </x:c>
      <x:c r="L375" s="10" t="n">
        <x:f>K375*'Assumptions'!$D$12</x:f>
        <x:v>6330.882452226378</x:v>
      </x:c>
      <x:c r="M375" s="10" t="n">
        <x:f>MAX(0,J375-I375)</x:f>
        <x:v>0</x:v>
      </x:c>
    </x:row>
    <x:row r="376" ht="16" customHeight="1">
      <x:c r="A376" s="1"/>
      <x:c r="B376" s="1"/>
      <x:c r="C376" s="1" t="str">
        <x:v>S’otality laundry</x:v>
      </x:c>
      <x:c r="D376" s="10" t="n">
        <x:v>10</x:v>
      </x:c>
      <x:c r="E376" s="10" t="n">
        <x:f>SUMIF('Revenue and costs'!$D$1160:$D$1287,C376,'Revenue and costs'!N1160:N1287)</x:f>
        <x:v>40464.90014880775</x:v>
      </x:c>
      <x:c r="F376" s="10" t="n">
        <x:f>SUMIF('Revenue and costs'!$D$1160:$D$1287,C376,'Revenue and costs'!O1160:O1287)+SUMIF('Revenue and costs'!$D$1160:$D$1287,C376,'Revenue and costs'!P1160:P1287)+SUMIF('Revenue and costs'!$D$1160:$D$1287,C376,'Revenue and costs'!Q1160:Q1287)+SUMIF('Revenue and costs'!$D$1160:$D$1287,C376,'Revenue and costs'!R1160:R1287)+SUMIF('Revenue and costs'!$D$1160:$D$1287,C376,'Revenue and costs'!S1160:S1287)+SUMIF('Revenue and costs'!$D$1160:$D$1287,C376,'Revenue and costs'!T1160:T1287)+SUMIF('Revenue and costs'!$D$1160:$D$1287,C376,'Revenue and costs'!U1160:U1287)+SUMIF('Revenue and costs'!$D$1160:$D$1287,C376,'Revenue and costs'!V1160:V1287)+SUMIF('Revenue and costs'!$D$1160:$D$1287,C376,'Revenue and costs'!AE1160:AE1287)</x:f>
        <x:v>37329.84167487956</x:v>
      </x:c>
      <x:c r="G376" s="10" t="n">
        <x:f>IF('Income statement'!M50=0,1/39,E376/'Income statement'!M50)*('Shared costs'!Q21+'Assumptions'!$D$18*'Assumptions'!$D$19*12*(1+'Assumptions'!$D$13)^(10-1)*'Assumptions'!$D$21)</x:f>
        <x:v>1719.9550390400614</x:v>
      </x:c>
      <x:c r="H376" s="10" t="n">
        <x:f>IF('Income statement'!M50=0,1/39,E376/'Income statement'!M50)*'Cash and capital'!M18</x:f>
        <x:v>8.615596773166551</x:v>
      </x:c>
      <x:c r="I376" s="10" t="n">
        <x:f>E376-F376-G376-H376</x:f>
        <x:v>1406.4878381149633</x:v>
      </x:c>
      <x:c r="J376" s="10" t="n">
        <x:f>M337</x:f>
        <x:v>0</x:v>
      </x:c>
      <x:c r="K376" s="10" t="n">
        <x:f>MAX(0,I376-J376)</x:f>
        <x:v>1406.4878381149633</x:v>
      </x:c>
      <x:c r="L376" s="10" t="n">
        <x:f>K376*'Assumptions'!$D$12</x:f>
        <x:v>351.62195952874083</x:v>
      </x:c>
      <x:c r="M376" s="10" t="n">
        <x:f>MAX(0,J376-I376)</x:f>
        <x:v>0</x:v>
      </x:c>
    </x:row>
    <x:row r="377" ht="16" customHeight="1">
      <x:c r="A377" s="1"/>
      <x:c r="B377" s="1"/>
      <x:c r="C377" s="1" t="str">
        <x:v>S’otality Personal Chef</x:v>
      </x:c>
      <x:c r="D377" s="10" t="n">
        <x:v>10</x:v>
      </x:c>
      <x:c r="E377" s="10" t="n">
        <x:f>SUMIF('Revenue and costs'!$D$1160:$D$1287,C377,'Revenue and costs'!N1160:N1287)</x:f>
        <x:v>72947.7212231285</x:v>
      </x:c>
      <x:c r="F377" s="10" t="n">
        <x:f>SUMIF('Revenue and costs'!$D$1160:$D$1287,C377,'Revenue and costs'!O1160:O1287)+SUMIF('Revenue and costs'!$D$1160:$D$1287,C377,'Revenue and costs'!P1160:P1287)+SUMIF('Revenue and costs'!$D$1160:$D$1287,C377,'Revenue and costs'!Q1160:Q1287)+SUMIF('Revenue and costs'!$D$1160:$D$1287,C377,'Revenue and costs'!R1160:R1287)+SUMIF('Revenue and costs'!$D$1160:$D$1287,C377,'Revenue and costs'!S1160:S1287)+SUMIF('Revenue and costs'!$D$1160:$D$1287,C377,'Revenue and costs'!T1160:T1287)+SUMIF('Revenue and costs'!$D$1160:$D$1287,C377,'Revenue and costs'!U1160:U1287)+SUMIF('Revenue and costs'!$D$1160:$D$1287,C377,'Revenue and costs'!V1160:V1287)+SUMIF('Revenue and costs'!$D$1160:$D$1287,C377,'Revenue and costs'!AE1160:AE1287)</x:f>
        <x:v>58645.661744303594</x:v>
      </x:c>
      <x:c r="G377" s="10" t="n">
        <x:f>IF('Income statement'!M50=0,1/39,E377/'Income statement'!M50)*('Shared costs'!Q21+'Assumptions'!$D$18*'Assumptions'!$D$19*12*(1+'Assumptions'!$D$13)^(10-1)*'Assumptions'!$D$21)</x:f>
        <x:v>3100.632900187849</x:v>
      </x:c>
      <x:c r="H377" s="10" t="n">
        <x:f>IF('Income statement'!M50=0,1/39,E377/'Income statement'!M50)*'Cash and capital'!M18</x:f>
        <x:v>15.531686703009365</x:v>
      </x:c>
      <x:c r="I377" s="10" t="n">
        <x:f>E377-F377-G377-H377</x:f>
        <x:v>11185.894891934042</x:v>
      </x:c>
      <x:c r="J377" s="10" t="n">
        <x:f>M338</x:f>
        <x:v>0</x:v>
      </x:c>
      <x:c r="K377" s="10" t="n">
        <x:f>MAX(0,I377-J377)</x:f>
        <x:v>11185.894891934042</x:v>
      </x:c>
      <x:c r="L377" s="10" t="n">
        <x:f>K377*'Assumptions'!$D$12</x:f>
        <x:v>2796.4737229835105</x:v>
      </x:c>
      <x:c r="M377" s="10" t="n">
        <x:f>MAX(0,J377-I377)</x:f>
        <x:v>0</x:v>
      </x:c>
    </x:row>
    <x:row r="378" ht="16" customHeight="1">
      <x:c r="A378" s="1"/>
      <x:c r="B378" s="1"/>
      <x:c r="C378" s="1" t="str">
        <x:v>S’otality interiors</x:v>
      </x:c>
      <x:c r="D378" s="10" t="n">
        <x:v>10</x:v>
      </x:c>
      <x:c r="E378" s="10" t="n">
        <x:f>SUMIF('Revenue and costs'!$D$1160:$D$1287,C378,'Revenue and costs'!N1160:N1287)</x:f>
        <x:v>94336.57165480856</x:v>
      </x:c>
      <x:c r="F378" s="10" t="n">
        <x:f>SUMIF('Revenue and costs'!$D$1160:$D$1287,C378,'Revenue and costs'!O1160:O1287)+SUMIF('Revenue and costs'!$D$1160:$D$1287,C378,'Revenue and costs'!P1160:P1287)+SUMIF('Revenue and costs'!$D$1160:$D$1287,C378,'Revenue and costs'!Q1160:Q1287)+SUMIF('Revenue and costs'!$D$1160:$D$1287,C378,'Revenue and costs'!R1160:R1287)+SUMIF('Revenue and costs'!$D$1160:$D$1287,C378,'Revenue and costs'!S1160:S1287)+SUMIF('Revenue and costs'!$D$1160:$D$1287,C378,'Revenue and costs'!T1160:T1287)+SUMIF('Revenue and costs'!$D$1160:$D$1287,C378,'Revenue and costs'!U1160:U1287)+SUMIF('Revenue and costs'!$D$1160:$D$1287,C378,'Revenue and costs'!V1160:V1287)+SUMIF('Revenue and costs'!$D$1160:$D$1287,C378,'Revenue and costs'!AE1160:AE1287)</x:f>
        <x:v>58430.590016240305</x:v>
      </x:c>
      <x:c r="G378" s="10" t="n">
        <x:f>IF('Income statement'!M50=0,1/39,E378/'Income statement'!M50)*('Shared costs'!Q21+'Assumptions'!$D$18*'Assumptions'!$D$19*12*(1+'Assumptions'!$D$13)^(10-1)*'Assumptions'!$D$21)</x:f>
        <x:v>4009.763058521534</x:v>
      </x:c>
      <x:c r="H378" s="10" t="n">
        <x:f>IF('Income statement'!M50=0,1/39,E378/'Income statement'!M50)*'Cash and capital'!M18</x:f>
        <x:v>20.08570043054242</x:v>
      </x:c>
      <x:c r="I378" s="10" t="n">
        <x:f>E378-F378-G378-H378</x:f>
        <x:v>31876.13287961618</x:v>
      </x:c>
      <x:c r="J378" s="10" t="n">
        <x:f>M339</x:f>
        <x:v>0</x:v>
      </x:c>
      <x:c r="K378" s="10" t="n">
        <x:f>MAX(0,I378-J378)</x:f>
        <x:v>31876.13287961618</x:v>
      </x:c>
      <x:c r="L378" s="10" t="n">
        <x:f>K378*'Assumptions'!$D$12</x:f>
        <x:v>7969.033219904045</x:v>
      </x:c>
      <x:c r="M378" s="10" t="n">
        <x:f>MAX(0,J378-I378)</x:f>
        <x:v>0</x:v>
      </x:c>
    </x:row>
    <x:row r="379" ht="16" customHeight="1">
      <x:c r="A379" s="1"/>
      <x:c r="B379" s="1"/>
      <x:c r="C379" s="1" t="str">
        <x:v>S’otality concierge</x:v>
      </x:c>
      <x:c r="D379" s="10" t="n">
        <x:v>10</x:v>
      </x:c>
      <x:c r="E379" s="10" t="n">
        <x:f>SUMIF('Revenue and costs'!$D$1160:$D$1287,C379,'Revenue and costs'!N1160:N1287)</x:f>
        <x:v>34354.578328625124</x:v>
      </x:c>
      <x:c r="F379" s="10" t="n">
        <x:f>SUMIF('Revenue and costs'!$D$1160:$D$1287,C379,'Revenue and costs'!O1160:O1287)+SUMIF('Revenue and costs'!$D$1160:$D$1287,C379,'Revenue and costs'!P1160:P1287)+SUMIF('Revenue and costs'!$D$1160:$D$1287,C379,'Revenue and costs'!Q1160:Q1287)+SUMIF('Revenue and costs'!$D$1160:$D$1287,C379,'Revenue and costs'!R1160:R1287)+SUMIF('Revenue and costs'!$D$1160:$D$1287,C379,'Revenue and costs'!S1160:S1287)+SUMIF('Revenue and costs'!$D$1160:$D$1287,C379,'Revenue and costs'!T1160:T1287)+SUMIF('Revenue and costs'!$D$1160:$D$1287,C379,'Revenue and costs'!U1160:U1287)+SUMIF('Revenue and costs'!$D$1160:$D$1287,C379,'Revenue and costs'!V1160:V1287)+SUMIF('Revenue and costs'!$D$1160:$D$1287,C379,'Revenue and costs'!AE1160:AE1287)</x:f>
        <x:v>19920.206355868737</x:v>
      </x:c>
      <x:c r="G379" s="10" t="n">
        <x:f>IF('Income statement'!M50=0,1/39,E379/'Income statement'!M50)*('Shared costs'!Q21+'Assumptions'!$D$18*'Assumptions'!$D$19*12*(1+'Assumptions'!$D$13)^(10-1)*'Assumptions'!$D$21)</x:f>
        <x:v>1460.23664689943</x:v>
      </x:c>
      <x:c r="H379" s="10" t="n">
        <x:f>IF('Income statement'!M50=0,1/39,E379/'Income statement'!M50)*'Cash and capital'!M18</x:f>
        <x:v>7.314615706529082</x:v>
      </x:c>
      <x:c r="I379" s="10" t="n">
        <x:f>E379-F379-G379-H379</x:f>
        <x:v>12966.820710150429</x:v>
      </x:c>
      <x:c r="J379" s="10" t="n">
        <x:f>M340</x:f>
        <x:v>0</x:v>
      </x:c>
      <x:c r="K379" s="10" t="n">
        <x:f>MAX(0,I379-J379)</x:f>
        <x:v>12966.820710150429</x:v>
      </x:c>
      <x:c r="L379" s="10" t="n">
        <x:f>K379*'Assumptions'!$D$12</x:f>
        <x:v>3241.705177537607</x:v>
      </x:c>
      <x:c r="M379" s="10" t="n">
        <x:f>MAX(0,J379-I379)</x:f>
        <x:v>0</x:v>
      </x:c>
    </x:row>
    <x:row r="380" ht="16" customHeight="1">
      <x:c r="A380" s="1"/>
      <x:c r="B380" s="1"/>
      <x:c r="C380" s="1" t="str">
        <x:v>S’otality administration</x:v>
      </x:c>
      <x:c r="D380" s="10" t="n">
        <x:v>10</x:v>
      </x:c>
      <x:c r="E380" s="10" t="n">
        <x:f>SUMIF('Revenue and costs'!$D$1160:$D$1287,C380,'Revenue and costs'!N1160:N1287)</x:f>
        <x:v>54967.3253258002</x:v>
      </x:c>
      <x:c r="F380" s="10" t="n">
        <x:f>SUMIF('Revenue and costs'!$D$1160:$D$1287,C380,'Revenue and costs'!O1160:O1287)+SUMIF('Revenue and costs'!$D$1160:$D$1287,C380,'Revenue and costs'!P1160:P1287)+SUMIF('Revenue and costs'!$D$1160:$D$1287,C380,'Revenue and costs'!Q1160:Q1287)+SUMIF('Revenue and costs'!$D$1160:$D$1287,C380,'Revenue and costs'!R1160:R1287)+SUMIF('Revenue and costs'!$D$1160:$D$1287,C380,'Revenue and costs'!S1160:S1287)+SUMIF('Revenue and costs'!$D$1160:$D$1287,C380,'Revenue and costs'!T1160:T1287)+SUMIF('Revenue and costs'!$D$1160:$D$1287,C380,'Revenue and costs'!U1160:U1287)+SUMIF('Revenue and costs'!$D$1160:$D$1287,C380,'Revenue and costs'!V1160:V1287)+SUMIF('Revenue and costs'!$D$1160:$D$1287,C380,'Revenue and costs'!AE1160:AE1287)</x:f>
        <x:v>42746.65360933043</x:v>
      </x:c>
      <x:c r="G380" s="10" t="n">
        <x:f>IF('Income statement'!M50=0,1/39,E380/'Income statement'!M50)*('Shared costs'!Q21+'Assumptions'!$D$18*'Assumptions'!$D$19*12*(1+'Assumptions'!$D$13)^(10-1)*'Assumptions'!$D$21)</x:f>
        <x:v>2336.378635039088</x:v>
      </x:c>
      <x:c r="H380" s="10" t="n">
        <x:f>IF('Income statement'!M50=0,1/39,E380/'Income statement'!M50)*'Cash and capital'!M18</x:f>
        <x:v>11.70338513044653</x:v>
      </x:c>
      <x:c r="I380" s="10" t="n">
        <x:f>E380-F380-G380-H380</x:f>
        <x:v>9872.589696300236</x:v>
      </x:c>
      <x:c r="J380" s="10" t="n">
        <x:f>M341</x:f>
        <x:v>0</x:v>
      </x:c>
      <x:c r="K380" s="10" t="n">
        <x:f>MAX(0,I380-J380)</x:f>
        <x:v>9872.589696300236</x:v>
      </x:c>
      <x:c r="L380" s="10" t="n">
        <x:f>K380*'Assumptions'!$D$12</x:f>
        <x:v>2468.147424075059</x:v>
      </x:c>
      <x:c r="M380" s="10" t="n">
        <x:f>MAX(0,J380-I380)</x:f>
        <x:v>0</x:v>
      </x:c>
    </x:row>
    <x:row r="381" ht="16" customHeight="1">
      <x:c r="A381" s="1"/>
      <x:c r="B381" s="1"/>
      <x:c r="C381" s="1" t="str">
        <x:v>S’otality bike tours</x:v>
      </x:c>
      <x:c r="D381" s="10" t="n">
        <x:v>10</x:v>
      </x:c>
      <x:c r="E381" s="10" t="n">
        <x:f>SUMIF('Revenue and costs'!$D$1160:$D$1287,C381,'Revenue and costs'!N1160:N1287)</x:f>
        <x:v>29179.088489251397</x:v>
      </x:c>
      <x:c r="F381" s="10" t="n">
        <x:f>SUMIF('Revenue and costs'!$D$1160:$D$1287,C381,'Revenue and costs'!O1160:O1287)+SUMIF('Revenue and costs'!$D$1160:$D$1287,C381,'Revenue and costs'!P1160:P1287)+SUMIF('Revenue and costs'!$D$1160:$D$1287,C381,'Revenue and costs'!Q1160:Q1287)+SUMIF('Revenue and costs'!$D$1160:$D$1287,C381,'Revenue and costs'!R1160:R1287)+SUMIF('Revenue and costs'!$D$1160:$D$1287,C381,'Revenue and costs'!S1160:S1287)+SUMIF('Revenue and costs'!$D$1160:$D$1287,C381,'Revenue and costs'!T1160:T1287)+SUMIF('Revenue and costs'!$D$1160:$D$1287,C381,'Revenue and costs'!U1160:U1287)+SUMIF('Revenue and costs'!$D$1160:$D$1287,C381,'Revenue and costs'!V1160:V1287)+SUMIF('Revenue and costs'!$D$1160:$D$1287,C381,'Revenue and costs'!AE1160:AE1287)</x:f>
        <x:v>23902.96497903316</x:v>
      </x:c>
      <x:c r="G381" s="10" t="n">
        <x:f>IF('Income statement'!M50=0,1/39,E381/'Income statement'!M50)*('Shared costs'!Q21+'Assumptions'!$D$18*'Assumptions'!$D$19*12*(1+'Assumptions'!$D$13)^(10-1)*'Assumptions'!$D$21)</x:f>
        <x:v>1240.2531600751395</x:v>
      </x:c>
      <x:c r="H381" s="10" t="n">
        <x:f>IF('Income statement'!M50=0,1/39,E381/'Income statement'!M50)*'Cash and capital'!M18</x:f>
        <x:v>6.212674681203746</x:v>
      </x:c>
      <x:c r="I381" s="10" t="n">
        <x:f>E381-F381-G381-H381</x:f>
        <x:v>4029.657675461893</x:v>
      </x:c>
      <x:c r="J381" s="10" t="n">
        <x:f>M342</x:f>
        <x:v>0</x:v>
      </x:c>
      <x:c r="K381" s="10" t="n">
        <x:f>MAX(0,I381-J381)</x:f>
        <x:v>4029.657675461893</x:v>
      </x:c>
      <x:c r="L381" s="10" t="n">
        <x:f>K381*'Assumptions'!$D$12</x:f>
        <x:v>1007.4144188654733</x:v>
      </x:c>
      <x:c r="M381" s="10" t="n">
        <x:f>MAX(0,J381-I381)</x:f>
        <x:v>0</x:v>
      </x:c>
    </x:row>
    <x:row r="382" ht="16" customHeight="1">
      <x:c r="A382" s="1"/>
      <x:c r="B382" s="1"/>
      <x:c r="C382" s="1" t="str">
        <x:v>S’otality editorial</x:v>
      </x:c>
      <x:c r="D382" s="10" t="n">
        <x:v>10</x:v>
      </x:c>
      <x:c r="E382" s="10" t="n">
        <x:f>SUMIF('Revenue and costs'!$D$1160:$D$1287,C382,'Revenue and costs'!N1160:N1287)</x:f>
        <x:v>13558.078940602663</x:v>
      </x:c>
      <x:c r="F382" s="10" t="n">
        <x:f>SUMIF('Revenue and costs'!$D$1160:$D$1287,C382,'Revenue and costs'!O1160:O1287)+SUMIF('Revenue and costs'!$D$1160:$D$1287,C382,'Revenue and costs'!P1160:P1287)+SUMIF('Revenue and costs'!$D$1160:$D$1287,C382,'Revenue and costs'!Q1160:Q1287)+SUMIF('Revenue and costs'!$D$1160:$D$1287,C382,'Revenue and costs'!R1160:R1287)+SUMIF('Revenue and costs'!$D$1160:$D$1287,C382,'Revenue and costs'!S1160:S1287)+SUMIF('Revenue and costs'!$D$1160:$D$1287,C382,'Revenue and costs'!T1160:T1287)+SUMIF('Revenue and costs'!$D$1160:$D$1287,C382,'Revenue and costs'!U1160:U1287)+SUMIF('Revenue and costs'!$D$1160:$D$1287,C382,'Revenue and costs'!V1160:V1287)+SUMIF('Revenue and costs'!$D$1160:$D$1287,C382,'Revenue and costs'!AE1160:AE1287)</x:f>
        <x:v>7776.48841338168</x:v>
      </x:c>
      <x:c r="G382" s="10" t="n">
        <x:f>IF('Income statement'!M50=0,1/39,E382/'Income statement'!M50)*('Shared costs'!Q21+'Assumptions'!$D$18*'Assumptions'!$D$19*12*(1+'Assumptions'!$D$13)^(10-1)*'Assumptions'!$D$21)</x:f>
        <x:v>576.2842885522249</x:v>
      </x:c>
      <x:c r="H382" s="10" t="n">
        <x:f>IF('Income statement'!M50=0,1/39,E382/'Income statement'!M50)*'Cash and capital'!M18</x:f>
        <x:v>2.8867225852881635</x:v>
      </x:c>
      <x:c r="I382" s="10" t="n">
        <x:f>E382-F382-G382-H382</x:f>
        <x:v>5202.41951608347</x:v>
      </x:c>
      <x:c r="J382" s="10" t="n">
        <x:f>M343</x:f>
        <x:v>0</x:v>
      </x:c>
      <x:c r="K382" s="10" t="n">
        <x:f>MAX(0,I382-J382)</x:f>
        <x:v>5202.41951608347</x:v>
      </x:c>
      <x:c r="L382" s="10" t="n">
        <x:f>K382*'Assumptions'!$D$12</x:f>
        <x:v>1300.6048790208674</x:v>
      </x:c>
      <x:c r="M382" s="10" t="n">
        <x:f>MAX(0,J382-I382)</x:f>
        <x:v>0</x:v>
      </x:c>
    </x:row>
    <x:row r="383" ht="16" customHeight="1">
      <x:c r="A383" s="1"/>
      <x:c r="B383" s="1"/>
      <x:c r="C383" s="1" t="str">
        <x:v>Tomato Odyssey</x:v>
      </x:c>
      <x:c r="D383" s="10" t="n">
        <x:v>10</x:v>
      </x:c>
      <x:c r="E383" s="10" t="n">
        <x:f>SUMIF('Revenue and costs'!$D$1160:$D$1287,C383,'Revenue and costs'!N1160:N1287)</x:f>
        <x:v>13558.078940602663</x:v>
      </x:c>
      <x:c r="F383" s="10" t="n">
        <x:f>SUMIF('Revenue and costs'!$D$1160:$D$1287,C383,'Revenue and costs'!O1160:O1287)+SUMIF('Revenue and costs'!$D$1160:$D$1287,C383,'Revenue and costs'!P1160:P1287)+SUMIF('Revenue and costs'!$D$1160:$D$1287,C383,'Revenue and costs'!Q1160:Q1287)+SUMIF('Revenue and costs'!$D$1160:$D$1287,C383,'Revenue and costs'!R1160:R1287)+SUMIF('Revenue and costs'!$D$1160:$D$1287,C383,'Revenue and costs'!S1160:S1287)+SUMIF('Revenue and costs'!$D$1160:$D$1287,C383,'Revenue and costs'!T1160:T1287)+SUMIF('Revenue and costs'!$D$1160:$D$1287,C383,'Revenue and costs'!U1160:U1287)+SUMIF('Revenue and costs'!$D$1160:$D$1287,C383,'Revenue and costs'!V1160:V1287)+SUMIF('Revenue and costs'!$D$1160:$D$1287,C383,'Revenue and costs'!AE1160:AE1287)</x:f>
        <x:v>7776.48841338168</x:v>
      </x:c>
      <x:c r="G383" s="10" t="n">
        <x:f>IF('Income statement'!M50=0,1/39,E383/'Income statement'!M50)*('Shared costs'!Q21+'Assumptions'!$D$18*'Assumptions'!$D$19*12*(1+'Assumptions'!$D$13)^(10-1)*'Assumptions'!$D$21)</x:f>
        <x:v>576.2842885522249</x:v>
      </x:c>
      <x:c r="H383" s="10" t="n">
        <x:f>IF('Income statement'!M50=0,1/39,E383/'Income statement'!M50)*'Cash and capital'!M18</x:f>
        <x:v>2.8867225852881635</x:v>
      </x:c>
      <x:c r="I383" s="10" t="n">
        <x:f>E383-F383-G383-H383</x:f>
        <x:v>5202.41951608347</x:v>
      </x:c>
      <x:c r="J383" s="10" t="n">
        <x:f>M344</x:f>
        <x:v>0</x:v>
      </x:c>
      <x:c r="K383" s="10" t="n">
        <x:f>MAX(0,I383-J383)</x:f>
        <x:v>5202.41951608347</x:v>
      </x:c>
      <x:c r="L383" s="10" t="n">
        <x:f>K383*'Assumptions'!$D$12</x:f>
        <x:v>1300.6048790208674</x:v>
      </x:c>
      <x:c r="M383" s="10" t="n">
        <x:f>MAX(0,J383-I383)</x:f>
        <x:v>0</x:v>
      </x:c>
    </x:row>
    <x:row r="384" ht="16" customHeight="1">
      <x:c r="A384" s="1"/>
      <x:c r="B384" s="1"/>
      <x:c r="C384" s="1" t="str">
        <x:v>Semajes Studio</x:v>
      </x:c>
      <x:c r="D384" s="10" t="n">
        <x:v>10</x:v>
      </x:c>
      <x:c r="E384" s="10" t="n">
        <x:f>SUMIF('Revenue and costs'!$D$1160:$D$1287,C384,'Revenue and costs'!N1160:N1287)</x:f>
        <x:v>177102.69069668328</x:v>
      </x:c>
      <x:c r="F384" s="10" t="n">
        <x:f>SUMIF('Revenue and costs'!$D$1160:$D$1287,C384,'Revenue and costs'!O1160:O1287)+SUMIF('Revenue and costs'!$D$1160:$D$1287,C384,'Revenue and costs'!P1160:P1287)+SUMIF('Revenue and costs'!$D$1160:$D$1287,C384,'Revenue and costs'!Q1160:Q1287)+SUMIF('Revenue and costs'!$D$1160:$D$1287,C384,'Revenue and costs'!R1160:R1287)+SUMIF('Revenue and costs'!$D$1160:$D$1287,C384,'Revenue and costs'!S1160:S1287)+SUMIF('Revenue and costs'!$D$1160:$D$1287,C384,'Revenue and costs'!T1160:T1287)+SUMIF('Revenue and costs'!$D$1160:$D$1287,C384,'Revenue and costs'!U1160:U1287)+SUMIF('Revenue and costs'!$D$1160:$D$1287,C384,'Revenue and costs'!V1160:V1287)+SUMIF('Revenue and costs'!$D$1160:$D$1287,C384,'Revenue and costs'!AE1160:AE1287)</x:f>
        <x:v>115438.49412618516</x:v>
      </x:c>
      <x:c r="G384" s="10" t="n">
        <x:f>IF('Income statement'!M50=0,1/39,E384/'Income statement'!M50)*('Shared costs'!Q21+'Assumptions'!$D$18*'Assumptions'!$D$19*12*(1+'Assumptions'!$D$13)^(10-1)*'Assumptions'!$D$21)</x:f>
        <x:v>7527.725613337236</x:v>
      </x:c>
      <x:c r="H384" s="10" t="n">
        <x:f>IF('Income statement'!M50=0,1/39,E384/'Income statement'!M50)*'Cash and capital'!M18</x:f>
        <x:v>37.70787435219744</x:v>
      </x:c>
      <x:c r="I384" s="10" t="n">
        <x:f>E384-F384-G384-H384</x:f>
        <x:v>54098.76308280868</x:v>
      </x:c>
      <x:c r="J384" s="10" t="n">
        <x:f>M345</x:f>
        <x:v>0</x:v>
      </x:c>
      <x:c r="K384" s="10" t="n">
        <x:f>MAX(0,I384-J384)</x:f>
        <x:v>54098.76308280868</x:v>
      </x:c>
      <x:c r="L384" s="10" t="n">
        <x:f>K384*'Assumptions'!$D$12</x:f>
        <x:v>13524.69077070217</x:v>
      </x:c>
      <x:c r="M384" s="10" t="n">
        <x:f>MAX(0,J384-I384)</x:f>
        <x:v>0</x:v>
      </x:c>
    </x:row>
    <x:row r="385" ht="16" customHeight="1">
      <x:c r="A385" s="1"/>
      <x:c r="B385" s="1"/>
      <x:c r="C385" s="1" t="str">
        <x:v>Semajes Marketplace</x:v>
      </x:c>
      <x:c r="D385" s="10" t="n">
        <x:v>10</x:v>
      </x:c>
      <x:c r="E385" s="10" t="n">
        <x:f>SUMIF('Revenue and costs'!$D$1160:$D$1287,C385,'Revenue and costs'!N1160:N1287)</x:f>
        <x:v>55758.09030316082</x:v>
      </x:c>
      <x:c r="F385" s="10" t="n">
        <x:f>SUMIF('Revenue and costs'!$D$1160:$D$1287,C385,'Revenue and costs'!O1160:O1287)+SUMIF('Revenue and costs'!$D$1160:$D$1287,C385,'Revenue and costs'!P1160:P1287)+SUMIF('Revenue and costs'!$D$1160:$D$1287,C385,'Revenue and costs'!Q1160:Q1287)+SUMIF('Revenue and costs'!$D$1160:$D$1287,C385,'Revenue and costs'!R1160:R1287)+SUMIF('Revenue and costs'!$D$1160:$D$1287,C385,'Revenue and costs'!S1160:S1287)+SUMIF('Revenue and costs'!$D$1160:$D$1287,C385,'Revenue and costs'!T1160:T1287)+SUMIF('Revenue and costs'!$D$1160:$D$1287,C385,'Revenue and costs'!U1160:U1287)+SUMIF('Revenue and costs'!$D$1160:$D$1287,C385,'Revenue and costs'!V1160:V1287)+SUMIF('Revenue and costs'!$D$1160:$D$1287,C385,'Revenue and costs'!AE1160:AE1287)</x:f>
        <x:v>27469.54941351802</x:v>
      </x:c>
      <x:c r="G385" s="10" t="n">
        <x:f>IF('Income statement'!M50=0,1/39,E385/'Income statement'!M50)*('Shared costs'!Q21+'Assumptions'!$D$18*'Assumptions'!$D$19*12*(1+'Assumptions'!$D$13)^(10-1)*'Assumptions'!$D$21)</x:f>
        <x:v>2369.9899921042525</x:v>
      </x:c>
      <x:c r="H385" s="10" t="n">
        <x:f>IF('Income statement'!M50=0,1/39,E385/'Income statement'!M50)*'Cash and capital'!M18</x:f>
        <x:v>11.871751101009343</x:v>
      </x:c>
      <x:c r="I385" s="10" t="n">
        <x:f>E385-F385-G385-H385</x:f>
        <x:v>25906.679146437535</x:v>
      </x:c>
      <x:c r="J385" s="10" t="n">
        <x:f>M346</x:f>
        <x:v>0</x:v>
      </x:c>
      <x:c r="K385" s="10" t="n">
        <x:f>MAX(0,I385-J385)</x:f>
        <x:v>25906.679146437535</x:v>
      </x:c>
      <x:c r="L385" s="10" t="n">
        <x:f>K385*'Assumptions'!$D$12</x:f>
        <x:v>6476.669786609384</x:v>
      </x:c>
      <x:c r="M385" s="10" t="n">
        <x:f>MAX(0,J385-I385)</x:f>
        <x:v>0</x:v>
      </x:c>
    </x:row>
    <x:row r="386" ht="16" customHeight="1">
      <x:c r="A386" s="1"/>
      <x:c r="B386" s="1"/>
      <x:c r="C386" s="1" t="str">
        <x:v>Semajes premium and media</x:v>
      </x:c>
      <x:c r="D386" s="10" t="n">
        <x:v>10</x:v>
      </x:c>
      <x:c r="E386" s="10" t="n">
        <x:f>SUMIF('Revenue and costs'!$D$1160:$D$1287,C386,'Revenue and costs'!N1160:N1287)</x:f>
        <x:v>38895.035424988666</x:v>
      </x:c>
      <x:c r="F386" s="10" t="n">
        <x:f>SUMIF('Revenue and costs'!$D$1160:$D$1287,C386,'Revenue and costs'!O1160:O1287)+SUMIF('Revenue and costs'!$D$1160:$D$1287,C386,'Revenue and costs'!P1160:P1287)+SUMIF('Revenue and costs'!$D$1160:$D$1287,C386,'Revenue and costs'!Q1160:Q1287)+SUMIF('Revenue and costs'!$D$1160:$D$1287,C386,'Revenue and costs'!R1160:R1287)+SUMIF('Revenue and costs'!$D$1160:$D$1287,C386,'Revenue and costs'!S1160:S1287)+SUMIF('Revenue and costs'!$D$1160:$D$1287,C386,'Revenue and costs'!T1160:T1287)+SUMIF('Revenue and costs'!$D$1160:$D$1287,C386,'Revenue and costs'!U1160:U1287)+SUMIF('Revenue and costs'!$D$1160:$D$1287,C386,'Revenue and costs'!V1160:V1287)+SUMIF('Revenue and costs'!$D$1160:$D$1287,C386,'Revenue and costs'!AE1160:AE1287)</x:f>
        <x:v>21406.912682732094</x:v>
      </x:c>
      <x:c r="G386" s="10" t="n">
        <x:f>IF('Income statement'!M50=0,1/39,E386/'Income statement'!M50)*('Shared costs'!Q21+'Assumptions'!$D$18*'Assumptions'!$D$19*12*(1+'Assumptions'!$D$13)^(10-1)*'Assumptions'!$D$21)</x:f>
        <x:v>1653.2281539516418</x:v>
      </x:c>
      <x:c r="H386" s="10" t="n">
        <x:f>IF('Income statement'!M50=0,1/39,E386/'Income statement'!M50)*'Cash and capital'!M18</x:f>
        <x:v>8.28134853829868</x:v>
      </x:c>
      <x:c r="I386" s="10" t="n">
        <x:f>E386-F386-G386-H386</x:f>
        <x:v>15826.61323976663</x:v>
      </x:c>
      <x:c r="J386" s="10" t="n">
        <x:f>M347</x:f>
        <x:v>0</x:v>
      </x:c>
      <x:c r="K386" s="10" t="n">
        <x:f>MAX(0,I386-J386)</x:f>
        <x:v>15826.61323976663</x:v>
      </x:c>
      <x:c r="L386" s="10" t="n">
        <x:f>K386*'Assumptions'!$D$12</x:f>
        <x:v>3956.6533099416574</x:v>
      </x:c>
      <x:c r="M386" s="10" t="n">
        <x:f>MAX(0,J386-I386)</x:f>
        <x:v>0</x:v>
      </x:c>
    </x:row>
    <x:row r="387" ht="16" customHeight="1">
      <x:c r="A387" s="1"/>
      <x:c r="B387" s="1"/>
      <x:c r="C387" s="1" t="str">
        <x:v>Semajes courses</x:v>
      </x:c>
      <x:c r="D387" s="10" t="n">
        <x:v>10</x:v>
      </x:c>
      <x:c r="E387" s="10" t="n">
        <x:f>SUMIF('Revenue and costs'!$D$1160:$D$1287,C387,'Revenue and costs'!N1160:N1287)</x:f>
        <x:v>21788.05623360919</x:v>
      </x:c>
      <x:c r="F387" s="10" t="n">
        <x:f>SUMIF('Revenue and costs'!$D$1160:$D$1287,C387,'Revenue and costs'!O1160:O1287)+SUMIF('Revenue and costs'!$D$1160:$D$1287,C387,'Revenue and costs'!P1160:P1287)+SUMIF('Revenue and costs'!$D$1160:$D$1287,C387,'Revenue and costs'!Q1160:Q1287)+SUMIF('Revenue and costs'!$D$1160:$D$1287,C387,'Revenue and costs'!R1160:R1287)+SUMIF('Revenue and costs'!$D$1160:$D$1287,C387,'Revenue and costs'!S1160:S1287)+SUMIF('Revenue and costs'!$D$1160:$D$1287,C387,'Revenue and costs'!T1160:T1287)+SUMIF('Revenue and costs'!$D$1160:$D$1287,C387,'Revenue and costs'!U1160:U1287)+SUMIF('Revenue and costs'!$D$1160:$D$1287,C387,'Revenue and costs'!V1160:V1287)+SUMIF('Revenue and costs'!$D$1160:$D$1287,C387,'Revenue and costs'!AE1160:AE1287)</x:f>
        <x:v>7073.013093982015</x:v>
      </x:c>
      <x:c r="G387" s="10" t="n">
        <x:f>IF('Income statement'!M50=0,1/39,E387/'Income statement'!M50)*('Shared costs'!Q21+'Assumptions'!$D$18*'Assumptions'!$D$19*12*(1+'Assumptions'!$D$13)^(10-1)*'Assumptions'!$D$21)</x:f>
        <x:v>926.0983462722938</x:v>
      </x:c>
      <x:c r="H387" s="10" t="n">
        <x:f>IF('Income statement'!M50=0,1/39,E387/'Income statement'!M50)*'Cash and capital'!M18</x:f>
        <x:v>4.639010754741368</x:v>
      </x:c>
      <x:c r="I387" s="10" t="n">
        <x:f>E387-F387-G387-H387</x:f>
        <x:v>13784.305782600139</x:v>
      </x:c>
      <x:c r="J387" s="10" t="n">
        <x:f>M348</x:f>
        <x:v>0</x:v>
      </x:c>
      <x:c r="K387" s="10" t="n">
        <x:f>MAX(0,I387-J387)</x:f>
        <x:v>13784.305782600139</x:v>
      </x:c>
      <x:c r="L387" s="10" t="n">
        <x:f>K387*'Assumptions'!$D$12</x:f>
        <x:v>3446.0764456500347</x:v>
      </x:c>
      <x:c r="M387" s="10" t="n">
        <x:f>MAX(0,J387-I387)</x:f>
        <x:v>0</x:v>
      </x:c>
    </x:row>
    <x:row r="388" ht="16" customHeight="1">
      <x:c r="A388" s="1"/>
      <x:c r="B388" s="1"/>
      <x:c r="C388" s="1" t="str">
        <x:v>Sleepy Face</x:v>
      </x:c>
      <x:c r="D388" s="10" t="n">
        <x:v>10</x:v>
      </x:c>
      <x:c r="E388" s="10" t="n">
        <x:f>SUMIF('Revenue and costs'!$D$1160:$D$1287,C388,'Revenue and costs'!N1160:N1287)</x:f>
        <x:v>279026.78777972196</x:v>
      </x:c>
      <x:c r="F388" s="10" t="n">
        <x:f>SUMIF('Revenue and costs'!$D$1160:$D$1287,C388,'Revenue and costs'!O1160:O1287)+SUMIF('Revenue and costs'!$D$1160:$D$1287,C388,'Revenue and costs'!P1160:P1287)+SUMIF('Revenue and costs'!$D$1160:$D$1287,C388,'Revenue and costs'!Q1160:Q1287)+SUMIF('Revenue and costs'!$D$1160:$D$1287,C388,'Revenue and costs'!R1160:R1287)+SUMIF('Revenue and costs'!$D$1160:$D$1287,C388,'Revenue and costs'!S1160:S1287)+SUMIF('Revenue and costs'!$D$1160:$D$1287,C388,'Revenue and costs'!T1160:T1287)+SUMIF('Revenue and costs'!$D$1160:$D$1287,C388,'Revenue and costs'!U1160:U1287)+SUMIF('Revenue and costs'!$D$1160:$D$1287,C388,'Revenue and costs'!V1160:V1287)+SUMIF('Revenue and costs'!$D$1160:$D$1287,C388,'Revenue and costs'!AE1160:AE1287)</x:f>
        <x:v>178410.01451989776</x:v>
      </x:c>
      <x:c r="G388" s="10" t="n">
        <x:f>IF('Income statement'!M50=0,1/39,E388/'Income statement'!M50)*('Shared costs'!Q21+'Assumptions'!$D$18*'Assumptions'!$D$19*12*(1+'Assumptions'!$D$13)^(10-1)*'Assumptions'!$D$21)</x:f>
        <x:v>11859.995401052158</x:v>
      </x:c>
      <x:c r="H388" s="10" t="n">
        <x:f>IF('Income statement'!M50=0,1/39,E388/'Income statement'!M50)*'Cash and capital'!M18</x:f>
        <x:v>59.40907511402401</x:v>
      </x:c>
      <x:c r="I388" s="10" t="n">
        <x:f>E388-F388-G388-H388</x:f>
        <x:v>88697.36878365802</x:v>
      </x:c>
      <x:c r="J388" s="10" t="n">
        <x:f>M349</x:f>
        <x:v>0</x:v>
      </x:c>
      <x:c r="K388" s="10" t="n">
        <x:f>MAX(0,I388-J388)</x:f>
        <x:v>88697.36878365802</x:v>
      </x:c>
      <x:c r="L388" s="10" t="n">
        <x:f>K388*'Assumptions'!$D$12</x:f>
        <x:v>22174.342195914505</x:v>
      </x:c>
      <x:c r="M388" s="10" t="n">
        <x:f>MAX(0,J388-I388)</x:f>
        <x:v>0</x:v>
      </x:c>
    </x:row>
    <x:row r="389" ht="16" customHeight="1">
      <x:c r="A389" s="1"/>
      <x:c r="B389" s="1"/>
      <x:c r="C389" s="1" t="str">
        <x:v>QzoticMusic</x:v>
      </x:c>
      <x:c r="D389" s="10" t="n">
        <x:v>10</x:v>
      </x:c>
      <x:c r="E389" s="10" t="n">
        <x:f>SUMIF('Revenue and costs'!$D$1160:$D$1287,C389,'Revenue and costs'!N1160:N1287)</x:f>
        <x:v>24415.163821089227</x:v>
      </x:c>
      <x:c r="F389" s="10" t="n">
        <x:f>SUMIF('Revenue and costs'!$D$1160:$D$1287,C389,'Revenue and costs'!O1160:O1287)+SUMIF('Revenue and costs'!$D$1160:$D$1287,C389,'Revenue and costs'!P1160:P1287)+SUMIF('Revenue and costs'!$D$1160:$D$1287,C389,'Revenue and costs'!Q1160:Q1287)+SUMIF('Revenue and costs'!$D$1160:$D$1287,C389,'Revenue and costs'!R1160:R1287)+SUMIF('Revenue and costs'!$D$1160:$D$1287,C389,'Revenue and costs'!S1160:S1287)+SUMIF('Revenue and costs'!$D$1160:$D$1287,C389,'Revenue and costs'!T1160:T1287)+SUMIF('Revenue and costs'!$D$1160:$D$1287,C389,'Revenue and costs'!U1160:U1287)+SUMIF('Revenue and costs'!$D$1160:$D$1287,C389,'Revenue and costs'!V1160:V1287)+SUMIF('Revenue and costs'!$D$1160:$D$1287,C389,'Revenue and costs'!AE1160:AE1287)</x:f>
        <x:v>27090.073162207824</x:v>
      </x:c>
      <x:c r="G389" s="10" t="n">
        <x:f>IF('Income statement'!M50=0,1/39,E389/'Income statement'!M50)*('Shared costs'!Q21+'Assumptions'!$D$18*'Assumptions'!$D$19*12*(1+'Assumptions'!$D$13)^(10-1)*'Assumptions'!$D$21)</x:f>
        <x:v>1037.7631944881568</x:v>
      </x:c>
      <x:c r="H389" s="10" t="n">
        <x:f>IF('Income statement'!M50=0,1/39,E389/'Income statement'!M50)*'Cash and capital'!M18</x:f>
        <x:v>5.198362182033133</x:v>
      </x:c>
      <x:c r="I389" s="10" t="n">
        <x:f>E389-F389-G389-H389</x:f>
        <x:v>-3717.870897788787</x:v>
      </x:c>
      <x:c r="J389" s="10" t="n">
        <x:f>M350</x:f>
        <x:v>17887.074487606056</x:v>
      </x:c>
      <x:c r="K389" s="10" t="n">
        <x:f>MAX(0,I389-J389)</x:f>
        <x:v>0</x:v>
      </x:c>
      <x:c r="L389" s="10" t="n">
        <x:f>K389*'Assumptions'!$D$12</x:f>
        <x:v>0</x:v>
      </x:c>
      <x:c r="M389" s="10" t="n">
        <x:f>MAX(0,J389-I389)</x:f>
        <x:v>21604.945385394843</x:v>
      </x:c>
    </x:row>
    <x:row r="390" ht="16" customHeight="1">
      <x:c r="A390" s="1"/>
      <x:c r="B390" s="1"/>
      <x:c r="C390" s="1" t="str">
        <x:v>LesPetitFilms</x:v>
      </x:c>
      <x:c r="D390" s="10" t="n">
        <x:v>10</x:v>
      </x:c>
      <x:c r="E390" s="10" t="n">
        <x:f>SUMIF('Revenue and costs'!$D$1160:$D$1287,C390,'Revenue and costs'!N1160:N1287)</x:f>
        <x:v>89095.94732396035</x:v>
      </x:c>
      <x:c r="F390" s="10" t="n">
        <x:f>SUMIF('Revenue and costs'!$D$1160:$D$1287,C390,'Revenue and costs'!O1160:O1287)+SUMIF('Revenue and costs'!$D$1160:$D$1287,C390,'Revenue and costs'!P1160:P1287)+SUMIF('Revenue and costs'!$D$1160:$D$1287,C390,'Revenue and costs'!Q1160:Q1287)+SUMIF('Revenue and costs'!$D$1160:$D$1287,C390,'Revenue and costs'!R1160:R1287)+SUMIF('Revenue and costs'!$D$1160:$D$1287,C390,'Revenue and costs'!S1160:S1287)+SUMIF('Revenue and costs'!$D$1160:$D$1287,C390,'Revenue and costs'!T1160:T1287)+SUMIF('Revenue and costs'!$D$1160:$D$1287,C390,'Revenue and costs'!U1160:U1287)+SUMIF('Revenue and costs'!$D$1160:$D$1287,C390,'Revenue and costs'!V1160:V1287)+SUMIF('Revenue and costs'!$D$1160:$D$1287,C390,'Revenue and costs'!AE1160:AE1287)</x:f>
        <x:v>52228.72809883923</x:v>
      </x:c>
      <x:c r="G390" s="10" t="n">
        <x:f>IF('Income statement'!M50=0,1/39,E390/'Income statement'!M50)*('Shared costs'!Q21+'Assumptions'!$D$18*'Assumptions'!$D$19*12*(1+'Assumptions'!$D$13)^(10-1)*'Assumptions'!$D$21)</x:f>
        <x:v>3787.0110390574773</x:v>
      </x:c>
      <x:c r="H390" s="10" t="n">
        <x:f>IF('Income statement'!M50=0,1/39,E390/'Income statement'!M50)*'Cash and capital'!M18</x:f>
        <x:v>18.969891274750786</x:v>
      </x:c>
      <x:c r="I390" s="10" t="n">
        <x:f>E390-F390-G390-H390</x:f>
        <x:v>33061.2382947889</x:v>
      </x:c>
      <x:c r="J390" s="10" t="n">
        <x:f>M351</x:f>
        <x:v>0</x:v>
      </x:c>
      <x:c r="K390" s="10" t="n">
        <x:f>MAX(0,I390-J390)</x:f>
        <x:v>33061.2382947889</x:v>
      </x:c>
      <x:c r="L390" s="10" t="n">
        <x:f>K390*'Assumptions'!$D$12</x:f>
        <x:v>8265.309573697225</x:v>
      </x:c>
      <x:c r="M390" s="10" t="n">
        <x:f>MAX(0,J390-I390)</x:f>
        <x:v>0</x:v>
      </x:c>
    </x:row>
    <x:row r="391" ht="16" customHeight="1">
      <x:c r="A391" s="1"/>
      <x:c r="B391" s="1"/>
      <x:c r="C391" s="1" t="str">
        <x:v>Learn Anglais</x:v>
      </x:c>
      <x:c r="D391" s="10" t="n">
        <x:v>10</x:v>
      </x:c>
      <x:c r="E391" s="10" t="n">
        <x:f>SUMIF('Revenue and costs'!$D$1160:$D$1287,C391,'Revenue and costs'!N1160:N1287)</x:f>
        <x:v>92161.68904192987</x:v>
      </x:c>
      <x:c r="F391" s="10" t="n">
        <x:f>SUMIF('Revenue and costs'!$D$1160:$D$1287,C391,'Revenue and costs'!O1160:O1287)+SUMIF('Revenue and costs'!$D$1160:$D$1287,C391,'Revenue and costs'!P1160:P1287)+SUMIF('Revenue and costs'!$D$1160:$D$1287,C391,'Revenue and costs'!Q1160:Q1287)+SUMIF('Revenue and costs'!$D$1160:$D$1287,C391,'Revenue and costs'!R1160:R1287)+SUMIF('Revenue and costs'!$D$1160:$D$1287,C391,'Revenue and costs'!S1160:S1287)+SUMIF('Revenue and costs'!$D$1160:$D$1287,C391,'Revenue and costs'!T1160:T1287)+SUMIF('Revenue and costs'!$D$1160:$D$1287,C391,'Revenue and costs'!U1160:U1287)+SUMIF('Revenue and costs'!$D$1160:$D$1287,C391,'Revenue and costs'!V1160:V1287)+SUMIF('Revenue and costs'!$D$1160:$D$1287,C391,'Revenue and costs'!AE1160:AE1287)</x:f>
        <x:v>56644.755281724225</x:v>
      </x:c>
      <x:c r="G391" s="10" t="n">
        <x:f>IF('Income statement'!M50=0,1/39,E391/'Income statement'!M50)*('Shared costs'!Q21+'Assumptions'!$D$18*'Assumptions'!$D$19*12*(1+'Assumptions'!$D$13)^(10-1)*'Assumptions'!$D$21)</x:f>
        <x:v>3917.319970917584</x:v>
      </x:c>
      <x:c r="H391" s="10" t="n">
        <x:f>IF('Income statement'!M50=0,1/39,E391/'Income statement'!M50)*'Cash and capital'!M18</x:f>
        <x:v>19.622634624062584</x:v>
      </x:c>
      <x:c r="I391" s="10" t="n">
        <x:f>E391-F391-G391-H391</x:f>
        <x:v>31579.991154664003</x:v>
      </x:c>
      <x:c r="J391" s="10" t="n">
        <x:f>M352</x:f>
        <x:v>0</x:v>
      </x:c>
      <x:c r="K391" s="10" t="n">
        <x:f>MAX(0,I391-J391)</x:f>
        <x:v>31579.991154664003</x:v>
      </x:c>
      <x:c r="L391" s="10" t="n">
        <x:f>K391*'Assumptions'!$D$12</x:f>
        <x:v>7894.997788666001</x:v>
      </x:c>
      <x:c r="M391" s="10" t="n">
        <x:f>MAX(0,J391-I391)</x:f>
        <x:v>0</x:v>
      </x:c>
    </x:row>
    <x:row r="392" ht="16" customHeight="1">
      <x:c r="A392" s="1"/>
      <x:c r="B392" s="1"/>
      <x:c r="C392" s="1" t="str">
        <x:v>Fiefé</x:v>
      </x:c>
      <x:c r="D392" s="10" t="n">
        <x:v>10</x:v>
      </x:c>
      <x:c r="E392" s="10" t="n">
        <x:f>SUMIF('Revenue and costs'!$D$1160:$D$1287,C392,'Revenue and costs'!N1160:N1287)</x:f>
        <x:v>65655.26152270542</x:v>
      </x:c>
      <x:c r="F392" s="10" t="n">
        <x:f>SUMIF('Revenue and costs'!$D$1160:$D$1287,C392,'Revenue and costs'!O1160:O1287)+SUMIF('Revenue and costs'!$D$1160:$D$1287,C392,'Revenue and costs'!P1160:P1287)+SUMIF('Revenue and costs'!$D$1160:$D$1287,C392,'Revenue and costs'!Q1160:Q1287)+SUMIF('Revenue and costs'!$D$1160:$D$1287,C392,'Revenue and costs'!R1160:R1287)+SUMIF('Revenue and costs'!$D$1160:$D$1287,C392,'Revenue and costs'!S1160:S1287)+SUMIF('Revenue and costs'!$D$1160:$D$1287,C392,'Revenue and costs'!T1160:T1287)+SUMIF('Revenue and costs'!$D$1160:$D$1287,C392,'Revenue and costs'!U1160:U1287)+SUMIF('Revenue and costs'!$D$1160:$D$1287,C392,'Revenue and costs'!V1160:V1287)+SUMIF('Revenue and costs'!$D$1160:$D$1287,C392,'Revenue and costs'!AE1160:AE1287)</x:f>
        <x:v>52354.39815276494</x:v>
      </x:c>
      <x:c r="G392" s="10" t="n">
        <x:f>IF('Income statement'!M50=0,1/39,E392/'Income statement'!M50)*('Shared costs'!Q21+'Assumptions'!$D$18*'Assumptions'!$D$19*12*(1+'Assumptions'!$D$13)^(10-1)*'Assumptions'!$D$21)</x:f>
        <x:v>2790.6678993447963</x:v>
      </x:c>
      <x:c r="H392" s="10" t="n">
        <x:f>IF('Income statement'!M50=0,1/39,E392/'Income statement'!M50)*'Cash and capital'!M18</x:f>
        <x:v>13.979010382732735</x:v>
      </x:c>
      <x:c r="I392" s="10" t="n">
        <x:f>E392-F392-G392-H392</x:f>
        <x:v>10496.216460212952</x:v>
      </x:c>
      <x:c r="J392" s="10" t="n">
        <x:f>M353</x:f>
        <x:v>0</x:v>
      </x:c>
      <x:c r="K392" s="10" t="n">
        <x:f>MAX(0,I392-J392)</x:f>
        <x:v>10496.216460212952</x:v>
      </x:c>
      <x:c r="L392" s="10" t="n">
        <x:f>K392*'Assumptions'!$D$12</x:f>
        <x:v>2624.054115053238</x:v>
      </x:c>
      <x:c r="M392" s="10" t="n">
        <x:f>MAX(0,J392-I392)</x:f>
        <x:v>0</x:v>
      </x:c>
    </x:row>
    <x:row r="393" ht="16" customHeight="1">
      <x:c r="A393" s="1"/>
      <x:c r="B393" s="1"/>
      <x:c r="C393" s="1" t="str">
        <x:v>Fiefé Design</x:v>
      </x:c>
      <x:c r="D393" s="10" t="n">
        <x:v>10</x:v>
      </x:c>
      <x:c r="E393" s="10" t="n">
        <x:f>SUMIF('Revenue and costs'!$D$1160:$D$1287,C393,'Revenue and costs'!N1160:N1287)</x:f>
        <x:v>40906.704998570356</x:v>
      </x:c>
      <x:c r="F393" s="10" t="n">
        <x:f>SUMIF('Revenue and costs'!$D$1160:$D$1287,C393,'Revenue and costs'!O1160:O1287)+SUMIF('Revenue and costs'!$D$1160:$D$1287,C393,'Revenue and costs'!P1160:P1287)+SUMIF('Revenue and costs'!$D$1160:$D$1287,C393,'Revenue and costs'!Q1160:Q1287)+SUMIF('Revenue and costs'!$D$1160:$D$1287,C393,'Revenue and costs'!R1160:R1287)+SUMIF('Revenue and costs'!$D$1160:$D$1287,C393,'Revenue and costs'!S1160:S1287)+SUMIF('Revenue and costs'!$D$1160:$D$1287,C393,'Revenue and costs'!T1160:T1287)+SUMIF('Revenue and costs'!$D$1160:$D$1287,C393,'Revenue and costs'!U1160:U1287)+SUMIF('Revenue and costs'!$D$1160:$D$1287,C393,'Revenue and costs'!V1160:V1287)+SUMIF('Revenue and costs'!$D$1160:$D$1287,C393,'Revenue and costs'!AE1160:AE1287)</x:f>
        <x:v>30560.57542535107</x:v>
      </x:c>
      <x:c r="G393" s="10" t="n">
        <x:f>IF('Income statement'!M50=0,1/39,E393/'Income statement'!M50)*('Shared costs'!Q21+'Assumptions'!$D$18*'Assumptions'!$D$19*12*(1+'Assumptions'!$D$13)^(10-1)*'Assumptions'!$D$21)</x:f>
        <x:v>1738.7338936727701</x:v>
      </x:c>
      <x:c r="H393" s="10" t="n">
        <x:f>IF('Income statement'!M50=0,1/39,E393/'Income statement'!M50)*'Cash and capital'!M18</x:f>
        <x:v>8.709663789864631</x:v>
      </x:c>
      <x:c r="I393" s="10" t="n">
        <x:f>E393-F393-G393-H393</x:f>
        <x:v>8598.68601575665</x:v>
      </x:c>
      <x:c r="J393" s="10" t="n">
        <x:f>M354</x:f>
        <x:v>0</x:v>
      </x:c>
      <x:c r="K393" s="10" t="n">
        <x:f>MAX(0,I393-J393)</x:f>
        <x:v>8598.68601575665</x:v>
      </x:c>
      <x:c r="L393" s="10" t="n">
        <x:f>K393*'Assumptions'!$D$12</x:f>
        <x:v>2149.6715039391624</x:v>
      </x:c>
      <x:c r="M393" s="10" t="n">
        <x:f>MAX(0,J393-I393)</x:f>
        <x:v>0</x:v>
      </x:c>
    </x:row>
    <x:row r="394" ht="16" customHeight="1">
      <x:c r="A394" s="1"/>
      <x:c r="B394" s="1"/>
      <x:c r="C394" s="1" t="str">
        <x:v>OsezArt</x:v>
      </x:c>
      <x:c r="D394" s="10" t="n">
        <x:v>10</x:v>
      </x:c>
      <x:c r="E394" s="10" t="n">
        <x:f>SUMIF('Revenue and costs'!$D$1160:$D$1287,C394,'Revenue and costs'!N1160:N1287)</x:f>
        <x:v>159901.96151471484</x:v>
      </x:c>
      <x:c r="F394" s="10" t="n">
        <x:f>SUMIF('Revenue and costs'!$D$1160:$D$1287,C394,'Revenue and costs'!O1160:O1287)+SUMIF('Revenue and costs'!$D$1160:$D$1287,C394,'Revenue and costs'!P1160:P1287)+SUMIF('Revenue and costs'!$D$1160:$D$1287,C394,'Revenue and costs'!Q1160:Q1287)+SUMIF('Revenue and costs'!$D$1160:$D$1287,C394,'Revenue and costs'!R1160:R1287)+SUMIF('Revenue and costs'!$D$1160:$D$1287,C394,'Revenue and costs'!S1160:S1287)+SUMIF('Revenue and costs'!$D$1160:$D$1287,C394,'Revenue and costs'!T1160:T1287)+SUMIF('Revenue and costs'!$D$1160:$D$1287,C394,'Revenue and costs'!U1160:U1287)+SUMIF('Revenue and costs'!$D$1160:$D$1287,C394,'Revenue and costs'!V1160:V1287)+SUMIF('Revenue and costs'!$D$1160:$D$1287,C394,'Revenue and costs'!AE1160:AE1287)</x:f>
        <x:v>88524.47228562598</x:v>
      </x:c>
      <x:c r="G394" s="10" t="n">
        <x:f>IF('Income statement'!M50=0,1/39,E394/'Income statement'!M50)*('Shared costs'!Q21+'Assumptions'!$D$18*'Assumptions'!$D$19*12*(1+'Assumptions'!$D$13)^(10-1)*'Assumptions'!$D$21)</x:f>
        <x:v>6796.610975147236</x:v>
      </x:c>
      <x:c r="H394" s="10" t="n">
        <x:f>IF('Income statement'!M50=0,1/39,E394/'Income statement'!M50)*'Cash and capital'!M18</x:f>
        <x:v>34.045575760299265</x:v>
      </x:c>
      <x:c r="I394" s="10" t="n">
        <x:f>E394-F394-G394-H394</x:f>
        <x:v>64546.83267818133</x:v>
      </x:c>
      <x:c r="J394" s="10" t="n">
        <x:f>M355</x:f>
        <x:v>0</x:v>
      </x:c>
      <x:c r="K394" s="10" t="n">
        <x:f>MAX(0,I394-J394)</x:f>
        <x:v>64546.83267818133</x:v>
      </x:c>
      <x:c r="L394" s="10" t="n">
        <x:f>K394*'Assumptions'!$D$12</x:f>
        <x:v>16136.708169545333</x:v>
      </x:c>
      <x:c r="M394" s="10" t="n">
        <x:f>MAX(0,J394-I394)</x:f>
        <x:v>0</x:v>
      </x:c>
    </x:row>
    <x:row r="395" ht="16" customHeight="1">
      <x:c r="A395" s="1"/>
      <x:c r="B395" s="1"/>
      <x:c r="C395" s="1" t="str">
        <x:v>FinBot research</x:v>
      </x:c>
      <x:c r="D395" s="10" t="n">
        <x:v>10</x:v>
      </x:c>
      <x:c r="E395" s="10" t="n">
        <x:f>SUMIF('Revenue and costs'!$D$1160:$D$1287,C395,'Revenue and costs'!N1160:N1287)</x:f>
        <x:v>8100.683726764674</x:v>
      </x:c>
      <x:c r="F395" s="10" t="n">
        <x:f>SUMIF('Revenue and costs'!$D$1160:$D$1287,C395,'Revenue and costs'!O1160:O1287)+SUMIF('Revenue and costs'!$D$1160:$D$1287,C395,'Revenue and costs'!P1160:P1287)+SUMIF('Revenue and costs'!$D$1160:$D$1287,C395,'Revenue and costs'!Q1160:Q1287)+SUMIF('Revenue and costs'!$D$1160:$D$1287,C395,'Revenue and costs'!R1160:R1287)+SUMIF('Revenue and costs'!$D$1160:$D$1287,C395,'Revenue and costs'!S1160:S1287)+SUMIF('Revenue and costs'!$D$1160:$D$1287,C395,'Revenue and costs'!T1160:T1287)+SUMIF('Revenue and costs'!$D$1160:$D$1287,C395,'Revenue and costs'!U1160:U1287)+SUMIF('Revenue and costs'!$D$1160:$D$1287,C395,'Revenue and costs'!V1160:V1287)+SUMIF('Revenue and costs'!$D$1160:$D$1287,C395,'Revenue and costs'!AE1160:AE1287)</x:f>
        <x:v>4805.479095052686</x:v>
      </x:c>
      <x:c r="G395" s="10" t="n">
        <x:f>IF('Income statement'!M50=0,1/39,E395/'Income statement'!M50)*('Shared costs'!Q21+'Assumptions'!$D$18*'Assumptions'!$D$19*12*(1+'Assumptions'!$D$13)^(10-1)*'Assumptions'!$D$21)</x:f>
        <x:v>344.31845239408653</x:v>
      </x:c>
      <x:c r="H395" s="10" t="n">
        <x:f>IF('Income statement'!M50=0,1/39,E395/'Income statement'!M50)*'Cash and capital'!M18</x:f>
        <x:v>1.7247595896715162</x:v>
      </x:c>
      <x:c r="I395" s="10" t="n">
        <x:f>E395-F395-G395-H395</x:f>
        <x:v>2949.1614197282306</x:v>
      </x:c>
      <x:c r="J395" s="10" t="n">
        <x:f>M356</x:f>
        <x:v>0</x:v>
      </x:c>
      <x:c r="K395" s="10" t="n">
        <x:f>MAX(0,I395-J395)</x:f>
        <x:v>2949.1614197282306</x:v>
      </x:c>
      <x:c r="L395" s="10" t="n">
        <x:f>K395*'Assumptions'!$D$12</x:f>
        <x:v>737.2903549320577</x:v>
      </x:c>
      <x:c r="M395" s="10" t="n">
        <x:f>MAX(0,J395-I395)</x:f>
        <x:v>0</x:v>
      </x:c>
    </x:row>
    <x:row r="396" ht="16" customHeight="1">
      <x:c r="A396" s="1"/>
      <x:c r="B396" s="1"/>
      <x:c r="C396" s="1" t="str">
        <x:v>Functional Analysis</x:v>
      </x:c>
      <x:c r="D396" s="10" t="n">
        <x:v>10</x:v>
      </x:c>
      <x:c r="E396" s="10" t="n">
        <x:f>SUMIF('Revenue and costs'!$D$1160:$D$1287,C396,'Revenue and costs'!N1160:N1287)</x:f>
        <x:v>17414.878181411477</x:v>
      </x:c>
      <x:c r="F396" s="10" t="n">
        <x:f>SUMIF('Revenue and costs'!$D$1160:$D$1287,C396,'Revenue and costs'!O1160:O1287)+SUMIF('Revenue and costs'!$D$1160:$D$1287,C396,'Revenue and costs'!P1160:P1287)+SUMIF('Revenue and costs'!$D$1160:$D$1287,C396,'Revenue and costs'!Q1160:Q1287)+SUMIF('Revenue and costs'!$D$1160:$D$1287,C396,'Revenue and costs'!R1160:R1287)+SUMIF('Revenue and costs'!$D$1160:$D$1287,C396,'Revenue and costs'!S1160:S1287)+SUMIF('Revenue and costs'!$D$1160:$D$1287,C396,'Revenue and costs'!T1160:T1287)+SUMIF('Revenue and costs'!$D$1160:$D$1287,C396,'Revenue and costs'!U1160:U1287)+SUMIF('Revenue and costs'!$D$1160:$D$1287,C396,'Revenue and costs'!V1160:V1287)+SUMIF('Revenue and costs'!$D$1160:$D$1287,C396,'Revenue and costs'!AE1160:AE1287)</x:f>
        <x:v>9245.299304184482</x:v>
      </x:c>
      <x:c r="G396" s="10" t="n">
        <x:f>IF('Income statement'!M50=0,1/39,E396/'Income statement'!M50)*('Shared costs'!Q21+'Assumptions'!$D$18*'Assumptions'!$D$19*12*(1+'Assumptions'!$D$13)^(10-1)*'Assumptions'!$D$21)</x:f>
        <x:v>740.2170120830019</x:v>
      </x:c>
      <x:c r="H396" s="10" t="n">
        <x:f>IF('Income statement'!M50=0,1/39,E396/'Income statement'!M50)*'Cash and capital'!M18</x:f>
        <x:v>3.707894192574155</x:v>
      </x:c>
      <x:c r="I396" s="10" t="n">
        <x:f>E396-F396-G396-H396</x:f>
        <x:v>7425.65397095142</x:v>
      </x:c>
      <x:c r="J396" s="10" t="n">
        <x:f>M357</x:f>
        <x:v>0</x:v>
      </x:c>
      <x:c r="K396" s="10" t="n">
        <x:f>MAX(0,I396-J396)</x:f>
        <x:v>7425.65397095142</x:v>
      </x:c>
      <x:c r="L396" s="10" t="n">
        <x:f>K396*'Assumptions'!$D$12</x:f>
        <x:v>1856.413492737855</x:v>
      </x:c>
      <x:c r="M396" s="10" t="n">
        <x:f>MAX(0,J396-I396)</x:f>
        <x:v>0</x:v>
      </x:c>
    </x:row>
    <x:row r="397" ht="16" customHeight="1">
      <x:c r="A397" s="1"/>
      <x:c r="B397" s="1"/>
      <x:c r="C397" s="1" t="str">
        <x:v>Independent candy game</x:v>
      </x:c>
      <x:c r="D397" s="10" t="n">
        <x:v>10</x:v>
      </x:c>
      <x:c r="E397" s="10" t="n">
        <x:f>SUMIF('Revenue and costs'!$D$1160:$D$1287,C397,'Revenue and costs'!N1160:N1287)</x:f>
        <x:v>6969.381344233748</x:v>
      </x:c>
      <x:c r="F397" s="10" t="n">
        <x:f>SUMIF('Revenue and costs'!$D$1160:$D$1287,C397,'Revenue and costs'!O1160:O1287)+SUMIF('Revenue and costs'!$D$1160:$D$1287,C397,'Revenue and costs'!P1160:P1287)+SUMIF('Revenue and costs'!$D$1160:$D$1287,C397,'Revenue and costs'!Q1160:Q1287)+SUMIF('Revenue and costs'!$D$1160:$D$1287,C397,'Revenue and costs'!R1160:R1287)+SUMIF('Revenue and costs'!$D$1160:$D$1287,C397,'Revenue and costs'!S1160:S1287)+SUMIF('Revenue and costs'!$D$1160:$D$1287,C397,'Revenue and costs'!T1160:T1287)+SUMIF('Revenue and costs'!$D$1160:$D$1287,C397,'Revenue and costs'!U1160:U1287)+SUMIF('Revenue and costs'!$D$1160:$D$1287,C397,'Revenue and costs'!V1160:V1287)+SUMIF('Revenue and costs'!$D$1160:$D$1287,C397,'Revenue and costs'!AE1160:AE1287)</x:f>
        <x:v>6734.7151620342065</x:v>
      </x:c>
      <x:c r="G397" s="10" t="n">
        <x:f>IF('Income statement'!M50=0,1/39,E397/'Income statement'!M50)*('Shared costs'!Q21+'Assumptions'!$D$18*'Assumptions'!$D$19*12*(1+'Assumptions'!$D$13)^(10-1)*'Assumptions'!$D$21)</x:f>
        <x:v>296.2325995597401</x:v>
      </x:c>
      <x:c r="H397" s="10" t="n">
        <x:f>IF('Income statement'!M50=0,1/39,E397/'Income statement'!M50)*'Cash and capital'!M18</x:f>
        <x:v>1.4838879918035979</x:v>
      </x:c>
      <x:c r="I397" s="10" t="n">
        <x:f>E397-F397-G397-H397</x:f>
        <x:v>-63.05030535200244</x:v>
      </x:c>
      <x:c r="J397" s="10" t="n">
        <x:f>M358</x:f>
        <x:v>6.8712685798077615</x:v>
      </x:c>
      <x:c r="K397" s="10" t="n">
        <x:f>MAX(0,I397-J397)</x:f>
        <x:v>0</x:v>
      </x:c>
      <x:c r="L397" s="10" t="n">
        <x:f>K397*'Assumptions'!$D$12</x:f>
        <x:v>0</x:v>
      </x:c>
      <x:c r="M397" s="10" t="n">
        <x:f>MAX(0,J397-I397)</x:f>
        <x:v>69.9215739318102</x:v>
      </x:c>
    </x:row>
    <x:row r="398" ht="16" customHeight="1">
      <x:c r="A398" s="1"/>
      <x:c r="B398" s="1"/>
      <x:c r="C398" s="1" t="str">
        <x:v>ETV courses</x:v>
      </x:c>
      <x:c r="D398" s="10" t="n">
        <x:v>11</x:v>
      </x:c>
      <x:c r="E398" s="10" t="n">
        <x:f>SUMIF('Revenue and costs'!$D$1288:$D$1415,C398,'Revenue and costs'!N1288:N1415)</x:f>
        <x:v>50207.68306509555</x:v>
      </x:c>
      <x:c r="F398" s="10" t="n">
        <x:f>SUMIF('Revenue and costs'!$D$1288:$D$1415,C398,'Revenue and costs'!O1288:O1415)+SUMIF('Revenue and costs'!$D$1288:$D$1415,C398,'Revenue and costs'!P1288:P1415)+SUMIF('Revenue and costs'!$D$1288:$D$1415,C398,'Revenue and costs'!Q1288:Q1415)+SUMIF('Revenue and costs'!$D$1288:$D$1415,C398,'Revenue and costs'!R1288:R1415)+SUMIF('Revenue and costs'!$D$1288:$D$1415,C398,'Revenue and costs'!S1288:S1415)+SUMIF('Revenue and costs'!$D$1288:$D$1415,C398,'Revenue and costs'!T1288:T1415)+SUMIF('Revenue and costs'!$D$1288:$D$1415,C398,'Revenue and costs'!U1288:U1415)+SUMIF('Revenue and costs'!$D$1288:$D$1415,C398,'Revenue and costs'!V1288:V1415)+SUMIF('Revenue and costs'!$D$1288:$D$1415,C398,'Revenue and costs'!AE1288:AE1415)</x:f>
        <x:v>18613.98408610207</x:v>
      </x:c>
      <x:c r="G398" s="10" t="n">
        <x:f>IF('Income statement'!N50=0,1/39,E398/'Income statement'!N50)*('Shared costs'!R21+'Assumptions'!$D$18*'Assumptions'!$D$19*12*(1+'Assumptions'!$D$13)^(11-1)*'Assumptions'!$D$21)</x:f>
        <x:v>2185.90097141494</x:v>
      </x:c>
      <x:c r="H398" s="10" t="n">
        <x:f>IF('Income statement'!N50=0,1/39,E398/'Income statement'!N50)*'Cash and capital'!N18</x:f>
        <x:v>10.198911478906963</x:v>
      </x:c>
      <x:c r="I398" s="10" t="n">
        <x:f>E398-F398-G398-H398</x:f>
        <x:v>29397.599096099635</x:v>
      </x:c>
      <x:c r="J398" s="10" t="n">
        <x:f>M359</x:f>
        <x:v>0</x:v>
      </x:c>
      <x:c r="K398" s="10" t="n">
        <x:f>MAX(0,I398-J398)</x:f>
        <x:v>29397.599096099635</x:v>
      </x:c>
      <x:c r="L398" s="10" t="n">
        <x:f>K398*'Assumptions'!$D$12</x:f>
        <x:v>7349.399774024909</x:v>
      </x:c>
      <x:c r="M398" s="10" t="n">
        <x:f>MAX(0,J398-I398)</x:f>
        <x:v>0</x:v>
      </x:c>
    </x:row>
    <x:row r="399" ht="16" customHeight="1">
      <x:c r="A399" s="1"/>
      <x:c r="B399" s="1"/>
      <x:c r="C399" s="1" t="str">
        <x:v>ETV services</x:v>
      </x:c>
      <x:c r="D399" s="10" t="n">
        <x:v>11</x:v>
      </x:c>
      <x:c r="E399" s="10" t="n">
        <x:f>SUMIF('Revenue and costs'!$D$1288:$D$1415,C399,'Revenue and costs'!N1288:N1415)</x:f>
        <x:v>124448.43386499096</x:v>
      </x:c>
      <x:c r="F399" s="10" t="n">
        <x:f>SUMIF('Revenue and costs'!$D$1288:$D$1415,C399,'Revenue and costs'!O1288:O1415)+SUMIF('Revenue and costs'!$D$1288:$D$1415,C399,'Revenue and costs'!P1288:P1415)+SUMIF('Revenue and costs'!$D$1288:$D$1415,C399,'Revenue and costs'!Q1288:Q1415)+SUMIF('Revenue and costs'!$D$1288:$D$1415,C399,'Revenue and costs'!R1288:R1415)+SUMIF('Revenue and costs'!$D$1288:$D$1415,C399,'Revenue and costs'!S1288:S1415)+SUMIF('Revenue and costs'!$D$1288:$D$1415,C399,'Revenue and costs'!T1288:T1415)+SUMIF('Revenue and costs'!$D$1288:$D$1415,C399,'Revenue and costs'!U1288:U1415)+SUMIF('Revenue and costs'!$D$1288:$D$1415,C399,'Revenue and costs'!V1288:V1415)+SUMIF('Revenue and costs'!$D$1288:$D$1415,C399,'Revenue and costs'!AE1288:AE1415)</x:f>
        <x:v>85601.24458304387</x:v>
      </x:c>
      <x:c r="G399" s="10" t="n">
        <x:f>IF('Income statement'!N50=0,1/39,E399/'Income statement'!N50)*('Shared costs'!R21+'Assumptions'!$D$18*'Assumptions'!$D$19*12*(1+'Assumptions'!$D$13)^(11-1)*'Assumptions'!$D$21)</x:f>
        <x:v>5418.133956188643</x:v>
      </x:c>
      <x:c r="H399" s="10" t="n">
        <x:f>IF('Income statement'!N50=0,1/39,E399/'Income statement'!N50)*'Cash and capital'!N18</x:f>
        <x:v>25.27976762106409</x:v>
      </x:c>
      <x:c r="I399" s="10" t="n">
        <x:f>E399-F399-G399-H399</x:f>
        <x:v>33403.77555813739</x:v>
      </x:c>
      <x:c r="J399" s="10" t="n">
        <x:f>M360</x:f>
        <x:v>0</x:v>
      </x:c>
      <x:c r="K399" s="10" t="n">
        <x:f>MAX(0,I399-J399)</x:f>
        <x:v>33403.77555813739</x:v>
      </x:c>
      <x:c r="L399" s="10" t="n">
        <x:f>K399*'Assumptions'!$D$12</x:f>
        <x:v>8350.943889534348</x:v>
      </x:c>
      <x:c r="M399" s="10" t="n">
        <x:f>MAX(0,J399-I399)</x:f>
        <x:v>0</x:v>
      </x:c>
    </x:row>
    <x:row r="400" ht="16" customHeight="1">
      <x:c r="A400" s="1"/>
      <x:c r="B400" s="1"/>
      <x:c r="C400" s="1" t="str">
        <x:v>BPA professional services</x:v>
      </x:c>
      <x:c r="D400" s="10" t="n">
        <x:v>11</x:v>
      </x:c>
      <x:c r="E400" s="10" t="n">
        <x:f>SUMIF('Revenue and costs'!$D$1288:$D$1415,C400,'Revenue and costs'!N1288:N1415)</x:f>
        <x:v>706511.8565475607</x:v>
      </x:c>
      <x:c r="F400" s="10" t="n">
        <x:f>SUMIF('Revenue and costs'!$D$1288:$D$1415,C400,'Revenue and costs'!O1288:O1415)+SUMIF('Revenue and costs'!$D$1288:$D$1415,C400,'Revenue and costs'!P1288:P1415)+SUMIF('Revenue and costs'!$D$1288:$D$1415,C400,'Revenue and costs'!Q1288:Q1415)+SUMIF('Revenue and costs'!$D$1288:$D$1415,C400,'Revenue and costs'!R1288:R1415)+SUMIF('Revenue and costs'!$D$1288:$D$1415,C400,'Revenue and costs'!S1288:S1415)+SUMIF('Revenue and costs'!$D$1288:$D$1415,C400,'Revenue and costs'!T1288:T1415)+SUMIF('Revenue and costs'!$D$1288:$D$1415,C400,'Revenue and costs'!U1288:U1415)+SUMIF('Revenue and costs'!$D$1288:$D$1415,C400,'Revenue and costs'!V1288:V1415)+SUMIF('Revenue and costs'!$D$1288:$D$1415,C400,'Revenue and costs'!AE1288:AE1415)</x:f>
        <x:v>391306.26473417185</x:v>
      </x:c>
      <x:c r="G400" s="10" t="n">
        <x:f>IF('Income statement'!N50=0,1/39,E400/'Income statement'!N50)*('Shared costs'!R21+'Assumptions'!$D$18*'Assumptions'!$D$19*12*(1+'Assumptions'!$D$13)^(11-1)*'Assumptions'!$D$21)</x:f>
        <x:v>30759.534383237264</x:v>
      </x:c>
      <x:c r="H400" s="10" t="n">
        <x:f>IF('Income statement'!N50=0,1/39,E400/'Income statement'!N50)*'Cash and capital'!N18</x:f>
        <x:v>143.51691701018095</x:v>
      </x:c>
      <x:c r="I400" s="10" t="n">
        <x:f>E400-F400-G400-H400</x:f>
        <x:v>284302.5405131414</x:v>
      </x:c>
      <x:c r="J400" s="10" t="n">
        <x:f>M361</x:f>
        <x:v>0</x:v>
      </x:c>
      <x:c r="K400" s="10" t="n">
        <x:f>MAX(0,I400-J400)</x:f>
        <x:v>284302.5405131414</x:v>
      </x:c>
      <x:c r="L400" s="10" t="n">
        <x:f>K400*'Assumptions'!$D$12</x:f>
        <x:v>71075.63512828534</x:v>
      </x:c>
      <x:c r="M400" s="10" t="n">
        <x:f>MAX(0,J400-I400)</x:f>
        <x:v>0</x:v>
      </x:c>
    </x:row>
    <x:row r="401" ht="16" customHeight="1">
      <x:c r="A401" s="1"/>
      <x:c r="B401" s="1"/>
      <x:c r="C401" s="1" t="str">
        <x:v>CornerFlow</x:v>
      </x:c>
      <x:c r="D401" s="10" t="n">
        <x:v>11</x:v>
      </x:c>
      <x:c r="E401" s="10" t="n">
        <x:f>SUMIF('Revenue and costs'!$D$1288:$D$1415,C401,'Revenue and costs'!N1288:N1415)</x:f>
        <x:v>23695.50290747329</x:v>
      </x:c>
      <x:c r="F401" s="10" t="n">
        <x:f>SUMIF('Revenue and costs'!$D$1288:$D$1415,C401,'Revenue and costs'!O1288:O1415)+SUMIF('Revenue and costs'!$D$1288:$D$1415,C401,'Revenue and costs'!P1288:P1415)+SUMIF('Revenue and costs'!$D$1288:$D$1415,C401,'Revenue and costs'!Q1288:Q1415)+SUMIF('Revenue and costs'!$D$1288:$D$1415,C401,'Revenue and costs'!R1288:R1415)+SUMIF('Revenue and costs'!$D$1288:$D$1415,C401,'Revenue and costs'!S1288:S1415)+SUMIF('Revenue and costs'!$D$1288:$D$1415,C401,'Revenue and costs'!T1288:T1415)+SUMIF('Revenue and costs'!$D$1288:$D$1415,C401,'Revenue and costs'!U1288:U1415)+SUMIF('Revenue and costs'!$D$1288:$D$1415,C401,'Revenue and costs'!V1288:V1415)+SUMIF('Revenue and costs'!$D$1288:$D$1415,C401,'Revenue and costs'!AE1288:AE1415)</x:f>
        <x:v>9610.062266377241</x:v>
      </x:c>
      <x:c r="G401" s="10" t="n">
        <x:f>IF('Income statement'!N50=0,1/39,E401/'Income statement'!N50)*('Shared costs'!R21+'Assumptions'!$D$18*'Assumptions'!$D$19*12*(1+'Assumptions'!$D$13)^(11-1)*'Assumptions'!$D$21)</x:f>
        <x:v>1031.635392464865</x:v>
      </x:c>
      <x:c r="H401" s="10" t="n">
        <x:f>IF('Income statement'!N50=0,1/39,E401/'Income statement'!N50)*'Cash and capital'!N18</x:f>
        <x:v>4.813373608341445</x:v>
      </x:c>
      <x:c r="I401" s="10" t="n">
        <x:f>E401-F401-G401-H401</x:f>
        <x:v>13048.99187502284</x:v>
      </x:c>
      <x:c r="J401" s="10" t="n">
        <x:f>M362</x:f>
        <x:v>0</x:v>
      </x:c>
      <x:c r="K401" s="10" t="n">
        <x:f>MAX(0,I401-J401)</x:f>
        <x:v>13048.99187502284</x:v>
      </x:c>
      <x:c r="L401" s="10" t="n">
        <x:f>K401*'Assumptions'!$D$12</x:f>
        <x:v>3262.24796875571</x:v>
      </x:c>
      <x:c r="M401" s="10" t="n">
        <x:f>MAX(0,J401-I401)</x:f>
        <x:v>0</x:v>
      </x:c>
    </x:row>
    <x:row r="402" ht="16" customHeight="1">
      <x:c r="A402" s="1"/>
      <x:c r="B402" s="1"/>
      <x:c r="C402" s="1" t="str">
        <x:v>Spindle</x:v>
      </x:c>
      <x:c r="D402" s="10" t="n">
        <x:v>11</x:v>
      </x:c>
      <x:c r="E402" s="10" t="n">
        <x:f>SUMIF('Revenue and costs'!$D$1288:$D$1415,C402,'Revenue and costs'!N1288:N1415)</x:f>
        <x:v>23695.50290747329</x:v>
      </x:c>
      <x:c r="F402" s="10" t="n">
        <x:f>SUMIF('Revenue and costs'!$D$1288:$D$1415,C402,'Revenue and costs'!O1288:O1415)+SUMIF('Revenue and costs'!$D$1288:$D$1415,C402,'Revenue and costs'!P1288:P1415)+SUMIF('Revenue and costs'!$D$1288:$D$1415,C402,'Revenue and costs'!Q1288:Q1415)+SUMIF('Revenue and costs'!$D$1288:$D$1415,C402,'Revenue and costs'!R1288:R1415)+SUMIF('Revenue and costs'!$D$1288:$D$1415,C402,'Revenue and costs'!S1288:S1415)+SUMIF('Revenue and costs'!$D$1288:$D$1415,C402,'Revenue and costs'!T1288:T1415)+SUMIF('Revenue and costs'!$D$1288:$D$1415,C402,'Revenue and costs'!U1288:U1415)+SUMIF('Revenue and costs'!$D$1288:$D$1415,C402,'Revenue and costs'!V1288:V1415)+SUMIF('Revenue and costs'!$D$1288:$D$1415,C402,'Revenue and costs'!AE1288:AE1415)</x:f>
        <x:v>9610.062266377241</x:v>
      </x:c>
      <x:c r="G402" s="10" t="n">
        <x:f>IF('Income statement'!N50=0,1/39,E402/'Income statement'!N50)*('Shared costs'!R21+'Assumptions'!$D$18*'Assumptions'!$D$19*12*(1+'Assumptions'!$D$13)^(11-1)*'Assumptions'!$D$21)</x:f>
        <x:v>1031.635392464865</x:v>
      </x:c>
      <x:c r="H402" s="10" t="n">
        <x:f>IF('Income statement'!N50=0,1/39,E402/'Income statement'!N50)*'Cash and capital'!N18</x:f>
        <x:v>4.813373608341445</x:v>
      </x:c>
      <x:c r="I402" s="10" t="n">
        <x:f>E402-F402-G402-H402</x:f>
        <x:v>13048.99187502284</x:v>
      </x:c>
      <x:c r="J402" s="10" t="n">
        <x:f>M363</x:f>
        <x:v>0</x:v>
      </x:c>
      <x:c r="K402" s="10" t="n">
        <x:f>MAX(0,I402-J402)</x:f>
        <x:v>13048.99187502284</x:v>
      </x:c>
      <x:c r="L402" s="10" t="n">
        <x:f>K402*'Assumptions'!$D$12</x:f>
        <x:v>3262.24796875571</x:v>
      </x:c>
      <x:c r="M402" s="10" t="n">
        <x:f>MAX(0,J402-I402)</x:f>
        <x:v>0</x:v>
      </x:c>
    </x:row>
    <x:row r="403" ht="16" customHeight="1">
      <x:c r="A403" s="1"/>
      <x:c r="B403" s="1"/>
      <x:c r="C403" s="1" t="str">
        <x:v>Maison Contour</x:v>
      </x:c>
      <x:c r="D403" s="10" t="n">
        <x:v>11</x:v>
      </x:c>
      <x:c r="E403" s="10" t="n">
        <x:f>SUMIF('Revenue and costs'!$D$1288:$D$1415,C403,'Revenue and costs'!N1288:N1415)</x:f>
        <x:v>33313.266717087405</x:v>
      </x:c>
      <x:c r="F403" s="10" t="n">
        <x:f>SUMIF('Revenue and costs'!$D$1288:$D$1415,C403,'Revenue and costs'!O1288:O1415)+SUMIF('Revenue and costs'!$D$1288:$D$1415,C403,'Revenue and costs'!P1288:P1415)+SUMIF('Revenue and costs'!$D$1288:$D$1415,C403,'Revenue and costs'!Q1288:Q1415)+SUMIF('Revenue and costs'!$D$1288:$D$1415,C403,'Revenue and costs'!R1288:R1415)+SUMIF('Revenue and costs'!$D$1288:$D$1415,C403,'Revenue and costs'!S1288:S1415)+SUMIF('Revenue and costs'!$D$1288:$D$1415,C403,'Revenue and costs'!T1288:T1415)+SUMIF('Revenue and costs'!$D$1288:$D$1415,C403,'Revenue and costs'!U1288:U1415)+SUMIF('Revenue and costs'!$D$1288:$D$1415,C403,'Revenue and costs'!V1288:V1415)+SUMIF('Revenue and costs'!$D$1288:$D$1415,C403,'Revenue and costs'!AE1288:AE1415)</x:f>
        <x:v>10378.49184910414</x:v>
      </x:c>
      <x:c r="G403" s="10" t="n">
        <x:f>IF('Income statement'!N50=0,1/39,E403/'Income statement'!N50)*('Shared costs'!R21+'Assumptions'!$D$18*'Assumptions'!$D$19*12*(1+'Assumptions'!$D$13)^(11-1)*'Assumptions'!$D$21)</x:f>
        <x:v>1450.3657136194477</x:v>
      </x:c>
      <x:c r="H403" s="10" t="n">
        <x:f>IF('Income statement'!N50=0,1/39,E403/'Income statement'!N50)*'Cash and capital'!N18</x:f>
        <x:v>6.767073037014787</x:v>
      </x:c>
      <x:c r="I403" s="10" t="n">
        <x:f>E403-F403-G403-H403</x:f>
        <x:v>21477.6420813268</x:v>
      </x:c>
      <x:c r="J403" s="10" t="n">
        <x:f>M364</x:f>
        <x:v>0</x:v>
      </x:c>
      <x:c r="K403" s="10" t="n">
        <x:f>MAX(0,I403-J403)</x:f>
        <x:v>21477.6420813268</x:v>
      </x:c>
      <x:c r="L403" s="10" t="n">
        <x:f>K403*'Assumptions'!$D$12</x:f>
        <x:v>5369.4105203317</x:v>
      </x:c>
      <x:c r="M403" s="10" t="n">
        <x:f>MAX(0,J403-I403)</x:f>
        <x:v>0</x:v>
      </x:c>
    </x:row>
    <x:row r="404" ht="16" customHeight="1">
      <x:c r="A404" s="1"/>
      <x:c r="B404" s="1"/>
      <x:c r="C404" s="1" t="str">
        <x:v>DishLoom US</x:v>
      </x:c>
      <x:c r="D404" s="10" t="n">
        <x:v>11</x:v>
      </x:c>
      <x:c r="E404" s="10" t="n">
        <x:f>SUMIF('Revenue and costs'!$D$1288:$D$1415,C404,'Revenue and costs'!N1288:N1415)</x:f>
        <x:v>30295.956000284466</x:v>
      </x:c>
      <x:c r="F404" s="10" t="n">
        <x:f>SUMIF('Revenue and costs'!$D$1288:$D$1415,C404,'Revenue and costs'!O1288:O1415)+SUMIF('Revenue and costs'!$D$1288:$D$1415,C404,'Revenue and costs'!P1288:P1415)+SUMIF('Revenue and costs'!$D$1288:$D$1415,C404,'Revenue and costs'!Q1288:Q1415)+SUMIF('Revenue and costs'!$D$1288:$D$1415,C404,'Revenue and costs'!R1288:R1415)+SUMIF('Revenue and costs'!$D$1288:$D$1415,C404,'Revenue and costs'!S1288:S1415)+SUMIF('Revenue and costs'!$D$1288:$D$1415,C404,'Revenue and costs'!T1288:T1415)+SUMIF('Revenue and costs'!$D$1288:$D$1415,C404,'Revenue and costs'!U1288:U1415)+SUMIF('Revenue and costs'!$D$1288:$D$1415,C404,'Revenue and costs'!V1288:V1415)+SUMIF('Revenue and costs'!$D$1288:$D$1415,C404,'Revenue and costs'!AE1288:AE1415)</x:f>
        <x:v>20460.89384712365</x:v>
      </x:c>
      <x:c r="G404" s="10" t="n">
        <x:f>IF('Income statement'!N50=0,1/39,E404/'Income statement'!N50)*('Shared costs'!R21+'Assumptions'!$D$18*'Assumptions'!$D$19*12*(1+'Assumptions'!$D$13)^(11-1)*'Assumptions'!$D$21)</x:f>
        <x:v>1319.0005116369348</x:v>
      </x:c>
      <x:c r="H404" s="10" t="n">
        <x:f>IF('Income statement'!N50=0,1/39,E404/'Income statement'!N50)*'Cash and capital'!N18</x:f>
        <x:v>6.154153200321025</x:v>
      </x:c>
      <x:c r="I404" s="10" t="n">
        <x:f>E404-F404-G404-H404</x:f>
        <x:v>8509.907488323559</x:v>
      </x:c>
      <x:c r="J404" s="10" t="n">
        <x:f>M365</x:f>
        <x:v>0</x:v>
      </x:c>
      <x:c r="K404" s="10" t="n">
        <x:f>MAX(0,I404-J404)</x:f>
        <x:v>8509.907488323559</x:v>
      </x:c>
      <x:c r="L404" s="10" t="n">
        <x:f>K404*'Assumptions'!$D$12</x:f>
        <x:v>2127.4768720808897</x:v>
      </x:c>
      <x:c r="M404" s="10" t="n">
        <x:f>MAX(0,J404-I404)</x:f>
        <x:v>0</x:v>
      </x:c>
    </x:row>
    <x:row r="405" ht="16" customHeight="1">
      <x:c r="A405" s="1"/>
      <x:c r="B405" s="1"/>
      <x:c r="C405" s="1" t="str">
        <x:v>Is Makes Travel Easy</x:v>
      </x:c>
      <x:c r="D405" s="10" t="n">
        <x:v>11</x:v>
      </x:c>
      <x:c r="E405" s="10" t="n">
        <x:f>SUMIF('Revenue and costs'!$D$1288:$D$1415,C405,'Revenue and costs'!N1288:N1415)</x:f>
        <x:v>51578.51235125783</x:v>
      </x:c>
      <x:c r="F405" s="10" t="n">
        <x:f>SUMIF('Revenue and costs'!$D$1288:$D$1415,C405,'Revenue and costs'!O1288:O1415)+SUMIF('Revenue and costs'!$D$1288:$D$1415,C405,'Revenue and costs'!P1288:P1415)+SUMIF('Revenue and costs'!$D$1288:$D$1415,C405,'Revenue and costs'!Q1288:Q1415)+SUMIF('Revenue and costs'!$D$1288:$D$1415,C405,'Revenue and costs'!R1288:R1415)+SUMIF('Revenue and costs'!$D$1288:$D$1415,C405,'Revenue and costs'!S1288:S1415)+SUMIF('Revenue and costs'!$D$1288:$D$1415,C405,'Revenue and costs'!T1288:T1415)+SUMIF('Revenue and costs'!$D$1288:$D$1415,C405,'Revenue and costs'!U1288:U1415)+SUMIF('Revenue and costs'!$D$1288:$D$1415,C405,'Revenue and costs'!V1288:V1415)+SUMIF('Revenue and costs'!$D$1288:$D$1415,C405,'Revenue and costs'!AE1288:AE1415)</x:f>
        <x:v>29381.93850867554</x:v>
      </x:c>
      <x:c r="G405" s="10" t="n">
        <x:f>IF('Income statement'!N50=0,1/39,E405/'Income statement'!N50)*('Shared costs'!R21+'Assumptions'!$D$18*'Assumptions'!$D$19*12*(1+'Assumptions'!$D$13)^(11-1)*'Assumptions'!$D$21)</x:f>
        <x:v>2245.58301379043</x:v>
      </x:c>
      <x:c r="H405" s="10" t="n">
        <x:f>IF('Income statement'!N50=0,1/39,E405/'Income statement'!N50)*'Cash and capital'!N18</x:f>
        <x:v>10.477374170047991</x:v>
      </x:c>
      <x:c r="I405" s="10" t="n">
        <x:f>E405-F405-G405-H405</x:f>
        <x:v>19940.51345462181</x:v>
      </x:c>
      <x:c r="J405" s="10" t="n">
        <x:f>M366</x:f>
        <x:v>0</x:v>
      </x:c>
      <x:c r="K405" s="10" t="n">
        <x:f>MAX(0,I405-J405)</x:f>
        <x:v>19940.51345462181</x:v>
      </x:c>
      <x:c r="L405" s="10" t="n">
        <x:f>K405*'Assumptions'!$D$12</x:f>
        <x:v>4985.128363655453</x:v>
      </x:c>
      <x:c r="M405" s="10" t="n">
        <x:f>MAX(0,J405-I405)</x:f>
        <x:v>0</x:v>
      </x:c>
    </x:row>
    <x:row r="406" ht="16" customHeight="1">
      <x:c r="A406" s="1"/>
      <x:c r="B406" s="1"/>
      <x:c r="C406" s="1" t="str">
        <x:v>Turbo Tax - Made Easy!</x:v>
      </x:c>
      <x:c r="D406" s="10" t="n">
        <x:v>11</x:v>
      </x:c>
      <x:c r="E406" s="10" t="n">
        <x:f>SUMIF('Revenue and costs'!$D$1288:$D$1415,C406,'Revenue and costs'!N1288:N1415)</x:f>
        <x:v>126853.3038228354</x:v>
      </x:c>
      <x:c r="F406" s="10" t="n">
        <x:f>SUMIF('Revenue and costs'!$D$1288:$D$1415,C406,'Revenue and costs'!O1288:O1415)+SUMIF('Revenue and costs'!$D$1288:$D$1415,C406,'Revenue and costs'!P1288:P1415)+SUMIF('Revenue and costs'!$D$1288:$D$1415,C406,'Revenue and costs'!Q1288:Q1415)+SUMIF('Revenue and costs'!$D$1288:$D$1415,C406,'Revenue and costs'!R1288:R1415)+SUMIF('Revenue and costs'!$D$1288:$D$1415,C406,'Revenue and costs'!S1288:S1415)+SUMIF('Revenue and costs'!$D$1288:$D$1415,C406,'Revenue and costs'!T1288:T1415)+SUMIF('Revenue and costs'!$D$1288:$D$1415,C406,'Revenue and costs'!U1288:U1415)+SUMIF('Revenue and costs'!$D$1288:$D$1415,C406,'Revenue and costs'!V1288:V1415)+SUMIF('Revenue and costs'!$D$1288:$D$1415,C406,'Revenue and costs'!AE1288:AE1415)</x:f>
        <x:v>36042.92593031269</x:v>
      </x:c>
      <x:c r="G406" s="10" t="n">
        <x:f>IF('Income statement'!N50=0,1/39,E406/'Income statement'!N50)*('Shared costs'!R21+'Assumptions'!$D$18*'Assumptions'!$D$19*12*(1+'Assumptions'!$D$13)^(11-1)*'Assumptions'!$D$21)</x:f>
        <x:v>5522.835214164702</x:v>
      </x:c>
      <x:c r="H406" s="10" t="n">
        <x:f>IF('Income statement'!N50=0,1/39,E406/'Income statement'!N50)*'Cash and capital'!N18</x:f>
        <x:v>25.76827962402862</x:v>
      </x:c>
      <x:c r="I406" s="10" t="n">
        <x:f>E406-F406-G406-H406</x:f>
        <x:v>85261.77439873398</x:v>
      </x:c>
      <x:c r="J406" s="10" t="n">
        <x:f>M367</x:f>
        <x:v>0</x:v>
      </x:c>
      <x:c r="K406" s="10" t="n">
        <x:f>MAX(0,I406-J406)</x:f>
        <x:v>85261.77439873398</x:v>
      </x:c>
      <x:c r="L406" s="10" t="n">
        <x:f>K406*'Assumptions'!$D$12</x:f>
        <x:v>21315.443599683495</x:v>
      </x:c>
      <x:c r="M406" s="10" t="n">
        <x:f>MAX(0,J406-I406)</x:f>
        <x:v>0</x:v>
      </x:c>
    </x:row>
    <x:row r="407" ht="16" customHeight="1">
      <x:c r="A407" s="1"/>
      <x:c r="B407" s="1"/>
      <x:c r="C407" s="1" t="str">
        <x:v>LavaLearning adult</x:v>
      </x:c>
      <x:c r="D407" s="10" t="n">
        <x:v>11</x:v>
      </x:c>
      <x:c r="E407" s="10" t="n">
        <x:f>SUMIF('Revenue and costs'!$D$1288:$D$1415,C407,'Revenue and costs'!N1288:N1415)</x:f>
        <x:v>68089.76009279821</x:v>
      </x:c>
      <x:c r="F407" s="10" t="n">
        <x:f>SUMIF('Revenue and costs'!$D$1288:$D$1415,C407,'Revenue and costs'!O1288:O1415)+SUMIF('Revenue and costs'!$D$1288:$D$1415,C407,'Revenue and costs'!P1288:P1415)+SUMIF('Revenue and costs'!$D$1288:$D$1415,C407,'Revenue and costs'!Q1288:Q1415)+SUMIF('Revenue and costs'!$D$1288:$D$1415,C407,'Revenue and costs'!R1288:R1415)+SUMIF('Revenue and costs'!$D$1288:$D$1415,C407,'Revenue and costs'!S1288:S1415)+SUMIF('Revenue and costs'!$D$1288:$D$1415,C407,'Revenue and costs'!T1288:T1415)+SUMIF('Revenue and costs'!$D$1288:$D$1415,C407,'Revenue and costs'!U1288:U1415)+SUMIF('Revenue and costs'!$D$1288:$D$1415,C407,'Revenue and costs'!V1288:V1415)+SUMIF('Revenue and costs'!$D$1288:$D$1415,C407,'Revenue and costs'!AE1288:AE1415)</x:f>
        <x:v>27108.451729756693</x:v>
      </x:c>
      <x:c r="G407" s="10" t="n">
        <x:f>IF('Income statement'!N50=0,1/39,E407/'Income statement'!N50)*('Shared costs'!R21+'Assumptions'!$D$18*'Assumptions'!$D$19*12*(1+'Assumptions'!$D$13)^(11-1)*'Assumptions'!$D$21)</x:f>
        <x:v>2964.436190717788</x:v>
      </x:c>
      <x:c r="H407" s="10" t="n">
        <x:f>IF('Income statement'!N50=0,1/39,E407/'Income statement'!N50)*'Cash and capital'!N18</x:f>
        <x:v>13.831377857171775</x:v>
      </x:c>
      <x:c r="I407" s="10" t="n">
        <x:f>E407-F407-G407-H407</x:f>
        <x:v>38003.040794466564</x:v>
      </x:c>
      <x:c r="J407" s="10" t="n">
        <x:f>M368</x:f>
        <x:v>0</x:v>
      </x:c>
      <x:c r="K407" s="10" t="n">
        <x:f>MAX(0,I407-J407)</x:f>
        <x:v>38003.040794466564</x:v>
      </x:c>
      <x:c r="L407" s="10" t="n">
        <x:f>K407*'Assumptions'!$D$12</x:f>
        <x:v>9500.760198616641</x:v>
      </x:c>
      <x:c r="M407" s="10" t="n">
        <x:f>MAX(0,J407-I407)</x:f>
        <x:v>0</x:v>
      </x:c>
    </x:row>
    <x:row r="408" ht="16" customHeight="1">
      <x:c r="A408" s="1"/>
      <x:c r="B408" s="1"/>
      <x:c r="C408" s="1" t="str">
        <x:v>LavaLearning Model Life</x:v>
      </x:c>
      <x:c r="D408" s="10" t="n">
        <x:v>11</x:v>
      </x:c>
      <x:c r="E408" s="10" t="n">
        <x:f>SUMIF('Revenue and costs'!$D$1288:$D$1415,C408,'Revenue and costs'!N1288:N1415)</x:f>
        <x:v>0</x:v>
      </x:c>
      <x:c r="F408" s="10" t="n">
        <x:f>SUMIF('Revenue and costs'!$D$1288:$D$1415,C408,'Revenue and costs'!O1288:O1415)+SUMIF('Revenue and costs'!$D$1288:$D$1415,C408,'Revenue and costs'!P1288:P1415)+SUMIF('Revenue and costs'!$D$1288:$D$1415,C408,'Revenue and costs'!Q1288:Q1415)+SUMIF('Revenue and costs'!$D$1288:$D$1415,C408,'Revenue and costs'!R1288:R1415)+SUMIF('Revenue and costs'!$D$1288:$D$1415,C408,'Revenue and costs'!S1288:S1415)+SUMIF('Revenue and costs'!$D$1288:$D$1415,C408,'Revenue and costs'!T1288:T1415)+SUMIF('Revenue and costs'!$D$1288:$D$1415,C408,'Revenue and costs'!U1288:U1415)+SUMIF('Revenue and costs'!$D$1288:$D$1415,C408,'Revenue and costs'!V1288:V1415)+SUMIF('Revenue and costs'!$D$1288:$D$1415,C408,'Revenue and costs'!AE1288:AE1415)</x:f>
        <x:v>0</x:v>
      </x:c>
      <x:c r="G408" s="10" t="n">
        <x:f>IF('Income statement'!N50=0,1/39,E408/'Income statement'!N50)*('Shared costs'!R21+'Assumptions'!$D$18*'Assumptions'!$D$19*12*(1+'Assumptions'!$D$13)^(11-1)*'Assumptions'!$D$21)</x:f>
        <x:v>0</x:v>
      </x:c>
      <x:c r="H408" s="10" t="n">
        <x:f>IF('Income statement'!N50=0,1/39,E408/'Income statement'!N50)*'Cash and capital'!N18</x:f>
        <x:v>0</x:v>
      </x:c>
      <x:c r="I408" s="10" t="n">
        <x:f>E408-F408-G408-H408</x:f>
        <x:v>0</x:v>
      </x:c>
      <x:c r="J408" s="10" t="n">
        <x:f>M369</x:f>
        <x:v>0</x:v>
      </x:c>
      <x:c r="K408" s="10" t="n">
        <x:f>MAX(0,I408-J408)</x:f>
        <x:v>0</x:v>
      </x:c>
      <x:c r="L408" s="10" t="n">
        <x:f>K408*'Assumptions'!$D$12</x:f>
        <x:v>0</x:v>
      </x:c>
      <x:c r="M408" s="10" t="n">
        <x:f>MAX(0,J408-I408)</x:f>
        <x:v>0</x:v>
      </x:c>
    </x:row>
    <x:row r="409" ht="16" customHeight="1">
      <x:c r="A409" s="1"/>
      <x:c r="B409" s="1"/>
      <x:c r="C409" s="1" t="str">
        <x:v>LavaLearning Kids</x:v>
      </x:c>
      <x:c r="D409" s="10" t="n">
        <x:v>11</x:v>
      </x:c>
      <x:c r="E409" s="10" t="n">
        <x:f>SUMIF('Revenue and costs'!$D$1288:$D$1415,C409,'Revenue and costs'!N1288:N1415)</x:f>
        <x:v>27880.07468263355</x:v>
      </x:c>
      <x:c r="F409" s="10" t="n">
        <x:f>SUMIF('Revenue and costs'!$D$1288:$D$1415,C409,'Revenue and costs'!O1288:O1415)+SUMIF('Revenue and costs'!$D$1288:$D$1415,C409,'Revenue and costs'!P1288:P1415)+SUMIF('Revenue and costs'!$D$1288:$D$1415,C409,'Revenue and costs'!Q1288:Q1415)+SUMIF('Revenue and costs'!$D$1288:$D$1415,C409,'Revenue and costs'!R1288:R1415)+SUMIF('Revenue and costs'!$D$1288:$D$1415,C409,'Revenue and costs'!S1288:S1415)+SUMIF('Revenue and costs'!$D$1288:$D$1415,C409,'Revenue and costs'!T1288:T1415)+SUMIF('Revenue and costs'!$D$1288:$D$1415,C409,'Revenue and costs'!U1288:U1415)+SUMIF('Revenue and costs'!$D$1288:$D$1415,C409,'Revenue and costs'!V1288:V1415)+SUMIF('Revenue and costs'!$D$1288:$D$1415,C409,'Revenue and costs'!AE1288:AE1415)</x:f>
        <x:v>16681.564049370754</x:v>
      </x:c>
      <x:c r="G409" s="10" t="n">
        <x:f>IF('Income statement'!N50=0,1/39,E409/'Income statement'!N50)*('Shared costs'!R21+'Assumptions'!$D$18*'Assumptions'!$D$19*12*(1+'Assumptions'!$D$13)^(11-1)*'Assumptions'!$D$21)</x:f>
        <x:v>1213.8198500989477</x:v>
      </x:c>
      <x:c r="H409" s="10" t="n">
        <x:f>IF('Income statement'!N50=0,1/39,E409/'Income statement'!N50)*'Cash and capital'!N18</x:f>
        <x:v>5.663404410532792</x:v>
      </x:c>
      <x:c r="I409" s="10" t="n">
        <x:f>E409-F409-G409-H409</x:f>
        <x:v>9979.027378753315</x:v>
      </x:c>
      <x:c r="J409" s="10" t="n">
        <x:f>M370</x:f>
        <x:v>0</x:v>
      </x:c>
      <x:c r="K409" s="10" t="n">
        <x:f>MAX(0,I409-J409)</x:f>
        <x:v>9979.027378753315</x:v>
      </x:c>
      <x:c r="L409" s="10" t="n">
        <x:f>K409*'Assumptions'!$D$12</x:f>
        <x:v>2494.756844688329</x:v>
      </x:c>
      <x:c r="M409" s="10" t="n">
        <x:f>MAX(0,J409-I409)</x:f>
        <x:v>0</x:v>
      </x:c>
    </x:row>
    <x:row r="410" ht="16" customHeight="1">
      <x:c r="A410" s="1"/>
      <x:c r="B410" s="1"/>
      <x:c r="C410" s="1" t="str">
        <x:v>VraiSkill adult</x:v>
      </x:c>
      <x:c r="D410" s="10" t="n">
        <x:v>11</x:v>
      </x:c>
      <x:c r="E410" s="10" t="n">
        <x:f>SUMIF('Revenue and costs'!$D$1288:$D$1415,C410,'Revenue and costs'!N1288:N1415)</x:f>
        <x:v>52796.06330071367</x:v>
      </x:c>
      <x:c r="F410" s="10" t="n">
        <x:f>SUMIF('Revenue and costs'!$D$1288:$D$1415,C410,'Revenue and costs'!O1288:O1415)+SUMIF('Revenue and costs'!$D$1288:$D$1415,C410,'Revenue and costs'!P1288:P1415)+SUMIF('Revenue and costs'!$D$1288:$D$1415,C410,'Revenue and costs'!Q1288:Q1415)+SUMIF('Revenue and costs'!$D$1288:$D$1415,C410,'Revenue and costs'!R1288:R1415)+SUMIF('Revenue and costs'!$D$1288:$D$1415,C410,'Revenue and costs'!S1288:S1415)+SUMIF('Revenue and costs'!$D$1288:$D$1415,C410,'Revenue and costs'!T1288:T1415)+SUMIF('Revenue and costs'!$D$1288:$D$1415,C410,'Revenue and costs'!U1288:U1415)+SUMIF('Revenue and costs'!$D$1288:$D$1415,C410,'Revenue and costs'!V1288:V1415)+SUMIF('Revenue and costs'!$D$1288:$D$1415,C410,'Revenue and costs'!AE1288:AE1415)</x:f>
        <x:v>42224.76612114557</x:v>
      </x:c>
      <x:c r="G410" s="10" t="n">
        <x:f>IF('Income statement'!N50=0,1/39,E410/'Income statement'!N50)*('Shared costs'!R21+'Assumptions'!$D$18*'Assumptions'!$D$19*12*(1+'Assumptions'!$D$13)^(11-1)*'Assumptions'!$D$21)</x:f>
        <x:v>2298.591749519423</x:v>
      </x:c>
      <x:c r="H410" s="10" t="n">
        <x:f>IF('Income statement'!N50=0,1/39,E410/'Income statement'!N50)*'Cash and capital'!N18</x:f>
        <x:v>10.72470074631042</x:v>
      </x:c>
      <x:c r="I410" s="10" t="n">
        <x:f>E410-F410-G410-H410</x:f>
        <x:v>8261.980729302368</x:v>
      </x:c>
      <x:c r="J410" s="10" t="n">
        <x:f>M371</x:f>
        <x:v>0</x:v>
      </x:c>
      <x:c r="K410" s="10" t="n">
        <x:f>MAX(0,I410-J410)</x:f>
        <x:v>8261.980729302368</x:v>
      </x:c>
      <x:c r="L410" s="10" t="n">
        <x:f>K410*'Assumptions'!$D$12</x:f>
        <x:v>2065.495182325592</x:v>
      </x:c>
      <x:c r="M410" s="10" t="n">
        <x:f>MAX(0,J410-I410)</x:f>
        <x:v>0</x:v>
      </x:c>
    </x:row>
    <x:row r="411" ht="16" customHeight="1">
      <x:c r="A411" s="1"/>
      <x:c r="B411" s="1"/>
      <x:c r="C411" s="1" t="str">
        <x:v>VraiSkill teen</x:v>
      </x:c>
      <x:c r="D411" s="10" t="n">
        <x:v>11</x:v>
      </x:c>
      <x:c r="E411" s="10" t="n">
        <x:f>SUMIF('Revenue and costs'!$D$1288:$D$1415,C411,'Revenue and costs'!N1288:N1415)</x:f>
        <x:v>23477.957627480882</x:v>
      </x:c>
      <x:c r="F411" s="10" t="n">
        <x:f>SUMIF('Revenue and costs'!$D$1288:$D$1415,C411,'Revenue and costs'!O1288:O1415)+SUMIF('Revenue and costs'!$D$1288:$D$1415,C411,'Revenue and costs'!P1288:P1415)+SUMIF('Revenue and costs'!$D$1288:$D$1415,C411,'Revenue and costs'!Q1288:Q1415)+SUMIF('Revenue and costs'!$D$1288:$D$1415,C411,'Revenue and costs'!R1288:R1415)+SUMIF('Revenue and costs'!$D$1288:$D$1415,C411,'Revenue and costs'!S1288:S1415)+SUMIF('Revenue and costs'!$D$1288:$D$1415,C411,'Revenue and costs'!T1288:T1415)+SUMIF('Revenue and costs'!$D$1288:$D$1415,C411,'Revenue and costs'!U1288:U1415)+SUMIF('Revenue and costs'!$D$1288:$D$1415,C411,'Revenue and costs'!V1288:V1415)+SUMIF('Revenue and costs'!$D$1288:$D$1415,C411,'Revenue and costs'!AE1288:AE1415)</x:f>
        <x:v>11619.351052052123</x:v>
      </x:c>
      <x:c r="G411" s="10" t="n">
        <x:f>IF('Income statement'!N50=0,1/39,E411/'Income statement'!N50)*('Shared costs'!R21+'Assumptions'!$D$18*'Assumptions'!$D$19*12*(1+'Assumptions'!$D$13)^(11-1)*'Assumptions'!$D$21)</x:f>
        <x:v>1022.1640842938507</x:v>
      </x:c>
      <x:c r="H411" s="10" t="n">
        <x:f>IF('Income statement'!N50=0,1/39,E411/'Income statement'!N50)*'Cash and capital'!N18</x:f>
        <x:v>4.769182661501298</x:v>
      </x:c>
      <x:c r="I411" s="10" t="n">
        <x:f>E411-F411-G411-H411</x:f>
        <x:v>10831.673308473408</x:v>
      </x:c>
      <x:c r="J411" s="10" t="n">
        <x:f>M372</x:f>
        <x:v>0</x:v>
      </x:c>
      <x:c r="K411" s="10" t="n">
        <x:f>MAX(0,I411-J411)</x:f>
        <x:v>10831.673308473408</x:v>
      </x:c>
      <x:c r="L411" s="10" t="n">
        <x:f>K411*'Assumptions'!$D$12</x:f>
        <x:v>2707.918327118352</x:v>
      </x:c>
      <x:c r="M411" s="10" t="n">
        <x:f>MAX(0,J411-I411)</x:f>
        <x:v>0</x:v>
      </x:c>
    </x:row>
    <x:row r="412" ht="16" customHeight="1">
      <x:c r="A412" s="1"/>
      <x:c r="B412" s="1"/>
      <x:c r="C412" s="1" t="str">
        <x:v>VraiSkill Model Life</x:v>
      </x:c>
      <x:c r="D412" s="10" t="n">
        <x:v>11</x:v>
      </x:c>
      <x:c r="E412" s="10" t="n">
        <x:f>SUMIF('Revenue and costs'!$D$1288:$D$1415,C412,'Revenue and costs'!N1288:N1415)</x:f>
        <x:v>0</x:v>
      </x:c>
      <x:c r="F412" s="10" t="n">
        <x:f>SUMIF('Revenue and costs'!$D$1288:$D$1415,C412,'Revenue and costs'!O1288:O1415)+SUMIF('Revenue and costs'!$D$1288:$D$1415,C412,'Revenue and costs'!P1288:P1415)+SUMIF('Revenue and costs'!$D$1288:$D$1415,C412,'Revenue and costs'!Q1288:Q1415)+SUMIF('Revenue and costs'!$D$1288:$D$1415,C412,'Revenue and costs'!R1288:R1415)+SUMIF('Revenue and costs'!$D$1288:$D$1415,C412,'Revenue and costs'!S1288:S1415)+SUMIF('Revenue and costs'!$D$1288:$D$1415,C412,'Revenue and costs'!T1288:T1415)+SUMIF('Revenue and costs'!$D$1288:$D$1415,C412,'Revenue and costs'!U1288:U1415)+SUMIF('Revenue and costs'!$D$1288:$D$1415,C412,'Revenue and costs'!V1288:V1415)+SUMIF('Revenue and costs'!$D$1288:$D$1415,C412,'Revenue and costs'!AE1288:AE1415)</x:f>
        <x:v>0</x:v>
      </x:c>
      <x:c r="G412" s="10" t="n">
        <x:f>IF('Income statement'!N50=0,1/39,E412/'Income statement'!N50)*('Shared costs'!R21+'Assumptions'!$D$18*'Assumptions'!$D$19*12*(1+'Assumptions'!$D$13)^(11-1)*'Assumptions'!$D$21)</x:f>
        <x:v>0</x:v>
      </x:c>
      <x:c r="H412" s="10" t="n">
        <x:f>IF('Income statement'!N50=0,1/39,E412/'Income statement'!N50)*'Cash and capital'!N18</x:f>
        <x:v>0</x:v>
      </x:c>
      <x:c r="I412" s="10" t="n">
        <x:f>E412-F412-G412-H412</x:f>
        <x:v>0</x:v>
      </x:c>
      <x:c r="J412" s="10" t="n">
        <x:f>M373</x:f>
        <x:v>0</x:v>
      </x:c>
      <x:c r="K412" s="10" t="n">
        <x:f>MAX(0,I412-J412)</x:f>
        <x:v>0</x:v>
      </x:c>
      <x:c r="L412" s="10" t="n">
        <x:f>K412*'Assumptions'!$D$12</x:f>
        <x:v>0</x:v>
      </x:c>
      <x:c r="M412" s="10" t="n">
        <x:f>MAX(0,J412-I412)</x:f>
        <x:v>0</x:v>
      </x:c>
    </x:row>
    <x:row r="413" ht="16" customHeight="1">
      <x:c r="A413" s="1"/>
      <x:c r="B413" s="1"/>
      <x:c r="C413" s="1" t="str">
        <x:v>Model Life</x:v>
      </x:c>
      <x:c r="D413" s="10" t="n">
        <x:v>11</x:v>
      </x:c>
      <x:c r="E413" s="10" t="n">
        <x:f>SUMIF('Revenue and costs'!$D$1288:$D$1415,C413,'Revenue and costs'!N1288:N1415)</x:f>
        <x:v>87201.05854050133</x:v>
      </x:c>
      <x:c r="F413" s="10" t="n">
        <x:f>SUMIF('Revenue and costs'!$D$1288:$D$1415,C413,'Revenue and costs'!O1288:O1415)+SUMIF('Revenue and costs'!$D$1288:$D$1415,C413,'Revenue and costs'!P1288:P1415)+SUMIF('Revenue and costs'!$D$1288:$D$1415,C413,'Revenue and costs'!Q1288:Q1415)+SUMIF('Revenue and costs'!$D$1288:$D$1415,C413,'Revenue and costs'!R1288:R1415)+SUMIF('Revenue and costs'!$D$1288:$D$1415,C413,'Revenue and costs'!S1288:S1415)+SUMIF('Revenue and costs'!$D$1288:$D$1415,C413,'Revenue and costs'!T1288:T1415)+SUMIF('Revenue and costs'!$D$1288:$D$1415,C413,'Revenue and costs'!U1288:U1415)+SUMIF('Revenue and costs'!$D$1288:$D$1415,C413,'Revenue and costs'!V1288:V1415)+SUMIF('Revenue and costs'!$D$1288:$D$1415,C413,'Revenue and costs'!AE1288:AE1415)</x:f>
        <x:v>28344.78971303329</x:v>
      </x:c>
      <x:c r="G413" s="10" t="n">
        <x:f>IF('Income statement'!N50=0,1/39,E413/'Income statement'!N50)*('Shared costs'!R21+'Assumptions'!$D$18*'Assumptions'!$D$19*12*(1+'Assumptions'!$D$13)^(11-1)*'Assumptions'!$D$21)</x:f>
        <x:v>3796.4882451348817</x:v>
      </x:c>
      <x:c r="H413" s="10" t="n">
        <x:f>IF('Income statement'!N50=0,1/39,E413/'Income statement'!N50)*'Cash and capital'!N18</x:f>
        <x:v>17.713541486638295</x:v>
      </x:c>
      <x:c r="I413" s="10" t="n">
        <x:f>E413-F413-G413-H413</x:f>
        <x:v>55042.06704084652</x:v>
      </x:c>
      <x:c r="J413" s="10" t="n">
        <x:f>M374</x:f>
        <x:v>0</x:v>
      </x:c>
      <x:c r="K413" s="10" t="n">
        <x:f>MAX(0,I413-J413)</x:f>
        <x:v>55042.06704084652</x:v>
      </x:c>
      <x:c r="L413" s="10" t="n">
        <x:f>K413*'Assumptions'!$D$12</x:f>
        <x:v>13760.51676021163</x:v>
      </x:c>
      <x:c r="M413" s="10" t="n">
        <x:f>MAX(0,J413-I413)</x:f>
        <x:v>0</x:v>
      </x:c>
    </x:row>
    <x:row r="414" ht="16" customHeight="1">
      <x:c r="A414" s="1"/>
      <x:c r="B414" s="1"/>
      <x:c r="C414" s="1" t="str">
        <x:v>S’otality cleaning</x:v>
      </x:c>
      <x:c r="D414" s="10" t="n">
        <x:v>11</x:v>
      </x:c>
      <x:c r="E414" s="10" t="n">
        <x:f>SUMIF('Revenue and costs'!$D$1288:$D$1415,C414,'Revenue and costs'!N1288:N1415)</x:f>
        <x:v>275007.03568468936</x:v>
      </x:c>
      <x:c r="F414" s="10" t="n">
        <x:f>SUMIF('Revenue and costs'!$D$1288:$D$1415,C414,'Revenue and costs'!O1288:O1415)+SUMIF('Revenue and costs'!$D$1288:$D$1415,C414,'Revenue and costs'!P1288:P1415)+SUMIF('Revenue and costs'!$D$1288:$D$1415,C414,'Revenue and costs'!Q1288:Q1415)+SUMIF('Revenue and costs'!$D$1288:$D$1415,C414,'Revenue and costs'!R1288:R1415)+SUMIF('Revenue and costs'!$D$1288:$D$1415,C414,'Revenue and costs'!S1288:S1415)+SUMIF('Revenue and costs'!$D$1288:$D$1415,C414,'Revenue and costs'!T1288:T1415)+SUMIF('Revenue and costs'!$D$1288:$D$1415,C414,'Revenue and costs'!U1288:U1415)+SUMIF('Revenue and costs'!$D$1288:$D$1415,C414,'Revenue and costs'!V1288:V1415)+SUMIF('Revenue and costs'!$D$1288:$D$1415,C414,'Revenue and costs'!AE1288:AE1415)</x:f>
        <x:v>236895.98740304867</x:v>
      </x:c>
      <x:c r="G414" s="10" t="n">
        <x:f>IF('Income statement'!N50=0,1/39,E414/'Income statement'!N50)*('Shared costs'!R21+'Assumptions'!$D$18*'Assumptions'!$D$19*12*(1+'Assumptions'!$D$13)^(11-1)*'Assumptions'!$D$21)</x:f>
        <x:v>11973.031013395193</x:v>
      </x:c>
      <x:c r="H414" s="10" t="n">
        <x:f>IF('Income statement'!N50=0,1/39,E414/'Income statement'!N50)*'Cash and capital'!N18</x:f>
        <x:v>55.863410573801936</x:v>
      </x:c>
      <x:c r="I414" s="10" t="n">
        <x:f>E414-F414-G414-H414</x:f>
        <x:v>26082.153857671692</x:v>
      </x:c>
      <x:c r="J414" s="10" t="n">
        <x:f>M375</x:f>
        <x:v>0</x:v>
      </x:c>
      <x:c r="K414" s="10" t="n">
        <x:f>MAX(0,I414-J414)</x:f>
        <x:v>26082.153857671692</x:v>
      </x:c>
      <x:c r="L414" s="10" t="n">
        <x:f>K414*'Assumptions'!$D$12</x:f>
        <x:v>6520.538464417923</x:v>
      </x:c>
      <x:c r="M414" s="10" t="n">
        <x:f>MAX(0,J414-I414)</x:f>
        <x:v>0</x:v>
      </x:c>
    </x:row>
    <x:row r="415" ht="16" customHeight="1">
      <x:c r="A415" s="1"/>
      <x:c r="B415" s="1"/>
      <x:c r="C415" s="1" t="str">
        <x:v>S’otality laundry</x:v>
      </x:c>
      <x:c r="D415" s="10" t="n">
        <x:v>11</x:v>
      </x:c>
      <x:c r="E415" s="10" t="n">
        <x:f>SUMIF('Revenue and costs'!$D$1288:$D$1415,C415,'Revenue and costs'!N1288:N1415)</x:f>
        <x:v>42624.511845502944</x:v>
      </x:c>
      <x:c r="F415" s="10" t="n">
        <x:f>SUMIF('Revenue and costs'!$D$1288:$D$1415,C415,'Revenue and costs'!O1288:O1415)+SUMIF('Revenue and costs'!$D$1288:$D$1415,C415,'Revenue and costs'!P1288:P1415)+SUMIF('Revenue and costs'!$D$1288:$D$1415,C415,'Revenue and costs'!Q1288:Q1415)+SUMIF('Revenue and costs'!$D$1288:$D$1415,C415,'Revenue and costs'!R1288:R1415)+SUMIF('Revenue and costs'!$D$1288:$D$1415,C415,'Revenue and costs'!S1288:S1415)+SUMIF('Revenue and costs'!$D$1288:$D$1415,C415,'Revenue and costs'!T1288:T1415)+SUMIF('Revenue and costs'!$D$1288:$D$1415,C415,'Revenue and costs'!U1288:U1415)+SUMIF('Revenue and costs'!$D$1288:$D$1415,C415,'Revenue and costs'!V1288:V1415)+SUMIF('Revenue and costs'!$D$1288:$D$1415,C415,'Revenue and costs'!AE1288:AE1415)</x:f>
        <x:v>39393.002518889225</x:v>
      </x:c>
      <x:c r="G415" s="10" t="n">
        <x:f>IF('Income statement'!N50=0,1/39,E415/'Income statement'!N50)*('Shared costs'!R21+'Assumptions'!$D$18*'Assumptions'!$D$19*12*(1+'Assumptions'!$D$13)^(11-1)*'Assumptions'!$D$21)</x:f>
        <x:v>1855.7510755549379</x:v>
      </x:c>
      <x:c r="H415" s="10" t="n">
        <x:f>IF('Income statement'!N50=0,1/39,E415/'Income statement'!N50)*'Cash and capital'!N18</x:f>
        <x:v>8.65850795345954</x:v>
      </x:c>
      <x:c r="I415" s="10" t="n">
        <x:f>E415-F415-G415-H415</x:f>
        <x:v>1367.0997431053217</x:v>
      </x:c>
      <x:c r="J415" s="10" t="n">
        <x:f>M376</x:f>
        <x:v>0</x:v>
      </x:c>
      <x:c r="K415" s="10" t="n">
        <x:f>MAX(0,I415-J415)</x:f>
        <x:v>1367.0997431053217</x:v>
      </x:c>
      <x:c r="L415" s="10" t="n">
        <x:f>K415*'Assumptions'!$D$12</x:f>
        <x:v>341.77493577633044</x:v>
      </x:c>
      <x:c r="M415" s="10" t="n">
        <x:f>MAX(0,J415-I415)</x:f>
        <x:v>0</x:v>
      </x:c>
    </x:row>
    <x:row r="416" ht="16" customHeight="1">
      <x:c r="A416" s="1"/>
      <x:c r="B416" s="1"/>
      <x:c r="C416" s="1" t="str">
        <x:v>S’otality Personal Chef</x:v>
      </x:c>
      <x:c r="D416" s="10" t="n">
        <x:v>11</x:v>
      </x:c>
      <x:c r="E416" s="10" t="n">
        <x:f>SUMIF('Revenue and costs'!$D$1288:$D$1415,C416,'Revenue and costs'!N1288:N1415)</x:f>
        <x:v>76891.2148896135</x:v>
      </x:c>
      <x:c r="F416" s="10" t="n">
        <x:f>SUMIF('Revenue and costs'!$D$1288:$D$1415,C416,'Revenue and costs'!O1288:O1415)+SUMIF('Revenue and costs'!$D$1288:$D$1415,C416,'Revenue and costs'!P1288:P1415)+SUMIF('Revenue and costs'!$D$1288:$D$1415,C416,'Revenue and costs'!Q1288:Q1415)+SUMIF('Revenue and costs'!$D$1288:$D$1415,C416,'Revenue and costs'!R1288:R1415)+SUMIF('Revenue and costs'!$D$1288:$D$1415,C416,'Revenue and costs'!S1288:S1415)+SUMIF('Revenue and costs'!$D$1288:$D$1415,C416,'Revenue and costs'!T1288:T1415)+SUMIF('Revenue and costs'!$D$1288:$D$1415,C416,'Revenue and costs'!U1288:U1415)+SUMIF('Revenue and costs'!$D$1288:$D$1415,C416,'Revenue and costs'!V1288:V1415)+SUMIF('Revenue and costs'!$D$1288:$D$1415,C416,'Revenue and costs'!AE1288:AE1415)</x:f>
        <x:v>61979.87093309921</x:v>
      </x:c>
      <x:c r="G416" s="10" t="n">
        <x:f>IF('Income statement'!N50=0,1/39,E416/'Income statement'!N50)*('Shared costs'!R21+'Assumptions'!$D$18*'Assumptions'!$D$19*12*(1+'Assumptions'!$D$13)^(11-1)*'Assumptions'!$D$21)</x:f>
        <x:v>3347.6267188542733</x:v>
      </x:c>
      <x:c r="H416" s="10" t="n">
        <x:f>IF('Income statement'!N50=0,1/39,E416/'Income statement'!N50)*'Cash and capital'!N18</x:f>
        <x:v>15.619256780840436</x:v>
      </x:c>
      <x:c r="I416" s="10" t="n">
        <x:f>E416-F416-G416-H416</x:f>
        <x:v>11548.097980879176</x:v>
      </x:c>
      <x:c r="J416" s="10" t="n">
        <x:f>M377</x:f>
        <x:v>0</x:v>
      </x:c>
      <x:c r="K416" s="10" t="n">
        <x:f>MAX(0,I416-J416)</x:f>
        <x:v>11548.097980879176</x:v>
      </x:c>
      <x:c r="L416" s="10" t="n">
        <x:f>K416*'Assumptions'!$D$12</x:f>
        <x:v>2887.024495219794</x:v>
      </x:c>
      <x:c r="M416" s="10" t="n">
        <x:f>MAX(0,J416-I416)</x:f>
        <x:v>0</x:v>
      </x:c>
    </x:row>
    <x:row r="417" ht="16" customHeight="1">
      <x:c r="A417" s="1"/>
      <x:c r="B417" s="1"/>
      <x:c r="C417" s="1" t="str">
        <x:v>S’otality interiors</x:v>
      </x:c>
      <x:c r="D417" s="10" t="n">
        <x:v>11</x:v>
      </x:c>
      <x:c r="E417" s="10" t="n">
        <x:f>SUMIF('Revenue and costs'!$D$1288:$D$1415,C417,'Revenue and costs'!N1288:N1415)</x:f>
        <x:v>99355.74227140973</x:v>
      </x:c>
      <x:c r="F417" s="10" t="n">
        <x:f>SUMIF('Revenue and costs'!$D$1288:$D$1415,C417,'Revenue and costs'!O1288:O1415)+SUMIF('Revenue and costs'!$D$1288:$D$1415,C417,'Revenue and costs'!P1288:P1415)+SUMIF('Revenue and costs'!$D$1288:$D$1415,C417,'Revenue and costs'!Q1288:Q1415)+SUMIF('Revenue and costs'!$D$1288:$D$1415,C417,'Revenue and costs'!R1288:R1415)+SUMIF('Revenue and costs'!$D$1288:$D$1415,C417,'Revenue and costs'!S1288:S1415)+SUMIF('Revenue and costs'!$D$1288:$D$1415,C417,'Revenue and costs'!T1288:T1415)+SUMIF('Revenue and costs'!$D$1288:$D$1415,C417,'Revenue and costs'!U1288:U1415)+SUMIF('Revenue and costs'!$D$1288:$D$1415,C417,'Revenue and costs'!V1288:V1415)+SUMIF('Revenue and costs'!$D$1288:$D$1415,C417,'Revenue and costs'!AE1288:AE1415)</x:f>
        <x:v>61845.29865196093</x:v>
      </x:c>
      <x:c r="G417" s="10" t="n">
        <x:f>IF('Income statement'!N50=0,1/39,E417/'Income statement'!N50)*('Shared costs'!R21+'Assumptions'!$D$18*'Assumptions'!$D$19*12*(1+'Assumptions'!$D$13)^(11-1)*'Assumptions'!$D$21)</x:f>
        <x:v>4325.668907389038</x:v>
      </x:c>
      <x:c r="H417" s="10" t="n">
        <x:f>IF('Income statement'!N50=0,1/39,E417/'Income statement'!N50)*'Cash and capital'!N18</x:f>
        <x:v>20.18257681863962</x:v>
      </x:c>
      <x:c r="I417" s="10" t="n">
        <x:f>E417-F417-G417-H417</x:f>
        <x:v>33164.592135241124</x:v>
      </x:c>
      <x:c r="J417" s="10" t="n">
        <x:f>M378</x:f>
        <x:v>0</x:v>
      </x:c>
      <x:c r="K417" s="10" t="n">
        <x:f>MAX(0,I417-J417)</x:f>
        <x:v>33164.592135241124</x:v>
      </x:c>
      <x:c r="L417" s="10" t="n">
        <x:f>K417*'Assumptions'!$D$12</x:f>
        <x:v>8291.148033810281</x:v>
      </x:c>
      <x:c r="M417" s="10" t="n">
        <x:f>MAX(0,J417-I417)</x:f>
        <x:v>0</x:v>
      </x:c>
    </x:row>
    <x:row r="418" ht="16" customHeight="1">
      <x:c r="A418" s="1"/>
      <x:c r="B418" s="1"/>
      <x:c r="C418" s="1" t="str">
        <x:v>S’otality concierge</x:v>
      </x:c>
      <x:c r="D418" s="10" t="n">
        <x:v>11</x:v>
      </x:c>
      <x:c r="E418" s="10" t="n">
        <x:f>SUMIF('Revenue and costs'!$D$1288:$D$1415,C418,'Revenue and costs'!N1288:N1415)</x:f>
        <x:v>36124.99427513278</x:v>
      </x:c>
      <x:c r="F418" s="10" t="n">
        <x:f>SUMIF('Revenue and costs'!$D$1288:$D$1415,C418,'Revenue and costs'!O1288:O1415)+SUMIF('Revenue and costs'!$D$1288:$D$1415,C418,'Revenue and costs'!P1288:P1415)+SUMIF('Revenue and costs'!$D$1288:$D$1415,C418,'Revenue and costs'!Q1288:Q1415)+SUMIF('Revenue and costs'!$D$1288:$D$1415,C418,'Revenue and costs'!R1288:R1415)+SUMIF('Revenue and costs'!$D$1288:$D$1415,C418,'Revenue and costs'!S1288:S1415)+SUMIF('Revenue and costs'!$D$1288:$D$1415,C418,'Revenue and costs'!T1288:T1415)+SUMIF('Revenue and costs'!$D$1288:$D$1415,C418,'Revenue and costs'!U1288:U1415)+SUMIF('Revenue and costs'!$D$1288:$D$1415,C418,'Revenue and costs'!V1288:V1415)+SUMIF('Revenue and costs'!$D$1288:$D$1415,C418,'Revenue and costs'!AE1288:AE1415)</x:f>
        <x:v>21123.705907150535</x:v>
      </x:c>
      <x:c r="G418" s="10" t="n">
        <x:f>IF('Income statement'!N50=0,1/39,E418/'Income statement'!N50)*('Shared costs'!R21+'Assumptions'!$D$18*'Assumptions'!$D$19*12*(1+'Assumptions'!$D$13)^(11-1)*'Assumptions'!$D$21)</x:f>
        <x:v>1572.780404465008</x:v>
      </x:c>
      <x:c r="H418" s="10" t="n">
        <x:f>IF('Income statement'!N50=0,1/39,E418/'Income statement'!N50)*'Cash and capital'!N18</x:f>
        <x:v>7.338231846118329</x:v>
      </x:c>
      <x:c r="I418" s="10" t="n">
        <x:f>E418-F418-G418-H418</x:f>
        <x:v>13421.169731671122</x:v>
      </x:c>
      <x:c r="J418" s="10" t="n">
        <x:f>M379</x:f>
        <x:v>0</x:v>
      </x:c>
      <x:c r="K418" s="10" t="n">
        <x:f>MAX(0,I418-J418)</x:f>
        <x:v>13421.169731671122</x:v>
      </x:c>
      <x:c r="L418" s="10" t="n">
        <x:f>K418*'Assumptions'!$D$12</x:f>
        <x:v>3355.2924329177804</x:v>
      </x:c>
      <x:c r="M418" s="10" t="n">
        <x:f>MAX(0,J418-I418)</x:f>
        <x:v>0</x:v>
      </x:c>
    </x:row>
    <x:row r="419" ht="16" customHeight="1">
      <x:c r="A419" s="1"/>
      <x:c r="B419" s="1"/>
      <x:c r="C419" s="1" t="str">
        <x:v>S’otality administration</x:v>
      </x:c>
      <x:c r="D419" s="10" t="n">
        <x:v>11</x:v>
      </x:c>
      <x:c r="E419" s="10" t="n">
        <x:f>SUMIF('Revenue and costs'!$D$1288:$D$1415,C419,'Revenue and costs'!N1288:N1415)</x:f>
        <x:v>57799.99084021244</x:v>
      </x:c>
      <x:c r="F419" s="10" t="n">
        <x:f>SUMIF('Revenue and costs'!$D$1288:$D$1415,C419,'Revenue and costs'!O1288:O1415)+SUMIF('Revenue and costs'!$D$1288:$D$1415,C419,'Revenue and costs'!P1288:P1415)+SUMIF('Revenue and costs'!$D$1288:$D$1415,C419,'Revenue and costs'!Q1288:Q1415)+SUMIF('Revenue and costs'!$D$1288:$D$1415,C419,'Revenue and costs'!R1288:R1415)+SUMIF('Revenue and costs'!$D$1288:$D$1415,C419,'Revenue and costs'!S1288:S1415)+SUMIF('Revenue and costs'!$D$1288:$D$1415,C419,'Revenue and costs'!T1288:T1415)+SUMIF('Revenue and costs'!$D$1288:$D$1415,C419,'Revenue and costs'!U1288:U1415)+SUMIF('Revenue and costs'!$D$1288:$D$1415,C419,'Revenue and costs'!V1288:V1415)+SUMIF('Revenue and costs'!$D$1288:$D$1415,C419,'Revenue and costs'!AE1288:AE1415)</x:f>
        <x:v>45343.28478250232</x:v>
      </x:c>
      <x:c r="G419" s="10" t="n">
        <x:f>IF('Income statement'!N50=0,1/39,E419/'Income statement'!N50)*('Shared costs'!R21+'Assumptions'!$D$18*'Assumptions'!$D$19*12*(1+'Assumptions'!$D$13)^(11-1)*'Assumptions'!$D$21)</x:f>
        <x:v>2516.4486471440123</x:v>
      </x:c>
      <x:c r="H419" s="10" t="n">
        <x:f>IF('Income statement'!N50=0,1/39,E419/'Income statement'!N50)*'Cash and capital'!N18</x:f>
        <x:v>11.741170953789323</x:v>
      </x:c>
      <x:c r="I419" s="10" t="n">
        <x:f>E419-F419-G419-H419</x:f>
        <x:v>9928.51623961232</x:v>
      </x:c>
      <x:c r="J419" s="10" t="n">
        <x:f>M380</x:f>
        <x:v>0</x:v>
      </x:c>
      <x:c r="K419" s="10" t="n">
        <x:f>MAX(0,I419-J419)</x:f>
        <x:v>9928.51623961232</x:v>
      </x:c>
      <x:c r="L419" s="10" t="n">
        <x:f>K419*'Assumptions'!$D$12</x:f>
        <x:v>2482.12905990308</x:v>
      </x:c>
      <x:c r="M419" s="10" t="n">
        <x:f>MAX(0,J419-I419)</x:f>
        <x:v>0</x:v>
      </x:c>
    </x:row>
    <x:row r="420" ht="16" customHeight="1">
      <x:c r="A420" s="1"/>
      <x:c r="B420" s="1"/>
      <x:c r="C420" s="1" t="str">
        <x:v>S’otality bike tours</x:v>
      </x:c>
      <x:c r="D420" s="10" t="n">
        <x:v>11</x:v>
      </x:c>
      <x:c r="E420" s="10" t="n">
        <x:f>SUMIF('Revenue and costs'!$D$1288:$D$1415,C420,'Revenue and costs'!N1288:N1415)</x:f>
        <x:v>30756.4859558454</x:v>
      </x:c>
      <x:c r="F420" s="10" t="n">
        <x:f>SUMIF('Revenue and costs'!$D$1288:$D$1415,C420,'Revenue and costs'!O1288:O1415)+SUMIF('Revenue and costs'!$D$1288:$D$1415,C420,'Revenue and costs'!P1288:P1415)+SUMIF('Revenue and costs'!$D$1288:$D$1415,C420,'Revenue and costs'!Q1288:Q1415)+SUMIF('Revenue and costs'!$D$1288:$D$1415,C420,'Revenue and costs'!R1288:R1415)+SUMIF('Revenue and costs'!$D$1288:$D$1415,C420,'Revenue and costs'!S1288:S1415)+SUMIF('Revenue and costs'!$D$1288:$D$1415,C420,'Revenue and costs'!T1288:T1415)+SUMIF('Revenue and costs'!$D$1288:$D$1415,C420,'Revenue and costs'!U1288:U1415)+SUMIF('Revenue and costs'!$D$1288:$D$1415,C420,'Revenue and costs'!V1288:V1415)+SUMIF('Revenue and costs'!$D$1288:$D$1415,C420,'Revenue and costs'!AE1288:AE1415)</x:f>
        <x:v>25277.585860976196</x:v>
      </x:c>
      <x:c r="G420" s="10" t="n">
        <x:f>IF('Income statement'!N50=0,1/39,E420/'Income statement'!N50)*('Shared costs'!R21+'Assumptions'!$D$18*'Assumptions'!$D$19*12*(1+'Assumptions'!$D$13)^(11-1)*'Assumptions'!$D$21)</x:f>
        <x:v>1339.0506875417093</x:v>
      </x:c>
      <x:c r="H420" s="10" t="n">
        <x:f>IF('Income statement'!N50=0,1/39,E420/'Income statement'!N50)*'Cash and capital'!N18</x:f>
        <x:v>6.2477027123361735</x:v>
      </x:c>
      <x:c r="I420" s="10" t="n">
        <x:f>E420-F420-G420-H420</x:f>
        <x:v>4133.601704615159</x:v>
      </x:c>
      <x:c r="J420" s="10" t="n">
        <x:f>M381</x:f>
        <x:v>0</x:v>
      </x:c>
      <x:c r="K420" s="10" t="n">
        <x:f>MAX(0,I420-J420)</x:f>
        <x:v>4133.601704615159</x:v>
      </x:c>
      <x:c r="L420" s="10" t="n">
        <x:f>K420*'Assumptions'!$D$12</x:f>
        <x:v>1033.4004261537898</x:v>
      </x:c>
      <x:c r="M420" s="10" t="n">
        <x:f>MAX(0,J420-I420)</x:f>
        <x:v>0</x:v>
      </x:c>
    </x:row>
    <x:row r="421" ht="16" customHeight="1">
      <x:c r="A421" s="1"/>
      <x:c r="B421" s="1"/>
      <x:c r="C421" s="1" t="str">
        <x:v>S’otality editorial</x:v>
      </x:c>
      <x:c r="D421" s="10" t="n">
        <x:v>11</x:v>
      </x:c>
      <x:c r="E421" s="10" t="n">
        <x:f>SUMIF('Revenue and costs'!$D$1288:$D$1415,C421,'Revenue and costs'!N1288:N1415)</x:f>
        <x:v>14245.670286270659</x:v>
      </x:c>
      <x:c r="F421" s="10" t="n">
        <x:f>SUMIF('Revenue and costs'!$D$1288:$D$1415,C421,'Revenue and costs'!O1288:O1415)+SUMIF('Revenue and costs'!$D$1288:$D$1415,C421,'Revenue and costs'!P1288:P1415)+SUMIF('Revenue and costs'!$D$1288:$D$1415,C421,'Revenue and costs'!Q1288:Q1415)+SUMIF('Revenue and costs'!$D$1288:$D$1415,C421,'Revenue and costs'!R1288:R1415)+SUMIF('Revenue and costs'!$D$1288:$D$1415,C421,'Revenue and costs'!S1288:S1415)+SUMIF('Revenue and costs'!$D$1288:$D$1415,C421,'Revenue and costs'!T1288:T1415)+SUMIF('Revenue and costs'!$D$1288:$D$1415,C421,'Revenue and costs'!U1288:U1415)+SUMIF('Revenue and costs'!$D$1288:$D$1415,C421,'Revenue and costs'!V1288:V1415)+SUMIF('Revenue and costs'!$D$1288:$D$1415,C421,'Revenue and costs'!AE1288:AE1415)</x:f>
        <x:v>8235.379361875872</x:v>
      </x:c>
      <x:c r="G421" s="10" t="n">
        <x:f>IF('Income statement'!N50=0,1/39,E421/'Income statement'!N50)*('Shared costs'!R21+'Assumptions'!$D$18*'Assumptions'!$D$19*12*(1+'Assumptions'!$D$13)^(11-1)*'Assumptions'!$D$21)</x:f>
        <x:v>620.2163218096056</x:v>
      </x:c>
      <x:c r="H421" s="10" t="n">
        <x:f>IF('Income statement'!N50=0,1/39,E421/'Income statement'!N50)*'Cash and capital'!N18</x:f>
        <x:v>2.893786793925484</x:v>
      </x:c>
      <x:c r="I421" s="10" t="n">
        <x:f>E421-F421-G421-H421</x:f>
        <x:v>5387.180815791256</x:v>
      </x:c>
      <x:c r="J421" s="10" t="n">
        <x:f>M382</x:f>
        <x:v>0</x:v>
      </x:c>
      <x:c r="K421" s="10" t="n">
        <x:f>MAX(0,I421-J421)</x:f>
        <x:v>5387.180815791256</x:v>
      </x:c>
      <x:c r="L421" s="10" t="n">
        <x:f>K421*'Assumptions'!$D$12</x:f>
        <x:v>1346.795203947814</x:v>
      </x:c>
      <x:c r="M421" s="10" t="n">
        <x:f>MAX(0,J421-I421)</x:f>
        <x:v>0</x:v>
      </x:c>
    </x:row>
    <x:row r="422" ht="16" customHeight="1">
      <x:c r="A422" s="1"/>
      <x:c r="B422" s="1"/>
      <x:c r="C422" s="1" t="str">
        <x:v>Tomato Odyssey</x:v>
      </x:c>
      <x:c r="D422" s="10" t="n">
        <x:v>11</x:v>
      </x:c>
      <x:c r="E422" s="10" t="n">
        <x:f>SUMIF('Revenue and costs'!$D$1288:$D$1415,C422,'Revenue and costs'!N1288:N1415)</x:f>
        <x:v>14245.670286270659</x:v>
      </x:c>
      <x:c r="F422" s="10" t="n">
        <x:f>SUMIF('Revenue and costs'!$D$1288:$D$1415,C422,'Revenue and costs'!O1288:O1415)+SUMIF('Revenue and costs'!$D$1288:$D$1415,C422,'Revenue and costs'!P1288:P1415)+SUMIF('Revenue and costs'!$D$1288:$D$1415,C422,'Revenue and costs'!Q1288:Q1415)+SUMIF('Revenue and costs'!$D$1288:$D$1415,C422,'Revenue and costs'!R1288:R1415)+SUMIF('Revenue and costs'!$D$1288:$D$1415,C422,'Revenue and costs'!S1288:S1415)+SUMIF('Revenue and costs'!$D$1288:$D$1415,C422,'Revenue and costs'!T1288:T1415)+SUMIF('Revenue and costs'!$D$1288:$D$1415,C422,'Revenue and costs'!U1288:U1415)+SUMIF('Revenue and costs'!$D$1288:$D$1415,C422,'Revenue and costs'!V1288:V1415)+SUMIF('Revenue and costs'!$D$1288:$D$1415,C422,'Revenue and costs'!AE1288:AE1415)</x:f>
        <x:v>8235.379361875872</x:v>
      </x:c>
      <x:c r="G422" s="10" t="n">
        <x:f>IF('Income statement'!N50=0,1/39,E422/'Income statement'!N50)*('Shared costs'!R21+'Assumptions'!$D$18*'Assumptions'!$D$19*12*(1+'Assumptions'!$D$13)^(11-1)*'Assumptions'!$D$21)</x:f>
        <x:v>620.2163218096056</x:v>
      </x:c>
      <x:c r="H422" s="10" t="n">
        <x:f>IF('Income statement'!N50=0,1/39,E422/'Income statement'!N50)*'Cash and capital'!N18</x:f>
        <x:v>2.893786793925484</x:v>
      </x:c>
      <x:c r="I422" s="10" t="n">
        <x:f>E422-F422-G422-H422</x:f>
        <x:v>5387.180815791256</x:v>
      </x:c>
      <x:c r="J422" s="10" t="n">
        <x:f>M383</x:f>
        <x:v>0</x:v>
      </x:c>
      <x:c r="K422" s="10" t="n">
        <x:f>MAX(0,I422-J422)</x:f>
        <x:v>5387.180815791256</x:v>
      </x:c>
      <x:c r="L422" s="10" t="n">
        <x:f>K422*'Assumptions'!$D$12</x:f>
        <x:v>1346.795203947814</x:v>
      </x:c>
      <x:c r="M422" s="10" t="n">
        <x:f>MAX(0,J422-I422)</x:f>
        <x:v>0</x:v>
      </x:c>
    </x:row>
    <x:row r="423" ht="16" customHeight="1">
      <x:c r="A423" s="1"/>
      <x:c r="B423" s="1"/>
      <x:c r="C423" s="1" t="str">
        <x:v>Semajes Studio</x:v>
      </x:c>
      <x:c r="D423" s="10" t="n">
        <x:v>11</x:v>
      </x:c>
      <x:c r="E423" s="10" t="n">
        <x:f>SUMIF('Revenue and costs'!$D$1288:$D$1415,C423,'Revenue and costs'!N1288:N1415)</x:f>
        <x:v>186174.22906887604</x:v>
      </x:c>
      <x:c r="F423" s="10" t="n">
        <x:f>SUMIF('Revenue and costs'!$D$1288:$D$1415,C423,'Revenue and costs'!O1288:O1415)+SUMIF('Revenue and costs'!$D$1288:$D$1415,C423,'Revenue and costs'!P1288:P1415)+SUMIF('Revenue and costs'!$D$1288:$D$1415,C423,'Revenue and costs'!Q1288:Q1415)+SUMIF('Revenue and costs'!$D$1288:$D$1415,C423,'Revenue and costs'!R1288:R1415)+SUMIF('Revenue and costs'!$D$1288:$D$1415,C423,'Revenue and costs'!S1288:S1415)+SUMIF('Revenue and costs'!$D$1288:$D$1415,C423,'Revenue and costs'!T1288:T1415)+SUMIF('Revenue and costs'!$D$1288:$D$1415,C423,'Revenue and costs'!U1288:U1415)+SUMIF('Revenue and costs'!$D$1288:$D$1415,C423,'Revenue and costs'!V1288:V1415)+SUMIF('Revenue and costs'!$D$1288:$D$1415,C423,'Revenue and costs'!AE1288:AE1415)</x:f>
        <x:v>122376.84371775595</x:v>
      </x:c>
      <x:c r="G423" s="10" t="n">
        <x:f>IF('Income statement'!N50=0,1/39,E423/'Income statement'!N50)*('Shared costs'!R21+'Assumptions'!$D$18*'Assumptions'!$D$19*12*(1+'Assumptions'!$D$13)^(11-1)*'Assumptions'!$D$21)</x:f>
        <x:v>8105.501057406926</x:v>
      </x:c>
      <x:c r="H423" s="10" t="n">
        <x:f>IF('Income statement'!N50=0,1/39,E423/'Income statement'!N50)*'Cash and capital'!N18</x:f>
        <x:v>37.818404794051226</x:v>
      </x:c>
      <x:c r="I423" s="10" t="n">
        <x:f>E423-F423-G423-H423</x:f>
        <x:v>55654.06588891911</x:v>
      </x:c>
      <x:c r="J423" s="10" t="n">
        <x:f>M384</x:f>
        <x:v>0</x:v>
      </x:c>
      <x:c r="K423" s="10" t="n">
        <x:f>MAX(0,I423-J423)</x:f>
        <x:v>55654.06588891911</x:v>
      </x:c>
      <x:c r="L423" s="10" t="n">
        <x:f>K423*'Assumptions'!$D$12</x:f>
        <x:v>13913.516472229778</x:v>
      </x:c>
      <x:c r="M423" s="10" t="n">
        <x:f>MAX(0,J423-I423)</x:f>
        <x:v>0</x:v>
      </x:c>
    </x:row>
    <x:row r="424" ht="16" customHeight="1">
      <x:c r="A424" s="1"/>
      <x:c r="B424" s="1"/>
      <x:c r="C424" s="1" t="str">
        <x:v>Semajes Marketplace</x:v>
      </x:c>
      <x:c r="D424" s="10" t="n">
        <x:v>11</x:v>
      </x:c>
      <x:c r="E424" s="10" t="n">
        <x:f>SUMIF('Revenue and costs'!$D$1288:$D$1415,C424,'Revenue and costs'!N1288:N1415)</x:f>
        <x:v>59309.54349262039</x:v>
      </x:c>
      <x:c r="F424" s="10" t="n">
        <x:f>SUMIF('Revenue and costs'!$D$1288:$D$1415,C424,'Revenue and costs'!O1288:O1415)+SUMIF('Revenue and costs'!$D$1288:$D$1415,C424,'Revenue and costs'!P1288:P1415)+SUMIF('Revenue and costs'!$D$1288:$D$1415,C424,'Revenue and costs'!Q1288:Q1415)+SUMIF('Revenue and costs'!$D$1288:$D$1415,C424,'Revenue and costs'!R1288:R1415)+SUMIF('Revenue and costs'!$D$1288:$D$1415,C424,'Revenue and costs'!S1288:S1415)+SUMIF('Revenue and costs'!$D$1288:$D$1415,C424,'Revenue and costs'!T1288:T1415)+SUMIF('Revenue and costs'!$D$1288:$D$1415,C424,'Revenue and costs'!U1288:U1415)+SUMIF('Revenue and costs'!$D$1288:$D$1415,C424,'Revenue and costs'!V1288:V1415)+SUMIF('Revenue and costs'!$D$1288:$D$1415,C424,'Revenue and costs'!AE1288:AE1415)</x:f>
        <x:v>29349.15296238813</x:v>
      </x:c>
      <x:c r="G424" s="10" t="n">
        <x:f>IF('Income statement'!N50=0,1/39,E424/'Income statement'!N50)*('Shared costs'!R21+'Assumptions'!$D$18*'Assumptions'!$D$19*12*(1+'Assumptions'!$D$13)^(11-1)*'Assumptions'!$D$21)</x:f>
        <x:v>2582.170313786592</x:v>
      </x:c>
      <x:c r="H424" s="10" t="n">
        <x:f>IF('Income statement'!N50=0,1/39,E424/'Income statement'!N50)*'Cash and capital'!N18</x:f>
        <x:v>12.047813143485605</x:v>
      </x:c>
      <x:c r="I424" s="10" t="n">
        <x:f>E424-F424-G424-H424</x:f>
        <x:v>27366.172403302182</x:v>
      </x:c>
      <x:c r="J424" s="10" t="n">
        <x:f>M385</x:f>
        <x:v>0</x:v>
      </x:c>
      <x:c r="K424" s="10" t="n">
        <x:f>MAX(0,I424-J424)</x:f>
        <x:v>27366.172403302182</x:v>
      </x:c>
      <x:c r="L424" s="10" t="n">
        <x:f>K424*'Assumptions'!$D$12</x:f>
        <x:v>6841.5431008255455</x:v>
      </x:c>
      <x:c r="M424" s="10" t="n">
        <x:f>MAX(0,J424-I424)</x:f>
        <x:v>0</x:v>
      </x:c>
    </x:row>
    <x:row r="425" ht="16" customHeight="1">
      <x:c r="A425" s="1"/>
      <x:c r="B425" s="1"/>
      <x:c r="C425" s="1" t="str">
        <x:v>Semajes premium and media</x:v>
      </x:c>
      <x:c r="D425" s="10" t="n">
        <x:v>11</x:v>
      </x:c>
      <x:c r="E425" s="10" t="n">
        <x:f>SUMIF('Revenue and costs'!$D$1288:$D$1415,C425,'Revenue and costs'!N1288:N1415)</x:f>
        <x:v>41372.41398769005</x:v>
      </x:c>
      <x:c r="F425" s="10" t="n">
        <x:f>SUMIF('Revenue and costs'!$D$1288:$D$1415,C425,'Revenue and costs'!O1288:O1415)+SUMIF('Revenue and costs'!$D$1288:$D$1415,C425,'Revenue and costs'!P1288:P1415)+SUMIF('Revenue and costs'!$D$1288:$D$1415,C425,'Revenue and costs'!Q1288:Q1415)+SUMIF('Revenue and costs'!$D$1288:$D$1415,C425,'Revenue and costs'!R1288:R1415)+SUMIF('Revenue and costs'!$D$1288:$D$1415,C425,'Revenue and costs'!S1288:S1415)+SUMIF('Revenue and costs'!$D$1288:$D$1415,C425,'Revenue and costs'!T1288:T1415)+SUMIF('Revenue and costs'!$D$1288:$D$1415,C425,'Revenue and costs'!U1288:U1415)+SUMIF('Revenue and costs'!$D$1288:$D$1415,C425,'Revenue and costs'!V1288:V1415)+SUMIF('Revenue and costs'!$D$1288:$D$1415,C425,'Revenue and costs'!AE1288:AE1415)</x:f>
        <x:v>22952.817067786236</x:v>
      </x:c>
      <x:c r="G425" s="10" t="n">
        <x:f>IF('Income statement'!N50=0,1/39,E425/'Income statement'!N50)*('Shared costs'!R21+'Assumptions'!$D$18*'Assumptions'!$D$19*12*(1+'Assumptions'!$D$13)^(11-1)*'Assumptions'!$D$21)</x:f>
        <x:v>1801.2382648332955</x:v>
      </x:c>
      <x:c r="H425" s="10" t="n">
        <x:f>IF('Income statement'!N50=0,1/39,E425/'Income statement'!N50)*'Cash and capital'!N18</x:f>
        <x:v>8.404163709009822</x:v>
      </x:c>
      <x:c r="I425" s="10" t="n">
        <x:f>E425-F425-G425-H425</x:f>
        <x:v>16609.95449136151</x:v>
      </x:c>
      <x:c r="J425" s="10" t="n">
        <x:f>M386</x:f>
        <x:v>0</x:v>
      </x:c>
      <x:c r="K425" s="10" t="n">
        <x:f>MAX(0,I425-J425)</x:f>
        <x:v>16609.95449136151</x:v>
      </x:c>
      <x:c r="L425" s="10" t="n">
        <x:f>K425*'Assumptions'!$D$12</x:f>
        <x:v>4152.4886228403775</x:v>
      </x:c>
      <x:c r="M425" s="10" t="n">
        <x:f>MAX(0,J425-I425)</x:f>
        <x:v>0</x:v>
      </x:c>
    </x:row>
    <x:row r="426" ht="16" customHeight="1">
      <x:c r="A426" s="1"/>
      <x:c r="B426" s="1"/>
      <x:c r="C426" s="1" t="str">
        <x:v>Semajes courses</x:v>
      </x:c>
      <x:c r="D426" s="10" t="n">
        <x:v>11</x:v>
      </x:c>
      <x:c r="E426" s="10" t="n">
        <x:f>SUMIF('Revenue and costs'!$D$1288:$D$1415,C426,'Revenue and costs'!N1288:N1415)</x:f>
        <x:v>22891.011325490086</x:v>
      </x:c>
      <x:c r="F426" s="10" t="n">
        <x:f>SUMIF('Revenue and costs'!$D$1288:$D$1415,C426,'Revenue and costs'!O1288:O1415)+SUMIF('Revenue and costs'!$D$1288:$D$1415,C426,'Revenue and costs'!P1288:P1415)+SUMIF('Revenue and costs'!$D$1288:$D$1415,C426,'Revenue and costs'!Q1288:Q1415)+SUMIF('Revenue and costs'!$D$1288:$D$1415,C426,'Revenue and costs'!R1288:R1415)+SUMIF('Revenue and costs'!$D$1288:$D$1415,C426,'Revenue and costs'!S1288:S1415)+SUMIF('Revenue and costs'!$D$1288:$D$1415,C426,'Revenue and costs'!T1288:T1415)+SUMIF('Revenue and costs'!$D$1288:$D$1415,C426,'Revenue and costs'!U1288:U1415)+SUMIF('Revenue and costs'!$D$1288:$D$1415,C426,'Revenue and costs'!V1288:V1415)+SUMIF('Revenue and costs'!$D$1288:$D$1415,C426,'Revenue and costs'!AE1288:AE1415)</x:f>
        <x:v>7481.518610839863</x:v>
      </x:c>
      <x:c r="G426" s="10" t="n">
        <x:f>IF('Income statement'!N50=0,1/39,E426/'Income statement'!N50)*('Shared costs'!R21+'Assumptions'!$D$18*'Assumptions'!$D$19*12*(1+'Assumptions'!$D$13)^(11-1)*'Assumptions'!$D$21)</x:f>
        <x:v>996.6100970678989</x:v>
      </x:c>
      <x:c r="H426" s="10" t="n">
        <x:f>IF('Income statement'!N50=0,1/39,E426/'Income statement'!N50)*'Cash and capital'!N18</x:f>
        <x:v>4.649953630973945</x:v>
      </x:c>
      <x:c r="I426" s="10" t="n">
        <x:f>E426-F426-G426-H426</x:f>
        <x:v>14408.23266395135</x:v>
      </x:c>
      <x:c r="J426" s="10" t="n">
        <x:f>M387</x:f>
        <x:v>0</x:v>
      </x:c>
      <x:c r="K426" s="10" t="n">
        <x:f>MAX(0,I426-J426)</x:f>
        <x:v>14408.23266395135</x:v>
      </x:c>
      <x:c r="L426" s="10" t="n">
        <x:f>K426*'Assumptions'!$D$12</x:f>
        <x:v>3602.0581659878376</x:v>
      </x:c>
      <x:c r="M426" s="10" t="n">
        <x:f>MAX(0,J426-I426)</x:f>
        <x:v>0</x:v>
      </x:c>
    </x:row>
    <x:row r="427" ht="16" customHeight="1">
      <x:c r="A427" s="1"/>
      <x:c r="B427" s="1"/>
      <x:c r="C427" s="1" t="str">
        <x:v>Sleepy Face</x:v>
      </x:c>
      <x:c r="D427" s="10" t="n">
        <x:v>11</x:v>
      </x:c>
      <x:c r="E427" s="10" t="n">
        <x:f>SUMIF('Revenue and costs'!$D$1288:$D$1415,C427,'Revenue and costs'!N1288:N1415)</x:f>
        <x:v>293160.50157775346</x:v>
      </x:c>
      <x:c r="F427" s="10" t="n">
        <x:f>SUMIF('Revenue and costs'!$D$1288:$D$1415,C427,'Revenue and costs'!O1288:O1415)+SUMIF('Revenue and costs'!$D$1288:$D$1415,C427,'Revenue and costs'!P1288:P1415)+SUMIF('Revenue and costs'!$D$1288:$D$1415,C427,'Revenue and costs'!Q1288:Q1415)+SUMIF('Revenue and costs'!$D$1288:$D$1415,C427,'Revenue and costs'!R1288:R1415)+SUMIF('Revenue and costs'!$D$1288:$D$1415,C427,'Revenue and costs'!S1288:S1415)+SUMIF('Revenue and costs'!$D$1288:$D$1415,C427,'Revenue and costs'!T1288:T1415)+SUMIF('Revenue and costs'!$D$1288:$D$1415,C427,'Revenue and costs'!U1288:U1415)+SUMIF('Revenue and costs'!$D$1288:$D$1415,C427,'Revenue and costs'!V1288:V1415)+SUMIF('Revenue and costs'!$D$1288:$D$1415,C427,'Revenue and costs'!AE1288:AE1415)</x:f>
        <x:v>188944.9331362354</x:v>
      </x:c>
      <x:c r="G427" s="10" t="n">
        <x:f>IF('Income statement'!N50=0,1/39,E427/'Income statement'!N50)*('Shared costs'!R21+'Assumptions'!$D$18*'Assumptions'!$D$19*12*(1+'Assumptions'!$D$13)^(11-1)*'Assumptions'!$D$21)</x:f>
        <x:v>12763.381738776177</x:v>
      </x:c>
      <x:c r="H427" s="10" t="n">
        <x:f>IF('Income statement'!N50=0,1/39,E427/'Income statement'!N50)*'Cash and capital'!N18</x:f>
        <x:v>59.55100538750149</x:v>
      </x:c>
      <x:c r="I427" s="10" t="n">
        <x:f>E427-F427-G427-H427</x:f>
        <x:v>91392.63569735437</x:v>
      </x:c>
      <x:c r="J427" s="10" t="n">
        <x:f>M388</x:f>
        <x:v>0</x:v>
      </x:c>
      <x:c r="K427" s="10" t="n">
        <x:f>MAX(0,I427-J427)</x:f>
        <x:v>91392.63569735437</x:v>
      </x:c>
      <x:c r="L427" s="10" t="n">
        <x:f>K427*'Assumptions'!$D$12</x:f>
        <x:v>22848.158924338593</x:v>
      </x:c>
      <x:c r="M427" s="10" t="n">
        <x:f>MAX(0,J427-I427)</x:f>
        <x:v>0</x:v>
      </x:c>
    </x:row>
    <x:row r="428" ht="16" customHeight="1">
      <x:c r="A428" s="1"/>
      <x:c r="B428" s="1"/>
      <x:c r="C428" s="1" t="str">
        <x:v>QzoticMusic</x:v>
      </x:c>
      <x:c r="D428" s="10" t="n">
        <x:v>11</x:v>
      </x:c>
      <x:c r="E428" s="10" t="n">
        <x:f>SUMIF('Revenue and costs'!$D$1288:$D$1415,C428,'Revenue and costs'!N1288:N1415)</x:f>
        <x:v>25652.723555221477</x:v>
      </x:c>
      <x:c r="F428" s="10" t="n">
        <x:f>SUMIF('Revenue and costs'!$D$1288:$D$1415,C428,'Revenue and costs'!O1288:O1415)+SUMIF('Revenue and costs'!$D$1288:$D$1415,C428,'Revenue and costs'!P1288:P1415)+SUMIF('Revenue and costs'!$D$1288:$D$1415,C428,'Revenue and costs'!Q1288:Q1415)+SUMIF('Revenue and costs'!$D$1288:$D$1415,C428,'Revenue and costs'!R1288:R1415)+SUMIF('Revenue and costs'!$D$1288:$D$1415,C428,'Revenue and costs'!S1288:S1415)+SUMIF('Revenue and costs'!$D$1288:$D$1415,C428,'Revenue and costs'!T1288:T1415)+SUMIF('Revenue and costs'!$D$1288:$D$1415,C428,'Revenue and costs'!U1288:U1415)+SUMIF('Revenue and costs'!$D$1288:$D$1415,C428,'Revenue and costs'!V1288:V1415)+SUMIF('Revenue and costs'!$D$1288:$D$1415,C428,'Revenue and costs'!AE1288:AE1415)</x:f>
        <x:v>28701.811251703028</x:v>
      </x:c>
      <x:c r="G428" s="10" t="n">
        <x:f>IF('Income statement'!N50=0,1/39,E428/'Income statement'!N50)*('Shared costs'!R21+'Assumptions'!$D$18*'Assumptions'!$D$19*12*(1+'Assumptions'!$D$13)^(11-1)*'Assumptions'!$D$21)</x:f>
        <x:v>1116.8472615256067</x:v>
      </x:c>
      <x:c r="H428" s="10" t="n">
        <x:f>IF('Income statement'!N50=0,1/39,E428/'Income statement'!N50)*'Cash and capital'!N18</x:f>
        <x:v>5.210952602480491</x:v>
      </x:c>
      <x:c r="I428" s="10" t="n">
        <x:f>E428-F428-G428-H428</x:f>
        <x:v>-4171.145910609638</x:v>
      </x:c>
      <x:c r="J428" s="10" t="n">
        <x:f>M389</x:f>
        <x:v>21604.945385394843</x:v>
      </x:c>
      <x:c r="K428" s="10" t="n">
        <x:f>MAX(0,I428-J428)</x:f>
        <x:v>0</x:v>
      </x:c>
      <x:c r="L428" s="10" t="n">
        <x:f>K428*'Assumptions'!$D$12</x:f>
        <x:v>0</x:v>
      </x:c>
      <x:c r="M428" s="10" t="n">
        <x:f>MAX(0,J428-I428)</x:f>
        <x:v>25776.09129600448</x:v>
      </x:c>
    </x:row>
    <x:row r="429" ht="16" customHeight="1">
      <x:c r="A429" s="1"/>
      <x:c r="B429" s="1"/>
      <x:c r="C429" s="1" t="str">
        <x:v>LesPetitFilms</x:v>
      </x:c>
      <x:c r="D429" s="10" t="n">
        <x:v>11</x:v>
      </x:c>
      <x:c r="E429" s="10" t="n">
        <x:f>SUMIF('Revenue and costs'!$D$1288:$D$1415,C429,'Revenue and costs'!N1288:N1415)</x:f>
        <x:v>93614.40473835003</x:v>
      </x:c>
      <x:c r="F429" s="10" t="n">
        <x:f>SUMIF('Revenue and costs'!$D$1288:$D$1415,C429,'Revenue and costs'!O1288:O1415)+SUMIF('Revenue and costs'!$D$1288:$D$1415,C429,'Revenue and costs'!P1288:P1415)+SUMIF('Revenue and costs'!$D$1288:$D$1415,C429,'Revenue and costs'!Q1288:Q1415)+SUMIF('Revenue and costs'!$D$1288:$D$1415,C429,'Revenue and costs'!R1288:R1415)+SUMIF('Revenue and costs'!$D$1288:$D$1415,C429,'Revenue and costs'!S1288:S1415)+SUMIF('Revenue and costs'!$D$1288:$D$1415,C429,'Revenue and costs'!T1288:T1415)+SUMIF('Revenue and costs'!$D$1288:$D$1415,C429,'Revenue and costs'!U1288:U1415)+SUMIF('Revenue and costs'!$D$1288:$D$1415,C429,'Revenue and costs'!V1288:V1415)+SUMIF('Revenue and costs'!$D$1288:$D$1415,C429,'Revenue and costs'!AE1288:AE1415)</x:f>
        <x:v>55314.201230906394</x:v>
      </x:c>
      <x:c r="G429" s="10" t="n">
        <x:f>IF('Income statement'!N50=0,1/39,E429/'Income statement'!N50)*('Shared costs'!R21+'Assumptions'!$D$18*'Assumptions'!$D$19*12*(1+'Assumptions'!$D$13)^(11-1)*'Assumptions'!$D$21)</x:f>
        <x:v>4075.7072576059786</x:v>
      </x:c>
      <x:c r="H429" s="10" t="n">
        <x:f>IF('Income statement'!N50=0,1/39,E429/'Income statement'!N50)*'Cash and capital'!N18</x:f>
        <x:v>19.016313217224607</x:v>
      </x:c>
      <x:c r="I429" s="10" t="n">
        <x:f>E429-F429-G429-H429</x:f>
        <x:v>34205.47993662043</x:v>
      </x:c>
      <x:c r="J429" s="10" t="n">
        <x:f>M390</x:f>
        <x:v>0</x:v>
      </x:c>
      <x:c r="K429" s="10" t="n">
        <x:f>MAX(0,I429-J429)</x:f>
        <x:v>34205.47993662043</x:v>
      </x:c>
      <x:c r="L429" s="10" t="n">
        <x:f>K429*'Assumptions'!$D$12</x:f>
        <x:v>8551.369984155108</x:v>
      </x:c>
      <x:c r="M429" s="10" t="n">
        <x:f>MAX(0,J429-I429)</x:f>
        <x:v>0</x:v>
      </x:c>
    </x:row>
    <x:row r="430" ht="16" customHeight="1">
      <x:c r="A430" s="1"/>
      <x:c r="B430" s="1"/>
      <x:c r="C430" s="1" t="str">
        <x:v>Learn Anglais</x:v>
      </x:c>
      <x:c r="D430" s="10" t="n">
        <x:v>11</x:v>
      </x:c>
      <x:c r="E430" s="10" t="n">
        <x:f>SUMIF('Revenue and costs'!$D$1288:$D$1415,C430,'Revenue and costs'!N1288:N1415)</x:f>
        <x:v>97711.5908814755</x:v>
      </x:c>
      <x:c r="F430" s="10" t="n">
        <x:f>SUMIF('Revenue and costs'!$D$1288:$D$1415,C430,'Revenue and costs'!O1288:O1415)+SUMIF('Revenue and costs'!$D$1288:$D$1415,C430,'Revenue and costs'!P1288:P1415)+SUMIF('Revenue and costs'!$D$1288:$D$1415,C430,'Revenue and costs'!Q1288:Q1415)+SUMIF('Revenue and costs'!$D$1288:$D$1415,C430,'Revenue and costs'!R1288:R1415)+SUMIF('Revenue and costs'!$D$1288:$D$1415,C430,'Revenue and costs'!S1288:S1415)+SUMIF('Revenue and costs'!$D$1288:$D$1415,C430,'Revenue and costs'!T1288:T1415)+SUMIF('Revenue and costs'!$D$1288:$D$1415,C430,'Revenue and costs'!U1288:U1415)+SUMIF('Revenue and costs'!$D$1288:$D$1415,C430,'Revenue and costs'!V1288:V1415)+SUMIF('Revenue and costs'!$D$1288:$D$1415,C430,'Revenue and costs'!AE1288:AE1415)</x:f>
        <x:v>60521.915684593354</x:v>
      </x:c>
      <x:c r="G430" s="10" t="n">
        <x:f>IF('Income statement'!N50=0,1/39,E430/'Income statement'!N50)*('Shared costs'!R21+'Assumptions'!$D$18*'Assumptions'!$D$19*12*(1+'Assumptions'!$D$13)^(11-1)*'Assumptions'!$D$21)</x:f>
        <x:v>4254.087191185348</x:v>
      </x:c>
      <x:c r="H430" s="10" t="n">
        <x:f>IF('Income statement'!N50=0,1/39,E430/'Income statement'!N50)*'Cash and capital'!N18</x:f>
        <x:v>19.848592984688942</x:v>
      </x:c>
      <x:c r="I430" s="10" t="n">
        <x:f>E430-F430-G430-H430</x:f>
        <x:v>32915.73941271211</x:v>
      </x:c>
      <x:c r="J430" s="10" t="n">
        <x:f>M391</x:f>
        <x:v>0</x:v>
      </x:c>
      <x:c r="K430" s="10" t="n">
        <x:f>MAX(0,I430-J430)</x:f>
        <x:v>32915.73941271211</x:v>
      </x:c>
      <x:c r="L430" s="10" t="n">
        <x:f>K430*'Assumptions'!$D$12</x:f>
        <x:v>8228.934853178027</x:v>
      </x:c>
      <x:c r="M430" s="10" t="n">
        <x:f>MAX(0,J430-I430)</x:f>
        <x:v>0</x:v>
      </x:c>
    </x:row>
    <x:row r="431" ht="16" customHeight="1">
      <x:c r="A431" s="1"/>
      <x:c r="B431" s="1"/>
      <x:c r="C431" s="1" t="str">
        <x:v>Fiefé</x:v>
      </x:c>
      <x:c r="D431" s="10" t="n">
        <x:v>11</x:v>
      </x:c>
      <x:c r="E431" s="10" t="n">
        <x:f>SUMIF('Revenue and costs'!$D$1288:$D$1415,C431,'Revenue and costs'!N1288:N1415)</x:f>
        <x:v>68980.93746615425</x:v>
      </x:c>
      <x:c r="F431" s="10" t="n">
        <x:f>SUMIF('Revenue and costs'!$D$1288:$D$1415,C431,'Revenue and costs'!O1288:O1415)+SUMIF('Revenue and costs'!$D$1288:$D$1415,C431,'Revenue and costs'!P1288:P1415)+SUMIF('Revenue and costs'!$D$1288:$D$1415,C431,'Revenue and costs'!Q1288:Q1415)+SUMIF('Revenue and costs'!$D$1288:$D$1415,C431,'Revenue and costs'!R1288:R1415)+SUMIF('Revenue and costs'!$D$1288:$D$1415,C431,'Revenue and costs'!S1288:S1415)+SUMIF('Revenue and costs'!$D$1288:$D$1415,C431,'Revenue and costs'!T1288:T1415)+SUMIF('Revenue and costs'!$D$1288:$D$1415,C431,'Revenue and costs'!U1288:U1415)+SUMIF('Revenue and costs'!$D$1288:$D$1415,C431,'Revenue and costs'!V1288:V1415)+SUMIF('Revenue and costs'!$D$1288:$D$1415,C431,'Revenue and costs'!AE1288:AE1415)</x:f>
        <x:v>55469.06433276208</x:v>
      </x:c>
      <x:c r="G431" s="10" t="n">
        <x:f>IF('Income statement'!N50=0,1/39,E431/'Income statement'!N50)*('Shared costs'!R21+'Assumptions'!$D$18*'Assumptions'!$D$19*12*(1+'Assumptions'!$D$13)^(11-1)*'Assumptions'!$D$21)</x:f>
        <x:v>3003.2355410800888</x:v>
      </x:c>
      <x:c r="H431" s="10" t="n">
        <x:f>IF('Income statement'!N50=0,1/39,E431/'Income statement'!N50)*'Cash and capital'!N18</x:f>
        <x:v>14.012406707498904</x:v>
      </x:c>
      <x:c r="I431" s="10" t="n">
        <x:f>E431-F431-G431-H431</x:f>
        <x:v>10494.625185604587</x:v>
      </x:c>
      <x:c r="J431" s="10" t="n">
        <x:f>M392</x:f>
        <x:v>0</x:v>
      </x:c>
      <x:c r="K431" s="10" t="n">
        <x:f>MAX(0,I431-J431)</x:f>
        <x:v>10494.625185604587</x:v>
      </x:c>
      <x:c r="L431" s="10" t="n">
        <x:f>K431*'Assumptions'!$D$12</x:f>
        <x:v>2623.656296401147</x:v>
      </x:c>
      <x:c r="M431" s="10" t="n">
        <x:f>MAX(0,J431-I431)</x:f>
        <x:v>0</x:v>
      </x:c>
    </x:row>
    <x:row r="432" ht="16" customHeight="1">
      <x:c r="A432" s="1"/>
      <x:c r="B432" s="1"/>
      <x:c r="C432" s="1" t="str">
        <x:v>Fiefé Design</x:v>
      </x:c>
      <x:c r="D432" s="10" t="n">
        <x:v>11</x:v>
      </x:c>
      <x:c r="E432" s="10" t="n">
        <x:f>SUMIF('Revenue and costs'!$D$1288:$D$1415,C432,'Revenue and costs'!N1288:N1415)</x:f>
        <x:v>42978.7772374793</x:v>
      </x:c>
      <x:c r="F432" s="10" t="n">
        <x:f>SUMIF('Revenue and costs'!$D$1288:$D$1415,C432,'Revenue and costs'!O1288:O1415)+SUMIF('Revenue and costs'!$D$1288:$D$1415,C432,'Revenue and costs'!P1288:P1415)+SUMIF('Revenue and costs'!$D$1288:$D$1415,C432,'Revenue and costs'!Q1288:Q1415)+SUMIF('Revenue and costs'!$D$1288:$D$1415,C432,'Revenue and costs'!R1288:R1415)+SUMIF('Revenue and costs'!$D$1288:$D$1415,C432,'Revenue and costs'!S1288:S1415)+SUMIF('Revenue and costs'!$D$1288:$D$1415,C432,'Revenue and costs'!T1288:T1415)+SUMIF('Revenue and costs'!$D$1288:$D$1415,C432,'Revenue and costs'!U1288:U1415)+SUMIF('Revenue and costs'!$D$1288:$D$1415,C432,'Revenue and costs'!V1288:V1415)+SUMIF('Revenue and costs'!$D$1288:$D$1415,C432,'Revenue and costs'!AE1288:AE1415)</x:f>
        <x:v>32376.66381337529</x:v>
      </x:c>
      <x:c r="G432" s="10" t="n">
        <x:f>IF('Income statement'!N50=0,1/39,E432/'Income statement'!N50)*('Shared costs'!R21+'Assumptions'!$D$18*'Assumptions'!$D$19*12*(1+'Assumptions'!$D$13)^(11-1)*'Assumptions'!$D$21)</x:f>
        <x:v>1871.1747919502116</x:v>
      </x:c>
      <x:c r="H432" s="10" t="n">
        <x:f>IF('Income statement'!N50=0,1/39,E432/'Income statement'!N50)*'Cash and capital'!N18</x:f>
        <x:v>8.730471468846671</x:v>
      </x:c>
      <x:c r="I432" s="10" t="n">
        <x:f>E432-F432-G432-H432</x:f>
        <x:v>8722.20816068495</x:v>
      </x:c>
      <x:c r="J432" s="10" t="n">
        <x:f>M393</x:f>
        <x:v>0</x:v>
      </x:c>
      <x:c r="K432" s="10" t="n">
        <x:f>MAX(0,I432-J432)</x:f>
        <x:v>8722.20816068495</x:v>
      </x:c>
      <x:c r="L432" s="10" t="n">
        <x:f>K432*'Assumptions'!$D$12</x:f>
        <x:v>2180.5520401712374</x:v>
      </x:c>
      <x:c r="M432" s="10" t="n">
        <x:f>MAX(0,J432-I432)</x:f>
        <x:v>0</x:v>
      </x:c>
    </x:row>
    <x:row r="433" ht="16" customHeight="1">
      <x:c r="A433" s="1"/>
      <x:c r="B433" s="1"/>
      <x:c r="C433" s="1" t="str">
        <x:v>OsezArt</x:v>
      </x:c>
      <x:c r="D433" s="10" t="n">
        <x:v>11</x:v>
      </x:c>
      <x:c r="E433" s="10" t="n">
        <x:f>SUMIF('Revenue and costs'!$D$1288:$D$1415,C433,'Revenue and costs'!N1288:N1415)</x:f>
        <x:v>168520.44353430407</x:v>
      </x:c>
      <x:c r="F433" s="10" t="n">
        <x:f>SUMIF('Revenue and costs'!$D$1288:$D$1415,C433,'Revenue and costs'!O1288:O1415)+SUMIF('Revenue and costs'!$D$1288:$D$1415,C433,'Revenue and costs'!P1288:P1415)+SUMIF('Revenue and costs'!$D$1288:$D$1415,C433,'Revenue and costs'!Q1288:Q1415)+SUMIF('Revenue and costs'!$D$1288:$D$1415,C433,'Revenue and costs'!R1288:R1415)+SUMIF('Revenue and costs'!$D$1288:$D$1415,C433,'Revenue and costs'!S1288:S1415)+SUMIF('Revenue and costs'!$D$1288:$D$1415,C433,'Revenue and costs'!T1288:T1415)+SUMIF('Revenue and costs'!$D$1288:$D$1415,C433,'Revenue and costs'!U1288:U1415)+SUMIF('Revenue and costs'!$D$1288:$D$1415,C433,'Revenue and costs'!V1288:V1415)+SUMIF('Revenue and costs'!$D$1288:$D$1415,C433,'Revenue and costs'!AE1288:AE1415)</x:f>
        <x:v>94024.9503439441</x:v>
      </x:c>
      <x:c r="G433" s="10" t="n">
        <x:f>IF('Income statement'!N50=0,1/39,E433/'Income statement'!N50)*('Shared costs'!R21+'Assumptions'!$D$18*'Assumptions'!$D$19*12*(1+'Assumptions'!$D$13)^(11-1)*'Assumptions'!$D$21)</x:f>
        <x:v>7336.905006098609</x:v>
      </x:c>
      <x:c r="H433" s="10" t="n">
        <x:f>IF('Income statement'!N50=0,1/39,E433/'Income statement'!N50)*'Cash and capital'!N18</x:f>
        <x:v>34.23231228902029</x:v>
      </x:c>
      <x:c r="I433" s="10" t="n">
        <x:f>E433-F433-G433-H433</x:f>
        <x:v>67124.35587197234</x:v>
      </x:c>
      <x:c r="J433" s="10" t="n">
        <x:f>M394</x:f>
        <x:v>0</x:v>
      </x:c>
      <x:c r="K433" s="10" t="n">
        <x:f>MAX(0,I433-J433)</x:f>
        <x:v>67124.35587197234</x:v>
      </x:c>
      <x:c r="L433" s="10" t="n">
        <x:f>K433*'Assumptions'!$D$12</x:f>
        <x:v>16781.088967993084</x:v>
      </x:c>
      <x:c r="M433" s="10" t="n">
        <x:f>MAX(0,J433-I433)</x:f>
        <x:v>0</x:v>
      </x:c>
    </x:row>
    <x:row r="434" ht="16" customHeight="1">
      <x:c r="A434" s="1"/>
      <x:c r="B434" s="1"/>
      <x:c r="C434" s="1" t="str">
        <x:v>FinBot research</x:v>
      </x:c>
      <x:c r="D434" s="10" t="n">
        <x:v>11</x:v>
      </x:c>
      <x:c r="E434" s="10" t="n">
        <x:f>SUMIF('Revenue and costs'!$D$1288:$D$1415,C434,'Revenue and costs'!N1288:N1415)</x:f>
        <x:v>8510.75963996182</x:v>
      </x:c>
      <x:c r="F434" s="10" t="n">
        <x:f>SUMIF('Revenue and costs'!$D$1288:$D$1415,C434,'Revenue and costs'!O1288:O1415)+SUMIF('Revenue and costs'!$D$1288:$D$1415,C434,'Revenue and costs'!P1288:P1415)+SUMIF('Revenue and costs'!$D$1288:$D$1415,C434,'Revenue and costs'!Q1288:Q1415)+SUMIF('Revenue and costs'!$D$1288:$D$1415,C434,'Revenue and costs'!R1288:R1415)+SUMIF('Revenue and costs'!$D$1288:$D$1415,C434,'Revenue and costs'!S1288:S1415)+SUMIF('Revenue and costs'!$D$1288:$D$1415,C434,'Revenue and costs'!T1288:T1415)+SUMIF('Revenue and costs'!$D$1288:$D$1415,C434,'Revenue and costs'!U1288:U1415)+SUMIF('Revenue and costs'!$D$1288:$D$1415,C434,'Revenue and costs'!V1288:V1415)+SUMIF('Revenue and costs'!$D$1288:$D$1415,C434,'Revenue and costs'!AE1288:AE1415)</x:f>
        <x:v>5079.657832716474</x:v>
      </x:c>
      <x:c r="G434" s="10" t="n">
        <x:f>IF('Income statement'!N50=0,1/39,E434/'Income statement'!N50)*('Shared costs'!R21+'Assumptions'!$D$18*'Assumptions'!$D$19*12*(1+'Assumptions'!$D$13)^(11-1)*'Assumptions'!$D$21)</x:f>
        <x:v>370.53448055652086</x:v>
      </x:c>
      <x:c r="H434" s="10" t="n">
        <x:f>IF('Income statement'!N50=0,1/39,E434/'Income statement'!N50)*'Cash and capital'!N18</x:f>
        <x:v>1.7288287147942205</x:v>
      </x:c>
      <x:c r="I434" s="10" t="n">
        <x:f>E434-F434-G434-H434</x:f>
        <x:v>3058.83849797403</x:v>
      </x:c>
      <x:c r="J434" s="10" t="n">
        <x:f>M395</x:f>
        <x:v>0</x:v>
      </x:c>
      <x:c r="K434" s="10" t="n">
        <x:f>MAX(0,I434-J434)</x:f>
        <x:v>3058.83849797403</x:v>
      </x:c>
      <x:c r="L434" s="10" t="n">
        <x:f>K434*'Assumptions'!$D$12</x:f>
        <x:v>764.7096244935075</x:v>
      </x:c>
      <x:c r="M434" s="10" t="n">
        <x:f>MAX(0,J434-I434)</x:f>
        <x:v>0</x:v>
      </x:c>
    </x:row>
    <x:row r="435" ht="16" customHeight="1">
      <x:c r="A435" s="1"/>
      <x:c r="B435" s="1"/>
      <x:c r="C435" s="1" t="str">
        <x:v>Functional Analysis</x:v>
      </x:c>
      <x:c r="D435" s="10" t="n">
        <x:v>11</x:v>
      </x:c>
      <x:c r="E435" s="10" t="n">
        <x:f>SUMIF('Revenue and costs'!$D$1288:$D$1415,C435,'Revenue and costs'!N1288:N1415)</x:f>
        <x:v>18303.749891573294</x:v>
      </x:c>
      <x:c r="F435" s="10" t="n">
        <x:f>SUMIF('Revenue and costs'!$D$1288:$D$1415,C435,'Revenue and costs'!O1288:O1415)+SUMIF('Revenue and costs'!$D$1288:$D$1415,C435,'Revenue and costs'!P1288:P1415)+SUMIF('Revenue and costs'!$D$1288:$D$1415,C435,'Revenue and costs'!Q1288:Q1415)+SUMIF('Revenue and costs'!$D$1288:$D$1415,C435,'Revenue and costs'!R1288:R1415)+SUMIF('Revenue and costs'!$D$1288:$D$1415,C435,'Revenue and costs'!S1288:S1415)+SUMIF('Revenue and costs'!$D$1288:$D$1415,C435,'Revenue and costs'!T1288:T1415)+SUMIF('Revenue and costs'!$D$1288:$D$1415,C435,'Revenue and costs'!U1288:U1415)+SUMIF('Revenue and costs'!$D$1288:$D$1415,C435,'Revenue and costs'!V1288:V1415)+SUMIF('Revenue and costs'!$D$1288:$D$1415,C435,'Revenue and costs'!AE1288:AE1415)</x:f>
        <x:v>9794.402017199898</x:v>
      </x:c>
      <x:c r="G435" s="10" t="n">
        <x:f>IF('Income statement'!N50=0,1/39,E435/'Income statement'!N50)*('Shared costs'!R21+'Assumptions'!$D$18*'Assumptions'!$D$19*12*(1+'Assumptions'!$D$13)^(11-1)*'Assumptions'!$D$21)</x:f>
        <x:v>796.893666984233</x:v>
      </x:c>
      <x:c r="H435" s="10" t="n">
        <x:f>IF('Income statement'!N50=0,1/39,E435/'Income statement'!N50)*'Cash and capital'!N18</x:f>
        <x:v>3.718122675252226</x:v>
      </x:c>
      <x:c r="I435" s="10" t="n">
        <x:f>E435-F435-G435-H435</x:f>
        <x:v>7708.736084713911</x:v>
      </x:c>
      <x:c r="J435" s="10" t="n">
        <x:f>M396</x:f>
        <x:v>0</x:v>
      </x:c>
      <x:c r="K435" s="10" t="n">
        <x:f>MAX(0,I435-J435)</x:f>
        <x:v>7708.736084713911</x:v>
      </x:c>
      <x:c r="L435" s="10" t="n">
        <x:f>K435*'Assumptions'!$D$12</x:f>
        <x:v>1927.1840211784777</x:v>
      </x:c>
      <x:c r="M435" s="10" t="n">
        <x:f>MAX(0,J435-I435)</x:f>
        <x:v>0</x:v>
      </x:c>
    </x:row>
    <x:row r="436" ht="16" customHeight="1">
      <x:c r="A436" s="1"/>
      <x:c r="B436" s="1"/>
      <x:c r="C436" s="1" t="str">
        <x:v>Independent candy game</x:v>
      </x:c>
      <x:c r="D436" s="10" t="n">
        <x:v>11</x:v>
      </x:c>
      <x:c r="E436" s="10" t="n">
        <x:f>SUMIF('Revenue and costs'!$D$1288:$D$1415,C436,'Revenue and costs'!N1288:N1415)</x:f>
        <x:v>7322.188035070601</x:v>
      </x:c>
      <x:c r="F436" s="10" t="n">
        <x:f>SUMIF('Revenue and costs'!$D$1288:$D$1415,C436,'Revenue and costs'!O1288:O1415)+SUMIF('Revenue and costs'!$D$1288:$D$1415,C436,'Revenue and costs'!P1288:P1415)+SUMIF('Revenue and costs'!$D$1288:$D$1415,C436,'Revenue and costs'!Q1288:Q1415)+SUMIF('Revenue and costs'!$D$1288:$D$1415,C436,'Revenue and costs'!R1288:R1415)+SUMIF('Revenue and costs'!$D$1288:$D$1415,C436,'Revenue and costs'!S1288:S1415)+SUMIF('Revenue and costs'!$D$1288:$D$1415,C436,'Revenue and costs'!T1288:T1415)+SUMIF('Revenue and costs'!$D$1288:$D$1415,C436,'Revenue and costs'!U1288:U1415)+SUMIF('Revenue and costs'!$D$1288:$D$1415,C436,'Revenue and costs'!V1288:V1415)+SUMIF('Revenue and costs'!$D$1288:$D$1415,C436,'Revenue and costs'!AE1288:AE1415)</x:f>
        <x:v>7128.107169695565</x:v>
      </x:c>
      <x:c r="G436" s="10" t="n">
        <x:f>IF('Income statement'!N50=0,1/39,E436/'Income statement'!N50)*('Shared costs'!R21+'Assumptions'!$D$18*'Assumptions'!$D$19*12*(1+'Assumptions'!$D$13)^(11-1)*'Assumptions'!$D$21)</x:f>
        <x:v>318.78742378914467</x:v>
      </x:c>
      <x:c r="H436" s="10" t="n">
        <x:f>IF('Income statement'!N50=0,1/39,E436/'Income statement'!N50)*'Cash and capital'!N18</x:f>
        <x:v>1.4873888425557173</x:v>
      </x:c>
      <x:c r="I436" s="10" t="n">
        <x:f>E436-F436-G436-H436</x:f>
        <x:v>-126.19394725666488</x:v>
      </x:c>
      <x:c r="J436" s="10" t="n">
        <x:f>M397</x:f>
        <x:v>69.9215739318102</x:v>
      </x:c>
      <x:c r="K436" s="10" t="n">
        <x:f>MAX(0,I436-J436)</x:f>
        <x:v>0</x:v>
      </x:c>
      <x:c r="L436" s="10" t="n">
        <x:f>K436*'Assumptions'!$D$12</x:f>
        <x:v>0</x:v>
      </x:c>
      <x:c r="M436" s="10" t="n">
        <x:f>MAX(0,J436-I436)</x:f>
        <x:v>196.1155211884751</x:v>
      </x:c>
    </x:row>
    <x:row r="437" ht="16" customHeight="1">
      <x:c r="A437" s="1"/>
      <x:c r="B437" s="1"/>
      <x:c r="C437" s="1" t="str">
        <x:v>ETV courses</x:v>
      </x:c>
      <x:c r="D437" s="10" t="n">
        <x:v>12</x:v>
      </x:c>
      <x:c r="E437" s="10" t="n">
        <x:f>SUMIF('Revenue and costs'!$D$1416:$D$1543,C437,'Revenue and costs'!N1416:N1543)</x:f>
        <x:v>52460.804242120685</x:v>
      </x:c>
      <x:c r="F437" s="10" t="n">
        <x:f>SUMIF('Revenue and costs'!$D$1416:$D$1543,C437,'Revenue and costs'!O1416:O1543)+SUMIF('Revenue and costs'!$D$1416:$D$1543,C437,'Revenue and costs'!P1416:P1543)+SUMIF('Revenue and costs'!$D$1416:$D$1543,C437,'Revenue and costs'!Q1416:Q1543)+SUMIF('Revenue and costs'!$D$1416:$D$1543,C437,'Revenue and costs'!R1416:R1543)+SUMIF('Revenue and costs'!$D$1416:$D$1543,C437,'Revenue and costs'!S1416:S1543)+SUMIF('Revenue and costs'!$D$1416:$D$1543,C437,'Revenue and costs'!T1416:T1543)+SUMIF('Revenue and costs'!$D$1416:$D$1543,C437,'Revenue and costs'!U1416:U1543)+SUMIF('Revenue and costs'!$D$1416:$D$1543,C437,'Revenue and costs'!V1416:V1543)+SUMIF('Revenue and costs'!$D$1416:$D$1543,C437,'Revenue and costs'!AE1416:AE1543)</x:f>
        <x:v>19671.486456306702</x:v>
      </x:c>
      <x:c r="G437" s="10" t="n">
        <x:f>IF('Income statement'!O50=0,1/39,E437/'Income statement'!O50)*('Shared costs'!S21+'Assumptions'!$D$18*'Assumptions'!$D$19*12*(1+'Assumptions'!$D$13)^(12-1)*'Assumptions'!$D$21)</x:f>
        <x:v>2342.054768275354</x:v>
      </x:c>
      <x:c r="H437" s="10" t="n">
        <x:f>IF('Income statement'!O50=0,1/39,E437/'Income statement'!O50)*'Cash and capital'!O18</x:f>
        <x:v>10.17526607871602</x:v>
      </x:c>
      <x:c r="I437" s="10" t="n">
        <x:f>E437-F437-G437-H437</x:f>
        <x:v>30437.087751459912</x:v>
      </x:c>
      <x:c r="J437" s="10" t="n">
        <x:f>M398</x:f>
        <x:v>0</x:v>
      </x:c>
      <x:c r="K437" s="10" t="n">
        <x:f>MAX(0,I437-J437)</x:f>
        <x:v>30437.087751459912</x:v>
      </x:c>
      <x:c r="L437" s="10" t="n">
        <x:f>K437*'Assumptions'!$D$12</x:f>
        <x:v>7609.271937864978</x:v>
      </x:c>
      <x:c r="M437" s="10" t="n">
        <x:f>MAX(0,J437-I437)</x:f>
        <x:v>0</x:v>
      </x:c>
    </x:row>
    <x:row r="438" ht="16" customHeight="1">
      <x:c r="A438" s="1"/>
      <x:c r="B438" s="1"/>
      <x:c r="C438" s="1" t="str">
        <x:v>ETV services</x:v>
      </x:c>
      <x:c r="D438" s="10" t="n">
        <x:v>12</x:v>
      </x:c>
      <x:c r="E438" s="10" t="n">
        <x:f>SUMIF('Revenue and costs'!$D$1416:$D$1543,C438,'Revenue and costs'!N1416:N1543)</x:f>
        <x:v>130792.19276833681</x:v>
      </x:c>
      <x:c r="F438" s="10" t="n">
        <x:f>SUMIF('Revenue and costs'!$D$1416:$D$1543,C438,'Revenue and costs'!O1416:O1543)+SUMIF('Revenue and costs'!$D$1416:$D$1543,C438,'Revenue and costs'!P1416:P1543)+SUMIF('Revenue and costs'!$D$1416:$D$1543,C438,'Revenue and costs'!Q1416:Q1543)+SUMIF('Revenue and costs'!$D$1416:$D$1543,C438,'Revenue and costs'!R1416:R1543)+SUMIF('Revenue and costs'!$D$1416:$D$1543,C438,'Revenue and costs'!S1416:S1543)+SUMIF('Revenue and costs'!$D$1416:$D$1543,C438,'Revenue and costs'!T1416:T1543)+SUMIF('Revenue and costs'!$D$1416:$D$1543,C438,'Revenue and costs'!U1416:U1543)+SUMIF('Revenue and costs'!$D$1416:$D$1543,C438,'Revenue and costs'!V1416:V1543)+SUMIF('Revenue and costs'!$D$1416:$D$1543,C438,'Revenue and costs'!AE1416:AE1543)</x:f>
        <x:v>90756.51871310905</x:v>
      </x:c>
      <x:c r="G438" s="10" t="n">
        <x:f>IF('Income statement'!O50=0,1/39,E438/'Income statement'!O50)*('Shared costs'!S21+'Assumptions'!$D$18*'Assumptions'!$D$19*12*(1+'Assumptions'!$D$13)^(12-1)*'Assumptions'!$D$21)</x:f>
        <x:v>5839.073250049924</x:v>
      </x:c>
      <x:c r="H438" s="10" t="n">
        <x:f>IF('Income statement'!O50=0,1/39,E438/'Income statement'!O50)*'Cash and capital'!O18</x:f>
        <x:v>25.368375145267233</x:v>
      </x:c>
      <x:c r="I438" s="10" t="n">
        <x:f>E438-F438-G438-H438</x:f>
        <x:v>34171.23243003257</x:v>
      </x:c>
      <x:c r="J438" s="10" t="n">
        <x:f>M399</x:f>
        <x:v>0</x:v>
      </x:c>
      <x:c r="K438" s="10" t="n">
        <x:f>MAX(0,I438-J438)</x:f>
        <x:v>34171.23243003257</x:v>
      </x:c>
      <x:c r="L438" s="10" t="n">
        <x:f>K438*'Assumptions'!$D$12</x:f>
        <x:v>8542.808107508143</x:v>
      </x:c>
      <x:c r="M438" s="10" t="n">
        <x:f>MAX(0,J438-I438)</x:f>
        <x:v>0</x:v>
      </x:c>
    </x:row>
    <x:row r="439" ht="16" customHeight="1">
      <x:c r="A439" s="1"/>
      <x:c r="B439" s="1"/>
      <x:c r="C439" s="1" t="str">
        <x:v>BPA professional services</x:v>
      </x:c>
      <x:c r="D439" s="10" t="n">
        <x:v>12</x:v>
      </x:c>
      <x:c r="E439" s="10" t="n">
        <x:f>SUMIF('Revenue and costs'!$D$1416:$D$1543,C439,'Revenue and costs'!N1416:N1543)</x:f>
        <x:v>729645.9132242115</x:v>
      </x:c>
      <x:c r="F439" s="10" t="n">
        <x:f>SUMIF('Revenue and costs'!$D$1416:$D$1543,C439,'Revenue and costs'!O1416:O1543)+SUMIF('Revenue and costs'!$D$1416:$D$1543,C439,'Revenue and costs'!P1416:P1543)+SUMIF('Revenue and costs'!$D$1416:$D$1543,C439,'Revenue and costs'!Q1416:Q1543)+SUMIF('Revenue and costs'!$D$1416:$D$1543,C439,'Revenue and costs'!R1416:R1543)+SUMIF('Revenue and costs'!$D$1416:$D$1543,C439,'Revenue and costs'!S1416:S1543)+SUMIF('Revenue and costs'!$D$1416:$D$1543,C439,'Revenue and costs'!T1416:T1543)+SUMIF('Revenue and costs'!$D$1416:$D$1543,C439,'Revenue and costs'!U1416:U1543)+SUMIF('Revenue and costs'!$D$1416:$D$1543,C439,'Revenue and costs'!V1416:V1543)+SUMIF('Revenue and costs'!$D$1416:$D$1543,C439,'Revenue and costs'!AE1416:AE1543)</x:f>
        <x:v>413902.0497355906</x:v>
      </x:c>
      <x:c r="G439" s="10" t="n">
        <x:f>IF('Income statement'!O50=0,1/39,E439/'Income statement'!O50)*('Shared costs'!S21+'Assumptions'!$D$18*'Assumptions'!$D$19*12*(1+'Assumptions'!$D$13)^(12-1)*'Assumptions'!$D$21)</x:f>
        <x:v>32574.23737410683</x:v>
      </x:c>
      <x:c r="H439" s="10" t="n">
        <x:f>IF('Income statement'!O50=0,1/39,E439/'Income statement'!O50)*'Cash and capital'!O18</x:f>
        <x:v>141.52168304623706</x:v>
      </x:c>
      <x:c r="I439" s="10" t="n">
        <x:f>E439-F439-G439-H439</x:f>
        <x:v>283028.1044314679</x:v>
      </x:c>
      <x:c r="J439" s="10" t="n">
        <x:f>M400</x:f>
        <x:v>0</x:v>
      </x:c>
      <x:c r="K439" s="10" t="n">
        <x:f>MAX(0,I439-J439)</x:f>
        <x:v>283028.1044314679</x:v>
      </x:c>
      <x:c r="L439" s="10" t="n">
        <x:f>K439*'Assumptions'!$D$12</x:f>
        <x:v>70757.02610786697</x:v>
      </x:c>
      <x:c r="M439" s="10" t="n">
        <x:f>MAX(0,J439-I439)</x:f>
        <x:v>0</x:v>
      </x:c>
    </x:row>
    <x:row r="440" ht="16" customHeight="1">
      <x:c r="A440" s="1"/>
      <x:c r="B440" s="1"/>
      <x:c r="C440" s="1" t="str">
        <x:v>CornerFlow</x:v>
      </x:c>
      <x:c r="D440" s="10" t="n">
        <x:v>12</x:v>
      </x:c>
      <x:c r="E440" s="10" t="n">
        <x:f>SUMIF('Revenue and costs'!$D$1416:$D$1543,C440,'Revenue and costs'!N1416:N1543)</x:f>
        <x:v>25036.803987955034</x:v>
      </x:c>
      <x:c r="F440" s="10" t="n">
        <x:f>SUMIF('Revenue and costs'!$D$1416:$D$1543,C440,'Revenue and costs'!O1416:O1543)+SUMIF('Revenue and costs'!$D$1416:$D$1543,C440,'Revenue and costs'!P1416:P1543)+SUMIF('Revenue and costs'!$D$1416:$D$1543,C440,'Revenue and costs'!Q1416:Q1543)+SUMIF('Revenue and costs'!$D$1416:$D$1543,C440,'Revenue and costs'!R1416:R1543)+SUMIF('Revenue and costs'!$D$1416:$D$1543,C440,'Revenue and costs'!S1416:S1543)+SUMIF('Revenue and costs'!$D$1416:$D$1543,C440,'Revenue and costs'!T1416:T1543)+SUMIF('Revenue and costs'!$D$1416:$D$1543,C440,'Revenue and costs'!U1416:U1543)+SUMIF('Revenue and costs'!$D$1416:$D$1543,C440,'Revenue and costs'!V1416:V1543)+SUMIF('Revenue and costs'!$D$1416:$D$1543,C440,'Revenue and costs'!AE1416:AE1543)</x:f>
        <x:v>10214.530595116317</x:v>
      </x:c>
      <x:c r="G440" s="10" t="n">
        <x:f>IF('Income statement'!O50=0,1/39,E440/'Income statement'!O50)*('Shared costs'!S21+'Assumptions'!$D$18*'Assumptions'!$D$19*12*(1+'Assumptions'!$D$13)^(12-1)*'Assumptions'!$D$21)</x:f>
        <x:v>1117.740511406142</x:v>
      </x:c>
      <x:c r="H440" s="10" t="n">
        <x:f>IF('Income statement'!O50=0,1/39,E440/'Income statement'!O50)*'Cash and capital'!O18</x:f>
        <x:v>4.856123462429834</x:v>
      </x:c>
      <x:c r="I440" s="10" t="n">
        <x:f>E440-F440-G440-H440</x:f>
        <x:v>13699.676757970145</x:v>
      </x:c>
      <x:c r="J440" s="10" t="n">
        <x:f>M401</x:f>
        <x:v>0</x:v>
      </x:c>
      <x:c r="K440" s="10" t="n">
        <x:f>MAX(0,I440-J440)</x:f>
        <x:v>13699.676757970145</x:v>
      </x:c>
      <x:c r="L440" s="10" t="n">
        <x:f>K440*'Assumptions'!$D$12</x:f>
        <x:v>3424.919189492536</x:v>
      </x:c>
      <x:c r="M440" s="10" t="n">
        <x:f>MAX(0,J440-I440)</x:f>
        <x:v>0</x:v>
      </x:c>
    </x:row>
    <x:row r="441" ht="16" customHeight="1">
      <x:c r="A441" s="1"/>
      <x:c r="B441" s="1"/>
      <x:c r="C441" s="1" t="str">
        <x:v>Spindle</x:v>
      </x:c>
      <x:c r="D441" s="10" t="n">
        <x:v>12</x:v>
      </x:c>
      <x:c r="E441" s="10" t="n">
        <x:f>SUMIF('Revenue and costs'!$D$1416:$D$1543,C441,'Revenue and costs'!N1416:N1543)</x:f>
        <x:v>25036.803987955034</x:v>
      </x:c>
      <x:c r="F441" s="10" t="n">
        <x:f>SUMIF('Revenue and costs'!$D$1416:$D$1543,C441,'Revenue and costs'!O1416:O1543)+SUMIF('Revenue and costs'!$D$1416:$D$1543,C441,'Revenue and costs'!P1416:P1543)+SUMIF('Revenue and costs'!$D$1416:$D$1543,C441,'Revenue and costs'!Q1416:Q1543)+SUMIF('Revenue and costs'!$D$1416:$D$1543,C441,'Revenue and costs'!R1416:R1543)+SUMIF('Revenue and costs'!$D$1416:$D$1543,C441,'Revenue and costs'!S1416:S1543)+SUMIF('Revenue and costs'!$D$1416:$D$1543,C441,'Revenue and costs'!T1416:T1543)+SUMIF('Revenue and costs'!$D$1416:$D$1543,C441,'Revenue and costs'!U1416:U1543)+SUMIF('Revenue and costs'!$D$1416:$D$1543,C441,'Revenue and costs'!V1416:V1543)+SUMIF('Revenue and costs'!$D$1416:$D$1543,C441,'Revenue and costs'!AE1416:AE1543)</x:f>
        <x:v>10214.530595116317</x:v>
      </x:c>
      <x:c r="G441" s="10" t="n">
        <x:f>IF('Income statement'!O50=0,1/39,E441/'Income statement'!O50)*('Shared costs'!S21+'Assumptions'!$D$18*'Assumptions'!$D$19*12*(1+'Assumptions'!$D$13)^(12-1)*'Assumptions'!$D$21)</x:f>
        <x:v>1117.740511406142</x:v>
      </x:c>
      <x:c r="H441" s="10" t="n">
        <x:f>IF('Income statement'!O50=0,1/39,E441/'Income statement'!O50)*'Cash and capital'!O18</x:f>
        <x:v>4.856123462429834</x:v>
      </x:c>
      <x:c r="I441" s="10" t="n">
        <x:f>E441-F441-G441-H441</x:f>
        <x:v>13699.676757970145</x:v>
      </x:c>
      <x:c r="J441" s="10" t="n">
        <x:f>M402</x:f>
        <x:v>0</x:v>
      </x:c>
      <x:c r="K441" s="10" t="n">
        <x:f>MAX(0,I441-J441)</x:f>
        <x:v>13699.676757970145</x:v>
      </x:c>
      <x:c r="L441" s="10" t="n">
        <x:f>K441*'Assumptions'!$D$12</x:f>
        <x:v>3424.919189492536</x:v>
      </x:c>
      <x:c r="M441" s="10" t="n">
        <x:f>MAX(0,J441-I441)</x:f>
        <x:v>0</x:v>
      </x:c>
    </x:row>
    <x:row r="442" ht="16" customHeight="1">
      <x:c r="A442" s="1"/>
      <x:c r="B442" s="1"/>
      <x:c r="C442" s="1" t="str">
        <x:v>Maison Contour</x:v>
      </x:c>
      <x:c r="D442" s="10" t="n">
        <x:v>12</x:v>
      </x:c>
      <x:c r="E442" s="10" t="n">
        <x:f>SUMIF('Revenue and costs'!$D$1416:$D$1543,C442,'Revenue and costs'!N1416:N1543)</x:f>
        <x:v>35225.75967134623</x:v>
      </x:c>
      <x:c r="F442" s="10" t="n">
        <x:f>SUMIF('Revenue and costs'!$D$1416:$D$1543,C442,'Revenue and costs'!O1416:O1543)+SUMIF('Revenue and costs'!$D$1416:$D$1543,C442,'Revenue and costs'!P1416:P1543)+SUMIF('Revenue and costs'!$D$1416:$D$1543,C442,'Revenue and costs'!Q1416:Q1543)+SUMIF('Revenue and costs'!$D$1416:$D$1543,C442,'Revenue and costs'!R1416:R1543)+SUMIF('Revenue and costs'!$D$1416:$D$1543,C442,'Revenue and costs'!S1416:S1543)+SUMIF('Revenue and costs'!$D$1416:$D$1543,C442,'Revenue and costs'!T1416:T1543)+SUMIF('Revenue and costs'!$D$1416:$D$1543,C442,'Revenue and costs'!U1416:U1543)+SUMIF('Revenue and costs'!$D$1416:$D$1543,C442,'Revenue and costs'!V1416:V1543)+SUMIF('Revenue and costs'!$D$1416:$D$1543,C442,'Revenue and costs'!AE1416:AE1543)</x:f>
        <x:v>11028.5966419852</x:v>
      </x:c>
      <x:c r="G442" s="10" t="n">
        <x:f>IF('Income statement'!O50=0,1/39,E442/'Income statement'!O50)*('Shared costs'!S21+'Assumptions'!$D$18*'Assumptions'!$D$19*12*(1+'Assumptions'!$D$13)^(12-1)*'Assumptions'!$D$21)</x:f>
        <x:v>1572.6152047466796</x:v>
      </x:c>
      <x:c r="H442" s="10" t="n">
        <x:f>IF('Income statement'!O50=0,1/39,E442/'Income statement'!O50)*'Cash and capital'!O18</x:f>
        <x:v>6.832367186492122</x:v>
      </x:c>
      <x:c r="I442" s="10" t="n">
        <x:f>E442-F442-G442-H442</x:f>
        <x:v>22617.715457427865</x:v>
      </x:c>
      <x:c r="J442" s="10" t="n">
        <x:f>M403</x:f>
        <x:v>0</x:v>
      </x:c>
      <x:c r="K442" s="10" t="n">
        <x:f>MAX(0,I442-J442)</x:f>
        <x:v>22617.715457427865</x:v>
      </x:c>
      <x:c r="L442" s="10" t="n">
        <x:f>K442*'Assumptions'!$D$12</x:f>
        <x:v>5654.428864356966</x:v>
      </x:c>
      <x:c r="M442" s="10" t="n">
        <x:f>MAX(0,J442-I442)</x:f>
        <x:v>0</x:v>
      </x:c>
    </x:row>
    <x:row r="443" ht="16" customHeight="1">
      <x:c r="A443" s="1"/>
      <x:c r="B443" s="1"/>
      <x:c r="C443" s="1" t="str">
        <x:v>DishLoom US</x:v>
      </x:c>
      <x:c r="D443" s="10" t="n">
        <x:v>12</x:v>
      </x:c>
      <x:c r="E443" s="10" t="n">
        <x:f>SUMIF('Revenue and costs'!$D$1416:$D$1543,C443,'Revenue and costs'!N1416:N1543)</x:f>
        <x:v>32095.210402682278</x:v>
      </x:c>
      <x:c r="F443" s="10" t="n">
        <x:f>SUMIF('Revenue and costs'!$D$1416:$D$1543,C443,'Revenue and costs'!O1416:O1543)+SUMIF('Revenue and costs'!$D$1416:$D$1543,C443,'Revenue and costs'!P1416:P1543)+SUMIF('Revenue and costs'!$D$1416:$D$1543,C443,'Revenue and costs'!Q1416:Q1543)+SUMIF('Revenue and costs'!$D$1416:$D$1543,C443,'Revenue and costs'!R1416:R1543)+SUMIF('Revenue and costs'!$D$1416:$D$1543,C443,'Revenue and costs'!S1416:S1543)+SUMIF('Revenue and costs'!$D$1416:$D$1543,C443,'Revenue and costs'!T1416:T1543)+SUMIF('Revenue and costs'!$D$1416:$D$1543,C443,'Revenue and costs'!U1416:U1543)+SUMIF('Revenue and costs'!$D$1416:$D$1543,C443,'Revenue and costs'!V1416:V1543)+SUMIF('Revenue and costs'!$D$1416:$D$1543,C443,'Revenue and costs'!AE1416:AE1543)</x:f>
        <x:v>21821.913321829812</x:v>
      </x:c>
      <x:c r="G443" s="10" t="n">
        <x:f>IF('Income statement'!O50=0,1/39,E443/'Income statement'!O50)*('Shared costs'!S21+'Assumptions'!$D$18*'Assumptions'!$D$19*12*(1+'Assumptions'!$D$13)^(12-1)*'Assumptions'!$D$21)</x:f>
        <x:v>1432.8552840226937</x:v>
      </x:c>
      <x:c r="H443" s="10" t="n">
        <x:f>IF('Income statement'!O50=0,1/39,E443/'Income statement'!O50)*'Cash and capital'!O18</x:f>
        <x:v>6.225167730796207</x:v>
      </x:c>
      <x:c r="I443" s="10" t="n">
        <x:f>E443-F443-G443-H443</x:f>
        <x:v>8834.216629098977</x:v>
      </x:c>
      <x:c r="J443" s="10" t="n">
        <x:f>M404</x:f>
        <x:v>0</x:v>
      </x:c>
      <x:c r="K443" s="10" t="n">
        <x:f>MAX(0,I443-J443)</x:f>
        <x:v>8834.216629098977</x:v>
      </x:c>
      <x:c r="L443" s="10" t="n">
        <x:f>K443*'Assumptions'!$D$12</x:f>
        <x:v>2208.5541572747443</x:v>
      </x:c>
      <x:c r="M443" s="10" t="n">
        <x:f>MAX(0,J443-I443)</x:f>
        <x:v>0</x:v>
      </x:c>
    </x:row>
    <x:row r="444" ht="16" customHeight="1">
      <x:c r="A444" s="1"/>
      <x:c r="B444" s="1"/>
      <x:c r="C444" s="1" t="str">
        <x:v>Is Makes Travel Easy</x:v>
      </x:c>
      <x:c r="D444" s="10" t="n">
        <x:v>12</x:v>
      </x:c>
      <x:c r="E444" s="10" t="n">
        <x:f>SUMIF('Revenue and costs'!$D$1416:$D$1543,C444,'Revenue and costs'!N1416:N1543)</x:f>
        <x:v>54549.4690913456</x:v>
      </x:c>
      <x:c r="F444" s="10" t="n">
        <x:f>SUMIF('Revenue and costs'!$D$1416:$D$1543,C444,'Revenue and costs'!O1416:O1543)+SUMIF('Revenue and costs'!$D$1416:$D$1543,C444,'Revenue and costs'!P1416:P1543)+SUMIF('Revenue and costs'!$D$1416:$D$1543,C444,'Revenue and costs'!Q1416:Q1543)+SUMIF('Revenue and costs'!$D$1416:$D$1543,C444,'Revenue and costs'!R1416:R1543)+SUMIF('Revenue and costs'!$D$1416:$D$1543,C444,'Revenue and costs'!S1416:S1543)+SUMIF('Revenue and costs'!$D$1416:$D$1543,C444,'Revenue and costs'!T1416:T1543)+SUMIF('Revenue and costs'!$D$1416:$D$1543,C444,'Revenue and costs'!U1416:U1543)+SUMIF('Revenue and costs'!$D$1416:$D$1543,C444,'Revenue and costs'!V1416:V1543)+SUMIF('Revenue and costs'!$D$1416:$D$1543,C444,'Revenue and costs'!AE1416:AE1543)</x:f>
        <x:v>31274.539072467524</x:v>
      </x:c>
      <x:c r="G444" s="10" t="n">
        <x:f>IF('Income statement'!O50=0,1/39,E444/'Income statement'!O50)*('Shared costs'!S21+'Assumptions'!$D$18*'Assumptions'!$D$19*12*(1+'Assumptions'!$D$13)^(12-1)*'Assumptions'!$D$21)</x:f>
        <x:v>2435.300907752734</x:v>
      </x:c>
      <x:c r="H444" s="10" t="n">
        <x:f>IF('Income statement'!O50=0,1/39,E444/'Income statement'!O50)*'Cash and capital'!O18</x:f>
        <x:v>10.580382258255275</x:v>
      </x:c>
      <x:c r="I444" s="10" t="n">
        <x:f>E444-F444-G444-H444</x:f>
        <x:v>20829.048728867085</x:v>
      </x:c>
      <x:c r="J444" s="10" t="n">
        <x:f>M405</x:f>
        <x:v>0</x:v>
      </x:c>
      <x:c r="K444" s="10" t="n">
        <x:f>MAX(0,I444-J444)</x:f>
        <x:v>20829.048728867085</x:v>
      </x:c>
      <x:c r="L444" s="10" t="n">
        <x:f>K444*'Assumptions'!$D$12</x:f>
        <x:v>5207.262182216771</x:v>
      </x:c>
      <x:c r="M444" s="10" t="n">
        <x:f>MAX(0,J444-I444)</x:f>
        <x:v>0</x:v>
      </x:c>
    </x:row>
    <x:row r="445" ht="16" customHeight="1">
      <x:c r="A445" s="1"/>
      <x:c r="B445" s="1"/>
      <x:c r="C445" s="1" t="str">
        <x:v>Turbo Tax - Made Easy!</x:v>
      </x:c>
      <x:c r="D445" s="10" t="n">
        <x:v>12</x:v>
      </x:c>
      <x:c r="E445" s="10" t="n">
        <x:f>SUMIF('Revenue and costs'!$D$1416:$D$1543,C445,'Revenue and costs'!N1416:N1543)</x:f>
        <x:v>131425.34117650765</x:v>
      </x:c>
      <x:c r="F445" s="10" t="n">
        <x:f>SUMIF('Revenue and costs'!$D$1416:$D$1543,C445,'Revenue and costs'!O1416:O1543)+SUMIF('Revenue and costs'!$D$1416:$D$1543,C445,'Revenue and costs'!P1416:P1543)+SUMIF('Revenue and costs'!$D$1416:$D$1543,C445,'Revenue and costs'!Q1416:Q1543)+SUMIF('Revenue and costs'!$D$1416:$D$1543,C445,'Revenue and costs'!R1416:R1543)+SUMIF('Revenue and costs'!$D$1416:$D$1543,C445,'Revenue and costs'!S1416:S1543)+SUMIF('Revenue and costs'!$D$1416:$D$1543,C445,'Revenue and costs'!T1416:T1543)+SUMIF('Revenue and costs'!$D$1416:$D$1543,C445,'Revenue and costs'!U1416:U1543)+SUMIF('Revenue and costs'!$D$1416:$D$1543,C445,'Revenue and costs'!V1416:V1543)+SUMIF('Revenue and costs'!$D$1416:$D$1543,C445,'Revenue and costs'!AE1416:AE1543)</x:f>
        <x:v>37965.047739697926</x:v>
      </x:c>
      <x:c r="G445" s="10" t="n">
        <x:f>IF('Income statement'!O50=0,1/39,E445/'Income statement'!O50)*('Shared costs'!S21+'Assumptions'!$D$18*'Assumptions'!$D$19*12*(1+'Assumptions'!$D$13)^(12-1)*'Assumptions'!$D$21)</x:f>
        <x:v>5867.339462697725</x:v>
      </x:c>
      <x:c r="H445" s="10" t="n">
        <x:f>IF('Income statement'!O50=0,1/39,E445/'Income statement'!O50)*'Cash and capital'!O18</x:f>
        <x:v>25.49118023019731</x:v>
      </x:c>
      <x:c r="I445" s="10" t="n">
        <x:f>E445-F445-G445-H445</x:f>
        <x:v>87567.4627938818</x:v>
      </x:c>
      <x:c r="J445" s="10" t="n">
        <x:f>M406</x:f>
        <x:v>0</x:v>
      </x:c>
      <x:c r="K445" s="10" t="n">
        <x:f>MAX(0,I445-J445)</x:f>
        <x:v>87567.4627938818</x:v>
      </x:c>
      <x:c r="L445" s="10" t="n">
        <x:f>K445*'Assumptions'!$D$12</x:f>
        <x:v>21891.86569847045</x:v>
      </x:c>
      <x:c r="M445" s="10" t="n">
        <x:f>MAX(0,J445-I445)</x:f>
        <x:v>0</x:v>
      </x:c>
    </x:row>
    <x:row r="446" ht="16" customHeight="1">
      <x:c r="A446" s="1"/>
      <x:c r="B446" s="1"/>
      <x:c r="C446" s="1" t="str">
        <x:v>LavaLearning adult</x:v>
      </x:c>
      <x:c r="D446" s="10" t="n">
        <x:v>12</x:v>
      </x:c>
      <x:c r="E446" s="10" t="n">
        <x:f>SUMIF('Revenue and costs'!$D$1416:$D$1543,C446,'Revenue and costs'!N1416:N1543)</x:f>
        <x:v>70882.46527106209</x:v>
      </x:c>
      <x:c r="F446" s="10" t="n">
        <x:f>SUMIF('Revenue and costs'!$D$1416:$D$1543,C446,'Revenue and costs'!O1416:O1543)+SUMIF('Revenue and costs'!$D$1416:$D$1543,C446,'Revenue and costs'!P1416:P1543)+SUMIF('Revenue and costs'!$D$1416:$D$1543,C446,'Revenue and costs'!Q1416:Q1543)+SUMIF('Revenue and costs'!$D$1416:$D$1543,C446,'Revenue and costs'!R1416:R1543)+SUMIF('Revenue and costs'!$D$1416:$D$1543,C446,'Revenue and costs'!S1416:S1543)+SUMIF('Revenue and costs'!$D$1416:$D$1543,C446,'Revenue and costs'!T1416:T1543)+SUMIF('Revenue and costs'!$D$1416:$D$1543,C446,'Revenue and costs'!U1416:U1543)+SUMIF('Revenue and costs'!$D$1416:$D$1543,C446,'Revenue and costs'!V1416:V1543)+SUMIF('Revenue and costs'!$D$1416:$D$1543,C446,'Revenue and costs'!AE1416:AE1543)</x:f>
        <x:v>28633.656785000814</x:v>
      </x:c>
      <x:c r="G446" s="10" t="n">
        <x:f>IF('Income statement'!O50=0,1/39,E446/'Income statement'!O50)*('Shared costs'!S21+'Assumptions'!$D$18*'Assumptions'!$D$19*12*(1+'Assumptions'!$D$13)^(12-1)*'Assumptions'!$D$21)</x:f>
        <x:v>3164.469515355114</x:v>
      </x:c>
      <x:c r="H446" s="10" t="n">
        <x:f>IF('Income statement'!O50=0,1/39,E446/'Income statement'!O50)*'Cash and capital'!O18</x:f>
        <x:v>13.748320386390793</x:v>
      </x:c>
      <x:c r="I446" s="10" t="n">
        <x:f>E446-F446-G446-H446</x:f>
        <x:v>39070.59065031977</x:v>
      </x:c>
      <x:c r="J446" s="10" t="n">
        <x:f>M407</x:f>
        <x:v>0</x:v>
      </x:c>
      <x:c r="K446" s="10" t="n">
        <x:f>MAX(0,I446-J446)</x:f>
        <x:v>39070.59065031977</x:v>
      </x:c>
      <x:c r="L446" s="10" t="n">
        <x:f>K446*'Assumptions'!$D$12</x:f>
        <x:v>9767.647662579942</x:v>
      </x:c>
      <x:c r="M446" s="10" t="n">
        <x:f>MAX(0,J446-I446)</x:f>
        <x:v>0</x:v>
      </x:c>
    </x:row>
    <x:row r="447" ht="16" customHeight="1">
      <x:c r="A447" s="1"/>
      <x:c r="B447" s="1"/>
      <x:c r="C447" s="1" t="str">
        <x:v>LavaLearning Model Life</x:v>
      </x:c>
      <x:c r="D447" s="10" t="n">
        <x:v>12</x:v>
      </x:c>
      <x:c r="E447" s="10" t="n">
        <x:f>SUMIF('Revenue and costs'!$D$1416:$D$1543,C447,'Revenue and costs'!N1416:N1543)</x:f>
        <x:v>0</x:v>
      </x:c>
      <x:c r="F447" s="10" t="n">
        <x:f>SUMIF('Revenue and costs'!$D$1416:$D$1543,C447,'Revenue and costs'!O1416:O1543)+SUMIF('Revenue and costs'!$D$1416:$D$1543,C447,'Revenue and costs'!P1416:P1543)+SUMIF('Revenue and costs'!$D$1416:$D$1543,C447,'Revenue and costs'!Q1416:Q1543)+SUMIF('Revenue and costs'!$D$1416:$D$1543,C447,'Revenue and costs'!R1416:R1543)+SUMIF('Revenue and costs'!$D$1416:$D$1543,C447,'Revenue and costs'!S1416:S1543)+SUMIF('Revenue and costs'!$D$1416:$D$1543,C447,'Revenue and costs'!T1416:T1543)+SUMIF('Revenue and costs'!$D$1416:$D$1543,C447,'Revenue and costs'!U1416:U1543)+SUMIF('Revenue and costs'!$D$1416:$D$1543,C447,'Revenue and costs'!V1416:V1543)+SUMIF('Revenue and costs'!$D$1416:$D$1543,C447,'Revenue and costs'!AE1416:AE1543)</x:f>
        <x:v>0</x:v>
      </x:c>
      <x:c r="G447" s="10" t="n">
        <x:f>IF('Income statement'!O50=0,1/39,E447/'Income statement'!O50)*('Shared costs'!S21+'Assumptions'!$D$18*'Assumptions'!$D$19*12*(1+'Assumptions'!$D$13)^(12-1)*'Assumptions'!$D$21)</x:f>
        <x:v>0</x:v>
      </x:c>
      <x:c r="H447" s="10" t="n">
        <x:f>IF('Income statement'!O50=0,1/39,E447/'Income statement'!O50)*'Cash and capital'!O18</x:f>
        <x:v>0</x:v>
      </x:c>
      <x:c r="I447" s="10" t="n">
        <x:f>E447-F447-G447-H447</x:f>
        <x:v>0</x:v>
      </x:c>
      <x:c r="J447" s="10" t="n">
        <x:f>M408</x:f>
        <x:v>0</x:v>
      </x:c>
      <x:c r="K447" s="10" t="n">
        <x:f>MAX(0,I447-J447)</x:f>
        <x:v>0</x:v>
      </x:c>
      <x:c r="L447" s="10" t="n">
        <x:f>K447*'Assumptions'!$D$12</x:f>
        <x:v>0</x:v>
      </x:c>
      <x:c r="M447" s="10" t="n">
        <x:f>MAX(0,J447-I447)</x:f>
        <x:v>0</x:v>
      </x:c>
    </x:row>
    <x:row r="448" ht="16" customHeight="1">
      <x:c r="A448" s="1"/>
      <x:c r="B448" s="1"/>
      <x:c r="C448" s="1" t="str">
        <x:v>LavaLearning Kids</x:v>
      </x:c>
      <x:c r="D448" s="10" t="n">
        <x:v>12</x:v>
      </x:c>
      <x:c r="E448" s="10" t="n">
        <x:f>SUMIF('Revenue and costs'!$D$1416:$D$1543,C448,'Revenue and costs'!N1416:N1543)</x:f>
        <x:v>29290.957923477858</x:v>
      </x:c>
      <x:c r="F448" s="10" t="n">
        <x:f>SUMIF('Revenue and costs'!$D$1416:$D$1543,C448,'Revenue and costs'!O1416:O1543)+SUMIF('Revenue and costs'!$D$1416:$D$1543,C448,'Revenue and costs'!P1416:P1543)+SUMIF('Revenue and costs'!$D$1416:$D$1543,C448,'Revenue and costs'!Q1416:Q1543)+SUMIF('Revenue and costs'!$D$1416:$D$1543,C448,'Revenue and costs'!R1416:R1543)+SUMIF('Revenue and costs'!$D$1416:$D$1543,C448,'Revenue and costs'!S1416:S1543)+SUMIF('Revenue and costs'!$D$1416:$D$1543,C448,'Revenue and costs'!T1416:T1543)+SUMIF('Revenue and costs'!$D$1416:$D$1543,C448,'Revenue and costs'!U1416:U1543)+SUMIF('Revenue and costs'!$D$1416:$D$1543,C448,'Revenue and costs'!V1416:V1543)+SUMIF('Revenue and costs'!$D$1416:$D$1543,C448,'Revenue and costs'!AE1416:AE1543)</x:f>
        <x:v>17653.146864585124</x:v>
      </x:c>
      <x:c r="G448" s="10" t="n">
        <x:f>IF('Income statement'!O50=0,1/39,E448/'Income statement'!O50)*('Shared costs'!S21+'Assumptions'!$D$18*'Assumptions'!$D$19*12*(1+'Assumptions'!$D$13)^(12-1)*'Assumptions'!$D$21)</x:f>
        <x:v>1307.6625237276564</x:v>
      </x:c>
      <x:c r="H448" s="10" t="n">
        <x:f>IF('Income statement'!O50=0,1/39,E448/'Income statement'!O50)*'Cash and capital'!O18</x:f>
        <x:v>5.681256604384346</x:v>
      </x:c>
      <x:c r="I448" s="10" t="n">
        <x:f>E448-F448-G448-H448</x:f>
        <x:v>10324.467278560693</x:v>
      </x:c>
      <x:c r="J448" s="10" t="n">
        <x:f>M409</x:f>
        <x:v>0</x:v>
      </x:c>
      <x:c r="K448" s="10" t="n">
        <x:f>MAX(0,I448-J448)</x:f>
        <x:v>10324.467278560693</x:v>
      </x:c>
      <x:c r="L448" s="10" t="n">
        <x:f>K448*'Assumptions'!$D$12</x:f>
        <x:v>2581.116819640173</x:v>
      </x:c>
      <x:c r="M448" s="10" t="n">
        <x:f>MAX(0,J448-I448)</x:f>
        <x:v>0</x:v>
      </x:c>
    </x:row>
    <x:row r="449" ht="16" customHeight="1">
      <x:c r="A449" s="1"/>
      <x:c r="B449" s="1"/>
      <x:c r="C449" s="1" t="str">
        <x:v>VraiSkill adult</x:v>
      </x:c>
      <x:c r="D449" s="10" t="n">
        <x:v>12</x:v>
      </x:c>
      <x:c r="E449" s="10" t="n">
        <x:f>SUMIF('Revenue and costs'!$D$1416:$D$1543,C449,'Revenue and costs'!N1416:N1543)</x:f>
        <x:v>55467.826082789295</x:v>
      </x:c>
      <x:c r="F449" s="10" t="n">
        <x:f>SUMIF('Revenue and costs'!$D$1416:$D$1543,C449,'Revenue and costs'!O1416:O1543)+SUMIF('Revenue and costs'!$D$1416:$D$1543,C449,'Revenue and costs'!P1416:P1543)+SUMIF('Revenue and costs'!$D$1416:$D$1543,C449,'Revenue and costs'!Q1416:Q1543)+SUMIF('Revenue and costs'!$D$1416:$D$1543,C449,'Revenue and costs'!R1416:R1543)+SUMIF('Revenue and costs'!$D$1416:$D$1543,C449,'Revenue and costs'!S1416:S1543)+SUMIF('Revenue and costs'!$D$1416:$D$1543,C449,'Revenue and costs'!T1416:T1543)+SUMIF('Revenue and costs'!$D$1416:$D$1543,C449,'Revenue and costs'!U1416:U1543)+SUMIF('Revenue and costs'!$D$1416:$D$1543,C449,'Revenue and costs'!V1416:V1543)+SUMIF('Revenue and costs'!$D$1416:$D$1543,C449,'Revenue and costs'!AE1416:AE1543)</x:f>
        <x:v>44712.38843568909</x:v>
      </x:c>
      <x:c r="G449" s="10" t="n">
        <x:f>IF('Income statement'!O50=0,1/39,E449/'Income statement'!O50)*('Shared costs'!S21+'Assumptions'!$D$18*'Assumptions'!$D$19*12*(1+'Assumptions'!$D$13)^(12-1)*'Assumptions'!$D$21)</x:f>
        <x:v>2476.2999431633048</x:v>
      </x:c>
      <x:c r="H449" s="10" t="n">
        <x:f>IF('Income statement'!O50=0,1/39,E449/'Income statement'!O50)*'Cash and capital'!O18</x:f>
        <x:v>10.758506228678247</x:v>
      </x:c>
      <x:c r="I449" s="10" t="n">
        <x:f>E449-F449-G449-H449</x:f>
        <x:v>8268.37919770822</x:v>
      </x:c>
      <x:c r="J449" s="10" t="n">
        <x:f>M410</x:f>
        <x:v>0</x:v>
      </x:c>
      <x:c r="K449" s="10" t="n">
        <x:f>MAX(0,I449-J449)</x:f>
        <x:v>8268.37919770822</x:v>
      </x:c>
      <x:c r="L449" s="10" t="n">
        <x:f>K449*'Assumptions'!$D$12</x:f>
        <x:v>2067.094799427055</x:v>
      </x:c>
      <x:c r="M449" s="10" t="n">
        <x:f>MAX(0,J449-I449)</x:f>
        <x:v>0</x:v>
      </x:c>
    </x:row>
    <x:row r="450" ht="16" customHeight="1">
      <x:c r="A450" s="1"/>
      <x:c r="B450" s="1"/>
      <x:c r="C450" s="1" t="str">
        <x:v>VraiSkill teen</x:v>
      </x:c>
      <x:c r="D450" s="10" t="n">
        <x:v>12</x:v>
      </x:c>
      <x:c r="E450" s="10" t="n">
        <x:f>SUMIF('Revenue and costs'!$D$1416:$D$1543,C450,'Revenue and costs'!N1416:N1543)</x:f>
        <x:v>24666.069830297147</x:v>
      </x:c>
      <x:c r="F450" s="10" t="n">
        <x:f>SUMIF('Revenue and costs'!$D$1416:$D$1543,C450,'Revenue and costs'!O1416:O1543)+SUMIF('Revenue and costs'!$D$1416:$D$1543,C450,'Revenue and costs'!P1416:P1543)+SUMIF('Revenue and costs'!$D$1416:$D$1543,C450,'Revenue and costs'!Q1416:Q1543)+SUMIF('Revenue and costs'!$D$1416:$D$1543,C450,'Revenue and costs'!R1416:R1543)+SUMIF('Revenue and costs'!$D$1416:$D$1543,C450,'Revenue and costs'!S1416:S1543)+SUMIF('Revenue and costs'!$D$1416:$D$1543,C450,'Revenue and costs'!T1416:T1543)+SUMIF('Revenue and costs'!$D$1416:$D$1543,C450,'Revenue and costs'!U1416:U1543)+SUMIF('Revenue and costs'!$D$1416:$D$1543,C450,'Revenue and costs'!V1416:V1543)+SUMIF('Revenue and costs'!$D$1416:$D$1543,C450,'Revenue and costs'!AE1416:AE1543)</x:f>
        <x:v>12290.074680345291</x:v>
      </x:c>
      <x:c r="G450" s="10" t="n">
        <x:f>IF('Income statement'!O50=0,1/39,E450/'Income statement'!O50)*('Shared costs'!S21+'Assumptions'!$D$18*'Assumptions'!$D$19*12*(1+'Assumptions'!$D$13)^(12-1)*'Assumptions'!$D$21)</x:f>
        <x:v>1101.189493665395</x:v>
      </x:c>
      <x:c r="H450" s="10" t="n">
        <x:f>IF('Income statement'!O50=0,1/39,E450/'Income statement'!O50)*'Cash and capital'!O18</x:f>
        <x:v>4.784216087902608</x:v>
      </x:c>
      <x:c r="I450" s="10" t="n">
        <x:f>E450-F450-G450-H450</x:f>
        <x:v>11270.021440198558</x:v>
      </x:c>
      <x:c r="J450" s="10" t="n">
        <x:f>M411</x:f>
        <x:v>0</x:v>
      </x:c>
      <x:c r="K450" s="10" t="n">
        <x:f>MAX(0,I450-J450)</x:f>
        <x:v>11270.021440198558</x:v>
      </x:c>
      <x:c r="L450" s="10" t="n">
        <x:f>K450*'Assumptions'!$D$12</x:f>
        <x:v>2817.5053600496394</x:v>
      </x:c>
      <x:c r="M450" s="10" t="n">
        <x:f>MAX(0,J450-I450)</x:f>
        <x:v>0</x:v>
      </x:c>
    </x:row>
    <x:row r="451" ht="16" customHeight="1">
      <x:c r="A451" s="1"/>
      <x:c r="B451" s="1"/>
      <x:c r="C451" s="1" t="str">
        <x:v>VraiSkill Model Life</x:v>
      </x:c>
      <x:c r="D451" s="10" t="n">
        <x:v>12</x:v>
      </x:c>
      <x:c r="E451" s="10" t="n">
        <x:f>SUMIF('Revenue and costs'!$D$1416:$D$1543,C451,'Revenue and costs'!N1416:N1543)</x:f>
        <x:v>0</x:v>
      </x:c>
      <x:c r="F451" s="10" t="n">
        <x:f>SUMIF('Revenue and costs'!$D$1416:$D$1543,C451,'Revenue and costs'!O1416:O1543)+SUMIF('Revenue and costs'!$D$1416:$D$1543,C451,'Revenue and costs'!P1416:P1543)+SUMIF('Revenue and costs'!$D$1416:$D$1543,C451,'Revenue and costs'!Q1416:Q1543)+SUMIF('Revenue and costs'!$D$1416:$D$1543,C451,'Revenue and costs'!R1416:R1543)+SUMIF('Revenue and costs'!$D$1416:$D$1543,C451,'Revenue and costs'!S1416:S1543)+SUMIF('Revenue and costs'!$D$1416:$D$1543,C451,'Revenue and costs'!T1416:T1543)+SUMIF('Revenue and costs'!$D$1416:$D$1543,C451,'Revenue and costs'!U1416:U1543)+SUMIF('Revenue and costs'!$D$1416:$D$1543,C451,'Revenue and costs'!V1416:V1543)+SUMIF('Revenue and costs'!$D$1416:$D$1543,C451,'Revenue and costs'!AE1416:AE1543)</x:f>
        <x:v>0</x:v>
      </x:c>
      <x:c r="G451" s="10" t="n">
        <x:f>IF('Income statement'!O50=0,1/39,E451/'Income statement'!O50)*('Shared costs'!S21+'Assumptions'!$D$18*'Assumptions'!$D$19*12*(1+'Assumptions'!$D$13)^(12-1)*'Assumptions'!$D$21)</x:f>
        <x:v>0</x:v>
      </x:c>
      <x:c r="H451" s="10" t="n">
        <x:f>IF('Income statement'!O50=0,1/39,E451/'Income statement'!O50)*'Cash and capital'!O18</x:f>
        <x:v>0</x:v>
      </x:c>
      <x:c r="I451" s="10" t="n">
        <x:f>E451-F451-G451-H451</x:f>
        <x:v>0</x:v>
      </x:c>
      <x:c r="J451" s="10" t="n">
        <x:f>M412</x:f>
        <x:v>0</x:v>
      </x:c>
      <x:c r="K451" s="10" t="n">
        <x:f>MAX(0,I451-J451)</x:f>
        <x:v>0</x:v>
      </x:c>
      <x:c r="L451" s="10" t="n">
        <x:f>K451*'Assumptions'!$D$12</x:f>
        <x:v>0</x:v>
      </x:c>
      <x:c r="M451" s="10" t="n">
        <x:f>MAX(0,J451-I451)</x:f>
        <x:v>0</x:v>
      </x:c>
    </x:row>
    <x:row r="452" ht="16" customHeight="1">
      <x:c r="A452" s="1"/>
      <x:c r="B452" s="1"/>
      <x:c r="C452" s="1" t="str">
        <x:v>Model Life</x:v>
      </x:c>
      <x:c r="D452" s="10" t="n">
        <x:v>12</x:v>
      </x:c>
      <x:c r="E452" s="10" t="n">
        <x:f>SUMIF('Revenue and costs'!$D$1416:$D$1543,C452,'Revenue and costs'!N1416:N1543)</x:f>
        <x:v>92379.86486274688</x:v>
      </x:c>
      <x:c r="F452" s="10" t="n">
        <x:f>SUMIF('Revenue and costs'!$D$1416:$D$1543,C452,'Revenue and costs'!O1416:O1543)+SUMIF('Revenue and costs'!$D$1416:$D$1543,C452,'Revenue and costs'!P1416:P1543)+SUMIF('Revenue and costs'!$D$1416:$D$1543,C452,'Revenue and costs'!Q1416:Q1543)+SUMIF('Revenue and costs'!$D$1416:$D$1543,C452,'Revenue and costs'!R1416:R1543)+SUMIF('Revenue and costs'!$D$1416:$D$1543,C452,'Revenue and costs'!S1416:S1543)+SUMIF('Revenue and costs'!$D$1416:$D$1543,C452,'Revenue and costs'!T1416:T1543)+SUMIF('Revenue and costs'!$D$1416:$D$1543,C452,'Revenue and costs'!U1416:U1543)+SUMIF('Revenue and costs'!$D$1416:$D$1543,C452,'Revenue and costs'!V1416:V1543)+SUMIF('Revenue and costs'!$D$1416:$D$1543,C452,'Revenue and costs'!AE1416:AE1543)</x:f>
        <x:v>30216.420806976857</x:v>
      </x:c>
      <x:c r="G452" s="10" t="n">
        <x:f>IF('Income statement'!O50=0,1/39,E452/'Income statement'!O50)*('Shared costs'!S21+'Assumptions'!$D$18*'Assumptions'!$D$19*12*(1+'Assumptions'!$D$13)^(12-1)*'Assumptions'!$D$21)</x:f>
        <x:v>4124.197219620875</x:v>
      </x:c>
      <x:c r="H452" s="10" t="n">
        <x:f>IF('Income statement'!O50=0,1/39,E452/'Income statement'!O50)*'Cash and capital'!O18</x:f>
        <x:v>17.91794309816475</x:v>
      </x:c>
      <x:c r="I452" s="10" t="n">
        <x:f>E452-F452-G452-H452</x:f>
        <x:v>58021.32889305098</x:v>
      </x:c>
      <x:c r="J452" s="10" t="n">
        <x:f>M413</x:f>
        <x:v>0</x:v>
      </x:c>
      <x:c r="K452" s="10" t="n">
        <x:f>MAX(0,I452-J452)</x:f>
        <x:v>58021.32889305098</x:v>
      </x:c>
      <x:c r="L452" s="10" t="n">
        <x:f>K452*'Assumptions'!$D$12</x:f>
        <x:v>14505.332223262745</x:v>
      </x:c>
      <x:c r="M452" s="10" t="n">
        <x:f>MAX(0,J452-I452)</x:f>
        <x:v>0</x:v>
      </x:c>
    </x:row>
    <x:row r="453" ht="16" customHeight="1">
      <x:c r="A453" s="1"/>
      <x:c r="B453" s="1"/>
      <x:c r="C453" s="1" t="str">
        <x:v>S’otality cleaning</x:v>
      </x:c>
      <x:c r="D453" s="10" t="n">
        <x:v>12</x:v>
      </x:c>
      <x:c r="E453" s="10" t="n">
        <x:f>SUMIF('Revenue and costs'!$D$1416:$D$1543,C453,'Revenue and costs'!N1416:N1543)</x:f>
        <x:v>289364.973904173</x:v>
      </x:c>
      <x:c r="F453" s="10" t="n">
        <x:f>SUMIF('Revenue and costs'!$D$1416:$D$1543,C453,'Revenue and costs'!O1416:O1543)+SUMIF('Revenue and costs'!$D$1416:$D$1543,C453,'Revenue and costs'!P1416:P1543)+SUMIF('Revenue and costs'!$D$1416:$D$1543,C453,'Revenue and costs'!Q1416:Q1543)+SUMIF('Revenue and costs'!$D$1416:$D$1543,C453,'Revenue and costs'!R1416:R1543)+SUMIF('Revenue and costs'!$D$1416:$D$1543,C453,'Revenue and costs'!S1416:S1543)+SUMIF('Revenue and costs'!$D$1416:$D$1543,C453,'Revenue and costs'!T1416:T1543)+SUMIF('Revenue and costs'!$D$1416:$D$1543,C453,'Revenue and costs'!U1416:U1543)+SUMIF('Revenue and costs'!$D$1416:$D$1543,C453,'Revenue and costs'!V1416:V1543)+SUMIF('Revenue and costs'!$D$1416:$D$1543,C453,'Revenue and costs'!AE1416:AE1543)</x:f>
        <x:v>249595.60914099144</x:v>
      </x:c>
      <x:c r="G453" s="10" t="n">
        <x:f>IF('Income statement'!O50=0,1/39,E453/'Income statement'!O50)*('Shared costs'!S21+'Assumptions'!$D$18*'Assumptions'!$D$19*12*(1+'Assumptions'!$D$13)^(12-1)*'Assumptions'!$D$21)</x:f>
        <x:v>12918.38024015672</x:v>
      </x:c>
      <x:c r="H453" s="10" t="n">
        <x:f>IF('Income statement'!O50=0,1/39,E453/'Income statement'!O50)*'Cash and capital'!O18</x:f>
        <x:v>56.12505652308799</x:v>
      </x:c>
      <x:c r="I453" s="10" t="n">
        <x:f>E453-F453-G453-H453</x:f>
        <x:v>26794.85946650176</x:v>
      </x:c>
      <x:c r="J453" s="10" t="n">
        <x:f>M414</x:f>
        <x:v>0</x:v>
      </x:c>
      <x:c r="K453" s="10" t="n">
        <x:f>MAX(0,I453-J453)</x:f>
        <x:v>26794.85946650176</x:v>
      </x:c>
      <x:c r="L453" s="10" t="n">
        <x:f>K453*'Assumptions'!$D$12</x:f>
        <x:v>6698.71486662544</x:v>
      </x:c>
      <x:c r="M453" s="10" t="n">
        <x:f>MAX(0,J453-I453)</x:f>
        <x:v>0</x:v>
      </x:c>
    </x:row>
    <x:row r="454" ht="16" customHeight="1">
      <x:c r="A454" s="1"/>
      <x:c r="B454" s="1"/>
      <x:c r="C454" s="1" t="str">
        <x:v>S’otality laundry</x:v>
      </x:c>
      <x:c r="D454" s="10" t="n">
        <x:v>12</x:v>
      </x:c>
      <x:c r="E454" s="10" t="n">
        <x:f>SUMIF('Revenue and costs'!$D$1416:$D$1543,C454,'Revenue and costs'!N1416:N1543)</x:f>
        <x:v>44849.909847374685</x:v>
      </x:c>
      <x:c r="F454" s="10" t="n">
        <x:f>SUMIF('Revenue and costs'!$D$1416:$D$1543,C454,'Revenue and costs'!O1416:O1543)+SUMIF('Revenue and costs'!$D$1416:$D$1543,C454,'Revenue and costs'!P1416:P1543)+SUMIF('Revenue and costs'!$D$1416:$D$1543,C454,'Revenue and costs'!Q1416:Q1543)+SUMIF('Revenue and costs'!$D$1416:$D$1543,C454,'Revenue and costs'!R1416:R1543)+SUMIF('Revenue and costs'!$D$1416:$D$1543,C454,'Revenue and costs'!S1416:S1543)+SUMIF('Revenue and costs'!$D$1416:$D$1543,C454,'Revenue and costs'!T1416:T1543)+SUMIF('Revenue and costs'!$D$1416:$D$1543,C454,'Revenue and costs'!U1416:U1543)+SUMIF('Revenue and costs'!$D$1416:$D$1543,C454,'Revenue and costs'!V1416:V1543)+SUMIF('Revenue and costs'!$D$1416:$D$1543,C454,'Revenue and costs'!AE1416:AE1543)</x:f>
        <x:v>41525.095281553404</x:v>
      </x:c>
      <x:c r="G454" s="10" t="n">
        <x:f>IF('Income statement'!O50=0,1/39,E454/'Income statement'!O50)*('Shared costs'!S21+'Assumptions'!$D$18*'Assumptions'!$D$19*12*(1+'Assumptions'!$D$13)^(12-1)*'Assumptions'!$D$21)</x:f>
        <x:v>2002.2747788991471</x:v>
      </x:c>
      <x:c r="H454" s="10" t="n">
        <x:f>IF('Income statement'!O50=0,1/39,E454/'Income statement'!O50)*'Cash and capital'!O18</x:f>
        <x:v>8.699061573612948</x:v>
      </x:c>
      <x:c r="I454" s="10" t="n">
        <x:f>E454-F454-G454-H454</x:f>
        <x:v>1313.8407253485216</x:v>
      </x:c>
      <x:c r="J454" s="10" t="n">
        <x:f>M415</x:f>
        <x:v>0</x:v>
      </x:c>
      <x:c r="K454" s="10" t="n">
        <x:f>MAX(0,I454-J454)</x:f>
        <x:v>1313.8407253485216</x:v>
      </x:c>
      <x:c r="L454" s="10" t="n">
        <x:f>K454*'Assumptions'!$D$12</x:f>
        <x:v>328.4601813371304</x:v>
      </x:c>
      <x:c r="M454" s="10" t="n">
        <x:f>MAX(0,J454-I454)</x:f>
        <x:v>0</x:v>
      </x:c>
    </x:row>
    <x:row r="455" ht="16" customHeight="1">
      <x:c r="A455" s="1"/>
      <x:c r="B455" s="1"/>
      <x:c r="C455" s="1" t="str">
        <x:v>S’otality Personal Chef</x:v>
      </x:c>
      <x:c r="D455" s="10" t="n">
        <x:v>12</x:v>
      </x:c>
      <x:c r="E455" s="10" t="n">
        <x:f>SUMIF('Revenue and costs'!$D$1416:$D$1543,C455,'Revenue and costs'!N1416:N1543)</x:f>
        <x:v>80936.34181425591</x:v>
      </x:c>
      <x:c r="F455" s="10" t="n">
        <x:f>SUMIF('Revenue and costs'!$D$1416:$D$1543,C455,'Revenue and costs'!O1416:O1543)+SUMIF('Revenue and costs'!$D$1416:$D$1543,C455,'Revenue and costs'!P1416:P1543)+SUMIF('Revenue and costs'!$D$1416:$D$1543,C455,'Revenue and costs'!Q1416:Q1543)+SUMIF('Revenue and costs'!$D$1416:$D$1543,C455,'Revenue and costs'!R1416:R1543)+SUMIF('Revenue and costs'!$D$1416:$D$1543,C455,'Revenue and costs'!S1416:S1543)+SUMIF('Revenue and costs'!$D$1416:$D$1543,C455,'Revenue and costs'!T1416:T1543)+SUMIF('Revenue and costs'!$D$1416:$D$1543,C455,'Revenue and costs'!U1416:U1543)+SUMIF('Revenue and costs'!$D$1416:$D$1543,C455,'Revenue and costs'!V1416:V1543)+SUMIF('Revenue and costs'!$D$1416:$D$1543,C455,'Revenue and costs'!AE1416:AE1543)</x:f>
        <x:v>65414.73917792346</x:v>
      </x:c>
      <x:c r="G455" s="10" t="n">
        <x:f>IF('Income statement'!O50=0,1/39,E455/'Income statement'!O50)*('Shared costs'!S21+'Assumptions'!$D$18*'Assumptions'!$D$19*12*(1+'Assumptions'!$D$13)^(12-1)*'Assumptions'!$D$21)</x:f>
        <x:v>3613.313749403916</x:v>
      </x:c>
      <x:c r="H455" s="10" t="n">
        <x:f>IF('Income statement'!O50=0,1/39,E455/'Income statement'!O50)*'Cash and capital'!O18</x:f>
        <x:v>15.698364241559554</x:v>
      </x:c>
      <x:c r="I455" s="10" t="n">
        <x:f>E455-F455-G455-H455</x:f>
        <x:v>11892.590522686973</x:v>
      </x:c>
      <x:c r="J455" s="10" t="n">
        <x:f>M416</x:f>
        <x:v>0</x:v>
      </x:c>
      <x:c r="K455" s="10" t="n">
        <x:f>MAX(0,I455-J455)</x:f>
        <x:v>11892.590522686973</x:v>
      </x:c>
      <x:c r="L455" s="10" t="n">
        <x:f>K455*'Assumptions'!$D$12</x:f>
        <x:v>2973.147630671743</x:v>
      </x:c>
      <x:c r="M455" s="10" t="n">
        <x:f>MAX(0,J455-I455)</x:f>
        <x:v>0</x:v>
      </x:c>
    </x:row>
    <x:row r="456" ht="16" customHeight="1">
      <x:c r="A456" s="1"/>
      <x:c r="B456" s="1"/>
      <x:c r="C456" s="1" t="str">
        <x:v>S’otality interiors</x:v>
      </x:c>
      <x:c r="D456" s="10" t="n">
        <x:v>12</x:v>
      </x:c>
      <x:c r="E456" s="10" t="n">
        <x:f>SUMIF('Revenue and costs'!$D$1416:$D$1543,C456,'Revenue and costs'!N1416:N1543)</x:f>
        <x:v>104539.2590659214</x:v>
      </x:c>
      <x:c r="F456" s="10" t="n">
        <x:f>SUMIF('Revenue and costs'!$D$1416:$D$1543,C456,'Revenue and costs'!O1416:O1543)+SUMIF('Revenue and costs'!$D$1416:$D$1543,C456,'Revenue and costs'!P1416:P1543)+SUMIF('Revenue and costs'!$D$1416:$D$1543,C456,'Revenue and costs'!Q1416:Q1543)+SUMIF('Revenue and costs'!$D$1416:$D$1543,C456,'Revenue and costs'!R1416:R1543)+SUMIF('Revenue and costs'!$D$1416:$D$1543,C456,'Revenue and costs'!S1416:S1543)+SUMIF('Revenue and costs'!$D$1416:$D$1543,C456,'Revenue and costs'!T1416:T1543)+SUMIF('Revenue and costs'!$D$1416:$D$1543,C456,'Revenue and costs'!U1416:U1543)+SUMIF('Revenue and costs'!$D$1416:$D$1543,C456,'Revenue and costs'!V1416:V1543)+SUMIF('Revenue and costs'!$D$1416:$D$1543,C456,'Revenue and costs'!AE1416:AE1543)</x:f>
        <x:v>65391.5763381695</x:v>
      </x:c>
      <x:c r="G456" s="10" t="n">
        <x:f>IF('Income statement'!O50=0,1/39,E456/'Income statement'!O50)*('Shared costs'!S21+'Assumptions'!$D$18*'Assumptions'!$D$19*12*(1+'Assumptions'!$D$13)^(12-1)*'Assumptions'!$D$21)</x:f>
        <x:v>4667.039968303323</x:v>
      </x:c>
      <x:c r="H456" s="10" t="n">
        <x:f>IF('Income statement'!O50=0,1/39,E456/'Income statement'!O50)*'Cash and capital'!O18</x:f>
        <x:v>20.276371893923834</x:v>
      </x:c>
      <x:c r="I456" s="10" t="n">
        <x:f>E456-F456-G456-H456</x:f>
        <x:v>34460.366387554655</x:v>
      </x:c>
      <x:c r="J456" s="10" t="n">
        <x:f>M417</x:f>
        <x:v>0</x:v>
      </x:c>
      <x:c r="K456" s="10" t="n">
        <x:f>MAX(0,I456-J456)</x:f>
        <x:v>34460.366387554655</x:v>
      </x:c>
      <x:c r="L456" s="10" t="n">
        <x:f>K456*'Assumptions'!$D$12</x:f>
        <x:v>8615.091596888664</x:v>
      </x:c>
      <x:c r="M456" s="10" t="n">
        <x:f>MAX(0,J456-I456)</x:f>
        <x:v>0</x:v>
      </x:c>
    </x:row>
    <x:row r="457" ht="16" customHeight="1">
      <x:c r="A457" s="1"/>
      <x:c r="B457" s="1"/>
      <x:c r="C457" s="1" t="str">
        <x:v>S’otality concierge</x:v>
      </x:c>
      <x:c r="D457" s="10" t="n">
        <x:v>12</x:v>
      </x:c>
      <x:c r="E457" s="10" t="n">
        <x:f>SUMIF('Revenue and costs'!$D$1416:$D$1543,C457,'Revenue and costs'!N1416:N1543)</x:f>
        <x:v>37969.2768698249</x:v>
      </x:c>
      <x:c r="F457" s="10" t="n">
        <x:f>SUMIF('Revenue and costs'!$D$1416:$D$1543,C457,'Revenue and costs'!O1416:O1543)+SUMIF('Revenue and costs'!$D$1416:$D$1543,C457,'Revenue and costs'!P1416:P1543)+SUMIF('Revenue and costs'!$D$1416:$D$1543,C457,'Revenue and costs'!Q1416:Q1543)+SUMIF('Revenue and costs'!$D$1416:$D$1543,C457,'Revenue and costs'!R1416:R1543)+SUMIF('Revenue and costs'!$D$1416:$D$1543,C457,'Revenue and costs'!S1416:S1543)+SUMIF('Revenue and costs'!$D$1416:$D$1543,C457,'Revenue and costs'!T1416:T1543)+SUMIF('Revenue and costs'!$D$1416:$D$1543,C457,'Revenue and costs'!U1416:U1543)+SUMIF('Revenue and costs'!$D$1416:$D$1543,C457,'Revenue and costs'!V1416:V1543)+SUMIF('Revenue and costs'!$D$1416:$D$1543,C457,'Revenue and costs'!AE1416:AE1543)</x:f>
        <x:v>22390.001691768666</x:v>
      </x:c>
      <x:c r="G457" s="10" t="n">
        <x:f>IF('Income statement'!O50=0,1/39,E457/'Income statement'!O50)*('Shared costs'!S21+'Assumptions'!$D$18*'Assumptions'!$D$19*12*(1+'Assumptions'!$D$13)^(12-1)*'Assumptions'!$D$21)</x:f>
        <x:v>1695.0965053932948</x:v>
      </x:c>
      <x:c r="H457" s="10" t="n">
        <x:f>IF('Income statement'!O50=0,1/39,E457/'Income statement'!O50)*'Cash and capital'!O18</x:f>
        <x:v>7.364498134336803</x:v>
      </x:c>
      <x:c r="I457" s="10" t="n">
        <x:f>E457-F457-G457-H457</x:f>
        <x:v>13876.814174528601</x:v>
      </x:c>
      <x:c r="J457" s="10" t="n">
        <x:f>M418</x:f>
        <x:v>0</x:v>
      </x:c>
      <x:c r="K457" s="10" t="n">
        <x:f>MAX(0,I457-J457)</x:f>
        <x:v>13876.814174528601</x:v>
      </x:c>
      <x:c r="L457" s="10" t="n">
        <x:f>K457*'Assumptions'!$D$12</x:f>
        <x:v>3469.2035436321503</x:v>
      </x:c>
      <x:c r="M457" s="10" t="n">
        <x:f>MAX(0,J457-I457)</x:f>
        <x:v>0</x:v>
      </x:c>
    </x:row>
    <x:row r="458" ht="16" customHeight="1">
      <x:c r="A458" s="1"/>
      <x:c r="B458" s="1"/>
      <x:c r="C458" s="1" t="str">
        <x:v>S’otality administration</x:v>
      </x:c>
      <x:c r="D458" s="10" t="n">
        <x:v>12</x:v>
      </x:c>
      <x:c r="E458" s="10" t="n">
        <x:f>SUMIF('Revenue and costs'!$D$1416:$D$1543,C458,'Revenue and costs'!N1416:N1543)</x:f>
        <x:v>60750.84299171983</x:v>
      </x:c>
      <x:c r="F458" s="10" t="n">
        <x:f>SUMIF('Revenue and costs'!$D$1416:$D$1543,C458,'Revenue and costs'!O1416:O1543)+SUMIF('Revenue and costs'!$D$1416:$D$1543,C458,'Revenue and costs'!P1416:P1543)+SUMIF('Revenue and costs'!$D$1416:$D$1543,C458,'Revenue and costs'!Q1416:Q1543)+SUMIF('Revenue and costs'!$D$1416:$D$1543,C458,'Revenue and costs'!R1416:R1543)+SUMIF('Revenue and costs'!$D$1416:$D$1543,C458,'Revenue and costs'!S1416:S1543)+SUMIF('Revenue and costs'!$D$1416:$D$1543,C458,'Revenue and costs'!T1416:T1543)+SUMIF('Revenue and costs'!$D$1416:$D$1543,C458,'Revenue and costs'!U1416:U1543)+SUMIF('Revenue and costs'!$D$1416:$D$1543,C458,'Revenue and costs'!V1416:V1543)+SUMIF('Revenue and costs'!$D$1416:$D$1543,C458,'Revenue and costs'!AE1416:AE1543)</x:f>
        <x:v>48076.238200494496</x:v>
      </x:c>
      <x:c r="G458" s="10" t="n">
        <x:f>IF('Income statement'!O50=0,1/39,E458/'Income statement'!O50)*('Shared costs'!S21+'Assumptions'!$D$18*'Assumptions'!$D$19*12*(1+'Assumptions'!$D$13)^(12-1)*'Assumptions'!$D$21)</x:f>
        <x:v>2712.1544086292715</x:v>
      </x:c>
      <x:c r="H458" s="10" t="n">
        <x:f>IF('Income statement'!O50=0,1/39,E458/'Income statement'!O50)*'Cash and capital'!O18</x:f>
        <x:v>11.783197014938883</x:v>
      </x:c>
      <x:c r="I458" s="10" t="n">
        <x:f>E458-F458-G458-H458</x:f>
        <x:v>9950.667185581126</x:v>
      </x:c>
      <x:c r="J458" s="10" t="n">
        <x:f>M419</x:f>
        <x:v>0</x:v>
      </x:c>
      <x:c r="K458" s="10" t="n">
        <x:f>MAX(0,I458-J458)</x:f>
        <x:v>9950.667185581126</x:v>
      </x:c>
      <x:c r="L458" s="10" t="n">
        <x:f>K458*'Assumptions'!$D$12</x:f>
        <x:v>2487.6667963952814</x:v>
      </x:c>
      <x:c r="M458" s="10" t="n">
        <x:f>MAX(0,J458-I458)</x:f>
        <x:v>0</x:v>
      </x:c>
    </x:row>
    <x:row r="459" ht="16" customHeight="1">
      <x:c r="A459" s="1"/>
      <x:c r="B459" s="1"/>
      <x:c r="C459" s="1" t="str">
        <x:v>S’otality bike tours</x:v>
      </x:c>
      <x:c r="D459" s="10" t="n">
        <x:v>12</x:v>
      </x:c>
      <x:c r="E459" s="10" t="n">
        <x:f>SUMIF('Revenue and costs'!$D$1416:$D$1543,C459,'Revenue and costs'!N1416:N1543)</x:f>
        <x:v>32374.536725702364</x:v>
      </x:c>
      <x:c r="F459" s="10" t="n">
        <x:f>SUMIF('Revenue and costs'!$D$1416:$D$1543,C459,'Revenue and costs'!O1416:O1543)+SUMIF('Revenue and costs'!$D$1416:$D$1543,C459,'Revenue and costs'!P1416:P1543)+SUMIF('Revenue and costs'!$D$1416:$D$1543,C459,'Revenue and costs'!Q1416:Q1543)+SUMIF('Revenue and costs'!$D$1416:$D$1543,C459,'Revenue and costs'!R1416:R1543)+SUMIF('Revenue and costs'!$D$1416:$D$1543,C459,'Revenue and costs'!S1416:S1543)+SUMIF('Revenue and costs'!$D$1416:$D$1543,C459,'Revenue and costs'!T1416:T1543)+SUMIF('Revenue and costs'!$D$1416:$D$1543,C459,'Revenue and costs'!U1416:U1543)+SUMIF('Revenue and costs'!$D$1416:$D$1543,C459,'Revenue and costs'!V1416:V1543)+SUMIF('Revenue and costs'!$D$1416:$D$1543,C459,'Revenue and costs'!AE1416:AE1543)</x:f>
        <x:v>26695.109068027785</x:v>
      </x:c>
      <x:c r="G459" s="10" t="n">
        <x:f>IF('Income statement'!O50=0,1/39,E459/'Income statement'!O50)*('Shared costs'!S21+'Assumptions'!$D$18*'Assumptions'!$D$19*12*(1+'Assumptions'!$D$13)^(12-1)*'Assumptions'!$D$21)</x:f>
        <x:v>1445.3254997615666</x:v>
      </x:c>
      <x:c r="H459" s="10" t="n">
        <x:f>IF('Income statement'!O50=0,1/39,E459/'Income statement'!O50)*'Cash and capital'!O18</x:f>
        <x:v>6.279345696623822</x:v>
      </x:c>
      <x:c r="I459" s="10" t="n">
        <x:f>E459-F459-G459-H459</x:f>
        <x:v>4227.822812216389</x:v>
      </x:c>
      <x:c r="J459" s="10" t="n">
        <x:f>M420</x:f>
        <x:v>0</x:v>
      </x:c>
      <x:c r="K459" s="10" t="n">
        <x:f>MAX(0,I459-J459)</x:f>
        <x:v>4227.822812216389</x:v>
      </x:c>
      <x:c r="L459" s="10" t="n">
        <x:f>K459*'Assumptions'!$D$12</x:f>
        <x:v>1056.9557030540973</x:v>
      </x:c>
      <x:c r="M459" s="10" t="n">
        <x:f>MAX(0,J459-I459)</x:f>
        <x:v>0</x:v>
      </x:c>
    </x:row>
    <x:row r="460" ht="16" customHeight="1">
      <x:c r="A460" s="1"/>
      <x:c r="B460" s="1"/>
      <x:c r="C460" s="1" t="str">
        <x:v>S’otality editorial</x:v>
      </x:c>
      <x:c r="D460" s="10" t="n">
        <x:v>12</x:v>
      </x:c>
      <x:c r="E460" s="10" t="n">
        <x:f>SUMIF('Revenue and costs'!$D$1416:$D$1543,C460,'Revenue and costs'!N1416:N1543)</x:f>
        <x:v>14967.055463560591</x:v>
      </x:c>
      <x:c r="F460" s="10" t="n">
        <x:f>SUMIF('Revenue and costs'!$D$1416:$D$1543,C460,'Revenue and costs'!O1416:O1543)+SUMIF('Revenue and costs'!$D$1416:$D$1543,C460,'Revenue and costs'!P1416:P1543)+SUMIF('Revenue and costs'!$D$1416:$D$1543,C460,'Revenue and costs'!Q1416:Q1543)+SUMIF('Revenue and costs'!$D$1416:$D$1543,C460,'Revenue and costs'!R1416:R1543)+SUMIF('Revenue and costs'!$D$1416:$D$1543,C460,'Revenue and costs'!S1416:S1543)+SUMIF('Revenue and costs'!$D$1416:$D$1543,C460,'Revenue and costs'!T1416:T1543)+SUMIF('Revenue and costs'!$D$1416:$D$1543,C460,'Revenue and costs'!U1416:U1543)+SUMIF('Revenue and costs'!$D$1416:$D$1543,C460,'Revenue and costs'!V1416:V1543)+SUMIF('Revenue and costs'!$D$1416:$D$1543,C460,'Revenue and costs'!AE1416:AE1543)</x:f>
        <x:v>8720.856421988035</x:v>
      </x:c>
      <x:c r="G460" s="10" t="n">
        <x:f>IF('Income statement'!O50=0,1/39,E460/'Income statement'!O50)*('Shared costs'!S21+'Assumptions'!$D$18*'Assumptions'!$D$19*12*(1+'Assumptions'!$D$13)^(12-1)*'Assumptions'!$D$21)</x:f>
        <x:v>668.1876902552182</x:v>
      </x:c>
      <x:c r="H460" s="10" t="n">
        <x:f>IF('Income statement'!O50=0,1/39,E460/'Income statement'!O50)*'Cash and capital'!O18</x:f>
        <x:v>2.9030010873213596</x:v>
      </x:c>
      <x:c r="I460" s="10" t="n">
        <x:f>E460-F460-G460-H460</x:f>
        <x:v>5575.108350230016</x:v>
      </x:c>
      <x:c r="J460" s="10" t="n">
        <x:f>M421</x:f>
        <x:v>0</x:v>
      </x:c>
      <x:c r="K460" s="10" t="n">
        <x:f>MAX(0,I460-J460)</x:f>
        <x:v>5575.108350230016</x:v>
      </x:c>
      <x:c r="L460" s="10" t="n">
        <x:f>K460*'Assumptions'!$D$12</x:f>
        <x:v>1393.777087557504</x:v>
      </x:c>
      <x:c r="M460" s="10" t="n">
        <x:f>MAX(0,J460-I460)</x:f>
        <x:v>0</x:v>
      </x:c>
    </x:row>
    <x:row r="461" ht="16" customHeight="1">
      <x:c r="A461" s="1"/>
      <x:c r="B461" s="1"/>
      <x:c r="C461" s="1" t="str">
        <x:v>Tomato Odyssey</x:v>
      </x:c>
      <x:c r="D461" s="10" t="n">
        <x:v>12</x:v>
      </x:c>
      <x:c r="E461" s="10" t="n">
        <x:f>SUMIF('Revenue and costs'!$D$1416:$D$1543,C461,'Revenue and costs'!N1416:N1543)</x:f>
        <x:v>14967.055463560591</x:v>
      </x:c>
      <x:c r="F461" s="10" t="n">
        <x:f>SUMIF('Revenue and costs'!$D$1416:$D$1543,C461,'Revenue and costs'!O1416:O1543)+SUMIF('Revenue and costs'!$D$1416:$D$1543,C461,'Revenue and costs'!P1416:P1543)+SUMIF('Revenue and costs'!$D$1416:$D$1543,C461,'Revenue and costs'!Q1416:Q1543)+SUMIF('Revenue and costs'!$D$1416:$D$1543,C461,'Revenue and costs'!R1416:R1543)+SUMIF('Revenue and costs'!$D$1416:$D$1543,C461,'Revenue and costs'!S1416:S1543)+SUMIF('Revenue and costs'!$D$1416:$D$1543,C461,'Revenue and costs'!T1416:T1543)+SUMIF('Revenue and costs'!$D$1416:$D$1543,C461,'Revenue and costs'!U1416:U1543)+SUMIF('Revenue and costs'!$D$1416:$D$1543,C461,'Revenue and costs'!V1416:V1543)+SUMIF('Revenue and costs'!$D$1416:$D$1543,C461,'Revenue and costs'!AE1416:AE1543)</x:f>
        <x:v>8720.856421988035</x:v>
      </x:c>
      <x:c r="G461" s="10" t="n">
        <x:f>IF('Income statement'!O50=0,1/39,E461/'Income statement'!O50)*('Shared costs'!S21+'Assumptions'!$D$18*'Assumptions'!$D$19*12*(1+'Assumptions'!$D$13)^(12-1)*'Assumptions'!$D$21)</x:f>
        <x:v>668.1876902552182</x:v>
      </x:c>
      <x:c r="H461" s="10" t="n">
        <x:f>IF('Income statement'!O50=0,1/39,E461/'Income statement'!O50)*'Cash and capital'!O18</x:f>
        <x:v>2.9030010873213596</x:v>
      </x:c>
      <x:c r="I461" s="10" t="n">
        <x:f>E461-F461-G461-H461</x:f>
        <x:v>5575.108350230016</x:v>
      </x:c>
      <x:c r="J461" s="10" t="n">
        <x:f>M422</x:f>
        <x:v>0</x:v>
      </x:c>
      <x:c r="K461" s="10" t="n">
        <x:f>MAX(0,I461-J461)</x:f>
        <x:v>5575.108350230016</x:v>
      </x:c>
      <x:c r="L461" s="10" t="n">
        <x:f>K461*'Assumptions'!$D$12</x:f>
        <x:v>1393.777087557504</x:v>
      </x:c>
      <x:c r="M461" s="10" t="n">
        <x:f>MAX(0,J461-I461)</x:f>
        <x:v>0</x:v>
      </x:c>
    </x:row>
    <x:row r="462" ht="16" customHeight="1">
      <x:c r="A462" s="1"/>
      <x:c r="B462" s="1"/>
      <x:c r="C462" s="1" t="str">
        <x:v>Semajes Studio</x:v>
      </x:c>
      <x:c r="D462" s="10" t="n">
        <x:v>12</x:v>
      </x:c>
      <x:c r="E462" s="10" t="n">
        <x:f>SUMIF('Revenue and costs'!$D$1416:$D$1543,C462,'Revenue and costs'!N1416:N1543)</x:f>
        <x:v>195650.15909247485</x:v>
      </x:c>
      <x:c r="F462" s="10" t="n">
        <x:f>SUMIF('Revenue and costs'!$D$1416:$D$1543,C462,'Revenue and costs'!O1416:O1543)+SUMIF('Revenue and costs'!$D$1416:$D$1543,C462,'Revenue and costs'!P1416:P1543)+SUMIF('Revenue and costs'!$D$1416:$D$1543,C462,'Revenue and costs'!Q1416:Q1543)+SUMIF('Revenue and costs'!$D$1416:$D$1543,C462,'Revenue and costs'!R1416:R1543)+SUMIF('Revenue and costs'!$D$1416:$D$1543,C462,'Revenue and costs'!S1416:S1543)+SUMIF('Revenue and costs'!$D$1416:$D$1543,C462,'Revenue and costs'!T1416:T1543)+SUMIF('Revenue and costs'!$D$1416:$D$1543,C462,'Revenue and costs'!U1416:U1543)+SUMIF('Revenue and costs'!$D$1416:$D$1543,C462,'Revenue and costs'!V1416:V1543)+SUMIF('Revenue and costs'!$D$1416:$D$1543,C462,'Revenue and costs'!AE1416:AE1543)</x:f>
        <x:v>129695.81740658943</x:v>
      </x:c>
      <x:c r="G462" s="10" t="n">
        <x:f>IF('Income statement'!O50=0,1/39,E462/'Income statement'!O50)*('Shared costs'!S21+'Assumptions'!$D$18*'Assumptions'!$D$19*12*(1+'Assumptions'!$D$13)^(12-1)*'Assumptions'!$D$21)</x:f>
        <x:v>8734.58565182376</x:v>
      </x:c>
      <x:c r="H462" s="10" t="n">
        <x:f>IF('Income statement'!O50=0,1/39,E462/'Income statement'!O50)*'Cash and capital'!O18</x:f>
        <x:v>37.948187334700606</x:v>
      </x:c>
      <x:c r="I462" s="10" t="n">
        <x:f>E462-F462-G462-H462</x:f>
        <x:v>57181.80784672696</x:v>
      </x:c>
      <x:c r="J462" s="10" t="n">
        <x:f>M423</x:f>
        <x:v>0</x:v>
      </x:c>
      <x:c r="K462" s="10" t="n">
        <x:f>MAX(0,I462-J462)</x:f>
        <x:v>57181.80784672696</x:v>
      </x:c>
      <x:c r="L462" s="10" t="n">
        <x:f>K462*'Assumptions'!$D$12</x:f>
        <x:v>14295.45196168174</x:v>
      </x:c>
      <x:c r="M462" s="10" t="n">
        <x:f>MAX(0,J462-I462)</x:f>
        <x:v>0</x:v>
      </x:c>
    </x:row>
    <x:row r="463" ht="16" customHeight="1">
      <x:c r="A463" s="1"/>
      <x:c r="B463" s="1"/>
      <x:c r="C463" s="1" t="str">
        <x:v>Semajes Marketplace</x:v>
      </x:c>
      <x:c r="D463" s="10" t="n">
        <x:v>12</x:v>
      </x:c>
      <x:c r="E463" s="10" t="n">
        <x:f>SUMIF('Revenue and costs'!$D$1416:$D$1543,C463,'Revenue and costs'!N1416:N1543)</x:f>
        <x:v>62831.89338091239</x:v>
      </x:c>
      <x:c r="F463" s="10" t="n">
        <x:f>SUMIF('Revenue and costs'!$D$1416:$D$1543,C463,'Revenue and costs'!O1416:O1543)+SUMIF('Revenue and costs'!$D$1416:$D$1543,C463,'Revenue and costs'!P1416:P1543)+SUMIF('Revenue and costs'!$D$1416:$D$1543,C463,'Revenue and costs'!Q1416:Q1543)+SUMIF('Revenue and costs'!$D$1416:$D$1543,C463,'Revenue and costs'!R1416:R1543)+SUMIF('Revenue and costs'!$D$1416:$D$1543,C463,'Revenue and costs'!S1416:S1543)+SUMIF('Revenue and costs'!$D$1416:$D$1543,C463,'Revenue and costs'!T1416:T1543)+SUMIF('Revenue and costs'!$D$1416:$D$1543,C463,'Revenue and costs'!U1416:U1543)+SUMIF('Revenue and costs'!$D$1416:$D$1543,C463,'Revenue and costs'!V1416:V1543)+SUMIF('Revenue and costs'!$D$1416:$D$1543,C463,'Revenue and costs'!AE1416:AE1543)</x:f>
        <x:v>31233.22576063989</x:v>
      </x:c>
      <x:c r="G463" s="10" t="n">
        <x:f>IF('Income statement'!O50=0,1/39,E463/'Income statement'!O50)*('Shared costs'!S21+'Assumptions'!$D$18*'Assumptions'!$D$19*12*(1+'Assumptions'!$D$13)^(12-1)*'Assumptions'!$D$21)</x:f>
        <x:v>2805.0606089333155</x:v>
      </x:c>
      <x:c r="H463" s="10" t="n">
        <x:f>IF('Income statement'!O50=0,1/39,E463/'Income statement'!O50)*'Cash and capital'!O18</x:f>
        <x:v>12.186836298384108</x:v>
      </x:c>
      <x:c r="I463" s="10" t="n">
        <x:f>E463-F463-G463-H463</x:f>
        <x:v>28781.420175040803</x:v>
      </x:c>
      <x:c r="J463" s="10" t="n">
        <x:f>M424</x:f>
        <x:v>0</x:v>
      </x:c>
      <x:c r="K463" s="10" t="n">
        <x:f>MAX(0,I463-J463)</x:f>
        <x:v>28781.420175040803</x:v>
      </x:c>
      <x:c r="L463" s="10" t="n">
        <x:f>K463*'Assumptions'!$D$12</x:f>
        <x:v>7195.355043760201</x:v>
      </x:c>
      <x:c r="M463" s="10" t="n">
        <x:f>MAX(0,J463-I463)</x:f>
        <x:v>0</x:v>
      </x:c>
    </x:row>
    <x:row r="464" ht="16" customHeight="1">
      <x:c r="A464" s="1"/>
      <x:c r="B464" s="1"/>
      <x:c r="C464" s="1" t="str">
        <x:v>Semajes premium and media</x:v>
      </x:c>
      <x:c r="D464" s="10" t="n">
        <x:v>12</x:v>
      </x:c>
      <x:c r="E464" s="10" t="n">
        <x:f>SUMIF('Revenue and costs'!$D$1416:$D$1543,C464,'Revenue and costs'!N1416:N1543)</x:f>
        <x:v>43829.4910313878</x:v>
      </x:c>
      <x:c r="F464" s="10" t="n">
        <x:f>SUMIF('Revenue and costs'!$D$1416:$D$1543,C464,'Revenue and costs'!O1416:O1543)+SUMIF('Revenue and costs'!$D$1416:$D$1543,C464,'Revenue and costs'!P1416:P1543)+SUMIF('Revenue and costs'!$D$1416:$D$1543,C464,'Revenue and costs'!Q1416:Q1543)+SUMIF('Revenue and costs'!$D$1416:$D$1543,C464,'Revenue and costs'!R1416:R1543)+SUMIF('Revenue and costs'!$D$1416:$D$1543,C464,'Revenue and costs'!S1416:S1543)+SUMIF('Revenue and costs'!$D$1416:$D$1543,C464,'Revenue and costs'!T1416:T1543)+SUMIF('Revenue and costs'!$D$1416:$D$1543,C464,'Revenue and costs'!U1416:U1543)+SUMIF('Revenue and costs'!$D$1416:$D$1543,C464,'Revenue and costs'!V1416:V1543)+SUMIF('Revenue and costs'!$D$1416:$D$1543,C464,'Revenue and costs'!AE1416:AE1543)</x:f>
        <x:v>24511.284230718735</x:v>
      </x:c>
      <x:c r="G464" s="10" t="n">
        <x:f>IF('Income statement'!O50=0,1/39,E464/'Income statement'!O50)*('Shared costs'!S21+'Assumptions'!$D$18*'Assumptions'!$D$19*12*(1+'Assumptions'!$D$13)^(12-1)*'Assumptions'!$D$21)</x:f>
        <x:v>1956.7193058532127</x:v>
      </x:c>
      <x:c r="H464" s="10" t="n">
        <x:f>IF('Income statement'!O50=0,1/39,E464/'Income statement'!O50)*'Cash and capital'!O18</x:f>
        <x:v>8.501141753007941</x:v>
      </x:c>
      <x:c r="I464" s="10" t="n">
        <x:f>E464-F464-G464-H464</x:f>
        <x:v>17352.986353062843</x:v>
      </x:c>
      <x:c r="J464" s="10" t="n">
        <x:f>M425</x:f>
        <x:v>0</x:v>
      </x:c>
      <x:c r="K464" s="10" t="n">
        <x:f>MAX(0,I464-J464)</x:f>
        <x:v>17352.986353062843</x:v>
      </x:c>
      <x:c r="L464" s="10" t="n">
        <x:f>K464*'Assumptions'!$D$12</x:f>
        <x:v>4338.246588265711</x:v>
      </x:c>
      <x:c r="M464" s="10" t="n">
        <x:f>MAX(0,J464-I464)</x:f>
        <x:v>0</x:v>
      </x:c>
    </x:row>
    <x:row r="465" ht="16" customHeight="1">
      <x:c r="A465" s="1"/>
      <x:c r="B465" s="1"/>
      <x:c r="C465" s="1" t="str">
        <x:v>Semajes courses</x:v>
      </x:c>
      <x:c r="D465" s="10" t="n">
        <x:v>12</x:v>
      </x:c>
      <x:c r="E465" s="10" t="n">
        <x:f>SUMIF('Revenue and costs'!$D$1416:$D$1543,C465,'Revenue and costs'!N1416:N1543)</x:f>
        <x:v>24049.418757407257</x:v>
      </x:c>
      <x:c r="F465" s="10" t="n">
        <x:f>SUMIF('Revenue and costs'!$D$1416:$D$1543,C465,'Revenue and costs'!O1416:O1543)+SUMIF('Revenue and costs'!$D$1416:$D$1543,C465,'Revenue and costs'!P1416:P1543)+SUMIF('Revenue and costs'!$D$1416:$D$1543,C465,'Revenue and costs'!Q1416:Q1543)+SUMIF('Revenue and costs'!$D$1416:$D$1543,C465,'Revenue and costs'!R1416:R1543)+SUMIF('Revenue and costs'!$D$1416:$D$1543,C465,'Revenue and costs'!S1416:S1543)+SUMIF('Revenue and costs'!$D$1416:$D$1543,C465,'Revenue and costs'!T1416:T1543)+SUMIF('Revenue and costs'!$D$1416:$D$1543,C465,'Revenue and costs'!U1416:U1543)+SUMIF('Revenue and costs'!$D$1416:$D$1543,C465,'Revenue and costs'!V1416:V1543)+SUMIF('Revenue and costs'!$D$1416:$D$1543,C465,'Revenue and costs'!AE1416:AE1543)</x:f>
        <x:v>7913.743861972891</x:v>
      </x:c>
      <x:c r="G465" s="10" t="n">
        <x:f>IF('Income statement'!O50=0,1/39,E465/'Income statement'!O50)*('Shared costs'!S21+'Assumptions'!$D$18*'Assumptions'!$D$19*12*(1+'Assumptions'!$D$13)^(12-1)*'Assumptions'!$D$21)</x:f>
        <x:v>1073.6597863631896</x:v>
      </x:c>
      <x:c r="H465" s="10" t="n">
        <x:f>IF('Income statement'!O50=0,1/39,E465/'Income statement'!O50)*'Cash and capital'!O18</x:f>
        <x:v>4.664610816214026</x:v>
      </x:c>
      <x:c r="I465" s="10" t="n">
        <x:f>E465-F465-G465-H465</x:f>
        <x:v>15057.350498254962</x:v>
      </x:c>
      <x:c r="J465" s="10" t="n">
        <x:f>M426</x:f>
        <x:v>0</x:v>
      </x:c>
      <x:c r="K465" s="10" t="n">
        <x:f>MAX(0,I465-J465)</x:f>
        <x:v>15057.350498254962</x:v>
      </x:c>
      <x:c r="L465" s="10" t="n">
        <x:f>K465*'Assumptions'!$D$12</x:f>
        <x:v>3764.3376245637405</x:v>
      </x:c>
      <x:c r="M465" s="10" t="n">
        <x:f>MAX(0,J465-I465)</x:f>
        <x:v>0</x:v>
      </x:c>
    </x:row>
    <x:row r="466" ht="16" customHeight="1">
      <x:c r="A466" s="1"/>
      <x:c r="B466" s="1"/>
      <x:c r="C466" s="1" t="str">
        <x:v>Sleepy Face</x:v>
      </x:c>
      <x:c r="D466" s="10" t="n">
        <x:v>12</x:v>
      </x:c>
      <x:c r="E466" s="10" t="n">
        <x:f>SUMIF('Revenue and costs'!$D$1416:$D$1543,C466,'Revenue and costs'!N1416:N1543)</x:f>
        <x:v>307999.00020851934</x:v>
      </x:c>
      <x:c r="F466" s="10" t="n">
        <x:f>SUMIF('Revenue and costs'!$D$1416:$D$1543,C466,'Revenue and costs'!O1416:O1543)+SUMIF('Revenue and costs'!$D$1416:$D$1543,C466,'Revenue and costs'!P1416:P1543)+SUMIF('Revenue and costs'!$D$1416:$D$1543,C466,'Revenue and costs'!Q1416:Q1543)+SUMIF('Revenue and costs'!$D$1416:$D$1543,C466,'Revenue and costs'!R1416:R1543)+SUMIF('Revenue and costs'!$D$1416:$D$1543,C466,'Revenue and costs'!S1416:S1543)+SUMIF('Revenue and costs'!$D$1416:$D$1543,C466,'Revenue and costs'!T1416:T1543)+SUMIF('Revenue and costs'!$D$1416:$D$1543,C466,'Revenue and costs'!U1416:U1543)+SUMIF('Revenue and costs'!$D$1416:$D$1543,C466,'Revenue and costs'!V1416:V1543)+SUMIF('Revenue and costs'!$D$1416:$D$1543,C466,'Revenue and costs'!AE1416:AE1543)</x:f>
        <x:v>200097.90224271442</x:v>
      </x:c>
      <x:c r="G466" s="10" t="n">
        <x:f>IF('Income statement'!O50=0,1/39,E466/'Income statement'!O50)*('Shared costs'!S21+'Assumptions'!$D$18*'Assumptions'!$D$19*12*(1+'Assumptions'!$D$13)^(12-1)*'Assumptions'!$D$21)</x:f>
        <x:v>13750.275800827952</x:v>
      </x:c>
      <x:c r="H466" s="10" t="n">
        <x:f>IF('Income statement'!O50=0,1/39,E466/'Income statement'!O50)*'Cash and capital'!O18</x:f>
        <x:v>59.739301072017014</x:v>
      </x:c>
      <x:c r="I466" s="10" t="n">
        <x:f>E466-F466-G466-H466</x:f>
        <x:v>94091.08286390496</x:v>
      </x:c>
      <x:c r="J466" s="10" t="n">
        <x:f>M427</x:f>
        <x:v>0</x:v>
      </x:c>
      <x:c r="K466" s="10" t="n">
        <x:f>MAX(0,I466-J466)</x:f>
        <x:v>94091.08286390496</x:v>
      </x:c>
      <x:c r="L466" s="10" t="n">
        <x:f>K466*'Assumptions'!$D$12</x:f>
        <x:v>23522.77071597624</x:v>
      </x:c>
      <x:c r="M466" s="10" t="n">
        <x:f>MAX(0,J466-I466)</x:f>
        <x:v>0</x:v>
      </x:c>
    </x:row>
    <x:row r="467" ht="16" customHeight="1">
      <x:c r="A467" s="1"/>
      <x:c r="B467" s="1"/>
      <x:c r="C467" s="1" t="str">
        <x:v>QzoticMusic</x:v>
      </x:c>
      <x:c r="D467" s="10" t="n">
        <x:v>12</x:v>
      </x:c>
      <x:c r="E467" s="10" t="n">
        <x:f>SUMIF('Revenue and costs'!$D$1416:$D$1543,C467,'Revenue and costs'!N1416:N1543)</x:f>
        <x:v>26951.50384654576</x:v>
      </x:c>
      <x:c r="F467" s="10" t="n">
        <x:f>SUMIF('Revenue and costs'!$D$1416:$D$1543,C467,'Revenue and costs'!O1416:O1543)+SUMIF('Revenue and costs'!$D$1416:$D$1543,C467,'Revenue and costs'!P1416:P1543)+SUMIF('Revenue and costs'!$D$1416:$D$1543,C467,'Revenue and costs'!Q1416:Q1543)+SUMIF('Revenue and costs'!$D$1416:$D$1543,C467,'Revenue and costs'!R1416:R1543)+SUMIF('Revenue and costs'!$D$1416:$D$1543,C467,'Revenue and costs'!S1416:S1543)+SUMIF('Revenue and costs'!$D$1416:$D$1543,C467,'Revenue and costs'!T1416:T1543)+SUMIF('Revenue and costs'!$D$1416:$D$1543,C467,'Revenue and costs'!U1416:U1543)+SUMIF('Revenue and costs'!$D$1416:$D$1543,C467,'Revenue and costs'!V1416:V1543)+SUMIF('Revenue and costs'!$D$1416:$D$1543,C467,'Revenue and costs'!AE1416:AE1543)</x:f>
        <x:v>30408.342464354417</x:v>
      </x:c>
      <x:c r="G467" s="10" t="n">
        <x:f>IF('Income statement'!O50=0,1/39,E467/'Income statement'!O50)*('Shared costs'!S21+'Assumptions'!$D$18*'Assumptions'!$D$19*12*(1+'Assumptions'!$D$13)^(12-1)*'Assumptions'!$D$21)</x:f>
        <x:v>1203.220175670002</x:v>
      </x:c>
      <x:c r="H467" s="10" t="n">
        <x:f>IF('Income statement'!O50=0,1/39,E467/'Income statement'!O50)*'Cash and capital'!O18</x:f>
        <x:v>5.227497496882741</x:v>
      </x:c>
      <x:c r="I467" s="10" t="n">
        <x:f>E467-F467-G467-H467</x:f>
        <x:v>-4665.286290975543</x:v>
      </x:c>
      <x:c r="J467" s="10" t="n">
        <x:f>M428</x:f>
        <x:v>25776.09129600448</x:v>
      </x:c>
      <x:c r="K467" s="10" t="n">
        <x:f>MAX(0,I467-J467)</x:f>
        <x:v>0</x:v>
      </x:c>
      <x:c r="L467" s="10" t="n">
        <x:f>K467*'Assumptions'!$D$12</x:f>
        <x:v>0</x:v>
      </x:c>
      <x:c r="M467" s="10" t="n">
        <x:f>MAX(0,J467-I467)</x:f>
        <x:v>30441.377586980023</x:v>
      </x:c>
    </x:row>
    <x:row r="468" ht="16" customHeight="1">
      <x:c r="A468" s="1"/>
      <x:c r="B468" s="1"/>
      <x:c r="C468" s="1" t="str">
        <x:v>LesPetitFilms</x:v>
      </x:c>
      <x:c r="D468" s="10" t="n">
        <x:v>12</x:v>
      </x:c>
      <x:c r="E468" s="10" t="n">
        <x:f>SUMIF('Revenue and costs'!$D$1416:$D$1543,C468,'Revenue and costs'!N1416:N1543)</x:f>
        <x:v>98354.93590339816</x:v>
      </x:c>
      <x:c r="F468" s="10" t="n">
        <x:f>SUMIF('Revenue and costs'!$D$1416:$D$1543,C468,'Revenue and costs'!O1416:O1543)+SUMIF('Revenue and costs'!$D$1416:$D$1543,C468,'Revenue and costs'!P1416:P1543)+SUMIF('Revenue and costs'!$D$1416:$D$1543,C468,'Revenue and costs'!Q1416:Q1543)+SUMIF('Revenue and costs'!$D$1416:$D$1543,C468,'Revenue and costs'!R1416:R1543)+SUMIF('Revenue and costs'!$D$1416:$D$1543,C468,'Revenue and costs'!S1416:S1543)+SUMIF('Revenue and costs'!$D$1416:$D$1543,C468,'Revenue and costs'!T1416:T1543)+SUMIF('Revenue and costs'!$D$1416:$D$1543,C468,'Revenue and costs'!U1416:U1543)+SUMIF('Revenue and costs'!$D$1416:$D$1543,C468,'Revenue and costs'!V1416:V1543)+SUMIF('Revenue and costs'!$D$1416:$D$1543,C468,'Revenue and costs'!AE1416:AE1543)</x:f>
        <x:v>58578.59292173744</x:v>
      </x:c>
      <x:c r="G468" s="10" t="n">
        <x:f>IF('Income statement'!O50=0,1/39,E468/'Income statement'!O50)*('Shared costs'!S21+'Assumptions'!$D$18*'Assumptions'!$D$19*12*(1+'Assumptions'!$D$13)^(12-1)*'Assumptions'!$D$21)</x:f>
        <x:v>4390.9476788200045</x:v>
      </x:c>
      <x:c r="H468" s="10" t="n">
        <x:f>IF('Income statement'!O50=0,1/39,E468/'Income statement'!O50)*'Cash and capital'!O18</x:f>
        <x:v>19.07686428811179</x:v>
      </x:c>
      <x:c r="I468" s="10" t="n">
        <x:f>E468-F468-G468-H468</x:f>
        <x:v>35366.318438552604</x:v>
      </x:c>
      <x:c r="J468" s="10" t="n">
        <x:f>M429</x:f>
        <x:v>0</x:v>
      </x:c>
      <x:c r="K468" s="10" t="n">
        <x:f>MAX(0,I468-J468)</x:f>
        <x:v>35366.318438552604</x:v>
      </x:c>
      <x:c r="L468" s="10" t="n">
        <x:f>K468*'Assumptions'!$D$12</x:f>
        <x:v>8841.579609638151</x:v>
      </x:c>
      <x:c r="M468" s="10" t="n">
        <x:f>MAX(0,J468-I468)</x:f>
        <x:v>0</x:v>
      </x:c>
    </x:row>
    <x:row r="469" ht="16" customHeight="1">
      <x:c r="A469" s="1"/>
      <x:c r="B469" s="1"/>
      <x:c r="C469" s="1" t="str">
        <x:v>Learn Anglais</x:v>
      </x:c>
      <x:c r="D469" s="10" t="n">
        <x:v>12</x:v>
      </x:c>
      <x:c r="E469" s="10" t="n">
        <x:f>SUMIF('Revenue and costs'!$D$1416:$D$1543,C469,'Revenue and costs'!N1416:N1543)</x:f>
        <x:v>103288.60928836637</x:v>
      </x:c>
      <x:c r="F469" s="10" t="n">
        <x:f>SUMIF('Revenue and costs'!$D$1416:$D$1543,C469,'Revenue and costs'!O1416:O1543)+SUMIF('Revenue and costs'!$D$1416:$D$1543,C469,'Revenue and costs'!P1416:P1543)+SUMIF('Revenue and costs'!$D$1416:$D$1543,C469,'Revenue and costs'!Q1416:Q1543)+SUMIF('Revenue and costs'!$D$1416:$D$1543,C469,'Revenue and costs'!R1416:R1543)+SUMIF('Revenue and costs'!$D$1416:$D$1543,C469,'Revenue and costs'!S1416:S1543)+SUMIF('Revenue and costs'!$D$1416:$D$1543,C469,'Revenue and costs'!T1416:T1543)+SUMIF('Revenue and costs'!$D$1416:$D$1543,C469,'Revenue and costs'!U1416:U1543)+SUMIF('Revenue and costs'!$D$1416:$D$1543,C469,'Revenue and costs'!V1416:V1543)+SUMIF('Revenue and costs'!$D$1416:$D$1543,C469,'Revenue and costs'!AE1416:AE1543)</x:f>
        <x:v>64459.82612834032</x:v>
      </x:c>
      <x:c r="G469" s="10" t="n">
        <x:f>IF('Income statement'!O50=0,1/39,E469/'Income statement'!O50)*('Shared costs'!S21+'Assumptions'!$D$18*'Assumptions'!$D$19*12*(1+'Assumptions'!$D$13)^(12-1)*'Assumptions'!$D$21)</x:f>
        <x:v>4611.206087803765</x:v>
      </x:c>
      <x:c r="H469" s="10" t="n">
        <x:f>IF('Income statement'!O50=0,1/39,E469/'Income statement'!O50)*'Cash and capital'!O18</x:f>
        <x:v>20.033796614307896</x:v>
      </x:c>
      <x:c r="I469" s="10" t="n">
        <x:f>E469-F469-G469-H469</x:f>
        <x:v>34197.543275607975</x:v>
      </x:c>
      <x:c r="J469" s="10" t="n">
        <x:f>M430</x:f>
        <x:v>0</x:v>
      </x:c>
      <x:c r="K469" s="10" t="n">
        <x:f>MAX(0,I469-J469)</x:f>
        <x:v>34197.543275607975</x:v>
      </x:c>
      <x:c r="L469" s="10" t="n">
        <x:f>K469*'Assumptions'!$D$12</x:f>
        <x:v>8549.385818901994</x:v>
      </x:c>
      <x:c r="M469" s="10" t="n">
        <x:f>MAX(0,J469-I469)</x:f>
        <x:v>0</x:v>
      </x:c>
    </x:row>
    <x:row r="470" ht="16" customHeight="1">
      <x:c r="A470" s="1"/>
      <x:c r="B470" s="1"/>
      <x:c r="C470" s="1" t="str">
        <x:v>Fiefé</x:v>
      </x:c>
      <x:c r="D470" s="10" t="n">
        <x:v>12</x:v>
      </x:c>
      <x:c r="E470" s="10" t="n">
        <x:f>SUMIF('Revenue and costs'!$D$1416:$D$1543,C470,'Revenue and costs'!N1416:N1543)</x:f>
        <x:v>72472.44993332404</x:v>
      </x:c>
      <x:c r="F470" s="10" t="n">
        <x:f>SUMIF('Revenue and costs'!$D$1416:$D$1543,C470,'Revenue and costs'!O1416:O1543)+SUMIF('Revenue and costs'!$D$1416:$D$1543,C470,'Revenue and costs'!P1416:P1543)+SUMIF('Revenue and costs'!$D$1416:$D$1543,C470,'Revenue and costs'!Q1416:Q1543)+SUMIF('Revenue and costs'!$D$1416:$D$1543,C470,'Revenue and costs'!R1416:R1543)+SUMIF('Revenue and costs'!$D$1416:$D$1543,C470,'Revenue and costs'!S1416:S1543)+SUMIF('Revenue and costs'!$D$1416:$D$1543,C470,'Revenue and costs'!T1416:T1543)+SUMIF('Revenue and costs'!$D$1416:$D$1543,C470,'Revenue and costs'!U1416:U1543)+SUMIF('Revenue and costs'!$D$1416:$D$1543,C470,'Revenue and costs'!V1416:V1543)+SUMIF('Revenue and costs'!$D$1416:$D$1543,C470,'Revenue and costs'!AE1416:AE1543)</x:f>
        <x:v>58767.61654559788</x:v>
      </x:c>
      <x:c r="G470" s="10" t="n">
        <x:f>IF('Income statement'!O50=0,1/39,E470/'Income statement'!O50)*('Shared costs'!S21+'Assumptions'!$D$18*'Assumptions'!$D$19*12*(1+'Assumptions'!$D$13)^(12-1)*'Assumptions'!$D$21)</x:f>
        <x:v>3235.4526276716692</x:v>
      </x:c>
      <x:c r="H470" s="10" t="n">
        <x:f>IF('Income statement'!O50=0,1/39,E470/'Income statement'!O50)*'Cash and capital'!O18</x:f>
        <x:v>14.05671285641326</x:v>
      </x:c>
      <x:c r="I470" s="10" t="n">
        <x:f>E470-F470-G470-H470</x:f>
        <x:v>10455.324047198079</x:v>
      </x:c>
      <x:c r="J470" s="10" t="n">
        <x:f>M431</x:f>
        <x:v>0</x:v>
      </x:c>
      <x:c r="K470" s="10" t="n">
        <x:f>MAX(0,I470-J470)</x:f>
        <x:v>10455.324047198079</x:v>
      </x:c>
      <x:c r="L470" s="10" t="n">
        <x:f>K470*'Assumptions'!$D$12</x:f>
        <x:v>2613.8310117995197</x:v>
      </x:c>
      <x:c r="M470" s="10" t="n">
        <x:f>MAX(0,J470-I470)</x:f>
        <x:v>0</x:v>
      </x:c>
    </x:row>
    <x:row r="471" ht="16" customHeight="1">
      <x:c r="A471" s="1"/>
      <x:c r="B471" s="1"/>
      <x:c r="C471" s="1" t="str">
        <x:v>Fiefé Design</x:v>
      </x:c>
      <x:c r="D471" s="10" t="n">
        <x:v>12</x:v>
      </x:c>
      <x:c r="E471" s="10" t="n">
        <x:f>SUMIF('Revenue and costs'!$D$1416:$D$1543,C471,'Revenue and costs'!N1416:N1543)</x:f>
        <x:v>45154.17441328602</x:v>
      </x:c>
      <x:c r="F471" s="10" t="n">
        <x:f>SUMIF('Revenue and costs'!$D$1416:$D$1543,C471,'Revenue and costs'!O1416:O1543)+SUMIF('Revenue and costs'!$D$1416:$D$1543,C471,'Revenue and costs'!P1416:P1543)+SUMIF('Revenue and costs'!$D$1416:$D$1543,C471,'Revenue and costs'!Q1416:Q1543)+SUMIF('Revenue and costs'!$D$1416:$D$1543,C471,'Revenue and costs'!R1416:R1543)+SUMIF('Revenue and costs'!$D$1416:$D$1543,C471,'Revenue and costs'!S1416:S1543)+SUMIF('Revenue and costs'!$D$1416:$D$1543,C471,'Revenue and costs'!T1416:T1543)+SUMIF('Revenue and costs'!$D$1416:$D$1543,C471,'Revenue and costs'!U1416:U1543)+SUMIF('Revenue and costs'!$D$1416:$D$1543,C471,'Revenue and costs'!V1416:V1543)+SUMIF('Revenue and costs'!$D$1416:$D$1543,C471,'Revenue and costs'!AE1416:AE1543)</x:f>
        <x:v>34299.84681762244</x:v>
      </x:c>
      <x:c r="G471" s="10" t="n">
        <x:f>IF('Income statement'!O50=0,1/39,E471/'Income statement'!O50)*('Shared costs'!S21+'Assumptions'!$D$18*'Assumptions'!$D$19*12*(1+'Assumptions'!$D$13)^(12-1)*'Assumptions'!$D$21)</x:f>
        <x:v>2015.858334997925</x:v>
      </x:c>
      <x:c r="H471" s="10" t="n">
        <x:f>IF('Income statement'!O50=0,1/39,E471/'Income statement'!O50)*'Cash and capital'!O18</x:f>
        <x:v>8.758076546051878</x:v>
      </x:c>
      <x:c r="I471" s="10" t="n">
        <x:f>E471-F471-G471-H471</x:f>
        <x:v>8829.7111841196</x:v>
      </x:c>
      <x:c r="J471" s="10" t="n">
        <x:f>M432</x:f>
        <x:v>0</x:v>
      </x:c>
      <x:c r="K471" s="10" t="n">
        <x:f>MAX(0,I471-J471)</x:f>
        <x:v>8829.7111841196</x:v>
      </x:c>
      <x:c r="L471" s="10" t="n">
        <x:f>K471*'Assumptions'!$D$12</x:f>
        <x:v>2207.4277960299</x:v>
      </x:c>
      <x:c r="M471" s="10" t="n">
        <x:f>MAX(0,J471-I471)</x:f>
        <x:v>0</x:v>
      </x:c>
    </x:row>
    <x:row r="472" ht="16" customHeight="1">
      <x:c r="A472" s="1"/>
      <x:c r="B472" s="1"/>
      <x:c r="C472" s="1" t="str">
        <x:v>OsezArt</x:v>
      </x:c>
      <x:c r="D472" s="10" t="n">
        <x:v>12</x:v>
      </x:c>
      <x:c r="E472" s="10" t="n">
        <x:f>SUMIF('Revenue and costs'!$D$1416:$D$1543,C472,'Revenue and costs'!N1416:N1543)</x:f>
        <x:v>177397.08143114886</x:v>
      </x:c>
      <x:c r="F472" s="10" t="n">
        <x:f>SUMIF('Revenue and costs'!$D$1416:$D$1543,C472,'Revenue and costs'!O1416:O1543)+SUMIF('Revenue and costs'!$D$1416:$D$1543,C472,'Revenue and costs'!P1416:P1543)+SUMIF('Revenue and costs'!$D$1416:$D$1543,C472,'Revenue and costs'!Q1416:Q1543)+SUMIF('Revenue and costs'!$D$1416:$D$1543,C472,'Revenue and costs'!R1416:R1543)+SUMIF('Revenue and costs'!$D$1416:$D$1543,C472,'Revenue and costs'!S1416:S1543)+SUMIF('Revenue and costs'!$D$1416:$D$1543,C472,'Revenue and costs'!T1416:T1543)+SUMIF('Revenue and costs'!$D$1416:$D$1543,C472,'Revenue and costs'!U1416:U1543)+SUMIF('Revenue and costs'!$D$1416:$D$1543,C472,'Revenue and costs'!V1416:V1543)+SUMIF('Revenue and costs'!$D$1416:$D$1543,C472,'Revenue and costs'!AE1416:AE1543)</x:f>
        <x:v>99761.26050827575</x:v>
      </x:c>
      <x:c r="G472" s="10" t="n">
        <x:f>IF('Income statement'!O50=0,1/39,E472/'Income statement'!O50)*('Shared costs'!S21+'Assumptions'!$D$18*'Assumptions'!$D$19*12*(1+'Assumptions'!$D$13)^(12-1)*'Assumptions'!$D$21)</x:f>
        <x:v>7919.6971233309905</x:v>
      </x:c>
      <x:c r="H472" s="10" t="n">
        <x:f>IF('Income statement'!O50=0,1/39,E472/'Income statement'!O50)*'Cash and capital'!O18</x:f>
        <x:v>34.40783135574409</x:v>
      </x:c>
      <x:c r="I472" s="10" t="n">
        <x:f>E472-F472-G472-H472</x:f>
        <x:v>69681.71596818638</x:v>
      </x:c>
      <x:c r="J472" s="10" t="n">
        <x:f>M433</x:f>
        <x:v>0</x:v>
      </x:c>
      <x:c r="K472" s="10" t="n">
        <x:f>MAX(0,I472-J472)</x:f>
        <x:v>69681.71596818638</x:v>
      </x:c>
      <x:c r="L472" s="10" t="n">
        <x:f>K472*'Assumptions'!$D$12</x:f>
        <x:v>17420.428992046596</x:v>
      </x:c>
      <x:c r="M472" s="10" t="n">
        <x:f>MAX(0,J472-I472)</x:f>
        <x:v>0</x:v>
      </x:c>
    </x:row>
    <x:row r="473" ht="16" customHeight="1">
      <x:c r="A473" s="1"/>
      <x:c r="B473" s="1"/>
      <x:c r="C473" s="1" t="str">
        <x:v>FinBot research</x:v>
      </x:c>
      <x:c r="D473" s="10" t="n">
        <x:v>12</x:v>
      </x:c>
      <x:c r="E473" s="10" t="n">
        <x:f>SUMIF('Revenue and costs'!$D$1416:$D$1543,C473,'Revenue and costs'!N1416:N1543)</x:f>
        <x:v>8941.450313482716</x:v>
      </x:c>
      <x:c r="F473" s="10" t="n">
        <x:f>SUMIF('Revenue and costs'!$D$1416:$D$1543,C473,'Revenue and costs'!O1416:O1543)+SUMIF('Revenue and costs'!$D$1416:$D$1543,C473,'Revenue and costs'!P1416:P1543)+SUMIF('Revenue and costs'!$D$1416:$D$1543,C473,'Revenue and costs'!Q1416:Q1543)+SUMIF('Revenue and costs'!$D$1416:$D$1543,C473,'Revenue and costs'!R1416:R1543)+SUMIF('Revenue and costs'!$D$1416:$D$1543,C473,'Revenue and costs'!S1416:S1543)+SUMIF('Revenue and costs'!$D$1416:$D$1543,C473,'Revenue and costs'!T1416:T1543)+SUMIF('Revenue and costs'!$D$1416:$D$1543,C473,'Revenue and costs'!U1416:U1543)+SUMIF('Revenue and costs'!$D$1416:$D$1543,C473,'Revenue and costs'!V1416:V1543)+SUMIF('Revenue and costs'!$D$1416:$D$1543,C473,'Revenue and costs'!AE1416:AE1543)</x:f>
        <x:v>5369.763942959814</x:v>
      </x:c>
      <x:c r="G473" s="10" t="n">
        <x:f>IF('Income statement'!O50=0,1/39,E473/'Income statement'!O50)*('Shared costs'!S21+'Assumptions'!$D$18*'Assumptions'!$D$19*12*(1+'Assumptions'!$D$13)^(12-1)*'Assumptions'!$D$21)</x:f>
        <x:v>399.1811914537057</x:v>
      </x:c>
      <x:c r="H473" s="10" t="n">
        <x:f>IF('Income statement'!O50=0,1/39,E473/'Income statement'!O50)*'Cash and capital'!O18</x:f>
        <x:v>1.7342783318646955</x:v>
      </x:c>
      <x:c r="I473" s="10" t="n">
        <x:f>E473-F473-G473-H473</x:f>
        <x:v>3170.7709007373314</x:v>
      </x:c>
      <x:c r="J473" s="10" t="n">
        <x:f>M434</x:f>
        <x:v>0</x:v>
      </x:c>
      <x:c r="K473" s="10" t="n">
        <x:f>MAX(0,I473-J473)</x:f>
        <x:v>3170.7709007373314</x:v>
      </x:c>
      <x:c r="L473" s="10" t="n">
        <x:f>K473*'Assumptions'!$D$12</x:f>
        <x:v>792.6927251843329</x:v>
      </x:c>
      <x:c r="M473" s="10" t="n">
        <x:f>MAX(0,J473-I473)</x:f>
        <x:v>0</x:v>
      </x:c>
    </x:row>
    <x:row r="474" ht="16" customHeight="1">
      <x:c r="A474" s="1"/>
      <x:c r="B474" s="1"/>
      <x:c r="C474" s="1" t="str">
        <x:v>Functional Analysis</x:v>
      </x:c>
      <x:c r="D474" s="10" t="n">
        <x:v>12</x:v>
      </x:c>
      <x:c r="E474" s="10" t="n">
        <x:f>SUMIF('Revenue and costs'!$D$1416:$D$1543,C474,'Revenue and costs'!N1416:N1543)</x:f>
        <x:v>19233.7752771587</x:v>
      </x:c>
      <x:c r="F474" s="10" t="n">
        <x:f>SUMIF('Revenue and costs'!$D$1416:$D$1543,C474,'Revenue and costs'!O1416:O1543)+SUMIF('Revenue and costs'!$D$1416:$D$1543,C474,'Revenue and costs'!P1416:P1543)+SUMIF('Revenue and costs'!$D$1416:$D$1543,C474,'Revenue and costs'!Q1416:Q1543)+SUMIF('Revenue and costs'!$D$1416:$D$1543,C474,'Revenue and costs'!R1416:R1543)+SUMIF('Revenue and costs'!$D$1416:$D$1543,C474,'Revenue and costs'!S1416:S1543)+SUMIF('Revenue and costs'!$D$1416:$D$1543,C474,'Revenue and costs'!T1416:T1543)+SUMIF('Revenue and costs'!$D$1416:$D$1543,C474,'Revenue and costs'!U1416:U1543)+SUMIF('Revenue and costs'!$D$1416:$D$1543,C474,'Revenue and costs'!V1416:V1543)+SUMIF('Revenue and costs'!$D$1416:$D$1543,C474,'Revenue and costs'!AE1416:AE1543)</x:f>
        <x:v>10373.781008513462</x:v>
      </x:c>
      <x:c r="G474" s="10" t="n">
        <x:f>IF('Income statement'!O50=0,1/39,E474/'Income statement'!O50)*('Shared costs'!S21+'Assumptions'!$D$18*'Assumptions'!$D$19*12*(1+'Assumptions'!$D$13)^(12-1)*'Assumptions'!$D$21)</x:f>
        <x:v>858.6706923497438</x:v>
      </x:c>
      <x:c r="H474" s="10" t="n">
        <x:f>IF('Income statement'!O50=0,1/39,E474/'Income statement'!O50)*'Cash and capital'!O18</x:f>
        <x:v>3.730571499439299</x:v>
      </x:c>
      <x:c r="I474" s="10" t="n">
        <x:f>E474-F474-G474-H474</x:f>
        <x:v>7997.593004796055</x:v>
      </x:c>
      <x:c r="J474" s="10" t="n">
        <x:f>M435</x:f>
        <x:v>0</x:v>
      </x:c>
      <x:c r="K474" s="10" t="n">
        <x:f>MAX(0,I474-J474)</x:f>
        <x:v>7997.593004796055</x:v>
      </x:c>
      <x:c r="L474" s="10" t="n">
        <x:f>K474*'Assumptions'!$D$12</x:f>
        <x:v>1999.3982511990137</x:v>
      </x:c>
      <x:c r="M474" s="10" t="n">
        <x:f>MAX(0,J474-I474)</x:f>
        <x:v>0</x:v>
      </x:c>
    </x:row>
    <x:row r="475" ht="16" customHeight="1">
      <x:c r="A475" s="1"/>
      <x:c r="B475" s="1"/>
      <x:c r="C475" s="1" t="str">
        <x:v>Independent candy game</x:v>
      </x:c>
      <x:c r="D475" s="10" t="n">
        <x:v>12</x:v>
      </x:c>
      <x:c r="E475" s="10" t="n">
        <x:f>SUMIF('Revenue and costs'!$D$1416:$D$1543,C475,'Revenue and costs'!N1416:N1543)</x:f>
        <x:v>7692.730528323922</x:v>
      </x:c>
      <x:c r="F475" s="10" t="n">
        <x:f>SUMIF('Revenue and costs'!$D$1416:$D$1543,C475,'Revenue and costs'!O1416:O1543)+SUMIF('Revenue and costs'!$D$1416:$D$1543,C475,'Revenue and costs'!P1416:P1543)+SUMIF('Revenue and costs'!$D$1416:$D$1543,C475,'Revenue and costs'!Q1416:Q1543)+SUMIF('Revenue and costs'!$D$1416:$D$1543,C475,'Revenue and costs'!R1416:R1543)+SUMIF('Revenue and costs'!$D$1416:$D$1543,C475,'Revenue and costs'!S1416:S1543)+SUMIF('Revenue and costs'!$D$1416:$D$1543,C475,'Revenue and costs'!T1416:T1543)+SUMIF('Revenue and costs'!$D$1416:$D$1543,C475,'Revenue and costs'!U1416:U1543)+SUMIF('Revenue and costs'!$D$1416:$D$1543,C475,'Revenue and costs'!V1416:V1543)+SUMIF('Revenue and costs'!$D$1416:$D$1543,C475,'Revenue and costs'!AE1416:AE1543)</x:f>
        <x:v>7544.718261648811</x:v>
      </x:c>
      <x:c r="G475" s="10" t="n">
        <x:f>IF('Income statement'!O50=0,1/39,E475/'Income statement'!O50)*('Shared costs'!S21+'Assumptions'!$D$18*'Assumptions'!$D$19*12*(1+'Assumptions'!$D$13)^(12-1)*'Assumptions'!$D$21)</x:f>
        <x:v>343.433473336895</x:v>
      </x:c>
      <x:c r="H475" s="10" t="n">
        <x:f>IF('Income statement'!O50=0,1/39,E475/'Income statement'!O50)*'Cash and capital'!O18</x:f>
        <x:v>1.4920773924146256</x:v>
      </x:c>
      <x:c r="I475" s="10" t="n">
        <x:f>E475-F475-G475-H475</x:f>
        <x:v>-196.91328405419836</x:v>
      </x:c>
      <x:c r="J475" s="10" t="n">
        <x:f>M436</x:f>
        <x:v>196.1155211884751</x:v>
      </x:c>
      <x:c r="K475" s="10" t="n">
        <x:f>MAX(0,I475-J475)</x:f>
        <x:v>0</x:v>
      </x:c>
      <x:c r="L475" s="10" t="n">
        <x:f>K475*'Assumptions'!$D$12</x:f>
        <x:v>0</x:v>
      </x:c>
      <x:c r="M475" s="10" t="n">
        <x:f>MAX(0,J475-I475)</x:f>
        <x:v>393.02880524267346</x:v>
      </x:c>
    </x:row>
    <x:row r="476" ht="16" customHeight="1">
      <x:c r="A476" s="1"/>
      <x:c r="B476" s="1"/>
      <x:c r="C476" s="1" t="str">
        <x:v>ETV courses</x:v>
      </x:c>
      <x:c r="D476" s="10" t="n">
        <x:v>13</x:v>
      </x:c>
      <x:c r="E476" s="10" t="n">
        <x:f>SUMIF('Revenue and costs'!$D$1544:$D$1671,C476,'Revenue and costs'!N1544:N1671)</x:f>
        <x:v>54819.106745966244</x:v>
      </x:c>
      <x:c r="F476" s="10" t="n">
        <x:f>SUMIF('Revenue and costs'!$D$1544:$D$1671,C476,'Revenue and costs'!O1544:O1671)+SUMIF('Revenue and costs'!$D$1544:$D$1671,C476,'Revenue and costs'!P1544:P1671)+SUMIF('Revenue and costs'!$D$1544:$D$1671,C476,'Revenue and costs'!Q1544:Q1671)+SUMIF('Revenue and costs'!$D$1544:$D$1671,C476,'Revenue and costs'!R1544:R1671)+SUMIF('Revenue and costs'!$D$1544:$D$1671,C476,'Revenue and costs'!S1544:S1671)+SUMIF('Revenue and costs'!$D$1544:$D$1671,C476,'Revenue and costs'!T1544:T1671)+SUMIF('Revenue and costs'!$D$1544:$D$1671,C476,'Revenue and costs'!U1544:U1671)+SUMIF('Revenue and costs'!$D$1544:$D$1671,C476,'Revenue and costs'!V1544:V1671)+SUMIF('Revenue and costs'!$D$1544:$D$1671,C476,'Revenue and costs'!AE1544:AE1671)</x:f>
        <x:v>20790.41719707698</x:v>
      </x:c>
      <x:c r="G476" s="10" t="n">
        <x:f>IF('Income statement'!P50=0,1/39,E476/'Income statement'!P50)*('Shared costs'!T21+'Assumptions'!$D$18*'Assumptions'!$D$19*12*(1+'Assumptions'!$D$13)^(13-1)*'Assumptions'!$D$21)</x:f>
        <x:v>2511.4542751249123</x:v>
      </x:c>
      <x:c r="H476" s="10" t="n">
        <x:f>IF('Income statement'!P50=0,1/39,E476/'Income statement'!P50)*'Cash and capital'!P18</x:f>
        <x:v>11.09905012886672</x:v>
      </x:c>
      <x:c r="I476" s="10" t="n">
        <x:f>E476-F476-G476-H476</x:f>
        <x:v>31506.136223635483</x:v>
      </x:c>
      <x:c r="J476" s="10" t="n">
        <x:f>M437</x:f>
        <x:v>0</x:v>
      </x:c>
      <x:c r="K476" s="10" t="n">
        <x:f>MAX(0,I476-J476)</x:f>
        <x:v>31506.136223635483</x:v>
      </x:c>
      <x:c r="L476" s="10" t="n">
        <x:f>K476*'Assumptions'!$D$12</x:f>
        <x:v>7876.534055908871</x:v>
      </x:c>
      <x:c r="M476" s="10" t="n">
        <x:f>MAX(0,J476-I476)</x:f>
        <x:v>0</x:v>
      </x:c>
    </x:row>
    <x:row r="477" ht="16" customHeight="1">
      <x:c r="A477" s="1"/>
      <x:c r="B477" s="1"/>
      <x:c r="C477" s="1" t="str">
        <x:v>ETV services</x:v>
      </x:c>
      <x:c r="D477" s="10" t="n">
        <x:v>13</x:v>
      </x:c>
      <x:c r="E477" s="10" t="n">
        <x:f>SUMIF('Revenue and costs'!$D$1544:$D$1671,C477,'Revenue and costs'!N1544:N1671)</x:f>
        <x:v>137434.0784788011</x:v>
      </x:c>
      <x:c r="F477" s="10" t="n">
        <x:f>SUMIF('Revenue and costs'!$D$1544:$D$1671,C477,'Revenue and costs'!O1544:O1671)+SUMIF('Revenue and costs'!$D$1544:$D$1671,C477,'Revenue and costs'!P1544:P1671)+SUMIF('Revenue and costs'!$D$1544:$D$1671,C477,'Revenue and costs'!Q1544:Q1671)+SUMIF('Revenue and costs'!$D$1544:$D$1671,C477,'Revenue and costs'!R1544:R1671)+SUMIF('Revenue and costs'!$D$1544:$D$1671,C477,'Revenue and costs'!S1544:S1671)+SUMIF('Revenue and costs'!$D$1544:$D$1671,C477,'Revenue and costs'!T1544:T1671)+SUMIF('Revenue and costs'!$D$1544:$D$1671,C477,'Revenue and costs'!U1544:U1671)+SUMIF('Revenue and costs'!$D$1544:$D$1671,C477,'Revenue and costs'!V1544:V1671)+SUMIF('Revenue and costs'!$D$1544:$D$1671,C477,'Revenue and costs'!AE1544:AE1671)</x:f>
        <x:v>96205.44064919687</x:v>
      </x:c>
      <x:c r="G477" s="10" t="n">
        <x:f>IF('Income statement'!P50=0,1/39,E477/'Income statement'!P50)*('Shared costs'!T21+'Assumptions'!$D$18*'Assumptions'!$D$19*12*(1+'Assumptions'!$D$13)^(13-1)*'Assumptions'!$D$21)</x:f>
        <x:v>6296.333968791558</x:v>
      </x:c>
      <x:c r="H477" s="10" t="n">
        <x:f>IF('Income statement'!P50=0,1/39,E477/'Income statement'!P50)*'Cash and capital'!P18</x:f>
        <x:v>27.825840605530455</x:v>
      </x:c>
      <x:c r="I477" s="10" t="n">
        <x:f>E477-F477-G477-H477</x:f>
        <x:v>34904.478020207134</x:v>
      </x:c>
      <x:c r="J477" s="10" t="n">
        <x:f>M438</x:f>
        <x:v>0</x:v>
      </x:c>
      <x:c r="K477" s="10" t="n">
        <x:f>MAX(0,I477-J477)</x:f>
        <x:v>34904.478020207134</x:v>
      </x:c>
      <x:c r="L477" s="10" t="n">
        <x:f>K477*'Assumptions'!$D$12</x:f>
        <x:v>8726.119505051784</x:v>
      </x:c>
      <x:c r="M477" s="10" t="n">
        <x:f>MAX(0,J477-I477)</x:f>
        <x:v>0</x:v>
      </x:c>
    </x:row>
    <x:row r="478" ht="16" customHeight="1">
      <x:c r="A478" s="1"/>
      <x:c r="B478" s="1"/>
      <x:c r="C478" s="1" t="str">
        <x:v>BPA professional services</x:v>
      </x:c>
      <x:c r="D478" s="10" t="n">
        <x:v>13</x:v>
      </x:c>
      <x:c r="E478" s="10" t="n">
        <x:f>SUMIF('Revenue and costs'!$D$1544:$D$1671,C478,'Revenue and costs'!N1544:N1671)</x:f>
        <x:v>753393.5074717612</x:v>
      </x:c>
      <x:c r="F478" s="10" t="n">
        <x:f>SUMIF('Revenue and costs'!$D$1544:$D$1671,C478,'Revenue and costs'!O1544:O1671)+SUMIF('Revenue and costs'!$D$1544:$D$1671,C478,'Revenue and costs'!P1544:P1671)+SUMIF('Revenue and costs'!$D$1544:$D$1671,C478,'Revenue and costs'!Q1544:Q1671)+SUMIF('Revenue and costs'!$D$1544:$D$1671,C478,'Revenue and costs'!R1544:R1671)+SUMIF('Revenue and costs'!$D$1544:$D$1671,C478,'Revenue and costs'!S1544:S1671)+SUMIF('Revenue and costs'!$D$1544:$D$1671,C478,'Revenue and costs'!T1544:T1671)+SUMIF('Revenue and costs'!$D$1544:$D$1671,C478,'Revenue and costs'!U1544:U1671)+SUMIF('Revenue and costs'!$D$1544:$D$1671,C478,'Revenue and costs'!V1544:V1671)+SUMIF('Revenue and costs'!$D$1544:$D$1671,C478,'Revenue and costs'!AE1544:AE1671)</x:f>
        <x:v>437739.63589661825</x:v>
      </x:c>
      <x:c r="G478" s="10" t="n">
        <x:f>IF('Income statement'!P50=0,1/39,E478/'Income statement'!P50)*('Shared costs'!T21+'Assumptions'!$D$18*'Assumptions'!$D$19*12*(1+'Assumptions'!$D$13)^(13-1)*'Assumptions'!$D$21)</x:f>
        <x:v>34515.58147343462</x:v>
      </x:c>
      <x:c r="H478" s="10" t="n">
        <x:f>IF('Income statement'!P50=0,1/39,E478/'Income statement'!P50)*'Cash and capital'!P18</x:f>
        <x:v>152.5371864401475</x:v>
      </x:c>
      <x:c r="I478" s="10" t="n">
        <x:f>E478-F478-G478-H478</x:f>
        <x:v>280985.7529152682</x:v>
      </x:c>
      <x:c r="J478" s="10" t="n">
        <x:f>M439</x:f>
        <x:v>0</x:v>
      </x:c>
      <x:c r="K478" s="10" t="n">
        <x:f>MAX(0,I478-J478)</x:f>
        <x:v>280985.7529152682</x:v>
      </x:c>
      <x:c r="L478" s="10" t="n">
        <x:f>K478*'Assumptions'!$D$12</x:f>
        <x:v>70246.43822881705</x:v>
      </x:c>
      <x:c r="M478" s="10" t="n">
        <x:f>MAX(0,J478-I478)</x:f>
        <x:v>0</x:v>
      </x:c>
    </x:row>
    <x:row r="479" ht="16" customHeight="1">
      <x:c r="A479" s="1"/>
      <x:c r="B479" s="1"/>
      <x:c r="C479" s="1" t="str">
        <x:v>CornerFlow</x:v>
      </x:c>
      <x:c r="D479" s="10" t="n">
        <x:v>13</x:v>
      </x:c>
      <x:c r="E479" s="10" t="n">
        <x:f>SUMIF('Revenue and costs'!$D$1544:$D$1671,C479,'Revenue and costs'!N1544:N1671)</x:f>
        <x:v>26404.410076694523</x:v>
      </x:c>
      <x:c r="F479" s="10" t="n">
        <x:f>SUMIF('Revenue and costs'!$D$1544:$D$1671,C479,'Revenue and costs'!O1544:O1671)+SUMIF('Revenue and costs'!$D$1544:$D$1671,C479,'Revenue and costs'!P1544:P1671)+SUMIF('Revenue and costs'!$D$1544:$D$1671,C479,'Revenue and costs'!Q1544:Q1671)+SUMIF('Revenue and costs'!$D$1544:$D$1671,C479,'Revenue and costs'!R1544:R1671)+SUMIF('Revenue and costs'!$D$1544:$D$1671,C479,'Revenue and costs'!S1544:S1671)+SUMIF('Revenue and costs'!$D$1544:$D$1671,C479,'Revenue and costs'!T1544:T1671)+SUMIF('Revenue and costs'!$D$1544:$D$1671,C479,'Revenue and costs'!U1544:U1671)+SUMIF('Revenue and costs'!$D$1544:$D$1671,C479,'Revenue and costs'!V1544:V1671)+SUMIF('Revenue and costs'!$D$1544:$D$1671,C479,'Revenue and costs'!AE1544:AE1671)</x:f>
        <x:v>10841.145497752794</x:v>
      </x:c>
      <x:c r="G479" s="10" t="n">
        <x:f>IF('Income statement'!P50=0,1/39,E479/'Income statement'!P50)*('Shared costs'!T21+'Assumptions'!$D$18*'Assumptions'!$D$19*12*(1+'Assumptions'!$D$13)^(13-1)*'Assumptions'!$D$21)</x:f>
        <x:v>1209.6780211426067</x:v>
      </x:c>
      <x:c r="H479" s="10" t="n">
        <x:f>IF('Income statement'!P50=0,1/39,E479/'Income statement'!P50)*'Cash and capital'!P18</x:f>
        <x:v>5.346016899225571</x:v>
      </x:c>
      <x:c r="I479" s="10" t="n">
        <x:f>E479-F479-G479-H479</x:f>
        <x:v>14348.240540899897</x:v>
      </x:c>
      <x:c r="J479" s="10" t="n">
        <x:f>M440</x:f>
        <x:v>0</x:v>
      </x:c>
      <x:c r="K479" s="10" t="n">
        <x:f>MAX(0,I479-J479)</x:f>
        <x:v>14348.240540899897</x:v>
      </x:c>
      <x:c r="L479" s="10" t="n">
        <x:f>K479*'Assumptions'!$D$12</x:f>
        <x:v>3587.060135224974</x:v>
      </x:c>
      <x:c r="M479" s="10" t="n">
        <x:f>MAX(0,J479-I479)</x:f>
        <x:v>0</x:v>
      </x:c>
    </x:row>
    <x:row r="480" ht="16" customHeight="1">
      <x:c r="A480" s="1"/>
      <x:c r="B480" s="1"/>
      <x:c r="C480" s="1" t="str">
        <x:v>Spindle</x:v>
      </x:c>
      <x:c r="D480" s="10" t="n">
        <x:v>13</x:v>
      </x:c>
      <x:c r="E480" s="10" t="n">
        <x:f>SUMIF('Revenue and costs'!$D$1544:$D$1671,C480,'Revenue and costs'!N1544:N1671)</x:f>
        <x:v>26404.410076694523</x:v>
      </x:c>
      <x:c r="F480" s="10" t="n">
        <x:f>SUMIF('Revenue and costs'!$D$1544:$D$1671,C480,'Revenue and costs'!O1544:O1671)+SUMIF('Revenue and costs'!$D$1544:$D$1671,C480,'Revenue and costs'!P1544:P1671)+SUMIF('Revenue and costs'!$D$1544:$D$1671,C480,'Revenue and costs'!Q1544:Q1671)+SUMIF('Revenue and costs'!$D$1544:$D$1671,C480,'Revenue and costs'!R1544:R1671)+SUMIF('Revenue and costs'!$D$1544:$D$1671,C480,'Revenue and costs'!S1544:S1671)+SUMIF('Revenue and costs'!$D$1544:$D$1671,C480,'Revenue and costs'!T1544:T1671)+SUMIF('Revenue and costs'!$D$1544:$D$1671,C480,'Revenue and costs'!U1544:U1671)+SUMIF('Revenue and costs'!$D$1544:$D$1671,C480,'Revenue and costs'!V1544:V1671)+SUMIF('Revenue and costs'!$D$1544:$D$1671,C480,'Revenue and costs'!AE1544:AE1671)</x:f>
        <x:v>10841.145497752794</x:v>
      </x:c>
      <x:c r="G480" s="10" t="n">
        <x:f>IF('Income statement'!P50=0,1/39,E480/'Income statement'!P50)*('Shared costs'!T21+'Assumptions'!$D$18*'Assumptions'!$D$19*12*(1+'Assumptions'!$D$13)^(13-1)*'Assumptions'!$D$21)</x:f>
        <x:v>1209.6780211426067</x:v>
      </x:c>
      <x:c r="H480" s="10" t="n">
        <x:f>IF('Income statement'!P50=0,1/39,E480/'Income statement'!P50)*'Cash and capital'!P18</x:f>
        <x:v>5.346016899225571</x:v>
      </x:c>
      <x:c r="I480" s="10" t="n">
        <x:f>E480-F480-G480-H480</x:f>
        <x:v>14348.240540899897</x:v>
      </x:c>
      <x:c r="J480" s="10" t="n">
        <x:f>M441</x:f>
        <x:v>0</x:v>
      </x:c>
      <x:c r="K480" s="10" t="n">
        <x:f>MAX(0,I480-J480)</x:f>
        <x:v>14348.240540899897</x:v>
      </x:c>
      <x:c r="L480" s="10" t="n">
        <x:f>K480*'Assumptions'!$D$12</x:f>
        <x:v>3587.060135224974</x:v>
      </x:c>
      <x:c r="M480" s="10" t="n">
        <x:f>MAX(0,J480-I480)</x:f>
        <x:v>0</x:v>
      </x:c>
    </x:row>
    <x:row r="481" ht="16" customHeight="1">
      <x:c r="A481" s="1"/>
      <x:c r="B481" s="1"/>
      <x:c r="C481" s="1" t="str">
        <x:v>Maison Contour</x:v>
      </x:c>
      <x:c r="D481" s="10" t="n">
        <x:v>13</x:v>
      </x:c>
      <x:c r="E481" s="10" t="n">
        <x:f>SUMIF('Revenue and costs'!$D$1544:$D$1671,C481,'Revenue and costs'!N1544:N1671)</x:f>
        <x:v>37169.28349752289</x:v>
      </x:c>
      <x:c r="F481" s="10" t="n">
        <x:f>SUMIF('Revenue and costs'!$D$1544:$D$1671,C481,'Revenue and costs'!O1544:O1671)+SUMIF('Revenue and costs'!$D$1544:$D$1671,C481,'Revenue and costs'!P1544:P1671)+SUMIF('Revenue and costs'!$D$1544:$D$1671,C481,'Revenue and costs'!Q1544:Q1671)+SUMIF('Revenue and costs'!$D$1544:$D$1671,C481,'Revenue and costs'!R1544:R1671)+SUMIF('Revenue and costs'!$D$1544:$D$1671,C481,'Revenue and costs'!S1544:S1671)+SUMIF('Revenue and costs'!$D$1544:$D$1671,C481,'Revenue and costs'!T1544:T1671)+SUMIF('Revenue and costs'!$D$1544:$D$1671,C481,'Revenue and costs'!U1544:U1671)+SUMIF('Revenue and costs'!$D$1544:$D$1671,C481,'Revenue and costs'!V1544:V1671)+SUMIF('Revenue and costs'!$D$1544:$D$1671,C481,'Revenue and costs'!AE1544:AE1671)</x:f>
        <x:v>11701.225590654027</x:v>
      </x:c>
      <x:c r="G481" s="10" t="n">
        <x:f>IF('Income statement'!P50=0,1/39,E481/'Income statement'!P50)*('Shared costs'!T21+'Assumptions'!$D$18*'Assumptions'!$D$19*12*(1+'Assumptions'!$D$13)^(13-1)*'Assumptions'!$D$21)</x:f>
        <x:v>1702.8543784152887</x:v>
      </x:c>
      <x:c r="H481" s="10" t="n">
        <x:f>IF('Income statement'!P50=0,1/39,E481/'Income statement'!P50)*'Cash and capital'!P18</x:f>
        <x:v>7.525546570921119</x:v>
      </x:c>
      <x:c r="I481" s="10" t="n">
        <x:f>E481-F481-G481-H481</x:f>
        <x:v>23757.677981882654</x:v>
      </x:c>
      <x:c r="J481" s="10" t="n">
        <x:f>M442</x:f>
        <x:v>0</x:v>
      </x:c>
      <x:c r="K481" s="10" t="n">
        <x:f>MAX(0,I481-J481)</x:f>
        <x:v>23757.677981882654</x:v>
      </x:c>
      <x:c r="L481" s="10" t="n">
        <x:f>K481*'Assumptions'!$D$12</x:f>
        <x:v>5939.419495470664</x:v>
      </x:c>
      <x:c r="M481" s="10" t="n">
        <x:f>MAX(0,J481-I481)</x:f>
        <x:v>0</x:v>
      </x:c>
    </x:row>
    <x:row r="482" ht="16" customHeight="1">
      <x:c r="A482" s="1"/>
      <x:c r="B482" s="1"/>
      <x:c r="C482" s="1" t="str">
        <x:v>DishLoom US</x:v>
      </x:c>
      <x:c r="D482" s="10" t="n">
        <x:v>13</x:v>
      </x:c>
      <x:c r="E482" s="10" t="n">
        <x:f>SUMIF('Revenue and costs'!$D$1544:$D$1671,C482,'Revenue and costs'!N1544:N1671)</x:f>
        <x:v>33909.351275609355</x:v>
      </x:c>
      <x:c r="F482" s="10" t="n">
        <x:f>SUMIF('Revenue and costs'!$D$1544:$D$1671,C482,'Revenue and costs'!O1544:O1671)+SUMIF('Revenue and costs'!$D$1544:$D$1671,C482,'Revenue and costs'!P1544:P1671)+SUMIF('Revenue and costs'!$D$1544:$D$1671,C482,'Revenue and costs'!Q1544:Q1671)+SUMIF('Revenue and costs'!$D$1544:$D$1671,C482,'Revenue and costs'!R1544:R1671)+SUMIF('Revenue and costs'!$D$1544:$D$1671,C482,'Revenue and costs'!S1544:S1671)+SUMIF('Revenue and costs'!$D$1544:$D$1671,C482,'Revenue and costs'!T1544:T1671)+SUMIF('Revenue and costs'!$D$1544:$D$1671,C482,'Revenue and costs'!U1544:U1671)+SUMIF('Revenue and costs'!$D$1544:$D$1671,C482,'Revenue and costs'!V1544:V1671)+SUMIF('Revenue and costs'!$D$1544:$D$1671,C482,'Revenue and costs'!AE1544:AE1671)</x:f>
        <x:v>23211.92638493541</x:v>
      </x:c>
      <x:c r="G482" s="10" t="n">
        <x:f>IF('Income statement'!P50=0,1/39,E482/'Income statement'!P50)*('Shared costs'!T21+'Assumptions'!$D$18*'Assumptions'!$D$19*12*(1+'Assumptions'!$D$13)^(13-1)*'Assumptions'!$D$21)</x:f>
        <x:v>1553.5055254089482</x:v>
      </x:c>
      <x:c r="H482" s="10" t="n">
        <x:f>IF('Income statement'!P50=0,1/39,E482/'Income statement'!P50)*'Cash and capital'!P18</x:f>
        <x:v>6.865518465840975</x:v>
      </x:c>
      <x:c r="I482" s="10" t="n">
        <x:f>E482-F482-G482-H482</x:f>
        <x:v>9137.053846799157</x:v>
      </x:c>
      <x:c r="J482" s="10" t="n">
        <x:f>M443</x:f>
        <x:v>0</x:v>
      </x:c>
      <x:c r="K482" s="10" t="n">
        <x:f>MAX(0,I482-J482)</x:f>
        <x:v>9137.053846799157</x:v>
      </x:c>
      <x:c r="L482" s="10" t="n">
        <x:f>K482*'Assumptions'!$D$12</x:f>
        <x:v>2284.2634616997893</x:v>
      </x:c>
      <x:c r="M482" s="10" t="n">
        <x:f>MAX(0,J482-I482)</x:f>
        <x:v>0</x:v>
      </x:c>
    </x:row>
    <x:row r="483" ht="16" customHeight="1">
      <x:c r="A483" s="1"/>
      <x:c r="B483" s="1"/>
      <x:c r="C483" s="1" t="str">
        <x:v>Is Makes Travel Easy</x:v>
      </x:c>
      <x:c r="D483" s="10" t="n">
        <x:v>13</x:v>
      </x:c>
      <x:c r="E483" s="10" t="n">
        <x:f>SUMIF('Revenue and costs'!$D$1544:$D$1671,C483,'Revenue and costs'!N1544:N1671)</x:f>
        <x:v>57567.42447853659</x:v>
      </x:c>
      <x:c r="F483" s="10" t="n">
        <x:f>SUMIF('Revenue and costs'!$D$1544:$D$1671,C483,'Revenue and costs'!O1544:O1671)+SUMIF('Revenue and costs'!$D$1544:$D$1671,C483,'Revenue and costs'!P1544:P1671)+SUMIF('Revenue and costs'!$D$1544:$D$1671,C483,'Revenue and costs'!Q1544:Q1671)+SUMIF('Revenue and costs'!$D$1544:$D$1671,C483,'Revenue and costs'!R1544:R1671)+SUMIF('Revenue and costs'!$D$1544:$D$1671,C483,'Revenue and costs'!S1544:S1671)+SUMIF('Revenue and costs'!$D$1544:$D$1671,C483,'Revenue and costs'!T1544:T1671)+SUMIF('Revenue and costs'!$D$1544:$D$1671,C483,'Revenue and costs'!U1544:U1671)+SUMIF('Revenue and costs'!$D$1544:$D$1671,C483,'Revenue and costs'!V1544:V1671)+SUMIF('Revenue and costs'!$D$1544:$D$1671,C483,'Revenue and costs'!AE1544:AE1671)</x:f>
        <x:v>33220.82851791346</x:v>
      </x:c>
      <x:c r="G483" s="10" t="n">
        <x:f>IF('Income statement'!P50=0,1/39,E483/'Income statement'!P50)*('Shared costs'!T21+'Assumptions'!$D$18*'Assumptions'!$D$19*12*(1+'Assumptions'!$D$13)^(13-1)*'Assumptions'!$D$21)</x:f>
        <x:v>2637.3642858598696</x:v>
      </x:c>
      <x:c r="H483" s="10" t="n">
        <x:f>IF('Income statement'!P50=0,1/39,E483/'Income statement'!P50)*'Cash and capital'!P18</x:f>
        <x:v>11.655493276056383</x:v>
      </x:c>
      <x:c r="I483" s="10" t="n">
        <x:f>E483-F483-G483-H483</x:f>
        <x:v>21697.576181487202</x:v>
      </x:c>
      <x:c r="J483" s="10" t="n">
        <x:f>M444</x:f>
        <x:v>0</x:v>
      </x:c>
      <x:c r="K483" s="10" t="n">
        <x:f>MAX(0,I483-J483)</x:f>
        <x:v>21697.576181487202</x:v>
      </x:c>
      <x:c r="L483" s="10" t="n">
        <x:f>K483*'Assumptions'!$D$12</x:f>
        <x:v>5424.3940453718005</x:v>
      </x:c>
      <x:c r="M483" s="10" t="n">
        <x:f>MAX(0,J483-I483)</x:f>
        <x:v>0</x:v>
      </x:c>
    </x:row>
    <x:row r="484" ht="16" customHeight="1">
      <x:c r="A484" s="1"/>
      <x:c r="B484" s="1"/>
      <x:c r="C484" s="1" t="str">
        <x:v>Turbo Tax - Made Easy!</x:v>
      </x:c>
      <x:c r="D484" s="10" t="n">
        <x:v>13</x:v>
      </x:c>
      <x:c r="E484" s="10" t="n">
        <x:f>SUMIF('Revenue and costs'!$D$1544:$D$1671,C484,'Revenue and costs'!N1544:N1671)</x:f>
        <x:v>136172.7937628352</x:v>
      </x:c>
      <x:c r="F484" s="10" t="n">
        <x:f>SUMIF('Revenue and costs'!$D$1544:$D$1671,C484,'Revenue and costs'!O1544:O1671)+SUMIF('Revenue and costs'!$D$1544:$D$1671,C484,'Revenue and costs'!P1544:P1671)+SUMIF('Revenue and costs'!$D$1544:$D$1671,C484,'Revenue and costs'!Q1544:Q1671)+SUMIF('Revenue and costs'!$D$1544:$D$1671,C484,'Revenue and costs'!R1544:R1671)+SUMIF('Revenue and costs'!$D$1544:$D$1671,C484,'Revenue and costs'!S1544:S1671)+SUMIF('Revenue and costs'!$D$1544:$D$1671,C484,'Revenue and costs'!T1544:T1671)+SUMIF('Revenue and costs'!$D$1544:$D$1671,C484,'Revenue and costs'!U1544:U1671)+SUMIF('Revenue and costs'!$D$1544:$D$1671,C484,'Revenue and costs'!V1544:V1671)+SUMIF('Revenue and costs'!$D$1544:$D$1671,C484,'Revenue and costs'!AE1544:AE1671)</x:f>
        <x:v>39995.25928066628</x:v>
      </x:c>
      <x:c r="G484" s="10" t="n">
        <x:f>IF('Income statement'!P50=0,1/39,E484/'Income statement'!P50)*('Shared costs'!T21+'Assumptions'!$D$18*'Assumptions'!$D$19*12*(1+'Assumptions'!$D$13)^(13-1)*'Assumptions'!$D$21)</x:f>
        <x:v>6238.550121514708</x:v>
      </x:c>
      <x:c r="H484" s="10" t="n">
        <x:f>IF('Income statement'!P50=0,1/39,E484/'Income statement'!P50)*'Cash and capital'!P18</x:f>
        <x:v>27.570472302027245</x:v>
      </x:c>
      <x:c r="I484" s="10" t="n">
        <x:f>E484-F484-G484-H484</x:f>
        <x:v>89911.4138883522</x:v>
      </x:c>
      <x:c r="J484" s="10" t="n">
        <x:f>M445</x:f>
        <x:v>0</x:v>
      </x:c>
      <x:c r="K484" s="10" t="n">
        <x:f>MAX(0,I484-J484)</x:f>
        <x:v>89911.4138883522</x:v>
      </x:c>
      <x:c r="L484" s="10" t="n">
        <x:f>K484*'Assumptions'!$D$12</x:f>
        <x:v>22477.85347208805</x:v>
      </x:c>
      <x:c r="M484" s="10" t="n">
        <x:f>MAX(0,J484-I484)</x:f>
        <x:v>0</x:v>
      </x:c>
    </x:row>
    <x:row r="485" ht="16" customHeight="1">
      <x:c r="A485" s="1"/>
      <x:c r="B485" s="1"/>
      <x:c r="C485" s="1" t="str">
        <x:v>LavaLearning adult</x:v>
      </x:c>
      <x:c r="D485" s="10" t="n">
        <x:v>13</x:v>
      </x:c>
      <x:c r="E485" s="10" t="n">
        <x:f>SUMIF('Revenue and costs'!$D$1544:$D$1671,C485,'Revenue and costs'!N1544:N1671)</x:f>
        <x:v>73796.61811201872</x:v>
      </x:c>
      <x:c r="F485" s="10" t="n">
        <x:f>SUMIF('Revenue and costs'!$D$1544:$D$1671,C485,'Revenue and costs'!O1544:O1671)+SUMIF('Revenue and costs'!$D$1544:$D$1671,C485,'Revenue and costs'!P1544:P1671)+SUMIF('Revenue and costs'!$D$1544:$D$1671,C485,'Revenue and costs'!Q1544:Q1671)+SUMIF('Revenue and costs'!$D$1544:$D$1671,C485,'Revenue and costs'!R1544:R1671)+SUMIF('Revenue and costs'!$D$1544:$D$1671,C485,'Revenue and costs'!S1544:S1671)+SUMIF('Revenue and costs'!$D$1544:$D$1671,C485,'Revenue and costs'!T1544:T1671)+SUMIF('Revenue and costs'!$D$1544:$D$1671,C485,'Revenue and costs'!U1544:U1671)+SUMIF('Revenue and costs'!$D$1544:$D$1671,C485,'Revenue and costs'!V1544:V1671)+SUMIF('Revenue and costs'!$D$1544:$D$1671,C485,'Revenue and costs'!AE1544:AE1671)</x:f>
        <x:v>30247.245399972722</x:v>
      </x:c>
      <x:c r="G485" s="10" t="n">
        <x:f>IF('Income statement'!P50=0,1/39,E485/'Income statement'!P50)*('Shared costs'!T21+'Assumptions'!$D$18*'Assumptions'!$D$19*12*(1+'Assumptions'!$D$13)^(13-1)*'Assumptions'!$D$21)</x:f>
        <x:v>3380.880190296563</x:v>
      </x:c>
      <x:c r="H485" s="10" t="n">
        <x:f>IF('Income statement'!P50=0,1/39,E485/'Income statement'!P50)*'Cash and capital'!P18</x:f>
        <x:v>14.941366475775332</x:v>
      </x:c>
      <x:c r="I485" s="10" t="n">
        <x:f>E485-F485-G485-H485</x:f>
        <x:v>40153.551155273664</x:v>
      </x:c>
      <x:c r="J485" s="10" t="n">
        <x:f>M446</x:f>
        <x:v>0</x:v>
      </x:c>
      <x:c r="K485" s="10" t="n">
        <x:f>MAX(0,I485-J485)</x:f>
        <x:v>40153.551155273664</x:v>
      </x:c>
      <x:c r="L485" s="10" t="n">
        <x:f>K485*'Assumptions'!$D$12</x:f>
        <x:v>10038.387788818416</x:v>
      </x:c>
      <x:c r="M485" s="10" t="n">
        <x:f>MAX(0,J485-I485)</x:f>
        <x:v>0</x:v>
      </x:c>
    </x:row>
    <x:row r="486" ht="16" customHeight="1">
      <x:c r="A486" s="1"/>
      <x:c r="B486" s="1"/>
      <x:c r="C486" s="1" t="str">
        <x:v>LavaLearning Model Life</x:v>
      </x:c>
      <x:c r="D486" s="10" t="n">
        <x:v>13</x:v>
      </x:c>
      <x:c r="E486" s="10" t="n">
        <x:f>SUMIF('Revenue and costs'!$D$1544:$D$1671,C486,'Revenue and costs'!N1544:N1671)</x:f>
        <x:v>0</x:v>
      </x:c>
      <x:c r="F486" s="10" t="n">
        <x:f>SUMIF('Revenue and costs'!$D$1544:$D$1671,C486,'Revenue and costs'!O1544:O1671)+SUMIF('Revenue and costs'!$D$1544:$D$1671,C486,'Revenue and costs'!P1544:P1671)+SUMIF('Revenue and costs'!$D$1544:$D$1671,C486,'Revenue and costs'!Q1544:Q1671)+SUMIF('Revenue and costs'!$D$1544:$D$1671,C486,'Revenue and costs'!R1544:R1671)+SUMIF('Revenue and costs'!$D$1544:$D$1671,C486,'Revenue and costs'!S1544:S1671)+SUMIF('Revenue and costs'!$D$1544:$D$1671,C486,'Revenue and costs'!T1544:T1671)+SUMIF('Revenue and costs'!$D$1544:$D$1671,C486,'Revenue and costs'!U1544:U1671)+SUMIF('Revenue and costs'!$D$1544:$D$1671,C486,'Revenue and costs'!V1544:V1671)+SUMIF('Revenue and costs'!$D$1544:$D$1671,C486,'Revenue and costs'!AE1544:AE1671)</x:f>
        <x:v>0</x:v>
      </x:c>
      <x:c r="G486" s="10" t="n">
        <x:f>IF('Income statement'!P50=0,1/39,E486/'Income statement'!P50)*('Shared costs'!T21+'Assumptions'!$D$18*'Assumptions'!$D$19*12*(1+'Assumptions'!$D$13)^(13-1)*'Assumptions'!$D$21)</x:f>
        <x:v>0</x:v>
      </x:c>
      <x:c r="H486" s="10" t="n">
        <x:f>IF('Income statement'!P50=0,1/39,E486/'Income statement'!P50)*'Cash and capital'!P18</x:f>
        <x:v>0</x:v>
      </x:c>
      <x:c r="I486" s="10" t="n">
        <x:f>E486-F486-G486-H486</x:f>
        <x:v>0</x:v>
      </x:c>
      <x:c r="J486" s="10" t="n">
        <x:f>M447</x:f>
        <x:v>0</x:v>
      </x:c>
      <x:c r="K486" s="10" t="n">
        <x:f>MAX(0,I486-J486)</x:f>
        <x:v>0</x:v>
      </x:c>
      <x:c r="L486" s="10" t="n">
        <x:f>K486*'Assumptions'!$D$12</x:f>
        <x:v>0</x:v>
      </x:c>
      <x:c r="M486" s="10" t="n">
        <x:f>MAX(0,J486-I486)</x:f>
        <x:v>0</x:v>
      </x:c>
    </x:row>
    <x:row r="487" ht="16" customHeight="1">
      <x:c r="A487" s="1"/>
      <x:c r="B487" s="1"/>
      <x:c r="C487" s="1" t="str">
        <x:v>LavaLearning Kids</x:v>
      </x:c>
      <x:c r="D487" s="10" t="n">
        <x:v>13</x:v>
      </x:c>
      <x:c r="E487" s="10" t="n">
        <x:f>SUMIF('Revenue and costs'!$D$1544:$D$1671,C487,'Revenue and costs'!N1544:N1671)</x:f>
        <x:v>30773.11901719112</x:v>
      </x:c>
      <x:c r="F487" s="10" t="n">
        <x:f>SUMIF('Revenue and costs'!$D$1544:$D$1671,C487,'Revenue and costs'!O1544:O1671)+SUMIF('Revenue and costs'!$D$1544:$D$1671,C487,'Revenue and costs'!P1544:P1671)+SUMIF('Revenue and costs'!$D$1544:$D$1671,C487,'Revenue and costs'!Q1544:Q1671)+SUMIF('Revenue and costs'!$D$1544:$D$1671,C487,'Revenue and costs'!R1544:R1671)+SUMIF('Revenue and costs'!$D$1544:$D$1671,C487,'Revenue and costs'!S1544:S1671)+SUMIF('Revenue and costs'!$D$1544:$D$1671,C487,'Revenue and costs'!T1544:T1671)+SUMIF('Revenue and costs'!$D$1544:$D$1671,C487,'Revenue and costs'!U1544:U1671)+SUMIF('Revenue and costs'!$D$1544:$D$1671,C487,'Revenue and costs'!V1544:V1671)+SUMIF('Revenue and costs'!$D$1544:$D$1671,C487,'Revenue and costs'!AE1544:AE1671)</x:f>
        <x:v>18682.027282062496</x:v>
      </x:c>
      <x:c r="G487" s="10" t="n">
        <x:f>IF('Income statement'!P50=0,1/39,E487/'Income statement'!P50)*('Shared costs'!T21+'Assumptions'!$D$18*'Assumptions'!$D$19*12*(1+'Assumptions'!$D$13)^(13-1)*'Assumptions'!$D$21)</x:f>
        <x:v>1409.8237987130146</x:v>
      </x:c>
      <x:c r="H487" s="10" t="n">
        <x:f>IF('Income statement'!P50=0,1/39,E487/'Income statement'!P50)*'Cash and capital'!P18</x:f>
        <x:v>6.230535498802494</x:v>
      </x:c>
      <x:c r="I487" s="10" t="n">
        <x:f>E487-F487-G487-H487</x:f>
        <x:v>10675.037400916806</x:v>
      </x:c>
      <x:c r="J487" s="10" t="n">
        <x:f>M448</x:f>
        <x:v>0</x:v>
      </x:c>
      <x:c r="K487" s="10" t="n">
        <x:f>MAX(0,I487-J487)</x:f>
        <x:v>10675.037400916806</x:v>
      </x:c>
      <x:c r="L487" s="10" t="n">
        <x:f>K487*'Assumptions'!$D$12</x:f>
        <x:v>2668.7593502292016</x:v>
      </x:c>
      <x:c r="M487" s="10" t="n">
        <x:f>MAX(0,J487-I487)</x:f>
        <x:v>0</x:v>
      </x:c>
    </x:row>
    <x:row r="488" ht="16" customHeight="1">
      <x:c r="A488" s="1"/>
      <x:c r="B488" s="1"/>
      <x:c r="C488" s="1" t="str">
        <x:v>VraiSkill adult</x:v>
      </x:c>
      <x:c r="D488" s="10" t="n">
        <x:v>13</x:v>
      </x:c>
      <x:c r="E488" s="10" t="n">
        <x:f>SUMIF('Revenue and costs'!$D$1544:$D$1671,C488,'Revenue and costs'!N1544:N1671)</x:f>
        <x:v>58274.56998723861</x:v>
      </x:c>
      <x:c r="F488" s="10" t="n">
        <x:f>SUMIF('Revenue and costs'!$D$1544:$D$1671,C488,'Revenue and costs'!O1544:O1671)+SUMIF('Revenue and costs'!$D$1544:$D$1671,C488,'Revenue and costs'!P1544:P1671)+SUMIF('Revenue and costs'!$D$1544:$D$1671,C488,'Revenue and costs'!Q1544:Q1671)+SUMIF('Revenue and costs'!$D$1544:$D$1671,C488,'Revenue and costs'!R1544:R1671)+SUMIF('Revenue and costs'!$D$1544:$D$1671,C488,'Revenue and costs'!S1544:S1671)+SUMIF('Revenue and costs'!$D$1544:$D$1671,C488,'Revenue and costs'!T1544:T1671)+SUMIF('Revenue and costs'!$D$1544:$D$1671,C488,'Revenue and costs'!U1544:U1671)+SUMIF('Revenue and costs'!$D$1544:$D$1671,C488,'Revenue and costs'!V1544:V1671)+SUMIF('Revenue and costs'!$D$1544:$D$1671,C488,'Revenue and costs'!AE1544:AE1671)</x:f>
        <x:v>47347.92117002966</x:v>
      </x:c>
      <x:c r="G488" s="10" t="n">
        <x:f>IF('Income statement'!P50=0,1/39,E488/'Income statement'!P50)*('Shared costs'!T21+'Assumptions'!$D$18*'Assumptions'!$D$19*12*(1+'Assumptions'!$D$13)^(13-1)*'Assumptions'!$D$21)</x:f>
        <x:v>2669.761085377143</x:v>
      </x:c>
      <x:c r="H488" s="10" t="n">
        <x:f>IF('Income statement'!P50=0,1/39,E488/'Income statement'!P50)*'Cash and capital'!P18</x:f>
        <x:v>11.798666777329535</x:v>
      </x:c>
      <x:c r="I488" s="10" t="n">
        <x:f>E488-F488-G488-H488</x:f>
        <x:v>8245.089065054479</x:v>
      </x:c>
      <x:c r="J488" s="10" t="n">
        <x:f>M449</x:f>
        <x:v>0</x:v>
      </x:c>
      <x:c r="K488" s="10" t="n">
        <x:f>MAX(0,I488-J488)</x:f>
        <x:v>8245.089065054479</x:v>
      </x:c>
      <x:c r="L488" s="10" t="n">
        <x:f>K488*'Assumptions'!$D$12</x:f>
        <x:v>2061.2722662636197</x:v>
      </x:c>
      <x:c r="M488" s="10" t="n">
        <x:f>MAX(0,J488-I488)</x:f>
        <x:v>0</x:v>
      </x:c>
    </x:row>
    <x:row r="489" ht="16" customHeight="1">
      <x:c r="A489" s="1"/>
      <x:c r="B489" s="1"/>
      <x:c r="C489" s="1" t="str">
        <x:v>VraiSkill teen</x:v>
      </x:c>
      <x:c r="D489" s="10" t="n">
        <x:v>13</x:v>
      </x:c>
      <x:c r="E489" s="10" t="n">
        <x:f>SUMIF('Revenue and costs'!$D$1544:$D$1671,C489,'Revenue and costs'!N1544:N1671)</x:f>
        <x:v>25914.20548816094</x:v>
      </x:c>
      <x:c r="F489" s="10" t="n">
        <x:f>SUMIF('Revenue and costs'!$D$1544:$D$1671,C489,'Revenue and costs'!O1544:O1671)+SUMIF('Revenue and costs'!$D$1544:$D$1671,C489,'Revenue and costs'!P1544:P1671)+SUMIF('Revenue and costs'!$D$1544:$D$1671,C489,'Revenue and costs'!Q1544:Q1671)+SUMIF('Revenue and costs'!$D$1544:$D$1671,C489,'Revenue and costs'!R1544:R1671)+SUMIF('Revenue and costs'!$D$1544:$D$1671,C489,'Revenue and costs'!S1544:S1671)+SUMIF('Revenue and costs'!$D$1544:$D$1671,C489,'Revenue and costs'!T1544:T1671)+SUMIF('Revenue and costs'!$D$1544:$D$1671,C489,'Revenue and costs'!U1544:U1671)+SUMIF('Revenue and costs'!$D$1544:$D$1671,C489,'Revenue and costs'!V1544:V1671)+SUMIF('Revenue and costs'!$D$1544:$D$1671,C489,'Revenue and costs'!AE1544:AE1671)</x:f>
        <x:v>13000.092573880353</x:v>
      </x:c>
      <x:c r="G489" s="10" t="n">
        <x:f>IF('Income statement'!P50=0,1/39,E489/'Income statement'!P50)*('Shared costs'!T21+'Assumptions'!$D$18*'Assumptions'!$D$19*12*(1+'Assumptions'!$D$13)^(13-1)*'Assumptions'!$D$21)</x:f>
        <x:v>1187.2200410214857</x:v>
      </x:c>
      <x:c r="H489" s="10" t="n">
        <x:f>IF('Income statement'!P50=0,1/39,E489/'Income statement'!P50)*'Cash and capital'!P18</x:f>
        <x:v>5.2467667358336785</x:v>
      </x:c>
      <x:c r="I489" s="10" t="n">
        <x:f>E489-F489-G489-H489</x:f>
        <x:v>11721.646106523267</x:v>
      </x:c>
      <x:c r="J489" s="10" t="n">
        <x:f>M450</x:f>
        <x:v>0</x:v>
      </x:c>
      <x:c r="K489" s="10" t="n">
        <x:f>MAX(0,I489-J489)</x:f>
        <x:v>11721.646106523267</x:v>
      </x:c>
      <x:c r="L489" s="10" t="n">
        <x:f>K489*'Assumptions'!$D$12</x:f>
        <x:v>2930.4115266308168</x:v>
      </x:c>
      <x:c r="M489" s="10" t="n">
        <x:f>MAX(0,J489-I489)</x:f>
        <x:v>0</x:v>
      </x:c>
    </x:row>
    <x:row r="490" ht="16" customHeight="1">
      <x:c r="A490" s="1"/>
      <x:c r="B490" s="1"/>
      <x:c r="C490" s="1" t="str">
        <x:v>VraiSkill Model Life</x:v>
      </x:c>
      <x:c r="D490" s="10" t="n">
        <x:v>13</x:v>
      </x:c>
      <x:c r="E490" s="10" t="n">
        <x:f>SUMIF('Revenue and costs'!$D$1544:$D$1671,C490,'Revenue and costs'!N1544:N1671)</x:f>
        <x:v>0</x:v>
      </x:c>
      <x:c r="F490" s="10" t="n">
        <x:f>SUMIF('Revenue and costs'!$D$1544:$D$1671,C490,'Revenue and costs'!O1544:O1671)+SUMIF('Revenue and costs'!$D$1544:$D$1671,C490,'Revenue and costs'!P1544:P1671)+SUMIF('Revenue and costs'!$D$1544:$D$1671,C490,'Revenue and costs'!Q1544:Q1671)+SUMIF('Revenue and costs'!$D$1544:$D$1671,C490,'Revenue and costs'!R1544:R1671)+SUMIF('Revenue and costs'!$D$1544:$D$1671,C490,'Revenue and costs'!S1544:S1671)+SUMIF('Revenue and costs'!$D$1544:$D$1671,C490,'Revenue and costs'!T1544:T1671)+SUMIF('Revenue and costs'!$D$1544:$D$1671,C490,'Revenue and costs'!U1544:U1671)+SUMIF('Revenue and costs'!$D$1544:$D$1671,C490,'Revenue and costs'!V1544:V1671)+SUMIF('Revenue and costs'!$D$1544:$D$1671,C490,'Revenue and costs'!AE1544:AE1671)</x:f>
        <x:v>0</x:v>
      </x:c>
      <x:c r="G490" s="10" t="n">
        <x:f>IF('Income statement'!P50=0,1/39,E490/'Income statement'!P50)*('Shared costs'!T21+'Assumptions'!$D$18*'Assumptions'!$D$19*12*(1+'Assumptions'!$D$13)^(13-1)*'Assumptions'!$D$21)</x:f>
        <x:v>0</x:v>
      </x:c>
      <x:c r="H490" s="10" t="n">
        <x:f>IF('Income statement'!P50=0,1/39,E490/'Income statement'!P50)*'Cash and capital'!P18</x:f>
        <x:v>0</x:v>
      </x:c>
      <x:c r="I490" s="10" t="n">
        <x:f>E490-F490-G490-H490</x:f>
        <x:v>0</x:v>
      </x:c>
      <x:c r="J490" s="10" t="n">
        <x:f>M451</x:f>
        <x:v>0</x:v>
      </x:c>
      <x:c r="K490" s="10" t="n">
        <x:f>MAX(0,I490-J490)</x:f>
        <x:v>0</x:v>
      </x:c>
      <x:c r="L490" s="10" t="n">
        <x:f>K490*'Assumptions'!$D$12</x:f>
        <x:v>0</x:v>
      </x:c>
      <x:c r="M490" s="10" t="n">
        <x:f>MAX(0,J490-I490)</x:f>
        <x:v>0</x:v>
      </x:c>
    </x:row>
    <x:row r="491" ht="16" customHeight="1">
      <x:c r="A491" s="1"/>
      <x:c r="B491" s="1"/>
      <x:c r="C491" s="1" t="str">
        <x:v>Model Life</x:v>
      </x:c>
      <x:c r="D491" s="10" t="n">
        <x:v>13</x:v>
      </x:c>
      <x:c r="E491" s="10" t="n">
        <x:f>SUMIF('Revenue and costs'!$D$1544:$D$1671,C491,'Revenue and costs'!N1544:N1671)</x:f>
        <x:v>97601.51901551054</x:v>
      </x:c>
      <x:c r="F491" s="10" t="n">
        <x:f>SUMIF('Revenue and costs'!$D$1544:$D$1671,C491,'Revenue and costs'!O1544:O1671)+SUMIF('Revenue and costs'!$D$1544:$D$1671,C491,'Revenue and costs'!P1544:P1671)+SUMIF('Revenue and costs'!$D$1544:$D$1671,C491,'Revenue and costs'!Q1544:Q1671)+SUMIF('Revenue and costs'!$D$1544:$D$1671,C491,'Revenue and costs'!R1544:R1671)+SUMIF('Revenue and costs'!$D$1544:$D$1671,C491,'Revenue and costs'!S1544:S1671)+SUMIF('Revenue and costs'!$D$1544:$D$1671,C491,'Revenue and costs'!T1544:T1671)+SUMIF('Revenue and costs'!$D$1544:$D$1671,C491,'Revenue and costs'!U1544:U1671)+SUMIF('Revenue and costs'!$D$1544:$D$1671,C491,'Revenue and costs'!V1544:V1671)+SUMIF('Revenue and costs'!$D$1544:$D$1671,C491,'Revenue and costs'!AE1544:AE1671)</x:f>
        <x:v>32127.205846087825</x:v>
      </x:c>
      <x:c r="G491" s="10" t="n">
        <x:f>IF('Income statement'!P50=0,1/39,E491/'Income statement'!P50)*('Shared costs'!T21+'Assumptions'!$D$18*'Assumptions'!$D$19*12*(1+'Assumptions'!$D$13)^(13-1)*'Assumptions'!$D$21)</x:f>
        <x:v>4471.465639272317</x:v>
      </x:c>
      <x:c r="H491" s="10" t="n">
        <x:f>IF('Income statement'!P50=0,1/39,E491/'Income statement'!P50)*'Cash and capital'!P18</x:f>
        <x:v>19.76106902337297</x:v>
      </x:c>
      <x:c r="I491" s="10" t="n">
        <x:f>E491-F491-G491-H491</x:f>
        <x:v>60983.08646112702</x:v>
      </x:c>
      <x:c r="J491" s="10" t="n">
        <x:f>M452</x:f>
        <x:v>0</x:v>
      </x:c>
      <x:c r="K491" s="10" t="n">
        <x:f>MAX(0,I491-J491)</x:f>
        <x:v>60983.08646112702</x:v>
      </x:c>
      <x:c r="L491" s="10" t="n">
        <x:f>K491*'Assumptions'!$D$12</x:f>
        <x:v>15245.771615281756</x:v>
      </x:c>
      <x:c r="M491" s="10" t="n">
        <x:f>MAX(0,J491-I491)</x:f>
        <x:v>0</x:v>
      </x:c>
    </x:row>
    <x:row r="492" ht="16" customHeight="1">
      <x:c r="A492" s="1"/>
      <x:c r="B492" s="1"/>
      <x:c r="C492" s="1" t="str">
        <x:v>S’otality cleaning</x:v>
      </x:c>
      <x:c r="D492" s="10" t="n">
        <x:v>13</x:v>
      </x:c>
      <x:c r="E492" s="10" t="n">
        <x:f>SUMIF('Revenue and costs'!$D$1544:$D$1671,C492,'Revenue and costs'!N1544:N1671)</x:f>
        <x:v>304277.7018985932</x:v>
      </x:c>
      <x:c r="F492" s="10" t="n">
        <x:f>SUMIF('Revenue and costs'!$D$1544:$D$1671,C492,'Revenue and costs'!O1544:O1671)+SUMIF('Revenue and costs'!$D$1544:$D$1671,C492,'Revenue and costs'!P1544:P1671)+SUMIF('Revenue and costs'!$D$1544:$D$1671,C492,'Revenue and costs'!Q1544:Q1671)+SUMIF('Revenue and costs'!$D$1544:$D$1671,C492,'Revenue and costs'!R1544:R1671)+SUMIF('Revenue and costs'!$D$1544:$D$1671,C492,'Revenue and costs'!S1544:S1671)+SUMIF('Revenue and costs'!$D$1544:$D$1671,C492,'Revenue and costs'!T1544:T1671)+SUMIF('Revenue and costs'!$D$1544:$D$1671,C492,'Revenue and costs'!U1544:U1671)+SUMIF('Revenue and costs'!$D$1544:$D$1671,C492,'Revenue and costs'!V1544:V1671)+SUMIF('Revenue and costs'!$D$1544:$D$1671,C492,'Revenue and costs'!AE1544:AE1671)</x:f>
        <x:v>262810.9837827627</x:v>
      </x:c>
      <x:c r="G492" s="10" t="n">
        <x:f>IF('Income statement'!P50=0,1/39,E492/'Income statement'!P50)*('Shared costs'!T21+'Assumptions'!$D$18*'Assumptions'!$D$19*12*(1+'Assumptions'!$D$13)^(13-1)*'Assumptions'!$D$21)</x:f>
        <x:v>13940.021657040885</x:v>
      </x:c>
      <x:c r="H492" s="10" t="n">
        <x:f>IF('Income statement'!P50=0,1/39,E492/'Income statement'!P50)*'Cash and capital'!P18</x:f>
        <x:v>61.60613820504024</x:v>
      </x:c>
      <x:c r="I492" s="10" t="n">
        <x:f>E492-F492-G492-H492</x:f>
        <x:v>27465.09032058458</x:v>
      </x:c>
      <x:c r="J492" s="10" t="n">
        <x:f>M453</x:f>
        <x:v>0</x:v>
      </x:c>
      <x:c r="K492" s="10" t="n">
        <x:f>MAX(0,I492-J492)</x:f>
        <x:v>27465.09032058458</x:v>
      </x:c>
      <x:c r="L492" s="10" t="n">
        <x:f>K492*'Assumptions'!$D$12</x:f>
        <x:v>6866.272580146145</x:v>
      </x:c>
      <x:c r="M492" s="10" t="n">
        <x:f>MAX(0,J492-I492)</x:f>
        <x:v>0</x:v>
      </x:c>
    </x:row>
    <x:row r="493" ht="16" customHeight="1">
      <x:c r="A493" s="1"/>
      <x:c r="B493" s="1"/>
      <x:c r="C493" s="1" t="str">
        <x:v>S’otality laundry</x:v>
      </x:c>
      <x:c r="D493" s="10" t="n">
        <x:v>13</x:v>
      </x:c>
      <x:c r="E493" s="10" t="n">
        <x:f>SUMIF('Revenue and costs'!$D$1544:$D$1671,C493,'Revenue and costs'!N1544:N1671)</x:f>
        <x:v>47161.29707957529</x:v>
      </x:c>
      <x:c r="F493" s="10" t="n">
        <x:f>SUMIF('Revenue and costs'!$D$1544:$D$1671,C493,'Revenue and costs'!O1544:O1671)+SUMIF('Revenue and costs'!$D$1544:$D$1671,C493,'Revenue and costs'!P1544:P1671)+SUMIF('Revenue and costs'!$D$1544:$D$1671,C493,'Revenue and costs'!Q1544:Q1671)+SUMIF('Revenue and costs'!$D$1544:$D$1671,C493,'Revenue and costs'!R1544:R1671)+SUMIF('Revenue and costs'!$D$1544:$D$1671,C493,'Revenue and costs'!S1544:S1671)+SUMIF('Revenue and costs'!$D$1544:$D$1671,C493,'Revenue and costs'!T1544:T1671)+SUMIF('Revenue and costs'!$D$1544:$D$1671,C493,'Revenue and costs'!U1544:U1671)+SUMIF('Revenue and costs'!$D$1544:$D$1671,C493,'Revenue and costs'!V1544:V1671)+SUMIF('Revenue and costs'!$D$1544:$D$1671,C493,'Revenue and costs'!AE1544:AE1671)</x:f>
        <x:v>43745.32320245444</x:v>
      </x:c>
      <x:c r="G493" s="10" t="n">
        <x:f>IF('Income statement'!P50=0,1/39,E493/'Income statement'!P50)*('Shared costs'!T21+'Assumptions'!$D$18*'Assumptions'!$D$19*12*(1+'Assumptions'!$D$13)^(13-1)*'Assumptions'!$D$21)</x:f>
        <x:v>2160.6233337549015</x:v>
      </x:c>
      <x:c r="H493" s="10" t="n">
        <x:f>IF('Income statement'!P50=0,1/39,E493/'Income statement'!P50)*'Cash and capital'!P18</x:f>
        <x:v>9.548597770011975</x:v>
      </x:c>
      <x:c r="I493" s="10" t="n">
        <x:f>E493-F493-G493-H493</x:f>
        <x:v>1245.8019455959368</x:v>
      </x:c>
      <x:c r="J493" s="10" t="n">
        <x:f>M454</x:f>
        <x:v>0</x:v>
      </x:c>
      <x:c r="K493" s="10" t="n">
        <x:f>MAX(0,I493-J493)</x:f>
        <x:v>1245.8019455959368</x:v>
      </x:c>
      <x:c r="L493" s="10" t="n">
        <x:f>K493*'Assumptions'!$D$12</x:f>
        <x:v>311.4504863989842</x:v>
      </x:c>
      <x:c r="M493" s="10" t="n">
        <x:f>MAX(0,J493-I493)</x:f>
        <x:v>0</x:v>
      </x:c>
    </x:row>
    <x:row r="494" ht="16" customHeight="1">
      <x:c r="A494" s="1"/>
      <x:c r="B494" s="1"/>
      <x:c r="C494" s="1" t="str">
        <x:v>S’otality Personal Chef</x:v>
      </x:c>
      <x:c r="D494" s="10" t="n">
        <x:v>13</x:v>
      </x:c>
      <x:c r="E494" s="10" t="n">
        <x:f>SUMIF('Revenue and costs'!$D$1544:$D$1671,C494,'Revenue and costs'!N1544:N1671)</x:f>
        <x:v>85126.23275820879</x:v>
      </x:c>
      <x:c r="F494" s="10" t="n">
        <x:f>SUMIF('Revenue and costs'!$D$1544:$D$1671,C494,'Revenue and costs'!O1544:O1671)+SUMIF('Revenue and costs'!$D$1544:$D$1671,C494,'Revenue and costs'!P1544:P1671)+SUMIF('Revenue and costs'!$D$1544:$D$1671,C494,'Revenue and costs'!Q1544:Q1671)+SUMIF('Revenue and costs'!$D$1544:$D$1671,C494,'Revenue and costs'!R1544:R1671)+SUMIF('Revenue and costs'!$D$1544:$D$1671,C494,'Revenue and costs'!S1544:S1671)+SUMIF('Revenue and costs'!$D$1544:$D$1671,C494,'Revenue and costs'!T1544:T1671)+SUMIF('Revenue and costs'!$D$1544:$D$1671,C494,'Revenue and costs'!U1544:U1671)+SUMIF('Revenue and costs'!$D$1544:$D$1671,C494,'Revenue and costs'!V1544:V1671)+SUMIF('Revenue and costs'!$D$1544:$D$1671,C494,'Revenue and costs'!AE1544:AE1671)</x:f>
        <x:v>68986.14941072866</x:v>
      </x:c>
      <x:c r="G494" s="10" t="n">
        <x:f>IF('Income statement'!P50=0,1/39,E494/'Income statement'!P50)*('Shared costs'!T21+'Assumptions'!$D$18*'Assumptions'!$D$19*12*(1+'Assumptions'!$D$13)^(13-1)*'Assumptions'!$D$21)</x:f>
        <x:v>3899.929310716344</x:v>
      </x:c>
      <x:c r="H494" s="10" t="n">
        <x:f>IF('Income statement'!P50=0,1/39,E494/'Income statement'!P50)*'Cash and capital'!P18</x:f>
        <x:v>17.235237506573533</x:v>
      </x:c>
      <x:c r="I494" s="10" t="n">
        <x:f>E494-F494-G494-H494</x:f>
        <x:v>12222.918799257217</x:v>
      </x:c>
      <x:c r="J494" s="10" t="n">
        <x:f>M455</x:f>
        <x:v>0</x:v>
      </x:c>
      <x:c r="K494" s="10" t="n">
        <x:f>MAX(0,I494-J494)</x:f>
        <x:v>12222.918799257217</x:v>
      </x:c>
      <x:c r="L494" s="10" t="n">
        <x:f>K494*'Assumptions'!$D$12</x:f>
        <x:v>3055.7296998143042</x:v>
      </x:c>
      <x:c r="M494" s="10" t="n">
        <x:f>MAX(0,J494-I494)</x:f>
        <x:v>0</x:v>
      </x:c>
    </x:row>
    <x:row r="495" ht="16" customHeight="1">
      <x:c r="A495" s="1"/>
      <x:c r="B495" s="1"/>
      <x:c r="C495" s="1" t="str">
        <x:v>S’otality interiors</x:v>
      </x:c>
      <x:c r="D495" s="10" t="n">
        <x:v>13</x:v>
      </x:c>
      <x:c r="E495" s="10" t="n">
        <x:f>SUMIF('Revenue and costs'!$D$1544:$D$1671,C495,'Revenue and costs'!N1544:N1671)</x:f>
        <x:v>109929.576249531</x:v>
      </x:c>
      <x:c r="F495" s="10" t="n">
        <x:f>SUMIF('Revenue and costs'!$D$1544:$D$1671,C495,'Revenue and costs'!O1544:O1671)+SUMIF('Revenue and costs'!$D$1544:$D$1671,C495,'Revenue and costs'!P1544:P1671)+SUMIF('Revenue and costs'!$D$1544:$D$1671,C495,'Revenue and costs'!Q1544:Q1671)+SUMIF('Revenue and costs'!$D$1544:$D$1671,C495,'Revenue and costs'!R1544:R1671)+SUMIF('Revenue and costs'!$D$1544:$D$1671,C495,'Revenue and costs'!S1544:S1671)+SUMIF('Revenue and costs'!$D$1544:$D$1671,C495,'Revenue and costs'!T1544:T1671)+SUMIF('Revenue and costs'!$D$1544:$D$1671,C495,'Revenue and costs'!U1544:U1671)+SUMIF('Revenue and costs'!$D$1544:$D$1671,C495,'Revenue and costs'!V1544:V1671)+SUMIF('Revenue and costs'!$D$1544:$D$1671,C495,'Revenue and costs'!AE1544:AE1671)</x:f>
        <x:v>69099.17304084866</x:v>
      </x:c>
      <x:c r="G495" s="10" t="n">
        <x:f>IF('Income statement'!P50=0,1/39,E495/'Income statement'!P50)*('Shared costs'!T21+'Assumptions'!$D$18*'Assumptions'!$D$19*12*(1+'Assumptions'!$D$13)^(13-1)*'Assumptions'!$D$21)</x:f>
        <x:v>5036.256893311559</x:v>
      </x:c>
      <x:c r="H495" s="10" t="n">
        <x:f>IF('Income statement'!P50=0,1/39,E495/'Income statement'!P50)*'Cash and capital'!P18</x:f>
        <x:v>22.257091548256586</x:v>
      </x:c>
      <x:c r="I495" s="10" t="n">
        <x:f>E495-F495-G495-H495</x:f>
        <x:v>35771.88922382252</x:v>
      </x:c>
      <x:c r="J495" s="10" t="n">
        <x:f>M456</x:f>
        <x:v>0</x:v>
      </x:c>
      <x:c r="K495" s="10" t="n">
        <x:f>MAX(0,I495-J495)</x:f>
        <x:v>35771.88922382252</x:v>
      </x:c>
      <x:c r="L495" s="10" t="n">
        <x:f>K495*'Assumptions'!$D$12</x:f>
        <x:v>8942.97230595563</x:v>
      </x:c>
      <x:c r="M495" s="10" t="n">
        <x:f>MAX(0,J495-I495)</x:f>
        <x:v>0</x:v>
      </x:c>
    </x:row>
    <x:row r="496" ht="16" customHeight="1">
      <x:c r="A496" s="1"/>
      <x:c r="B496" s="1"/>
      <x:c r="C496" s="1" t="str">
        <x:v>S’otality concierge</x:v>
      </x:c>
      <x:c r="D496" s="10" t="n">
        <x:v>13</x:v>
      </x:c>
      <x:c r="E496" s="10" t="n">
        <x:f>SUMIF('Revenue and costs'!$D$1544:$D$1671,C496,'Revenue and costs'!N1544:N1671)</x:f>
        <x:v>39898.864800466945</x:v>
      </x:c>
      <x:c r="F496" s="10" t="n">
        <x:f>SUMIF('Revenue and costs'!$D$1544:$D$1671,C496,'Revenue and costs'!O1544:O1671)+SUMIF('Revenue and costs'!$D$1544:$D$1671,C496,'Revenue and costs'!P1544:P1671)+SUMIF('Revenue and costs'!$D$1544:$D$1671,C496,'Revenue and costs'!Q1544:Q1671)+SUMIF('Revenue and costs'!$D$1544:$D$1671,C496,'Revenue and costs'!R1544:R1671)+SUMIF('Revenue and costs'!$D$1544:$D$1671,C496,'Revenue and costs'!S1544:S1671)+SUMIF('Revenue and costs'!$D$1544:$D$1671,C496,'Revenue and costs'!T1544:T1671)+SUMIF('Revenue and costs'!$D$1544:$D$1671,C496,'Revenue and costs'!U1544:U1671)+SUMIF('Revenue and costs'!$D$1544:$D$1671,C496,'Revenue and costs'!V1544:V1671)+SUMIF('Revenue and costs'!$D$1544:$D$1671,C496,'Revenue and costs'!AE1544:AE1671)</x:f>
        <x:v>23727.28729980664</x:v>
      </x:c>
      <x:c r="G496" s="10" t="n">
        <x:f>IF('Income statement'!P50=0,1/39,E496/'Income statement'!P50)*('Shared costs'!T21+'Assumptions'!$D$18*'Assumptions'!$D$19*12*(1+'Assumptions'!$D$13)^(13-1)*'Assumptions'!$D$21)</x:f>
        <x:v>1827.9060080295255</x:v>
      </x:c>
      <x:c r="H496" s="10" t="n">
        <x:f>IF('Income statement'!P50=0,1/39,E496/'Income statement'!P50)*'Cash and capital'!P18</x:f>
        <x:v>8.07819621281669</x:v>
      </x:c>
      <x:c r="I496" s="10" t="n">
        <x:f>E496-F496-G496-H496</x:f>
        <x:v>14335.593296417961</x:v>
      </x:c>
      <x:c r="J496" s="10" t="n">
        <x:f>M457</x:f>
        <x:v>0</x:v>
      </x:c>
      <x:c r="K496" s="10" t="n">
        <x:f>MAX(0,I496-J496)</x:f>
        <x:v>14335.593296417961</x:v>
      </x:c>
      <x:c r="L496" s="10" t="n">
        <x:f>K496*'Assumptions'!$D$12</x:f>
        <x:v>3583.8983241044903</x:v>
      </x:c>
      <x:c r="M496" s="10" t="n">
        <x:f>MAX(0,J496-I496)</x:f>
        <x:v>0</x:v>
      </x:c>
    </x:row>
    <x:row r="497" ht="16" customHeight="1">
      <x:c r="A497" s="1"/>
      <x:c r="B497" s="1"/>
      <x:c r="C497" s="1" t="str">
        <x:v>S’otality administration</x:v>
      </x:c>
      <x:c r="D497" s="10" t="n">
        <x:v>13</x:v>
      </x:c>
      <x:c r="E497" s="10" t="n">
        <x:f>SUMIF('Revenue and costs'!$D$1544:$D$1671,C497,'Revenue and costs'!N1544:N1671)</x:f>
        <x:v>63838.183680747105</x:v>
      </x:c>
      <x:c r="F497" s="10" t="n">
        <x:f>SUMIF('Revenue and costs'!$D$1544:$D$1671,C497,'Revenue and costs'!O1544:O1671)+SUMIF('Revenue and costs'!$D$1544:$D$1671,C497,'Revenue and costs'!P1544:P1671)+SUMIF('Revenue and costs'!$D$1544:$D$1671,C497,'Revenue and costs'!Q1544:Q1671)+SUMIF('Revenue and costs'!$D$1544:$D$1671,C497,'Revenue and costs'!R1544:R1671)+SUMIF('Revenue and costs'!$D$1544:$D$1671,C497,'Revenue and costs'!S1544:S1671)+SUMIF('Revenue and costs'!$D$1544:$D$1671,C497,'Revenue and costs'!T1544:T1671)+SUMIF('Revenue and costs'!$D$1544:$D$1671,C497,'Revenue and costs'!U1544:U1671)+SUMIF('Revenue and costs'!$D$1544:$D$1671,C497,'Revenue and costs'!V1544:V1671)+SUMIF('Revenue and costs'!$D$1544:$D$1671,C497,'Revenue and costs'!AE1544:AE1671)</x:f>
        <x:v>50963.21795738128</x:v>
      </x:c>
      <x:c r="G497" s="10" t="n">
        <x:f>IF('Income statement'!P50=0,1/39,E497/'Income statement'!P50)*('Shared costs'!T21+'Assumptions'!$D$18*'Assumptions'!$D$19*12*(1+'Assumptions'!$D$13)^(13-1)*'Assumptions'!$D$21)</x:f>
        <x:v>2924.6496128472404</x:v>
      </x:c>
      <x:c r="H497" s="10" t="n">
        <x:f>IF('Income statement'!P50=0,1/39,E497/'Income statement'!P50)*'Cash and capital'!P18</x:f>
        <x:v>12.925113940506705</x:v>
      </x:c>
      <x:c r="I497" s="10" t="n">
        <x:f>E497-F497-G497-H497</x:f>
        <x:v>9937.390996578075</x:v>
      </x:c>
      <x:c r="J497" s="10" t="n">
        <x:f>M458</x:f>
        <x:v>0</x:v>
      </x:c>
      <x:c r="K497" s="10" t="n">
        <x:f>MAX(0,I497-J497)</x:f>
        <x:v>9937.390996578075</x:v>
      </x:c>
      <x:c r="L497" s="10" t="n">
        <x:f>K497*'Assumptions'!$D$12</x:f>
        <x:v>2484.3477491445187</x:v>
      </x:c>
      <x:c r="M497" s="10" t="n">
        <x:f>MAX(0,J497-I497)</x:f>
        <x:v>0</x:v>
      </x:c>
    </x:row>
    <x:row r="498" ht="16" customHeight="1">
      <x:c r="A498" s="1"/>
      <x:c r="B498" s="1"/>
      <x:c r="C498" s="1" t="str">
        <x:v>S’otality bike tours</x:v>
      </x:c>
      <x:c r="D498" s="10" t="n">
        <x:v>13</x:v>
      </x:c>
      <x:c r="E498" s="10" t="n">
        <x:f>SUMIF('Revenue and costs'!$D$1544:$D$1671,C498,'Revenue and costs'!N1544:N1671)</x:f>
        <x:v>34050.493103283516</x:v>
      </x:c>
      <x:c r="F498" s="10" t="n">
        <x:f>SUMIF('Revenue and costs'!$D$1544:$D$1671,C498,'Revenue and costs'!O1544:O1671)+SUMIF('Revenue and costs'!$D$1544:$D$1671,C498,'Revenue and costs'!P1544:P1671)+SUMIF('Revenue and costs'!$D$1544:$D$1671,C498,'Revenue and costs'!Q1544:Q1671)+SUMIF('Revenue and costs'!$D$1544:$D$1671,C498,'Revenue and costs'!R1544:R1671)+SUMIF('Revenue and costs'!$D$1544:$D$1671,C498,'Revenue and costs'!S1544:S1671)+SUMIF('Revenue and costs'!$D$1544:$D$1671,C498,'Revenue and costs'!T1544:T1671)+SUMIF('Revenue and costs'!$D$1544:$D$1671,C498,'Revenue and costs'!U1544:U1671)+SUMIF('Revenue and costs'!$D$1544:$D$1671,C498,'Revenue and costs'!V1544:V1671)+SUMIF('Revenue and costs'!$D$1544:$D$1671,C498,'Revenue and costs'!AE1544:AE1671)</x:f>
        <x:v>28170.284720289554</x:v>
      </x:c>
      <x:c r="G498" s="10" t="n">
        <x:f>IF('Income statement'!P50=0,1/39,E498/'Income statement'!P50)*('Shared costs'!T21+'Assumptions'!$D$18*'Assumptions'!$D$19*12*(1+'Assumptions'!$D$13)^(13-1)*'Assumptions'!$D$21)</x:f>
        <x:v>1559.9717242865374</x:v>
      </x:c>
      <x:c r="H498" s="10" t="n">
        <x:f>IF('Income statement'!P50=0,1/39,E498/'Income statement'!P50)*'Cash and capital'!P18</x:f>
        <x:v>6.894095002629413</x:v>
      </x:c>
      <x:c r="I498" s="10" t="n">
        <x:f>E498-F498-G498-H498</x:f>
        <x:v>4313.342563704796</x:v>
      </x:c>
      <x:c r="J498" s="10" t="n">
        <x:f>M459</x:f>
        <x:v>0</x:v>
      </x:c>
      <x:c r="K498" s="10" t="n">
        <x:f>MAX(0,I498-J498)</x:f>
        <x:v>4313.342563704796</x:v>
      </x:c>
      <x:c r="L498" s="10" t="n">
        <x:f>K498*'Assumptions'!$D$12</x:f>
        <x:v>1078.335640926199</x:v>
      </x:c>
      <x:c r="M498" s="10" t="n">
        <x:f>MAX(0,J498-I498)</x:f>
        <x:v>0</x:v>
      </x:c>
    </x:row>
    <x:row r="499" ht="16" customHeight="1">
      <x:c r="A499" s="1"/>
      <x:c r="B499" s="1"/>
      <x:c r="C499" s="1" t="str">
        <x:v>S’otality editorial</x:v>
      </x:c>
      <x:c r="D499" s="10" t="n">
        <x:v>13</x:v>
      </x:c>
      <x:c r="E499" s="10" t="n">
        <x:f>SUMIF('Revenue and costs'!$D$1544:$D$1671,C499,'Revenue and costs'!N1544:N1671)</x:f>
        <x:v>15724.586341124013</x:v>
      </x:c>
      <x:c r="F499" s="10" t="n">
        <x:f>SUMIF('Revenue and costs'!$D$1544:$D$1671,C499,'Revenue and costs'!O1544:O1671)+SUMIF('Revenue and costs'!$D$1544:$D$1671,C499,'Revenue and costs'!P1544:P1671)+SUMIF('Revenue and costs'!$D$1544:$D$1671,C499,'Revenue and costs'!Q1544:Q1671)+SUMIF('Revenue and costs'!$D$1544:$D$1671,C499,'Revenue and costs'!R1544:R1671)+SUMIF('Revenue and costs'!$D$1544:$D$1671,C499,'Revenue and costs'!S1544:S1671)+SUMIF('Revenue and costs'!$D$1544:$D$1671,C499,'Revenue and costs'!T1544:T1671)+SUMIF('Revenue and costs'!$D$1544:$D$1671,C499,'Revenue and costs'!U1544:U1671)+SUMIF('Revenue and costs'!$D$1544:$D$1671,C499,'Revenue and costs'!V1544:V1671)+SUMIF('Revenue and costs'!$D$1544:$D$1671,C499,'Revenue and costs'!AE1544:AE1671)</x:f>
        <x:v>9234.868059817172</x:v>
      </x:c>
      <x:c r="G499" s="10" t="n">
        <x:f>IF('Income statement'!P50=0,1/39,E499/'Income statement'!P50)*('Shared costs'!T21+'Assumptions'!$D$18*'Assumptions'!$D$19*12*(1+'Assumptions'!$D$13)^(13-1)*'Assumptions'!$D$21)</x:f>
        <x:v>720.3980862729511</x:v>
      </x:c>
      <x:c r="H499" s="10" t="n">
        <x:f>IF('Income statement'!P50=0,1/39,E499/'Income statement'!P50)*'Cash and capital'!P18</x:f>
        <x:v>3.1837069667077462</x:v>
      </x:c>
      <x:c r="I499" s="10" t="n">
        <x:f>E499-F499-G499-H499</x:f>
        <x:v>5766.136488067182</x:v>
      </x:c>
      <x:c r="J499" s="10" t="n">
        <x:f>M460</x:f>
        <x:v>0</x:v>
      </x:c>
      <x:c r="K499" s="10" t="n">
        <x:f>MAX(0,I499-J499)</x:f>
        <x:v>5766.136488067182</x:v>
      </x:c>
      <x:c r="L499" s="10" t="n">
        <x:f>K499*'Assumptions'!$D$12</x:f>
        <x:v>1441.5341220167954</x:v>
      </x:c>
      <x:c r="M499" s="10" t="n">
        <x:f>MAX(0,J499-I499)</x:f>
        <x:v>0</x:v>
      </x:c>
    </x:row>
    <x:row r="500" ht="16" customHeight="1">
      <x:c r="A500" s="1"/>
      <x:c r="B500" s="1"/>
      <x:c r="C500" s="1" t="str">
        <x:v>Tomato Odyssey</x:v>
      </x:c>
      <x:c r="D500" s="10" t="n">
        <x:v>13</x:v>
      </x:c>
      <x:c r="E500" s="10" t="n">
        <x:f>SUMIF('Revenue and costs'!$D$1544:$D$1671,C500,'Revenue and costs'!N1544:N1671)</x:f>
        <x:v>15724.586341124013</x:v>
      </x:c>
      <x:c r="F500" s="10" t="n">
        <x:f>SUMIF('Revenue and costs'!$D$1544:$D$1671,C500,'Revenue and costs'!O1544:O1671)+SUMIF('Revenue and costs'!$D$1544:$D$1671,C500,'Revenue and costs'!P1544:P1671)+SUMIF('Revenue and costs'!$D$1544:$D$1671,C500,'Revenue and costs'!Q1544:Q1671)+SUMIF('Revenue and costs'!$D$1544:$D$1671,C500,'Revenue and costs'!R1544:R1671)+SUMIF('Revenue and costs'!$D$1544:$D$1671,C500,'Revenue and costs'!S1544:S1671)+SUMIF('Revenue and costs'!$D$1544:$D$1671,C500,'Revenue and costs'!T1544:T1671)+SUMIF('Revenue and costs'!$D$1544:$D$1671,C500,'Revenue and costs'!U1544:U1671)+SUMIF('Revenue and costs'!$D$1544:$D$1671,C500,'Revenue and costs'!V1544:V1671)+SUMIF('Revenue and costs'!$D$1544:$D$1671,C500,'Revenue and costs'!AE1544:AE1671)</x:f>
        <x:v>9234.868059817172</x:v>
      </x:c>
      <x:c r="G500" s="10" t="n">
        <x:f>IF('Income statement'!P50=0,1/39,E500/'Income statement'!P50)*('Shared costs'!T21+'Assumptions'!$D$18*'Assumptions'!$D$19*12*(1+'Assumptions'!$D$13)^(13-1)*'Assumptions'!$D$21)</x:f>
        <x:v>720.3980862729511</x:v>
      </x:c>
      <x:c r="H500" s="10" t="n">
        <x:f>IF('Income statement'!P50=0,1/39,E500/'Income statement'!P50)*'Cash and capital'!P18</x:f>
        <x:v>3.1837069667077462</x:v>
      </x:c>
      <x:c r="I500" s="10" t="n">
        <x:f>E500-F500-G500-H500</x:f>
        <x:v>5766.136488067182</x:v>
      </x:c>
      <x:c r="J500" s="10" t="n">
        <x:f>M461</x:f>
        <x:v>0</x:v>
      </x:c>
      <x:c r="K500" s="10" t="n">
        <x:f>MAX(0,I500-J500)</x:f>
        <x:v>5766.136488067182</x:v>
      </x:c>
      <x:c r="L500" s="10" t="n">
        <x:f>K500*'Assumptions'!$D$12</x:f>
        <x:v>1441.5341220167954</x:v>
      </x:c>
      <x:c r="M500" s="10" t="n">
        <x:f>MAX(0,J500-I500)</x:f>
        <x:v>0</x:v>
      </x:c>
    </x:row>
    <x:row r="501" ht="16" customHeight="1">
      <x:c r="A501" s="1"/>
      <x:c r="B501" s="1"/>
      <x:c r="C501" s="1" t="str">
        <x:v>Semajes Studio</x:v>
      </x:c>
      <x:c r="D501" s="10" t="n">
        <x:v>13</x:v>
      </x:c>
      <x:c r="E501" s="10" t="n">
        <x:f>SUMIF('Revenue and costs'!$D$1544:$D$1671,C501,'Revenue and costs'!N1544:N1671)</x:f>
        <x:v>205578.1677979363</x:v>
      </x:c>
      <x:c r="F501" s="10" t="n">
        <x:f>SUMIF('Revenue and costs'!$D$1544:$D$1671,C501,'Revenue and costs'!O1544:O1671)+SUMIF('Revenue and costs'!$D$1544:$D$1671,C501,'Revenue and costs'!P1544:P1671)+SUMIF('Revenue and costs'!$D$1544:$D$1671,C501,'Revenue and costs'!Q1544:Q1671)+SUMIF('Revenue and costs'!$D$1544:$D$1671,C501,'Revenue and costs'!R1544:R1671)+SUMIF('Revenue and costs'!$D$1544:$D$1671,C501,'Revenue and costs'!S1544:S1671)+SUMIF('Revenue and costs'!$D$1544:$D$1671,C501,'Revenue and costs'!T1544:T1671)+SUMIF('Revenue and costs'!$D$1544:$D$1671,C501,'Revenue and costs'!U1544:U1671)+SUMIF('Revenue and costs'!$D$1544:$D$1671,C501,'Revenue and costs'!V1544:V1671)+SUMIF('Revenue and costs'!$D$1544:$D$1671,C501,'Revenue and costs'!AE1544:AE1671)</x:f>
        <x:v>137435.0051123568</x:v>
      </x:c>
      <x:c r="G501" s="10" t="n">
        <x:f>IF('Income statement'!P50=0,1/39,E501/'Income statement'!P50)*('Shared costs'!T21+'Assumptions'!$D$18*'Assumptions'!$D$19*12*(1+'Assumptions'!$D$13)^(13-1)*'Assumptions'!$D$21)</x:f>
        <x:v>9418.25212112681</x:v>
      </x:c>
      <x:c r="H501" s="10" t="n">
        <x:f>IF('Income statement'!P50=0,1/39,E501/'Income statement'!P50)*'Cash and capital'!P18</x:f>
        <x:v>41.622757560852904</x:v>
      </x:c>
      <x:c r="I501" s="10" t="n">
        <x:f>E501-F501-G501-H501</x:f>
        <x:v>58683.28780689184</x:v>
      </x:c>
      <x:c r="J501" s="10" t="n">
        <x:f>M462</x:f>
        <x:v>0</x:v>
      </x:c>
      <x:c r="K501" s="10" t="n">
        <x:f>MAX(0,I501-J501)</x:f>
        <x:v>58683.28780689184</x:v>
      </x:c>
      <x:c r="L501" s="10" t="n">
        <x:f>K501*'Assumptions'!$D$12</x:f>
        <x:v>14670.82195172296</x:v>
      </x:c>
      <x:c r="M501" s="10" t="n">
        <x:f>MAX(0,J501-I501)</x:f>
        <x:v>0</x:v>
      </x:c>
    </x:row>
    <x:row r="502" ht="16" customHeight="1">
      <x:c r="A502" s="1"/>
      <x:c r="B502" s="1"/>
      <x:c r="C502" s="1" t="str">
        <x:v>Semajes Marketplace</x:v>
      </x:c>
      <x:c r="D502" s="10" t="n">
        <x:v>13</x:v>
      </x:c>
      <x:c r="E502" s="10" t="n">
        <x:f>SUMIF('Revenue and costs'!$D$1544:$D$1671,C502,'Revenue and costs'!N1544:N1671)</x:f>
        <x:v>66383.38609510828</x:v>
      </x:c>
      <x:c r="F502" s="10" t="n">
        <x:f>SUMIF('Revenue and costs'!$D$1544:$D$1671,C502,'Revenue and costs'!O1544:O1671)+SUMIF('Revenue and costs'!$D$1544:$D$1671,C502,'Revenue and costs'!P1544:P1671)+SUMIF('Revenue and costs'!$D$1544:$D$1671,C502,'Revenue and costs'!Q1544:Q1671)+SUMIF('Revenue and costs'!$D$1544:$D$1671,C502,'Revenue and costs'!R1544:R1671)+SUMIF('Revenue and costs'!$D$1544:$D$1671,C502,'Revenue and costs'!S1544:S1671)+SUMIF('Revenue and costs'!$D$1544:$D$1671,C502,'Revenue and costs'!T1544:T1671)+SUMIF('Revenue and costs'!$D$1544:$D$1671,C502,'Revenue and costs'!U1544:U1671)+SUMIF('Revenue and costs'!$D$1544:$D$1671,C502,'Revenue and costs'!V1544:V1671)+SUMIF('Revenue and costs'!$D$1544:$D$1671,C502,'Revenue and costs'!AE1544:AE1671)</x:f>
        <x:v>33150.6480444162</x:v>
      </x:c>
      <x:c r="G502" s="10" t="n">
        <x:f>IF('Income statement'!P50=0,1/39,E502/'Income statement'!P50)*('Shared costs'!T21+'Assumptions'!$D$18*'Assumptions'!$D$19*12*(1+'Assumptions'!$D$13)^(13-1)*'Assumptions'!$D$21)</x:f>
        <x:v>3041.2542031815397</x:v>
      </x:c>
      <x:c r="H502" s="10" t="n">
        <x:f>IF('Income statement'!P50=0,1/39,E502/'Income statement'!P50)*'Cash and capital'!P18</x:f>
        <x:v>13.440432975455883</x:v>
      </x:c>
      <x:c r="I502" s="10" t="n">
        <x:f>E502-F502-G502-H502</x:f>
        <x:v>30178.04341453508</x:v>
      </x:c>
      <x:c r="J502" s="10" t="n">
        <x:f>M463</x:f>
        <x:v>0</x:v>
      </x:c>
      <x:c r="K502" s="10" t="n">
        <x:f>MAX(0,I502-J502)</x:f>
        <x:v>30178.04341453508</x:v>
      </x:c>
      <x:c r="L502" s="10" t="n">
        <x:f>K502*'Assumptions'!$D$12</x:f>
        <x:v>7544.51085363377</x:v>
      </x:c>
      <x:c r="M502" s="10" t="n">
        <x:f>MAX(0,J502-I502)</x:f>
        <x:v>0</x:v>
      </x:c>
    </x:row>
    <x:row r="503" ht="16" customHeight="1">
      <x:c r="A503" s="1"/>
      <x:c r="B503" s="1"/>
      <x:c r="C503" s="1" t="str">
        <x:v>Semajes premium and media</x:v>
      </x:c>
      <x:c r="D503" s="10" t="n">
        <x:v>13</x:v>
      </x:c>
      <x:c r="E503" s="10" t="n">
        <x:f>SUMIF('Revenue and costs'!$D$1544:$D$1671,C503,'Revenue and costs'!N1544:N1671)</x:f>
        <x:v>46306.897165263355</x:v>
      </x:c>
      <x:c r="F503" s="10" t="n">
        <x:f>SUMIF('Revenue and costs'!$D$1544:$D$1671,C503,'Revenue and costs'!O1544:O1671)+SUMIF('Revenue and costs'!$D$1544:$D$1671,C503,'Revenue and costs'!P1544:P1671)+SUMIF('Revenue and costs'!$D$1544:$D$1671,C503,'Revenue and costs'!Q1544:Q1671)+SUMIF('Revenue and costs'!$D$1544:$D$1671,C503,'Revenue and costs'!R1544:R1671)+SUMIF('Revenue and costs'!$D$1544:$D$1671,C503,'Revenue and costs'!S1544:S1671)+SUMIF('Revenue and costs'!$D$1544:$D$1671,C503,'Revenue and costs'!T1544:T1671)+SUMIF('Revenue and costs'!$D$1544:$D$1671,C503,'Revenue and costs'!U1544:U1671)+SUMIF('Revenue and costs'!$D$1544:$D$1671,C503,'Revenue and costs'!V1544:V1671)+SUMIF('Revenue and costs'!$D$1544:$D$1671,C503,'Revenue and costs'!AE1544:AE1671)</x:f>
        <x:v>26105.313931978326</x:v>
      </x:c>
      <x:c r="G503" s="10" t="n">
        <x:f>IF('Income statement'!P50=0,1/39,E503/'Income statement'!P50)*('Shared costs'!T21+'Assumptions'!$D$18*'Assumptions'!$D$19*12*(1+'Assumptions'!$D$13)^(13-1)*'Assumptions'!$D$21)</x:f>
        <x:v>2121.480296867987</x:v>
      </x:c>
      <x:c r="H503" s="10" t="n">
        <x:f>IF('Income statement'!P50=0,1/39,E503/'Income statement'!P50)*'Cash and capital'!P18</x:f>
        <x:v>9.375610137743681</x:v>
      </x:c>
      <x:c r="I503" s="10" t="n">
        <x:f>E503-F503-G503-H503</x:f>
        <x:v>18070.7273262793</x:v>
      </x:c>
      <x:c r="J503" s="10" t="n">
        <x:f>M464</x:f>
        <x:v>0</x:v>
      </x:c>
      <x:c r="K503" s="10" t="n">
        <x:f>MAX(0,I503-J503)</x:f>
        <x:v>18070.7273262793</x:v>
      </x:c>
      <x:c r="L503" s="10" t="n">
        <x:f>K503*'Assumptions'!$D$12</x:f>
        <x:v>4517.681831569825</x:v>
      </x:c>
      <x:c r="M503" s="10" t="n">
        <x:f>MAX(0,J503-I503)</x:f>
        <x:v>0</x:v>
      </x:c>
    </x:row>
    <x:row r="504" ht="16" customHeight="1">
      <x:c r="A504" s="1"/>
      <x:c r="B504" s="1"/>
      <x:c r="C504" s="1" t="str">
        <x:v>Semajes courses</x:v>
      </x:c>
      <x:c r="D504" s="10" t="n">
        <x:v>13</x:v>
      </x:c>
      <x:c r="E504" s="10" t="n">
        <x:f>SUMIF('Revenue and costs'!$D$1544:$D$1671,C504,'Revenue and costs'!N1544:N1671)</x:f>
        <x:v>25266.350522538138</x:v>
      </x:c>
      <x:c r="F504" s="10" t="n">
        <x:f>SUMIF('Revenue and costs'!$D$1544:$D$1671,C504,'Revenue and costs'!O1544:O1671)+SUMIF('Revenue and costs'!$D$1544:$D$1671,C504,'Revenue and costs'!P1544:P1671)+SUMIF('Revenue and costs'!$D$1544:$D$1671,C504,'Revenue and costs'!Q1544:Q1671)+SUMIF('Revenue and costs'!$D$1544:$D$1671,C504,'Revenue and costs'!R1544:R1671)+SUMIF('Revenue and costs'!$D$1544:$D$1671,C504,'Revenue and costs'!S1544:S1671)+SUMIF('Revenue and costs'!$D$1544:$D$1671,C504,'Revenue and costs'!T1544:T1671)+SUMIF('Revenue and costs'!$D$1544:$D$1671,C504,'Revenue and costs'!U1544:U1671)+SUMIF('Revenue and costs'!$D$1544:$D$1671,C504,'Revenue and costs'!V1544:V1671)+SUMIF('Revenue and costs'!$D$1544:$D$1671,C504,'Revenue and costs'!AE1544:AE1671)</x:f>
        <x:v>8371.17036027392</x:v>
      </x:c>
      <x:c r="G504" s="10" t="n">
        <x:f>IF('Income statement'!P50=0,1/39,E504/'Income statement'!P50)*('Shared costs'!T21+'Assumptions'!$D$18*'Assumptions'!$D$19*12*(1+'Assumptions'!$D$13)^(13-1)*'Assumptions'!$D$21)</x:f>
        <x:v>1157.5395478566822</x:v>
      </x:c>
      <x:c r="H504" s="10" t="n">
        <x:f>IF('Income statement'!P50=0,1/39,E504/'Income statement'!P50)*'Cash and capital'!P18</x:f>
        <x:v>5.115597602177341</x:v>
      </x:c>
      <x:c r="I504" s="10" t="n">
        <x:f>E504-F504-G504-H504</x:f>
        <x:v>15732.525016805355</x:v>
      </x:c>
      <x:c r="J504" s="10" t="n">
        <x:f>M465</x:f>
        <x:v>0</x:v>
      </x:c>
      <x:c r="K504" s="10" t="n">
        <x:f>MAX(0,I504-J504)</x:f>
        <x:v>15732.525016805355</x:v>
      </x:c>
      <x:c r="L504" s="10" t="n">
        <x:f>K504*'Assumptions'!$D$12</x:f>
        <x:v>3933.131254201339</x:v>
      </x:c>
      <x:c r="M504" s="10" t="n">
        <x:f>MAX(0,J504-I504)</x:f>
        <x:v>0</x:v>
      </x:c>
    </x:row>
    <x:row r="505" ht="16" customHeight="1">
      <x:c r="A505" s="1"/>
      <x:c r="B505" s="1"/>
      <x:c r="C505" s="1" t="str">
        <x:v>Sleepy Face</x:v>
      </x:c>
      <x:c r="D505" s="10" t="n">
        <x:v>13</x:v>
      </x:c>
      <x:c r="E505" s="10" t="n">
        <x:f>SUMIF('Revenue and costs'!$D$1544:$D$1671,C505,'Revenue and costs'!N1544:N1671)</x:f>
        <x:v>323585.1502578555</x:v>
      </x:c>
      <x:c r="F505" s="10" t="n">
        <x:f>SUMIF('Revenue and costs'!$D$1544:$D$1671,C505,'Revenue and costs'!O1544:O1671)+SUMIF('Revenue and costs'!$D$1544:$D$1671,C505,'Revenue and costs'!P1544:P1671)+SUMIF('Revenue and costs'!$D$1544:$D$1671,C505,'Revenue and costs'!Q1544:Q1671)+SUMIF('Revenue and costs'!$D$1544:$D$1671,C505,'Revenue and costs'!R1544:R1671)+SUMIF('Revenue and costs'!$D$1544:$D$1671,C505,'Revenue and costs'!S1544:S1671)+SUMIF('Revenue and costs'!$D$1544:$D$1671,C505,'Revenue and costs'!T1544:T1671)+SUMIF('Revenue and costs'!$D$1544:$D$1671,C505,'Revenue and costs'!U1544:U1671)+SUMIF('Revenue and costs'!$D$1544:$D$1671,C505,'Revenue and costs'!V1544:V1671)+SUMIF('Revenue and costs'!$D$1544:$D$1671,C505,'Revenue and costs'!AE1544:AE1671)</x:f>
        <x:v>211910.3420851734</x:v>
      </x:c>
      <x:c r="G505" s="10" t="n">
        <x:f>IF('Income statement'!P50=0,1/39,E505/'Income statement'!P50)*('Shared costs'!T21+'Assumptions'!$D$18*'Assumptions'!$D$19*12*(1+'Assumptions'!$D$13)^(13-1)*'Assumptions'!$D$21)</x:f>
        <x:v>14824.563135404007</x:v>
      </x:c>
      <x:c r="H505" s="10" t="n">
        <x:f>IF('Income statement'!P50=0,1/39,E505/'Income statement'!P50)*'Cash and capital'!P18</x:f>
        <x:v>65.51525584522736</x:v>
      </x:c>
      <x:c r="I505" s="10" t="n">
        <x:f>E505-F505-G505-H505</x:f>
        <x:v>96784.72978143283</x:v>
      </x:c>
      <x:c r="J505" s="10" t="n">
        <x:f>M466</x:f>
        <x:v>0</x:v>
      </x:c>
      <x:c r="K505" s="10" t="n">
        <x:f>MAX(0,I505-J505)</x:f>
        <x:v>96784.72978143283</x:v>
      </x:c>
      <x:c r="L505" s="10" t="n">
        <x:f>K505*'Assumptions'!$D$12</x:f>
        <x:v>24196.18244535821</x:v>
      </x:c>
      <x:c r="M505" s="10" t="n">
        <x:f>MAX(0,J505-I505)</x:f>
        <x:v>0</x:v>
      </x:c>
    </x:row>
    <x:row r="506" ht="16" customHeight="1">
      <x:c r="A506" s="1"/>
      <x:c r="B506" s="1"/>
      <x:c r="C506" s="1" t="str">
        <x:v>QzoticMusic</x:v>
      </x:c>
      <x:c r="D506" s="10" t="n">
        <x:v>13</x:v>
      </x:c>
      <x:c r="E506" s="10" t="n">
        <x:f>SUMIF('Revenue and costs'!$D$1544:$D$1671,C506,'Revenue and costs'!N1544:N1671)</x:f>
        <x:v>28315.514510781166</x:v>
      </x:c>
      <x:c r="F506" s="10" t="n">
        <x:f>SUMIF('Revenue and costs'!$D$1544:$D$1671,C506,'Revenue and costs'!O1544:O1671)+SUMIF('Revenue and costs'!$D$1544:$D$1671,C506,'Revenue and costs'!P1544:P1671)+SUMIF('Revenue and costs'!$D$1544:$D$1671,C506,'Revenue and costs'!Q1544:Q1671)+SUMIF('Revenue and costs'!$D$1544:$D$1671,C506,'Revenue and costs'!R1544:R1671)+SUMIF('Revenue and costs'!$D$1544:$D$1671,C506,'Revenue and costs'!S1544:S1671)+SUMIF('Revenue and costs'!$D$1544:$D$1671,C506,'Revenue and costs'!T1544:T1671)+SUMIF('Revenue and costs'!$D$1544:$D$1671,C506,'Revenue and costs'!U1544:U1671)+SUMIF('Revenue and costs'!$D$1544:$D$1671,C506,'Revenue and costs'!V1544:V1671)+SUMIF('Revenue and costs'!$D$1544:$D$1671,C506,'Revenue and costs'!AE1544:AE1671)</x:f>
        <x:v>32216.40931661643</x:v>
      </x:c>
      <x:c r="G506" s="10" t="n">
        <x:f>IF('Income statement'!P50=0,1/39,E506/'Income statement'!P50)*('Shared costs'!T21+'Assumptions'!$D$18*'Assumptions'!$D$19*12*(1+'Assumptions'!$D$13)^(13-1)*'Assumptions'!$D$21)</x:f>
        <x:v>1297.2323737415797</x:v>
      </x:c>
      <x:c r="H506" s="10" t="n">
        <x:f>IF('Income statement'!P50=0,1/39,E506/'Income statement'!P50)*'Cash and capital'!P18</x:f>
        <x:v>5.732952133572269</x:v>
      </x:c>
      <x:c r="I506" s="10" t="n">
        <x:f>E506-F506-G506-H506</x:f>
        <x:v>-5203.860131710418</x:v>
      </x:c>
      <x:c r="J506" s="10" t="n">
        <x:f>M467</x:f>
        <x:v>30441.377586980023</x:v>
      </x:c>
      <x:c r="K506" s="10" t="n">
        <x:f>MAX(0,I506-J506)</x:f>
        <x:v>0</x:v>
      </x:c>
      <x:c r="L506" s="10" t="n">
        <x:f>K506*'Assumptions'!$D$12</x:f>
        <x:v>0</x:v>
      </x:c>
      <x:c r="M506" s="10" t="n">
        <x:f>MAX(0,J506-I506)</x:f>
        <x:v>35645.23771869044</x:v>
      </x:c>
    </x:row>
    <x:row r="507" ht="16" customHeight="1">
      <x:c r="A507" s="1"/>
      <x:c r="B507" s="1"/>
      <x:c r="C507" s="1" t="str">
        <x:v>LesPetitFilms</x:v>
      </x:c>
      <x:c r="D507" s="10" t="n">
        <x:v>13</x:v>
      </x:c>
      <x:c r="E507" s="10" t="n">
        <x:f>SUMIF('Revenue and costs'!$D$1544:$D$1671,C507,'Revenue and costs'!N1544:N1671)</x:f>
        <x:v>103332.99595595778</x:v>
      </x:c>
      <x:c r="F507" s="10" t="n">
        <x:f>SUMIF('Revenue and costs'!$D$1544:$D$1671,C507,'Revenue and costs'!O1544:O1671)+SUMIF('Revenue and costs'!$D$1544:$D$1671,C507,'Revenue and costs'!P1544:P1671)+SUMIF('Revenue and costs'!$D$1544:$D$1671,C507,'Revenue and costs'!Q1544:Q1671)+SUMIF('Revenue and costs'!$D$1544:$D$1671,C507,'Revenue and costs'!R1544:R1671)+SUMIF('Revenue and costs'!$D$1544:$D$1671,C507,'Revenue and costs'!S1544:S1671)+SUMIF('Revenue and costs'!$D$1544:$D$1671,C507,'Revenue and costs'!T1544:T1671)+SUMIF('Revenue and costs'!$D$1544:$D$1671,C507,'Revenue and costs'!U1544:U1671)+SUMIF('Revenue and costs'!$D$1544:$D$1671,C507,'Revenue and costs'!V1544:V1671)+SUMIF('Revenue and costs'!$D$1544:$D$1671,C507,'Revenue and costs'!AE1544:AE1671)</x:f>
        <x:v>62035.01799452088</x:v>
      </x:c>
      <x:c r="G507" s="10" t="n">
        <x:f>IF('Income statement'!P50=0,1/39,E507/'Income statement'!P50)*('Shared costs'!T21+'Assumptions'!$D$18*'Assumptions'!$D$19*12*(1+'Assumptions'!$D$13)^(13-1)*'Assumptions'!$D$21)</x:f>
        <x:v>4734.0445669365345</x:v>
      </x:c>
      <x:c r="H507" s="10" t="n">
        <x:f>IF('Income statement'!P50=0,1/39,E507/'Income statement'!P50)*'Cash and capital'!P18</x:f>
        <x:v>20.92150292407947</x:v>
      </x:c>
      <x:c r="I507" s="10" t="n">
        <x:f>E507-F507-G507-H507</x:f>
        <x:v>36543.01189157629</x:v>
      </x:c>
      <x:c r="J507" s="10" t="n">
        <x:f>M468</x:f>
        <x:v>0</x:v>
      </x:c>
      <x:c r="K507" s="10" t="n">
        <x:f>MAX(0,I507-J507)</x:f>
        <x:v>36543.01189157629</x:v>
      </x:c>
      <x:c r="L507" s="10" t="n">
        <x:f>K507*'Assumptions'!$D$12</x:f>
        <x:v>9135.752972894072</x:v>
      </x:c>
      <x:c r="M507" s="10" t="n">
        <x:f>MAX(0,J507-I507)</x:f>
        <x:v>0</x:v>
      </x:c>
    </x:row>
    <x:row r="508" ht="16" customHeight="1">
      <x:c r="A508" s="1"/>
      <x:c r="B508" s="1"/>
      <x:c r="C508" s="1" t="str">
        <x:v>Learn Anglais</x:v>
      </x:c>
      <x:c r="D508" s="10" t="n">
        <x:v>13</x:v>
      </x:c>
      <x:c r="E508" s="10" t="n">
        <x:f>SUMIF('Revenue and costs'!$D$1544:$D$1671,C508,'Revenue and costs'!N1544:N1671)</x:f>
        <x:v>108966.7988929904</x:v>
      </x:c>
      <x:c r="F508" s="10" t="n">
        <x:f>SUMIF('Revenue and costs'!$D$1544:$D$1671,C508,'Revenue and costs'!O1544:O1671)+SUMIF('Revenue and costs'!$D$1544:$D$1671,C508,'Revenue and costs'!P1544:P1671)+SUMIF('Revenue and costs'!$D$1544:$D$1671,C508,'Revenue and costs'!Q1544:Q1671)+SUMIF('Revenue and costs'!$D$1544:$D$1671,C508,'Revenue and costs'!R1544:R1671)+SUMIF('Revenue and costs'!$D$1544:$D$1671,C508,'Revenue and costs'!S1544:S1671)+SUMIF('Revenue and costs'!$D$1544:$D$1671,C508,'Revenue and costs'!T1544:T1671)+SUMIF('Revenue and costs'!$D$1544:$D$1671,C508,'Revenue and costs'!U1544:U1671)+SUMIF('Revenue and costs'!$D$1544:$D$1671,C508,'Revenue and costs'!V1544:V1671)+SUMIF('Revenue and costs'!$D$1544:$D$1671,C508,'Revenue and costs'!AE1544:AE1671)</x:f>
        <x:v>68508.98252387166</x:v>
      </x:c>
      <x:c r="G508" s="10" t="n">
        <x:f>IF('Income statement'!P50=0,1/39,E508/'Income statement'!P50)*('Shared costs'!T21+'Assumptions'!$D$18*'Assumptions'!$D$19*12*(1+'Assumptions'!$D$13)^(13-1)*'Assumptions'!$D$21)</x:f>
        <x:v>4992.148708198613</x:v>
      </x:c>
      <x:c r="H508" s="10" t="n">
        <x:f>IF('Income statement'!P50=0,1/39,E508/'Income statement'!P50)*'Cash and capital'!P18</x:f>
        <x:v>22.062161080076923</x:v>
      </x:c>
      <x:c r="I508" s="10" t="n">
        <x:f>E508-F508-G508-H508</x:f>
        <x:v>35443.60549984005</x:v>
      </x:c>
      <x:c r="J508" s="10" t="n">
        <x:f>M469</x:f>
        <x:v>0</x:v>
      </x:c>
      <x:c r="K508" s="10" t="n">
        <x:f>MAX(0,I508-J508)</x:f>
        <x:v>35443.60549984005</x:v>
      </x:c>
      <x:c r="L508" s="10" t="n">
        <x:f>K508*'Assumptions'!$D$12</x:f>
        <x:v>8860.901374960013</x:v>
      </x:c>
      <x:c r="M508" s="10" t="n">
        <x:f>MAX(0,J508-I508)</x:f>
        <x:v>0</x:v>
      </x:c>
    </x:row>
    <x:row r="509" ht="16" customHeight="1">
      <x:c r="A509" s="1"/>
      <x:c r="B509" s="1"/>
      <x:c r="C509" s="1" t="str">
        <x:v>Fiefé</x:v>
      </x:c>
      <x:c r="D509" s="10" t="n">
        <x:v>13</x:v>
      </x:c>
      <x:c r="E509" s="10" t="n">
        <x:f>SUMIF('Revenue and costs'!$D$1544:$D$1671,C509,'Revenue and costs'!N1544:N1671)</x:f>
        <x:v>76139.88547155325</x:v>
      </x:c>
      <x:c r="F509" s="10" t="n">
        <x:f>SUMIF('Revenue and costs'!$D$1544:$D$1671,C509,'Revenue and costs'!O1544:O1671)+SUMIF('Revenue and costs'!$D$1544:$D$1671,C509,'Revenue and costs'!P1544:P1671)+SUMIF('Revenue and costs'!$D$1544:$D$1671,C509,'Revenue and costs'!Q1544:Q1671)+SUMIF('Revenue and costs'!$D$1544:$D$1671,C509,'Revenue and costs'!R1544:R1671)+SUMIF('Revenue and costs'!$D$1544:$D$1671,C509,'Revenue and costs'!S1544:S1671)+SUMIF('Revenue and costs'!$D$1544:$D$1671,C509,'Revenue and costs'!T1544:T1671)+SUMIF('Revenue and costs'!$D$1544:$D$1671,C509,'Revenue and costs'!U1544:U1671)+SUMIF('Revenue and costs'!$D$1544:$D$1671,C509,'Revenue and costs'!V1544:V1671)+SUMIF('Revenue and costs'!$D$1544:$D$1671,C509,'Revenue and costs'!AE1544:AE1671)</x:f>
        <x:v>62262.41615660488</x:v>
      </x:c>
      <x:c r="G509" s="10" t="n">
        <x:f>IF('Income statement'!P50=0,1/39,E509/'Income statement'!P50)*('Shared costs'!T21+'Assumptions'!$D$18*'Assumptions'!$D$19*12*(1+'Assumptions'!$D$13)^(13-1)*'Assumptions'!$D$21)</x:f>
        <x:v>3488.2334322079096</x:v>
      </x:c>
      <x:c r="H509" s="10" t="n">
        <x:f>IF('Income statement'!P50=0,1/39,E509/'Income statement'!P50)*'Cash and capital'!P18</x:f>
        <x:v>15.415800362655926</x:v>
      </x:c>
      <x:c r="I509" s="10" t="n">
        <x:f>E509-F509-G509-H509</x:f>
        <x:v>10373.820082377806</x:v>
      </x:c>
      <x:c r="J509" s="10" t="n">
        <x:f>M470</x:f>
        <x:v>0</x:v>
      </x:c>
      <x:c r="K509" s="10" t="n">
        <x:f>MAX(0,I509-J509)</x:f>
        <x:v>10373.820082377806</x:v>
      </x:c>
      <x:c r="L509" s="10" t="n">
        <x:f>K509*'Assumptions'!$D$12</x:f>
        <x:v>2593.4550205944515</x:v>
      </x:c>
      <x:c r="M509" s="10" t="n">
        <x:f>MAX(0,J509-I509)</x:f>
        <x:v>0</x:v>
      </x:c>
    </x:row>
    <x:row r="510" ht="16" customHeight="1">
      <x:c r="A510" s="1"/>
      <x:c r="B510" s="1"/>
      <x:c r="C510" s="1" t="str">
        <x:v>Fiefé Design</x:v>
      </x:c>
      <x:c r="D510" s="10" t="n">
        <x:v>13</x:v>
      </x:c>
      <x:c r="E510" s="10" t="n">
        <x:f>SUMIF('Revenue and costs'!$D$1544:$D$1671,C510,'Revenue and costs'!N1544:N1671)</x:f>
        <x:v>47439.18097916091</x:v>
      </x:c>
      <x:c r="F510" s="10" t="n">
        <x:f>SUMIF('Revenue and costs'!$D$1544:$D$1671,C510,'Revenue and costs'!O1544:O1671)+SUMIF('Revenue and costs'!$D$1544:$D$1671,C510,'Revenue and costs'!P1544:P1671)+SUMIF('Revenue and costs'!$D$1544:$D$1671,C510,'Revenue and costs'!Q1544:Q1671)+SUMIF('Revenue and costs'!$D$1544:$D$1671,C510,'Revenue and costs'!R1544:R1671)+SUMIF('Revenue and costs'!$D$1544:$D$1671,C510,'Revenue and costs'!S1544:S1671)+SUMIF('Revenue and costs'!$D$1544:$D$1671,C510,'Revenue and costs'!T1544:T1671)+SUMIF('Revenue and costs'!$D$1544:$D$1671,C510,'Revenue and costs'!U1544:U1671)+SUMIF('Revenue and costs'!$D$1544:$D$1671,C510,'Revenue and costs'!V1544:V1671)+SUMIF('Revenue and costs'!$D$1544:$D$1671,C510,'Revenue and costs'!AE1544:AE1671)</x:f>
        <x:v>36337.318565752284</x:v>
      </x:c>
      <x:c r="G510" s="10" t="n">
        <x:f>IF('Income statement'!P50=0,1/39,E510/'Income statement'!P50)*('Shared costs'!T21+'Assumptions'!$D$18*'Assumptions'!$D$19*12*(1+'Assumptions'!$D$13)^(13-1)*'Assumptions'!$D$21)</x:f>
        <x:v>2173.3541633694144</x:v>
      </x:c>
      <x:c r="H510" s="10" t="n">
        <x:f>IF('Income statement'!P50=0,1/39,E510/'Income statement'!P50)*'Cash and capital'!P18</x:f>
        <x:v>9.60486003903796</x:v>
      </x:c>
      <x:c r="I510" s="10" t="n">
        <x:f>E510-F510-G510-H510</x:f>
        <x:v>8918.903390000174</x:v>
      </x:c>
      <x:c r="J510" s="10" t="n">
        <x:f>M471</x:f>
        <x:v>0</x:v>
      </x:c>
      <x:c r="K510" s="10" t="n">
        <x:f>MAX(0,I510-J510)</x:f>
        <x:v>8918.903390000174</x:v>
      </x:c>
      <x:c r="L510" s="10" t="n">
        <x:f>K510*'Assumptions'!$D$12</x:f>
        <x:v>2229.7258475000435</x:v>
      </x:c>
      <x:c r="M510" s="10" t="n">
        <x:f>MAX(0,J510-I510)</x:f>
        <x:v>0</x:v>
      </x:c>
    </x:row>
    <x:row r="511" ht="16" customHeight="1">
      <x:c r="A511" s="1"/>
      <x:c r="B511" s="1"/>
      <x:c r="C511" s="1" t="str">
        <x:v>OsezArt</x:v>
      </x:c>
      <x:c r="D511" s="10" t="n">
        <x:v>13</x:v>
      </x:c>
      <x:c r="E511" s="10" t="n">
        <x:f>SUMIF('Revenue and costs'!$D$1544:$D$1671,C511,'Revenue and costs'!N1544:N1671)</x:f>
        <x:v>186609.10297011683</x:v>
      </x:c>
      <x:c r="F511" s="10" t="n">
        <x:f>SUMIF('Revenue and costs'!$D$1544:$D$1671,C511,'Revenue and costs'!O1544:O1671)+SUMIF('Revenue and costs'!$D$1544:$D$1671,C511,'Revenue and costs'!P1544:P1671)+SUMIF('Revenue and costs'!$D$1544:$D$1671,C511,'Revenue and costs'!Q1544:Q1671)+SUMIF('Revenue and costs'!$D$1544:$D$1671,C511,'Revenue and costs'!R1544:R1671)+SUMIF('Revenue and costs'!$D$1544:$D$1671,C511,'Revenue and costs'!S1544:S1671)+SUMIF('Revenue and costs'!$D$1544:$D$1671,C511,'Revenue and costs'!T1544:T1671)+SUMIF('Revenue and costs'!$D$1544:$D$1671,C511,'Revenue and costs'!U1544:U1671)+SUMIF('Revenue and costs'!$D$1544:$D$1671,C511,'Revenue and costs'!V1544:V1671)+SUMIF('Revenue and costs'!$D$1544:$D$1671,C511,'Revenue and costs'!AE1544:AE1671)</x:f>
        <x:v>105780.66017451885</x:v>
      </x:c>
      <x:c r="G511" s="10" t="n">
        <x:f>IF('Income statement'!P50=0,1/39,E511/'Income statement'!P50)*('Shared costs'!T21+'Assumptions'!$D$18*'Assumptions'!$D$19*12*(1+'Assumptions'!$D$13)^(13-1)*'Assumptions'!$D$21)</x:f>
        <x:v>8549.213171300175</x:v>
      </x:c>
      <x:c r="H511" s="10" t="n">
        <x:f>IF('Income statement'!P50=0,1/39,E511/'Income statement'!P50)*'Cash and capital'!P18</x:f>
        <x:v>37.782151357666585</x:v>
      </x:c>
      <x:c r="I511" s="10" t="n">
        <x:f>E511-F511-G511-H511</x:f>
        <x:v>72241.44747294014</x:v>
      </x:c>
      <x:c r="J511" s="10" t="n">
        <x:f>M472</x:f>
        <x:v>0</x:v>
      </x:c>
      <x:c r="K511" s="10" t="n">
        <x:f>MAX(0,I511-J511)</x:f>
        <x:v>72241.44747294014</x:v>
      </x:c>
      <x:c r="L511" s="10" t="n">
        <x:f>K511*'Assumptions'!$D$12</x:f>
        <x:v>18060.361868235035</x:v>
      </x:c>
      <x:c r="M511" s="10" t="n">
        <x:f>MAX(0,J511-I511)</x:f>
        <x:v>0</x:v>
      </x:c>
    </x:row>
    <x:row r="512" ht="16" customHeight="1">
      <x:c r="A512" s="1"/>
      <x:c r="B512" s="1"/>
      <x:c r="C512" s="1" t="str">
        <x:v>FinBot research</x:v>
      </x:c>
      <x:c r="D512" s="10" t="n">
        <x:v>13</x:v>
      </x:c>
      <x:c r="E512" s="10" t="n">
        <x:f>SUMIF('Revenue and costs'!$D$1544:$D$1671,C512,'Revenue and costs'!N1544:N1671)</x:f>
        <x:v>9393.89948945834</x:v>
      </x:c>
      <x:c r="F512" s="10" t="n">
        <x:f>SUMIF('Revenue and costs'!$D$1544:$D$1671,C512,'Revenue and costs'!O1544:O1671)+SUMIF('Revenue and costs'!$D$1544:$D$1671,C512,'Revenue and costs'!P1544:P1671)+SUMIF('Revenue and costs'!$D$1544:$D$1671,C512,'Revenue and costs'!Q1544:Q1671)+SUMIF('Revenue and costs'!$D$1544:$D$1671,C512,'Revenue and costs'!R1544:R1671)+SUMIF('Revenue and costs'!$D$1544:$D$1671,C512,'Revenue and costs'!S1544:S1671)+SUMIF('Revenue and costs'!$D$1544:$D$1671,C512,'Revenue and costs'!T1544:T1671)+SUMIF('Revenue and costs'!$D$1544:$D$1671,C512,'Revenue and costs'!U1544:U1671)+SUMIF('Revenue and costs'!$D$1544:$D$1671,C512,'Revenue and costs'!V1544:V1671)+SUMIF('Revenue and costs'!$D$1544:$D$1671,C512,'Revenue and costs'!AE1544:AE1671)</x:f>
        <x:v>5676.795699620845</x:v>
      </x:c>
      <x:c r="G512" s="10" t="n">
        <x:f>IF('Income statement'!P50=0,1/39,E512/'Income statement'!P50)*('Shared costs'!T21+'Assumptions'!$D$18*'Assumptions'!$D$19*12*(1+'Assumptions'!$D$13)^(13-1)*'Assumptions'!$D$21)</x:f>
        <x:v>430.3672648702885</x:v>
      </x:c>
      <x:c r="H512" s="10" t="n">
        <x:f>IF('Income statement'!P50=0,1/39,E512/'Income statement'!P50)*'Cash and capital'!P18</x:f>
        <x:v>1.9019529417397083</x:v>
      </x:c>
      <x:c r="I512" s="10" t="n">
        <x:f>E512-F512-G512-H512</x:f>
        <x:v>3284.834572025466</x:v>
      </x:c>
      <x:c r="J512" s="10" t="n">
        <x:f>M473</x:f>
        <x:v>0</x:v>
      </x:c>
      <x:c r="K512" s="10" t="n">
        <x:f>MAX(0,I512-J512)</x:f>
        <x:v>3284.834572025466</x:v>
      </x:c>
      <x:c r="L512" s="10" t="n">
        <x:f>K512*'Assumptions'!$D$12</x:f>
        <x:v>821.2086430063665</x:v>
      </x:c>
      <x:c r="M512" s="10" t="n">
        <x:f>MAX(0,J512-I512)</x:f>
        <x:v>0</x:v>
      </x:c>
    </x:row>
    <x:row r="513" ht="16" customHeight="1">
      <x:c r="A513" s="1"/>
      <x:c r="B513" s="1"/>
      <x:c r="C513" s="1" t="str">
        <x:v>Functional Analysis</x:v>
      </x:c>
      <x:c r="D513" s="10" t="n">
        <x:v>13</x:v>
      </x:c>
      <x:c r="E513" s="10" t="n">
        <x:f>SUMIF('Revenue and costs'!$D$1544:$D$1671,C513,'Revenue and costs'!N1544:N1671)</x:f>
        <x:v>20208.955234015433</x:v>
      </x:c>
      <x:c r="F513" s="10" t="n">
        <x:f>SUMIF('Revenue and costs'!$D$1544:$D$1671,C513,'Revenue and costs'!O1544:O1671)+SUMIF('Revenue and costs'!$D$1544:$D$1671,C513,'Revenue and costs'!P1544:P1671)+SUMIF('Revenue and costs'!$D$1544:$D$1671,C513,'Revenue and costs'!Q1544:Q1671)+SUMIF('Revenue and costs'!$D$1544:$D$1671,C513,'Revenue and costs'!R1544:R1671)+SUMIF('Revenue and costs'!$D$1544:$D$1671,C513,'Revenue and costs'!S1544:S1671)+SUMIF('Revenue and costs'!$D$1544:$D$1671,C513,'Revenue and costs'!T1544:T1671)+SUMIF('Revenue and costs'!$D$1544:$D$1671,C513,'Revenue and costs'!U1544:U1671)+SUMIF('Revenue and costs'!$D$1544:$D$1671,C513,'Revenue and costs'!V1544:V1671)+SUMIF('Revenue and costs'!$D$1544:$D$1671,C513,'Revenue and costs'!AE1544:AE1671)</x:f>
        <x:v>10986.390953313266</x:v>
      </x:c>
      <x:c r="G513" s="10" t="n">
        <x:f>IF('Income statement'!P50=0,1/39,E513/'Income statement'!P50)*('Shared costs'!T21+'Assumptions'!$D$18*'Assumptions'!$D$19*12*(1+'Assumptions'!$D$13)^(13-1)*'Assumptions'!$D$21)</x:f>
        <x:v>925.8426492330733</x:v>
      </x:c>
      <x:c r="H513" s="10" t="n">
        <x:f>IF('Income statement'!P50=0,1/39,E513/'Income statement'!P50)*'Cash and capital'!P18</x:f>
        <x:v>4.0916428688591395</x:v>
      </x:c>
      <x:c r="I513" s="10" t="n">
        <x:f>E513-F513-G513-H513</x:f>
        <x:v>8292.629988600234</x:v>
      </x:c>
      <x:c r="J513" s="10" t="n">
        <x:f>M474</x:f>
        <x:v>0</x:v>
      </x:c>
      <x:c r="K513" s="10" t="n">
        <x:f>MAX(0,I513-J513)</x:f>
        <x:v>8292.629988600234</x:v>
      </x:c>
      <x:c r="L513" s="10" t="n">
        <x:f>K513*'Assumptions'!$D$12</x:f>
        <x:v>2073.1574971500586</x:v>
      </x:c>
      <x:c r="M513" s="10" t="n">
        <x:f>MAX(0,J513-I513)</x:f>
        <x:v>0</x:v>
      </x:c>
    </x:row>
    <x:row r="514" ht="16" customHeight="1">
      <x:c r="A514" s="1"/>
      <x:c r="B514" s="1"/>
      <x:c r="C514" s="1" t="str">
        <x:v>Independent candy game</x:v>
      </x:c>
      <x:c r="D514" s="10" t="n">
        <x:v>13</x:v>
      </x:c>
      <x:c r="E514" s="10" t="n">
        <x:f>SUMIF('Revenue and costs'!$D$1544:$D$1671,C514,'Revenue and costs'!N1544:N1671)</x:f>
        <x:v>8081.992836620195</x:v>
      </x:c>
      <x:c r="F514" s="10" t="n">
        <x:f>SUMIF('Revenue and costs'!$D$1544:$D$1671,C514,'Revenue and costs'!O1544:O1671)+SUMIF('Revenue and costs'!$D$1544:$D$1671,C514,'Revenue and costs'!P1544:P1671)+SUMIF('Revenue and costs'!$D$1544:$D$1671,C514,'Revenue and costs'!Q1544:Q1671)+SUMIF('Revenue and costs'!$D$1544:$D$1671,C514,'Revenue and costs'!R1544:R1671)+SUMIF('Revenue and costs'!$D$1544:$D$1671,C514,'Revenue and costs'!S1544:S1671)+SUMIF('Revenue and costs'!$D$1544:$D$1671,C514,'Revenue and costs'!T1544:T1671)+SUMIF('Revenue and costs'!$D$1544:$D$1671,C514,'Revenue and costs'!U1544:U1671)+SUMIF('Revenue and costs'!$D$1544:$D$1671,C514,'Revenue and costs'!V1544:V1671)+SUMIF('Revenue and costs'!$D$1544:$D$1671,C514,'Revenue and costs'!AE1544:AE1671)</x:f>
        <x:v>7986.021865870242</x:v>
      </x:c>
      <x:c r="G514" s="10" t="n">
        <x:f>IF('Income statement'!P50=0,1/39,E514/'Income statement'!P50)*('Shared costs'!T21+'Assumptions'!$D$18*'Assumptions'!$D$19*12*(1+'Assumptions'!$D$13)^(13-1)*'Assumptions'!$D$21)</x:f>
        <x:v>370.26425029357597</x:v>
      </x:c>
      <x:c r="H514" s="10" t="n">
        <x:f>IF('Income statement'!P50=0,1/39,E514/'Income statement'!P50)*'Cash and capital'!P18</x:f>
        <x:v>1.636335375738129</x:v>
      </x:c>
      <x:c r="I514" s="10" t="n">
        <x:f>E514-F514-G514-H514</x:f>
        <x:v>-275.92961491936177</x:v>
      </x:c>
      <x:c r="J514" s="10" t="n">
        <x:f>M475</x:f>
        <x:v>393.02880524267346</x:v>
      </x:c>
      <x:c r="K514" s="10" t="n">
        <x:f>MAX(0,I514-J514)</x:f>
        <x:v>0</x:v>
      </x:c>
      <x:c r="L514" s="10" t="n">
        <x:f>K514*'Assumptions'!$D$12</x:f>
        <x:v>0</x:v>
      </x:c>
      <x:c r="M514" s="10" t="n">
        <x:f>MAX(0,J514-I514)</x:f>
        <x:v>668.9584201620353</x:v>
      </x:c>
    </x:row>
    <x:row r="515" ht="16" customHeight="1">
      <x:c r="A515" s="1"/>
      <x:c r="B515" s="1"/>
      <x:c r="C515" s="1" t="str">
        <x:v>ETV courses</x:v>
      </x:c>
      <x:c r="D515" s="10" t="n">
        <x:v>14</x:v>
      </x:c>
      <x:c r="E515" s="10" t="n">
        <x:f>SUMIF('Revenue and costs'!$D$1672:$D$1799,C515,'Revenue and costs'!N1672:N1799)</x:f>
        <x:v>57287.80094926487</x:v>
      </x:c>
      <x:c r="F515" s="10" t="n">
        <x:f>SUMIF('Revenue and costs'!$D$1672:$D$1799,C515,'Revenue and costs'!O1672:O1799)+SUMIF('Revenue and costs'!$D$1672:$D$1799,C515,'Revenue and costs'!P1672:P1799)+SUMIF('Revenue and costs'!$D$1672:$D$1799,C515,'Revenue and costs'!Q1672:Q1799)+SUMIF('Revenue and costs'!$D$1672:$D$1799,C515,'Revenue and costs'!R1672:R1799)+SUMIF('Revenue and costs'!$D$1672:$D$1799,C515,'Revenue and costs'!S1672:S1799)+SUMIF('Revenue and costs'!$D$1672:$D$1799,C515,'Revenue and costs'!T1672:T1799)+SUMIF('Revenue and costs'!$D$1672:$D$1799,C515,'Revenue and costs'!U1672:U1799)+SUMIF('Revenue and costs'!$D$1672:$D$1799,C515,'Revenue and costs'!V1672:V1799)+SUMIF('Revenue and costs'!$D$1672:$D$1799,C515,'Revenue and costs'!AE1672:AE1799)</x:f>
        <x:v>21974.45381342428</x:v>
      </x:c>
      <x:c r="G515" s="10" t="n">
        <x:f>IF('Income statement'!Q50=0,1/39,E515/'Income statement'!Q50)*('Shared costs'!U21+'Assumptions'!$D$18*'Assumptions'!$D$19*12*(1+'Assumptions'!$D$13)^(14-1)*'Assumptions'!$D$21)</x:f>
        <x:v>2694.7903583765633</x:v>
      </x:c>
      <x:c r="H515" s="10" t="n">
        <x:f>IF('Income statement'!Q50=0,1/39,E515/'Income statement'!Q50)*'Cash and capital'!Q18</x:f>
        <x:v>11.083189253966173</x:v>
      </x:c>
      <x:c r="I515" s="10" t="n">
        <x:f>E515-F515-G515-H515</x:f>
        <x:v>32607.47358821007</x:v>
      </x:c>
      <x:c r="J515" s="10" t="n">
        <x:f>M476</x:f>
        <x:v>0</x:v>
      </x:c>
      <x:c r="K515" s="10" t="n">
        <x:f>MAX(0,I515-J515)</x:f>
        <x:v>32607.47358821007</x:v>
      </x:c>
      <x:c r="L515" s="10" t="n">
        <x:f>K515*'Assumptions'!$D$12</x:f>
        <x:v>8151.868397052517</x:v>
      </x:c>
      <x:c r="M515" s="10" t="n">
        <x:f>MAX(0,J515-I515)</x:f>
        <x:v>0</x:v>
      </x:c>
    </x:row>
    <x:row r="516" ht="16" customHeight="1">
      <x:c r="A516" s="1"/>
      <x:c r="B516" s="1"/>
      <x:c r="C516" s="1" t="str">
        <x:v>ETV services</x:v>
      </x:c>
      <x:c r="D516" s="10" t="n">
        <x:v>14</x:v>
      </x:c>
      <x:c r="E516" s="10" t="n">
        <x:f>SUMIF('Revenue and costs'!$D$1672:$D$1799,C516,'Revenue and costs'!N1672:N1799)</x:f>
        <x:v>144400.3812355855</x:v>
      </x:c>
      <x:c r="F516" s="10" t="n">
        <x:f>SUMIF('Revenue and costs'!$D$1672:$D$1799,C516,'Revenue and costs'!O1672:O1799)+SUMIF('Revenue and costs'!$D$1672:$D$1799,C516,'Revenue and costs'!P1672:P1799)+SUMIF('Revenue and costs'!$D$1672:$D$1799,C516,'Revenue and costs'!Q1672:Q1799)+SUMIF('Revenue and costs'!$D$1672:$D$1799,C516,'Revenue and costs'!R1672:R1799)+SUMIF('Revenue and costs'!$D$1672:$D$1799,C516,'Revenue and costs'!S1672:S1799)+SUMIF('Revenue and costs'!$D$1672:$D$1799,C516,'Revenue and costs'!T1672:T1799)+SUMIF('Revenue and costs'!$D$1672:$D$1799,C516,'Revenue and costs'!U1672:U1799)+SUMIF('Revenue and costs'!$D$1672:$D$1799,C516,'Revenue and costs'!V1672:V1799)+SUMIF('Revenue and costs'!$D$1672:$D$1799,C516,'Revenue and costs'!AE1672:AE1799)</x:f>
        <x:v>101973.31174739268</x:v>
      </x:c>
      <x:c r="G516" s="10" t="n">
        <x:f>IF('Income statement'!Q50=0,1/39,E516/'Income statement'!Q50)*('Shared costs'!U21+'Assumptions'!$D$18*'Assumptions'!$D$19*12*(1+'Assumptions'!$D$13)^(14-1)*'Assumptions'!$D$21)</x:f>
        <x:v>6792.523864621289</x:v>
      </x:c>
      <x:c r="H516" s="10" t="n">
        <x:f>IF('Income statement'!Q50=0,1/39,E516/'Income statement'!Q50)*'Cash and capital'!Q18</x:f>
        <x:v>27.936431963869904</x:v>
      </x:c>
      <x:c r="I516" s="10" t="n">
        <x:f>E516-F516-G516-H516</x:f>
        <x:v>35606.60919160765</x:v>
      </x:c>
      <x:c r="J516" s="10" t="n">
        <x:f>M477</x:f>
        <x:v>0</x:v>
      </x:c>
      <x:c r="K516" s="10" t="n">
        <x:f>MAX(0,I516-J516)</x:f>
        <x:v>35606.60919160765</x:v>
      </x:c>
      <x:c r="L516" s="10" t="n">
        <x:f>K516*'Assumptions'!$D$12</x:f>
        <x:v>8901.652297901912</x:v>
      </x:c>
      <x:c r="M516" s="10" t="n">
        <x:f>MAX(0,J516-I516)</x:f>
        <x:v>0</x:v>
      </x:c>
    </x:row>
    <x:row r="517" ht="16" customHeight="1">
      <x:c r="A517" s="1"/>
      <x:c r="B517" s="1"/>
      <x:c r="C517" s="1" t="str">
        <x:v>BPA professional services</x:v>
      </x:c>
      <x:c r="D517" s="10" t="n">
        <x:v>14</x:v>
      </x:c>
      <x:c r="E517" s="10" t="n">
        <x:f>SUMIF('Revenue and costs'!$D$1672:$D$1799,C517,'Revenue and costs'!N1672:N1799)</x:f>
        <x:v>777858.0765750253</x:v>
      </x:c>
      <x:c r="F517" s="10" t="n">
        <x:f>SUMIF('Revenue and costs'!$D$1672:$D$1799,C517,'Revenue and costs'!O1672:O1799)+SUMIF('Revenue and costs'!$D$1672:$D$1799,C517,'Revenue and costs'!P1672:P1799)+SUMIF('Revenue and costs'!$D$1672:$D$1799,C517,'Revenue and costs'!Q1672:Q1799)+SUMIF('Revenue and costs'!$D$1672:$D$1799,C517,'Revenue and costs'!R1672:R1799)+SUMIF('Revenue and costs'!$D$1672:$D$1799,C517,'Revenue and costs'!S1672:S1799)+SUMIF('Revenue and costs'!$D$1672:$D$1799,C517,'Revenue and costs'!T1672:T1799)+SUMIF('Revenue and costs'!$D$1672:$D$1799,C517,'Revenue and costs'!U1672:U1799)+SUMIF('Revenue and costs'!$D$1672:$D$1799,C517,'Revenue and costs'!V1672:V1799)+SUMIF('Revenue and costs'!$D$1672:$D$1799,C517,'Revenue and costs'!AE1672:AE1799)</x:f>
        <x:v>462937.3373602034</x:v>
      </x:c>
      <x:c r="G517" s="10" t="n">
        <x:f>IF('Income statement'!Q50=0,1/39,E517/'Income statement'!Q50)*('Shared costs'!U21+'Assumptions'!$D$18*'Assumptions'!$D$19*12*(1+'Assumptions'!$D$13)^(14-1)*'Assumptions'!$D$21)</x:f>
        <x:v>36590.06647499209</x:v>
      </x:c>
      <x:c r="H517" s="10" t="n">
        <x:f>IF('Income statement'!Q50=0,1/39,E517/'Income statement'!Q50)*'Cash and capital'!Q18</x:f>
        <x:v>150.4883785475055</x:v>
      </x:c>
      <x:c r="I517" s="10" t="n">
        <x:f>E517-F517-G517-H517</x:f>
        <x:v>278180.1843612824</x:v>
      </x:c>
      <x:c r="J517" s="10" t="n">
        <x:f>M478</x:f>
        <x:v>0</x:v>
      </x:c>
      <x:c r="K517" s="10" t="n">
        <x:f>MAX(0,I517-J517)</x:f>
        <x:v>278180.1843612824</x:v>
      </x:c>
      <x:c r="L517" s="10" t="n">
        <x:f>K517*'Assumptions'!$D$12</x:f>
        <x:v>69545.0460903206</x:v>
      </x:c>
      <x:c r="M517" s="10" t="n">
        <x:f>MAX(0,J517-I517)</x:f>
        <x:v>0</x:v>
      </x:c>
    </x:row>
    <x:row r="518" ht="16" customHeight="1">
      <x:c r="A518" s="1"/>
      <x:c r="B518" s="1"/>
      <x:c r="C518" s="1" t="str">
        <x:v>CornerFlow</x:v>
      </x:c>
      <x:c r="D518" s="10" t="n">
        <x:v>14</x:v>
      </x:c>
      <x:c r="E518" s="10" t="n">
        <x:f>SUMIF('Revenue and costs'!$D$1672:$D$1799,C518,'Revenue and costs'!N1672:N1799)</x:f>
        <x:v>27811.963380527788</x:v>
      </x:c>
      <x:c r="F518" s="10" t="n">
        <x:f>SUMIF('Revenue and costs'!$D$1672:$D$1799,C518,'Revenue and costs'!O1672:O1799)+SUMIF('Revenue and costs'!$D$1672:$D$1799,C518,'Revenue and costs'!P1672:P1799)+SUMIF('Revenue and costs'!$D$1672:$D$1799,C518,'Revenue and costs'!Q1672:Q1799)+SUMIF('Revenue and costs'!$D$1672:$D$1799,C518,'Revenue and costs'!R1672:R1799)+SUMIF('Revenue and costs'!$D$1672:$D$1799,C518,'Revenue and costs'!S1672:S1799)+SUMIF('Revenue and costs'!$D$1672:$D$1799,C518,'Revenue and costs'!T1672:T1799)+SUMIF('Revenue and costs'!$D$1672:$D$1799,C518,'Revenue and costs'!U1672:U1799)+SUMIF('Revenue and costs'!$D$1672:$D$1799,C518,'Revenue and costs'!V1672:V1799)+SUMIF('Revenue and costs'!$D$1672:$D$1799,C518,'Revenue and costs'!AE1672:AE1799)</x:f>
        <x:v>11495.2302460737</x:v>
      </x:c>
      <x:c r="G518" s="10" t="n">
        <x:f>IF('Income statement'!Q50=0,1/39,E518/'Income statement'!Q50)*('Shared costs'!U21+'Assumptions'!$D$18*'Assumptions'!$D$19*12*(1+'Assumptions'!$D$13)^(14-1)*'Assumptions'!$D$21)</x:f>
        <x:v>1308.261261969946</x:v>
      </x:c>
      <x:c r="H518" s="10" t="n">
        <x:f>IF('Income statement'!Q50=0,1/39,E518/'Income statement'!Q50)*'Cash and capital'!Q18</x:f>
        <x:v>5.380643846737177</x:v>
      </x:c>
      <x:c r="I518" s="10" t="n">
        <x:f>E518-F518-G518-H518</x:f>
        <x:v>15003.091228637406</x:v>
      </x:c>
      <x:c r="J518" s="10" t="n">
        <x:f>M479</x:f>
        <x:v>0</x:v>
      </x:c>
      <x:c r="K518" s="10" t="n">
        <x:f>MAX(0,I518-J518)</x:f>
        <x:v>15003.091228637406</x:v>
      </x:c>
      <x:c r="L518" s="10" t="n">
        <x:f>K518*'Assumptions'!$D$12</x:f>
        <x:v>3750.7728071593515</x:v>
      </x:c>
      <x:c r="M518" s="10" t="n">
        <x:f>MAX(0,J518-I518)</x:f>
        <x:v>0</x:v>
      </x:c>
    </x:row>
    <x:row r="519" ht="16" customHeight="1">
      <x:c r="A519" s="1"/>
      <x:c r="B519" s="1"/>
      <x:c r="C519" s="1" t="str">
        <x:v>Spindle</x:v>
      </x:c>
      <x:c r="D519" s="10" t="n">
        <x:v>14</x:v>
      </x:c>
      <x:c r="E519" s="10" t="n">
        <x:f>SUMIF('Revenue and costs'!$D$1672:$D$1799,C519,'Revenue and costs'!N1672:N1799)</x:f>
        <x:v>27811.963380527788</x:v>
      </x:c>
      <x:c r="F519" s="10" t="n">
        <x:f>SUMIF('Revenue and costs'!$D$1672:$D$1799,C519,'Revenue and costs'!O1672:O1799)+SUMIF('Revenue and costs'!$D$1672:$D$1799,C519,'Revenue and costs'!P1672:P1799)+SUMIF('Revenue and costs'!$D$1672:$D$1799,C519,'Revenue and costs'!Q1672:Q1799)+SUMIF('Revenue and costs'!$D$1672:$D$1799,C519,'Revenue and costs'!R1672:R1799)+SUMIF('Revenue and costs'!$D$1672:$D$1799,C519,'Revenue and costs'!S1672:S1799)+SUMIF('Revenue and costs'!$D$1672:$D$1799,C519,'Revenue and costs'!T1672:T1799)+SUMIF('Revenue and costs'!$D$1672:$D$1799,C519,'Revenue and costs'!U1672:U1799)+SUMIF('Revenue and costs'!$D$1672:$D$1799,C519,'Revenue and costs'!V1672:V1799)+SUMIF('Revenue and costs'!$D$1672:$D$1799,C519,'Revenue and costs'!AE1672:AE1799)</x:f>
        <x:v>11495.2302460737</x:v>
      </x:c>
      <x:c r="G519" s="10" t="n">
        <x:f>IF('Income statement'!Q50=0,1/39,E519/'Income statement'!Q50)*('Shared costs'!U21+'Assumptions'!$D$18*'Assumptions'!$D$19*12*(1+'Assumptions'!$D$13)^(14-1)*'Assumptions'!$D$21)</x:f>
        <x:v>1308.261261969946</x:v>
      </x:c>
      <x:c r="H519" s="10" t="n">
        <x:f>IF('Income statement'!Q50=0,1/39,E519/'Income statement'!Q50)*'Cash and capital'!Q18</x:f>
        <x:v>5.380643846737177</x:v>
      </x:c>
      <x:c r="I519" s="10" t="n">
        <x:f>E519-F519-G519-H519</x:f>
        <x:v>15003.091228637406</x:v>
      </x:c>
      <x:c r="J519" s="10" t="n">
        <x:f>M480</x:f>
        <x:v>0</x:v>
      </x:c>
      <x:c r="K519" s="10" t="n">
        <x:f>MAX(0,I519-J519)</x:f>
        <x:v>15003.091228637406</x:v>
      </x:c>
      <x:c r="L519" s="10" t="n">
        <x:f>K519*'Assumptions'!$D$12</x:f>
        <x:v>3750.7728071593515</x:v>
      </x:c>
      <x:c r="M519" s="10" t="n">
        <x:f>MAX(0,J519-I519)</x:f>
        <x:v>0</x:v>
      </x:c>
    </x:row>
    <x:row r="520" ht="16" customHeight="1">
      <x:c r="A520" s="1"/>
      <x:c r="B520" s="1"/>
      <x:c r="C520" s="1" t="str">
        <x:v>Maison Contour</x:v>
      </x:c>
      <x:c r="D520" s="10" t="n">
        <x:v>14</x:v>
      </x:c>
      <x:c r="E520" s="10" t="n">
        <x:f>SUMIF('Revenue and costs'!$D$1672:$D$1799,C520,'Revenue and costs'!N1672:N1799)</x:f>
        <x:v>39164.63399446838</x:v>
      </x:c>
      <x:c r="F520" s="10" t="n">
        <x:f>SUMIF('Revenue and costs'!$D$1672:$D$1799,C520,'Revenue and costs'!O1672:O1799)+SUMIF('Revenue and costs'!$D$1672:$D$1799,C520,'Revenue and costs'!P1672:P1799)+SUMIF('Revenue and costs'!$D$1672:$D$1799,C520,'Revenue and costs'!Q1672:Q1799)+SUMIF('Revenue and costs'!$D$1672:$D$1799,C520,'Revenue and costs'!R1672:R1799)+SUMIF('Revenue and costs'!$D$1672:$D$1799,C520,'Revenue and costs'!S1672:S1799)+SUMIF('Revenue and costs'!$D$1672:$D$1799,C520,'Revenue and costs'!T1672:T1799)+SUMIF('Revenue and costs'!$D$1672:$D$1799,C520,'Revenue and costs'!U1672:U1799)+SUMIF('Revenue and costs'!$D$1672:$D$1799,C520,'Revenue and costs'!V1672:V1799)+SUMIF('Revenue and costs'!$D$1672:$D$1799,C520,'Revenue and costs'!AE1672:AE1799)</x:f>
        <x:v>12402.27351677514</x:v>
      </x:c>
      <x:c r="G520" s="10" t="n">
        <x:f>IF('Income statement'!Q50=0,1/39,E520/'Income statement'!Q50)*('Shared costs'!U21+'Assumptions'!$D$18*'Assumptions'!$D$19*12*(1+'Assumptions'!$D$13)^(14-1)*'Assumptions'!$D$21)</x:f>
        <x:v>1842.2853788908558</x:v>
      </x:c>
      <x:c r="H520" s="10" t="n">
        <x:f>IF('Income statement'!Q50=0,1/39,E520/'Income statement'!Q50)*'Cash and capital'!Q18</x:f>
        <x:v>7.576989226858781</x:v>
      </x:c>
      <x:c r="I520" s="10" t="n">
        <x:f>E520-F520-G520-H520</x:f>
        <x:v>24912.49810957553</x:v>
      </x:c>
      <x:c r="J520" s="10" t="n">
        <x:f>M481</x:f>
        <x:v>0</x:v>
      </x:c>
      <x:c r="K520" s="10" t="n">
        <x:f>MAX(0,I520-J520)</x:f>
        <x:v>24912.49810957553</x:v>
      </x:c>
      <x:c r="L520" s="10" t="n">
        <x:f>K520*'Assumptions'!$D$12</x:f>
        <x:v>6228.124527393882</x:v>
      </x:c>
      <x:c r="M520" s="10" t="n">
        <x:f>MAX(0,J520-I520)</x:f>
        <x:v>0</x:v>
      </x:c>
    </x:row>
    <x:row r="521" ht="16" customHeight="1">
      <x:c r="A521" s="1"/>
      <x:c r="B521" s="1"/>
      <x:c r="C521" s="1" t="str">
        <x:v>DishLoom US</x:v>
      </x:c>
      <x:c r="D521" s="10" t="n">
        <x:v>14</x:v>
      </x:c>
      <x:c r="E521" s="10" t="n">
        <x:f>SUMIF('Revenue and costs'!$D$1672:$D$1799,C521,'Revenue and costs'!N1672:N1799)</x:f>
        <x:v>35760.91243391286</x:v>
      </x:c>
      <x:c r="F521" s="10" t="n">
        <x:f>SUMIF('Revenue and costs'!$D$1672:$D$1799,C521,'Revenue and costs'!O1672:O1799)+SUMIF('Revenue and costs'!$D$1672:$D$1799,C521,'Revenue and costs'!P1672:P1799)+SUMIF('Revenue and costs'!$D$1672:$D$1799,C521,'Revenue and costs'!Q1672:Q1799)+SUMIF('Revenue and costs'!$D$1672:$D$1799,C521,'Revenue and costs'!R1672:R1799)+SUMIF('Revenue and costs'!$D$1672:$D$1799,C521,'Revenue and costs'!S1672:S1799)+SUMIF('Revenue and costs'!$D$1672:$D$1799,C521,'Revenue and costs'!T1672:T1799)+SUMIF('Revenue and costs'!$D$1672:$D$1799,C521,'Revenue and costs'!U1672:U1799)+SUMIF('Revenue and costs'!$D$1672:$D$1799,C521,'Revenue and costs'!V1672:V1799)+SUMIF('Revenue and costs'!$D$1672:$D$1799,C521,'Revenue and costs'!AE1672:AE1799)</x:f>
        <x:v>24646.87878502365</x:v>
      </x:c>
      <x:c r="G521" s="10" t="n">
        <x:f>IF('Income statement'!Q50=0,1/39,E521/'Income statement'!Q50)*('Shared costs'!U21+'Assumptions'!$D$18*'Assumptions'!$D$19*12*(1+'Assumptions'!$D$13)^(14-1)*'Assumptions'!$D$21)</x:f>
        <x:v>1682.1759683008665</x:v>
      </x:c>
      <x:c r="H521" s="10" t="n">
        <x:f>IF('Income statement'!Q50=0,1/39,E521/'Income statement'!Q50)*'Cash and capital'!Q18</x:f>
        <x:v>6.918487947383051</x:v>
      </x:c>
      <x:c r="I521" s="10" t="n">
        <x:f>E521-F521-G521-H521</x:f>
        <x:v>9424.93919264096</x:v>
      </x:c>
      <x:c r="J521" s="10" t="n">
        <x:f>M482</x:f>
        <x:v>0</x:v>
      </x:c>
      <x:c r="K521" s="10" t="n">
        <x:f>MAX(0,I521-J521)</x:f>
        <x:v>9424.93919264096</x:v>
      </x:c>
      <x:c r="L521" s="10" t="n">
        <x:f>K521*'Assumptions'!$D$12</x:f>
        <x:v>2356.23479816024</x:v>
      </x:c>
      <x:c r="M521" s="10" t="n">
        <x:f>MAX(0,J521-I521)</x:f>
        <x:v>0</x:v>
      </x:c>
    </x:row>
    <x:row r="522" ht="16" customHeight="1">
      <x:c r="A522" s="1"/>
      <x:c r="B522" s="1"/>
      <x:c r="C522" s="1" t="str">
        <x:v>Is Makes Travel Easy</x:v>
      </x:c>
      <x:c r="D522" s="10" t="n">
        <x:v>14</x:v>
      </x:c>
      <x:c r="E522" s="10" t="n">
        <x:f>SUMIF('Revenue and costs'!$D$1672:$D$1799,C522,'Revenue and costs'!N1672:N1799)</x:f>
        <x:v>60664.34922486788</x:v>
      </x:c>
      <x:c r="F522" s="10" t="n">
        <x:f>SUMIF('Revenue and costs'!$D$1672:$D$1799,C522,'Revenue and costs'!O1672:O1799)+SUMIF('Revenue and costs'!$D$1672:$D$1799,C522,'Revenue and costs'!P1672:P1799)+SUMIF('Revenue and costs'!$D$1672:$D$1799,C522,'Revenue and costs'!Q1672:Q1799)+SUMIF('Revenue and costs'!$D$1672:$D$1799,C522,'Revenue and costs'!R1672:R1799)+SUMIF('Revenue and costs'!$D$1672:$D$1799,C522,'Revenue and costs'!S1672:S1799)+SUMIF('Revenue and costs'!$D$1672:$D$1799,C522,'Revenue and costs'!T1672:T1799)+SUMIF('Revenue and costs'!$D$1672:$D$1799,C522,'Revenue and costs'!U1672:U1799)+SUMIF('Revenue and costs'!$D$1672:$D$1799,C522,'Revenue and costs'!V1672:V1799)+SUMIF('Revenue and costs'!$D$1672:$D$1799,C522,'Revenue and costs'!AE1672:AE1799)</x:f>
        <x:v>35239.951684947315</x:v>
      </x:c>
      <x:c r="G522" s="10" t="n">
        <x:f>IF('Income statement'!Q50=0,1/39,E522/'Income statement'!Q50)*('Shared costs'!U21+'Assumptions'!$D$18*'Assumptions'!$D$19*12*(1+'Assumptions'!$D$13)^(14-1)*'Assumptions'!$D$21)</x:f>
        <x:v>2853.621550827925</x:v>
      </x:c>
      <x:c r="H522" s="10" t="n">
        <x:f>IF('Income statement'!Q50=0,1/39,E522/'Income statement'!Q50)*'Cash and capital'!Q18</x:f>
        <x:v>11.736433451571239</x:v>
      </x:c>
      <x:c r="I522" s="10" t="n">
        <x:f>E522-F522-G522-H522</x:f>
        <x:v>22559.039555641073</x:v>
      </x:c>
      <x:c r="J522" s="10" t="n">
        <x:f>M483</x:f>
        <x:v>0</x:v>
      </x:c>
      <x:c r="K522" s="10" t="n">
        <x:f>MAX(0,I522-J522)</x:f>
        <x:v>22559.039555641073</x:v>
      </x:c>
      <x:c r="L522" s="10" t="n">
        <x:f>K522*'Assumptions'!$D$12</x:f>
        <x:v>5639.759888910268</x:v>
      </x:c>
      <x:c r="M522" s="10" t="n">
        <x:f>MAX(0,J522-I522)</x:f>
        <x:v>0</x:v>
      </x:c>
    </x:row>
    <x:row r="523" ht="16" customHeight="1">
      <x:c r="A523" s="1"/>
      <x:c r="B523" s="1"/>
      <x:c r="C523" s="1" t="str">
        <x:v>Turbo Tax - Made Easy!</x:v>
      </x:c>
      <x:c r="D523" s="10" t="n">
        <x:v>14</x:v>
      </x:c>
      <x:c r="E523" s="10" t="n">
        <x:f>SUMIF('Revenue and costs'!$D$1672:$D$1799,C523,'Revenue and costs'!N1672:N1799)</x:f>
        <x:v>141103.25467466042</x:v>
      </x:c>
      <x:c r="F523" s="10" t="n">
        <x:f>SUMIF('Revenue and costs'!$D$1672:$D$1799,C523,'Revenue and costs'!O1672:O1799)+SUMIF('Revenue and costs'!$D$1672:$D$1799,C523,'Revenue and costs'!P1672:P1799)+SUMIF('Revenue and costs'!$D$1672:$D$1799,C523,'Revenue and costs'!Q1672:Q1799)+SUMIF('Revenue and costs'!$D$1672:$D$1799,C523,'Revenue and costs'!R1672:R1799)+SUMIF('Revenue and costs'!$D$1672:$D$1799,C523,'Revenue and costs'!S1672:S1799)+SUMIF('Revenue and costs'!$D$1672:$D$1799,C523,'Revenue and costs'!T1672:T1799)+SUMIF('Revenue and costs'!$D$1672:$D$1799,C523,'Revenue and costs'!U1672:U1799)+SUMIF('Revenue and costs'!$D$1672:$D$1799,C523,'Revenue and costs'!V1672:V1799)+SUMIF('Revenue and costs'!$D$1672:$D$1799,C523,'Revenue and costs'!AE1672:AE1799)</x:f>
        <x:v>42139.954352013585</x:v>
      </x:c>
      <x:c r="G523" s="10" t="n">
        <x:f>IF('Income statement'!Q50=0,1/39,E523/'Income statement'!Q50)*('Shared costs'!U21+'Assumptions'!$D$18*'Assumptions'!$D$19*12*(1+'Assumptions'!$D$13)^(14-1)*'Assumptions'!$D$21)</x:f>
        <x:v>6637.428631089862</x:v>
      </x:c>
      <x:c r="H523" s="10" t="n">
        <x:f>IF('Income statement'!Q50=0,1/39,E523/'Income statement'!Q50)*'Cash and capital'!Q18</x:f>
        <x:v>27.298553095009602</x:v>
      </x:c>
      <x:c r="I523" s="10" t="n">
        <x:f>E523-F523-G523-H523</x:f>
        <x:v>92298.57313846196</x:v>
      </x:c>
      <x:c r="J523" s="10" t="n">
        <x:f>M484</x:f>
        <x:v>0</x:v>
      </x:c>
      <x:c r="K523" s="10" t="n">
        <x:f>MAX(0,I523-J523)</x:f>
        <x:v>92298.57313846196</x:v>
      </x:c>
      <x:c r="L523" s="10" t="n">
        <x:f>K523*'Assumptions'!$D$12</x:f>
        <x:v>23074.64328461549</x:v>
      </x:c>
      <x:c r="M523" s="10" t="n">
        <x:f>MAX(0,J523-I523)</x:f>
        <x:v>0</x:v>
      </x:c>
    </x:row>
    <x:row r="524" ht="16" customHeight="1">
      <x:c r="A524" s="1"/>
      <x:c r="B524" s="1"/>
      <x:c r="C524" s="1" t="str">
        <x:v>LavaLearning adult</x:v>
      </x:c>
      <x:c r="D524" s="10" t="n">
        <x:v>14</x:v>
      </x:c>
      <x:c r="E524" s="10" t="n">
        <x:f>SUMIF('Revenue and costs'!$D$1672:$D$1799,C524,'Revenue and costs'!N1672:N1799)</x:f>
        <x:v>76837.98030379096</x:v>
      </x:c>
      <x:c r="F524" s="10" t="n">
        <x:f>SUMIF('Revenue and costs'!$D$1672:$D$1799,C524,'Revenue and costs'!O1672:O1799)+SUMIF('Revenue and costs'!$D$1672:$D$1799,C524,'Revenue and costs'!P1672:P1799)+SUMIF('Revenue and costs'!$D$1672:$D$1799,C524,'Revenue and costs'!Q1672:Q1799)+SUMIF('Revenue and costs'!$D$1672:$D$1799,C524,'Revenue and costs'!R1672:R1799)+SUMIF('Revenue and costs'!$D$1672:$D$1799,C524,'Revenue and costs'!S1672:S1799)+SUMIF('Revenue and costs'!$D$1672:$D$1799,C524,'Revenue and costs'!T1672:T1799)+SUMIF('Revenue and costs'!$D$1672:$D$1799,C524,'Revenue and costs'!U1672:U1799)+SUMIF('Revenue and costs'!$D$1672:$D$1799,C524,'Revenue and costs'!V1672:V1799)+SUMIF('Revenue and costs'!$D$1672:$D$1799,C524,'Revenue and costs'!AE1672:AE1799)</x:f>
        <x:v>31954.518290798875</x:v>
      </x:c>
      <x:c r="G524" s="10" t="n">
        <x:f>IF('Income statement'!Q50=0,1/39,E524/'Income statement'!Q50)*('Shared costs'!U21+'Assumptions'!$D$18*'Assumptions'!$D$19*12*(1+'Assumptions'!$D$13)^(14-1)*'Assumptions'!$D$21)</x:f>
        <x:v>3614.421308703441</x:v>
      </x:c>
      <x:c r="H524" s="10" t="n">
        <x:f>IF('Income statement'!Q50=0,1/39,E524/'Income statement'!Q50)*'Cash and capital'!Q18</x:f>
        <x:v>14.865466355632009</x:v>
      </x:c>
      <x:c r="I524" s="10" t="n">
        <x:f>E524-F524-G524-H524</x:f>
        <x:v>41254.17523793301</x:v>
      </x:c>
      <x:c r="J524" s="10" t="n">
        <x:f>M485</x:f>
        <x:v>0</x:v>
      </x:c>
      <x:c r="K524" s="10" t="n">
        <x:f>MAX(0,I524-J524)</x:f>
        <x:v>41254.17523793301</x:v>
      </x:c>
      <x:c r="L524" s="10" t="n">
        <x:f>K524*'Assumptions'!$D$12</x:f>
        <x:v>10313.543809483252</x:v>
      </x:c>
      <x:c r="M524" s="10" t="n">
        <x:f>MAX(0,J524-I524)</x:f>
        <x:v>0</x:v>
      </x:c>
    </x:row>
    <x:row r="525" ht="16" customHeight="1">
      <x:c r="A525" s="1"/>
      <x:c r="B525" s="1"/>
      <x:c r="C525" s="1" t="str">
        <x:v>LavaLearning Model Life</x:v>
      </x:c>
      <x:c r="D525" s="10" t="n">
        <x:v>14</x:v>
      </x:c>
      <x:c r="E525" s="10" t="n">
        <x:f>SUMIF('Revenue and costs'!$D$1672:$D$1799,C525,'Revenue and costs'!N1672:N1799)</x:f>
        <x:v>0</x:v>
      </x:c>
      <x:c r="F525" s="10" t="n">
        <x:f>SUMIF('Revenue and costs'!$D$1672:$D$1799,C525,'Revenue and costs'!O1672:O1799)+SUMIF('Revenue and costs'!$D$1672:$D$1799,C525,'Revenue and costs'!P1672:P1799)+SUMIF('Revenue and costs'!$D$1672:$D$1799,C525,'Revenue and costs'!Q1672:Q1799)+SUMIF('Revenue and costs'!$D$1672:$D$1799,C525,'Revenue and costs'!R1672:R1799)+SUMIF('Revenue and costs'!$D$1672:$D$1799,C525,'Revenue and costs'!S1672:S1799)+SUMIF('Revenue and costs'!$D$1672:$D$1799,C525,'Revenue and costs'!T1672:T1799)+SUMIF('Revenue and costs'!$D$1672:$D$1799,C525,'Revenue and costs'!U1672:U1799)+SUMIF('Revenue and costs'!$D$1672:$D$1799,C525,'Revenue and costs'!V1672:V1799)+SUMIF('Revenue and costs'!$D$1672:$D$1799,C525,'Revenue and costs'!AE1672:AE1799)</x:f>
        <x:v>0</x:v>
      </x:c>
      <x:c r="G525" s="10" t="n">
        <x:f>IF('Income statement'!Q50=0,1/39,E525/'Income statement'!Q50)*('Shared costs'!U21+'Assumptions'!$D$18*'Assumptions'!$D$19*12*(1+'Assumptions'!$D$13)^(14-1)*'Assumptions'!$D$21)</x:f>
        <x:v>0</x:v>
      </x:c>
      <x:c r="H525" s="10" t="n">
        <x:f>IF('Income statement'!Q50=0,1/39,E525/'Income statement'!Q50)*'Cash and capital'!Q18</x:f>
        <x:v>0</x:v>
      </x:c>
      <x:c r="I525" s="10" t="n">
        <x:f>E525-F525-G525-H525</x:f>
        <x:v>0</x:v>
      </x:c>
      <x:c r="J525" s="10" t="n">
        <x:f>M486</x:f>
        <x:v>0</x:v>
      </x:c>
      <x:c r="K525" s="10" t="n">
        <x:f>MAX(0,I525-J525)</x:f>
        <x:v>0</x:v>
      </x:c>
      <x:c r="L525" s="10" t="n">
        <x:f>K525*'Assumptions'!$D$12</x:f>
        <x:v>0</x:v>
      </x:c>
      <x:c r="M525" s="10" t="n">
        <x:f>MAX(0,J525-I525)</x:f>
        <x:v>0</x:v>
      </x:c>
    </x:row>
    <x:row r="526" ht="16" customHeight="1">
      <x:c r="A526" s="1"/>
      <x:c r="B526" s="1"/>
      <x:c r="C526" s="1" t="str">
        <x:v>LavaLearning Kids</x:v>
      </x:c>
      <x:c r="D526" s="10" t="n">
        <x:v>14</x:v>
      </x:c>
      <x:c r="E526" s="10" t="n">
        <x:f>SUMIF('Revenue and costs'!$D$1672:$D$1799,C526,'Revenue and costs'!N1672:N1799)</x:f>
        <x:v>32330.24868827124</x:v>
      </x:c>
      <x:c r="F526" s="10" t="n">
        <x:f>SUMIF('Revenue and costs'!$D$1672:$D$1799,C526,'Revenue and costs'!O1672:O1799)+SUMIF('Revenue and costs'!$D$1672:$D$1799,C526,'Revenue and costs'!P1672:P1799)+SUMIF('Revenue and costs'!$D$1672:$D$1799,C526,'Revenue and costs'!Q1672:Q1799)+SUMIF('Revenue and costs'!$D$1672:$D$1799,C526,'Revenue and costs'!R1672:R1799)+SUMIF('Revenue and costs'!$D$1672:$D$1799,C526,'Revenue and costs'!S1672:S1799)+SUMIF('Revenue and costs'!$D$1672:$D$1799,C526,'Revenue and costs'!T1672:T1799)+SUMIF('Revenue and costs'!$D$1672:$D$1799,C526,'Revenue and costs'!U1672:U1799)+SUMIF('Revenue and costs'!$D$1672:$D$1799,C526,'Revenue and costs'!V1672:V1799)+SUMIF('Revenue and costs'!$D$1672:$D$1799,C526,'Revenue and costs'!AE1672:AE1799)</x:f>
        <x:v>19771.666234502634</x:v>
      </x:c>
      <x:c r="G526" s="10" t="n">
        <x:f>IF('Income statement'!Q50=0,1/39,E526/'Income statement'!Q50)*('Shared costs'!U21+'Assumptions'!$D$18*'Assumptions'!$D$19*12*(1+'Assumptions'!$D$13)^(14-1)*'Assumptions'!$D$21)</x:f>
        <x:v>1520.7992103978265</x:v>
      </x:c>
      <x:c r="H526" s="10" t="n">
        <x:f>IF('Income statement'!Q50=0,1/39,E526/'Income statement'!Q50)*'Cash and capital'!Q18</x:f>
        <x:v>6.254774295791848</x:v>
      </x:c>
      <x:c r="I526" s="10" t="n">
        <x:f>E526-F526-G526-H526</x:f>
        <x:v>11031.528469074987</x:v>
      </x:c>
      <x:c r="J526" s="10" t="n">
        <x:f>M487</x:f>
        <x:v>0</x:v>
      </x:c>
      <x:c r="K526" s="10" t="n">
        <x:f>MAX(0,I526-J526)</x:f>
        <x:v>11031.528469074987</x:v>
      </x:c>
      <x:c r="L526" s="10" t="n">
        <x:f>K526*'Assumptions'!$D$12</x:f>
        <x:v>2757.8821172687467</x:v>
      </x:c>
      <x:c r="M526" s="10" t="n">
        <x:f>MAX(0,J526-I526)</x:f>
        <x:v>0</x:v>
      </x:c>
    </x:row>
    <x:row r="527" ht="16" customHeight="1">
      <x:c r="A527" s="1"/>
      <x:c r="B527" s="1"/>
      <x:c r="C527" s="1" t="str">
        <x:v>VraiSkill adult</x:v>
      </x:c>
      <x:c r="D527" s="10" t="n">
        <x:v>14</x:v>
      </x:c>
      <x:c r="E527" s="10" t="n">
        <x:f>SUMIF('Revenue and costs'!$D$1672:$D$1799,C527,'Revenue and costs'!N1672:N1799)</x:f>
        <x:v>61223.281564281235</x:v>
      </x:c>
      <x:c r="F527" s="10" t="n">
        <x:f>SUMIF('Revenue and costs'!$D$1672:$D$1799,C527,'Revenue and costs'!O1672:O1799)+SUMIF('Revenue and costs'!$D$1672:$D$1799,C527,'Revenue and costs'!P1672:P1799)+SUMIF('Revenue and costs'!$D$1672:$D$1799,C527,'Revenue and costs'!Q1672:Q1799)+SUMIF('Revenue and costs'!$D$1672:$D$1799,C527,'Revenue and costs'!R1672:R1799)+SUMIF('Revenue and costs'!$D$1672:$D$1799,C527,'Revenue and costs'!S1672:S1799)+SUMIF('Revenue and costs'!$D$1672:$D$1799,C527,'Revenue and costs'!T1672:T1799)+SUMIF('Revenue and costs'!$D$1672:$D$1799,C527,'Revenue and costs'!U1672:U1799)+SUMIF('Revenue and costs'!$D$1672:$D$1799,C527,'Revenue and costs'!V1672:V1799)+SUMIF('Revenue and costs'!$D$1672:$D$1799,C527,'Revenue and costs'!AE1672:AE1799)</x:f>
        <x:v>50140.34904797066</x:v>
      </x:c>
      <x:c r="G527" s="10" t="n">
        <x:f>IF('Income statement'!Q50=0,1/39,E527/'Income statement'!Q50)*('Shared costs'!U21+'Assumptions'!$D$18*'Assumptions'!$D$19*12*(1+'Assumptions'!$D$13)^(14-1)*'Assumptions'!$D$21)</x:f>
        <x:v>2879.9134568581444</x:v>
      </x:c>
      <x:c r="H527" s="10" t="n">
        <x:f>IF('Income statement'!Q50=0,1/39,E527/'Income statement'!Q50)*'Cash and capital'!Q18</x:f>
        <x:v>11.844567343869993</x:v>
      </x:c>
      <x:c r="I527" s="10" t="n">
        <x:f>E527-F527-G527-H527</x:f>
        <x:v>8191.17449210856</x:v>
      </x:c>
      <x:c r="J527" s="10" t="n">
        <x:f>M488</x:f>
        <x:v>0</x:v>
      </x:c>
      <x:c r="K527" s="10" t="n">
        <x:f>MAX(0,I527-J527)</x:f>
        <x:v>8191.17449210856</x:v>
      </x:c>
      <x:c r="L527" s="10" t="n">
        <x:f>K527*'Assumptions'!$D$12</x:f>
        <x:v>2047.79362302714</x:v>
      </x:c>
      <x:c r="M527" s="10" t="n">
        <x:f>MAX(0,J527-I527)</x:f>
        <x:v>0</x:v>
      </x:c>
    </x:row>
    <x:row r="528" ht="16" customHeight="1">
      <x:c r="A528" s="1"/>
      <x:c r="B528" s="1"/>
      <x:c r="C528" s="1" t="str">
        <x:v>VraiSkill teen</x:v>
      </x:c>
      <x:c r="D528" s="10" t="n">
        <x:v>14</x:v>
      </x:c>
      <x:c r="E528" s="10" t="n">
        <x:f>SUMIF('Revenue and costs'!$D$1672:$D$1799,C528,'Revenue and costs'!N1672:N1799)</x:f>
        <x:v>27225.47257959683</x:v>
      </x:c>
      <x:c r="F528" s="10" t="n">
        <x:f>SUMIF('Revenue and costs'!$D$1672:$D$1799,C528,'Revenue and costs'!O1672:O1799)+SUMIF('Revenue and costs'!$D$1672:$D$1799,C528,'Revenue and costs'!P1672:P1799)+SUMIF('Revenue and costs'!$D$1672:$D$1799,C528,'Revenue and costs'!Q1672:Q1799)+SUMIF('Revenue and costs'!$D$1672:$D$1799,C528,'Revenue and costs'!R1672:R1799)+SUMIF('Revenue and costs'!$D$1672:$D$1799,C528,'Revenue and costs'!S1672:S1799)+SUMIF('Revenue and costs'!$D$1672:$D$1799,C528,'Revenue and costs'!T1672:T1799)+SUMIF('Revenue and costs'!$D$1672:$D$1799,C528,'Revenue and costs'!U1672:U1799)+SUMIF('Revenue and costs'!$D$1672:$D$1799,C528,'Revenue and costs'!V1672:V1799)+SUMIF('Revenue and costs'!$D$1672:$D$1799,C528,'Revenue and costs'!AE1672:AE1799)</x:f>
        <x:v>13751.766656873144</x:v>
      </x:c>
      <x:c r="G528" s="10" t="n">
        <x:f>IF('Income statement'!Q50=0,1/39,E528/'Income statement'!Q50)*('Shared costs'!U21+'Assumptions'!$D$18*'Assumptions'!$D$19*12*(1+'Assumptions'!$D$13)^(14-1)*'Assumptions'!$D$21)</x:f>
        <x:v>1280.67301928238</x:v>
      </x:c>
      <x:c r="H528" s="10" t="n">
        <x:f>IF('Income statement'!Q50=0,1/39,E528/'Income statement'!Q50)*'Cash and capital'!Q18</x:f>
        <x:v>5.26717835435103</x:v>
      </x:c>
      <x:c r="I528" s="10" t="n">
        <x:f>E528-F528-G528-H528</x:f>
        <x:v>12187.765725086954</x:v>
      </x:c>
      <x:c r="J528" s="10" t="n">
        <x:f>M489</x:f>
        <x:v>0</x:v>
      </x:c>
      <x:c r="K528" s="10" t="n">
        <x:f>MAX(0,I528-J528)</x:f>
        <x:v>12187.765725086954</x:v>
      </x:c>
      <x:c r="L528" s="10" t="n">
        <x:f>K528*'Assumptions'!$D$12</x:f>
        <x:v>3046.9414312717386</x:v>
      </x:c>
      <x:c r="M528" s="10" t="n">
        <x:f>MAX(0,J528-I528)</x:f>
        <x:v>0</x:v>
      </x:c>
    </x:row>
    <x:row r="529" ht="16" customHeight="1">
      <x:c r="A529" s="1"/>
      <x:c r="B529" s="1"/>
      <x:c r="C529" s="1" t="str">
        <x:v>VraiSkill Model Life</x:v>
      </x:c>
      <x:c r="D529" s="10" t="n">
        <x:v>14</x:v>
      </x:c>
      <x:c r="E529" s="10" t="n">
        <x:f>SUMIF('Revenue and costs'!$D$1672:$D$1799,C529,'Revenue and costs'!N1672:N1799)</x:f>
        <x:v>0</x:v>
      </x:c>
      <x:c r="F529" s="10" t="n">
        <x:f>SUMIF('Revenue and costs'!$D$1672:$D$1799,C529,'Revenue and costs'!O1672:O1799)+SUMIF('Revenue and costs'!$D$1672:$D$1799,C529,'Revenue and costs'!P1672:P1799)+SUMIF('Revenue and costs'!$D$1672:$D$1799,C529,'Revenue and costs'!Q1672:Q1799)+SUMIF('Revenue and costs'!$D$1672:$D$1799,C529,'Revenue and costs'!R1672:R1799)+SUMIF('Revenue and costs'!$D$1672:$D$1799,C529,'Revenue and costs'!S1672:S1799)+SUMIF('Revenue and costs'!$D$1672:$D$1799,C529,'Revenue and costs'!T1672:T1799)+SUMIF('Revenue and costs'!$D$1672:$D$1799,C529,'Revenue and costs'!U1672:U1799)+SUMIF('Revenue and costs'!$D$1672:$D$1799,C529,'Revenue and costs'!V1672:V1799)+SUMIF('Revenue and costs'!$D$1672:$D$1799,C529,'Revenue and costs'!AE1672:AE1799)</x:f>
        <x:v>0</x:v>
      </x:c>
      <x:c r="G529" s="10" t="n">
        <x:f>IF('Income statement'!Q50=0,1/39,E529/'Income statement'!Q50)*('Shared costs'!U21+'Assumptions'!$D$18*'Assumptions'!$D$19*12*(1+'Assumptions'!$D$13)^(14-1)*'Assumptions'!$D$21)</x:f>
        <x:v>0</x:v>
      </x:c>
      <x:c r="H529" s="10" t="n">
        <x:f>IF('Income statement'!Q50=0,1/39,E529/'Income statement'!Q50)*'Cash and capital'!Q18</x:f>
        <x:v>0</x:v>
      </x:c>
      <x:c r="I529" s="10" t="n">
        <x:f>E529-F529-G529-H529</x:f>
        <x:v>0</x:v>
      </x:c>
      <x:c r="J529" s="10" t="n">
        <x:f>M490</x:f>
        <x:v>0</x:v>
      </x:c>
      <x:c r="K529" s="10" t="n">
        <x:f>MAX(0,I529-J529)</x:f>
        <x:v>0</x:v>
      </x:c>
      <x:c r="L529" s="10" t="n">
        <x:f>K529*'Assumptions'!$D$12</x:f>
        <x:v>0</x:v>
      </x:c>
      <x:c r="M529" s="10" t="n">
        <x:f>MAX(0,J529-I529)</x:f>
        <x:v>0</x:v>
      </x:c>
    </x:row>
    <x:row r="530" ht="16" customHeight="1">
      <x:c r="A530" s="1"/>
      <x:c r="B530" s="1"/>
      <x:c r="C530" s="1" t="str">
        <x:v>Model Life</x:v>
      </x:c>
      <x:c r="D530" s="10" t="n">
        <x:v>14</x:v>
      </x:c>
      <x:c r="E530" s="10" t="n">
        <x:f>SUMIF('Revenue and costs'!$D$1672:$D$1799,C530,'Revenue and costs'!N1672:N1799)</x:f>
        <x:v>102930.88023306135</x:v>
      </x:c>
      <x:c r="F530" s="10" t="n">
        <x:f>SUMIF('Revenue and costs'!$D$1672:$D$1799,C530,'Revenue and costs'!O1672:O1799)+SUMIF('Revenue and costs'!$D$1672:$D$1799,C530,'Revenue and costs'!P1672:P1799)+SUMIF('Revenue and costs'!$D$1672:$D$1799,C530,'Revenue and costs'!Q1672:Q1799)+SUMIF('Revenue and costs'!$D$1672:$D$1799,C530,'Revenue and costs'!R1672:R1799)+SUMIF('Revenue and costs'!$D$1672:$D$1799,C530,'Revenue and costs'!S1672:S1799)+SUMIF('Revenue and costs'!$D$1672:$D$1799,C530,'Revenue and costs'!T1672:T1799)+SUMIF('Revenue and costs'!$D$1672:$D$1799,C530,'Revenue and costs'!U1672:U1799)+SUMIF('Revenue and costs'!$D$1672:$D$1799,C530,'Revenue and costs'!V1672:V1799)+SUMIF('Revenue and costs'!$D$1672:$D$1799,C530,'Revenue and costs'!AE1672:AE1799)</x:f>
        <x:v>34099.05567077712</x:v>
      </x:c>
      <x:c r="G530" s="10" t="n">
        <x:f>IF('Income statement'!Q50=0,1/39,E530/'Income statement'!Q50)*('Shared costs'!U21+'Assumptions'!$D$18*'Assumptions'!$D$19*12*(1+'Assumptions'!$D$13)^(14-1)*'Assumptions'!$D$21)</x:f>
        <x:v>4841.818660082917</x:v>
      </x:c>
      <x:c r="H530" s="10" t="n">
        <x:f>IF('Income statement'!Q50=0,1/39,E530/'Income statement'!Q50)*'Cash and capital'!Q18</x:f>
        <x:v>19.91353144643587</x:v>
      </x:c>
      <x:c r="I530" s="10" t="n">
        <x:f>E530-F530-G530-H530</x:f>
        <x:v>63970.092370754886</x:v>
      </x:c>
      <x:c r="J530" s="10" t="n">
        <x:f>M491</x:f>
        <x:v>0</x:v>
      </x:c>
      <x:c r="K530" s="10" t="n">
        <x:f>MAX(0,I530-J530)</x:f>
        <x:v>63970.092370754886</x:v>
      </x:c>
      <x:c r="L530" s="10" t="n">
        <x:f>K530*'Assumptions'!$D$12</x:f>
        <x:v>15992.523092688722</x:v>
      </x:c>
      <x:c r="M530" s="10" t="n">
        <x:f>MAX(0,J530-I530)</x:f>
        <x:v>0</x:v>
      </x:c>
    </x:row>
    <x:row r="531" ht="16" customHeight="1">
      <x:c r="A531" s="1"/>
      <x:c r="B531" s="1"/>
      <x:c r="C531" s="1" t="str">
        <x:v>S’otality cleaning</x:v>
      </x:c>
      <x:c r="D531" s="10" t="n">
        <x:v>14</x:v>
      </x:c>
      <x:c r="E531" s="10" t="n">
        <x:f>SUMIF('Revenue and costs'!$D$1672:$D$1799,C531,'Revenue and costs'!N1672:N1799)</x:f>
        <x:v>319839.920127362</x:v>
      </x:c>
      <x:c r="F531" s="10" t="n">
        <x:f>SUMIF('Revenue and costs'!$D$1672:$D$1799,C531,'Revenue and costs'!O1672:O1799)+SUMIF('Revenue and costs'!$D$1672:$D$1799,C531,'Revenue and costs'!P1672:P1799)+SUMIF('Revenue and costs'!$D$1672:$D$1799,C531,'Revenue and costs'!Q1672:Q1799)+SUMIF('Revenue and costs'!$D$1672:$D$1799,C531,'Revenue and costs'!R1672:R1799)+SUMIF('Revenue and costs'!$D$1672:$D$1799,C531,'Revenue and costs'!S1672:S1799)+SUMIF('Revenue and costs'!$D$1672:$D$1799,C531,'Revenue and costs'!T1672:T1799)+SUMIF('Revenue and costs'!$D$1672:$D$1799,C531,'Revenue and costs'!U1672:U1799)+SUMIF('Revenue and costs'!$D$1672:$D$1799,C531,'Revenue and costs'!V1672:V1799)+SUMIF('Revenue and costs'!$D$1672:$D$1799,C531,'Revenue and costs'!AE1672:AE1799)</x:f>
        <x:v>276626.51764622633</x:v>
      </x:c>
      <x:c r="G531" s="10" t="n">
        <x:f>IF('Income statement'!Q50=0,1/39,E531/'Income statement'!Q50)*('Shared costs'!U21+'Assumptions'!$D$18*'Assumptions'!$D$19*12*(1+'Assumptions'!$D$13)^(14-1)*'Assumptions'!$D$21)</x:f>
        <x:v>15045.11464397911</x:v>
      </x:c>
      <x:c r="H531" s="10" t="n">
        <x:f>IF('Income statement'!Q50=0,1/39,E531/'Income statement'!Q50)*'Cash and capital'!Q18</x:f>
        <x:v>61.877857187856776</x:v>
      </x:c>
      <x:c r="I531" s="10" t="n">
        <x:f>E531-F531-G531-H531</x:f>
        <x:v>28106.40997996871</x:v>
      </x:c>
      <x:c r="J531" s="10" t="n">
        <x:f>M492</x:f>
        <x:v>0</x:v>
      </x:c>
      <x:c r="K531" s="10" t="n">
        <x:f>MAX(0,I531-J531)</x:f>
        <x:v>28106.40997996871</x:v>
      </x:c>
      <x:c r="L531" s="10" t="n">
        <x:f>K531*'Assumptions'!$D$12</x:f>
        <x:v>7026.6024949921775</x:v>
      </x:c>
      <x:c r="M531" s="10" t="n">
        <x:f>MAX(0,J531-I531)</x:f>
        <x:v>0</x:v>
      </x:c>
    </x:row>
    <x:row r="532" ht="16" customHeight="1">
      <x:c r="A532" s="1"/>
      <x:c r="B532" s="1"/>
      <x:c r="C532" s="1" t="str">
        <x:v>S’otality laundry</x:v>
      </x:c>
      <x:c r="D532" s="10" t="n">
        <x:v>14</x:v>
      </x:c>
      <x:c r="E532" s="10" t="n">
        <x:f>SUMIF('Revenue and costs'!$D$1672:$D$1799,C532,'Revenue and costs'!N1672:N1799)</x:f>
        <x:v>49573.351569682956</x:v>
      </x:c>
      <x:c r="F532" s="10" t="n">
        <x:f>SUMIF('Revenue and costs'!$D$1672:$D$1799,C532,'Revenue and costs'!O1672:O1799)+SUMIF('Revenue and costs'!$D$1672:$D$1799,C532,'Revenue and costs'!P1672:P1799)+SUMIF('Revenue and costs'!$D$1672:$D$1799,C532,'Revenue and costs'!Q1672:Q1799)+SUMIF('Revenue and costs'!$D$1672:$D$1799,C532,'Revenue and costs'!R1672:R1799)+SUMIF('Revenue and costs'!$D$1672:$D$1799,C532,'Revenue and costs'!S1672:S1799)+SUMIF('Revenue and costs'!$D$1672:$D$1799,C532,'Revenue and costs'!T1672:T1799)+SUMIF('Revenue and costs'!$D$1672:$D$1799,C532,'Revenue and costs'!U1672:U1799)+SUMIF('Revenue and costs'!$D$1672:$D$1799,C532,'Revenue and costs'!V1672:V1799)+SUMIF('Revenue and costs'!$D$1672:$D$1799,C532,'Revenue and costs'!AE1672:AE1799)</x:f>
        <x:v>46067.90305226859</x:v>
      </x:c>
      <x:c r="G532" s="10" t="n">
        <x:f>IF('Income statement'!Q50=0,1/39,E532/'Income statement'!Q50)*('Shared costs'!U21+'Assumptions'!$D$18*'Assumptions'!$D$19*12*(1+'Assumptions'!$D$13)^(14-1)*'Assumptions'!$D$21)</x:f>
        <x:v>2331.9064029129495</x:v>
      </x:c>
      <x:c r="H532" s="10" t="n">
        <x:f>IF('Income statement'!Q50=0,1/39,E532/'Income statement'!Q50)*'Cash and capital'!Q18</x:f>
        <x:v>9.590712652538073</x:v>
      </x:c>
      <x:c r="I532" s="10" t="n">
        <x:f>E532-F532-G532-H532</x:f>
        <x:v>1163.9514018488753</x:v>
      </x:c>
      <x:c r="J532" s="10" t="n">
        <x:f>M493</x:f>
        <x:v>0</x:v>
      </x:c>
      <x:c r="K532" s="10" t="n">
        <x:f>MAX(0,I532-J532)</x:f>
        <x:v>1163.9514018488753</x:v>
      </x:c>
      <x:c r="L532" s="10" t="n">
        <x:f>K532*'Assumptions'!$D$12</x:f>
        <x:v>290.98785046221883</x:v>
      </x:c>
      <x:c r="M532" s="10" t="n">
        <x:f>MAX(0,J532-I532)</x:f>
        <x:v>0</x:v>
      </x:c>
    </x:row>
    <x:row r="533" ht="16" customHeight="1">
      <x:c r="A533" s="1"/>
      <x:c r="B533" s="1"/>
      <x:c r="C533" s="1" t="str">
        <x:v>S’otality Personal Chef</x:v>
      </x:c>
      <x:c r="D533" s="10" t="n">
        <x:v>14</x:v>
      </x:c>
      <x:c r="E533" s="10" t="n">
        <x:f>SUMIF('Revenue and costs'!$D$1672:$D$1799,C533,'Revenue and costs'!N1672:N1799)</x:f>
        <x:v>89491.46150924289</x:v>
      </x:c>
      <x:c r="F533" s="10" t="n">
        <x:f>SUMIF('Revenue and costs'!$D$1672:$D$1799,C533,'Revenue and costs'!O1672:O1799)+SUMIF('Revenue and costs'!$D$1672:$D$1799,C533,'Revenue and costs'!P1672:P1799)+SUMIF('Revenue and costs'!$D$1672:$D$1799,C533,'Revenue and costs'!Q1672:Q1799)+SUMIF('Revenue and costs'!$D$1672:$D$1799,C533,'Revenue and costs'!R1672:R1799)+SUMIF('Revenue and costs'!$D$1672:$D$1799,C533,'Revenue and costs'!S1672:S1799)+SUMIF('Revenue and costs'!$D$1672:$D$1799,C533,'Revenue and costs'!T1672:T1799)+SUMIF('Revenue and costs'!$D$1672:$D$1799,C533,'Revenue and costs'!U1672:U1799)+SUMIF('Revenue and costs'!$D$1672:$D$1799,C533,'Revenue and costs'!V1672:V1799)+SUMIF('Revenue and costs'!$D$1672:$D$1799,C533,'Revenue and costs'!AE1672:AE1799)</x:f>
        <x:v>72720.17608375665</x:v>
      </x:c>
      <x:c r="G533" s="10" t="n">
        <x:f>IF('Income statement'!Q50=0,1/39,E533/'Income statement'!Q50)*('Shared costs'!U21+'Assumptions'!$D$18*'Assumptions'!$D$19*12*(1+'Assumptions'!$D$13)^(14-1)*'Assumptions'!$D$21)</x:f>
        <x:v>4209.634924644976</x:v>
      </x:c>
      <x:c r="H533" s="10" t="n">
        <x:f>IF('Income statement'!Q50=0,1/39,E533/'Income statement'!Q50)*'Cash and capital'!Q18</x:f>
        <x:v>17.313473166815555</x:v>
      </x:c>
      <x:c r="I533" s="10" t="n">
        <x:f>E533-F533-G533-H533</x:f>
        <x:v>12544.33702767444</x:v>
      </x:c>
      <x:c r="J533" s="10" t="n">
        <x:f>M494</x:f>
        <x:v>0</x:v>
      </x:c>
      <x:c r="K533" s="10" t="n">
        <x:f>MAX(0,I533-J533)</x:f>
        <x:v>12544.33702767444</x:v>
      </x:c>
      <x:c r="L533" s="10" t="n">
        <x:f>K533*'Assumptions'!$D$12</x:f>
        <x:v>3136.08425691861</x:v>
      </x:c>
      <x:c r="M533" s="10" t="n">
        <x:f>MAX(0,J533-I533)</x:f>
        <x:v>0</x:v>
      </x:c>
    </x:row>
    <x:row r="534" ht="16" customHeight="1">
      <x:c r="A534" s="1"/>
      <x:c r="B534" s="1"/>
      <x:c r="C534" s="1" t="str">
        <x:v>S’otality interiors</x:v>
      </x:c>
      <x:c r="D534" s="10" t="n">
        <x:v>14</x:v>
      </x:c>
      <x:c r="E534" s="10" t="n">
        <x:f>SUMIF('Revenue and costs'!$D$1672:$D$1799,C534,'Revenue and costs'!N1672:N1799)</x:f>
        <x:v>115557.74184569901</x:v>
      </x:c>
      <x:c r="F534" s="10" t="n">
        <x:f>SUMIF('Revenue and costs'!$D$1672:$D$1799,C534,'Revenue and costs'!O1672:O1799)+SUMIF('Revenue and costs'!$D$1672:$D$1799,C534,'Revenue and costs'!P1672:P1799)+SUMIF('Revenue and costs'!$D$1672:$D$1799,C534,'Revenue and costs'!Q1672:Q1799)+SUMIF('Revenue and costs'!$D$1672:$D$1799,C534,'Revenue and costs'!R1672:R1799)+SUMIF('Revenue and costs'!$D$1672:$D$1799,C534,'Revenue and costs'!S1672:S1799)+SUMIF('Revenue and costs'!$D$1672:$D$1799,C534,'Revenue and costs'!T1672:T1799)+SUMIF('Revenue and costs'!$D$1672:$D$1799,C534,'Revenue and costs'!U1672:U1799)+SUMIF('Revenue and costs'!$D$1672:$D$1799,C534,'Revenue and costs'!V1672:V1799)+SUMIF('Revenue and costs'!$D$1672:$D$1799,C534,'Revenue and costs'!AE1672:AE1799)</x:f>
        <x:v>72990.89324139216</x:v>
      </x:c>
      <x:c r="G534" s="10" t="n">
        <x:f>IF('Income statement'!Q50=0,1/39,E534/'Income statement'!Q50)*('Shared costs'!U21+'Assumptions'!$D$18*'Assumptions'!$D$19*12*(1+'Assumptions'!$D$13)^(14-1)*'Assumptions'!$D$21)</x:f>
        <x:v>5435.780103295335</x:v>
      </x:c>
      <x:c r="H534" s="10" t="n">
        <x:f>IF('Income statement'!Q50=0,1/39,E534/'Income statement'!Q50)*'Cash and capital'!Q18</x:f>
        <x:v>22.35638829584509</x:v>
      </x:c>
      <x:c r="I534" s="10" t="n">
        <x:f>E534-F534-G534-H534</x:f>
        <x:v>37108.71211271567</x:v>
      </x:c>
      <x:c r="J534" s="10" t="n">
        <x:f>M495</x:f>
        <x:v>0</x:v>
      </x:c>
      <x:c r="K534" s="10" t="n">
        <x:f>MAX(0,I534-J534)</x:f>
        <x:v>37108.71211271567</x:v>
      </x:c>
      <x:c r="L534" s="10" t="n">
        <x:f>K534*'Assumptions'!$D$12</x:f>
        <x:v>9277.178028178918</x:v>
      </x:c>
      <x:c r="M534" s="10" t="n">
        <x:f>MAX(0,J534-I534)</x:f>
        <x:v>0</x:v>
      </x:c>
    </x:row>
    <x:row r="535" ht="16" customHeight="1">
      <x:c r="A535" s="1"/>
      <x:c r="B535" s="1"/>
      <x:c r="C535" s="1" t="str">
        <x:v>S’otality concierge</x:v>
      </x:c>
      <x:c r="D535" s="10" t="n">
        <x:v>14</x:v>
      </x:c>
      <x:c r="E535" s="10" t="n">
        <x:f>SUMIF('Revenue and costs'!$D$1672:$D$1799,C535,'Revenue and costs'!N1672:N1799)</x:f>
        <x:v>41922.00204509532</x:v>
      </x:c>
      <x:c r="F535" s="10" t="n">
        <x:f>SUMIF('Revenue and costs'!$D$1672:$D$1799,C535,'Revenue and costs'!O1672:O1799)+SUMIF('Revenue and costs'!$D$1672:$D$1799,C535,'Revenue and costs'!P1672:P1799)+SUMIF('Revenue and costs'!$D$1672:$D$1799,C535,'Revenue and costs'!Q1672:Q1799)+SUMIF('Revenue and costs'!$D$1672:$D$1799,C535,'Revenue and costs'!R1672:R1799)+SUMIF('Revenue and costs'!$D$1672:$D$1799,C535,'Revenue and costs'!S1672:S1799)+SUMIF('Revenue and costs'!$D$1672:$D$1799,C535,'Revenue and costs'!T1672:T1799)+SUMIF('Revenue and costs'!$D$1672:$D$1799,C535,'Revenue and costs'!U1672:U1799)+SUMIF('Revenue and costs'!$D$1672:$D$1799,C535,'Revenue and costs'!V1672:V1799)+SUMIF('Revenue and costs'!$D$1672:$D$1799,C535,'Revenue and costs'!AE1672:AE1799)</x:f>
        <x:v>25142.097350866523</x:v>
      </x:c>
      <x:c r="G535" s="10" t="n">
        <x:f>IF('Income statement'!Q50=0,1/39,E535/'Income statement'!Q50)*('Shared costs'!U21+'Assumptions'!$D$18*'Assumptions'!$D$19*12*(1+'Assumptions'!$D$13)^(14-1)*'Assumptions'!$D$21)</x:f>
        <x:v>1971.9906340097543</x:v>
      </x:c>
      <x:c r="H535" s="10" t="n">
        <x:f>IF('Income statement'!Q50=0,1/39,E535/'Income statement'!Q50)*'Cash and capital'!Q18</x:f>
        <x:v>8.110443669891131</x:v>
      </x:c>
      <x:c r="I535" s="10" t="n">
        <x:f>E535-F535-G535-H535</x:f>
        <x:v>14799.803616549154</x:v>
      </x:c>
      <x:c r="J535" s="10" t="n">
        <x:f>M496</x:f>
        <x:v>0</x:v>
      </x:c>
      <x:c r="K535" s="10" t="n">
        <x:f>MAX(0,I535-J535)</x:f>
        <x:v>14799.803616549154</x:v>
      </x:c>
      <x:c r="L535" s="10" t="n">
        <x:f>K535*'Assumptions'!$D$12</x:f>
        <x:v>3699.9509041372885</x:v>
      </x:c>
      <x:c r="M535" s="10" t="n">
        <x:f>MAX(0,J535-I535)</x:f>
        <x:v>0</x:v>
      </x:c>
    </x:row>
    <x:row r="536" ht="16" customHeight="1">
      <x:c r="A536" s="1"/>
      <x:c r="B536" s="1"/>
      <x:c r="C536" s="1" t="str">
        <x:v>S’otality administration</x:v>
      </x:c>
      <x:c r="D536" s="10" t="n">
        <x:v>14</x:v>
      </x:c>
      <x:c r="E536" s="10" t="n">
        <x:f>SUMIF('Revenue and costs'!$D$1672:$D$1799,C536,'Revenue and costs'!N1672:N1799)</x:f>
        <x:v>67075.20327215252</x:v>
      </x:c>
      <x:c r="F536" s="10" t="n">
        <x:f>SUMIF('Revenue and costs'!$D$1672:$D$1799,C536,'Revenue and costs'!O1672:O1799)+SUMIF('Revenue and costs'!$D$1672:$D$1799,C536,'Revenue and costs'!P1672:P1799)+SUMIF('Revenue and costs'!$D$1672:$D$1799,C536,'Revenue and costs'!Q1672:Q1799)+SUMIF('Revenue and costs'!$D$1672:$D$1799,C536,'Revenue and costs'!R1672:R1799)+SUMIF('Revenue and costs'!$D$1672:$D$1799,C536,'Revenue and costs'!S1672:S1799)+SUMIF('Revenue and costs'!$D$1672:$D$1799,C536,'Revenue and costs'!T1672:T1799)+SUMIF('Revenue and costs'!$D$1672:$D$1799,C536,'Revenue and costs'!U1672:U1799)+SUMIF('Revenue and costs'!$D$1672:$D$1799,C536,'Revenue and costs'!V1672:V1799)+SUMIF('Revenue and costs'!$D$1672:$D$1799,C536,'Revenue and costs'!AE1672:AE1799)</x:f>
        <x:v>54018.383310601406</x:v>
      </x:c>
      <x:c r="G536" s="10" t="n">
        <x:f>IF('Income statement'!Q50=0,1/39,E536/'Income statement'!Q50)*('Shared costs'!U21+'Assumptions'!$D$18*'Assumptions'!$D$19*12*(1+'Assumptions'!$D$13)^(14-1)*'Assumptions'!$D$21)</x:f>
        <x:v>3155.185014415607</x:v>
      </x:c>
      <x:c r="H536" s="10" t="n">
        <x:f>IF('Income statement'!Q50=0,1/39,E536/'Income statement'!Q50)*'Cash and capital'!Q18</x:f>
        <x:v>12.97670987182581</x:v>
      </x:c>
      <x:c r="I536" s="10" t="n">
        <x:f>E536-F536-G536-H536</x:f>
        <x:v>9888.658237263679</x:v>
      </x:c>
      <x:c r="J536" s="10" t="n">
        <x:f>M497</x:f>
        <x:v>0</x:v>
      </x:c>
      <x:c r="K536" s="10" t="n">
        <x:f>MAX(0,I536-J536)</x:f>
        <x:v>9888.658237263679</x:v>
      </x:c>
      <x:c r="L536" s="10" t="n">
        <x:f>K536*'Assumptions'!$D$12</x:f>
        <x:v>2472.1645593159196</x:v>
      </x:c>
      <x:c r="M536" s="10" t="n">
        <x:f>MAX(0,J536-I536)</x:f>
        <x:v>0</x:v>
      </x:c>
    </x:row>
    <x:row r="537" ht="16" customHeight="1">
      <x:c r="A537" s="1"/>
      <x:c r="B537" s="1"/>
      <x:c r="C537" s="1" t="str">
        <x:v>S’otality bike tours</x:v>
      </x:c>
      <x:c r="D537" s="10" t="n">
        <x:v>14</x:v>
      </x:c>
      <x:c r="E537" s="10" t="n">
        <x:f>SUMIF('Revenue and costs'!$D$1672:$D$1799,C537,'Revenue and costs'!N1672:N1799)</x:f>
        <x:v>35796.584603697156</x:v>
      </x:c>
      <x:c r="F537" s="10" t="n">
        <x:f>SUMIF('Revenue and costs'!$D$1672:$D$1799,C537,'Revenue and costs'!O1672:O1799)+SUMIF('Revenue and costs'!$D$1672:$D$1799,C537,'Revenue and costs'!P1672:P1799)+SUMIF('Revenue and costs'!$D$1672:$D$1799,C537,'Revenue and costs'!Q1672:Q1799)+SUMIF('Revenue and costs'!$D$1672:$D$1799,C537,'Revenue and costs'!R1672:R1799)+SUMIF('Revenue and costs'!$D$1672:$D$1799,C537,'Revenue and costs'!S1672:S1799)+SUMIF('Revenue and costs'!$D$1672:$D$1799,C537,'Revenue and costs'!T1672:T1799)+SUMIF('Revenue and costs'!$D$1672:$D$1799,C537,'Revenue and costs'!U1672:U1799)+SUMIF('Revenue and costs'!$D$1672:$D$1799,C537,'Revenue and costs'!V1672:V1799)+SUMIF('Revenue and costs'!$D$1672:$D$1799,C537,'Revenue and costs'!AE1672:AE1799)</x:f>
        <x:v>29713.89327479974</x:v>
      </x:c>
      <x:c r="G537" s="10" t="n">
        <x:f>IF('Income statement'!Q50=0,1/39,E537/'Income statement'!Q50)*('Shared costs'!U21+'Assumptions'!$D$18*'Assumptions'!$D$19*12*(1+'Assumptions'!$D$13)^(14-1)*'Assumptions'!$D$21)</x:f>
        <x:v>1683.8539698579907</x:v>
      </x:c>
      <x:c r="H537" s="10" t="n">
        <x:f>IF('Income statement'!Q50=0,1/39,E537/'Income statement'!Q50)*'Cash and capital'!Q18</x:f>
        <x:v>6.925389266726223</x:v>
      </x:c>
      <x:c r="I537" s="10" t="n">
        <x:f>E537-F537-G537-H537</x:f>
        <x:v>4391.9119697727</x:v>
      </x:c>
      <x:c r="J537" s="10" t="n">
        <x:f>M498</x:f>
        <x:v>0</x:v>
      </x:c>
      <x:c r="K537" s="10" t="n">
        <x:f>MAX(0,I537-J537)</x:f>
        <x:v>4391.9119697727</x:v>
      </x:c>
      <x:c r="L537" s="10" t="n">
        <x:f>K537*'Assumptions'!$D$12</x:f>
        <x:v>1097.977992443175</x:v>
      </x:c>
      <x:c r="M537" s="10" t="n">
        <x:f>MAX(0,J537-I537)</x:f>
        <x:v>0</x:v>
      </x:c>
    </x:row>
    <x:row r="538" ht="16" customHeight="1">
      <x:c r="A538" s="1"/>
      <x:c r="B538" s="1"/>
      <x:c r="C538" s="1" t="str">
        <x:v>S’otality editorial</x:v>
      </x:c>
      <x:c r="D538" s="10" t="n">
        <x:v>14</x:v>
      </x:c>
      <x:c r="E538" s="10" t="n">
        <x:f>SUMIF('Revenue and costs'!$D$1672:$D$1799,C538,'Revenue and costs'!N1672:N1799)</x:f>
        <x:v>16520.32104997018</x:v>
      </x:c>
      <x:c r="F538" s="10" t="n">
        <x:f>SUMIF('Revenue and costs'!$D$1672:$D$1799,C538,'Revenue and costs'!O1672:O1799)+SUMIF('Revenue and costs'!$D$1672:$D$1799,C538,'Revenue and costs'!P1672:P1799)+SUMIF('Revenue and costs'!$D$1672:$D$1799,C538,'Revenue and costs'!Q1672:Q1799)+SUMIF('Revenue and costs'!$D$1672:$D$1799,C538,'Revenue and costs'!R1672:R1799)+SUMIF('Revenue and costs'!$D$1672:$D$1799,C538,'Revenue and costs'!S1672:S1799)+SUMIF('Revenue and costs'!$D$1672:$D$1799,C538,'Revenue and costs'!T1672:T1799)+SUMIF('Revenue and costs'!$D$1672:$D$1799,C538,'Revenue and costs'!U1672:U1799)+SUMIF('Revenue and costs'!$D$1672:$D$1799,C538,'Revenue and costs'!V1672:V1799)+SUMIF('Revenue and costs'!$D$1672:$D$1799,C538,'Revenue and costs'!AE1672:AE1799)</x:f>
        <x:v>9779.243244634712</x:v>
      </x:c>
      <x:c r="G538" s="10" t="n">
        <x:f>IF('Income statement'!Q50=0,1/39,E538/'Income statement'!Q50)*('Shared costs'!U21+'Assumptions'!$D$18*'Assumptions'!$D$19*12*(1+'Assumptions'!$D$13)^(14-1)*'Assumptions'!$D$21)</x:f>
        <x:v>777.1078858860667</x:v>
      </x:c>
      <x:c r="H538" s="10" t="n">
        <x:f>IF('Income statement'!Q50=0,1/39,E538/'Income statement'!Q50)*'Cash and capital'!Q18</x:f>
        <x:v>3.196105308619814</x:v>
      </x:c>
      <x:c r="I538" s="10" t="n">
        <x:f>E538-F538-G538-H538</x:f>
        <x:v>5960.7738141407835</x:v>
      </x:c>
      <x:c r="J538" s="10" t="n">
        <x:f>M499</x:f>
        <x:v>0</x:v>
      </x:c>
      <x:c r="K538" s="10" t="n">
        <x:f>MAX(0,I538-J538)</x:f>
        <x:v>5960.7738141407835</x:v>
      </x:c>
      <x:c r="L538" s="10" t="n">
        <x:f>K538*'Assumptions'!$D$12</x:f>
        <x:v>1490.1934535351959</x:v>
      </x:c>
      <x:c r="M538" s="10" t="n">
        <x:f>MAX(0,J538-I538)</x:f>
        <x:v>0</x:v>
      </x:c>
    </x:row>
    <x:row r="539" ht="16" customHeight="1">
      <x:c r="A539" s="1"/>
      <x:c r="B539" s="1"/>
      <x:c r="C539" s="1" t="str">
        <x:v>Tomato Odyssey</x:v>
      </x:c>
      <x:c r="D539" s="10" t="n">
        <x:v>14</x:v>
      </x:c>
      <x:c r="E539" s="10" t="n">
        <x:f>SUMIF('Revenue and costs'!$D$1672:$D$1799,C539,'Revenue and costs'!N1672:N1799)</x:f>
        <x:v>16520.32104997018</x:v>
      </x:c>
      <x:c r="F539" s="10" t="n">
        <x:f>SUMIF('Revenue and costs'!$D$1672:$D$1799,C539,'Revenue and costs'!O1672:O1799)+SUMIF('Revenue and costs'!$D$1672:$D$1799,C539,'Revenue and costs'!P1672:P1799)+SUMIF('Revenue and costs'!$D$1672:$D$1799,C539,'Revenue and costs'!Q1672:Q1799)+SUMIF('Revenue and costs'!$D$1672:$D$1799,C539,'Revenue and costs'!R1672:R1799)+SUMIF('Revenue and costs'!$D$1672:$D$1799,C539,'Revenue and costs'!S1672:S1799)+SUMIF('Revenue and costs'!$D$1672:$D$1799,C539,'Revenue and costs'!T1672:T1799)+SUMIF('Revenue and costs'!$D$1672:$D$1799,C539,'Revenue and costs'!U1672:U1799)+SUMIF('Revenue and costs'!$D$1672:$D$1799,C539,'Revenue and costs'!V1672:V1799)+SUMIF('Revenue and costs'!$D$1672:$D$1799,C539,'Revenue and costs'!AE1672:AE1799)</x:f>
        <x:v>9779.243244634712</x:v>
      </x:c>
      <x:c r="G539" s="10" t="n">
        <x:f>IF('Income statement'!Q50=0,1/39,E539/'Income statement'!Q50)*('Shared costs'!U21+'Assumptions'!$D$18*'Assumptions'!$D$19*12*(1+'Assumptions'!$D$13)^(14-1)*'Assumptions'!$D$21)</x:f>
        <x:v>777.1078858860667</x:v>
      </x:c>
      <x:c r="H539" s="10" t="n">
        <x:f>IF('Income statement'!Q50=0,1/39,E539/'Income statement'!Q50)*'Cash and capital'!Q18</x:f>
        <x:v>3.196105308619814</x:v>
      </x:c>
      <x:c r="I539" s="10" t="n">
        <x:f>E539-F539-G539-H539</x:f>
        <x:v>5960.7738141407835</x:v>
      </x:c>
      <x:c r="J539" s="10" t="n">
        <x:f>M500</x:f>
        <x:v>0</x:v>
      </x:c>
      <x:c r="K539" s="10" t="n">
        <x:f>MAX(0,I539-J539)</x:f>
        <x:v>5960.7738141407835</x:v>
      </x:c>
      <x:c r="L539" s="10" t="n">
        <x:f>K539*'Assumptions'!$D$12</x:f>
        <x:v>1490.1934535351959</x:v>
      </x:c>
      <x:c r="M539" s="10" t="n">
        <x:f>MAX(0,J539-I539)</x:f>
        <x:v>0</x:v>
      </x:c>
    </x:row>
    <x:row r="540" ht="16" customHeight="1">
      <x:c r="A540" s="1"/>
      <x:c r="B540" s="1"/>
      <x:c r="C540" s="1" t="str">
        <x:v>Semajes Studio</x:v>
      </x:c>
      <x:c r="D540" s="10" t="n">
        <x:v>14</x:v>
      </x:c>
      <x:c r="E540" s="10" t="n">
        <x:f>SUMIF('Revenue and costs'!$D$1672:$D$1799,C540,'Revenue and costs'!N1672:N1799)</x:f>
        <x:v>215994.69786335854</x:v>
      </x:c>
      <x:c r="F540" s="10" t="n">
        <x:f>SUMIF('Revenue and costs'!$D$1672:$D$1799,C540,'Revenue and costs'!O1672:O1799)+SUMIF('Revenue and costs'!$D$1672:$D$1799,C540,'Revenue and costs'!P1672:P1799)+SUMIF('Revenue and costs'!$D$1672:$D$1799,C540,'Revenue and costs'!Q1672:Q1799)+SUMIF('Revenue and costs'!$D$1672:$D$1799,C540,'Revenue and costs'!R1672:R1799)+SUMIF('Revenue and costs'!$D$1672:$D$1799,C540,'Revenue and costs'!S1672:S1799)+SUMIF('Revenue and costs'!$D$1672:$D$1799,C540,'Revenue and costs'!T1672:T1799)+SUMIF('Revenue and costs'!$D$1672:$D$1799,C540,'Revenue and costs'!U1672:U1799)+SUMIF('Revenue and costs'!$D$1672:$D$1799,C540,'Revenue and costs'!V1672:V1799)+SUMIF('Revenue and costs'!$D$1672:$D$1799,C540,'Revenue and costs'!AE1672:AE1799)</x:f>
        <x:v>145627.99403396389</x:v>
      </x:c>
      <x:c r="G540" s="10" t="n">
        <x:f>IF('Income statement'!Q50=0,1/39,E540/'Income statement'!Q50)*('Shared costs'!U21+'Assumptions'!$D$18*'Assumptions'!$D$19*12*(1+'Assumptions'!$D$13)^(14-1)*'Assumptions'!$D$21)</x:f>
        <x:v>10160.285778435113</x:v>
      </x:c>
      <x:c r="H540" s="10" t="n">
        <x:f>IF('Income statement'!Q50=0,1/39,E540/'Income statement'!Q50)*'Cash and capital'!Q18</x:f>
        <x:v>41.787432483102926</x:v>
      </x:c>
      <x:c r="I540" s="10" t="n">
        <x:f>E540-F540-G540-H540</x:f>
        <x:v>60164.63061847643</x:v>
      </x:c>
      <x:c r="J540" s="10" t="n">
        <x:f>M501</x:f>
        <x:v>0</x:v>
      </x:c>
      <x:c r="K540" s="10" t="n">
        <x:f>MAX(0,I540-J540)</x:f>
        <x:v>60164.63061847643</x:v>
      </x:c>
      <x:c r="L540" s="10" t="n">
        <x:f>K540*'Assumptions'!$D$12</x:f>
        <x:v>15041.157654619108</x:v>
      </x:c>
      <x:c r="M540" s="10" t="n">
        <x:f>MAX(0,J540-I540)</x:f>
        <x:v>0</x:v>
      </x:c>
    </x:row>
    <x:row r="541" ht="16" customHeight="1">
      <x:c r="A541" s="1"/>
      <x:c r="B541" s="1"/>
      <x:c r="C541" s="1" t="str">
        <x:v>Semajes Marketplace</x:v>
      </x:c>
      <x:c r="D541" s="10" t="n">
        <x:v>14</x:v>
      </x:c>
      <x:c r="E541" s="10" t="n">
        <x:f>SUMIF('Revenue and costs'!$D$1672:$D$1799,C541,'Revenue and costs'!N1672:N1799)</x:f>
        <x:v>70008.13545263365</x:v>
      </x:c>
      <x:c r="F541" s="10" t="n">
        <x:f>SUMIF('Revenue and costs'!$D$1672:$D$1799,C541,'Revenue and costs'!O1672:O1799)+SUMIF('Revenue and costs'!$D$1672:$D$1799,C541,'Revenue and costs'!P1672:P1799)+SUMIF('Revenue and costs'!$D$1672:$D$1799,C541,'Revenue and costs'!Q1672:Q1799)+SUMIF('Revenue and costs'!$D$1672:$D$1799,C541,'Revenue and costs'!R1672:R1799)+SUMIF('Revenue and costs'!$D$1672:$D$1799,C541,'Revenue and costs'!S1672:S1799)+SUMIF('Revenue and costs'!$D$1672:$D$1799,C541,'Revenue and costs'!T1672:T1799)+SUMIF('Revenue and costs'!$D$1672:$D$1799,C541,'Revenue and costs'!U1672:U1799)+SUMIF('Revenue and costs'!$D$1672:$D$1799,C541,'Revenue and costs'!V1672:V1799)+SUMIF('Revenue and costs'!$D$1672:$D$1799,C541,'Revenue and costs'!AE1672:AE1799)</x:f>
        <x:v>35123.850091336266</x:v>
      </x:c>
      <x:c r="G541" s="10" t="n">
        <x:f>IF('Income statement'!Q50=0,1/39,E541/'Income statement'!Q50)*('Shared costs'!U21+'Assumptions'!$D$18*'Assumptions'!$D$19*12*(1+'Assumptions'!$D$13)^(14-1)*'Assumptions'!$D$21)</x:f>
        <x:v>3293.1487210122787</x:v>
      </x:c>
      <x:c r="H541" s="10" t="n">
        <x:f>IF('Income statement'!Q50=0,1/39,E541/'Income statement'!Q50)*'Cash and capital'!Q18</x:f>
        <x:v>13.544129844083223</x:v>
      </x:c>
      <x:c r="I541" s="10" t="n">
        <x:f>E541-F541-G541-H541</x:f>
        <x:v>31577.592510441023</x:v>
      </x:c>
      <x:c r="J541" s="10" t="n">
        <x:f>M502</x:f>
        <x:v>0</x:v>
      </x:c>
      <x:c r="K541" s="10" t="n">
        <x:f>MAX(0,I541-J541)</x:f>
        <x:v>31577.592510441023</x:v>
      </x:c>
      <x:c r="L541" s="10" t="n">
        <x:f>K541*'Assumptions'!$D$12</x:f>
        <x:v>7894.398127610256</x:v>
      </x:c>
      <x:c r="M541" s="10" t="n">
        <x:f>MAX(0,J541-I541)</x:f>
        <x:v>0</x:v>
      </x:c>
    </x:row>
    <x:row r="542" ht="16" customHeight="1">
      <x:c r="A542" s="1"/>
      <x:c r="B542" s="1"/>
      <x:c r="C542" s="1" t="str">
        <x:v>Semajes premium and media</x:v>
      </x:c>
      <x:c r="D542" s="10" t="n">
        <x:v>14</x:v>
      </x:c>
      <x:c r="E542" s="10" t="n">
        <x:f>SUMIF('Revenue and costs'!$D$1672:$D$1799,C542,'Revenue and costs'!N1672:N1799)</x:f>
        <x:v>48835.40475763444</x:v>
      </x:c>
      <x:c r="F542" s="10" t="n">
        <x:f>SUMIF('Revenue and costs'!$D$1672:$D$1799,C542,'Revenue and costs'!O1672:O1799)+SUMIF('Revenue and costs'!$D$1672:$D$1799,C542,'Revenue and costs'!P1672:P1799)+SUMIF('Revenue and costs'!$D$1672:$D$1799,C542,'Revenue and costs'!Q1672:Q1799)+SUMIF('Revenue and costs'!$D$1672:$D$1799,C542,'Revenue and costs'!R1672:R1799)+SUMIF('Revenue and costs'!$D$1672:$D$1799,C542,'Revenue and costs'!S1672:S1799)+SUMIF('Revenue and costs'!$D$1672:$D$1799,C542,'Revenue and costs'!T1672:T1799)+SUMIF('Revenue and costs'!$D$1672:$D$1799,C542,'Revenue and costs'!U1672:U1799)+SUMIF('Revenue and costs'!$D$1672:$D$1799,C542,'Revenue and costs'!V1672:V1799)+SUMIF('Revenue and costs'!$D$1672:$D$1799,C542,'Revenue and costs'!AE1672:AE1799)</x:f>
        <x:v>27753.041523554897</x:v>
      </x:c>
      <x:c r="G542" s="10" t="n">
        <x:f>IF('Income statement'!Q50=0,1/39,E542/'Income statement'!Q50)*('Shared costs'!U21+'Assumptions'!$D$18*'Assumptions'!$D$19*12*(1+'Assumptions'!$D$13)^(14-1)*'Assumptions'!$D$21)</x:f>
        <x:v>2297.193742954781</x:v>
      </x:c>
      <x:c r="H542" s="10" t="n">
        <x:f>IF('Income statement'!Q50=0,1/39,E542/'Income statement'!Q50)*'Cash and capital'!Q18</x:f>
        <x:v>9.44794571015643</x:v>
      </x:c>
      <x:c r="I542" s="10" t="n">
        <x:f>E542-F542-G542-H542</x:f>
        <x:v>18775.721545414606</x:v>
      </x:c>
      <x:c r="J542" s="10" t="n">
        <x:f>M503</x:f>
        <x:v>0</x:v>
      </x:c>
      <x:c r="K542" s="10" t="n">
        <x:f>MAX(0,I542-J542)</x:f>
        <x:v>18775.721545414606</x:v>
      </x:c>
      <x:c r="L542" s="10" t="n">
        <x:f>K542*'Assumptions'!$D$12</x:f>
        <x:v>4693.930386353652</x:v>
      </x:c>
      <x:c r="M542" s="10" t="n">
        <x:f>MAX(0,J542-I542)</x:f>
        <x:v>0</x:v>
      </x:c>
    </x:row>
    <x:row r="543" ht="16" customHeight="1">
      <x:c r="A543" s="1"/>
      <x:c r="B543" s="1"/>
      <x:c r="C543" s="1" t="str">
        <x:v>Semajes courses</x:v>
      </x:c>
      <x:c r="D543" s="10" t="n">
        <x:v>14</x:v>
      </x:c>
      <x:c r="E543" s="10" t="n">
        <x:f>SUMIF('Revenue and costs'!$D$1672:$D$1799,C543,'Revenue and costs'!N1672:N1799)</x:f>
        <x:v>26544.83580886012</x:v>
      </x:c>
      <x:c r="F543" s="10" t="n">
        <x:f>SUMIF('Revenue and costs'!$D$1672:$D$1799,C543,'Revenue and costs'!O1672:O1799)+SUMIF('Revenue and costs'!$D$1672:$D$1799,C543,'Revenue and costs'!P1672:P1799)+SUMIF('Revenue and costs'!$D$1672:$D$1799,C543,'Revenue and costs'!Q1672:Q1799)+SUMIF('Revenue and costs'!$D$1672:$D$1799,C543,'Revenue and costs'!R1672:R1799)+SUMIF('Revenue and costs'!$D$1672:$D$1799,C543,'Revenue and costs'!S1672:S1799)+SUMIF('Revenue and costs'!$D$1672:$D$1799,C543,'Revenue and costs'!T1672:T1799)+SUMIF('Revenue and costs'!$D$1672:$D$1799,C543,'Revenue and costs'!U1672:U1799)+SUMIF('Revenue and costs'!$D$1672:$D$1799,C543,'Revenue and costs'!V1672:V1799)+SUMIF('Revenue and costs'!$D$1672:$D$1799,C543,'Revenue and costs'!AE1672:AE1799)</x:f>
        <x:v>8855.30280021432</x:v>
      </x:c>
      <x:c r="G543" s="10" t="n">
        <x:f>IF('Income statement'!Q50=0,1/39,E543/'Income statement'!Q50)*('Shared costs'!U21+'Assumptions'!$D$18*'Assumptions'!$D$19*12*(1+'Assumptions'!$D$13)^(14-1)*'Assumptions'!$D$21)</x:f>
        <x:v>1248.6561958584502</x:v>
      </x:c>
      <x:c r="H543" s="10" t="n">
        <x:f>IF('Income statement'!Q50=0,1/39,E543/'Income statement'!Q50)*'Cash and capital'!Q18</x:f>
        <x:v>5.1354989039569725</x:v>
      </x:c>
      <x:c r="I543" s="10" t="n">
        <x:f>E543-F543-G543-H543</x:f>
        <x:v>16435.74131388339</x:v>
      </x:c>
      <x:c r="J543" s="10" t="n">
        <x:f>M504</x:f>
        <x:v>0</x:v>
      </x:c>
      <x:c r="K543" s="10" t="n">
        <x:f>MAX(0,I543-J543)</x:f>
        <x:v>16435.74131388339</x:v>
      </x:c>
      <x:c r="L543" s="10" t="n">
        <x:f>K543*'Assumptions'!$D$12</x:f>
        <x:v>4108.935328470848</x:v>
      </x:c>
      <x:c r="M543" s="10" t="n">
        <x:f>MAX(0,J543-I543)</x:f>
        <x:v>0</x:v>
      </x:c>
    </x:row>
    <x:row r="544" ht="16" customHeight="1">
      <x:c r="A544" s="1"/>
      <x:c r="B544" s="1"/>
      <x:c r="C544" s="1" t="str">
        <x:v>Sleepy Face</x:v>
      </x:c>
      <x:c r="D544" s="10" t="n">
        <x:v>14</x:v>
      </x:c>
      <x:c r="E544" s="10" t="n">
        <x:f>SUMIF('Revenue and costs'!$D$1672:$D$1799,C544,'Revenue and costs'!N1672:N1799)</x:f>
        <x:v>339958.98745637113</x:v>
      </x:c>
      <x:c r="F544" s="10" t="n">
        <x:f>SUMIF('Revenue and costs'!$D$1672:$D$1799,C544,'Revenue and costs'!O1672:O1799)+SUMIF('Revenue and costs'!$D$1672:$D$1799,C544,'Revenue and costs'!P1672:P1799)+SUMIF('Revenue and costs'!$D$1672:$D$1799,C544,'Revenue and costs'!Q1672:Q1799)+SUMIF('Revenue and costs'!$D$1672:$D$1799,C544,'Revenue and costs'!R1672:R1799)+SUMIF('Revenue and costs'!$D$1672:$D$1799,C544,'Revenue and costs'!S1672:S1799)+SUMIF('Revenue and costs'!$D$1672:$D$1799,C544,'Revenue and costs'!T1672:T1799)+SUMIF('Revenue and costs'!$D$1672:$D$1799,C544,'Revenue and costs'!U1672:U1799)+SUMIF('Revenue and costs'!$D$1672:$D$1799,C544,'Revenue and costs'!V1672:V1799)+SUMIF('Revenue and costs'!$D$1672:$D$1799,C544,'Revenue and costs'!AE1672:AE1799)</x:f>
        <x:v>224422.95644499268</x:v>
      </x:c>
      <x:c r="G544" s="10" t="n">
        <x:f>IF('Income statement'!Q50=0,1/39,E544/'Income statement'!Q50)*('Shared costs'!U21+'Assumptions'!$D$18*'Assumptions'!$D$19*12*(1+'Assumptions'!$D$13)^(14-1)*'Assumptions'!$D$21)</x:f>
        <x:v>15991.50580857902</x:v>
      </x:c>
      <x:c r="H544" s="10" t="n">
        <x:f>IF('Income statement'!Q50=0,1/39,E544/'Income statement'!Q50)*'Cash and capital'!Q18</x:f>
        <x:v>65.7701942496018</x:v>
      </x:c>
      <x:c r="I544" s="10" t="n">
        <x:f>E544-F544-G544-H544</x:f>
        <x:v>99478.75500854982</x:v>
      </x:c>
      <x:c r="J544" s="10" t="n">
        <x:f>M505</x:f>
        <x:v>0</x:v>
      </x:c>
      <x:c r="K544" s="10" t="n">
        <x:f>MAX(0,I544-J544)</x:f>
        <x:v>99478.75500854982</x:v>
      </x:c>
      <x:c r="L544" s="10" t="n">
        <x:f>K544*'Assumptions'!$D$12</x:f>
        <x:v>24869.688752137456</x:v>
      </x:c>
      <x:c r="M544" s="10" t="n">
        <x:f>MAX(0,J544-I544)</x:f>
        <x:v>0</x:v>
      </x:c>
    </x:row>
    <x:row r="545" ht="16" customHeight="1">
      <x:c r="A545" s="1"/>
      <x:c r="B545" s="1"/>
      <x:c r="C545" s="1" t="str">
        <x:v>QzoticMusic</x:v>
      </x:c>
      <x:c r="D545" s="10" t="n">
        <x:v>14</x:v>
      </x:c>
      <x:c r="E545" s="10" t="n">
        <x:f>SUMIF('Revenue and costs'!$D$1672:$D$1799,C545,'Revenue and costs'!N1672:N1799)</x:f>
        <x:v>29748.372959657096</x:v>
      </x:c>
      <x:c r="F545" s="10" t="n">
        <x:f>SUMIF('Revenue and costs'!$D$1672:$D$1799,C545,'Revenue and costs'!O1672:O1799)+SUMIF('Revenue and costs'!$D$1672:$D$1799,C545,'Revenue and costs'!P1672:P1799)+SUMIF('Revenue and costs'!$D$1672:$D$1799,C545,'Revenue and costs'!Q1672:Q1799)+SUMIF('Revenue and costs'!$D$1672:$D$1799,C545,'Revenue and costs'!R1672:R1799)+SUMIF('Revenue and costs'!$D$1672:$D$1799,C545,'Revenue and costs'!S1672:S1799)+SUMIF('Revenue and costs'!$D$1672:$D$1799,C545,'Revenue and costs'!T1672:T1799)+SUMIF('Revenue and costs'!$D$1672:$D$1799,C545,'Revenue and costs'!U1672:U1799)+SUMIF('Revenue and costs'!$D$1672:$D$1799,C545,'Revenue and costs'!V1672:V1799)+SUMIF('Revenue and costs'!$D$1672:$D$1799,C545,'Revenue and costs'!AE1672:AE1799)</x:f>
        <x:v>34132.48166254663</x:v>
      </x:c>
      <x:c r="G545" s="10" t="n">
        <x:f>IF('Income statement'!Q50=0,1/39,E545/'Income statement'!Q50)*('Shared costs'!U21+'Assumptions'!$D$18*'Assumptions'!$D$19*12*(1+'Assumptions'!$D$13)^(14-1)*'Assumptions'!$D$21)</x:f>
        <x:v>1399.3490289506865</x:v>
      </x:c>
      <x:c r="H545" s="10" t="n">
        <x:f>IF('Income statement'!Q50=0,1/39,E545/'Income statement'!Q50)*'Cash and capital'!Q18</x:f>
        <x:v>5.755271489674457</x:v>
      </x:c>
      <x:c r="I545" s="10" t="n">
        <x:f>E545-F545-G545-H545</x:f>
        <x:v>-5789.213003329892</x:v>
      </x:c>
      <x:c r="J545" s="10" t="n">
        <x:f>M506</x:f>
        <x:v>35645.23771869044</x:v>
      </x:c>
      <x:c r="K545" s="10" t="n">
        <x:f>MAX(0,I545-J545)</x:f>
        <x:v>0</x:v>
      </x:c>
      <x:c r="L545" s="10" t="n">
        <x:f>K545*'Assumptions'!$D$12</x:f>
        <x:v>0</x:v>
      </x:c>
      <x:c r="M545" s="10" t="n">
        <x:f>MAX(0,J545-I545)</x:f>
        <x:v>41434.45072202033</x:v>
      </x:c>
    </x:row>
    <x:row r="546" ht="16" customHeight="1">
      <x:c r="A546" s="1"/>
      <x:c r="B546" s="1"/>
      <x:c r="C546" s="1" t="str">
        <x:v>LesPetitFilms</x:v>
      </x:c>
      <x:c r="D546" s="10" t="n">
        <x:v>14</x:v>
      </x:c>
      <x:c r="E546" s="10" t="n">
        <x:f>SUMIF('Revenue and costs'!$D$1672:$D$1799,C546,'Revenue and costs'!N1672:N1799)</x:f>
        <x:v>108562.10975694691</x:v>
      </x:c>
      <x:c r="F546" s="10" t="n">
        <x:f>SUMIF('Revenue and costs'!$D$1672:$D$1799,C546,'Revenue and costs'!O1672:O1799)+SUMIF('Revenue and costs'!$D$1672:$D$1799,C546,'Revenue and costs'!P1672:P1799)+SUMIF('Revenue and costs'!$D$1672:$D$1799,C546,'Revenue and costs'!Q1672:Q1799)+SUMIF('Revenue and costs'!$D$1672:$D$1799,C546,'Revenue and costs'!R1672:R1799)+SUMIF('Revenue and costs'!$D$1672:$D$1799,C546,'Revenue and costs'!S1672:S1799)+SUMIF('Revenue and costs'!$D$1672:$D$1799,C546,'Revenue and costs'!T1672:T1799)+SUMIF('Revenue and costs'!$D$1672:$D$1799,C546,'Revenue and costs'!U1672:U1799)+SUMIF('Revenue and costs'!$D$1672:$D$1799,C546,'Revenue and costs'!V1672:V1799)+SUMIF('Revenue and costs'!$D$1672:$D$1799,C546,'Revenue and costs'!AE1672:AE1799)</x:f>
        <x:v>65695.79097850452</x:v>
      </x:c>
      <x:c r="G546" s="10" t="n">
        <x:f>IF('Income statement'!Q50=0,1/39,E546/'Income statement'!Q50)*('Shared costs'!U21+'Assumptions'!$D$18*'Assumptions'!$D$19*12*(1+'Assumptions'!$D$13)^(14-1)*'Assumptions'!$D$21)</x:f>
        <x:v>5106.708964394153</x:v>
      </x:c>
      <x:c r="H546" s="10" t="n">
        <x:f>IF('Income statement'!Q50=0,1/39,E546/'Income statement'!Q50)*'Cash and capital'!Q18</x:f>
        <x:v>21.002977742358777</x:v>
      </x:c>
      <x:c r="I546" s="10" t="n">
        <x:f>E546-F546-G546-H546</x:f>
        <x:v>37738.60683630589</x:v>
      </x:c>
      <x:c r="J546" s="10" t="n">
        <x:f>M507</x:f>
        <x:v>0</x:v>
      </x:c>
      <x:c r="K546" s="10" t="n">
        <x:f>MAX(0,I546-J546)</x:f>
        <x:v>37738.60683630589</x:v>
      </x:c>
      <x:c r="L546" s="10" t="n">
        <x:f>K546*'Assumptions'!$D$12</x:f>
        <x:v>9434.651709076472</x:v>
      </x:c>
      <x:c r="M546" s="10" t="n">
        <x:f>MAX(0,J546-I546)</x:f>
        <x:v>0</x:v>
      </x:c>
    </x:row>
    <x:row r="547" ht="16" customHeight="1">
      <x:c r="A547" s="1"/>
      <x:c r="B547" s="1"/>
      <x:c r="C547" s="1" t="str">
        <x:v>Learn Anglais</x:v>
      </x:c>
      <x:c r="D547" s="10" t="n">
        <x:v>14</x:v>
      </x:c>
      <x:c r="E547" s="10" t="n">
        <x:f>SUMIF('Revenue and costs'!$D$1672:$D$1799,C547,'Revenue and costs'!N1672:N1799)</x:f>
        <x:v>114803.0834622528</x:v>
      </x:c>
      <x:c r="F547" s="10" t="n">
        <x:f>SUMIF('Revenue and costs'!$D$1672:$D$1799,C547,'Revenue and costs'!O1672:O1799)+SUMIF('Revenue and costs'!$D$1672:$D$1799,C547,'Revenue and costs'!P1672:P1799)+SUMIF('Revenue and costs'!$D$1672:$D$1799,C547,'Revenue and costs'!Q1672:Q1799)+SUMIF('Revenue and costs'!$D$1672:$D$1799,C547,'Revenue and costs'!R1672:R1799)+SUMIF('Revenue and costs'!$D$1672:$D$1799,C547,'Revenue and costs'!S1672:S1799)+SUMIF('Revenue and costs'!$D$1672:$D$1799,C547,'Revenue and costs'!T1672:T1799)+SUMIF('Revenue and costs'!$D$1672:$D$1799,C547,'Revenue and costs'!U1672:U1799)+SUMIF('Revenue and costs'!$D$1672:$D$1799,C547,'Revenue and costs'!V1672:V1799)+SUMIF('Revenue and costs'!$D$1672:$D$1799,C547,'Revenue and costs'!AE1672:AE1799)</x:f>
        <x:v>72709.64060403456</x:v>
      </x:c>
      <x:c r="G547" s="10" t="n">
        <x:f>IF('Income statement'!Q50=0,1/39,E547/'Income statement'!Q50)*('Shared costs'!U21+'Assumptions'!$D$18*'Assumptions'!$D$19*12*(1+'Assumptions'!$D$13)^(14-1)*'Assumptions'!$D$21)</x:f>
        <x:v>5400.281339127727</x:v>
      </x:c>
      <x:c r="H547" s="10" t="n">
        <x:f>IF('Income statement'!Q50=0,1/39,E547/'Income statement'!Q50)*'Cash and capital'!Q18</x:f>
        <x:v>22.210388247890137</x:v>
      </x:c>
      <x:c r="I547" s="10" t="n">
        <x:f>E547-F547-G547-H547</x:f>
        <x:v>36670.95113084262</x:v>
      </x:c>
      <x:c r="J547" s="10" t="n">
        <x:f>M508</x:f>
        <x:v>0</x:v>
      </x:c>
      <x:c r="K547" s="10" t="n">
        <x:f>MAX(0,I547-J547)</x:f>
        <x:v>36670.95113084262</x:v>
      </x:c>
      <x:c r="L547" s="10" t="n">
        <x:f>K547*'Assumptions'!$D$12</x:f>
        <x:v>9167.737782710656</x:v>
      </x:c>
      <x:c r="M547" s="10" t="n">
        <x:f>MAX(0,J547-I547)</x:f>
        <x:v>0</x:v>
      </x:c>
    </x:row>
    <x:row r="548" ht="16" customHeight="1">
      <x:c r="A548" s="1"/>
      <x:c r="B548" s="1"/>
      <x:c r="C548" s="1" t="str">
        <x:v>Fiefé</x:v>
      </x:c>
      <x:c r="D548" s="10" t="n">
        <x:v>14</x:v>
      </x:c>
      <x:c r="E548" s="10" t="n">
        <x:f>SUMIF('Revenue and costs'!$D$1672:$D$1799,C548,'Revenue and costs'!N1672:N1799)</x:f>
        <x:v>79992.66452532438</x:v>
      </x:c>
      <x:c r="F548" s="10" t="n">
        <x:f>SUMIF('Revenue and costs'!$D$1672:$D$1799,C548,'Revenue and costs'!O1672:O1799)+SUMIF('Revenue and costs'!$D$1672:$D$1799,C548,'Revenue and costs'!P1672:P1799)+SUMIF('Revenue and costs'!$D$1672:$D$1799,C548,'Revenue and costs'!Q1672:Q1799)+SUMIF('Revenue and costs'!$D$1672:$D$1799,C548,'Revenue and costs'!R1672:R1799)+SUMIF('Revenue and costs'!$D$1672:$D$1799,C548,'Revenue and costs'!S1672:S1799)+SUMIF('Revenue and costs'!$D$1672:$D$1799,C548,'Revenue and costs'!T1672:T1799)+SUMIF('Revenue and costs'!$D$1672:$D$1799,C548,'Revenue and costs'!U1672:U1799)+SUMIF('Revenue and costs'!$D$1672:$D$1799,C548,'Revenue and costs'!V1672:V1799)+SUMIF('Revenue and costs'!$D$1672:$D$1799,C548,'Revenue and costs'!AE1672:AE1799)</x:f>
        <x:v>65965.63022395241</x:v>
      </x:c>
      <x:c r="G548" s="10" t="n">
        <x:f>IF('Income statement'!Q50=0,1/39,E548/'Income statement'!Q50)*('Shared costs'!U21+'Assumptions'!$D$18*'Assumptions'!$D$19*12*(1+'Assumptions'!$D$13)^(14-1)*'Assumptions'!$D$21)</x:f>
        <x:v>3762.816123708467</x:v>
      </x:c>
      <x:c r="H548" s="10" t="n">
        <x:f>IF('Income statement'!Q50=0,1/39,E548/'Income statement'!Q50)*'Cash and capital'!Q18</x:f>
        <x:v>15.475787605259317</x:v>
      </x:c>
      <x:c r="I548" s="10" t="n">
        <x:f>E548-F548-G548-H548</x:f>
        <x:v>10248.742390058242</x:v>
      </x:c>
      <x:c r="J548" s="10" t="n">
        <x:f>M509</x:f>
        <x:v>0</x:v>
      </x:c>
      <x:c r="K548" s="10" t="n">
        <x:f>MAX(0,I548-J548)</x:f>
        <x:v>10248.742390058242</x:v>
      </x:c>
      <x:c r="L548" s="10" t="n">
        <x:f>K548*'Assumptions'!$D$12</x:f>
        <x:v>2562.1855975145604</x:v>
      </x:c>
      <x:c r="M548" s="10" t="n">
        <x:f>MAX(0,J548-I548)</x:f>
        <x:v>0</x:v>
      </x:c>
    </x:row>
    <x:row r="549" ht="16" customHeight="1">
      <x:c r="A549" s="1"/>
      <x:c r="B549" s="1"/>
      <x:c r="C549" s="1" t="str">
        <x:v>Fiefé Design</x:v>
      </x:c>
      <x:c r="D549" s="10" t="n">
        <x:v>14</x:v>
      </x:c>
      <x:c r="E549" s="10" t="n">
        <x:f>SUMIF('Revenue and costs'!$D$1672:$D$1799,C549,'Revenue and costs'!N1672:N1799)</x:f>
        <x:v>49839.666370918625</x:v>
      </x:c>
      <x:c r="F549" s="10" t="n">
        <x:f>SUMIF('Revenue and costs'!$D$1672:$D$1799,C549,'Revenue and costs'!O1672:O1799)+SUMIF('Revenue and costs'!$D$1672:$D$1799,C549,'Revenue and costs'!P1672:P1799)+SUMIF('Revenue and costs'!$D$1672:$D$1799,C549,'Revenue and costs'!Q1672:Q1799)+SUMIF('Revenue and costs'!$D$1672:$D$1799,C549,'Revenue and costs'!R1672:R1799)+SUMIF('Revenue and costs'!$D$1672:$D$1799,C549,'Revenue and costs'!S1672:S1799)+SUMIF('Revenue and costs'!$D$1672:$D$1799,C549,'Revenue and costs'!T1672:T1799)+SUMIF('Revenue and costs'!$D$1672:$D$1799,C549,'Revenue and costs'!U1672:U1799)+SUMIF('Revenue and costs'!$D$1672:$D$1799,C549,'Revenue and costs'!V1672:V1799)+SUMIF('Revenue and costs'!$D$1672:$D$1799,C549,'Revenue and costs'!AE1672:AE1799)</x:f>
        <x:v>38496.158037748144</x:v>
      </x:c>
      <x:c r="G549" s="10" t="n">
        <x:f>IF('Income statement'!Q50=0,1/39,E549/'Income statement'!Q50)*('Shared costs'!U21+'Assumptions'!$D$18*'Assumptions'!$D$19*12*(1+'Assumptions'!$D$13)^(14-1)*'Assumptions'!$D$21)</x:f>
        <x:v>2344.43372193674</x:v>
      </x:c>
      <x:c r="H549" s="10" t="n">
        <x:f>IF('Income statement'!Q50=0,1/39,E549/'Income statement'!Q50)*'Cash and capital'!Q18</x:f>
        <x:v>9.642235268074343</x:v>
      </x:c>
      <x:c r="I549" s="10" t="n">
        <x:f>E549-F549-G549-H549</x:f>
        <x:v>8989.432375965665</x:v>
      </x:c>
      <x:c r="J549" s="10" t="n">
        <x:f>M510</x:f>
        <x:v>0</x:v>
      </x:c>
      <x:c r="K549" s="10" t="n">
        <x:f>MAX(0,I549-J549)</x:f>
        <x:v>8989.432375965665</x:v>
      </x:c>
      <x:c r="L549" s="10" t="n">
        <x:f>K549*'Assumptions'!$D$12</x:f>
        <x:v>2247.3580939914164</x:v>
      </x:c>
      <x:c r="M549" s="10" t="n">
        <x:f>MAX(0,J549-I549)</x:f>
        <x:v>0</x:v>
      </x:c>
    </x:row>
    <x:row r="550" ht="16" customHeight="1">
      <x:c r="A550" s="1"/>
      <x:c r="B550" s="1"/>
      <x:c r="C550" s="1" t="str">
        <x:v>OsezArt</x:v>
      </x:c>
      <x:c r="D550" s="10" t="n">
        <x:v>14</x:v>
      </x:c>
      <x:c r="E550" s="10" t="n">
        <x:f>SUMIF('Revenue and costs'!$D$1672:$D$1799,C550,'Revenue and costs'!N1672:N1799)</x:f>
        <x:v>196212.78795616934</x:v>
      </x:c>
      <x:c r="F550" s="10" t="n">
        <x:f>SUMIF('Revenue and costs'!$D$1672:$D$1799,C550,'Revenue and costs'!O1672:O1799)+SUMIF('Revenue and costs'!$D$1672:$D$1799,C550,'Revenue and costs'!P1672:P1799)+SUMIF('Revenue and costs'!$D$1672:$D$1799,C550,'Revenue and costs'!Q1672:Q1799)+SUMIF('Revenue and costs'!$D$1672:$D$1799,C550,'Revenue and costs'!R1672:R1799)+SUMIF('Revenue and costs'!$D$1672:$D$1799,C550,'Revenue and costs'!S1672:S1799)+SUMIF('Revenue and costs'!$D$1672:$D$1799,C550,'Revenue and costs'!T1672:T1799)+SUMIF('Revenue and costs'!$D$1672:$D$1799,C550,'Revenue and costs'!U1672:U1799)+SUMIF('Revenue and costs'!$D$1672:$D$1799,C550,'Revenue and costs'!V1672:V1799)+SUMIF('Revenue and costs'!$D$1672:$D$1799,C550,'Revenue and costs'!AE1672:AE1799)</x:f>
        <x:v>112120.1834109456</x:v>
      </x:c>
      <x:c r="G550" s="10" t="n">
        <x:f>IF('Income statement'!Q50=0,1/39,E550/'Income statement'!Q50)*('Shared costs'!U21+'Assumptions'!$D$18*'Assumptions'!$D$19*12*(1+'Assumptions'!$D$13)^(14-1)*'Assumptions'!$D$21)</x:f>
        <x:v>9229.75433535567</x:v>
      </x:c>
      <x:c r="H550" s="10" t="n">
        <x:f>IF('Income statement'!Q50=0,1/39,E550/'Income statement'!Q50)*'Cash and capital'!Q18</x:f>
        <x:v>37.96032361047479</x:v>
      </x:c>
      <x:c r="I550" s="10" t="n">
        <x:f>E550-F550-G550-H550</x:f>
        <x:v>74824.8898862576</x:v>
      </x:c>
      <x:c r="J550" s="10" t="n">
        <x:f>M511</x:f>
        <x:v>0</x:v>
      </x:c>
      <x:c r="K550" s="10" t="n">
        <x:f>MAX(0,I550-J550)</x:f>
        <x:v>74824.8898862576</x:v>
      </x:c>
      <x:c r="L550" s="10" t="n">
        <x:f>K550*'Assumptions'!$D$12</x:f>
        <x:v>18706.2224715644</x:v>
      </x:c>
      <x:c r="M550" s="10" t="n">
        <x:f>MAX(0,J550-I550)</x:f>
        <x:v>0</x:v>
      </x:c>
    </x:row>
    <x:row r="551" ht="16" customHeight="1">
      <x:c r="A551" s="1"/>
      <x:c r="B551" s="1"/>
      <x:c r="C551" s="1" t="str">
        <x:v>FinBot research</x:v>
      </x:c>
      <x:c r="D551" s="10" t="n">
        <x:v>14</x:v>
      </x:c>
      <x:c r="E551" s="10" t="n">
        <x:f>SUMIF('Revenue and costs'!$D$1672:$D$1799,C551,'Revenue and costs'!N1672:N1799)</x:f>
        <x:v>9869.233810103851</x:v>
      </x:c>
      <x:c r="F551" s="10" t="n">
        <x:f>SUMIF('Revenue and costs'!$D$1672:$D$1799,C551,'Revenue and costs'!O1672:O1799)+SUMIF('Revenue and costs'!$D$1672:$D$1799,C551,'Revenue and costs'!P1672:P1799)+SUMIF('Revenue and costs'!$D$1672:$D$1799,C551,'Revenue and costs'!Q1672:Q1799)+SUMIF('Revenue and costs'!$D$1672:$D$1799,C551,'Revenue and costs'!R1672:R1799)+SUMIF('Revenue and costs'!$D$1672:$D$1799,C551,'Revenue and costs'!S1672:S1799)+SUMIF('Revenue and costs'!$D$1672:$D$1799,C551,'Revenue and costs'!T1672:T1799)+SUMIF('Revenue and costs'!$D$1672:$D$1799,C551,'Revenue and costs'!U1672:U1799)+SUMIF('Revenue and costs'!$D$1672:$D$1799,C551,'Revenue and costs'!V1672:V1799)+SUMIF('Revenue and costs'!$D$1672:$D$1799,C551,'Revenue and costs'!AE1672:AE1799)</x:f>
        <x:v>6001.769316028738</x:v>
      </x:c>
      <x:c r="G551" s="10" t="n">
        <x:f>IF('Income statement'!Q50=0,1/39,E551/'Income statement'!Q50)*('Shared costs'!U21+'Assumptions'!$D$18*'Assumptions'!$D$19*12*(1+'Assumptions'!$D$13)^(14-1)*'Assumptions'!$D$21)</x:f>
        <x:v>464.24396948986276</x:v>
      </x:c>
      <x:c r="H551" s="10" t="n">
        <x:f>IF('Income statement'!Q50=0,1/39,E551/'Income statement'!Q50)*'Cash and capital'!Q18</x:f>
        <x:v>1.9093521534522482</x:v>
      </x:c>
      <x:c r="I551" s="10" t="n">
        <x:f>E551-F551-G551-H551</x:f>
        <x:v>3401.3111724317982</x:v>
      </x:c>
      <x:c r="J551" s="10" t="n">
        <x:f>M512</x:f>
        <x:v>0</x:v>
      </x:c>
      <x:c r="K551" s="10" t="n">
        <x:f>MAX(0,I551-J551)</x:f>
        <x:v>3401.3111724317982</x:v>
      </x:c>
      <x:c r="L551" s="10" t="n">
        <x:f>K551*'Assumptions'!$D$12</x:f>
        <x:v>850.3277931079496</x:v>
      </x:c>
      <x:c r="M551" s="10" t="n">
        <x:f>MAX(0,J551-I551)</x:f>
        <x:v>0</x:v>
      </x:c>
    </x:row>
    <x:row r="552" ht="16" customHeight="1">
      <x:c r="A552" s="1"/>
      <x:c r="B552" s="1"/>
      <x:c r="C552" s="1" t="str">
        <x:v>Functional Analysis</x:v>
      </x:c>
      <x:c r="D552" s="10" t="n">
        <x:v>14</x:v>
      </x:c>
      <x:c r="E552" s="10" t="n">
        <x:f>SUMIF('Revenue and costs'!$D$1672:$D$1799,C552,'Revenue and costs'!N1672:N1799)</x:f>
        <x:v>21232.519402527098</x:v>
      </x:c>
      <x:c r="F552" s="10" t="n">
        <x:f>SUMIF('Revenue and costs'!$D$1672:$D$1799,C552,'Revenue and costs'!O1672:O1799)+SUMIF('Revenue and costs'!$D$1672:$D$1799,C552,'Revenue and costs'!P1672:P1799)+SUMIF('Revenue and costs'!$D$1672:$D$1799,C552,'Revenue and costs'!Q1672:Q1799)+SUMIF('Revenue and costs'!$D$1672:$D$1799,C552,'Revenue and costs'!R1672:R1799)+SUMIF('Revenue and costs'!$D$1672:$D$1799,C552,'Revenue and costs'!S1672:S1799)+SUMIF('Revenue and costs'!$D$1672:$D$1799,C552,'Revenue and costs'!T1672:T1799)+SUMIF('Revenue and costs'!$D$1672:$D$1799,C552,'Revenue and costs'!U1672:U1799)+SUMIF('Revenue and costs'!$D$1672:$D$1799,C552,'Revenue and costs'!V1672:V1799)+SUMIF('Revenue and costs'!$D$1672:$D$1799,C552,'Revenue and costs'!AE1672:AE1799)</x:f>
        <x:v>11634.789579159999</x:v>
      </x:c>
      <x:c r="G552" s="10" t="n">
        <x:f>IF('Income statement'!Q50=0,1/39,E552/'Income statement'!Q50)*('Shared costs'!U21+'Assumptions'!$D$18*'Assumptions'!$D$19*12*(1+'Assumptions'!$D$13)^(14-1)*'Assumptions'!$D$21)</x:f>
        <x:v>998.767409847795</x:v>
      </x:c>
      <x:c r="H552" s="10" t="n">
        <x:f>IF('Income statement'!Q50=0,1/39,E552/'Income statement'!Q50)*'Cash and capital'!Q18</x:f>
        <x:v>4.107751161283427</x:v>
      </x:c>
      <x:c r="I552" s="10" t="n">
        <x:f>E552-F552-G552-H552</x:f>
        <x:v>8594.85466235802</x:v>
      </x:c>
      <x:c r="J552" s="10" t="n">
        <x:f>M513</x:f>
        <x:v>0</x:v>
      </x:c>
      <x:c r="K552" s="10" t="n">
        <x:f>MAX(0,I552-J552)</x:f>
        <x:v>8594.85466235802</x:v>
      </x:c>
      <x:c r="L552" s="10" t="n">
        <x:f>K552*'Assumptions'!$D$12</x:f>
        <x:v>2148.713665589505</x:v>
      </x:c>
      <x:c r="M552" s="10" t="n">
        <x:f>MAX(0,J552-I552)</x:f>
        <x:v>0</x:v>
      </x:c>
    </x:row>
    <x:row r="553" ht="16" customHeight="1">
      <x:c r="A553" s="1"/>
      <x:c r="B553" s="1"/>
      <x:c r="C553" s="1" t="str">
        <x:v>Independent candy game</x:v>
      </x:c>
      <x:c r="D553" s="10" t="n">
        <x:v>14</x:v>
      </x:c>
      <x:c r="E553" s="10" t="n">
        <x:f>SUMIF('Revenue and costs'!$D$1672:$D$1799,C553,'Revenue and costs'!N1672:N1799)</x:f>
        <x:v>8490.944260761762</x:v>
      </x:c>
      <x:c r="F553" s="10" t="n">
        <x:f>SUMIF('Revenue and costs'!$D$1672:$D$1799,C553,'Revenue and costs'!O1672:O1799)+SUMIF('Revenue and costs'!$D$1672:$D$1799,C553,'Revenue and costs'!P1672:P1799)+SUMIF('Revenue and costs'!$D$1672:$D$1799,C553,'Revenue and costs'!Q1672:Q1799)+SUMIF('Revenue and costs'!$D$1672:$D$1799,C553,'Revenue and costs'!R1672:R1799)+SUMIF('Revenue and costs'!$D$1672:$D$1799,C553,'Revenue and costs'!S1672:S1799)+SUMIF('Revenue and costs'!$D$1672:$D$1799,C553,'Revenue and costs'!T1672:T1799)+SUMIF('Revenue and costs'!$D$1672:$D$1799,C553,'Revenue and costs'!U1672:U1799)+SUMIF('Revenue and costs'!$D$1672:$D$1799,C553,'Revenue and costs'!V1672:V1799)+SUMIF('Revenue and costs'!$D$1672:$D$1799,C553,'Revenue and costs'!AE1672:AE1799)</x:f>
        <x:v>8453.517583975756</x:v>
      </x:c>
      <x:c r="G553" s="10" t="n">
        <x:f>IF('Income statement'!Q50=0,1/39,E553/'Income statement'!Q50)*('Shared costs'!U21+'Assumptions'!$D$18*'Assumptions'!$D$19*12*(1+'Assumptions'!$D$13)^(14-1)*'Assumptions'!$D$21)</x:f>
        <x:v>399.4098978886923</x:v>
      </x:c>
      <x:c r="H553" s="10" t="n">
        <x:f>IF('Income statement'!Q50=0,1/39,E553/'Income statement'!Q50)*'Cash and capital'!Q18</x:f>
        <x:v>1.6427012492632274</x:v>
      </x:c>
      <x:c r="I553" s="10" t="n">
        <x:f>E553-F553-G553-H553</x:f>
        <x:v>-363.6259223519492</x:v>
      </x:c>
      <x:c r="J553" s="10" t="n">
        <x:f>M514</x:f>
        <x:v>668.9584201620353</x:v>
      </x:c>
      <x:c r="K553" s="10" t="n">
        <x:f>MAX(0,I553-J553)</x:f>
        <x:v>0</x:v>
      </x:c>
      <x:c r="L553" s="10" t="n">
        <x:f>K553*'Assumptions'!$D$12</x:f>
        <x:v>0</x:v>
      </x:c>
      <x:c r="M553" s="10" t="n">
        <x:f>MAX(0,J553-I553)</x:f>
        <x:v>1032.5843425139844</x:v>
      </x:c>
    </x:row>
    <x:row r="554" ht="16" customHeight="1">
      <x:c r="A554" s="1"/>
      <x:c r="B554" s="1"/>
      <x:c r="C554" s="1" t="str">
        <x:v>ETV courses</x:v>
      </x:c>
      <x:c r="D554" s="10" t="n">
        <x:v>15</x:v>
      </x:c>
      <x:c r="E554" s="10" t="n">
        <x:f>SUMIF('Revenue and costs'!$D$1800:$D$1927,C554,'Revenue and costs'!N1800:N1927)</x:f>
        <x:v>59872.24331793636</x:v>
      </x:c>
      <x:c r="F554" s="10" t="n">
        <x:f>SUMIF('Revenue and costs'!$D$1800:$D$1927,C554,'Revenue and costs'!O1800:O1927)+SUMIF('Revenue and costs'!$D$1800:$D$1927,C554,'Revenue and costs'!P1800:P1927)+SUMIF('Revenue and costs'!$D$1800:$D$1927,C554,'Revenue and costs'!Q1800:Q1927)+SUMIF('Revenue and costs'!$D$1800:$D$1927,C554,'Revenue and costs'!R1800:R1927)+SUMIF('Revenue and costs'!$D$1800:$D$1927,C554,'Revenue and costs'!S1800:S1927)+SUMIF('Revenue and costs'!$D$1800:$D$1927,C554,'Revenue and costs'!T1800:T1927)+SUMIF('Revenue and costs'!$D$1800:$D$1927,C554,'Revenue and costs'!U1800:U1927)+SUMIF('Revenue and costs'!$D$1800:$D$1927,C554,'Revenue and costs'!V1800:V1927)+SUMIF('Revenue and costs'!$D$1800:$D$1927,C554,'Revenue and costs'!AE1800:AE1927)</x:f>
        <x:v>23227.452051460456</x:v>
      </x:c>
      <x:c r="G554" s="10" t="n">
        <x:f>IF('Income statement'!R50=0,1/39,E554/'Income statement'!R50)*('Shared costs'!V21+'Assumptions'!$D$18*'Assumptions'!$D$19*12*(1+'Assumptions'!$D$13)^(15-1)*'Assumptions'!$D$21)</x:f>
        <x:v>2892.9373423819093</x:v>
      </x:c>
      <x:c r="H554" s="10" t="n">
        <x:f>IF('Income statement'!R50=0,1/39,E554/'Income statement'!R50)*'Cash and capital'!R18</x:f>
        <x:v>11.06984067195801</x:v>
      </x:c>
      <x:c r="I554" s="10" t="n">
        <x:f>E554-F554-G554-H554</x:f>
        <x:v>33740.78408342203</x:v>
      </x:c>
      <x:c r="J554" s="10" t="n">
        <x:f>M515</x:f>
        <x:v>0</x:v>
      </x:c>
      <x:c r="K554" s="10" t="n">
        <x:f>MAX(0,I554-J554)</x:f>
        <x:v>33740.78408342203</x:v>
      </x:c>
      <x:c r="L554" s="10" t="n">
        <x:f>K554*'Assumptions'!$D$12</x:f>
        <x:v>8435.196020855508</x:v>
      </x:c>
      <x:c r="M554" s="10" t="n">
        <x:f>MAX(0,J554-I554)</x:f>
        <x:v>0</x:v>
      </x:c>
    </x:row>
    <x:row r="555" ht="16" customHeight="1">
      <x:c r="A555" s="1"/>
      <x:c r="B555" s="1"/>
      <x:c r="C555" s="1" t="str">
        <x:v>ETV services</x:v>
      </x:c>
      <x:c r="D555" s="10" t="n">
        <x:v>15</x:v>
      </x:c>
      <x:c r="E555" s="10" t="n">
        <x:f>SUMIF('Revenue and costs'!$D$1800:$D$1927,C555,'Revenue and costs'!N1800:N1927)</x:f>
        <x:v>151713.23110284223</x:v>
      </x:c>
      <x:c r="F555" s="10" t="n">
        <x:f>SUMIF('Revenue and costs'!$D$1800:$D$1927,C555,'Revenue and costs'!O1800:O1927)+SUMIF('Revenue and costs'!$D$1800:$D$1927,C555,'Revenue and costs'!P1800:P1927)+SUMIF('Revenue and costs'!$D$1800:$D$1927,C555,'Revenue and costs'!Q1800:Q1927)+SUMIF('Revenue and costs'!$D$1800:$D$1927,C555,'Revenue and costs'!R1800:R1927)+SUMIF('Revenue and costs'!$D$1800:$D$1927,C555,'Revenue and costs'!S1800:S1927)+SUMIF('Revenue and costs'!$D$1800:$D$1927,C555,'Revenue and costs'!T1800:T1927)+SUMIF('Revenue and costs'!$D$1800:$D$1927,C555,'Revenue and costs'!U1800:U1927)+SUMIF('Revenue and costs'!$D$1800:$D$1927,C555,'Revenue and costs'!V1800:V1927)+SUMIF('Revenue and costs'!$D$1800:$D$1927,C555,'Revenue and costs'!AE1800:AE1927)</x:f>
        <x:v>108083.24912514698</x:v>
      </x:c>
      <x:c r="G555" s="10" t="n">
        <x:f>IF('Income statement'!R50=0,1/39,E555/'Income statement'!R50)*('Shared costs'!V21+'Assumptions'!$D$18*'Assumptions'!$D$19*12*(1+'Assumptions'!$D$13)^(15-1)*'Assumptions'!$D$21)</x:f>
        <x:v>7330.556653108493</x:v>
      </x:c>
      <x:c r="H555" s="10" t="n">
        <x:f>IF('Income statement'!R50=0,1/39,E555/'Income statement'!R50)*'Cash and capital'!R18</x:f>
        <x:v>28.050415402311902</x:v>
      </x:c>
      <x:c r="I555" s="10" t="n">
        <x:f>E555-F555-G555-H555</x:f>
        <x:v>36271.374909184444</x:v>
      </x:c>
      <x:c r="J555" s="10" t="n">
        <x:f>M516</x:f>
        <x:v>0</x:v>
      </x:c>
      <x:c r="K555" s="10" t="n">
        <x:f>MAX(0,I555-J555)</x:f>
        <x:v>36271.374909184444</x:v>
      </x:c>
      <x:c r="L555" s="10" t="n">
        <x:f>K555*'Assumptions'!$D$12</x:f>
        <x:v>9067.843727296111</x:v>
      </x:c>
      <x:c r="M555" s="10" t="n">
        <x:f>MAX(0,J555-I555)</x:f>
        <x:v>0</x:v>
      </x:c>
    </x:row>
    <x:row r="556" ht="16" customHeight="1">
      <x:c r="A556" s="1"/>
      <x:c r="B556" s="1"/>
      <x:c r="C556" s="1" t="str">
        <x:v>BPA professional services</x:v>
      </x:c>
      <x:c r="D556" s="10" t="n">
        <x:v>15</x:v>
      </x:c>
      <x:c r="E556" s="10" t="n">
        <x:f>SUMIF('Revenue and costs'!$D$1800:$D$1927,C556,'Revenue and costs'!N1800:N1927)</x:f>
        <x:v>803106.0035836085</x:v>
      </x:c>
      <x:c r="F556" s="10" t="n">
        <x:f>SUMIF('Revenue and costs'!$D$1800:$D$1927,C556,'Revenue and costs'!O1800:O1927)+SUMIF('Revenue and costs'!$D$1800:$D$1927,C556,'Revenue and costs'!P1800:P1927)+SUMIF('Revenue and costs'!$D$1800:$D$1927,C556,'Revenue and costs'!Q1800:Q1927)+SUMIF('Revenue and costs'!$D$1800:$D$1927,C556,'Revenue and costs'!R1800:R1927)+SUMIF('Revenue and costs'!$D$1800:$D$1927,C556,'Revenue and costs'!S1800:S1927)+SUMIF('Revenue and costs'!$D$1800:$D$1927,C556,'Revenue and costs'!T1800:T1927)+SUMIF('Revenue and costs'!$D$1800:$D$1927,C556,'Revenue and costs'!U1800:U1927)+SUMIF('Revenue and costs'!$D$1800:$D$1927,C556,'Revenue and costs'!V1800:V1927)+SUMIF('Revenue and costs'!$D$1800:$D$1927,C556,'Revenue and costs'!AE1800:AE1927)</x:f>
        <x:v>489599.17604008596</x:v>
      </x:c>
      <x:c r="G556" s="10" t="n">
        <x:f>IF('Income statement'!R50=0,1/39,E556/'Income statement'!R50)*('Shared costs'!V21+'Assumptions'!$D$18*'Assumptions'!$D$19*12*(1+'Assumptions'!$D$13)^(15-1)*'Assumptions'!$D$21)</x:f>
        <x:v>38804.88217754992</x:v>
      </x:c>
      <x:c r="H556" s="10" t="n">
        <x:f>IF('Income statement'!R50=0,1/39,E556/'Income statement'!R50)*'Cash and capital'!R18</x:f>
        <x:v>148.48709534991096</x:v>
      </x:c>
      <x:c r="I556" s="10" t="n">
        <x:f>E556-F556-G556-H556</x:f>
        <x:v>274553.4582706227</x:v>
      </x:c>
      <x:c r="J556" s="10" t="n">
        <x:f>M517</x:f>
        <x:v>0</x:v>
      </x:c>
      <x:c r="K556" s="10" t="n">
        <x:f>MAX(0,I556-J556)</x:f>
        <x:v>274553.4582706227</x:v>
      </x:c>
      <x:c r="L556" s="10" t="n">
        <x:f>K556*'Assumptions'!$D$12</x:f>
        <x:v>68638.36456765568</x:v>
      </x:c>
      <x:c r="M556" s="10" t="n">
        <x:f>MAX(0,J556-I556)</x:f>
        <x:v>0</x:v>
      </x:c>
    </x:row>
    <x:row r="557" ht="16" customHeight="1">
      <x:c r="A557" s="1"/>
      <x:c r="B557" s="1"/>
      <x:c r="C557" s="1" t="str">
        <x:v>CornerFlow</x:v>
      </x:c>
      <x:c r="D557" s="10" t="n">
        <x:v>15</x:v>
      </x:c>
      <x:c r="E557" s="10" t="n">
        <x:f>SUMIF('Revenue and costs'!$D$1800:$D$1927,C557,'Revenue and costs'!N1800:N1927)</x:f>
        <x:v>29270.067826157974</x:v>
      </x:c>
      <x:c r="F557" s="10" t="n">
        <x:f>SUMIF('Revenue and costs'!$D$1800:$D$1927,C557,'Revenue and costs'!O1800:O1927)+SUMIF('Revenue and costs'!$D$1800:$D$1927,C557,'Revenue and costs'!P1800:P1927)+SUMIF('Revenue and costs'!$D$1800:$D$1927,C557,'Revenue and costs'!Q1800:Q1927)+SUMIF('Revenue and costs'!$D$1800:$D$1927,C557,'Revenue and costs'!R1800:R1927)+SUMIF('Revenue and costs'!$D$1800:$D$1927,C557,'Revenue and costs'!S1800:S1927)+SUMIF('Revenue and costs'!$D$1800:$D$1927,C557,'Revenue and costs'!T1800:T1927)+SUMIF('Revenue and costs'!$D$1800:$D$1927,C557,'Revenue and costs'!U1800:U1927)+SUMIF('Revenue and costs'!$D$1800:$D$1927,C557,'Revenue and costs'!V1800:V1927)+SUMIF('Revenue and costs'!$D$1800:$D$1927,C557,'Revenue and costs'!AE1800:AE1927)</x:f>
        <x:v>12181.17796324548</x:v>
      </x:c>
      <x:c r="G557" s="10" t="n">
        <x:f>IF('Income statement'!R50=0,1/39,E557/'Income statement'!R50)*('Shared costs'!V21+'Assumptions'!$D$18*'Assumptions'!$D$19*12*(1+'Assumptions'!$D$13)^(15-1)*'Assumptions'!$D$21)</x:f>
        <x:v>1414.2859451363925</x:v>
      </x:c>
      <x:c r="H557" s="10" t="n">
        <x:f>IF('Income statement'!R50=0,1/39,E557/'Income statement'!R50)*'Cash and capital'!R18</x:f>
        <x:v>5.411772957501754</x:v>
      </x:c>
      <x:c r="I557" s="10" t="n">
        <x:f>E557-F557-G557-H557</x:f>
        <x:v>15669.192144818602</x:v>
      </x:c>
      <x:c r="J557" s="10" t="n">
        <x:f>M518</x:f>
        <x:v>0</x:v>
      </x:c>
      <x:c r="K557" s="10" t="n">
        <x:f>MAX(0,I557-J557)</x:f>
        <x:v>15669.192144818602</x:v>
      </x:c>
      <x:c r="L557" s="10" t="n">
        <x:f>K557*'Assumptions'!$D$12</x:f>
        <x:v>3917.2980362046505</x:v>
      </x:c>
      <x:c r="M557" s="10" t="n">
        <x:f>MAX(0,J557-I557)</x:f>
        <x:v>0</x:v>
      </x:c>
    </x:row>
    <x:row r="558" ht="16" customHeight="1">
      <x:c r="A558" s="1"/>
      <x:c r="B558" s="1"/>
      <x:c r="C558" s="1" t="str">
        <x:v>Spindle</x:v>
      </x:c>
      <x:c r="D558" s="10" t="n">
        <x:v>15</x:v>
      </x:c>
      <x:c r="E558" s="10" t="n">
        <x:f>SUMIF('Revenue and costs'!$D$1800:$D$1927,C558,'Revenue and costs'!N1800:N1927)</x:f>
        <x:v>29270.067826157974</x:v>
      </x:c>
      <x:c r="F558" s="10" t="n">
        <x:f>SUMIF('Revenue and costs'!$D$1800:$D$1927,C558,'Revenue and costs'!O1800:O1927)+SUMIF('Revenue and costs'!$D$1800:$D$1927,C558,'Revenue and costs'!P1800:P1927)+SUMIF('Revenue and costs'!$D$1800:$D$1927,C558,'Revenue and costs'!Q1800:Q1927)+SUMIF('Revenue and costs'!$D$1800:$D$1927,C558,'Revenue and costs'!R1800:R1927)+SUMIF('Revenue and costs'!$D$1800:$D$1927,C558,'Revenue and costs'!S1800:S1927)+SUMIF('Revenue and costs'!$D$1800:$D$1927,C558,'Revenue and costs'!T1800:T1927)+SUMIF('Revenue and costs'!$D$1800:$D$1927,C558,'Revenue and costs'!U1800:U1927)+SUMIF('Revenue and costs'!$D$1800:$D$1927,C558,'Revenue and costs'!V1800:V1927)+SUMIF('Revenue and costs'!$D$1800:$D$1927,C558,'Revenue and costs'!AE1800:AE1927)</x:f>
        <x:v>12181.17796324548</x:v>
      </x:c>
      <x:c r="G558" s="10" t="n">
        <x:f>IF('Income statement'!R50=0,1/39,E558/'Income statement'!R50)*('Shared costs'!V21+'Assumptions'!$D$18*'Assumptions'!$D$19*12*(1+'Assumptions'!$D$13)^(15-1)*'Assumptions'!$D$21)</x:f>
        <x:v>1414.2859451363925</x:v>
      </x:c>
      <x:c r="H558" s="10" t="n">
        <x:f>IF('Income statement'!R50=0,1/39,E558/'Income statement'!R50)*'Cash and capital'!R18</x:f>
        <x:v>5.411772957501754</x:v>
      </x:c>
      <x:c r="I558" s="10" t="n">
        <x:f>E558-F558-G558-H558</x:f>
        <x:v>15669.192144818602</x:v>
      </x:c>
      <x:c r="J558" s="10" t="n">
        <x:f>M519</x:f>
        <x:v>0</x:v>
      </x:c>
      <x:c r="K558" s="10" t="n">
        <x:f>MAX(0,I558-J558)</x:f>
        <x:v>15669.192144818602</x:v>
      </x:c>
      <x:c r="L558" s="10" t="n">
        <x:f>K558*'Assumptions'!$D$12</x:f>
        <x:v>3917.2980362046505</x:v>
      </x:c>
      <x:c r="M558" s="10" t="n">
        <x:f>MAX(0,J558-I558)</x:f>
        <x:v>0</x:v>
      </x:c>
    </x:row>
    <x:row r="559" ht="16" customHeight="1">
      <x:c r="A559" s="1"/>
      <x:c r="B559" s="1"/>
      <x:c r="C559" s="1" t="str">
        <x:v>Maison Contour</x:v>
      </x:c>
      <x:c r="D559" s="10" t="n">
        <x:v>15</x:v>
      </x:c>
      <x:c r="E559" s="10" t="n">
        <x:f>SUMIF('Revenue and costs'!$D$1800:$D$1927,C559,'Revenue and costs'!N1800:N1927)</x:f>
        <x:v>41227.95311614903</x:v>
      </x:c>
      <x:c r="F559" s="10" t="n">
        <x:f>SUMIF('Revenue and costs'!$D$1800:$D$1927,C559,'Revenue and costs'!O1800:O1927)+SUMIF('Revenue and costs'!$D$1800:$D$1927,C559,'Revenue and costs'!P1800:P1927)+SUMIF('Revenue and costs'!$D$1800:$D$1927,C559,'Revenue and costs'!Q1800:Q1927)+SUMIF('Revenue and costs'!$D$1800:$D$1927,C559,'Revenue and costs'!R1800:R1927)+SUMIF('Revenue and costs'!$D$1800:$D$1927,C559,'Revenue and costs'!S1800:S1927)+SUMIF('Revenue and costs'!$D$1800:$D$1927,C559,'Revenue and costs'!T1800:T1927)+SUMIF('Revenue and costs'!$D$1800:$D$1927,C559,'Revenue and costs'!U1800:U1927)+SUMIF('Revenue and costs'!$D$1800:$D$1927,C559,'Revenue and costs'!V1800:V1927)+SUMIF('Revenue and costs'!$D$1800:$D$1927,C559,'Revenue and costs'!AE1800:AE1927)</x:f>
        <x:v>13136.576014765385</x:v>
      </x:c>
      <x:c r="G559" s="10" t="n">
        <x:f>IF('Income statement'!R50=0,1/39,E559/'Income statement'!R50)*('Shared costs'!V21+'Assumptions'!$D$18*'Assumptions'!$D$19*12*(1+'Assumptions'!$D$13)^(15-1)*'Assumptions'!$D$21)</x:f>
        <x:v>1992.0730961478373</x:v>
      </x:c>
      <x:c r="H559" s="10" t="n">
        <x:f>IF('Income statement'!R50=0,1/39,E559/'Income statement'!R50)*'Cash and capital'!R18</x:f>
        <x:v>7.622678672706446</x:v>
      </x:c>
      <x:c r="I559" s="10" t="n">
        <x:f>E559-F559-G559-H559</x:f>
        <x:v>26091.681326563103</x:v>
      </x:c>
      <x:c r="J559" s="10" t="n">
        <x:f>M520</x:f>
        <x:v>0</x:v>
      </x:c>
      <x:c r="K559" s="10" t="n">
        <x:f>MAX(0,I559-J559)</x:f>
        <x:v>26091.681326563103</x:v>
      </x:c>
      <x:c r="L559" s="10" t="n">
        <x:f>K559*'Assumptions'!$D$12</x:f>
        <x:v>6522.920331640776</x:v>
      </x:c>
      <x:c r="M559" s="10" t="n">
        <x:f>MAX(0,J559-I559)</x:f>
        <x:v>0</x:v>
      </x:c>
    </x:row>
    <x:row r="560" ht="16" customHeight="1">
      <x:c r="A560" s="1"/>
      <x:c r="B560" s="1"/>
      <x:c r="C560" s="1" t="str">
        <x:v>DishLoom US</x:v>
      </x:c>
      <x:c r="D560" s="10" t="n">
        <x:v>15</x:v>
      </x:c>
      <x:c r="E560" s="10" t="n">
        <x:f>SUMIF('Revenue and costs'!$D$1800:$D$1927,C560,'Revenue and costs'!N1800:N1927)</x:f>
        <x:v>37667.338663471826</x:v>
      </x:c>
      <x:c r="F560" s="10" t="n">
        <x:f>SUMIF('Revenue and costs'!$D$1800:$D$1927,C560,'Revenue and costs'!O1800:O1927)+SUMIF('Revenue and costs'!$D$1800:$D$1927,C560,'Revenue and costs'!P1800:P1927)+SUMIF('Revenue and costs'!$D$1800:$D$1927,C560,'Revenue and costs'!Q1800:Q1927)+SUMIF('Revenue and costs'!$D$1800:$D$1927,C560,'Revenue and costs'!R1800:R1927)+SUMIF('Revenue and costs'!$D$1800:$D$1927,C560,'Revenue and costs'!S1800:S1927)+SUMIF('Revenue and costs'!$D$1800:$D$1927,C560,'Revenue and costs'!T1800:T1927)+SUMIF('Revenue and costs'!$D$1800:$D$1927,C560,'Revenue and costs'!U1800:U1927)+SUMIF('Revenue and costs'!$D$1800:$D$1927,C560,'Revenue and costs'!V1800:V1927)+SUMIF('Revenue and costs'!$D$1800:$D$1927,C560,'Revenue and costs'!AE1800:AE1927)</x:f>
        <x:v>26139.654964499205</x:v>
      </x:c>
      <x:c r="G560" s="10" t="n">
        <x:f>IF('Income statement'!R50=0,1/39,E560/'Income statement'!R50)*('Shared costs'!V21+'Assumptions'!$D$18*'Assumptions'!$D$19*12*(1+'Assumptions'!$D$13)^(15-1)*'Assumptions'!$D$21)</x:f>
        <x:v>1820.0295256860506</x:v>
      </x:c>
      <x:c r="H560" s="10" t="n">
        <x:f>IF('Income statement'!R50=0,1/39,E560/'Income statement'!R50)*'Cash and capital'!R18</x:f>
        <x:v>6.964353002894778</x:v>
      </x:c>
      <x:c r="I560" s="10" t="n">
        <x:f>E560-F560-G560-H560</x:f>
        <x:v>9700.689820283676</x:v>
      </x:c>
      <x:c r="J560" s="10" t="n">
        <x:f>M521</x:f>
        <x:v>0</x:v>
      </x:c>
      <x:c r="K560" s="10" t="n">
        <x:f>MAX(0,I560-J560)</x:f>
        <x:v>9700.689820283676</x:v>
      </x:c>
      <x:c r="L560" s="10" t="n">
        <x:f>K560*'Assumptions'!$D$12</x:f>
        <x:v>2425.172455070919</x:v>
      </x:c>
      <x:c r="M560" s="10" t="n">
        <x:f>MAX(0,J560-I560)</x:f>
        <x:v>0</x:v>
      </x:c>
    </x:row>
    <x:row r="561" ht="16" customHeight="1">
      <x:c r="A561" s="1"/>
      <x:c r="B561" s="1"/>
      <x:c r="C561" s="1" t="str">
        <x:v>Is Makes Travel Easy</x:v>
      </x:c>
      <x:c r="D561" s="10" t="n">
        <x:v>15</x:v>
      </x:c>
      <x:c r="E561" s="10" t="n">
        <x:f>SUMIF('Revenue and costs'!$D$1800:$D$1927,C561,'Revenue and costs'!N1800:N1927)</x:f>
        <x:v>63865.34275785302</x:v>
      </x:c>
      <x:c r="F561" s="10" t="n">
        <x:f>SUMIF('Revenue and costs'!$D$1800:$D$1927,C561,'Revenue and costs'!O1800:O1927)+SUMIF('Revenue and costs'!$D$1800:$D$1927,C561,'Revenue and costs'!P1800:P1927)+SUMIF('Revenue and costs'!$D$1800:$D$1927,C561,'Revenue and costs'!Q1800:Q1927)+SUMIF('Revenue and costs'!$D$1800:$D$1927,C561,'Revenue and costs'!R1800:R1927)+SUMIF('Revenue and costs'!$D$1800:$D$1927,C561,'Revenue and costs'!S1800:S1927)+SUMIF('Revenue and costs'!$D$1800:$D$1927,C561,'Revenue and costs'!T1800:T1927)+SUMIF('Revenue and costs'!$D$1800:$D$1927,C561,'Revenue and costs'!U1800:U1927)+SUMIF('Revenue and costs'!$D$1800:$D$1927,C561,'Revenue and costs'!V1800:V1927)+SUMIF('Revenue and costs'!$D$1800:$D$1927,C561,'Revenue and costs'!AE1800:AE1927)</x:f>
        <x:v>37347.66726634336</x:v>
      </x:c>
      <x:c r="G561" s="10" t="n">
        <x:f>IF('Income statement'!R50=0,1/39,E561/'Income statement'!R50)*('Shared costs'!V21+'Assumptions'!$D$18*'Assumptions'!$D$19*12*(1+'Assumptions'!$D$13)^(15-1)*'Assumptions'!$D$21)</x:f>
        <x:v>3085.877941254017</x:v>
      </x:c>
      <x:c r="H561" s="10" t="n">
        <x:f>IF('Income statement'!R50=0,1/39,E561/'Income statement'!R50)*'Cash and capital'!R18</x:f>
        <x:v>11.808128936061186</x:v>
      </x:c>
      <x:c r="I561" s="10" t="n">
        <x:f>E561-F561-G561-H561</x:f>
        <x:v>23419.989421319584</x:v>
      </x:c>
      <x:c r="J561" s="10" t="n">
        <x:f>M522</x:f>
        <x:v>0</x:v>
      </x:c>
      <x:c r="K561" s="10" t="n">
        <x:f>MAX(0,I561-J561)</x:f>
        <x:v>23419.989421319584</x:v>
      </x:c>
      <x:c r="L561" s="10" t="n">
        <x:f>K561*'Assumptions'!$D$12</x:f>
        <x:v>5854.997355329896</x:v>
      </x:c>
      <x:c r="M561" s="10" t="n">
        <x:f>MAX(0,J561-I561)</x:f>
        <x:v>0</x:v>
      </x:c>
    </x:row>
    <x:row r="562" ht="16" customHeight="1">
      <x:c r="A562" s="1"/>
      <x:c r="B562" s="1"/>
      <x:c r="C562" s="1" t="str">
        <x:v>Turbo Tax - Made Easy!</x:v>
      </x:c>
      <x:c r="D562" s="10" t="n">
        <x:v>15</x:v>
      </x:c>
      <x:c r="E562" s="10" t="n">
        <x:f>SUMIF('Revenue and costs'!$D$1800:$D$1927,C562,'Revenue and costs'!N1800:N1927)</x:f>
        <x:v>146224.36706760075</x:v>
      </x:c>
      <x:c r="F562" s="10" t="n">
        <x:f>SUMIF('Revenue and costs'!$D$1800:$D$1927,C562,'Revenue and costs'!O1800:O1927)+SUMIF('Revenue and costs'!$D$1800:$D$1927,C562,'Revenue and costs'!P1800:P1927)+SUMIF('Revenue and costs'!$D$1800:$D$1927,C562,'Revenue and costs'!Q1800:Q1927)+SUMIF('Revenue and costs'!$D$1800:$D$1927,C562,'Revenue and costs'!R1800:R1927)+SUMIF('Revenue and costs'!$D$1800:$D$1927,C562,'Revenue and costs'!S1800:S1927)+SUMIF('Revenue and costs'!$D$1800:$D$1927,C562,'Revenue and costs'!T1800:T1927)+SUMIF('Revenue and costs'!$D$1800:$D$1927,C562,'Revenue and costs'!U1800:U1927)+SUMIF('Revenue and costs'!$D$1800:$D$1927,C562,'Revenue and costs'!V1800:V1927)+SUMIF('Revenue and costs'!$D$1800:$D$1927,C562,'Revenue and costs'!AE1800:AE1927)</x:f>
        <x:v>44405.825451438366</x:v>
      </x:c>
      <x:c r="G562" s="10" t="n">
        <x:f>IF('Income statement'!R50=0,1/39,E562/'Income statement'!R50)*('Shared costs'!V21+'Assumptions'!$D$18*'Assumptions'!$D$19*12*(1+'Assumptions'!$D$13)^(15-1)*'Assumptions'!$D$21)</x:f>
        <x:v>7065.342943802729</x:v>
      </x:c>
      <x:c r="H562" s="10" t="n">
        <x:f>IF('Income statement'!R50=0,1/39,E562/'Income statement'!R50)*'Cash and capital'!R18</x:f>
        <x:v>27.035573683128128</x:v>
      </x:c>
      <x:c r="I562" s="10" t="n">
        <x:f>E562-F562-G562-H562</x:f>
        <x:v>94726.16309867652</x:v>
      </x:c>
      <x:c r="J562" s="10" t="n">
        <x:f>M523</x:f>
        <x:v>0</x:v>
      </x:c>
      <x:c r="K562" s="10" t="n">
        <x:f>MAX(0,I562-J562)</x:f>
        <x:v>94726.16309867652</x:v>
      </x:c>
      <x:c r="L562" s="10" t="n">
        <x:f>K562*'Assumptions'!$D$12</x:f>
        <x:v>23681.54077466913</x:v>
      </x:c>
      <x:c r="M562" s="10" t="n">
        <x:f>MAX(0,J562-I562)</x:f>
        <x:v>0</x:v>
      </x:c>
    </x:row>
    <x:row r="563" ht="16" customHeight="1">
      <x:c r="A563" s="1"/>
      <x:c r="B563" s="1"/>
      <x:c r="C563" s="1" t="str">
        <x:v>LavaLearning adult</x:v>
      </x:c>
      <x:c r="D563" s="10" t="n">
        <x:v>15</x:v>
      </x:c>
      <x:c r="E563" s="10" t="n">
        <x:f>SUMIF('Revenue and costs'!$D$1800:$D$1927,C563,'Revenue and costs'!N1800:N1927)</x:f>
        <x:v>80012.43488263154</x:v>
      </x:c>
      <x:c r="F563" s="10" t="n">
        <x:f>SUMIF('Revenue and costs'!$D$1800:$D$1927,C563,'Revenue and costs'!O1800:O1927)+SUMIF('Revenue and costs'!$D$1800:$D$1927,C563,'Revenue and costs'!P1800:P1927)+SUMIF('Revenue and costs'!$D$1800:$D$1927,C563,'Revenue and costs'!Q1800:Q1927)+SUMIF('Revenue and costs'!$D$1800:$D$1927,C563,'Revenue and costs'!R1800:R1927)+SUMIF('Revenue and costs'!$D$1800:$D$1927,C563,'Revenue and costs'!S1800:S1927)+SUMIF('Revenue and costs'!$D$1800:$D$1927,C563,'Revenue and costs'!T1800:T1927)+SUMIF('Revenue and costs'!$D$1800:$D$1927,C563,'Revenue and costs'!U1800:U1927)+SUMIF('Revenue and costs'!$D$1800:$D$1927,C563,'Revenue and costs'!V1800:V1927)+SUMIF('Revenue and costs'!$D$1800:$D$1927,C563,'Revenue and costs'!AE1800:AE1927)</x:f>
        <x:v>33761.03217629063</x:v>
      </x:c>
      <x:c r="G563" s="10" t="n">
        <x:f>IF('Income statement'!R50=0,1/39,E563/'Income statement'!R50)*('Shared costs'!V21+'Assumptions'!$D$18*'Assumptions'!$D$19*12*(1+'Assumptions'!$D$13)^(15-1)*'Assumptions'!$D$21)</x:f>
        <x:v>3866.0813074549064</x:v>
      </x:c>
      <x:c r="H563" s="10" t="n">
        <x:f>IF('Income statement'!R50=0,1/39,E563/'Income statement'!R50)*'Cash and capital'!R18</x:f>
        <x:v>14.793581413389324</x:v>
      </x:c>
      <x:c r="I563" s="10" t="n">
        <x:f>E563-F563-G563-H563</x:f>
        <x:v>42370.52781747261</x:v>
      </x:c>
      <x:c r="J563" s="10" t="n">
        <x:f>M524</x:f>
        <x:v>0</x:v>
      </x:c>
      <x:c r="K563" s="10" t="n">
        <x:f>MAX(0,I563-J563)</x:f>
        <x:v>42370.52781747261</x:v>
      </x:c>
      <x:c r="L563" s="10" t="n">
        <x:f>K563*'Assumptions'!$D$12</x:f>
        <x:v>10592.631954368153</x:v>
      </x:c>
      <x:c r="M563" s="10" t="n">
        <x:f>MAX(0,J563-I563)</x:f>
        <x:v>0</x:v>
      </x:c>
    </x:row>
    <x:row r="564" ht="16" customHeight="1">
      <x:c r="A564" s="1"/>
      <x:c r="B564" s="1"/>
      <x:c r="C564" s="1" t="str">
        <x:v>LavaLearning Model Life</x:v>
      </x:c>
      <x:c r="D564" s="10" t="n">
        <x:v>15</x:v>
      </x:c>
      <x:c r="E564" s="10" t="n">
        <x:f>SUMIF('Revenue and costs'!$D$1800:$D$1927,C564,'Revenue and costs'!N1800:N1927)</x:f>
        <x:v>0</x:v>
      </x:c>
      <x:c r="F564" s="10" t="n">
        <x:f>SUMIF('Revenue and costs'!$D$1800:$D$1927,C564,'Revenue and costs'!O1800:O1927)+SUMIF('Revenue and costs'!$D$1800:$D$1927,C564,'Revenue and costs'!P1800:P1927)+SUMIF('Revenue and costs'!$D$1800:$D$1927,C564,'Revenue and costs'!Q1800:Q1927)+SUMIF('Revenue and costs'!$D$1800:$D$1927,C564,'Revenue and costs'!R1800:R1927)+SUMIF('Revenue and costs'!$D$1800:$D$1927,C564,'Revenue and costs'!S1800:S1927)+SUMIF('Revenue and costs'!$D$1800:$D$1927,C564,'Revenue and costs'!T1800:T1927)+SUMIF('Revenue and costs'!$D$1800:$D$1927,C564,'Revenue and costs'!U1800:U1927)+SUMIF('Revenue and costs'!$D$1800:$D$1927,C564,'Revenue and costs'!V1800:V1927)+SUMIF('Revenue and costs'!$D$1800:$D$1927,C564,'Revenue and costs'!AE1800:AE1927)</x:f>
        <x:v>0</x:v>
      </x:c>
      <x:c r="G564" s="10" t="n">
        <x:f>IF('Income statement'!R50=0,1/39,E564/'Income statement'!R50)*('Shared costs'!V21+'Assumptions'!$D$18*'Assumptions'!$D$19*12*(1+'Assumptions'!$D$13)^(15-1)*'Assumptions'!$D$21)</x:f>
        <x:v>0</x:v>
      </x:c>
      <x:c r="H564" s="10" t="n">
        <x:f>IF('Income statement'!R50=0,1/39,E564/'Income statement'!R50)*'Cash and capital'!R18</x:f>
        <x:v>0</x:v>
      </x:c>
      <x:c r="I564" s="10" t="n">
        <x:f>E564-F564-G564-H564</x:f>
        <x:v>0</x:v>
      </x:c>
      <x:c r="J564" s="10" t="n">
        <x:f>M525</x:f>
        <x:v>0</x:v>
      </x:c>
      <x:c r="K564" s="10" t="n">
        <x:f>MAX(0,I564-J564)</x:f>
        <x:v>0</x:v>
      </x:c>
      <x:c r="L564" s="10" t="n">
        <x:f>K564*'Assumptions'!$D$12</x:f>
        <x:v>0</x:v>
      </x:c>
      <x:c r="M564" s="10" t="n">
        <x:f>MAX(0,J564-I564)</x:f>
        <x:v>0</x:v>
      </x:c>
    </x:row>
    <x:row r="565" ht="16" customHeight="1">
      <x:c r="A565" s="1"/>
      <x:c r="B565" s="1"/>
      <x:c r="C565" s="1" t="str">
        <x:v>LavaLearning Kids</x:v>
      </x:c>
      <x:c r="D565" s="10" t="n">
        <x:v>15</x:v>
      </x:c>
      <x:c r="E565" s="10" t="n">
        <x:f>SUMIF('Revenue and costs'!$D$1800:$D$1927,C565,'Revenue and costs'!N1800:N1927)</x:f>
        <x:v>33966.16178334438</x:v>
      </x:c>
      <x:c r="F565" s="10" t="n">
        <x:f>SUMIF('Revenue and costs'!$D$1800:$D$1927,C565,'Revenue and costs'!O1800:O1927)+SUMIF('Revenue and costs'!$D$1800:$D$1927,C565,'Revenue and costs'!P1800:P1927)+SUMIF('Revenue and costs'!$D$1800:$D$1927,C565,'Revenue and costs'!Q1800:Q1927)+SUMIF('Revenue and costs'!$D$1800:$D$1927,C565,'Revenue and costs'!R1800:R1927)+SUMIF('Revenue and costs'!$D$1800:$D$1927,C565,'Revenue and costs'!S1800:S1927)+SUMIF('Revenue and costs'!$D$1800:$D$1927,C565,'Revenue and costs'!T1800:T1927)+SUMIF('Revenue and costs'!$D$1800:$D$1927,C565,'Revenue and costs'!U1800:U1927)+SUMIF('Revenue and costs'!$D$1800:$D$1927,C565,'Revenue and costs'!V1800:V1927)+SUMIF('Revenue and costs'!$D$1800:$D$1927,C565,'Revenue and costs'!AE1800:AE1927)</x:f>
        <x:v>20925.695037069232</x:v>
      </x:c>
      <x:c r="G565" s="10" t="n">
        <x:f>IF('Income statement'!R50=0,1/39,E565/'Income statement'!R50)*('Shared costs'!V21+'Assumptions'!$D$18*'Assumptions'!$D$19*12*(1+'Assumptions'!$D$13)^(15-1)*'Assumptions'!$D$21)</x:f>
        <x:v>1641.1941887433043</x:v>
      </x:c>
      <x:c r="H565" s="10" t="n">
        <x:f>IF('Income statement'!R50=0,1/39,E565/'Income statement'!R50)*'Cash and capital'!R18</x:f>
        <x:v>6.280038601241627</x:v>
      </x:c>
      <x:c r="I565" s="10" t="n">
        <x:f>E565-F565-G565-H565</x:f>
        <x:v>11392.992518930603</x:v>
      </x:c>
      <x:c r="J565" s="10" t="n">
        <x:f>M526</x:f>
        <x:v>0</x:v>
      </x:c>
      <x:c r="K565" s="10" t="n">
        <x:f>MAX(0,I565-J565)</x:f>
        <x:v>11392.992518930603</x:v>
      </x:c>
      <x:c r="L565" s="10" t="n">
        <x:f>K565*'Assumptions'!$D$12</x:f>
        <x:v>2848.248129732651</x:v>
      </x:c>
      <x:c r="M565" s="10" t="n">
        <x:f>MAX(0,J565-I565)</x:f>
        <x:v>0</x:v>
      </x:c>
    </x:row>
    <x:row r="566" ht="16" customHeight="1">
      <x:c r="A566" s="1"/>
      <x:c r="B566" s="1"/>
      <x:c r="C566" s="1" t="str">
        <x:v>VraiSkill adult</x:v>
      </x:c>
      <x:c r="D566" s="10" t="n">
        <x:v>15</x:v>
      </x:c>
      <x:c r="E566" s="10" t="n">
        <x:f>SUMIF('Revenue and costs'!$D$1800:$D$1927,C566,'Revenue and costs'!N1800:N1927)</x:f>
        <x:v>64321.18428703438</x:v>
      </x:c>
      <x:c r="F566" s="10" t="n">
        <x:f>SUMIF('Revenue and costs'!$D$1800:$D$1927,C566,'Revenue and costs'!O1800:O1927)+SUMIF('Revenue and costs'!$D$1800:$D$1927,C566,'Revenue and costs'!P1800:P1927)+SUMIF('Revenue and costs'!$D$1800:$D$1927,C566,'Revenue and costs'!Q1800:Q1927)+SUMIF('Revenue and costs'!$D$1800:$D$1927,C566,'Revenue and costs'!R1800:R1927)+SUMIF('Revenue and costs'!$D$1800:$D$1927,C566,'Revenue and costs'!S1800:S1927)+SUMIF('Revenue and costs'!$D$1800:$D$1927,C566,'Revenue and costs'!T1800:T1927)+SUMIF('Revenue and costs'!$D$1800:$D$1927,C566,'Revenue and costs'!U1800:U1927)+SUMIF('Revenue and costs'!$D$1800:$D$1927,C566,'Revenue and costs'!V1800:V1927)+SUMIF('Revenue and costs'!$D$1800:$D$1927,C566,'Revenue and costs'!AE1800:AE1927)</x:f>
        <x:v>53099.10451697597</x:v>
      </x:c>
      <x:c r="G566" s="10" t="n">
        <x:f>IF('Income statement'!R50=0,1/39,E566/'Income statement'!R50)*('Shared costs'!V21+'Assumptions'!$D$18*'Assumptions'!$D$19*12*(1+'Assumptions'!$D$13)^(15-1)*'Assumptions'!$D$21)</x:f>
        <x:v>3107.9035228741095</x:v>
      </x:c>
      <x:c r="H566" s="10" t="n">
        <x:f>IF('Income statement'!R50=0,1/39,E566/'Income statement'!R50)*'Cash and capital'!R18</x:f>
        <x:v>11.892409945424797</x:v>
      </x:c>
      <x:c r="I566" s="10" t="n">
        <x:f>E566-F566-G566-H566</x:f>
        <x:v>8102.283837238881</x:v>
      </x:c>
      <x:c r="J566" s="10" t="n">
        <x:f>M527</x:f>
        <x:v>0</x:v>
      </x:c>
      <x:c r="K566" s="10" t="n">
        <x:f>MAX(0,I566-J566)</x:f>
        <x:v>8102.283837238881</x:v>
      </x:c>
      <x:c r="L566" s="10" t="n">
        <x:f>K566*'Assumptions'!$D$12</x:f>
        <x:v>2025.5709593097201</x:v>
      </x:c>
      <x:c r="M566" s="10" t="n">
        <x:f>MAX(0,J566-I566)</x:f>
        <x:v>0</x:v>
      </x:c>
    </x:row>
    <x:row r="567" ht="16" customHeight="1">
      <x:c r="A567" s="1"/>
      <x:c r="B567" s="1"/>
      <x:c r="C567" s="1" t="str">
        <x:v>VraiSkill teen</x:v>
      </x:c>
      <x:c r="D567" s="10" t="n">
        <x:v>15</x:v>
      </x:c>
      <x:c r="E567" s="10" t="n">
        <x:f>SUMIF('Revenue and costs'!$D$1800:$D$1927,C567,'Revenue and costs'!N1800:N1927)</x:f>
        <x:v>28603.083607026834</x:v>
      </x:c>
      <x:c r="F567" s="10" t="n">
        <x:f>SUMIF('Revenue and costs'!$D$1800:$D$1927,C567,'Revenue and costs'!O1800:O1927)+SUMIF('Revenue and costs'!$D$1800:$D$1927,C567,'Revenue and costs'!P1800:P1927)+SUMIF('Revenue and costs'!$D$1800:$D$1927,C567,'Revenue and costs'!Q1800:Q1927)+SUMIF('Revenue and costs'!$D$1800:$D$1927,C567,'Revenue and costs'!R1800:R1927)+SUMIF('Revenue and costs'!$D$1800:$D$1927,C567,'Revenue and costs'!S1800:S1927)+SUMIF('Revenue and costs'!$D$1800:$D$1927,C567,'Revenue and costs'!T1800:T1927)+SUMIF('Revenue and costs'!$D$1800:$D$1927,C567,'Revenue and costs'!U1800:U1927)+SUMIF('Revenue and costs'!$D$1800:$D$1927,C567,'Revenue and costs'!V1800:V1927)+SUMIF('Revenue and costs'!$D$1800:$D$1927,C567,'Revenue and costs'!AE1800:AE1927)</x:f>
        <x:v>14547.574268754615</x:v>
      </x:c>
      <x:c r="G567" s="10" t="n">
        <x:f>IF('Income statement'!R50=0,1/39,E567/'Income statement'!R50)*('Shared costs'!V21+'Assumptions'!$D$18*'Assumptions'!$D$19*12*(1+'Assumptions'!$D$13)^(15-1)*'Assumptions'!$D$21)</x:f>
        <x:v>1382.058264204887</x:v>
      </x:c>
      <x:c r="H567" s="10" t="n">
        <x:f>IF('Income statement'!R50=0,1/39,E567/'Income statement'!R50)*'Cash and capital'!R18</x:f>
        <x:v>5.288453558940316</x:v>
      </x:c>
      <x:c r="I567" s="10" t="n">
        <x:f>E567-F567-G567-H567</x:f>
        <x:v>12668.162620508392</x:v>
      </x:c>
      <x:c r="J567" s="10" t="n">
        <x:f>M528</x:f>
        <x:v>0</x:v>
      </x:c>
      <x:c r="K567" s="10" t="n">
        <x:f>MAX(0,I567-J567)</x:f>
        <x:v>12668.162620508392</x:v>
      </x:c>
      <x:c r="L567" s="10" t="n">
        <x:f>K567*'Assumptions'!$D$12</x:f>
        <x:v>3167.040655127098</x:v>
      </x:c>
      <x:c r="M567" s="10" t="n">
        <x:f>MAX(0,J567-I567)</x:f>
        <x:v>0</x:v>
      </x:c>
    </x:row>
    <x:row r="568" ht="16" customHeight="1">
      <x:c r="A568" s="1"/>
      <x:c r="B568" s="1"/>
      <x:c r="C568" s="1" t="str">
        <x:v>VraiSkill Model Life</x:v>
      </x:c>
      <x:c r="D568" s="10" t="n">
        <x:v>15</x:v>
      </x:c>
      <x:c r="E568" s="10" t="n">
        <x:f>SUMIF('Revenue and costs'!$D$1800:$D$1927,C568,'Revenue and costs'!N1800:N1927)</x:f>
        <x:v>0</x:v>
      </x:c>
      <x:c r="F568" s="10" t="n">
        <x:f>SUMIF('Revenue and costs'!$D$1800:$D$1927,C568,'Revenue and costs'!O1800:O1927)+SUMIF('Revenue and costs'!$D$1800:$D$1927,C568,'Revenue and costs'!P1800:P1927)+SUMIF('Revenue and costs'!$D$1800:$D$1927,C568,'Revenue and costs'!Q1800:Q1927)+SUMIF('Revenue and costs'!$D$1800:$D$1927,C568,'Revenue and costs'!R1800:R1927)+SUMIF('Revenue and costs'!$D$1800:$D$1927,C568,'Revenue and costs'!S1800:S1927)+SUMIF('Revenue and costs'!$D$1800:$D$1927,C568,'Revenue and costs'!T1800:T1927)+SUMIF('Revenue and costs'!$D$1800:$D$1927,C568,'Revenue and costs'!U1800:U1927)+SUMIF('Revenue and costs'!$D$1800:$D$1927,C568,'Revenue and costs'!V1800:V1927)+SUMIF('Revenue and costs'!$D$1800:$D$1927,C568,'Revenue and costs'!AE1800:AE1927)</x:f>
        <x:v>0</x:v>
      </x:c>
      <x:c r="G568" s="10" t="n">
        <x:f>IF('Income statement'!R50=0,1/39,E568/'Income statement'!R50)*('Shared costs'!V21+'Assumptions'!$D$18*'Assumptions'!$D$19*12*(1+'Assumptions'!$D$13)^(15-1)*'Assumptions'!$D$21)</x:f>
        <x:v>0</x:v>
      </x:c>
      <x:c r="H568" s="10" t="n">
        <x:f>IF('Income statement'!R50=0,1/39,E568/'Income statement'!R50)*'Cash and capital'!R18</x:f>
        <x:v>0</x:v>
      </x:c>
      <x:c r="I568" s="10" t="n">
        <x:f>E568-F568-G568-H568</x:f>
        <x:v>0</x:v>
      </x:c>
      <x:c r="J568" s="10" t="n">
        <x:f>M529</x:f>
        <x:v>0</x:v>
      </x:c>
      <x:c r="K568" s="10" t="n">
        <x:f>MAX(0,I568-J568)</x:f>
        <x:v>0</x:v>
      </x:c>
      <x:c r="L568" s="10" t="n">
        <x:f>K568*'Assumptions'!$D$12</x:f>
        <x:v>0</x:v>
      </x:c>
      <x:c r="M568" s="10" t="n">
        <x:f>MAX(0,J568-I568)</x:f>
        <x:v>0</x:v>
      </x:c>
    </x:row>
    <x:row r="569" ht="16" customHeight="1">
      <x:c r="A569" s="1"/>
      <x:c r="B569" s="1"/>
      <x:c r="C569" s="1" t="str">
        <x:v>Model Life</x:v>
      </x:c>
      <x:c r="D569" s="10" t="n">
        <x:v>15</x:v>
      </x:c>
      <x:c r="E569" s="10" t="n">
        <x:f>SUMIF('Revenue and costs'!$D$1800:$D$1927,C569,'Revenue and costs'!N1800:N1927)</x:f>
        <x:v>108418.15996258557</x:v>
      </x:c>
      <x:c r="F569" s="10" t="n">
        <x:f>SUMIF('Revenue and costs'!$D$1800:$D$1927,C569,'Revenue and costs'!O1800:O1927)+SUMIF('Revenue and costs'!$D$1800:$D$1927,C569,'Revenue and costs'!P1800:P1927)+SUMIF('Revenue and costs'!$D$1800:$D$1927,C569,'Revenue and costs'!Q1800:Q1927)+SUMIF('Revenue and costs'!$D$1800:$D$1927,C569,'Revenue and costs'!R1800:R1927)+SUMIF('Revenue and costs'!$D$1800:$D$1927,C569,'Revenue and costs'!S1800:S1927)+SUMIF('Revenue and costs'!$D$1800:$D$1927,C569,'Revenue and costs'!T1800:T1927)+SUMIF('Revenue and costs'!$D$1800:$D$1927,C569,'Revenue and costs'!U1800:U1927)+SUMIF('Revenue and costs'!$D$1800:$D$1927,C569,'Revenue and costs'!V1800:V1927)+SUMIF('Revenue and costs'!$D$1800:$D$1927,C569,'Revenue and costs'!AE1800:AE1927)</x:f>
        <x:v>36149.65073469786</x:v>
      </x:c>
      <x:c r="G569" s="10" t="n">
        <x:f>IF('Income statement'!R50=0,1/39,E569/'Income statement'!R50)*('Shared costs'!V21+'Assumptions'!$D$18*'Assumptions'!$D$19*12*(1+'Assumptions'!$D$13)^(15-1)*'Assumptions'!$D$21)</x:f>
        <x:v>5238.603502503765</x:v>
      </x:c>
      <x:c r="H569" s="10" t="n">
        <x:f>IF('Income statement'!R50=0,1/39,E569/'Income statement'!R50)*'Cash and capital'!R18</x:f>
        <x:v>20.045545151189202</x:v>
      </x:c>
      <x:c r="I569" s="10" t="n">
        <x:f>E569-F569-G569-H569</x:f>
        <x:v>67009.86018023275</x:v>
      </x:c>
      <x:c r="J569" s="10" t="n">
        <x:f>M530</x:f>
        <x:v>0</x:v>
      </x:c>
      <x:c r="K569" s="10" t="n">
        <x:f>MAX(0,I569-J569)</x:f>
        <x:v>67009.86018023275</x:v>
      </x:c>
      <x:c r="L569" s="10" t="n">
        <x:f>K569*'Assumptions'!$D$12</x:f>
        <x:v>16752.465045058187</x:v>
      </x:c>
      <x:c r="M569" s="10" t="n">
        <x:f>MAX(0,J569-I569)</x:f>
        <x:v>0</x:v>
      </x:c>
    </x:row>
    <x:row r="570" ht="16" customHeight="1">
      <x:c r="A570" s="1"/>
      <x:c r="B570" s="1"/>
      <x:c r="C570" s="1" t="str">
        <x:v>S’otality cleaning</x:v>
      </x:c>
      <x:c r="D570" s="10" t="n">
        <x:v>15</x:v>
      </x:c>
      <x:c r="E570" s="10" t="n">
        <x:f>SUMIF('Revenue and costs'!$D$1800:$D$1927,C570,'Revenue and costs'!N1800:N1927)</x:f>
        <x:v>336125.2691915788</x:v>
      </x:c>
      <x:c r="F570" s="10" t="n">
        <x:f>SUMIF('Revenue and costs'!$D$1800:$D$1927,C570,'Revenue and costs'!O1800:O1927)+SUMIF('Revenue and costs'!$D$1800:$D$1927,C570,'Revenue and costs'!P1800:P1927)+SUMIF('Revenue and costs'!$D$1800:$D$1927,C570,'Revenue and costs'!Q1800:Q1927)+SUMIF('Revenue and costs'!$D$1800:$D$1927,C570,'Revenue and costs'!R1800:R1927)+SUMIF('Revenue and costs'!$D$1800:$D$1927,C570,'Revenue and costs'!S1800:S1927)+SUMIF('Revenue and costs'!$D$1800:$D$1927,C570,'Revenue and costs'!T1800:T1927)+SUMIF('Revenue and costs'!$D$1800:$D$1927,C570,'Revenue and costs'!U1800:U1927)+SUMIF('Revenue and costs'!$D$1800:$D$1927,C570,'Revenue and costs'!V1800:V1927)+SUMIF('Revenue and costs'!$D$1800:$D$1927,C570,'Revenue and costs'!AE1800:AE1927)</x:f>
        <x:v>291108.87270441756</x:v>
      </x:c>
      <x:c r="G570" s="10" t="n">
        <x:f>IF('Income statement'!R50=0,1/39,E570/'Income statement'!R50)*('Shared costs'!V21+'Assumptions'!$D$18*'Assumptions'!$D$19*12*(1+'Assumptions'!$D$13)^(15-1)*'Assumptions'!$D$21)</x:f>
        <x:v>16241.070804694305</x:v>
      </x:c>
      <x:c r="H570" s="10" t="n">
        <x:f>IF('Income statement'!R50=0,1/39,E570/'Income statement'!R50)*'Cash and capital'!R18</x:f>
        <x:v>62.14654687333372</x:v>
      </x:c>
      <x:c r="I570" s="10" t="n">
        <x:f>E570-F570-G570-H570</x:f>
        <x:v>28713.17913559359</x:v>
      </x:c>
      <x:c r="J570" s="10" t="n">
        <x:f>M531</x:f>
        <x:v>0</x:v>
      </x:c>
      <x:c r="K570" s="10" t="n">
        <x:f>MAX(0,I570-J570)</x:f>
        <x:v>28713.17913559359</x:v>
      </x:c>
      <x:c r="L570" s="10" t="n">
        <x:f>K570*'Assumptions'!$D$12</x:f>
        <x:v>7178.294783898397</x:v>
      </x:c>
      <x:c r="M570" s="10" t="n">
        <x:f>MAX(0,J570-I570)</x:f>
        <x:v>0</x:v>
      </x:c>
    </x:row>
    <x:row r="571" ht="16" customHeight="1">
      <x:c r="A571" s="1"/>
      <x:c r="B571" s="1"/>
      <x:c r="C571" s="1" t="str">
        <x:v>S’otality laundry</x:v>
      </x:c>
      <x:c r="D571" s="10" t="n">
        <x:v>15</x:v>
      </x:c>
      <x:c r="E571" s="10" t="n">
        <x:f>SUMIF('Revenue and costs'!$D$1800:$D$1927,C571,'Revenue and costs'!N1800:N1927)</x:f>
        <x:v>52097.487188132174</x:v>
      </x:c>
      <x:c r="F571" s="10" t="n">
        <x:f>SUMIF('Revenue and costs'!$D$1800:$D$1927,C571,'Revenue and costs'!O1800:O1927)+SUMIF('Revenue and costs'!$D$1800:$D$1927,C571,'Revenue and costs'!P1800:P1927)+SUMIF('Revenue and costs'!$D$1800:$D$1927,C571,'Revenue and costs'!Q1800:Q1927)+SUMIF('Revenue and costs'!$D$1800:$D$1927,C571,'Revenue and costs'!R1800:R1927)+SUMIF('Revenue and costs'!$D$1800:$D$1927,C571,'Revenue and costs'!S1800:S1927)+SUMIF('Revenue and costs'!$D$1800:$D$1927,C571,'Revenue and costs'!T1800:T1927)+SUMIF('Revenue and costs'!$D$1800:$D$1927,C571,'Revenue and costs'!U1800:U1927)+SUMIF('Revenue and costs'!$D$1800:$D$1927,C571,'Revenue and costs'!V1800:V1927)+SUMIF('Revenue and costs'!$D$1800:$D$1927,C571,'Revenue and costs'!AE1800:AE1927)</x:f>
        <x:v>48504.12591040799</x:v>
      </x:c>
      <x:c r="G571" s="10" t="n">
        <x:f>IF('Income statement'!R50=0,1/39,E571/'Income statement'!R50)*('Shared costs'!V21+'Assumptions'!$D$18*'Assumptions'!$D$19*12*(1+'Assumptions'!$D$13)^(15-1)*'Assumptions'!$D$21)</x:f>
        <x:v>2517.272742403824</x:v>
      </x:c>
      <x:c r="H571" s="10" t="n">
        <x:f>IF('Income statement'!R50=0,1/39,E571/'Income statement'!R50)*'Cash and capital'!R18</x:f>
        <x:v>9.632358011366303</x:v>
      </x:c>
      <x:c r="I571" s="10" t="n">
        <x:f>E571-F571-G571-H571</x:f>
        <x:v>1066.4561773089968</x:v>
      </x:c>
      <x:c r="J571" s="10" t="n">
        <x:f>M532</x:f>
        <x:v>0</x:v>
      </x:c>
      <x:c r="K571" s="10" t="n">
        <x:f>MAX(0,I571-J571)</x:f>
        <x:v>1066.4561773089968</x:v>
      </x:c>
      <x:c r="L571" s="10" t="n">
        <x:f>K571*'Assumptions'!$D$12</x:f>
        <x:v>266.6140443272492</x:v>
      </x:c>
      <x:c r="M571" s="10" t="n">
        <x:f>MAX(0,J571-I571)</x:f>
        <x:v>0</x:v>
      </x:c>
    </x:row>
    <x:row r="572" ht="16" customHeight="1">
      <x:c r="A572" s="1"/>
      <x:c r="B572" s="1"/>
      <x:c r="C572" s="1" t="str">
        <x:v>S’otality Personal Chef</x:v>
      </x:c>
      <x:c r="D572" s="10" t="n">
        <x:v>15</x:v>
      </x:c>
      <x:c r="E572" s="10" t="n">
        <x:f>SUMIF('Revenue and costs'!$D$1800:$D$1927,C572,'Revenue and costs'!N1800:N1927)</x:f>
        <x:v>94055.12838217343</x:v>
      </x:c>
      <x:c r="F572" s="10" t="n">
        <x:f>SUMIF('Revenue and costs'!$D$1800:$D$1927,C572,'Revenue and costs'!O1800:O1927)+SUMIF('Revenue and costs'!$D$1800:$D$1927,C572,'Revenue and costs'!P1800:P1927)+SUMIF('Revenue and costs'!$D$1800:$D$1927,C572,'Revenue and costs'!Q1800:Q1927)+SUMIF('Revenue and costs'!$D$1800:$D$1927,C572,'Revenue and costs'!R1800:R1927)+SUMIF('Revenue and costs'!$D$1800:$D$1927,C572,'Revenue and costs'!S1800:S1927)+SUMIF('Revenue and costs'!$D$1800:$D$1927,C572,'Revenue and costs'!T1800:T1927)+SUMIF('Revenue and costs'!$D$1800:$D$1927,C572,'Revenue and costs'!U1800:U1927)+SUMIF('Revenue and costs'!$D$1800:$D$1927,C572,'Revenue and costs'!V1800:V1927)+SUMIF('Revenue and costs'!$D$1800:$D$1927,C572,'Revenue and costs'!AE1800:AE1927)</x:f>
        <x:v>76637.09769609125</x:v>
      </x:c>
      <x:c r="G572" s="10" t="n">
        <x:f>IF('Income statement'!R50=0,1/39,E572/'Income statement'!R50)*('Shared costs'!V21+'Assumptions'!$D$18*'Assumptions'!$D$19*12*(1+'Assumptions'!$D$13)^(15-1)*'Assumptions'!$D$21)</x:f>
        <x:v>4544.603276253062</x:v>
      </x:c>
      <x:c r="H572" s="10" t="n">
        <x:f>IF('Income statement'!R50=0,1/39,E572/'Income statement'!R50)*'Cash and capital'!R18</x:f>
        <x:v>17.389949463598988</x:v>
      </x:c>
      <x:c r="I572" s="10" t="n">
        <x:f>E572-F572-G572-H572</x:f>
        <x:v>12856.037460365511</x:v>
      </x:c>
      <x:c r="J572" s="10" t="n">
        <x:f>M533</x:f>
        <x:v>0</x:v>
      </x:c>
      <x:c r="K572" s="10" t="n">
        <x:f>MAX(0,I572-J572)</x:f>
        <x:v>12856.037460365511</x:v>
      </x:c>
      <x:c r="L572" s="10" t="n">
        <x:f>K572*'Assumptions'!$D$12</x:f>
        <x:v>3214.0093650913777</x:v>
      </x:c>
      <x:c r="M572" s="10" t="n">
        <x:f>MAX(0,J572-I572)</x:f>
        <x:v>0</x:v>
      </x:c>
    </x:row>
    <x:row r="573" ht="16" customHeight="1">
      <x:c r="A573" s="1"/>
      <x:c r="B573" s="1"/>
      <x:c r="C573" s="1" t="str">
        <x:v>S’otality interiors</x:v>
      </x:c>
      <x:c r="D573" s="10" t="n">
        <x:v>15</x:v>
      </x:c>
      <x:c r="E573" s="10" t="n">
        <x:f>SUMIF('Revenue and costs'!$D$1800:$D$1927,C573,'Revenue and costs'!N1800:N1927)</x:f>
        <x:v>121448.40828943007</x:v>
      </x:c>
      <x:c r="F573" s="10" t="n">
        <x:f>SUMIF('Revenue and costs'!$D$1800:$D$1927,C573,'Revenue and costs'!O1800:O1927)+SUMIF('Revenue and costs'!$D$1800:$D$1927,C573,'Revenue and costs'!P1800:P1927)+SUMIF('Revenue and costs'!$D$1800:$D$1927,C573,'Revenue and costs'!Q1800:Q1927)+SUMIF('Revenue and costs'!$D$1800:$D$1927,C573,'Revenue and costs'!R1800:R1927)+SUMIF('Revenue and costs'!$D$1800:$D$1927,C573,'Revenue and costs'!S1800:S1927)+SUMIF('Revenue and costs'!$D$1800:$D$1927,C573,'Revenue and costs'!T1800:T1927)+SUMIF('Revenue and costs'!$D$1800:$D$1927,C573,'Revenue and costs'!U1800:U1927)+SUMIF('Revenue and costs'!$D$1800:$D$1927,C573,'Revenue and costs'!V1800:V1927)+SUMIF('Revenue and costs'!$D$1800:$D$1927,C573,'Revenue and costs'!AE1800:AE1927)</x:f>
        <x:v>77085.6646006115</x:v>
      </x:c>
      <x:c r="G573" s="10" t="n">
        <x:f>IF('Income statement'!R50=0,1/39,E573/'Income statement'!R50)*('Shared costs'!V21+'Assumptions'!$D$18*'Assumptions'!$D$19*12*(1+'Assumptions'!$D$13)^(15-1)*'Assumptions'!$D$21)</x:f>
        <x:v>5868.205633245124</x:v>
      </x:c>
      <x:c r="H573" s="10" t="n">
        <x:f>IF('Income statement'!R50=0,1/39,E573/'Income statement'!R50)*'Cash and capital'!R18</x:f>
        <x:v>22.45472117167421</x:v>
      </x:c>
      <x:c r="I573" s="10" t="n">
        <x:f>E573-F573-G573-H573</x:f>
        <x:v>38472.08333440177</x:v>
      </x:c>
      <x:c r="J573" s="10" t="n">
        <x:f>M534</x:f>
        <x:v>0</x:v>
      </x:c>
      <x:c r="K573" s="10" t="n">
        <x:f>MAX(0,I573-J573)</x:f>
        <x:v>38472.08333440177</x:v>
      </x:c>
      <x:c r="L573" s="10" t="n">
        <x:f>K573*'Assumptions'!$D$12</x:f>
        <x:v>9618.020833600442</x:v>
      </x:c>
      <x:c r="M573" s="10" t="n">
        <x:f>MAX(0,J573-I573)</x:f>
        <x:v>0</x:v>
      </x:c>
    </x:row>
    <x:row r="574" ht="16" customHeight="1">
      <x:c r="A574" s="1"/>
      <x:c r="B574" s="1"/>
      <x:c r="C574" s="1" t="str">
        <x:v>S’otality concierge</x:v>
      </x:c>
      <x:c r="D574" s="10" t="n">
        <x:v>15</x:v>
      </x:c>
      <x:c r="E574" s="10" t="n">
        <x:f>SUMIF('Revenue and costs'!$D$1800:$D$1927,C574,'Revenue and costs'!N1800:N1927)</x:f>
        <x:v>44045.42523829676</x:v>
      </x:c>
      <x:c r="F574" s="10" t="n">
        <x:f>SUMIF('Revenue and costs'!$D$1800:$D$1927,C574,'Revenue and costs'!O1800:O1927)+SUMIF('Revenue and costs'!$D$1800:$D$1927,C574,'Revenue and costs'!P1800:P1927)+SUMIF('Revenue and costs'!$D$1800:$D$1927,C574,'Revenue and costs'!Q1800:Q1927)+SUMIF('Revenue and costs'!$D$1800:$D$1927,C574,'Revenue and costs'!R1800:R1927)+SUMIF('Revenue and costs'!$D$1800:$D$1927,C574,'Revenue and costs'!S1800:S1927)+SUMIF('Revenue and costs'!$D$1800:$D$1927,C574,'Revenue and costs'!T1800:T1927)+SUMIF('Revenue and costs'!$D$1800:$D$1927,C574,'Revenue and costs'!U1800:U1927)+SUMIF('Revenue and costs'!$D$1800:$D$1927,C574,'Revenue and costs'!V1800:V1927)+SUMIF('Revenue and costs'!$D$1800:$D$1927,C574,'Revenue and costs'!AE1800:AE1927)</x:f>
        <x:v>26640.252862436806</x:v>
      </x:c>
      <x:c r="G574" s="10" t="n">
        <x:f>IF('Income statement'!R50=0,1/39,E574/'Income statement'!R50)*('Shared costs'!V21+'Assumptions'!$D$18*'Assumptions'!$D$19*12*(1+'Assumptions'!$D$13)^(15-1)*'Assumptions'!$D$21)</x:f>
        <x:v>2128.2091395227044</x:v>
      </x:c>
      <x:c r="H574" s="10" t="n">
        <x:f>IF('Income statement'!R50=0,1/39,E574/'Income statement'!R50)*'Cash and capital'!R18</x:f>
        <x:v>8.143603992378164</x:v>
      </x:c>
      <x:c r="I574" s="10" t="n">
        <x:f>E574-F574-G574-H574</x:f>
        <x:v>15268.819632344874</x:v>
      </x:c>
      <x:c r="J574" s="10" t="n">
        <x:f>M535</x:f>
        <x:v>0</x:v>
      </x:c>
      <x:c r="K574" s="10" t="n">
        <x:f>MAX(0,I574-J574)</x:f>
        <x:v>15268.819632344874</x:v>
      </x:c>
      <x:c r="L574" s="10" t="n">
        <x:f>K574*'Assumptions'!$D$12</x:f>
        <x:v>3817.2049080862184</x:v>
      </x:c>
      <x:c r="M574" s="10" t="n">
        <x:f>MAX(0,J574-I574)</x:f>
        <x:v>0</x:v>
      </x:c>
    </x:row>
    <x:row r="575" ht="16" customHeight="1">
      <x:c r="A575" s="1"/>
      <x:c r="B575" s="1"/>
      <x:c r="C575" s="1" t="str">
        <x:v>S’otality administration</x:v>
      </x:c>
      <x:c r="D575" s="10" t="n">
        <x:v>15</x:v>
      </x:c>
      <x:c r="E575" s="10" t="n">
        <x:f>SUMIF('Revenue and costs'!$D$1800:$D$1927,C575,'Revenue and costs'!N1800:N1927)</x:f>
        <x:v>70472.68038127483</x:v>
      </x:c>
      <x:c r="F575" s="10" t="n">
        <x:f>SUMIF('Revenue and costs'!$D$1800:$D$1927,C575,'Revenue and costs'!O1800:O1927)+SUMIF('Revenue and costs'!$D$1800:$D$1927,C575,'Revenue and costs'!P1800:P1927)+SUMIF('Revenue and costs'!$D$1800:$D$1927,C575,'Revenue and costs'!Q1800:Q1927)+SUMIF('Revenue and costs'!$D$1800:$D$1927,C575,'Revenue and costs'!R1800:R1927)+SUMIF('Revenue and costs'!$D$1800:$D$1927,C575,'Revenue and costs'!S1800:S1927)+SUMIF('Revenue and costs'!$D$1800:$D$1927,C575,'Revenue and costs'!T1800:T1927)+SUMIF('Revenue and costs'!$D$1800:$D$1927,C575,'Revenue and costs'!U1800:U1927)+SUMIF('Revenue and costs'!$D$1800:$D$1927,C575,'Revenue and costs'!V1800:V1927)+SUMIF('Revenue and costs'!$D$1800:$D$1927,C575,'Revenue and costs'!AE1800:AE1927)</x:f>
        <x:v>57254.37469128451</x:v>
      </x:c>
      <x:c r="G575" s="10" t="n">
        <x:f>IF('Income statement'!R50=0,1/39,E575/'Income statement'!R50)*('Shared costs'!V21+'Assumptions'!$D$18*'Assumptions'!$D$19*12*(1+'Assumptions'!$D$13)^(15-1)*'Assumptions'!$D$21)</x:f>
        <x:v>3405.134623236327</x:v>
      </x:c>
      <x:c r="H575" s="10" t="n">
        <x:f>IF('Income statement'!R50=0,1/39,E575/'Income statement'!R50)*'Cash and capital'!R18</x:f>
        <x:v>13.029766387805061</x:v>
      </x:c>
      <x:c r="I575" s="10" t="n">
        <x:f>E575-F575-G575-H575</x:f>
        <x:v>9800.141300366186</x:v>
      </x:c>
      <x:c r="J575" s="10" t="n">
        <x:f>M536</x:f>
        <x:v>0</x:v>
      </x:c>
      <x:c r="K575" s="10" t="n">
        <x:f>MAX(0,I575-J575)</x:f>
        <x:v>9800.141300366186</x:v>
      </x:c>
      <x:c r="L575" s="10" t="n">
        <x:f>K575*'Assumptions'!$D$12</x:f>
        <x:v>2450.0353250915464</x:v>
      </x:c>
      <x:c r="M575" s="10" t="n">
        <x:f>MAX(0,J575-I575)</x:f>
        <x:v>0</x:v>
      </x:c>
    </x:row>
    <x:row r="576" ht="16" customHeight="1">
      <x:c r="A576" s="1"/>
      <x:c r="B576" s="1"/>
      <x:c r="C576" s="1" t="str">
        <x:v>S’otality bike tours</x:v>
      </x:c>
      <x:c r="D576" s="10" t="n">
        <x:v>15</x:v>
      </x:c>
      <x:c r="E576" s="10" t="n">
        <x:f>SUMIF('Revenue and costs'!$D$1800:$D$1927,C576,'Revenue and costs'!N1800:N1927)</x:f>
        <x:v>37622.05135286937</x:v>
      </x:c>
      <x:c r="F576" s="10" t="n">
        <x:f>SUMIF('Revenue and costs'!$D$1800:$D$1927,C576,'Revenue and costs'!O1800:O1927)+SUMIF('Revenue and costs'!$D$1800:$D$1927,C576,'Revenue and costs'!P1800:P1927)+SUMIF('Revenue and costs'!$D$1800:$D$1927,C576,'Revenue and costs'!Q1800:Q1927)+SUMIF('Revenue and costs'!$D$1800:$D$1927,C576,'Revenue and costs'!R1800:R1927)+SUMIF('Revenue and costs'!$D$1800:$D$1927,C576,'Revenue and costs'!S1800:S1927)+SUMIF('Revenue and costs'!$D$1800:$D$1927,C576,'Revenue and costs'!T1800:T1927)+SUMIF('Revenue and costs'!$D$1800:$D$1927,C576,'Revenue and costs'!U1800:U1927)+SUMIF('Revenue and costs'!$D$1800:$D$1927,C576,'Revenue and costs'!V1800:V1927)+SUMIF('Revenue and costs'!$D$1800:$D$1927,C576,'Revenue and costs'!AE1800:AE1927)</x:f>
        <x:v>31334.374038794736</x:v>
      </x:c>
      <x:c r="G576" s="10" t="n">
        <x:f>IF('Income statement'!R50=0,1/39,E576/'Income statement'!R50)*('Shared costs'!V21+'Assumptions'!$D$18*'Assumptions'!$D$19*12*(1+'Assumptions'!$D$13)^(15-1)*'Assumptions'!$D$21)</x:f>
        <x:v>1817.841310501225</x:v>
      </x:c>
      <x:c r="H576" s="10" t="n">
        <x:f>IF('Income statement'!R50=0,1/39,E576/'Income statement'!R50)*'Cash and capital'!R18</x:f>
        <x:v>6.955979785439596</x:v>
      </x:c>
      <x:c r="I576" s="10" t="n">
        <x:f>E576-F576-G576-H576</x:f>
        <x:v>4462.880023787969</x:v>
      </x:c>
      <x:c r="J576" s="10" t="n">
        <x:f>M537</x:f>
        <x:v>0</x:v>
      </x:c>
      <x:c r="K576" s="10" t="n">
        <x:f>MAX(0,I576-J576)</x:f>
        <x:v>4462.880023787969</x:v>
      </x:c>
      <x:c r="L576" s="10" t="n">
        <x:f>K576*'Assumptions'!$D$12</x:f>
        <x:v>1115.7200059469922</x:v>
      </x:c>
      <x:c r="M576" s="10" t="n">
        <x:f>MAX(0,J576-I576)</x:f>
        <x:v>0</x:v>
      </x:c>
    </x:row>
    <x:row r="577" ht="16" customHeight="1">
      <x:c r="A577" s="1"/>
      <x:c r="B577" s="1"/>
      <x:c r="C577" s="1" t="str">
        <x:v>S’otality editorial</x:v>
      </x:c>
      <x:c r="D577" s="10" t="n">
        <x:v>15</x:v>
      </x:c>
      <x:c r="E577" s="10" t="n">
        <x:f>SUMIF('Revenue and costs'!$D$1800:$D$1927,C577,'Revenue and costs'!N1800:N1927)</x:f>
        <x:v>17356.27451357342</x:v>
      </x:c>
      <x:c r="F577" s="10" t="n">
        <x:f>SUMIF('Revenue and costs'!$D$1800:$D$1927,C577,'Revenue and costs'!O1800:O1927)+SUMIF('Revenue and costs'!$D$1800:$D$1927,C577,'Revenue and costs'!P1800:P1927)+SUMIF('Revenue and costs'!$D$1800:$D$1927,C577,'Revenue and costs'!Q1800:Q1927)+SUMIF('Revenue and costs'!$D$1800:$D$1927,C577,'Revenue and costs'!R1800:R1927)+SUMIF('Revenue and costs'!$D$1800:$D$1927,C577,'Revenue and costs'!S1800:S1927)+SUMIF('Revenue and costs'!$D$1800:$D$1927,C577,'Revenue and costs'!T1800:T1927)+SUMIF('Revenue and costs'!$D$1800:$D$1927,C577,'Revenue and costs'!U1800:U1927)+SUMIF('Revenue and costs'!$D$1800:$D$1927,C577,'Revenue and costs'!V1800:V1927)+SUMIF('Revenue and costs'!$D$1800:$D$1927,C577,'Revenue and costs'!AE1800:AE1927)</x:f>
        <x:v>10355.83526085873</x:v>
      </x:c>
      <x:c r="G577" s="10" t="n">
        <x:f>IF('Income statement'!R50=0,1/39,E577/'Income statement'!R50)*('Shared costs'!V21+'Assumptions'!$D$18*'Assumptions'!$D$19*12*(1+'Assumptions'!$D$13)^(15-1)*'Assumptions'!$D$21)</x:f>
        <x:v>838.6292525956849</x:v>
      </x:c>
      <x:c r="H577" s="10" t="n">
        <x:f>IF('Income statement'!R50=0,1/39,E577/'Income statement'!R50)*'Cash and capital'!R18</x:f>
        <x:v>3.20901945336772</x:v>
      </x:c>
      <x:c r="I577" s="10" t="n">
        <x:f>E577-F577-G577-H577</x:f>
        <x:v>6158.600980665636</x:v>
      </x:c>
      <x:c r="J577" s="10" t="n">
        <x:f>M538</x:f>
        <x:v>0</x:v>
      </x:c>
      <x:c r="K577" s="10" t="n">
        <x:f>MAX(0,I577-J577)</x:f>
        <x:v>6158.600980665636</x:v>
      </x:c>
      <x:c r="L577" s="10" t="n">
        <x:f>K577*'Assumptions'!$D$12</x:f>
        <x:v>1539.650245166409</x:v>
      </x:c>
      <x:c r="M577" s="10" t="n">
        <x:f>MAX(0,J577-I577)</x:f>
        <x:v>0</x:v>
      </x:c>
    </x:row>
    <x:row r="578" ht="16" customHeight="1">
      <x:c r="A578" s="1"/>
      <x:c r="B578" s="1"/>
      <x:c r="C578" s="1" t="str">
        <x:v>Tomato Odyssey</x:v>
      </x:c>
      <x:c r="D578" s="10" t="n">
        <x:v>15</x:v>
      </x:c>
      <x:c r="E578" s="10" t="n">
        <x:f>SUMIF('Revenue and costs'!$D$1800:$D$1927,C578,'Revenue and costs'!N1800:N1927)</x:f>
        <x:v>17356.27451357342</x:v>
      </x:c>
      <x:c r="F578" s="10" t="n">
        <x:f>SUMIF('Revenue and costs'!$D$1800:$D$1927,C578,'Revenue and costs'!O1800:O1927)+SUMIF('Revenue and costs'!$D$1800:$D$1927,C578,'Revenue and costs'!P1800:P1927)+SUMIF('Revenue and costs'!$D$1800:$D$1927,C578,'Revenue and costs'!Q1800:Q1927)+SUMIF('Revenue and costs'!$D$1800:$D$1927,C578,'Revenue and costs'!R1800:R1927)+SUMIF('Revenue and costs'!$D$1800:$D$1927,C578,'Revenue and costs'!S1800:S1927)+SUMIF('Revenue and costs'!$D$1800:$D$1927,C578,'Revenue and costs'!T1800:T1927)+SUMIF('Revenue and costs'!$D$1800:$D$1927,C578,'Revenue and costs'!U1800:U1927)+SUMIF('Revenue and costs'!$D$1800:$D$1927,C578,'Revenue and costs'!V1800:V1927)+SUMIF('Revenue and costs'!$D$1800:$D$1927,C578,'Revenue and costs'!AE1800:AE1927)</x:f>
        <x:v>10355.83526085873</x:v>
      </x:c>
      <x:c r="G578" s="10" t="n">
        <x:f>IF('Income statement'!R50=0,1/39,E578/'Income statement'!R50)*('Shared costs'!V21+'Assumptions'!$D$18*'Assumptions'!$D$19*12*(1+'Assumptions'!$D$13)^(15-1)*'Assumptions'!$D$21)</x:f>
        <x:v>838.6292525956849</x:v>
      </x:c>
      <x:c r="H578" s="10" t="n">
        <x:f>IF('Income statement'!R50=0,1/39,E578/'Income statement'!R50)*'Cash and capital'!R18</x:f>
        <x:v>3.20901945336772</x:v>
      </x:c>
      <x:c r="I578" s="10" t="n">
        <x:f>E578-F578-G578-H578</x:f>
        <x:v>6158.600980665636</x:v>
      </x:c>
      <x:c r="J578" s="10" t="n">
        <x:f>M539</x:f>
        <x:v>0</x:v>
      </x:c>
      <x:c r="K578" s="10" t="n">
        <x:f>MAX(0,I578-J578)</x:f>
        <x:v>6158.600980665636</x:v>
      </x:c>
      <x:c r="L578" s="10" t="n">
        <x:f>K578*'Assumptions'!$D$12</x:f>
        <x:v>1539.650245166409</x:v>
      </x:c>
      <x:c r="M578" s="10" t="n">
        <x:f>MAX(0,J578-I578)</x:f>
        <x:v>0</x:v>
      </x:c>
    </x:row>
    <x:row r="579" ht="16" customHeight="1">
      <x:c r="A579" s="1"/>
      <x:c r="B579" s="1"/>
      <x:c r="C579" s="1" t="str">
        <x:v>Semajes Studio</x:v>
      </x:c>
      <x:c r="D579" s="10" t="n">
        <x:v>15</x:v>
      </x:c>
      <x:c r="E579" s="10" t="n">
        <x:f>SUMIF('Revenue and costs'!$D$1800:$D$1927,C579,'Revenue and costs'!N1800:N1927)</x:f>
        <x:v>226931.29084264036</x:v>
      </x:c>
      <x:c r="F579" s="10" t="n">
        <x:f>SUMIF('Revenue and costs'!$D$1800:$D$1927,C579,'Revenue and costs'!O1800:O1927)+SUMIF('Revenue and costs'!$D$1800:$D$1927,C579,'Revenue and costs'!P1800:P1927)+SUMIF('Revenue and costs'!$D$1800:$D$1927,C579,'Revenue and costs'!Q1800:Q1927)+SUMIF('Revenue and costs'!$D$1800:$D$1927,C579,'Revenue and costs'!R1800:R1927)+SUMIF('Revenue and costs'!$D$1800:$D$1927,C579,'Revenue and costs'!S1800:S1927)+SUMIF('Revenue and costs'!$D$1800:$D$1927,C579,'Revenue and costs'!T1800:T1927)+SUMIF('Revenue and costs'!$D$1800:$D$1927,C579,'Revenue and costs'!U1800:U1927)+SUMIF('Revenue and costs'!$D$1800:$D$1927,C579,'Revenue and costs'!V1800:V1927)+SUMIF('Revenue and costs'!$D$1800:$D$1927,C579,'Revenue and costs'!AE1800:AE1927)</x:f>
        <x:v>154306.2375558896</x:v>
      </x:c>
      <x:c r="G579" s="10" t="n">
        <x:f>IF('Income statement'!R50=0,1/39,E579/'Income statement'!R50)*('Shared costs'!V21+'Assumptions'!$D$18*'Assumptions'!$D$19*12*(1+'Assumptions'!$D$13)^(15-1)*'Assumptions'!$D$21)</x:f>
        <x:v>10964.980916907323</x:v>
      </x:c>
      <x:c r="H579" s="10" t="n">
        <x:f>IF('Income statement'!R50=0,1/39,E579/'Income statement'!R50)*'Cash and capital'!R18</x:f>
        <x:v>41.957559862421704</x:v>
      </x:c>
      <x:c r="I579" s="10" t="n">
        <x:f>E579-F579-G579-H579</x:f>
        <x:v>61618.11480998102</x:v>
      </x:c>
      <x:c r="J579" s="10" t="n">
        <x:f>M540</x:f>
        <x:v>0</x:v>
      </x:c>
      <x:c r="K579" s="10" t="n">
        <x:f>MAX(0,I579-J579)</x:f>
        <x:v>61618.11480998102</x:v>
      </x:c>
      <x:c r="L579" s="10" t="n">
        <x:f>K579*'Assumptions'!$D$12</x:f>
        <x:v>15404.528702495256</x:v>
      </x:c>
      <x:c r="M579" s="10" t="n">
        <x:f>MAX(0,J579-I579)</x:f>
        <x:v>0</x:v>
      </x:c>
    </x:row>
    <x:row r="580" ht="16" customHeight="1">
      <x:c r="A580" s="1"/>
      <x:c r="B580" s="1"/>
      <x:c r="C580" s="1" t="str">
        <x:v>Semajes Marketplace</x:v>
      </x:c>
      <x:c r="D580" s="10" t="n">
        <x:v>15</x:v>
      </x:c>
      <x:c r="E580" s="10" t="n">
        <x:f>SUMIF('Revenue and costs'!$D$1800:$D$1927,C580,'Revenue and costs'!N1800:N1927)</x:f>
        <x:v>73740.2926216115</x:v>
      </x:c>
      <x:c r="F580" s="10" t="n">
        <x:f>SUMIF('Revenue and costs'!$D$1800:$D$1927,C580,'Revenue and costs'!O1800:O1927)+SUMIF('Revenue and costs'!$D$1800:$D$1927,C580,'Revenue and costs'!P1800:P1927)+SUMIF('Revenue and costs'!$D$1800:$D$1927,C580,'Revenue and costs'!Q1800:Q1927)+SUMIF('Revenue and costs'!$D$1800:$D$1927,C580,'Revenue and costs'!R1800:R1927)+SUMIF('Revenue and costs'!$D$1800:$D$1927,C580,'Revenue and costs'!S1800:S1927)+SUMIF('Revenue and costs'!$D$1800:$D$1927,C580,'Revenue and costs'!T1800:T1927)+SUMIF('Revenue and costs'!$D$1800:$D$1927,C580,'Revenue and costs'!U1800:U1927)+SUMIF('Revenue and costs'!$D$1800:$D$1927,C580,'Revenue and costs'!V1800:V1927)+SUMIF('Revenue and costs'!$D$1800:$D$1927,C580,'Revenue and costs'!AE1800:AE1927)</x:f>
        <x:v>37170.734363975374</x:v>
      </x:c>
      <x:c r="G580" s="10" t="n">
        <x:f>IF('Income statement'!R50=0,1/39,E580/'Income statement'!R50)*('Shared costs'!V21+'Assumptions'!$D$18*'Assumptions'!$D$19*12*(1+'Assumptions'!$D$13)^(15-1)*'Assumptions'!$D$21)</x:f>
        <x:v>3563.0207645705755</x:v>
      </x:c>
      <x:c r="H580" s="10" t="n">
        <x:f>IF('Income statement'!R50=0,1/39,E580/'Income statement'!R50)*'Cash and capital'!R18</x:f>
        <x:v>13.633918577095596</x:v>
      </x:c>
      <x:c r="I580" s="10" t="n">
        <x:f>E580-F580-G580-H580</x:f>
        <x:v>32992.90357448846</x:v>
      </x:c>
      <x:c r="J580" s="10" t="n">
        <x:f>M541</x:f>
        <x:v>0</x:v>
      </x:c>
      <x:c r="K580" s="10" t="n">
        <x:f>MAX(0,I580-J580)</x:f>
        <x:v>32992.90357448846</x:v>
      </x:c>
      <x:c r="L580" s="10" t="n">
        <x:f>K580*'Assumptions'!$D$12</x:f>
        <x:v>8248.225893622115</x:v>
      </x:c>
      <x:c r="M580" s="10" t="n">
        <x:f>MAX(0,J580-I580)</x:f>
        <x:v>0</x:v>
      </x:c>
    </x:row>
    <x:row r="581" ht="16" customHeight="1">
      <x:c r="A581" s="1"/>
      <x:c r="B581" s="1"/>
      <x:c r="C581" s="1" t="str">
        <x:v>Semajes premium and media</x:v>
      </x:c>
      <x:c r="D581" s="10" t="n">
        <x:v>15</x:v>
      </x:c>
      <x:c r="E581" s="10" t="n">
        <x:f>SUMIF('Revenue and costs'!$D$1800:$D$1927,C581,'Revenue and costs'!N1800:N1927)</x:f>
        <x:v>51438.83655577818</x:v>
      </x:c>
      <x:c r="F581" s="10" t="n">
        <x:f>SUMIF('Revenue and costs'!$D$1800:$D$1927,C581,'Revenue and costs'!O1800:O1927)+SUMIF('Revenue and costs'!$D$1800:$D$1927,C581,'Revenue and costs'!P1800:P1927)+SUMIF('Revenue and costs'!$D$1800:$D$1927,C581,'Revenue and costs'!Q1800:Q1927)+SUMIF('Revenue and costs'!$D$1800:$D$1927,C581,'Revenue and costs'!R1800:R1927)+SUMIF('Revenue and costs'!$D$1800:$D$1927,C581,'Revenue and costs'!S1800:S1927)+SUMIF('Revenue and costs'!$D$1800:$D$1927,C581,'Revenue and costs'!T1800:T1927)+SUMIF('Revenue and costs'!$D$1800:$D$1927,C581,'Revenue and costs'!U1800:U1927)+SUMIF('Revenue and costs'!$D$1800:$D$1927,C581,'Revenue and costs'!V1800:V1927)+SUMIF('Revenue and costs'!$D$1800:$D$1927,C581,'Revenue and costs'!AE1800:AE1927)</x:f>
        <x:v>29469.19718494577</x:v>
      </x:c>
      <x:c r="G581" s="10" t="n">
        <x:f>IF('Income statement'!R50=0,1/39,E581/'Income statement'!R50)*('Shared costs'!V21+'Assumptions'!$D$18*'Assumptions'!$D$19*12*(1+'Assumptions'!$D$13)^(15-1)*'Assumptions'!$D$21)</x:f>
        <x:v>2485.4477279342304</x:v>
      </x:c>
      <x:c r="H581" s="10" t="n">
        <x:f>IF('Income statement'!R50=0,1/39,E581/'Income statement'!R50)*'Cash and capital'!R18</x:f>
        <x:v>9.510579418238846</x:v>
      </x:c>
      <x:c r="I581" s="10" t="n">
        <x:f>E581-F581-G581-H581</x:f>
        <x:v>19474.68106347994</x:v>
      </x:c>
      <x:c r="J581" s="10" t="n">
        <x:f>M542</x:f>
        <x:v>0</x:v>
      </x:c>
      <x:c r="K581" s="10" t="n">
        <x:f>MAX(0,I581-J581)</x:f>
        <x:v>19474.68106347994</x:v>
      </x:c>
      <x:c r="L581" s="10" t="n">
        <x:f>K581*'Assumptions'!$D$12</x:f>
        <x:v>4868.670265869985</x:v>
      </x:c>
      <x:c r="M581" s="10" t="n">
        <x:f>MAX(0,J581-I581)</x:f>
        <x:v>0</x:v>
      </x:c>
    </x:row>
    <x:row r="582" ht="16" customHeight="1">
      <x:c r="A582" s="1"/>
      <x:c r="B582" s="1"/>
      <x:c r="C582" s="1" t="str">
        <x:v>Semajes courses</x:v>
      </x:c>
      <x:c r="D582" s="10" t="n">
        <x:v>15</x:v>
      </x:c>
      <x:c r="E582" s="10" t="n">
        <x:f>SUMIF('Revenue and costs'!$D$1800:$D$1927,C582,'Revenue and costs'!N1800:N1927)</x:f>
        <x:v>27888.006528008238</x:v>
      </x:c>
      <x:c r="F582" s="10" t="n">
        <x:f>SUMIF('Revenue and costs'!$D$1800:$D$1927,C582,'Revenue and costs'!O1800:O1927)+SUMIF('Revenue and costs'!$D$1800:$D$1927,C582,'Revenue and costs'!P1800:P1927)+SUMIF('Revenue and costs'!$D$1800:$D$1927,C582,'Revenue and costs'!Q1800:Q1927)+SUMIF('Revenue and costs'!$D$1800:$D$1927,C582,'Revenue and costs'!R1800:R1927)+SUMIF('Revenue and costs'!$D$1800:$D$1927,C582,'Revenue and costs'!S1800:S1927)+SUMIF('Revenue and costs'!$D$1800:$D$1927,C582,'Revenue and costs'!T1800:T1927)+SUMIF('Revenue and costs'!$D$1800:$D$1927,C582,'Revenue and costs'!U1800:U1927)+SUMIF('Revenue and costs'!$D$1800:$D$1927,C582,'Revenue and costs'!V1800:V1927)+SUMIF('Revenue and costs'!$D$1800:$D$1927,C582,'Revenue and costs'!AE1800:AE1927)</x:f>
        <x:v>9367.71836351745</x:v>
      </x:c>
      <x:c r="G582" s="10" t="n">
        <x:f>IF('Income statement'!R50=0,1/39,E582/'Income statement'!R50)*('Shared costs'!V21+'Assumptions'!$D$18*'Assumptions'!$D$19*12*(1+'Assumptions'!$D$13)^(15-1)*'Assumptions'!$D$21)</x:f>
        <x:v>1347.506808138858</x:v>
      </x:c>
      <x:c r="H582" s="10" t="n">
        <x:f>IF('Income statement'!R50=0,1/39,E582/'Income statement'!R50)*'Cash and capital'!R18</x:f>
        <x:v>5.156242222029651</x:v>
      </x:c>
      <x:c r="I582" s="10" t="n">
        <x:f>E582-F582-G582-H582</x:f>
        <x:v>17167.6251141299</x:v>
      </x:c>
      <x:c r="J582" s="10" t="n">
        <x:f>M543</x:f>
        <x:v>0</x:v>
      </x:c>
      <x:c r="K582" s="10" t="n">
        <x:f>MAX(0,I582-J582)</x:f>
        <x:v>17167.6251141299</x:v>
      </x:c>
      <x:c r="L582" s="10" t="n">
        <x:f>K582*'Assumptions'!$D$12</x:f>
        <x:v>4291.906278532475</x:v>
      </x:c>
      <x:c r="M582" s="10" t="n">
        <x:f>MAX(0,J582-I582)</x:f>
        <x:v>0</x:v>
      </x:c>
    </x:row>
    <x:row r="583" ht="16" customHeight="1">
      <x:c r="A583" s="1"/>
      <x:c r="B583" s="1"/>
      <x:c r="C583" s="1" t="str">
        <x:v>Sleepy Face</x:v>
      </x:c>
      <x:c r="D583" s="10" t="n">
        <x:v>15</x:v>
      </x:c>
      <x:c r="E583" s="10" t="n">
        <x:f>SUMIF('Revenue and costs'!$D$1800:$D$1927,C583,'Revenue and costs'!N1800:N1927)</x:f>
        <x:v>357161.0433718768</x:v>
      </x:c>
      <x:c r="F583" s="10" t="n">
        <x:f>SUMIF('Revenue and costs'!$D$1800:$D$1927,C583,'Revenue and costs'!O1800:O1927)+SUMIF('Revenue and costs'!$D$1800:$D$1927,C583,'Revenue and costs'!P1800:P1927)+SUMIF('Revenue and costs'!$D$1800:$D$1927,C583,'Revenue and costs'!Q1800:Q1927)+SUMIF('Revenue and costs'!$D$1800:$D$1927,C583,'Revenue and costs'!R1800:R1927)+SUMIF('Revenue and costs'!$D$1800:$D$1927,C583,'Revenue and costs'!S1800:S1927)+SUMIF('Revenue and costs'!$D$1800:$D$1927,C583,'Revenue and costs'!T1800:T1927)+SUMIF('Revenue and costs'!$D$1800:$D$1927,C583,'Revenue and costs'!U1800:U1927)+SUMIF('Revenue and costs'!$D$1800:$D$1927,C583,'Revenue and costs'!V1800:V1927)+SUMIF('Revenue and costs'!$D$1800:$D$1927,C583,'Revenue and costs'!AE1800:AE1927)</x:f>
        <x:v>237677.89760000756</x:v>
      </x:c>
      <x:c r="G583" s="10" t="n">
        <x:f>IF('Income statement'!R50=0,1/39,E583/'Income statement'!R50)*('Shared costs'!V21+'Assumptions'!$D$18*'Assumptions'!$D$19*12*(1+'Assumptions'!$D$13)^(15-1)*'Assumptions'!$D$21)</x:f>
        <x:v>17257.4879836689</x:v>
      </x:c>
      <x:c r="H583" s="10" t="n">
        <x:f>IF('Income statement'!R50=0,1/39,E583/'Income statement'!R50)*'Cash and capital'!R18</x:f>
        <x:v>66.035872806064</x:v>
      </x:c>
      <x:c r="I583" s="10" t="n">
        <x:f>E583-F583-G583-H583</x:f>
        <x:v>102159.6219153943</x:v>
      </x:c>
      <x:c r="J583" s="10" t="n">
        <x:f>M544</x:f>
        <x:v>0</x:v>
      </x:c>
      <x:c r="K583" s="10" t="n">
        <x:f>MAX(0,I583-J583)</x:f>
        <x:v>102159.6219153943</x:v>
      </x:c>
      <x:c r="L583" s="10" t="n">
        <x:f>K583*'Assumptions'!$D$12</x:f>
        <x:v>25539.905478848574</x:v>
      </x:c>
      <x:c r="M583" s="10" t="n">
        <x:f>MAX(0,J583-I583)</x:f>
        <x:v>0</x:v>
      </x:c>
    </x:row>
    <x:row r="584" ht="16" customHeight="1">
      <x:c r="A584" s="1"/>
      <x:c r="B584" s="1"/>
      <x:c r="C584" s="1" t="str">
        <x:v>QzoticMusic</x:v>
      </x:c>
      <x:c r="D584" s="10" t="n">
        <x:v>15</x:v>
      </x:c>
      <x:c r="E584" s="10" t="n">
        <x:f>SUMIF('Revenue and costs'!$D$1800:$D$1927,C584,'Revenue and costs'!N1800:N1927)</x:f>
        <x:v>31253.673716075995</x:v>
      </x:c>
      <x:c r="F584" s="10" t="n">
        <x:f>SUMIF('Revenue and costs'!$D$1800:$D$1927,C584,'Revenue and costs'!O1800:O1927)+SUMIF('Revenue and costs'!$D$1800:$D$1927,C584,'Revenue and costs'!P1800:P1927)+SUMIF('Revenue and costs'!$D$1800:$D$1927,C584,'Revenue and costs'!Q1800:Q1927)+SUMIF('Revenue and costs'!$D$1800:$D$1927,C584,'Revenue and costs'!R1800:R1927)+SUMIF('Revenue and costs'!$D$1800:$D$1927,C584,'Revenue and costs'!S1800:S1927)+SUMIF('Revenue and costs'!$D$1800:$D$1927,C584,'Revenue and costs'!T1800:T1927)+SUMIF('Revenue and costs'!$D$1800:$D$1927,C584,'Revenue and costs'!U1800:U1927)+SUMIF('Revenue and costs'!$D$1800:$D$1927,C584,'Revenue and costs'!V1800:V1927)+SUMIF('Revenue and costs'!$D$1800:$D$1927,C584,'Revenue and costs'!AE1800:AE1927)</x:f>
        <x:v>36163.181225620814</x:v>
      </x:c>
      <x:c r="G584" s="10" t="n">
        <x:f>IF('Income statement'!R50=0,1/39,E584/'Income statement'!R50)*('Shared costs'!V21+'Assumptions'!$D$18*'Assumptions'!$D$19*12*(1+'Assumptions'!$D$13)^(15-1)*'Assumptions'!$D$21)</x:f>
        <x:v>1510.1308180441933</x:v>
      </x:c>
      <x:c r="H584" s="10" t="n">
        <x:f>IF('Income statement'!R50=0,1/39,E584/'Income statement'!R50)*'Cash and capital'!R18</x:f>
        <x:v>5.778523891498774</x:v>
      </x:c>
      <x:c r="I584" s="10" t="n">
        <x:f>E584-F584-G584-H584</x:f>
        <x:v>-6425.4168514805115</x:v>
      </x:c>
      <x:c r="J584" s="10" t="n">
        <x:f>M545</x:f>
        <x:v>41434.45072202033</x:v>
      </x:c>
      <x:c r="K584" s="10" t="n">
        <x:f>MAX(0,I584-J584)</x:f>
        <x:v>0</x:v>
      </x:c>
      <x:c r="L584" s="10" t="n">
        <x:f>K584*'Assumptions'!$D$12</x:f>
        <x:v>0</x:v>
      </x:c>
      <x:c r="M584" s="10" t="n">
        <x:f>MAX(0,J584-I584)</x:f>
        <x:v>47859.867573500844</x:v>
      </x:c>
    </x:row>
    <x:row r="585" ht="16" customHeight="1">
      <x:c r="A585" s="1"/>
      <x:c r="B585" s="1"/>
      <x:c r="C585" s="1" t="str">
        <x:v>LesPetitFilms</x:v>
      </x:c>
      <x:c r="D585" s="10" t="n">
        <x:v>15</x:v>
      </x:c>
      <x:c r="E585" s="10" t="n">
        <x:f>SUMIF('Revenue and costs'!$D$1800:$D$1927,C585,'Revenue and costs'!N1800:N1927)</x:f>
        <x:v>114055.5182320539</x:v>
      </x:c>
      <x:c r="F585" s="10" t="n">
        <x:f>SUMIF('Revenue and costs'!$D$1800:$D$1927,C585,'Revenue and costs'!O1800:O1927)+SUMIF('Revenue and costs'!$D$1800:$D$1927,C585,'Revenue and costs'!P1800:P1927)+SUMIF('Revenue and costs'!$D$1800:$D$1927,C585,'Revenue and costs'!Q1800:Q1927)+SUMIF('Revenue and costs'!$D$1800:$D$1927,C585,'Revenue and costs'!R1800:R1927)+SUMIF('Revenue and costs'!$D$1800:$D$1927,C585,'Revenue and costs'!S1800:S1927)+SUMIF('Revenue and costs'!$D$1800:$D$1927,C585,'Revenue and costs'!T1800:T1927)+SUMIF('Revenue and costs'!$D$1800:$D$1927,C585,'Revenue and costs'!U1800:U1927)+SUMIF('Revenue and costs'!$D$1800:$D$1927,C585,'Revenue and costs'!V1800:V1927)+SUMIF('Revenue and costs'!$D$1800:$D$1927,C585,'Revenue and costs'!AE1800:AE1927)</x:f>
        <x:v>69573.39196061443</x:v>
      </x:c>
      <x:c r="G585" s="10" t="n">
        <x:f>IF('Income statement'!R50=0,1/39,E585/'Income statement'!R50)*('Shared costs'!V21+'Assumptions'!$D$18*'Assumptions'!$D$19*12*(1+'Assumptions'!$D$13)^(15-1)*'Assumptions'!$D$21)</x:f>
        <x:v>5510.9922313430725</x:v>
      </x:c>
      <x:c r="H585" s="10" t="n">
        <x:f>IF('Income statement'!R50=0,1/39,E585/'Income statement'!R50)*'Cash and capital'!R18</x:f>
        <x:v>21.087842122130734</x:v>
      </x:c>
      <x:c r="I585" s="10" t="n">
        <x:f>E585-F585-G585-H585</x:f>
        <x:v>38950.04619797427</x:v>
      </x:c>
      <x:c r="J585" s="10" t="n">
        <x:f>M546</x:f>
        <x:v>0</x:v>
      </x:c>
      <x:c r="K585" s="10" t="n">
        <x:f>MAX(0,I585-J585)</x:f>
        <x:v>38950.04619797427</x:v>
      </x:c>
      <x:c r="L585" s="10" t="n">
        <x:f>K585*'Assumptions'!$D$12</x:f>
        <x:v>9737.511549493567</x:v>
      </x:c>
      <x:c r="M585" s="10" t="n">
        <x:f>MAX(0,J585-I585)</x:f>
        <x:v>0</x:v>
      </x:c>
    </x:row>
    <x:row r="586" ht="16" customHeight="1">
      <x:c r="A586" s="1"/>
      <x:c r="B586" s="1"/>
      <x:c r="C586" s="1" t="str">
        <x:v>Learn Anglais</x:v>
      </x:c>
      <x:c r="D586" s="10" t="n">
        <x:v>15</x:v>
      </x:c>
      <x:c r="E586" s="10" t="n">
        <x:f>SUMIF('Revenue and costs'!$D$1800:$D$1927,C586,'Revenue and costs'!N1800:N1927)</x:f>
        <x:v>120842.42785741488</x:v>
      </x:c>
      <x:c r="F586" s="10" t="n">
        <x:f>SUMIF('Revenue and costs'!$D$1800:$D$1927,C586,'Revenue and costs'!O1800:O1927)+SUMIF('Revenue and costs'!$D$1800:$D$1927,C586,'Revenue and costs'!P1800:P1927)+SUMIF('Revenue and costs'!$D$1800:$D$1927,C586,'Revenue and costs'!Q1800:Q1927)+SUMIF('Revenue and costs'!$D$1800:$D$1927,C586,'Revenue and costs'!R1800:R1927)+SUMIF('Revenue and costs'!$D$1800:$D$1927,C586,'Revenue and costs'!S1800:S1927)+SUMIF('Revenue and costs'!$D$1800:$D$1927,C586,'Revenue and costs'!T1800:T1927)+SUMIF('Revenue and costs'!$D$1800:$D$1927,C586,'Revenue and costs'!U1800:U1927)+SUMIF('Revenue and costs'!$D$1800:$D$1927,C586,'Revenue and costs'!V1800:V1927)+SUMIF('Revenue and costs'!$D$1800:$D$1927,C586,'Revenue and costs'!AE1800:AE1927)</x:f>
        <x:v>77094.95862707747</x:v>
      </x:c>
      <x:c r="G586" s="10" t="n">
        <x:f>IF('Income statement'!R50=0,1/39,E586/'Income statement'!R50)*('Shared costs'!V21+'Assumptions'!$D$18*'Assumptions'!$D$19*12*(1+'Assumptions'!$D$13)^(15-1)*'Assumptions'!$D$21)</x:f>
        <x:v>5838.925564161689</x:v>
      </x:c>
      <x:c r="H586" s="10" t="n">
        <x:f>IF('Income statement'!R50=0,1/39,E586/'Income statement'!R50)*'Cash and capital'!R18</x:f>
        <x:v>22.342680826081835</x:v>
      </x:c>
      <x:c r="I586" s="10" t="n">
        <x:f>E586-F586-G586-H586</x:f>
        <x:v>37886.20098534963</x:v>
      </x:c>
      <x:c r="J586" s="10" t="n">
        <x:f>M547</x:f>
        <x:v>0</x:v>
      </x:c>
      <x:c r="K586" s="10" t="n">
        <x:f>MAX(0,I586-J586)</x:f>
        <x:v>37886.20098534963</x:v>
      </x:c>
      <x:c r="L586" s="10" t="n">
        <x:f>K586*'Assumptions'!$D$12</x:f>
        <x:v>9471.550246337407</x:v>
      </x:c>
      <x:c r="M586" s="10" t="n">
        <x:f>MAX(0,J586-I586)</x:f>
        <x:v>0</x:v>
      </x:c>
    </x:row>
    <x:row r="587" ht="16" customHeight="1">
      <x:c r="A587" s="1"/>
      <x:c r="B587" s="1"/>
      <x:c r="C587" s="1" t="str">
        <x:v>Fiefé</x:v>
      </x:c>
      <x:c r="D587" s="10" t="n">
        <x:v>15</x:v>
      </x:c>
      <x:c r="E587" s="10" t="n">
        <x:f>SUMIF('Revenue and costs'!$D$1800:$D$1927,C587,'Revenue and costs'!N1800:N1927)</x:f>
        <x:v>84040.32421007242</x:v>
      </x:c>
      <x:c r="F587" s="10" t="n">
        <x:f>SUMIF('Revenue and costs'!$D$1800:$D$1927,C587,'Revenue and costs'!O1800:O1927)+SUMIF('Revenue and costs'!$D$1800:$D$1927,C587,'Revenue and costs'!P1800:P1927)+SUMIF('Revenue and costs'!$D$1800:$D$1927,C587,'Revenue and costs'!Q1800:Q1927)+SUMIF('Revenue and costs'!$D$1800:$D$1927,C587,'Revenue and costs'!R1800:R1927)+SUMIF('Revenue and costs'!$D$1800:$D$1927,C587,'Revenue and costs'!S1800:S1927)+SUMIF('Revenue and costs'!$D$1800:$D$1927,C587,'Revenue and costs'!T1800:T1927)+SUMIF('Revenue and costs'!$D$1800:$D$1927,C587,'Revenue and costs'!U1800:U1927)+SUMIF('Revenue and costs'!$D$1800:$D$1927,C587,'Revenue and costs'!V1800:V1927)+SUMIF('Revenue and costs'!$D$1800:$D$1927,C587,'Revenue and costs'!AE1800:AE1927)</x:f>
        <x:v>69889.8673099179</x:v>
      </x:c>
      <x:c r="G587" s="10" t="n">
        <x:f>IF('Income statement'!R50=0,1/39,E587/'Income statement'!R50)*('Shared costs'!V21+'Assumptions'!$D$18*'Assumptions'!$D$19*12*(1+'Assumptions'!$D$13)^(15-1)*'Assumptions'!$D$21)</x:f>
        <x:v>4060.7029017128334</x:v>
      </x:c>
      <x:c r="H587" s="10" t="n">
        <x:f>IF('Income statement'!R50=0,1/39,E587/'Income statement'!R50)*'Cash and capital'!R18</x:f>
        <x:v>15.538302015593535</x:v>
      </x:c>
      <x:c r="I587" s="10" t="n">
        <x:f>E587-F587-G587-H587</x:f>
        <x:v>10074.21569642609</x:v>
      </x:c>
      <x:c r="J587" s="10" t="n">
        <x:f>M548</x:f>
        <x:v>0</x:v>
      </x:c>
      <x:c r="K587" s="10" t="n">
        <x:f>MAX(0,I587-J587)</x:f>
        <x:v>10074.21569642609</x:v>
      </x:c>
      <x:c r="L587" s="10" t="n">
        <x:f>K587*'Assumptions'!$D$12</x:f>
        <x:v>2518.5539241065226</x:v>
      </x:c>
      <x:c r="M587" s="10" t="n">
        <x:f>MAX(0,J587-I587)</x:f>
        <x:v>0</x:v>
      </x:c>
    </x:row>
    <x:row r="588" ht="16" customHeight="1">
      <x:c r="A588" s="1"/>
      <x:c r="B588" s="1"/>
      <x:c r="C588" s="1" t="str">
        <x:v>Fiefé Design</x:v>
      </x:c>
      <x:c r="D588" s="10" t="n">
        <x:v>15</x:v>
      </x:c>
      <x:c r="E588" s="10" t="n">
        <x:f>SUMIF('Revenue and costs'!$D$1800:$D$1927,C588,'Revenue and costs'!N1800:N1927)</x:f>
        <x:v>52361.57271655602</x:v>
      </x:c>
      <x:c r="F588" s="10" t="n">
        <x:f>SUMIF('Revenue and costs'!$D$1800:$D$1927,C588,'Revenue and costs'!O1800:O1927)+SUMIF('Revenue and costs'!$D$1800:$D$1927,C588,'Revenue and costs'!P1800:P1927)+SUMIF('Revenue and costs'!$D$1800:$D$1927,C588,'Revenue and costs'!Q1800:Q1927)+SUMIF('Revenue and costs'!$D$1800:$D$1927,C588,'Revenue and costs'!R1800:R1927)+SUMIF('Revenue and costs'!$D$1800:$D$1927,C588,'Revenue and costs'!S1800:S1927)+SUMIF('Revenue and costs'!$D$1800:$D$1927,C588,'Revenue and costs'!T1800:T1927)+SUMIF('Revenue and costs'!$D$1800:$D$1927,C588,'Revenue and costs'!U1800:U1927)+SUMIF('Revenue and costs'!$D$1800:$D$1927,C588,'Revenue and costs'!V1800:V1927)+SUMIF('Revenue and costs'!$D$1800:$D$1927,C588,'Revenue and costs'!AE1800:AE1927)</x:f>
        <x:v>40783.70013301572</x:v>
      </x:c>
      <x:c r="G588" s="10" t="n">
        <x:f>IF('Income statement'!R50=0,1/39,E588/'Income statement'!R50)*('Shared costs'!V21+'Assumptions'!$D$18*'Assumptions'!$D$19*12*(1+'Assumptions'!$D$13)^(15-1)*'Assumptions'!$D$21)</x:f>
        <x:v>2530.032960568743</x:v>
      </x:c>
      <x:c r="H588" s="10" t="n">
        <x:f>IF('Income statement'!R50=0,1/39,E588/'Income statement'!R50)*'Cash and capital'!R18</x:f>
        <x:v>9.68118505644457</x:v>
      </x:c>
      <x:c r="I588" s="10" t="n">
        <x:f>E588-F588-G588-H588</x:f>
        <x:v>9038.158437915106</x:v>
      </x:c>
      <x:c r="J588" s="10" t="n">
        <x:f>M549</x:f>
        <x:v>0</x:v>
      </x:c>
      <x:c r="K588" s="10" t="n">
        <x:f>MAX(0,I588-J588)</x:f>
        <x:v>9038.158437915106</x:v>
      </x:c>
      <x:c r="L588" s="10" t="n">
        <x:f>K588*'Assumptions'!$D$12</x:f>
        <x:v>2259.5396094787766</x:v>
      </x:c>
      <x:c r="M588" s="10" t="n">
        <x:f>MAX(0,J588-I588)</x:f>
        <x:v>0</x:v>
      </x:c>
    </x:row>
    <x:row r="589" ht="16" customHeight="1">
      <x:c r="A589" s="1"/>
      <x:c r="B589" s="1"/>
      <x:c r="C589" s="1" t="str">
        <x:v>OsezArt</x:v>
      </x:c>
      <x:c r="D589" s="10" t="n">
        <x:v>15</x:v>
      </x:c>
      <x:c r="E589" s="10" t="n">
        <x:f>SUMIF('Revenue and costs'!$D$1800:$D$1927,C589,'Revenue and costs'!N1800:N1927)</x:f>
        <x:v>206252.7041850439</x:v>
      </x:c>
      <x:c r="F589" s="10" t="n">
        <x:f>SUMIF('Revenue and costs'!$D$1800:$D$1927,C589,'Revenue and costs'!O1800:O1927)+SUMIF('Revenue and costs'!$D$1800:$D$1927,C589,'Revenue and costs'!P1800:P1927)+SUMIF('Revenue and costs'!$D$1800:$D$1927,C589,'Revenue and costs'!Q1800:Q1927)+SUMIF('Revenue and costs'!$D$1800:$D$1927,C589,'Revenue and costs'!R1800:R1927)+SUMIF('Revenue and costs'!$D$1800:$D$1927,C589,'Revenue and costs'!S1800:S1927)+SUMIF('Revenue and costs'!$D$1800:$D$1927,C589,'Revenue and costs'!T1800:T1927)+SUMIF('Revenue and costs'!$D$1800:$D$1927,C589,'Revenue and costs'!U1800:U1927)+SUMIF('Revenue and costs'!$D$1800:$D$1927,C589,'Revenue and costs'!V1800:V1927)+SUMIF('Revenue and costs'!$D$1800:$D$1927,C589,'Revenue and costs'!AE1800:AE1927)</x:f>
        <x:v>118811.49820429888</x:v>
      </x:c>
      <x:c r="G589" s="10" t="n">
        <x:f>IF('Income statement'!R50=0,1/39,E589/'Income statement'!R50)*('Shared costs'!V21+'Assumptions'!$D$18*'Assumptions'!$D$19*12*(1+'Assumptions'!$D$13)^(15-1)*'Assumptions'!$D$21)</x:f>
        <x:v>9965.822505358046</x:v>
      </x:c>
      <x:c r="H589" s="10" t="n">
        <x:f>IF('Income statement'!R50=0,1/39,E589/'Income statement'!R50)*'Cash and capital'!R18</x:f>
        <x:v>38.134274698287996</x:v>
      </x:c>
      <x:c r="I589" s="10" t="n">
        <x:f>E589-F589-G589-H589</x:f>
        <x:v>77437.24920068869</x:v>
      </x:c>
      <x:c r="J589" s="10" t="n">
        <x:f>M550</x:f>
        <x:v>0</x:v>
      </x:c>
      <x:c r="K589" s="10" t="n">
        <x:f>MAX(0,I589-J589)</x:f>
        <x:v>77437.24920068869</x:v>
      </x:c>
      <x:c r="L589" s="10" t="n">
        <x:f>K589*'Assumptions'!$D$12</x:f>
        <x:v>19359.312300172172</x:v>
      </x:c>
      <x:c r="M589" s="10" t="n">
        <x:f>MAX(0,J589-I589)</x:f>
        <x:v>0</x:v>
      </x:c>
    </x:row>
    <x:row r="590" ht="16" customHeight="1">
      <x:c r="A590" s="1"/>
      <x:c r="B590" s="1"/>
      <x:c r="C590" s="1" t="str">
        <x:v>FinBot research</x:v>
      </x:c>
      <x:c r="D590" s="10" t="n">
        <x:v>15</x:v>
      </x:c>
      <x:c r="E590" s="10" t="n">
        <x:f>SUMIF('Revenue and costs'!$D$1800:$D$1927,C590,'Revenue and costs'!N1800:N1927)</x:f>
        <x:v>10368.617807547229</x:v>
      </x:c>
      <x:c r="F590" s="10" t="n">
        <x:f>SUMIF('Revenue and costs'!$D$1800:$D$1927,C590,'Revenue and costs'!O1800:O1927)+SUMIF('Revenue and costs'!$D$1800:$D$1927,C590,'Revenue and costs'!P1800:P1927)+SUMIF('Revenue and costs'!$D$1800:$D$1927,C590,'Revenue and costs'!Q1800:Q1927)+SUMIF('Revenue and costs'!$D$1800:$D$1927,C590,'Revenue and costs'!R1800:R1927)+SUMIF('Revenue and costs'!$D$1800:$D$1927,C590,'Revenue and costs'!S1800:S1927)+SUMIF('Revenue and costs'!$D$1800:$D$1927,C590,'Revenue and costs'!T1800:T1927)+SUMIF('Revenue and costs'!$D$1800:$D$1927,C590,'Revenue and costs'!U1800:U1927)+SUMIF('Revenue and costs'!$D$1800:$D$1927,C590,'Revenue and costs'!V1800:V1927)+SUMIF('Revenue and costs'!$D$1800:$D$1927,C590,'Revenue and costs'!AE1800:AE1927)</x:f>
        <x:v>6345.750944632975</x:v>
      </x:c>
      <x:c r="G590" s="10" t="n">
        <x:f>IF('Income statement'!R50=0,1/39,E590/'Income statement'!R50)*('Shared costs'!V21+'Assumptions'!$D$18*'Assumptions'!$D$19*12*(1+'Assumptions'!$D$13)^(15-1)*'Assumptions'!$D$21)</x:f>
        <x:v>500.9961207742717</x:v>
      </x:c>
      <x:c r="H590" s="10" t="n">
        <x:f>IF('Income statement'!R50=0,1/39,E590/'Income statement'!R50)*'Cash and capital'!R18</x:f>
        <x:v>1.917064415115865</x:v>
      </x:c>
      <x:c r="I590" s="10" t="n">
        <x:f>E590-F590-G590-H590</x:f>
        <x:v>3519.9536777248663</x:v>
      </x:c>
      <x:c r="J590" s="10" t="n">
        <x:f>M551</x:f>
        <x:v>0</x:v>
      </x:c>
      <x:c r="K590" s="10" t="n">
        <x:f>MAX(0,I590-J590)</x:f>
        <x:v>3519.9536777248663</x:v>
      </x:c>
      <x:c r="L590" s="10" t="n">
        <x:f>K590*'Assumptions'!$D$12</x:f>
        <x:v>879.9884194312166</x:v>
      </x:c>
      <x:c r="M590" s="10" t="n">
        <x:f>MAX(0,J590-I590)</x:f>
        <x:v>0</x:v>
      </x:c>
    </x:row>
    <x:row r="591" ht="16" customHeight="1">
      <x:c r="A591" s="1"/>
      <x:c r="B591" s="1"/>
      <x:c r="C591" s="1" t="str">
        <x:v>Functional Analysis</x:v>
      </x:c>
      <x:c r="D591" s="10" t="n">
        <x:v>15</x:v>
      </x:c>
      <x:c r="E591" s="10" t="n">
        <x:f>SUMIF('Revenue and costs'!$D$1800:$D$1927,C591,'Revenue and costs'!N1800:N1927)</x:f>
        <x:v>22307.38930688827</x:v>
      </x:c>
      <x:c r="F591" s="10" t="n">
        <x:f>SUMIF('Revenue and costs'!$D$1800:$D$1927,C591,'Revenue and costs'!O1800:O1927)+SUMIF('Revenue and costs'!$D$1800:$D$1927,C591,'Revenue and costs'!P1800:P1927)+SUMIF('Revenue and costs'!$D$1800:$D$1927,C591,'Revenue and costs'!Q1800:Q1927)+SUMIF('Revenue and costs'!$D$1800:$D$1927,C591,'Revenue and costs'!R1800:R1927)+SUMIF('Revenue and costs'!$D$1800:$D$1927,C591,'Revenue and costs'!S1800:S1927)+SUMIF('Revenue and costs'!$D$1800:$D$1927,C591,'Revenue and costs'!T1800:T1927)+SUMIF('Revenue and costs'!$D$1800:$D$1927,C591,'Revenue and costs'!U1800:U1927)+SUMIF('Revenue and costs'!$D$1800:$D$1927,C591,'Revenue and costs'!V1800:V1927)+SUMIF('Revenue and costs'!$D$1800:$D$1927,C591,'Revenue and costs'!AE1800:AE1927)</x:f>
        <x:v>12321.404789005988</x:v>
      </x:c>
      <x:c r="G591" s="10" t="n">
        <x:f>IF('Income statement'!R50=0,1/39,E591/'Income statement'!R50)*('Shared costs'!V21+'Assumptions'!$D$18*'Assumptions'!$D$19*12*(1+'Assumptions'!$D$13)^(15-1)*'Assumptions'!$D$21)</x:f>
        <x:v>1077.8597219793016</x:v>
      </x:c>
      <x:c r="H591" s="10" t="n">
        <x:f>IF('Income statement'!R50=0,1/39,E591/'Income statement'!R50)*'Cash and capital'!R18</x:f>
        <x:v>4.124436161900345</x:v>
      </x:c>
      <x:c r="I591" s="10" t="n">
        <x:f>E591-F591-G591-H591</x:f>
        <x:v>8904.000359741081</x:v>
      </x:c>
      <x:c r="J591" s="10" t="n">
        <x:f>M552</x:f>
        <x:v>0</x:v>
      </x:c>
      <x:c r="K591" s="10" t="n">
        <x:f>MAX(0,I591-J591)</x:f>
        <x:v>8904.000359741081</x:v>
      </x:c>
      <x:c r="L591" s="10" t="n">
        <x:f>K591*'Assumptions'!$D$12</x:f>
        <x:v>2226.0000899352704</x:v>
      </x:c>
      <x:c r="M591" s="10" t="n">
        <x:f>MAX(0,J591-I591)</x:f>
        <x:v>0</x:v>
      </x:c>
    </x:row>
    <x:row r="592" ht="16" customHeight="1">
      <x:c r="A592" s="1"/>
      <x:c r="B592" s="1"/>
      <x:c r="C592" s="1" t="str">
        <x:v>Independent candy game</x:v>
      </x:c>
      <x:c r="D592" s="10" t="n">
        <x:v>15</x:v>
      </x:c>
      <x:c r="E592" s="10" t="n">
        <x:f>SUMIF('Revenue and costs'!$D$1800:$D$1927,C592,'Revenue and costs'!N1800:N1927)</x:f>
        <x:v>8920.586699941497</x:v>
      </x:c>
      <x:c r="F592" s="10" t="n">
        <x:f>SUMIF('Revenue and costs'!$D$1800:$D$1927,C592,'Revenue and costs'!O1800:O1927)+SUMIF('Revenue and costs'!$D$1800:$D$1927,C592,'Revenue and costs'!P1800:P1927)+SUMIF('Revenue and costs'!$D$1800:$D$1927,C592,'Revenue and costs'!Q1800:Q1927)+SUMIF('Revenue and costs'!$D$1800:$D$1927,C592,'Revenue and costs'!R1800:R1927)+SUMIF('Revenue and costs'!$D$1800:$D$1927,C592,'Revenue and costs'!S1800:S1927)+SUMIF('Revenue and costs'!$D$1800:$D$1927,C592,'Revenue and costs'!T1800:T1927)+SUMIF('Revenue and costs'!$D$1800:$D$1927,C592,'Revenue and costs'!U1800:U1927)+SUMIF('Revenue and costs'!$D$1800:$D$1927,C592,'Revenue and costs'!V1800:V1927)+SUMIF('Revenue and costs'!$D$1800:$D$1927,C592,'Revenue and costs'!AE1800:AE1927)</x:f>
        <x:v>8948.779193964463</x:v>
      </x:c>
      <x:c r="G592" s="10" t="n">
        <x:f>IF('Income statement'!R50=0,1/39,E592/'Income statement'!R50)*('Shared costs'!V21+'Assumptions'!$D$18*'Assumptions'!$D$19*12*(1+'Assumptions'!$D$13)^(15-1)*'Assumptions'!$D$21)</x:f>
        <x:v>431.0294211488993</x:v>
      </x:c>
      <x:c r="H592" s="10" t="n">
        <x:f>IF('Income statement'!R50=0,1/39,E592/'Income statement'!R50)*'Cash and capital'!R18</x:f>
        <x:v>1.6493364536945117</x:v>
      </x:c>
      <x:c r="I592" s="10" t="n">
        <x:f>E592-F592-G592-H592</x:f>
        <x:v>-460.87125162555935</x:v>
      </x:c>
      <x:c r="J592" s="10" t="n">
        <x:f>M553</x:f>
        <x:v>1032.5843425139844</x:v>
      </x:c>
      <x:c r="K592" s="10" t="n">
        <x:f>MAX(0,I592-J592)</x:f>
        <x:v>0</x:v>
      </x:c>
      <x:c r="L592" s="10" t="n">
        <x:f>K592*'Assumptions'!$D$12</x:f>
        <x:v>0</x:v>
      </x:c>
      <x:c r="M592" s="10" t="n">
        <x:f>MAX(0,J592-I592)</x:f>
        <x:v>1493.4555941395438</x:v>
      </x:c>
    </x:row>
    <x:row r="593" ht="16" customHeight="1">
      <x:c r="A593" s="1"/>
      <x:c r="B593" s="1"/>
      <x:c r="C593" s="1" t="str">
        <x:v>ETV courses</x:v>
      </x:c>
      <x:c r="D593" s="10" t="n">
        <x:v>16</x:v>
      </x:c>
      <x:c r="E593" s="10" t="n">
        <x:f>SUMIF('Revenue and costs'!$D$1928:$D$2055,C593,'Revenue and costs'!N1928:N2055)</x:f>
        <x:v>62578.02551590034</x:v>
      </x:c>
      <x:c r="F593" s="10" t="n">
        <x:f>SUMIF('Revenue and costs'!$D$1928:$D$2055,C593,'Revenue and costs'!O1928:O2055)+SUMIF('Revenue and costs'!$D$1928:$D$2055,C593,'Revenue and costs'!P1928:P2055)+SUMIF('Revenue and costs'!$D$1928:$D$2055,C593,'Revenue and costs'!Q1928:Q2055)+SUMIF('Revenue and costs'!$D$1928:$D$2055,C593,'Revenue and costs'!R1928:R2055)+SUMIF('Revenue and costs'!$D$1928:$D$2055,C593,'Revenue and costs'!S1928:S2055)+SUMIF('Revenue and costs'!$D$1928:$D$2055,C593,'Revenue and costs'!T1928:T2055)+SUMIF('Revenue and costs'!$D$1928:$D$2055,C593,'Revenue and costs'!U1928:U2055)+SUMIF('Revenue and costs'!$D$1928:$D$2055,C593,'Revenue and costs'!V1928:V2055)+SUMIF('Revenue and costs'!$D$1928:$D$2055,C593,'Revenue and costs'!AE1928:AE2055)</x:f>
        <x:v>24553.48670924837</x:v>
      </x:c>
      <x:c r="G593" s="10" t="n">
        <x:f>IF('Income statement'!S50=0,1/39,E593/'Income statement'!S50)*('Shared costs'!W21+'Assumptions'!$D$18*'Assumptions'!$D$19*12*(1+'Assumptions'!$D$13)^(16-1)*'Assumptions'!$D$21)</x:f>
        <x:v>3106.920223642039</x:v>
      </x:c>
      <x:c r="H593" s="10" t="n">
        <x:f>IF('Income statement'!S50=0,1/39,E593/'Income statement'!S50)*'Cash and capital'!S18</x:f>
        <x:v>12.083540950889477</x:v>
      </x:c>
      <x:c r="I593" s="10" t="n">
        <x:f>E593-F593-G593-H593</x:f>
        <x:v>34905.53504205905</x:v>
      </x:c>
      <x:c r="J593" s="10" t="n">
        <x:f>M554</x:f>
        <x:v>0</x:v>
      </x:c>
      <x:c r="K593" s="10" t="n">
        <x:f>MAX(0,I593-J593)</x:f>
        <x:v>34905.53504205905</x:v>
      </x:c>
      <x:c r="L593" s="10" t="n">
        <x:f>K593*'Assumptions'!$D$12</x:f>
        <x:v>8726.383760514762</x:v>
      </x:c>
      <x:c r="M593" s="10" t="n">
        <x:f>MAX(0,J593-I593)</x:f>
        <x:v>0</x:v>
      </x:c>
    </x:row>
    <x:row r="594" ht="16" customHeight="1">
      <x:c r="A594" s="1"/>
      <x:c r="B594" s="1"/>
      <x:c r="C594" s="1" t="str">
        <x:v>ETV services</x:v>
      </x:c>
      <x:c r="D594" s="10" t="n">
        <x:v>16</x:v>
      </x:c>
      <x:c r="E594" s="10" t="n">
        <x:f>SUMIF('Revenue and costs'!$D$1928:$D$2055,C594,'Revenue and costs'!N1928:N2055)</x:f>
        <x:v>159393.0777907815</x:v>
      </x:c>
      <x:c r="F594" s="10" t="n">
        <x:f>SUMIF('Revenue and costs'!$D$1928:$D$2055,C594,'Revenue and costs'!O1928:O2055)+SUMIF('Revenue and costs'!$D$1928:$D$2055,C594,'Revenue and costs'!P1928:P2055)+SUMIF('Revenue and costs'!$D$1928:$D$2055,C594,'Revenue and costs'!Q1928:Q2055)+SUMIF('Revenue and costs'!$D$1928:$D$2055,C594,'Revenue and costs'!R1928:R2055)+SUMIF('Revenue and costs'!$D$1928:$D$2055,C594,'Revenue and costs'!S1928:S2055)+SUMIF('Revenue and costs'!$D$1928:$D$2055,C594,'Revenue and costs'!T1928:T2055)+SUMIF('Revenue and costs'!$D$1928:$D$2055,C594,'Revenue and costs'!U1928:U2055)+SUMIF('Revenue and costs'!$D$1928:$D$2055,C594,'Revenue and costs'!V1928:V2055)+SUMIF('Revenue and costs'!$D$1928:$D$2055,C594,'Revenue and costs'!AE1928:AE2055)</x:f>
        <x:v>114557.85505062378</x:v>
      </x:c>
      <x:c r="G594" s="10" t="n">
        <x:f>IF('Income statement'!S50=0,1/39,E594/'Income statement'!S50)*('Shared costs'!W21+'Assumptions'!$D$18*'Assumptions'!$D$19*12*(1+'Assumptions'!$D$13)^(16-1)*'Assumptions'!$D$21)</x:f>
        <x:v>7913.665744709343</x:v>
      </x:c>
      <x:c r="H594" s="10" t="n">
        <x:f>IF('Income statement'!S50=0,1/39,E594/'Income statement'!S50)*'Cash and capital'!S18</x:f>
        <x:v>30.778100889166563</x:v>
      </x:c>
      <x:c r="I594" s="10" t="n">
        <x:f>E594-F594-G594-H594</x:f>
        <x:v>36890.77889455921</x:v>
      </x:c>
      <x:c r="J594" s="10" t="n">
        <x:f>M555</x:f>
        <x:v>0</x:v>
      </x:c>
      <x:c r="K594" s="10" t="n">
        <x:f>MAX(0,I594-J594)</x:f>
        <x:v>36890.77889455921</x:v>
      </x:c>
      <x:c r="L594" s="10" t="n">
        <x:f>K594*'Assumptions'!$D$12</x:f>
        <x:v>9222.694723639803</x:v>
      </x:c>
      <x:c r="M594" s="10" t="n">
        <x:f>MAX(0,J594-I594)</x:f>
        <x:v>0</x:v>
      </x:c>
    </x:row>
    <x:row r="595" ht="16" customHeight="1">
      <x:c r="A595" s="1"/>
      <x:c r="B595" s="1"/>
      <x:c r="C595" s="1" t="str">
        <x:v>BPA professional services</x:v>
      </x:c>
      <x:c r="D595" s="10" t="n">
        <x:v>16</x:v>
      </x:c>
      <x:c r="E595" s="10" t="n">
        <x:f>SUMIF('Revenue and costs'!$D$1928:$D$2055,C595,'Revenue and costs'!N1928:N2055)</x:f>
        <x:v>829185.658658393</x:v>
      </x:c>
      <x:c r="F595" s="10" t="n">
        <x:f>SUMIF('Revenue and costs'!$D$1928:$D$2055,C595,'Revenue and costs'!O1928:O2055)+SUMIF('Revenue and costs'!$D$1928:$D$2055,C595,'Revenue and costs'!P1928:P2055)+SUMIF('Revenue and costs'!$D$1928:$D$2055,C595,'Revenue and costs'!Q1928:Q2055)+SUMIF('Revenue and costs'!$D$1928:$D$2055,C595,'Revenue and costs'!R1928:R2055)+SUMIF('Revenue and costs'!$D$1928:$D$2055,C595,'Revenue and costs'!S1928:S2055)+SUMIF('Revenue and costs'!$D$1928:$D$2055,C595,'Revenue and costs'!T1928:T2055)+SUMIF('Revenue and costs'!$D$1928:$D$2055,C595,'Revenue and costs'!U1928:U2055)+SUMIF('Revenue and costs'!$D$1928:$D$2055,C595,'Revenue and costs'!V1928:V2055)+SUMIF('Revenue and costs'!$D$1928:$D$2055,C595,'Revenue and costs'!AE1928:AE2055)</x:f>
        <x:v>517824.45661688707</x:v>
      </x:c>
      <x:c r="G595" s="10" t="n">
        <x:f>IF('Income statement'!S50=0,1/39,E595/'Income statement'!S50)*('Shared costs'!W21+'Assumptions'!$D$18*'Assumptions'!$D$19*12*(1+'Assumptions'!$D$13)^(16-1)*'Assumptions'!$D$21)</x:f>
        <x:v>41168.02457094336</x:v>
      </x:c>
      <x:c r="H595" s="10" t="n">
        <x:f>IF('Income statement'!S50=0,1/39,E595/'Income statement'!S50)*'Cash and capital'!S18</x:f>
        <x:v>160.11209653368047</x:v>
      </x:c>
      <x:c r="I595" s="10" t="n">
        <x:f>E595-F595-G595-H595</x:f>
        <x:v>270033.0653740288</x:v>
      </x:c>
      <x:c r="J595" s="10" t="n">
        <x:f>M556</x:f>
        <x:v>0</x:v>
      </x:c>
      <x:c r="K595" s="10" t="n">
        <x:f>MAX(0,I595-J595)</x:f>
        <x:v>270033.0653740288</x:v>
      </x:c>
      <x:c r="L595" s="10" t="n">
        <x:f>K595*'Assumptions'!$D$12</x:f>
        <x:v>67508.2663435072</x:v>
      </x:c>
      <x:c r="M595" s="10" t="n">
        <x:f>MAX(0,J595-I595)</x:f>
        <x:v>0</x:v>
      </x:c>
    </x:row>
    <x:row r="596" ht="16" customHeight="1">
      <x:c r="A596" s="1"/>
      <x:c r="B596" s="1"/>
      <x:c r="C596" s="1" t="str">
        <x:v>CornerFlow</x:v>
      </x:c>
      <x:c r="D596" s="10" t="n">
        <x:v>16</x:v>
      </x:c>
      <x:c r="E596" s="10" t="n">
        <x:f>SUMIF('Revenue and costs'!$D$1928:$D$2055,C596,'Revenue and costs'!N1928:N2055)</x:f>
        <x:v>30787.303410157692</x:v>
      </x:c>
      <x:c r="F596" s="10" t="n">
        <x:f>SUMIF('Revenue and costs'!$D$1928:$D$2055,C596,'Revenue and costs'!O1928:O2055)+SUMIF('Revenue and costs'!$D$1928:$D$2055,C596,'Revenue and costs'!P1928:P2055)+SUMIF('Revenue and costs'!$D$1928:$D$2055,C596,'Revenue and costs'!Q1928:Q2055)+SUMIF('Revenue and costs'!$D$1928:$D$2055,C596,'Revenue and costs'!R1928:R2055)+SUMIF('Revenue and costs'!$D$1928:$D$2055,C596,'Revenue and costs'!S1928:S2055)+SUMIF('Revenue and costs'!$D$1928:$D$2055,C596,'Revenue and costs'!T1928:T2055)+SUMIF('Revenue and costs'!$D$1928:$D$2055,C596,'Revenue and costs'!U1928:U2055)+SUMIF('Revenue and costs'!$D$1928:$D$2055,C596,'Revenue and costs'!V1928:V2055)+SUMIF('Revenue and costs'!$D$1928:$D$2055,C596,'Revenue and costs'!AE1928:AE2055)</x:f>
        <x:v>12902.804267173522</x:v>
      </x:c>
      <x:c r="G596" s="10" t="n">
        <x:f>IF('Income statement'!S50=0,1/39,E596/'Income statement'!S50)*('Shared costs'!W21+'Assumptions'!$D$18*'Assumptions'!$D$19*12*(1+'Assumptions'!$D$13)^(16-1)*'Assumptions'!$D$21)</x:f>
        <x:v>1528.550874014361</x:v>
      </x:c>
      <x:c r="H596" s="10" t="n">
        <x:f>IF('Income statement'!S50=0,1/39,E596/'Income statement'!S50)*'Cash and capital'!S18</x:f>
        <x:v>5.944892611377997</x:v>
      </x:c>
      <x:c r="I596" s="10" t="n">
        <x:f>E596-F596-G596-H596</x:f>
        <x:v>16350.003376358429</x:v>
      </x:c>
      <x:c r="J596" s="10" t="n">
        <x:f>M557</x:f>
        <x:v>0</x:v>
      </x:c>
      <x:c r="K596" s="10" t="n">
        <x:f>MAX(0,I596-J596)</x:f>
        <x:v>16350.003376358429</x:v>
      </x:c>
      <x:c r="L596" s="10" t="n">
        <x:f>K596*'Assumptions'!$D$12</x:f>
        <x:v>4087.500844089607</x:v>
      </x:c>
      <x:c r="M596" s="10" t="n">
        <x:f>MAX(0,J596-I596)</x:f>
        <x:v>0</x:v>
      </x:c>
    </x:row>
    <x:row r="597" ht="16" customHeight="1">
      <x:c r="A597" s="1"/>
      <x:c r="B597" s="1"/>
      <x:c r="C597" s="1" t="str">
        <x:v>Spindle</x:v>
      </x:c>
      <x:c r="D597" s="10" t="n">
        <x:v>16</x:v>
      </x:c>
      <x:c r="E597" s="10" t="n">
        <x:f>SUMIF('Revenue and costs'!$D$1928:$D$2055,C597,'Revenue and costs'!N1928:N2055)</x:f>
        <x:v>30787.303410157692</x:v>
      </x:c>
      <x:c r="F597" s="10" t="n">
        <x:f>SUMIF('Revenue and costs'!$D$1928:$D$2055,C597,'Revenue and costs'!O1928:O2055)+SUMIF('Revenue and costs'!$D$1928:$D$2055,C597,'Revenue and costs'!P1928:P2055)+SUMIF('Revenue and costs'!$D$1928:$D$2055,C597,'Revenue and costs'!Q1928:Q2055)+SUMIF('Revenue and costs'!$D$1928:$D$2055,C597,'Revenue and costs'!R1928:R2055)+SUMIF('Revenue and costs'!$D$1928:$D$2055,C597,'Revenue and costs'!S1928:S2055)+SUMIF('Revenue and costs'!$D$1928:$D$2055,C597,'Revenue and costs'!T1928:T2055)+SUMIF('Revenue and costs'!$D$1928:$D$2055,C597,'Revenue and costs'!U1928:U2055)+SUMIF('Revenue and costs'!$D$1928:$D$2055,C597,'Revenue and costs'!V1928:V2055)+SUMIF('Revenue and costs'!$D$1928:$D$2055,C597,'Revenue and costs'!AE1928:AE2055)</x:f>
        <x:v>12902.804267173522</x:v>
      </x:c>
      <x:c r="G597" s="10" t="n">
        <x:f>IF('Income statement'!S50=0,1/39,E597/'Income statement'!S50)*('Shared costs'!W21+'Assumptions'!$D$18*'Assumptions'!$D$19*12*(1+'Assumptions'!$D$13)^(16-1)*'Assumptions'!$D$21)</x:f>
        <x:v>1528.550874014361</x:v>
      </x:c>
      <x:c r="H597" s="10" t="n">
        <x:f>IF('Income statement'!S50=0,1/39,E597/'Income statement'!S50)*'Cash and capital'!S18</x:f>
        <x:v>5.944892611377997</x:v>
      </x:c>
      <x:c r="I597" s="10" t="n">
        <x:f>E597-F597-G597-H597</x:f>
        <x:v>16350.003376358429</x:v>
      </x:c>
      <x:c r="J597" s="10" t="n">
        <x:f>M558</x:f>
        <x:v>0</x:v>
      </x:c>
      <x:c r="K597" s="10" t="n">
        <x:f>MAX(0,I597-J597)</x:f>
        <x:v>16350.003376358429</x:v>
      </x:c>
      <x:c r="L597" s="10" t="n">
        <x:f>K597*'Assumptions'!$D$12</x:f>
        <x:v>4087.500844089607</x:v>
      </x:c>
      <x:c r="M597" s="10" t="n">
        <x:f>MAX(0,J597-I597)</x:f>
        <x:v>0</x:v>
      </x:c>
    </x:row>
    <x:row r="598" ht="16" customHeight="1">
      <x:c r="A598" s="1"/>
      <x:c r="B598" s="1"/>
      <x:c r="C598" s="1" t="str">
        <x:v>Maison Contour</x:v>
      </x:c>
      <x:c r="D598" s="10" t="n">
        <x:v>16</x:v>
      </x:c>
      <x:c r="E598" s="10" t="n">
        <x:f>SUMIF('Revenue and costs'!$D$1928:$D$2055,C598,'Revenue and costs'!N1928:N2055)</x:f>
        <x:v>43372.22714951364</x:v>
      </x:c>
      <x:c r="F598" s="10" t="n">
        <x:f>SUMIF('Revenue and costs'!$D$1928:$D$2055,C598,'Revenue and costs'!O1928:O2055)+SUMIF('Revenue and costs'!$D$1928:$D$2055,C598,'Revenue and costs'!P1928:P2055)+SUMIF('Revenue and costs'!$D$1928:$D$2055,C598,'Revenue and costs'!Q1928:Q2055)+SUMIF('Revenue and costs'!$D$1928:$D$2055,C598,'Revenue and costs'!R1928:R2055)+SUMIF('Revenue and costs'!$D$1928:$D$2055,C598,'Revenue and costs'!S1928:S2055)+SUMIF('Revenue and costs'!$D$1928:$D$2055,C598,'Revenue and costs'!T1928:T2055)+SUMIF('Revenue and costs'!$D$1928:$D$2055,C598,'Revenue and costs'!U1928:U2055)+SUMIF('Revenue and costs'!$D$1928:$D$2055,C598,'Revenue and costs'!V1928:V2055)+SUMIF('Revenue and costs'!$D$1928:$D$2055,C598,'Revenue and costs'!AE1928:AE2055)</x:f>
        <x:v>13908.30075150351</x:v>
      </x:c>
      <x:c r="G598" s="10" t="n">
        <x:f>IF('Income statement'!S50=0,1/39,E598/'Income statement'!S50)*('Shared costs'!W21+'Assumptions'!$D$18*'Assumptions'!$D$19*12*(1+'Assumptions'!$D$13)^(16-1)*'Assumptions'!$D$21)</x:f>
        <x:v>2153.376501803829</x:v>
      </x:c>
      <x:c r="H598" s="10" t="n">
        <x:f>IF('Income statement'!S50=0,1/39,E598/'Income statement'!S50)*'Cash and capital'!S18</x:f>
        <x:v>8.374985924719905</x:v>
      </x:c>
      <x:c r="I598" s="10" t="n">
        <x:f>E598-F598-G598-H598</x:f>
        <x:v>27302.17491028158</x:v>
      </x:c>
      <x:c r="J598" s="10" t="n">
        <x:f>M559</x:f>
        <x:v>0</x:v>
      </x:c>
      <x:c r="K598" s="10" t="n">
        <x:f>MAX(0,I598-J598)</x:f>
        <x:v>27302.17491028158</x:v>
      </x:c>
      <x:c r="L598" s="10" t="n">
        <x:f>K598*'Assumptions'!$D$12</x:f>
        <x:v>6825.543727570395</x:v>
      </x:c>
      <x:c r="M598" s="10" t="n">
        <x:f>MAX(0,J598-I598)</x:f>
        <x:v>0</x:v>
      </x:c>
    </x:row>
    <x:row r="599" ht="16" customHeight="1">
      <x:c r="A599" s="1"/>
      <x:c r="B599" s="1"/>
      <x:c r="C599" s="1" t="str">
        <x:v>DishLoom US</x:v>
      </x:c>
      <x:c r="D599" s="10" t="n">
        <x:v>16</x:v>
      </x:c>
      <x:c r="E599" s="10" t="n">
        <x:f>SUMIF('Revenue and costs'!$D$1928:$D$2055,C599,'Revenue and costs'!N1928:N2055)</x:f>
        <x:v>39642.50977897124</x:v>
      </x:c>
      <x:c r="F599" s="10" t="n">
        <x:f>SUMIF('Revenue and costs'!$D$1928:$D$2055,C599,'Revenue and costs'!O1928:O2055)+SUMIF('Revenue and costs'!$D$1928:$D$2055,C599,'Revenue and costs'!P1928:P2055)+SUMIF('Revenue and costs'!$D$1928:$D$2055,C599,'Revenue and costs'!Q1928:Q2055)+SUMIF('Revenue and costs'!$D$1928:$D$2055,C599,'Revenue and costs'!R1928:R2055)+SUMIF('Revenue and costs'!$D$1928:$D$2055,C599,'Revenue and costs'!S1928:S2055)+SUMIF('Revenue and costs'!$D$1928:$D$2055,C599,'Revenue and costs'!T1928:T2055)+SUMIF('Revenue and costs'!$D$1928:$D$2055,C599,'Revenue and costs'!U1928:U2055)+SUMIF('Revenue and costs'!$D$1928:$D$2055,C599,'Revenue and costs'!V1928:V2055)+SUMIF('Revenue and costs'!$D$1928:$D$2055,C599,'Revenue and costs'!AE1928:AE2055)</x:f>
        <x:v>27701.023496822538</x:v>
      </x:c>
      <x:c r="G599" s="10" t="n">
        <x:f>IF('Income statement'!S50=0,1/39,E599/'Income statement'!S50)*('Shared costs'!W21+'Assumptions'!$D$18*'Assumptions'!$D$19*12*(1+'Assumptions'!$D$13)^(16-1)*'Assumptions'!$D$21)</x:f>
        <x:v>1968.2007275368246</x:v>
      </x:c>
      <x:c r="H599" s="10" t="n">
        <x:f>IF('Income statement'!S50=0,1/39,E599/'Income statement'!S50)*'Cash and capital'!S18</x:f>
        <x:v>7.6547939370270095</x:v>
      </x:c>
      <x:c r="I599" s="10" t="n">
        <x:f>E599-F599-G599-H599</x:f>
        <x:v>9965.630760674849</x:v>
      </x:c>
      <x:c r="J599" s="10" t="n">
        <x:f>M560</x:f>
        <x:v>0</x:v>
      </x:c>
      <x:c r="K599" s="10" t="n">
        <x:f>MAX(0,I599-J599)</x:f>
        <x:v>9965.630760674849</x:v>
      </x:c>
      <x:c r="L599" s="10" t="n">
        <x:f>K599*'Assumptions'!$D$12</x:f>
        <x:v>2491.407690168712</x:v>
      </x:c>
      <x:c r="M599" s="10" t="n">
        <x:f>MAX(0,J599-I599)</x:f>
        <x:v>0</x:v>
      </x:c>
    </x:row>
    <x:row r="600" ht="16" customHeight="1">
      <x:c r="A600" s="1"/>
      <x:c r="B600" s="1"/>
      <x:c r="C600" s="1" t="str">
        <x:v>Is Makes Travel Easy</x:v>
      </x:c>
      <x:c r="D600" s="10" t="n">
        <x:v>16</x:v>
      </x:c>
      <x:c r="E600" s="10" t="n">
        <x:f>SUMIF('Revenue and costs'!$D$1928:$D$2055,C600,'Revenue and costs'!N1928:N2055)</x:f>
        <x:v>67190.72980048887</x:v>
      </x:c>
      <x:c r="F600" s="10" t="n">
        <x:f>SUMIF('Revenue and costs'!$D$1928:$D$2055,C600,'Revenue and costs'!O1928:O2055)+SUMIF('Revenue and costs'!$D$1928:$D$2055,C600,'Revenue and costs'!P1928:P2055)+SUMIF('Revenue and costs'!$D$1928:$D$2055,C600,'Revenue and costs'!Q1928:Q2055)+SUMIF('Revenue and costs'!$D$1928:$D$2055,C600,'Revenue and costs'!R1928:R2055)+SUMIF('Revenue and costs'!$D$1928:$D$2055,C600,'Revenue and costs'!S1928:S2055)+SUMIF('Revenue and costs'!$D$1928:$D$2055,C600,'Revenue and costs'!T1928:T2055)+SUMIF('Revenue and costs'!$D$1928:$D$2055,C600,'Revenue and costs'!U1928:U2055)+SUMIF('Revenue and costs'!$D$1928:$D$2055,C600,'Revenue and costs'!V1928:V2055)+SUMIF('Revenue and costs'!$D$1928:$D$2055,C600,'Revenue and costs'!AE1928:AE2055)</x:f>
        <x:v>39557.43006986182</x:v>
      </x:c>
      <x:c r="G600" s="10" t="n">
        <x:f>IF('Income statement'!S50=0,1/39,E600/'Income statement'!S50)*('Shared costs'!W21+'Assumptions'!$D$18*'Assumptions'!$D$19*12*(1+'Assumptions'!$D$13)^(16-1)*'Assumptions'!$D$21)</x:f>
        <x:v>3335.935187110757</x:v>
      </x:c>
      <x:c r="H600" s="10" t="n">
        <x:f>IF('Income statement'!S50=0,1/39,E600/'Income statement'!S50)*'Cash and capital'!S18</x:f>
        <x:v>12.9742338204337</x:v>
      </x:c>
      <x:c r="I600" s="10" t="n">
        <x:f>E600-F600-G600-H600</x:f>
        <x:v>24284.390309695864</x:v>
      </x:c>
      <x:c r="J600" s="10" t="n">
        <x:f>M561</x:f>
        <x:v>0</x:v>
      </x:c>
      <x:c r="K600" s="10" t="n">
        <x:f>MAX(0,I600-J600)</x:f>
        <x:v>24284.390309695864</x:v>
      </x:c>
      <x:c r="L600" s="10" t="n">
        <x:f>K600*'Assumptions'!$D$12</x:f>
        <x:v>6071.097577423966</x:v>
      </x:c>
      <x:c r="M600" s="10" t="n">
        <x:f>MAX(0,J600-I600)</x:f>
        <x:v>0</x:v>
      </x:c>
    </x:row>
    <x:row r="601" ht="16" customHeight="1">
      <x:c r="A601" s="1"/>
      <x:c r="B601" s="1"/>
      <x:c r="C601" s="1" t="str">
        <x:v>Turbo Tax - Made Easy!</x:v>
      </x:c>
      <x:c r="D601" s="10" t="n">
        <x:v>16</x:v>
      </x:c>
      <x:c r="E601" s="10" t="n">
        <x:f>SUMIF('Revenue and costs'!$D$1928:$D$2055,C601,'Revenue and costs'!N1928:N2055)</x:f>
        <x:v>151544.03798692796</x:v>
      </x:c>
      <x:c r="F601" s="10" t="n">
        <x:f>SUMIF('Revenue and costs'!$D$1928:$D$2055,C601,'Revenue and costs'!O1928:O2055)+SUMIF('Revenue and costs'!$D$1928:$D$2055,C601,'Revenue and costs'!P1928:P2055)+SUMIF('Revenue and costs'!$D$1928:$D$2055,C601,'Revenue and costs'!Q1928:Q2055)+SUMIF('Revenue and costs'!$D$1928:$D$2055,C601,'Revenue and costs'!R1928:R2055)+SUMIF('Revenue and costs'!$D$1928:$D$2055,C601,'Revenue and costs'!S1928:S2055)+SUMIF('Revenue and costs'!$D$1928:$D$2055,C601,'Revenue and costs'!T1928:T2055)+SUMIF('Revenue and costs'!$D$1928:$D$2055,C601,'Revenue and costs'!U1928:U2055)+SUMIF('Revenue and costs'!$D$1928:$D$2055,C601,'Revenue and costs'!V1928:V2055)+SUMIF('Revenue and costs'!$D$1928:$D$2055,C601,'Revenue and costs'!AE1928:AE2055)</x:f>
        <x:v>46799.941248699084</x:v>
      </x:c>
      <x:c r="G601" s="10" t="n">
        <x:f>IF('Income statement'!S50=0,1/39,E601/'Income statement'!S50)*('Shared costs'!W21+'Assumptions'!$D$18*'Assumptions'!$D$19*12*(1+'Assumptions'!$D$13)^(16-1)*'Assumptions'!$D$21)</x:f>
        <x:v>7523.970795056966</x:v>
      </x:c>
      <x:c r="H601" s="10" t="n">
        <x:f>IF('Income statement'!S50=0,1/39,E601/'Income statement'!S50)*'Cash and capital'!S18</x:f>
        <x:v>29.262485893117717</x:v>
      </x:c>
      <x:c r="I601" s="10" t="n">
        <x:f>E601-F601-G601-H601</x:f>
        <x:v>97190.86345727877</x:v>
      </x:c>
      <x:c r="J601" s="10" t="n">
        <x:f>M562</x:f>
        <x:v>0</x:v>
      </x:c>
      <x:c r="K601" s="10" t="n">
        <x:f>MAX(0,I601-J601)</x:f>
        <x:v>97190.86345727877</x:v>
      </x:c>
      <x:c r="L601" s="10" t="n">
        <x:f>K601*'Assumptions'!$D$12</x:f>
        <x:v>24297.715864319693</x:v>
      </x:c>
      <x:c r="M601" s="10" t="n">
        <x:f>MAX(0,J601-I601)</x:f>
        <x:v>0</x:v>
      </x:c>
    </x:row>
    <x:row r="602" ht="16" customHeight="1">
      <x:c r="A602" s="1"/>
      <x:c r="B602" s="1"/>
      <x:c r="C602" s="1" t="str">
        <x:v>LavaLearning adult</x:v>
      </x:c>
      <x:c r="D602" s="10" t="n">
        <x:v>16</x:v>
      </x:c>
      <x:c r="E602" s="10" t="n">
        <x:f>SUMIF('Revenue and costs'!$D$1928:$D$2055,C602,'Revenue and costs'!N1928:N2055)</x:f>
        <x:v>83326.10586243196</x:v>
      </x:c>
      <x:c r="F602" s="10" t="n">
        <x:f>SUMIF('Revenue and costs'!$D$1928:$D$2055,C602,'Revenue and costs'!O1928:O2055)+SUMIF('Revenue and costs'!$D$1928:$D$2055,C602,'Revenue and costs'!P1928:P2055)+SUMIF('Revenue and costs'!$D$1928:$D$2055,C602,'Revenue and costs'!Q1928:Q2055)+SUMIF('Revenue and costs'!$D$1928:$D$2055,C602,'Revenue and costs'!R1928:R2055)+SUMIF('Revenue and costs'!$D$1928:$D$2055,C602,'Revenue and costs'!S1928:S2055)+SUMIF('Revenue and costs'!$D$1928:$D$2055,C602,'Revenue and costs'!T1928:T2055)+SUMIF('Revenue and costs'!$D$1928:$D$2055,C602,'Revenue and costs'!U1928:U2055)+SUMIF('Revenue and costs'!$D$1928:$D$2055,C602,'Revenue and costs'!V1928:V2055)+SUMIF('Revenue and costs'!$D$1928:$D$2055,C602,'Revenue and costs'!AE1928:AE2055)</x:f>
        <x:v>35672.65996811434</x:v>
      </x:c>
      <x:c r="G602" s="10" t="n">
        <x:f>IF('Income statement'!S50=0,1/39,E602/'Income statement'!S50)*('Shared costs'!W21+'Assumptions'!$D$18*'Assumptions'!$D$19*12*(1+'Assumptions'!$D$13)^(16-1)*'Assumptions'!$D$21)</x:f>
        <x:v>4137.036305109164</x:v>
      </x:c>
      <x:c r="H602" s="10" t="n">
        <x:f>IF('Income statement'!S50=0,1/39,E602/'Income statement'!S50)*'Cash and capital'!S18</x:f>
        <x:v>16.089903830714718</x:v>
      </x:c>
      <x:c r="I602" s="10" t="n">
        <x:f>E602-F602-G602-H602</x:f>
        <x:v>43500.31968537773</x:v>
      </x:c>
      <x:c r="J602" s="10" t="n">
        <x:f>M563</x:f>
        <x:v>0</x:v>
      </x:c>
      <x:c r="K602" s="10" t="n">
        <x:f>MAX(0,I602-J602)</x:f>
        <x:v>43500.31968537773</x:v>
      </x:c>
      <x:c r="L602" s="10" t="n">
        <x:f>K602*'Assumptions'!$D$12</x:f>
        <x:v>10875.079921344433</x:v>
      </x:c>
      <x:c r="M602" s="10" t="n">
        <x:f>MAX(0,J602-I602)</x:f>
        <x:v>0</x:v>
      </x:c>
    </x:row>
    <x:row r="603" ht="16" customHeight="1">
      <x:c r="A603" s="1"/>
      <x:c r="B603" s="1"/>
      <x:c r="C603" s="1" t="str">
        <x:v>LavaLearning Model Life</x:v>
      </x:c>
      <x:c r="D603" s="10" t="n">
        <x:v>16</x:v>
      </x:c>
      <x:c r="E603" s="10" t="n">
        <x:f>SUMIF('Revenue and costs'!$D$1928:$D$2055,C603,'Revenue and costs'!N1928:N2055)</x:f>
        <x:v>0</x:v>
      </x:c>
      <x:c r="F603" s="10" t="n">
        <x:f>SUMIF('Revenue and costs'!$D$1928:$D$2055,C603,'Revenue and costs'!O1928:O2055)+SUMIF('Revenue and costs'!$D$1928:$D$2055,C603,'Revenue and costs'!P1928:P2055)+SUMIF('Revenue and costs'!$D$1928:$D$2055,C603,'Revenue and costs'!Q1928:Q2055)+SUMIF('Revenue and costs'!$D$1928:$D$2055,C603,'Revenue and costs'!R1928:R2055)+SUMIF('Revenue and costs'!$D$1928:$D$2055,C603,'Revenue and costs'!S1928:S2055)+SUMIF('Revenue and costs'!$D$1928:$D$2055,C603,'Revenue and costs'!T1928:T2055)+SUMIF('Revenue and costs'!$D$1928:$D$2055,C603,'Revenue and costs'!U1928:U2055)+SUMIF('Revenue and costs'!$D$1928:$D$2055,C603,'Revenue and costs'!V1928:V2055)+SUMIF('Revenue and costs'!$D$1928:$D$2055,C603,'Revenue and costs'!AE1928:AE2055)</x:f>
        <x:v>0</x:v>
      </x:c>
      <x:c r="G603" s="10" t="n">
        <x:f>IF('Income statement'!S50=0,1/39,E603/'Income statement'!S50)*('Shared costs'!W21+'Assumptions'!$D$18*'Assumptions'!$D$19*12*(1+'Assumptions'!$D$13)^(16-1)*'Assumptions'!$D$21)</x:f>
        <x:v>0</x:v>
      </x:c>
      <x:c r="H603" s="10" t="n">
        <x:f>IF('Income statement'!S50=0,1/39,E603/'Income statement'!S50)*'Cash and capital'!S18</x:f>
        <x:v>0</x:v>
      </x:c>
      <x:c r="I603" s="10" t="n">
        <x:f>E603-F603-G603-H603</x:f>
        <x:v>0</x:v>
      </x:c>
      <x:c r="J603" s="10" t="n">
        <x:f>M564</x:f>
        <x:v>0</x:v>
      </x:c>
      <x:c r="K603" s="10" t="n">
        <x:f>MAX(0,I603-J603)</x:f>
        <x:v>0</x:v>
      </x:c>
      <x:c r="L603" s="10" t="n">
        <x:f>K603*'Assumptions'!$D$12</x:f>
        <x:v>0</x:v>
      </x:c>
      <x:c r="M603" s="10" t="n">
        <x:f>MAX(0,J603-I603)</x:f>
        <x:v>0</x:v>
      </x:c>
    </x:row>
    <x:row r="604" ht="16" customHeight="1">
      <x:c r="A604" s="1"/>
      <x:c r="B604" s="1"/>
      <x:c r="C604" s="1" t="str">
        <x:v>LavaLearning Kids</x:v>
      </x:c>
      <x:c r="D604" s="10" t="n">
        <x:v>16</x:v>
      </x:c>
      <x:c r="E604" s="10" t="n">
        <x:f>SUMIF('Revenue and costs'!$D$1928:$D$2055,C604,'Revenue and costs'!N1928:N2055)</x:f>
        <x:v>35684.8502100005</x:v>
      </x:c>
      <x:c r="F604" s="10" t="n">
        <x:f>SUMIF('Revenue and costs'!$D$1928:$D$2055,C604,'Revenue and costs'!O1928:O2055)+SUMIF('Revenue and costs'!$D$1928:$D$2055,C604,'Revenue and costs'!P1928:P2055)+SUMIF('Revenue and costs'!$D$1928:$D$2055,C604,'Revenue and costs'!Q1928:Q2055)+SUMIF('Revenue and costs'!$D$1928:$D$2055,C604,'Revenue and costs'!R1928:R2055)+SUMIF('Revenue and costs'!$D$1928:$D$2055,C604,'Revenue and costs'!S1928:S2055)+SUMIF('Revenue and costs'!$D$1928:$D$2055,C604,'Revenue and costs'!T1928:T2055)+SUMIF('Revenue and costs'!$D$1928:$D$2055,C604,'Revenue and costs'!U1928:U2055)+SUMIF('Revenue and costs'!$D$1928:$D$2055,C604,'Revenue and costs'!V1928:V2055)+SUMIF('Revenue and costs'!$D$1928:$D$2055,C604,'Revenue and costs'!AE1928:AE2055)</x:f>
        <x:v>22147.952965939592</x:v>
      </x:c>
      <x:c r="G604" s="10" t="n">
        <x:f>IF('Income statement'!S50=0,1/39,E604/'Income statement'!S50)*('Shared costs'!W21+'Assumptions'!$D$18*'Assumptions'!$D$19*12*(1+'Assumptions'!$D$13)^(16-1)*'Assumptions'!$D$21)</x:f>
        <x:v>1771.7079099422315</x:v>
      </x:c>
      <x:c r="H604" s="10" t="n">
        <x:f>IF('Income statement'!S50=0,1/39,E604/'Income statement'!S50)*'Cash and capital'!S18</x:f>
        <x:v>6.890587315340196</x:v>
      </x:c>
      <x:c r="I604" s="10" t="n">
        <x:f>E604-F604-G604-H604</x:f>
        <x:v>11758.298746803335</x:v>
      </x:c>
      <x:c r="J604" s="10" t="n">
        <x:f>M565</x:f>
        <x:v>0</x:v>
      </x:c>
      <x:c r="K604" s="10" t="n">
        <x:f>MAX(0,I604-J604)</x:f>
        <x:v>11758.298746803335</x:v>
      </x:c>
      <x:c r="L604" s="10" t="n">
        <x:f>K604*'Assumptions'!$D$12</x:f>
        <x:v>2939.574686700834</x:v>
      </x:c>
      <x:c r="M604" s="10" t="n">
        <x:f>MAX(0,J604-I604)</x:f>
        <x:v>0</x:v>
      </x:c>
    </x:row>
    <x:row r="605" ht="16" customHeight="1">
      <x:c r="A605" s="1"/>
      <x:c r="B605" s="1"/>
      <x:c r="C605" s="1" t="str">
        <x:v>VraiSkill adult</x:v>
      </x:c>
      <x:c r="D605" s="10" t="n">
        <x:v>16</x:v>
      </x:c>
      <x:c r="E605" s="10" t="n">
        <x:f>SUMIF('Revenue and costs'!$D$1928:$D$2055,C605,'Revenue and costs'!N1928:N2055)</x:f>
        <x:v>67575.83740423647</x:v>
      </x:c>
      <x:c r="F605" s="10" t="n">
        <x:f>SUMIF('Revenue and costs'!$D$1928:$D$2055,C605,'Revenue and costs'!O1928:O2055)+SUMIF('Revenue and costs'!$D$1928:$D$2055,C605,'Revenue and costs'!P1928:P2055)+SUMIF('Revenue and costs'!$D$1928:$D$2055,C605,'Revenue and costs'!Q1928:Q2055)+SUMIF('Revenue and costs'!$D$1928:$D$2055,C605,'Revenue and costs'!R1928:R2055)+SUMIF('Revenue and costs'!$D$1928:$D$2055,C605,'Revenue and costs'!S1928:S2055)+SUMIF('Revenue and costs'!$D$1928:$D$2055,C605,'Revenue and costs'!T1928:T2055)+SUMIF('Revenue and costs'!$D$1928:$D$2055,C605,'Revenue and costs'!U1928:U2055)+SUMIF('Revenue and costs'!$D$1928:$D$2055,C605,'Revenue and costs'!V1928:V2055)+SUMIF('Revenue and costs'!$D$1928:$D$2055,C605,'Revenue and costs'!AE1928:AE2055)</x:f>
        <x:v>56234.16358189398</x:v>
      </x:c>
      <x:c r="G605" s="10" t="n">
        <x:f>IF('Income statement'!S50=0,1/39,E605/'Income statement'!S50)*('Shared costs'!W21+'Assumptions'!$D$18*'Assumptions'!$D$19*12*(1+'Assumptions'!$D$13)^(16-1)*'Assumptions'!$D$21)</x:f>
        <x:v>3355.05529504797</x:v>
      </x:c>
      <x:c r="H605" s="10" t="n">
        <x:f>IF('Income statement'!S50=0,1/39,E605/'Income statement'!S50)*'Cash and capital'!S18</x:f>
        <x:v>13.048596401579706</x:v>
      </x:c>
      <x:c r="I605" s="10" t="n">
        <x:f>E605-F605-G605-H605</x:f>
        <x:v>7973.569930892941</x:v>
      </x:c>
      <x:c r="J605" s="10" t="n">
        <x:f>M566</x:f>
        <x:v>0</x:v>
      </x:c>
      <x:c r="K605" s="10" t="n">
        <x:f>MAX(0,I605-J605)</x:f>
        <x:v>7973.569930892941</x:v>
      </x:c>
      <x:c r="L605" s="10" t="n">
        <x:f>K605*'Assumptions'!$D$12</x:f>
        <x:v>1993.3924827232352</x:v>
      </x:c>
      <x:c r="M605" s="10" t="n">
        <x:f>MAX(0,J605-I605)</x:f>
        <x:v>0</x:v>
      </x:c>
    </x:row>
    <x:row r="606" ht="16" customHeight="1">
      <x:c r="A606" s="1"/>
      <x:c r="B606" s="1"/>
      <x:c r="C606" s="1" t="str">
        <x:v>VraiSkill teen</x:v>
      </x:c>
      <x:c r="D606" s="10" t="n">
        <x:v>16</x:v>
      </x:c>
      <x:c r="E606" s="10" t="n">
        <x:f>SUMIF('Revenue and costs'!$D$1928:$D$2055,C606,'Revenue and costs'!N1928:N2055)</x:f>
        <x:v>30050.40017684251</x:v>
      </x:c>
      <x:c r="F606" s="10" t="n">
        <x:f>SUMIF('Revenue and costs'!$D$1928:$D$2055,C606,'Revenue and costs'!O1928:O2055)+SUMIF('Revenue and costs'!$D$1928:$D$2055,C606,'Revenue and costs'!P1928:P2055)+SUMIF('Revenue and costs'!$D$1928:$D$2055,C606,'Revenue and costs'!Q1928:Q2055)+SUMIF('Revenue and costs'!$D$1928:$D$2055,C606,'Revenue and costs'!R1928:R2055)+SUMIF('Revenue and costs'!$D$1928:$D$2055,C606,'Revenue and costs'!S1928:S2055)+SUMIF('Revenue and costs'!$D$1928:$D$2055,C606,'Revenue and costs'!T1928:T2055)+SUMIF('Revenue and costs'!$D$1928:$D$2055,C606,'Revenue and costs'!U1928:U2055)+SUMIF('Revenue and costs'!$D$1928:$D$2055,C606,'Revenue and costs'!V1928:V2055)+SUMIF('Revenue and costs'!$D$1928:$D$2055,C606,'Revenue and costs'!AE1928:AE2055)</x:f>
        <x:v>15390.133961193562</x:v>
      </x:c>
      <x:c r="G606" s="10" t="n">
        <x:f>IF('Income statement'!S50=0,1/39,E606/'Income statement'!S50)*('Shared costs'!W21+'Assumptions'!$D$18*'Assumptions'!$D$19*12*(1+'Assumptions'!$D$13)^(16-1)*'Assumptions'!$D$21)</x:f>
        <x:v>1491.9645557408257</x:v>
      </x:c>
      <x:c r="H606" s="10" t="n">
        <x:f>IF('Income statement'!S50=0,1/39,E606/'Income statement'!S50)*'Cash and capital'!S18</x:f>
        <x:v>5.802599844497004</x:v>
      </x:c>
      <x:c r="I606" s="10" t="n">
        <x:f>E606-F606-G606-H606</x:f>
        <x:v>13162.499060063627</x:v>
      </x:c>
      <x:c r="J606" s="10" t="n">
        <x:f>M567</x:f>
        <x:v>0</x:v>
      </x:c>
      <x:c r="K606" s="10" t="n">
        <x:f>MAX(0,I606-J606)</x:f>
        <x:v>13162.499060063627</x:v>
      </x:c>
      <x:c r="L606" s="10" t="n">
        <x:f>K606*'Assumptions'!$D$12</x:f>
        <x:v>3290.6247650159066</x:v>
      </x:c>
      <x:c r="M606" s="10" t="n">
        <x:f>MAX(0,J606-I606)</x:f>
        <x:v>0</x:v>
      </x:c>
    </x:row>
    <x:row r="607" ht="16" customHeight="1">
      <x:c r="A607" s="1"/>
      <x:c r="B607" s="1"/>
      <x:c r="C607" s="1" t="str">
        <x:v>VraiSkill Model Life</x:v>
      </x:c>
      <x:c r="D607" s="10" t="n">
        <x:v>16</x:v>
      </x:c>
      <x:c r="E607" s="10" t="n">
        <x:f>SUMIF('Revenue and costs'!$D$1928:$D$2055,C607,'Revenue and costs'!N1928:N2055)</x:f>
        <x:v>0</x:v>
      </x:c>
      <x:c r="F607" s="10" t="n">
        <x:f>SUMIF('Revenue and costs'!$D$1928:$D$2055,C607,'Revenue and costs'!O1928:O2055)+SUMIF('Revenue and costs'!$D$1928:$D$2055,C607,'Revenue and costs'!P1928:P2055)+SUMIF('Revenue and costs'!$D$1928:$D$2055,C607,'Revenue and costs'!Q1928:Q2055)+SUMIF('Revenue and costs'!$D$1928:$D$2055,C607,'Revenue and costs'!R1928:R2055)+SUMIF('Revenue and costs'!$D$1928:$D$2055,C607,'Revenue and costs'!S1928:S2055)+SUMIF('Revenue and costs'!$D$1928:$D$2055,C607,'Revenue and costs'!T1928:T2055)+SUMIF('Revenue and costs'!$D$1928:$D$2055,C607,'Revenue and costs'!U1928:U2055)+SUMIF('Revenue and costs'!$D$1928:$D$2055,C607,'Revenue and costs'!V1928:V2055)+SUMIF('Revenue and costs'!$D$1928:$D$2055,C607,'Revenue and costs'!AE1928:AE2055)</x:f>
        <x:v>0</x:v>
      </x:c>
      <x:c r="G607" s="10" t="n">
        <x:f>IF('Income statement'!S50=0,1/39,E607/'Income statement'!S50)*('Shared costs'!W21+'Assumptions'!$D$18*'Assumptions'!$D$19*12*(1+'Assumptions'!$D$13)^(16-1)*'Assumptions'!$D$21)</x:f>
        <x:v>0</x:v>
      </x:c>
      <x:c r="H607" s="10" t="n">
        <x:f>IF('Income statement'!S50=0,1/39,E607/'Income statement'!S50)*'Cash and capital'!S18</x:f>
        <x:v>0</x:v>
      </x:c>
      <x:c r="I607" s="10" t="n">
        <x:f>E607-F607-G607-H607</x:f>
        <x:v>0</x:v>
      </x:c>
      <x:c r="J607" s="10" t="n">
        <x:f>M568</x:f>
        <x:v>0</x:v>
      </x:c>
      <x:c r="K607" s="10" t="n">
        <x:f>MAX(0,I607-J607)</x:f>
        <x:v>0</x:v>
      </x:c>
      <x:c r="L607" s="10" t="n">
        <x:f>K607*'Assumptions'!$D$12</x:f>
        <x:v>0</x:v>
      </x:c>
      <x:c r="M607" s="10" t="n">
        <x:f>MAX(0,J607-I607)</x:f>
        <x:v>0</x:v>
      </x:c>
    </x:row>
    <x:row r="608" ht="16" customHeight="1">
      <x:c r="A608" s="1"/>
      <x:c r="B608" s="1"/>
      <x:c r="C608" s="1" t="str">
        <x:v>Model Life</x:v>
      </x:c>
      <x:c r="D608" s="10" t="n">
        <x:v>16</x:v>
      </x:c>
      <x:c r="E608" s="10" t="n">
        <x:f>SUMIF('Revenue and costs'!$D$1928:$D$2055,C608,'Revenue and costs'!N1928:N2055)</x:f>
        <x:v>114103.30857016057</x:v>
      </x:c>
      <x:c r="F608" s="10" t="n">
        <x:f>SUMIF('Revenue and costs'!$D$1928:$D$2055,C608,'Revenue and costs'!O1928:O2055)+SUMIF('Revenue and costs'!$D$1928:$D$2055,C608,'Revenue and costs'!P1928:P2055)+SUMIF('Revenue and costs'!$D$1928:$D$2055,C608,'Revenue and costs'!Q1928:Q2055)+SUMIF('Revenue and costs'!$D$1928:$D$2055,C608,'Revenue and costs'!R1928:R2055)+SUMIF('Revenue and costs'!$D$1928:$D$2055,C608,'Revenue and costs'!S1928:S2055)+SUMIF('Revenue and costs'!$D$1928:$D$2055,C608,'Revenue and costs'!T1928:T2055)+SUMIF('Revenue and costs'!$D$1928:$D$2055,C608,'Revenue and costs'!U1928:U2055)+SUMIF('Revenue and costs'!$D$1928:$D$2055,C608,'Revenue and costs'!V1928:V2055)+SUMIF('Revenue and costs'!$D$1928:$D$2055,C608,'Revenue and costs'!AE1928:AE2055)</x:f>
        <x:v>38293.74601938864</x:v>
      </x:c>
      <x:c r="G608" s="10" t="n">
        <x:f>IF('Income statement'!S50=0,1/39,E608/'Income statement'!S50)*('Shared costs'!W21+'Assumptions'!$D$18*'Assumptions'!$D$19*12*(1+'Assumptions'!$D$13)^(16-1)*'Assumptions'!$D$21)</x:f>
        <x:v>5665.085691957844</x:v>
      </x:c>
      <x:c r="H608" s="10" t="n">
        <x:f>IF('Income statement'!S50=0,1/39,E608/'Income statement'!S50)*'Cash and capital'!S18</x:f>
        <x:v>22.03284604096663</x:v>
      </x:c>
      <x:c r="I608" s="10" t="n">
        <x:f>E608-F608-G608-H608</x:f>
        <x:v>70122.4440127731</x:v>
      </x:c>
      <x:c r="J608" s="10" t="n">
        <x:f>M569</x:f>
        <x:v>0</x:v>
      </x:c>
      <x:c r="K608" s="10" t="n">
        <x:f>MAX(0,I608-J608)</x:f>
        <x:v>70122.4440127731</x:v>
      </x:c>
      <x:c r="L608" s="10" t="n">
        <x:f>K608*'Assumptions'!$D$12</x:f>
        <x:v>17530.611003193277</x:v>
      </x:c>
      <x:c r="M608" s="10" t="n">
        <x:f>MAX(0,J608-I608)</x:f>
        <x:v>0</x:v>
      </x:c>
    </x:row>
    <x:row r="609" ht="16" customHeight="1">
      <x:c r="A609" s="1"/>
      <x:c r="B609" s="1"/>
      <x:c r="C609" s="1" t="str">
        <x:v>S’otality cleaning</x:v>
      </x:c>
      <x:c r="D609" s="10" t="n">
        <x:v>16</x:v>
      </x:c>
      <x:c r="E609" s="10" t="n">
        <x:f>SUMIF('Revenue and costs'!$D$1928:$D$2055,C609,'Revenue and costs'!N1928:N2055)</x:f>
        <x:v>353195.29466540547</x:v>
      </x:c>
      <x:c r="F609" s="10" t="n">
        <x:f>SUMIF('Revenue and costs'!$D$1928:$D$2055,C609,'Revenue and costs'!O1928:O2055)+SUMIF('Revenue and costs'!$D$1928:$D$2055,C609,'Revenue and costs'!P1928:P2055)+SUMIF('Revenue and costs'!$D$1928:$D$2055,C609,'Revenue and costs'!Q1928:Q2055)+SUMIF('Revenue and costs'!$D$1928:$D$2055,C609,'Revenue and costs'!R1928:R2055)+SUMIF('Revenue and costs'!$D$1928:$D$2055,C609,'Revenue and costs'!S1928:S2055)+SUMIF('Revenue and costs'!$D$1928:$D$2055,C609,'Revenue and costs'!T1928:T2055)+SUMIF('Revenue and costs'!$D$1928:$D$2055,C609,'Revenue and costs'!U1928:U2055)+SUMIF('Revenue and costs'!$D$1928:$D$2055,C609,'Revenue and costs'!V1928:V2055)+SUMIF('Revenue and costs'!$D$1928:$D$2055,C609,'Revenue and costs'!AE1928:AE2055)</x:f>
        <x:v>306314.62815019005</x:v>
      </x:c>
      <x:c r="G609" s="10" t="n">
        <x:f>IF('Income statement'!S50=0,1/39,E609/'Income statement'!S50)*('Shared costs'!W21+'Assumptions'!$D$18*'Assumptions'!$D$19*12*(1+'Assumptions'!$D$13)^(16-1)*'Assumptions'!$D$21)</x:f>
        <x:v>17535.70194720084</x:v>
      </x:c>
      <x:c r="H609" s="10" t="n">
        <x:f>IF('Income statement'!S50=0,1/39,E609/'Income statement'!S50)*'Cash and capital'!S18</x:f>
        <x:v>68.20045489716661</x:v>
      </x:c>
      <x:c r="I609" s="10" t="n">
        <x:f>E609-F609-G609-H609</x:f>
        <x:v>29276.76411311741</x:v>
      </x:c>
      <x:c r="J609" s="10" t="n">
        <x:f>M570</x:f>
        <x:v>0</x:v>
      </x:c>
      <x:c r="K609" s="10" t="n">
        <x:f>MAX(0,I609-J609)</x:f>
        <x:v>29276.76411311741</x:v>
      </x:c>
      <x:c r="L609" s="10" t="n">
        <x:f>K609*'Assumptions'!$D$12</x:f>
        <x:v>7319.191028279352</x:v>
      </x:c>
      <x:c r="M609" s="10" t="n">
        <x:f>MAX(0,J609-I609)</x:f>
        <x:v>0</x:v>
      </x:c>
    </x:row>
    <x:row r="610" ht="16" customHeight="1">
      <x:c r="A610" s="1"/>
      <x:c r="B610" s="1"/>
      <x:c r="C610" s="1" t="str">
        <x:v>S’otality laundry</x:v>
      </x:c>
      <x:c r="D610" s="10" t="n">
        <x:v>16</x:v>
      </x:c>
      <x:c r="E610" s="10" t="n">
        <x:f>SUMIF('Revenue and costs'!$D$1928:$D$2055,C610,'Revenue and costs'!N1928:N2055)</x:f>
        <x:v>54743.2431456139</x:v>
      </x:c>
      <x:c r="F610" s="10" t="n">
        <x:f>SUMIF('Revenue and costs'!$D$1928:$D$2055,C610,'Revenue and costs'!O1928:O2055)+SUMIF('Revenue and costs'!$D$1928:$D$2055,C610,'Revenue and costs'!P1928:P2055)+SUMIF('Revenue and costs'!$D$1928:$D$2055,C610,'Revenue and costs'!Q1928:Q2055)+SUMIF('Revenue and costs'!$D$1928:$D$2055,C610,'Revenue and costs'!R1928:R2055)+SUMIF('Revenue and costs'!$D$1928:$D$2055,C610,'Revenue and costs'!S1928:S2055)+SUMIF('Revenue and costs'!$D$1928:$D$2055,C610,'Revenue and costs'!T1928:T2055)+SUMIF('Revenue and costs'!$D$1928:$D$2055,C610,'Revenue and costs'!U1928:U2055)+SUMIF('Revenue and costs'!$D$1928:$D$2055,C610,'Revenue and costs'!V1928:V2055)+SUMIF('Revenue and costs'!$D$1928:$D$2055,C610,'Revenue and costs'!AE1928:AE2055)</x:f>
        <x:v>51063.627562850204</x:v>
      </x:c>
      <x:c r="G610" s="10" t="n">
        <x:f>IF('Income statement'!S50=0,1/39,E610/'Income statement'!S50)*('Shared costs'!W21+'Assumptions'!$D$18*'Assumptions'!$D$19*12*(1+'Assumptions'!$D$13)^(16-1)*'Assumptions'!$D$21)</x:f>
        <x:v>2717.933137625846</x:v>
      </x:c>
      <x:c r="H610" s="10" t="n">
        <x:f>IF('Income statement'!S50=0,1/39,E610/'Income statement'!S50)*'Cash and capital'!S18</x:f>
        <x:v>10.570679002431099</x:v>
      </x:c>
      <x:c r="I610" s="10" t="n">
        <x:f>E610-F610-G610-H610</x:f>
        <x:v>951.1117661354205</x:v>
      </x:c>
      <x:c r="J610" s="10" t="n">
        <x:f>M571</x:f>
        <x:v>0</x:v>
      </x:c>
      <x:c r="K610" s="10" t="n">
        <x:f>MAX(0,I610-J610)</x:f>
        <x:v>951.1117661354205</x:v>
      </x:c>
      <x:c r="L610" s="10" t="n">
        <x:f>K610*'Assumptions'!$D$12</x:f>
        <x:v>237.7779415338551</x:v>
      </x:c>
      <x:c r="M610" s="10" t="n">
        <x:f>MAX(0,J610-I610)</x:f>
        <x:v>0</x:v>
      </x:c>
    </x:row>
    <x:row r="611" ht="16" customHeight="1">
      <x:c r="A611" s="1"/>
      <x:c r="B611" s="1"/>
      <x:c r="C611" s="1" t="str">
        <x:v>S’otality Personal Chef</x:v>
      </x:c>
      <x:c r="D611" s="10" t="n">
        <x:v>16</x:v>
      </x:c>
      <x:c r="E611" s="10" t="n">
        <x:f>SUMIF('Revenue and costs'!$D$1928:$D$2055,C611,'Revenue and costs'!N1928:N2055)</x:f>
        <x:v>98835.9820176959</x:v>
      </x:c>
      <x:c r="F611" s="10" t="n">
        <x:f>SUMIF('Revenue and costs'!$D$1928:$D$2055,C611,'Revenue and costs'!O1928:O2055)+SUMIF('Revenue and costs'!$D$1928:$D$2055,C611,'Revenue and costs'!P1928:P2055)+SUMIF('Revenue and costs'!$D$1928:$D$2055,C611,'Revenue and costs'!Q1928:Q2055)+SUMIF('Revenue and costs'!$D$1928:$D$2055,C611,'Revenue and costs'!R1928:R2055)+SUMIF('Revenue and costs'!$D$1928:$D$2055,C611,'Revenue and costs'!S1928:S2055)+SUMIF('Revenue and costs'!$D$1928:$D$2055,C611,'Revenue and costs'!T1928:T2055)+SUMIF('Revenue and costs'!$D$1928:$D$2055,C611,'Revenue and costs'!U1928:U2055)+SUMIF('Revenue and costs'!$D$1928:$D$2055,C611,'Revenue and costs'!V1928:V2055)+SUMIF('Revenue and costs'!$D$1928:$D$2055,C611,'Revenue and costs'!AE1928:AE2055)</x:f>
        <x:v>80753.87085201537</x:v>
      </x:c>
      <x:c r="G611" s="10" t="n">
        <x:f>IF('Income statement'!S50=0,1/39,E611/'Income statement'!S50)*('Shared costs'!W21+'Assumptions'!$D$18*'Assumptions'!$D$19*12*(1+'Assumptions'!$D$13)^(16-1)*'Assumptions'!$D$21)</x:f>
        <x:v>4907.082139820407</x:v>
      </x:c>
      <x:c r="H611" s="10" t="n">
        <x:f>IF('Income statement'!S50=0,1/39,E611/'Income statement'!S50)*'Cash and capital'!S18</x:f>
        <x:v>19.08479256554283</x:v>
      </x:c>
      <x:c r="I611" s="10" t="n">
        <x:f>E611-F611-G611-H611</x:f>
        <x:v>13155.94423329458</x:v>
      </x:c>
      <x:c r="J611" s="10" t="n">
        <x:f>M572</x:f>
        <x:v>0</x:v>
      </x:c>
      <x:c r="K611" s="10" t="n">
        <x:f>MAX(0,I611-J611)</x:f>
        <x:v>13155.94423329458</x:v>
      </x:c>
      <x:c r="L611" s="10" t="n">
        <x:f>K611*'Assumptions'!$D$12</x:f>
        <x:v>3288.986058323645</x:v>
      </x:c>
      <x:c r="M611" s="10" t="n">
        <x:f>MAX(0,J611-I611)</x:f>
        <x:v>0</x:v>
      </x:c>
    </x:row>
    <x:row r="612" ht="16" customHeight="1">
      <x:c r="A612" s="1"/>
      <x:c r="B612" s="1"/>
      <x:c r="C612" s="1" t="str">
        <x:v>S’otality interiors</x:v>
      </x:c>
      <x:c r="D612" s="10" t="n">
        <x:v>16</x:v>
      </x:c>
      <x:c r="E612" s="10" t="n">
        <x:f>SUMIF('Revenue and costs'!$D$1928:$D$2055,C612,'Revenue and costs'!N1928:N2055)</x:f>
        <x:v>127622.71674047988</x:v>
      </x:c>
      <x:c r="F612" s="10" t="n">
        <x:f>SUMIF('Revenue and costs'!$D$1928:$D$2055,C612,'Revenue and costs'!O1928:O2055)+SUMIF('Revenue and costs'!$D$1928:$D$2055,C612,'Revenue and costs'!P1928:P2055)+SUMIF('Revenue and costs'!$D$1928:$D$2055,C612,'Revenue and costs'!Q1928:Q2055)+SUMIF('Revenue and costs'!$D$1928:$D$2055,C612,'Revenue and costs'!R1928:R2055)+SUMIF('Revenue and costs'!$D$1928:$D$2055,C612,'Revenue and costs'!S1928:S2055)+SUMIF('Revenue and costs'!$D$1928:$D$2055,C612,'Revenue and costs'!T1928:T2055)+SUMIF('Revenue and costs'!$D$1928:$D$2055,C612,'Revenue and costs'!U1928:U2055)+SUMIF('Revenue and costs'!$D$1928:$D$2055,C612,'Revenue and costs'!V1928:V2055)+SUMIF('Revenue and costs'!$D$1928:$D$2055,C612,'Revenue and costs'!AE1928:AE2055)</x:f>
        <x:v>81400.3483460707</x:v>
      </x:c>
      <x:c r="G612" s="10" t="n">
        <x:f>IF('Income statement'!S50=0,1/39,E612/'Income statement'!S50)*('Shared costs'!W21+'Assumptions'!$D$18*'Assumptions'!$D$19*12*(1+'Assumptions'!$D$13)^(16-1)*'Assumptions'!$D$21)</x:f>
        <x:v>6336.307295863576</x:v>
      </x:c>
      <x:c r="H612" s="10" t="n">
        <x:f>IF('Income statement'!S50=0,1/39,E612/'Income statement'!S50)*'Cash and capital'!S18</x:f>
        <x:v>24.643384179731243</x:v>
      </x:c>
      <x:c r="I612" s="10" t="n">
        <x:f>E612-F612-G612-H612</x:f>
        <x:v>39861.41771436587</x:v>
      </x:c>
      <x:c r="J612" s="10" t="n">
        <x:f>M573</x:f>
        <x:v>0</x:v>
      </x:c>
      <x:c r="K612" s="10" t="n">
        <x:f>MAX(0,I612-J612)</x:f>
        <x:v>39861.41771436587</x:v>
      </x:c>
      <x:c r="L612" s="10" t="n">
        <x:f>K612*'Assumptions'!$D$12</x:f>
        <x:v>9965.354428591467</x:v>
      </x:c>
      <x:c r="M612" s="10" t="n">
        <x:f>MAX(0,J612-I612)</x:f>
        <x:v>0</x:v>
      </x:c>
    </x:row>
    <x:row r="613" ht="16" customHeight="1">
      <x:c r="A613" s="1"/>
      <x:c r="B613" s="1"/>
      <x:c r="C613" s="1" t="str">
        <x:v>S’otality concierge</x:v>
      </x:c>
      <x:c r="D613" s="10" t="n">
        <x:v>16</x:v>
      </x:c>
      <x:c r="E613" s="10" t="n">
        <x:f>SUMIF('Revenue and costs'!$D$1928:$D$2055,C613,'Revenue and costs'!N1928:N2055)</x:f>
        <x:v>46275.23039911159</x:v>
      </x:c>
      <x:c r="F613" s="10" t="n">
        <x:f>SUMIF('Revenue and costs'!$D$1928:$D$2055,C613,'Revenue and costs'!O1928:O2055)+SUMIF('Revenue and costs'!$D$1928:$D$2055,C613,'Revenue and costs'!P1928:P2055)+SUMIF('Revenue and costs'!$D$1928:$D$2055,C613,'Revenue and costs'!Q1928:Q2055)+SUMIF('Revenue and costs'!$D$1928:$D$2055,C613,'Revenue and costs'!R1928:R2055)+SUMIF('Revenue and costs'!$D$1928:$D$2055,C613,'Revenue and costs'!S1928:S2055)+SUMIF('Revenue and costs'!$D$1928:$D$2055,C613,'Revenue and costs'!T1928:T2055)+SUMIF('Revenue and costs'!$D$1928:$D$2055,C613,'Revenue and costs'!U1928:U2055)+SUMIF('Revenue and costs'!$D$1928:$D$2055,C613,'Revenue and costs'!V1928:V2055)+SUMIF('Revenue and costs'!$D$1928:$D$2055,C613,'Revenue and costs'!AE1928:AE2055)</x:f>
        <x:v>28227.355832664714</x:v>
      </x:c>
      <x:c r="G613" s="10" t="n">
        <x:f>IF('Income statement'!S50=0,1/39,E613/'Income statement'!S50)*('Shared costs'!W21+'Assumptions'!$D$18*'Assumptions'!$D$19*12*(1+'Assumptions'!$D$13)^(16-1)*'Assumptions'!$D$21)</x:f>
        <x:v>2297.5069602374006</x:v>
      </x:c>
      <x:c r="H613" s="10" t="n">
        <x:f>IF('Income statement'!S50=0,1/39,E613/'Income statement'!S50)*'Cash and capital'!S18</x:f>
        <x:v>8.935543058919817</x:v>
      </x:c>
      <x:c r="I613" s="10" t="n">
        <x:f>E613-F613-G613-H613</x:f>
        <x:v>15741.432063150556</x:v>
      </x:c>
      <x:c r="J613" s="10" t="n">
        <x:f>M574</x:f>
        <x:v>0</x:v>
      </x:c>
      <x:c r="K613" s="10" t="n">
        <x:f>MAX(0,I613-J613)</x:f>
        <x:v>15741.432063150556</x:v>
      </x:c>
      <x:c r="L613" s="10" t="n">
        <x:f>K613*'Assumptions'!$D$12</x:f>
        <x:v>3935.358015787639</x:v>
      </x:c>
      <x:c r="M613" s="10" t="n">
        <x:f>MAX(0,J613-I613)</x:f>
        <x:v>0</x:v>
      </x:c>
    </x:row>
    <x:row r="614" ht="16" customHeight="1">
      <x:c r="A614" s="1"/>
      <x:c r="B614" s="1"/>
      <x:c r="C614" s="1" t="str">
        <x:v>S’otality administration</x:v>
      </x:c>
      <x:c r="D614" s="10" t="n">
        <x:v>16</x:v>
      </x:c>
      <x:c r="E614" s="10" t="n">
        <x:f>SUMIF('Revenue and costs'!$D$1928:$D$2055,C614,'Revenue and costs'!N1928:N2055)</x:f>
        <x:v>74040.36863857853</x:v>
      </x:c>
      <x:c r="F614" s="10" t="n">
        <x:f>SUMIF('Revenue and costs'!$D$1928:$D$2055,C614,'Revenue and costs'!O1928:O2055)+SUMIF('Revenue and costs'!$D$1928:$D$2055,C614,'Revenue and costs'!P1928:P2055)+SUMIF('Revenue and costs'!$D$1928:$D$2055,C614,'Revenue and costs'!Q1928:Q2055)+SUMIF('Revenue and costs'!$D$1928:$D$2055,C614,'Revenue and costs'!R1928:R2055)+SUMIF('Revenue and costs'!$D$1928:$D$2055,C614,'Revenue and costs'!S1928:S2055)+SUMIF('Revenue and costs'!$D$1928:$D$2055,C614,'Revenue and costs'!T1928:T2055)+SUMIF('Revenue and costs'!$D$1928:$D$2055,C614,'Revenue and costs'!U1928:U2055)+SUMIF('Revenue and costs'!$D$1928:$D$2055,C614,'Revenue and costs'!V1928:V2055)+SUMIF('Revenue and costs'!$D$1928:$D$2055,C614,'Revenue and costs'!AE1928:AE2055)</x:f>
        <x:v>60683.37437035505</x:v>
      </x:c>
      <x:c r="G614" s="10" t="n">
        <x:f>IF('Income statement'!S50=0,1/39,E614/'Income statement'!S50)*('Shared costs'!W21+'Assumptions'!$D$18*'Assumptions'!$D$19*12*(1+'Assumptions'!$D$13)^(16-1)*'Assumptions'!$D$21)</x:f>
        <x:v>3676.0111363798396</x:v>
      </x:c>
      <x:c r="H614" s="10" t="n">
        <x:f>IF('Income statement'!S50=0,1/39,E614/'Income statement'!S50)*'Cash and capital'!S18</x:f>
        <x:v>14.296868894271704</x:v>
      </x:c>
      <x:c r="I614" s="10" t="n">
        <x:f>E614-F614-G614-H614</x:f>
        <x:v>9666.686262949366</x:v>
      </x:c>
      <x:c r="J614" s="10" t="n">
        <x:f>M575</x:f>
        <x:v>0</x:v>
      </x:c>
      <x:c r="K614" s="10" t="n">
        <x:f>MAX(0,I614-J614)</x:f>
        <x:v>9666.686262949366</x:v>
      </x:c>
      <x:c r="L614" s="10" t="n">
        <x:f>K614*'Assumptions'!$D$12</x:f>
        <x:v>2416.6715657373416</x:v>
      </x:c>
      <x:c r="M614" s="10" t="n">
        <x:f>MAX(0,J614-I614)</x:f>
        <x:v>0</x:v>
      </x:c>
    </x:row>
    <x:row r="615" ht="16" customHeight="1">
      <x:c r="A615" s="1"/>
      <x:c r="B615" s="1"/>
      <x:c r="C615" s="1" t="str">
        <x:v>S’otality bike tours</x:v>
      </x:c>
      <x:c r="D615" s="10" t="n">
        <x:v>16</x:v>
      </x:c>
      <x:c r="E615" s="10" t="n">
        <x:f>SUMIF('Revenue and costs'!$D$1928:$D$2055,C615,'Revenue and costs'!N1928:N2055)</x:f>
        <x:v>39534.39280707836</x:v>
      </x:c>
      <x:c r="F615" s="10" t="n">
        <x:f>SUMIF('Revenue and costs'!$D$1928:$D$2055,C615,'Revenue and costs'!O1928:O2055)+SUMIF('Revenue and costs'!$D$1928:$D$2055,C615,'Revenue and costs'!P1928:P2055)+SUMIF('Revenue and costs'!$D$1928:$D$2055,C615,'Revenue and costs'!Q1928:Q2055)+SUMIF('Revenue and costs'!$D$1928:$D$2055,C615,'Revenue and costs'!R1928:R2055)+SUMIF('Revenue and costs'!$D$1928:$D$2055,C615,'Revenue and costs'!S1928:S2055)+SUMIF('Revenue and costs'!$D$1928:$D$2055,C615,'Revenue and costs'!T1928:T2055)+SUMIF('Revenue and costs'!$D$1928:$D$2055,C615,'Revenue and costs'!U1928:U2055)+SUMIF('Revenue and costs'!$D$1928:$D$2055,C615,'Revenue and costs'!V1928:V2055)+SUMIF('Revenue and costs'!$D$1928:$D$2055,C615,'Revenue and costs'!AE1928:AE2055)</x:f>
        <x:v>33038.8302647153</x:v>
      </x:c>
      <x:c r="G615" s="10" t="n">
        <x:f>IF('Income statement'!S50=0,1/39,E615/'Income statement'!S50)*('Shared costs'!W21+'Assumptions'!$D$18*'Assumptions'!$D$19*12*(1+'Assumptions'!$D$13)^(16-1)*'Assumptions'!$D$21)</x:f>
        <x:v>1962.8328559281626</x:v>
      </x:c>
      <x:c r="H615" s="10" t="n">
        <x:f>IF('Income statement'!S50=0,1/39,E615/'Income statement'!S50)*'Cash and capital'!S18</x:f>
        <x:v>7.633917026217131</x:v>
      </x:c>
      <x:c r="I615" s="10" t="n">
        <x:f>E615-F615-G615-H615</x:f>
        <x:v>4525.095769408676</x:v>
      </x:c>
      <x:c r="J615" s="10" t="n">
        <x:f>M576</x:f>
        <x:v>0</x:v>
      </x:c>
      <x:c r="K615" s="10" t="n">
        <x:f>MAX(0,I615-J615)</x:f>
        <x:v>4525.095769408676</x:v>
      </x:c>
      <x:c r="L615" s="10" t="n">
        <x:f>K615*'Assumptions'!$D$12</x:f>
        <x:v>1131.273942352169</x:v>
      </x:c>
      <x:c r="M615" s="10" t="n">
        <x:f>MAX(0,J615-I615)</x:f>
        <x:v>0</x:v>
      </x:c>
    </x:row>
    <x:row r="616" ht="16" customHeight="1">
      <x:c r="A616" s="1"/>
      <x:c r="B616" s="1"/>
      <x:c r="C616" s="1" t="str">
        <x:v>S’otality editorial</x:v>
      </x:c>
      <x:c r="D616" s="10" t="n">
        <x:v>16</x:v>
      </x:c>
      <x:c r="E616" s="10" t="n">
        <x:f>SUMIF('Revenue and costs'!$D$1928:$D$2055,C616,'Revenue and costs'!N1928:N2055)</x:f>
        <x:v>18234.51100695572</x:v>
      </x:c>
      <x:c r="F616" s="10" t="n">
        <x:f>SUMIF('Revenue and costs'!$D$1928:$D$2055,C616,'Revenue and costs'!O1928:O2055)+SUMIF('Revenue and costs'!$D$1928:$D$2055,C616,'Revenue and costs'!P1928:P2055)+SUMIF('Revenue and costs'!$D$1928:$D$2055,C616,'Revenue and costs'!Q1928:Q2055)+SUMIF('Revenue and costs'!$D$1928:$D$2055,C616,'Revenue and costs'!R1928:R2055)+SUMIF('Revenue and costs'!$D$1928:$D$2055,C616,'Revenue and costs'!S1928:S2055)+SUMIF('Revenue and costs'!$D$1928:$D$2055,C616,'Revenue and costs'!T1928:T2055)+SUMIF('Revenue and costs'!$D$1928:$D$2055,C616,'Revenue and costs'!U1928:U2055)+SUMIF('Revenue and costs'!$D$1928:$D$2055,C616,'Revenue and costs'!V1928:V2055)+SUMIF('Revenue and costs'!$D$1928:$D$2055,C616,'Revenue and costs'!AE1928:AE2055)</x:f>
        <x:v>10966.577481615523</x:v>
      </x:c>
      <x:c r="G616" s="10" t="n">
        <x:f>IF('Income statement'!S50=0,1/39,E616/'Income statement'!S50)*('Shared costs'!W21+'Assumptions'!$D$18*'Assumptions'!$D$19*12*(1+'Assumptions'!$D$13)^(16-1)*'Assumptions'!$D$21)</x:f>
        <x:v>905.3205266334136</x:v>
      </x:c>
      <x:c r="H616" s="10" t="n">
        <x:f>IF('Income statement'!S50=0,1/39,E616/'Income statement'!S50)*'Cash and capital'!S18</x:f>
        <x:v>3.521003717447256</x:v>
      </x:c>
      <x:c r="I616" s="10" t="n">
        <x:f>E616-F616-G616-H616</x:f>
        <x:v>6359.091994989336</x:v>
      </x:c>
      <x:c r="J616" s="10" t="n">
        <x:f>M577</x:f>
        <x:v>0</x:v>
      </x:c>
      <x:c r="K616" s="10" t="n">
        <x:f>MAX(0,I616-J616)</x:f>
        <x:v>6359.091994989336</x:v>
      </x:c>
      <x:c r="L616" s="10" t="n">
        <x:f>K616*'Assumptions'!$D$12</x:f>
        <x:v>1589.772998747334</x:v>
      </x:c>
      <x:c r="M616" s="10" t="n">
        <x:f>MAX(0,J616-I616)</x:f>
        <x:v>0</x:v>
      </x:c>
    </x:row>
    <x:row r="617" ht="16" customHeight="1">
      <x:c r="A617" s="1"/>
      <x:c r="B617" s="1"/>
      <x:c r="C617" s="1" t="str">
        <x:v>Tomato Odyssey</x:v>
      </x:c>
      <x:c r="D617" s="10" t="n">
        <x:v>16</x:v>
      </x:c>
      <x:c r="E617" s="10" t="n">
        <x:f>SUMIF('Revenue and costs'!$D$1928:$D$2055,C617,'Revenue and costs'!N1928:N2055)</x:f>
        <x:v>18234.51100695572</x:v>
      </x:c>
      <x:c r="F617" s="10" t="n">
        <x:f>SUMIF('Revenue and costs'!$D$1928:$D$2055,C617,'Revenue and costs'!O1928:O2055)+SUMIF('Revenue and costs'!$D$1928:$D$2055,C617,'Revenue and costs'!P1928:P2055)+SUMIF('Revenue and costs'!$D$1928:$D$2055,C617,'Revenue and costs'!Q1928:Q2055)+SUMIF('Revenue and costs'!$D$1928:$D$2055,C617,'Revenue and costs'!R1928:R2055)+SUMIF('Revenue and costs'!$D$1928:$D$2055,C617,'Revenue and costs'!S1928:S2055)+SUMIF('Revenue and costs'!$D$1928:$D$2055,C617,'Revenue and costs'!T1928:T2055)+SUMIF('Revenue and costs'!$D$1928:$D$2055,C617,'Revenue and costs'!U1928:U2055)+SUMIF('Revenue and costs'!$D$1928:$D$2055,C617,'Revenue and costs'!V1928:V2055)+SUMIF('Revenue and costs'!$D$1928:$D$2055,C617,'Revenue and costs'!AE1928:AE2055)</x:f>
        <x:v>10966.577481615523</x:v>
      </x:c>
      <x:c r="G617" s="10" t="n">
        <x:f>IF('Income statement'!S50=0,1/39,E617/'Income statement'!S50)*('Shared costs'!W21+'Assumptions'!$D$18*'Assumptions'!$D$19*12*(1+'Assumptions'!$D$13)^(16-1)*'Assumptions'!$D$21)</x:f>
        <x:v>905.3205266334136</x:v>
      </x:c>
      <x:c r="H617" s="10" t="n">
        <x:f>IF('Income statement'!S50=0,1/39,E617/'Income statement'!S50)*'Cash and capital'!S18</x:f>
        <x:v>3.521003717447256</x:v>
      </x:c>
      <x:c r="I617" s="10" t="n">
        <x:f>E617-F617-G617-H617</x:f>
        <x:v>6359.091994989336</x:v>
      </x:c>
      <x:c r="J617" s="10" t="n">
        <x:f>M578</x:f>
        <x:v>0</x:v>
      </x:c>
      <x:c r="K617" s="10" t="n">
        <x:f>MAX(0,I617-J617)</x:f>
        <x:v>6359.091994989336</x:v>
      </x:c>
      <x:c r="L617" s="10" t="n">
        <x:f>K617*'Assumptions'!$D$12</x:f>
        <x:v>1589.772998747334</x:v>
      </x:c>
      <x:c r="M617" s="10" t="n">
        <x:f>MAX(0,J617-I617)</x:f>
        <x:v>0</x:v>
      </x:c>
    </x:row>
    <x:row r="618" ht="16" customHeight="1">
      <x:c r="A618" s="1"/>
      <x:c r="B618" s="1"/>
      <x:c r="C618" s="1" t="str">
        <x:v>Semajes Studio</x:v>
      </x:c>
      <x:c r="D618" s="10" t="n">
        <x:v>16</x:v>
      </x:c>
      <x:c r="E618" s="10" t="n">
        <x:f>SUMIF('Revenue and costs'!$D$1928:$D$2055,C618,'Revenue and costs'!N1928:N2055)</x:f>
        <x:v>238417.71163211047</x:v>
      </x:c>
      <x:c r="F618" s="10" t="n">
        <x:f>SUMIF('Revenue and costs'!$D$1928:$D$2055,C618,'Revenue and costs'!O1928:O2055)+SUMIF('Revenue and costs'!$D$1928:$D$2055,C618,'Revenue and costs'!P1928:P2055)+SUMIF('Revenue and costs'!$D$1928:$D$2055,C618,'Revenue and costs'!Q1928:Q2055)+SUMIF('Revenue and costs'!$D$1928:$D$2055,C618,'Revenue and costs'!R1928:R2055)+SUMIF('Revenue and costs'!$D$1928:$D$2055,C618,'Revenue and costs'!S1928:S2055)+SUMIF('Revenue and costs'!$D$1928:$D$2055,C618,'Revenue and costs'!T1928:T2055)+SUMIF('Revenue and costs'!$D$1928:$D$2055,C618,'Revenue and costs'!U1928:U2055)+SUMIF('Revenue and costs'!$D$1928:$D$2055,C618,'Revenue and costs'!V1928:V2055)+SUMIF('Revenue and costs'!$D$1928:$D$2055,C618,'Revenue and costs'!AE1928:AE2055)</x:f>
        <x:v>163500.99264701898</x:v>
      </x:c>
      <x:c r="G618" s="10" t="n">
        <x:f>IF('Income statement'!S50=0,1/39,E618/'Income statement'!S50)*('Shared costs'!W21+'Assumptions'!$D$18*'Assumptions'!$D$19*12*(1+'Assumptions'!$D$13)^(16-1)*'Assumptions'!$D$21)</x:f>
        <x:v>11837.13937660186</x:v>
      </x:c>
      <x:c r="H618" s="10" t="n">
        <x:f>IF('Income statement'!S50=0,1/39,E618/'Income statement'!S50)*'Cash and capital'!S18</x:f>
        <x:v>46.03740942884104</x:v>
      </x:c>
      <x:c r="I618" s="10" t="n">
        <x:f>E618-F618-G618-H618</x:f>
        <x:v>63033.54219906079</x:v>
      </x:c>
      <x:c r="J618" s="10" t="n">
        <x:f>M579</x:f>
        <x:v>0</x:v>
      </x:c>
      <x:c r="K618" s="10" t="n">
        <x:f>MAX(0,I618-J618)</x:f>
        <x:v>63033.54219906079</x:v>
      </x:c>
      <x:c r="L618" s="10" t="n">
        <x:f>K618*'Assumptions'!$D$12</x:f>
        <x:v>15758.385549765197</x:v>
      </x:c>
      <x:c r="M618" s="10" t="n">
        <x:f>MAX(0,J618-I618)</x:f>
        <x:v>0</x:v>
      </x:c>
    </x:row>
    <x:row r="619" ht="16" customHeight="1">
      <x:c r="A619" s="1"/>
      <x:c r="B619" s="1"/>
      <x:c r="C619" s="1" t="str">
        <x:v>Semajes Marketplace</x:v>
      </x:c>
      <x:c r="D619" s="10" t="n">
        <x:v>16</x:v>
      </x:c>
      <x:c r="E619" s="10" t="n">
        <x:f>SUMIF('Revenue and costs'!$D$1928:$D$2055,C619,'Revenue and costs'!N1928:N2055)</x:f>
        <x:v>77607.02972602833</x:v>
      </x:c>
      <x:c r="F619" s="10" t="n">
        <x:f>SUMIF('Revenue and costs'!$D$1928:$D$2055,C619,'Revenue and costs'!O1928:O2055)+SUMIF('Revenue and costs'!$D$1928:$D$2055,C619,'Revenue and costs'!P1928:P2055)+SUMIF('Revenue and costs'!$D$1928:$D$2055,C619,'Revenue and costs'!Q1928:Q2055)+SUMIF('Revenue and costs'!$D$1928:$D$2055,C619,'Revenue and costs'!R1928:R2055)+SUMIF('Revenue and costs'!$D$1928:$D$2055,C619,'Revenue and costs'!S1928:S2055)+SUMIF('Revenue and costs'!$D$1928:$D$2055,C619,'Revenue and costs'!T1928:T2055)+SUMIF('Revenue and costs'!$D$1928:$D$2055,C619,'Revenue and costs'!U1928:U2055)+SUMIF('Revenue and costs'!$D$1928:$D$2055,C619,'Revenue and costs'!V1928:V2055)+SUMIF('Revenue and costs'!$D$1928:$D$2055,C619,'Revenue and costs'!AE1928:AE2055)</x:f>
        <x:v>39306.059734603536</x:v>
      </x:c>
      <x:c r="G619" s="10" t="n">
        <x:f>IF('Income statement'!S50=0,1/39,E619/'Income statement'!S50)*('Shared costs'!W21+'Assumptions'!$D$18*'Assumptions'!$D$19*12*(1+'Assumptions'!$D$13)^(16-1)*'Assumptions'!$D$21)</x:f>
        <x:v>3853.091371368386</x:v>
      </x:c>
      <x:c r="H619" s="10" t="n">
        <x:f>IF('Income statement'!S50=0,1/39,E619/'Income statement'!S50)*'Cash and capital'!S18</x:f>
        <x:v>14.985575432275095</x:v>
      </x:c>
      <x:c r="I619" s="10" t="n">
        <x:f>E619-F619-G619-H619</x:f>
        <x:v>34432.89304462413</x:v>
      </x:c>
      <x:c r="J619" s="10" t="n">
        <x:f>M580</x:f>
        <x:v>0</x:v>
      </x:c>
      <x:c r="K619" s="10" t="n">
        <x:f>MAX(0,I619-J619)</x:f>
        <x:v>34432.89304462413</x:v>
      </x:c>
      <x:c r="L619" s="10" t="n">
        <x:f>K619*'Assumptions'!$D$12</x:f>
        <x:v>8608.223261156032</x:v>
      </x:c>
      <x:c r="M619" s="10" t="n">
        <x:f>MAX(0,J619-I619)</x:f>
        <x:v>0</x:v>
      </x:c>
    </x:row>
    <x:row r="620" ht="16" customHeight="1">
      <x:c r="A620" s="1"/>
      <x:c r="B620" s="1"/>
      <x:c r="C620" s="1" t="str">
        <x:v>Semajes premium and media</x:v>
      </x:c>
      <x:c r="D620" s="10" t="n">
        <x:v>16</x:v>
      </x:c>
      <x:c r="E620" s="10" t="n">
        <x:f>SUMIF('Revenue and costs'!$D$1928:$D$2055,C620,'Revenue and costs'!N1928:N2055)</x:f>
        <x:v>54136.14695212948</x:v>
      </x:c>
      <x:c r="F620" s="10" t="n">
        <x:f>SUMIF('Revenue and costs'!$D$1928:$D$2055,C620,'Revenue and costs'!O1928:O2055)+SUMIF('Revenue and costs'!$D$1928:$D$2055,C620,'Revenue and costs'!P1928:P2055)+SUMIF('Revenue and costs'!$D$1928:$D$2055,C620,'Revenue and costs'!Q1928:Q2055)+SUMIF('Revenue and costs'!$D$1928:$D$2055,C620,'Revenue and costs'!R1928:R2055)+SUMIF('Revenue and costs'!$D$1928:$D$2055,C620,'Revenue and costs'!S1928:S2055)+SUMIF('Revenue and costs'!$D$1928:$D$2055,C620,'Revenue and costs'!T1928:T2055)+SUMIF('Revenue and costs'!$D$1928:$D$2055,C620,'Revenue and costs'!U1928:U2055)+SUMIF('Revenue and costs'!$D$1928:$D$2055,C620,'Revenue and costs'!V1928:V2055)+SUMIF('Revenue and costs'!$D$1928:$D$2055,C620,'Revenue and costs'!AE1928:AE2055)</x:f>
        <x:v>31266.161567453822</x:v>
      </x:c>
      <x:c r="G620" s="10" t="n">
        <x:f>IF('Income statement'!S50=0,1/39,E620/'Income statement'!S50)*('Shared costs'!W21+'Assumptions'!$D$18*'Assumptions'!$D$19*12*(1+'Assumptions'!$D$13)^(16-1)*'Assumptions'!$D$21)</x:f>
        <x:v>2687.7915755410277</x:v>
      </x:c>
      <x:c r="H620" s="10" t="n">
        <x:f>IF('Income statement'!S50=0,1/39,E620/'Income statement'!S50)*'Cash and capital'!S18</x:f>
        <x:v>10.453451402892437</x:v>
      </x:c>
      <x:c r="I620" s="10" t="n">
        <x:f>E620-F620-G620-H620</x:f>
        <x:v>20171.740357731735</x:v>
      </x:c>
      <x:c r="J620" s="10" t="n">
        <x:f>M581</x:f>
        <x:v>0</x:v>
      </x:c>
      <x:c r="K620" s="10" t="n">
        <x:f>MAX(0,I620-J620)</x:f>
        <x:v>20171.740357731735</x:v>
      </x:c>
      <x:c r="L620" s="10" t="n">
        <x:f>K620*'Assumptions'!$D$12</x:f>
        <x:v>5042.935089432934</x:v>
      </x:c>
      <x:c r="M620" s="10" t="n">
        <x:f>MAX(0,J620-I620)</x:f>
        <x:v>0</x:v>
      </x:c>
    </x:row>
    <x:row r="621" ht="16" customHeight="1">
      <x:c r="A621" s="1"/>
      <x:c r="B621" s="1"/>
      <x:c r="C621" s="1" t="str">
        <x:v>Semajes courses</x:v>
      </x:c>
      <x:c r="D621" s="10" t="n">
        <x:v>16</x:v>
      </x:c>
      <x:c r="E621" s="10" t="n">
        <x:f>SUMIF('Revenue and costs'!$D$1928:$D$2055,C621,'Revenue and costs'!N1928:N2055)</x:f>
        <x:v>29299.140175266508</x:v>
      </x:c>
      <x:c r="F621" s="10" t="n">
        <x:f>SUMIF('Revenue and costs'!$D$1928:$D$2055,C621,'Revenue and costs'!O1928:O2055)+SUMIF('Revenue and costs'!$D$1928:$D$2055,C621,'Revenue and costs'!P1928:P2055)+SUMIF('Revenue and costs'!$D$1928:$D$2055,C621,'Revenue and costs'!Q1928:Q2055)+SUMIF('Revenue and costs'!$D$1928:$D$2055,C621,'Revenue and costs'!R1928:R2055)+SUMIF('Revenue and costs'!$D$1928:$D$2055,C621,'Revenue and costs'!S1928:S2055)+SUMIF('Revenue and costs'!$D$1928:$D$2055,C621,'Revenue and costs'!T1928:T2055)+SUMIF('Revenue and costs'!$D$1928:$D$2055,C621,'Revenue and costs'!U1928:U2055)+SUMIF('Revenue and costs'!$D$1928:$D$2055,C621,'Revenue and costs'!V1928:V2055)+SUMIF('Revenue and costs'!$D$1928:$D$2055,C621,'Revenue and costs'!AE1928:AE2055)</x:f>
        <x:v>9910.08333271833</x:v>
      </x:c>
      <x:c r="G621" s="10" t="n">
        <x:f>IF('Income statement'!S50=0,1/39,E621/'Income statement'!S50)*('Shared costs'!W21+'Assumptions'!$D$18*'Assumptions'!$D$19*12*(1+'Assumptions'!$D$13)^(16-1)*'Assumptions'!$D$21)</x:f>
        <x:v>1454.6654419885585</x:v>
      </x:c>
      <x:c r="H621" s="10" t="n">
        <x:f>IF('Income statement'!S50=0,1/39,E621/'Income statement'!S50)*'Cash and capital'!S18</x:f>
        <x:v>5.657534848933947</x:v>
      </x:c>
      <x:c r="I621" s="10" t="n">
        <x:f>E621-F621-G621-H621</x:f>
        <x:v>17928.73386571068</x:v>
      </x:c>
      <x:c r="J621" s="10" t="n">
        <x:f>M582</x:f>
        <x:v>0</x:v>
      </x:c>
      <x:c r="K621" s="10" t="n">
        <x:f>MAX(0,I621-J621)</x:f>
        <x:v>17928.73386571068</x:v>
      </x:c>
      <x:c r="L621" s="10" t="n">
        <x:f>K621*'Assumptions'!$D$12</x:f>
        <x:v>4482.18346642767</x:v>
      </x:c>
      <x:c r="M621" s="10" t="n">
        <x:f>MAX(0,J621-I621)</x:f>
        <x:v>0</x:v>
      </x:c>
    </x:row>
    <x:row r="622" ht="16" customHeight="1">
      <x:c r="A622" s="1"/>
      <x:c r="B622" s="1"/>
      <x:c r="C622" s="1" t="str">
        <x:v>Sleepy Face</x:v>
      </x:c>
      <x:c r="D622" s="10" t="n">
        <x:v>16</x:v>
      </x:c>
      <x:c r="E622" s="10" t="n">
        <x:f>SUMIF('Revenue and costs'!$D$1928:$D$2055,C622,'Revenue and costs'!N1928:N2055)</x:f>
        <x:v>375233.4322984591</x:v>
      </x:c>
      <x:c r="F622" s="10" t="n">
        <x:f>SUMIF('Revenue and costs'!$D$1928:$D$2055,C622,'Revenue and costs'!O1928:O2055)+SUMIF('Revenue and costs'!$D$1928:$D$2055,C622,'Revenue and costs'!P1928:P2055)+SUMIF('Revenue and costs'!$D$1928:$D$2055,C622,'Revenue and costs'!Q1928:Q2055)+SUMIF('Revenue and costs'!$D$1928:$D$2055,C622,'Revenue and costs'!R1928:R2055)+SUMIF('Revenue and costs'!$D$1928:$D$2055,C622,'Revenue and costs'!S1928:S2055)+SUMIF('Revenue and costs'!$D$1928:$D$2055,C622,'Revenue and costs'!T1928:T2055)+SUMIF('Revenue and costs'!$D$1928:$D$2055,C622,'Revenue and costs'!U1928:U2055)+SUMIF('Revenue and costs'!$D$1928:$D$2055,C622,'Revenue and costs'!V1928:V2055)+SUMIF('Revenue and costs'!$D$1928:$D$2055,C622,'Revenue and costs'!AE1928:AE2055)</x:f>
        <x:v>251719.53416424253</x:v>
      </x:c>
      <x:c r="G622" s="10" t="n">
        <x:f>IF('Income statement'!S50=0,1/39,E622/'Income statement'!S50)*('Shared costs'!W21+'Assumptions'!$D$18*'Assumptions'!$D$19*12*(1+'Assumptions'!$D$13)^(16-1)*'Assumptions'!$D$21)</x:f>
        <x:v>18629.867749638044</x:v>
      </x:c>
      <x:c r="H622" s="10" t="n">
        <x:f>IF('Income statement'!S50=0,1/39,E622/'Income statement'!S50)*'Cash and capital'!S18</x:f>
        <x:v>72.4559221538425</x:v>
      </x:c>
      <x:c r="I622" s="10" t="n">
        <x:f>E622-F622-G622-H622</x:f>
        <x:v>104811.5744624247</x:v>
      </x:c>
      <x:c r="J622" s="10" t="n">
        <x:f>M583</x:f>
        <x:v>0</x:v>
      </x:c>
      <x:c r="K622" s="10" t="n">
        <x:f>MAX(0,I622-J622)</x:f>
        <x:v>104811.5744624247</x:v>
      </x:c>
      <x:c r="L622" s="10" t="n">
        <x:f>K622*'Assumptions'!$D$12</x:f>
        <x:v>26202.893615606175</x:v>
      </x:c>
      <x:c r="M622" s="10" t="n">
        <x:f>MAX(0,J622-I622)</x:f>
        <x:v>0</x:v>
      </x:c>
    </x:row>
    <x:row r="623" ht="16" customHeight="1">
      <x:c r="A623" s="1"/>
      <x:c r="B623" s="1"/>
      <x:c r="C623" s="1" t="str">
        <x:v>QzoticMusic</x:v>
      </x:c>
      <x:c r="D623" s="10" t="n">
        <x:v>16</x:v>
      </x:c>
      <x:c r="E623" s="10" t="n">
        <x:f>SUMIF('Revenue and costs'!$D$1928:$D$2055,C623,'Revenue and costs'!N1928:N2055)</x:f>
        <x:v>32835.12134992064</x:v>
      </x:c>
      <x:c r="F623" s="10" t="n">
        <x:f>SUMIF('Revenue and costs'!$D$1928:$D$2055,C623,'Revenue and costs'!O1928:O2055)+SUMIF('Revenue and costs'!$D$1928:$D$2055,C623,'Revenue and costs'!P1928:P2055)+SUMIF('Revenue and costs'!$D$1928:$D$2055,C623,'Revenue and costs'!Q1928:Q2055)+SUMIF('Revenue and costs'!$D$1928:$D$2055,C623,'Revenue and costs'!R1928:R2055)+SUMIF('Revenue and costs'!$D$1928:$D$2055,C623,'Revenue and costs'!S1928:S2055)+SUMIF('Revenue and costs'!$D$1928:$D$2055,C623,'Revenue and costs'!T1928:T2055)+SUMIF('Revenue and costs'!$D$1928:$D$2055,C623,'Revenue and costs'!U1928:U2055)+SUMIF('Revenue and costs'!$D$1928:$D$2055,C623,'Revenue and costs'!V1928:V2055)+SUMIF('Revenue and costs'!$D$1928:$D$2055,C623,'Revenue and costs'!AE1928:AE2055)</x:f>
        <x:v>38315.44477799793</x:v>
      </x:c>
      <x:c r="G623" s="10" t="n">
        <x:f>IF('Income statement'!S50=0,1/39,E623/'Income statement'!S50)*('Shared costs'!W21+'Assumptions'!$D$18*'Assumptions'!$D$19*12*(1+'Assumptions'!$D$13)^(16-1)*'Assumptions'!$D$21)</x:f>
        <x:v>1630.2224579119684</x:v>
      </x:c>
      <x:c r="H623" s="10" t="n">
        <x:f>IF('Income statement'!S50=0,1/39,E623/'Income statement'!S50)*'Cash and capital'!S18</x:f>
        <x:v>6.340317230980358</x:v>
      </x:c>
      <x:c r="I623" s="10" t="n">
        <x:f>E623-F623-G623-H623</x:f>
        <x:v>-7116.886203220237</x:v>
      </x:c>
      <x:c r="J623" s="10" t="n">
        <x:f>M584</x:f>
        <x:v>47859.867573500844</x:v>
      </x:c>
      <x:c r="K623" s="10" t="n">
        <x:f>MAX(0,I623-J623)</x:f>
        <x:v>0</x:v>
      </x:c>
      <x:c r="L623" s="10" t="n">
        <x:f>K623*'Assumptions'!$D$12</x:f>
        <x:v>0</x:v>
      </x:c>
      <x:c r="M623" s="10" t="n">
        <x:f>MAX(0,J623-I623)</x:f>
        <x:v>54976.75377672108</x:v>
      </x:c>
    </x:row>
    <x:row r="624" ht="16" customHeight="1">
      <x:c r="A624" s="1"/>
      <x:c r="B624" s="1"/>
      <x:c r="C624" s="1" t="str">
        <x:v>LesPetitFilms</x:v>
      </x:c>
      <x:c r="D624" s="10" t="n">
        <x:v>16</x:v>
      </x:c>
      <x:c r="E624" s="10" t="n">
        <x:f>SUMIF('Revenue and costs'!$D$1928:$D$2055,C624,'Revenue and costs'!N1928:N2055)</x:f>
        <x:v>119826.78661713758</x:v>
      </x:c>
      <x:c r="F624" s="10" t="n">
        <x:f>SUMIF('Revenue and costs'!$D$1928:$D$2055,C624,'Revenue and costs'!O1928:O2055)+SUMIF('Revenue and costs'!$D$1928:$D$2055,C624,'Revenue and costs'!P1928:P2055)+SUMIF('Revenue and costs'!$D$1928:$D$2055,C624,'Revenue and costs'!Q1928:Q2055)+SUMIF('Revenue and costs'!$D$1928:$D$2055,C624,'Revenue and costs'!R1928:R2055)+SUMIF('Revenue and costs'!$D$1928:$D$2055,C624,'Revenue and costs'!S1928:S2055)+SUMIF('Revenue and costs'!$D$1928:$D$2055,C624,'Revenue and costs'!T1928:T2055)+SUMIF('Revenue and costs'!$D$1928:$D$2055,C624,'Revenue and costs'!U1928:U2055)+SUMIF('Revenue and costs'!$D$1928:$D$2055,C624,'Revenue and costs'!V1928:V2055)+SUMIF('Revenue and costs'!$D$1928:$D$2055,C624,'Revenue and costs'!AE1928:AE2055)</x:f>
        <x:v>73680.84128702295</x:v>
      </x:c>
      <x:c r="G624" s="10" t="n">
        <x:f>IF('Income statement'!S50=0,1/39,E624/'Income statement'!S50)*('Shared costs'!W21+'Assumptions'!$D$18*'Assumptions'!$D$19*12*(1+'Assumptions'!$D$13)^(16-1)*'Assumptions'!$D$21)</x:f>
        <x:v>5949.249175019574</x:v>
      </x:c>
      <x:c r="H624" s="10" t="n">
        <x:f>IF('Income statement'!S50=0,1/39,E624/'Income statement'!S50)*'Cash and capital'!S18</x:f>
        <x:v>23.13802442893911</x:v>
      </x:c>
      <x:c r="I624" s="10" t="n">
        <x:f>E624-F624-G624-H624</x:f>
        <x:v>40173.55813066611</x:v>
      </x:c>
      <x:c r="J624" s="10" t="n">
        <x:f>M585</x:f>
        <x:v>0</x:v>
      </x:c>
      <x:c r="K624" s="10" t="n">
        <x:f>MAX(0,I624-J624)</x:f>
        <x:v>40173.55813066611</x:v>
      </x:c>
      <x:c r="L624" s="10" t="n">
        <x:f>K624*'Assumptions'!$D$12</x:f>
        <x:v>10043.389532666528</x:v>
      </x:c>
      <x:c r="M624" s="10" t="n">
        <x:f>MAX(0,J624-I624)</x:f>
        <x:v>0</x:v>
      </x:c>
    </x:row>
    <x:row r="625" ht="16" customHeight="1">
      <x:c r="A625" s="1"/>
      <x:c r="B625" s="1"/>
      <x:c r="C625" s="1" t="str">
        <x:v>Learn Anglais</x:v>
      </x:c>
      <x:c r="D625" s="10" t="n">
        <x:v>16</x:v>
      </x:c>
      <x:c r="E625" s="10" t="n">
        <x:f>SUMIF('Revenue and costs'!$D$1928:$D$2055,C625,'Revenue and costs'!N1928:N2055)</x:f>
        <x:v>127121.49419268245</x:v>
      </x:c>
      <x:c r="F625" s="10" t="n">
        <x:f>SUMIF('Revenue and costs'!$D$1928:$D$2055,C625,'Revenue and costs'!O1928:O2055)+SUMIF('Revenue and costs'!$D$1928:$D$2055,C625,'Revenue and costs'!P1928:P2055)+SUMIF('Revenue and costs'!$D$1928:$D$2055,C625,'Revenue and costs'!Q1928:Q2055)+SUMIF('Revenue and costs'!$D$1928:$D$2055,C625,'Revenue and costs'!R1928:R2055)+SUMIF('Revenue and costs'!$D$1928:$D$2055,C625,'Revenue and costs'!S1928:S2055)+SUMIF('Revenue and costs'!$D$1928:$D$2055,C625,'Revenue and costs'!T1928:T2055)+SUMIF('Revenue and costs'!$D$1928:$D$2055,C625,'Revenue and costs'!U1928:U2055)+SUMIF('Revenue and costs'!$D$1928:$D$2055,C625,'Revenue and costs'!V1928:V2055)+SUMIF('Revenue and costs'!$D$1928:$D$2055,C625,'Revenue and costs'!AE1928:AE2055)</x:f>
        <x:v>81693.25106512249</x:v>
      </x:c>
      <x:c r="G625" s="10" t="n">
        <x:f>IF('Income statement'!S50=0,1/39,E625/'Income statement'!S50)*('Shared costs'!W21+'Assumptions'!$D$18*'Assumptions'!$D$19*12*(1+'Assumptions'!$D$13)^(16-1)*'Assumptions'!$D$21)</x:f>
        <x:v>6311.422227064121</x:v>
      </x:c>
      <x:c r="H625" s="10" t="n">
        <x:f>IF('Income statement'!S50=0,1/39,E625/'Income statement'!S50)*'Cash and capital'!S18</x:f>
        <x:v>24.54660031459826</x:v>
      </x:c>
      <x:c r="I625" s="10" t="n">
        <x:f>E625-F625-G625-H625</x:f>
        <x:v>39092.27430018125</x:v>
      </x:c>
      <x:c r="J625" s="10" t="n">
        <x:f>M586</x:f>
        <x:v>0</x:v>
      </x:c>
      <x:c r="K625" s="10" t="n">
        <x:f>MAX(0,I625-J625)</x:f>
        <x:v>39092.27430018125</x:v>
      </x:c>
      <x:c r="L625" s="10" t="n">
        <x:f>K625*'Assumptions'!$D$12</x:f>
        <x:v>9773.068575045312</x:v>
      </x:c>
      <x:c r="M625" s="10" t="n">
        <x:f>MAX(0,J625-I625)</x:f>
        <x:v>0</x:v>
      </x:c>
    </x:row>
    <x:row r="626" ht="16" customHeight="1">
      <x:c r="A626" s="1"/>
      <x:c r="B626" s="1"/>
      <x:c r="C626" s="1" t="str">
        <x:v>Fiefé</x:v>
      </x:c>
      <x:c r="D626" s="10" t="n">
        <x:v>16</x:v>
      </x:c>
      <x:c r="E626" s="10" t="n">
        <x:f>SUMIF('Revenue and costs'!$D$1928:$D$2055,C626,'Revenue and costs'!N1928:N2055)</x:f>
        <x:v>88292.77405819067</x:v>
      </x:c>
      <x:c r="F626" s="10" t="n">
        <x:f>SUMIF('Revenue and costs'!$D$1928:$D$2055,C626,'Revenue and costs'!O1928:O2055)+SUMIF('Revenue and costs'!$D$1928:$D$2055,C626,'Revenue and costs'!P1928:P2055)+SUMIF('Revenue and costs'!$D$1928:$D$2055,C626,'Revenue and costs'!Q1928:Q2055)+SUMIF('Revenue and costs'!$D$1928:$D$2055,C626,'Revenue and costs'!R1928:R2055)+SUMIF('Revenue and costs'!$D$1928:$D$2055,C626,'Revenue and costs'!S1928:S2055)+SUMIF('Revenue and costs'!$D$1928:$D$2055,C626,'Revenue and costs'!T1928:T2055)+SUMIF('Revenue and costs'!$D$1928:$D$2055,C626,'Revenue and costs'!U1928:U2055)+SUMIF('Revenue and costs'!$D$1928:$D$2055,C626,'Revenue and costs'!V1928:V2055)+SUMIF('Revenue and costs'!$D$1928:$D$2055,C626,'Revenue and costs'!AE1928:AE2055)</x:f>
        <x:v>74048.40384483416</x:v>
      </x:c>
      <x:c r="G626" s="10" t="n">
        <x:f>IF('Income statement'!S50=0,1/39,E626/'Income statement'!S50)*('Shared costs'!W21+'Assumptions'!$D$18*'Assumptions'!$D$19*12*(1+'Assumptions'!$D$13)^(16-1)*'Assumptions'!$D$21)</x:f>
        <x:v>4383.625131367377</x:v>
      </x:c>
      <x:c r="H626" s="10" t="n">
        <x:f>IF('Income statement'!S50=0,1/39,E626/'Income statement'!S50)*'Cash and capital'!S18</x:f>
        <x:v>17.04894557161595</x:v>
      </x:c>
      <x:c r="I626" s="10" t="n">
        <x:f>E626-F626-G626-H626</x:f>
        <x:v>9843.696136417515</x:v>
      </x:c>
      <x:c r="J626" s="10" t="n">
        <x:f>M587</x:f>
        <x:v>0</x:v>
      </x:c>
      <x:c r="K626" s="10" t="n">
        <x:f>MAX(0,I626-J626)</x:f>
        <x:v>9843.696136417515</x:v>
      </x:c>
      <x:c r="L626" s="10" t="n">
        <x:f>K626*'Assumptions'!$D$12</x:f>
        <x:v>2460.9240341043787</x:v>
      </x:c>
      <x:c r="M626" s="10" t="n">
        <x:f>MAX(0,J626-I626)</x:f>
        <x:v>0</x:v>
      </x:c>
    </x:row>
    <x:row r="627" ht="16" customHeight="1">
      <x:c r="A627" s="1"/>
      <x:c r="B627" s="1"/>
      <x:c r="C627" s="1" t="str">
        <x:v>Fiefé Design</x:v>
      </x:c>
      <x:c r="D627" s="10" t="n">
        <x:v>16</x:v>
      </x:c>
      <x:c r="E627" s="10" t="n">
        <x:f>SUMIF('Revenue and costs'!$D$1928:$D$2055,C627,'Revenue and costs'!N1928:N2055)</x:f>
        <x:v>55011.07417955806</x:v>
      </x:c>
      <x:c r="F627" s="10" t="n">
        <x:f>SUMIF('Revenue and costs'!$D$1928:$D$2055,C627,'Revenue and costs'!O1928:O2055)+SUMIF('Revenue and costs'!$D$1928:$D$2055,C627,'Revenue and costs'!P1928:P2055)+SUMIF('Revenue and costs'!$D$1928:$D$2055,C627,'Revenue and costs'!Q1928:Q2055)+SUMIF('Revenue and costs'!$D$1928:$D$2055,C627,'Revenue and costs'!R1928:R2055)+SUMIF('Revenue and costs'!$D$1928:$D$2055,C627,'Revenue and costs'!S1928:S2055)+SUMIF('Revenue and costs'!$D$1928:$D$2055,C627,'Revenue and costs'!T1928:T2055)+SUMIF('Revenue and costs'!$D$1928:$D$2055,C627,'Revenue and costs'!U1928:U2055)+SUMIF('Revenue and costs'!$D$1928:$D$2055,C627,'Revenue and costs'!V1928:V2055)+SUMIF('Revenue and costs'!$D$1928:$D$2055,C627,'Revenue and costs'!AE1928:AE2055)</x:f>
        <x:v>43207.66768445692</x:v>
      </x:c>
      <x:c r="G627" s="10" t="n">
        <x:f>IF('Income statement'!S50=0,1/39,E627/'Income statement'!S50)*('Shared costs'!W21+'Assumptions'!$D$18*'Assumptions'!$D$19*12*(1+'Assumptions'!$D$13)^(16-1)*'Assumptions'!$D$21)</x:f>
        <x:v>2731.2306114438497</x:v>
      </x:c>
      <x:c r="H627" s="10" t="n">
        <x:f>IF('Income statement'!S50=0,1/39,E627/'Income statement'!S50)*'Cash and capital'!S18</x:f>
        <x:v>10.622395994776294</x:v>
      </x:c>
      <x:c r="I627" s="10" t="n">
        <x:f>E627-F627-G627-H627</x:f>
        <x:v>9061.553487662512</x:v>
      </x:c>
      <x:c r="J627" s="10" t="n">
        <x:f>M588</x:f>
        <x:v>0</x:v>
      </x:c>
      <x:c r="K627" s="10" t="n">
        <x:f>MAX(0,I627-J627)</x:f>
        <x:v>9061.553487662512</x:v>
      </x:c>
      <x:c r="L627" s="10" t="n">
        <x:f>K627*'Assumptions'!$D$12</x:f>
        <x:v>2265.388371915628</x:v>
      </x:c>
      <x:c r="M627" s="10" t="n">
        <x:f>MAX(0,J627-I627)</x:f>
        <x:v>0</x:v>
      </x:c>
    </x:row>
    <x:row r="628" ht="16" customHeight="1">
      <x:c r="A628" s="1"/>
      <x:c r="B628" s="1"/>
      <x:c r="C628" s="1" t="str">
        <x:v>OsezArt</x:v>
      </x:c>
      <x:c r="D628" s="10" t="n">
        <x:v>16</x:v>
      </x:c>
      <x:c r="E628" s="10" t="n">
        <x:f>SUMIF('Revenue and costs'!$D$1928:$D$2055,C628,'Revenue and costs'!N1928:N2055)</x:f>
        <x:v>216766.90437676615</x:v>
      </x:c>
      <x:c r="F628" s="10" t="n">
        <x:f>SUMIF('Revenue and costs'!$D$1928:$D$2055,C628,'Revenue and costs'!O1928:O2055)+SUMIF('Revenue and costs'!$D$1928:$D$2055,C628,'Revenue and costs'!P1928:P2055)+SUMIF('Revenue and costs'!$D$1928:$D$2055,C628,'Revenue and costs'!Q1928:Q2055)+SUMIF('Revenue and costs'!$D$1928:$D$2055,C628,'Revenue and costs'!R1928:R2055)+SUMIF('Revenue and costs'!$D$1928:$D$2055,C628,'Revenue and costs'!S1928:S2055)+SUMIF('Revenue and costs'!$D$1928:$D$2055,C628,'Revenue and costs'!T1928:T2055)+SUMIF('Revenue and costs'!$D$1928:$D$2055,C628,'Revenue and costs'!U1928:U2055)+SUMIF('Revenue and costs'!$D$1928:$D$2055,C628,'Revenue and costs'!V1928:V2055)+SUMIF('Revenue and costs'!$D$1928:$D$2055,C628,'Revenue and costs'!AE1928:AE2055)</x:f>
        <x:v>125883.6435763771</x:v>
      </x:c>
      <x:c r="G628" s="10" t="n">
        <x:f>IF('Income statement'!S50=0,1/39,E628/'Income statement'!S50)*('Shared costs'!W21+'Assumptions'!$D$18*'Assumptions'!$D$19*12*(1+'Assumptions'!$D$13)^(16-1)*'Assumptions'!$D$21)</x:f>
        <x:v>10762.204040032104</x:v>
      </x:c>
      <x:c r="H628" s="10" t="n">
        <x:f>IF('Income statement'!S50=0,1/39,E628/'Income statement'!S50)*'Cash and capital'!S18</x:f>
        <x:v>41.85673396116758</x:v>
      </x:c>
      <x:c r="I628" s="10" t="n">
        <x:f>E628-F628-G628-H628</x:f>
        <x:v>80079.20002639579</x:v>
      </x:c>
      <x:c r="J628" s="10" t="n">
        <x:f>M589</x:f>
        <x:v>0</x:v>
      </x:c>
      <x:c r="K628" s="10" t="n">
        <x:f>MAX(0,I628-J628)</x:f>
        <x:v>80079.20002639579</x:v>
      </x:c>
      <x:c r="L628" s="10" t="n">
        <x:f>K628*'Assumptions'!$D$12</x:f>
        <x:v>20019.800006598947</x:v>
      </x:c>
      <x:c r="M628" s="10" t="n">
        <x:f>MAX(0,J628-I628)</x:f>
        <x:v>0</x:v>
      </x:c>
    </x:row>
    <x:row r="629" ht="16" customHeight="1">
      <x:c r="A629" s="1"/>
      <x:c r="B629" s="1"/>
      <x:c r="C629" s="1" t="str">
        <x:v>FinBot research</x:v>
      </x:c>
      <x:c r="D629" s="10" t="n">
        <x:v>16</x:v>
      </x:c>
      <x:c r="E629" s="10" t="n">
        <x:f>SUMIF('Revenue and costs'!$D$1928:$D$2055,C629,'Revenue and costs'!N1928:N2055)</x:f>
        <x:v>10893.27006410541</x:v>
      </x:c>
      <x:c r="F629" s="10" t="n">
        <x:f>SUMIF('Revenue and costs'!$D$1928:$D$2055,C629,'Revenue and costs'!O1928:O2055)+SUMIF('Revenue and costs'!$D$1928:$D$2055,C629,'Revenue and costs'!P1928:P2055)+SUMIF('Revenue and costs'!$D$1928:$D$2055,C629,'Revenue and costs'!Q1928:Q2055)+SUMIF('Revenue and costs'!$D$1928:$D$2055,C629,'Revenue and costs'!R1928:R2055)+SUMIF('Revenue and costs'!$D$1928:$D$2055,C629,'Revenue and costs'!S1928:S2055)+SUMIF('Revenue and costs'!$D$1928:$D$2055,C629,'Revenue and costs'!T1928:T2055)+SUMIF('Revenue and costs'!$D$1928:$D$2055,C629,'Revenue and costs'!U1928:U2055)+SUMIF('Revenue and costs'!$D$1928:$D$2055,C629,'Revenue and costs'!V1928:V2055)+SUMIF('Revenue and costs'!$D$1928:$D$2055,C629,'Revenue and costs'!AE1928:AE2055)</x:f>
        <x:v>6709.867619550561</x:v>
      </x:c>
      <x:c r="G629" s="10" t="n">
        <x:f>IF('Income statement'!S50=0,1/39,E629/'Income statement'!S50)*('Shared costs'!W21+'Assumptions'!$D$18*'Assumptions'!$D$19*12*(1+'Assumptions'!$D$13)^(16-1)*'Assumptions'!$D$21)</x:f>
        <x:v>540.8371514560492</x:v>
      </x:c>
      <x:c r="H629" s="10" t="n">
        <x:f>IF('Income statement'!S50=0,1/39,E629/'Income statement'!S50)*'Cash and capital'!S18</x:f>
        <x:v>2.103442443630164</x:v>
      </x:c>
      <x:c r="I629" s="10" t="n">
        <x:f>E629-F629-G629-H629</x:f>
        <x:v>3640.4618506551697</x:v>
      </x:c>
      <x:c r="J629" s="10" t="n">
        <x:f>M590</x:f>
        <x:v>0</x:v>
      </x:c>
      <x:c r="K629" s="10" t="n">
        <x:f>MAX(0,I629-J629)</x:f>
        <x:v>3640.4618506551697</x:v>
      </x:c>
      <x:c r="L629" s="10" t="n">
        <x:f>K629*'Assumptions'!$D$12</x:f>
        <x:v>910.1154626637924</x:v>
      </x:c>
      <x:c r="M629" s="10" t="n">
        <x:f>MAX(0,J629-I629)</x:f>
        <x:v>0</x:v>
      </x:c>
    </x:row>
    <x:row r="630" ht="16" customHeight="1">
      <x:c r="A630" s="1"/>
      <x:c r="B630" s="1"/>
      <x:c r="C630" s="1" t="str">
        <x:v>Functional Analysis</x:v>
      </x:c>
      <x:c r="D630" s="10" t="n">
        <x:v>16</x:v>
      </x:c>
      <x:c r="E630" s="10" t="n">
        <x:f>SUMIF('Revenue and costs'!$D$1928:$D$2055,C630,'Revenue and costs'!N1928:N2055)</x:f>
        <x:v>23436.400205171845</x:v>
      </x:c>
      <x:c r="F630" s="10" t="n">
        <x:f>SUMIF('Revenue and costs'!$D$1928:$D$2055,C630,'Revenue and costs'!O1928:O2055)+SUMIF('Revenue and costs'!$D$1928:$D$2055,C630,'Revenue and costs'!P1928:P2055)+SUMIF('Revenue and costs'!$D$1928:$D$2055,C630,'Revenue and costs'!Q1928:Q2055)+SUMIF('Revenue and costs'!$D$1928:$D$2055,C630,'Revenue and costs'!R1928:R2055)+SUMIF('Revenue and costs'!$D$1928:$D$2055,C630,'Revenue and costs'!S1928:S2055)+SUMIF('Revenue and costs'!$D$1928:$D$2055,C630,'Revenue and costs'!T1928:T2055)+SUMIF('Revenue and costs'!$D$1928:$D$2055,C630,'Revenue and costs'!U1928:U2055)+SUMIF('Revenue and costs'!$D$1928:$D$2055,C630,'Revenue and costs'!V1928:V2055)+SUMIF('Revenue and costs'!$D$1928:$D$2055,C630,'Revenue and costs'!AE1928:AE2055)</x:f>
        <x:v>13048.667504487403</x:v>
      </x:c>
      <x:c r="G630" s="10" t="n">
        <x:f>IF('Income statement'!S50=0,1/39,E630/'Income statement'!S50)*('Shared costs'!W21+'Assumptions'!$D$18*'Assumptions'!$D$19*12*(1+'Assumptions'!$D$13)^(16-1)*'Assumptions'!$D$21)</x:f>
        <x:v>1163.5877796801913</x:v>
      </x:c>
      <x:c r="H630" s="10" t="n">
        <x:f>IF('Income statement'!S50=0,1/39,E630/'Income statement'!S50)*'Cash and capital'!S18</x:f>
        <x:v>4.52546559732333</x:v>
      </x:c>
      <x:c r="I630" s="10" t="n">
        <x:f>E630-F630-G630-H630</x:f>
        <x:v>9219.619455406928</x:v>
      </x:c>
      <x:c r="J630" s="10" t="n">
        <x:f>M591</x:f>
        <x:v>0</x:v>
      </x:c>
      <x:c r="K630" s="10" t="n">
        <x:f>MAX(0,I630-J630)</x:f>
        <x:v>9219.619455406928</x:v>
      </x:c>
      <x:c r="L630" s="10" t="n">
        <x:f>K630*'Assumptions'!$D$12</x:f>
        <x:v>2304.904863851732</x:v>
      </x:c>
      <x:c r="M630" s="10" t="n">
        <x:f>MAX(0,J630-I630)</x:f>
        <x:v>0</x:v>
      </x:c>
    </x:row>
    <x:row r="631" ht="16" customHeight="1">
      <x:c r="A631" s="1"/>
      <x:c r="B631" s="1"/>
      <x:c r="C631" s="1" t="str">
        <x:v>Independent candy game</x:v>
      </x:c>
      <x:c r="D631" s="10" t="n">
        <x:v>16</x:v>
      </x:c>
      <x:c r="E631" s="10" t="n">
        <x:f>SUMIF('Revenue and costs'!$D$1928:$D$2055,C631,'Revenue and costs'!N1928:N2055)</x:f>
        <x:v>9371.968555152762</x:v>
      </x:c>
      <x:c r="F631" s="10" t="n">
        <x:f>SUMIF('Revenue and costs'!$D$1928:$D$2055,C631,'Revenue and costs'!O1928:O2055)+SUMIF('Revenue and costs'!$D$1928:$D$2055,C631,'Revenue and costs'!P1928:P2055)+SUMIF('Revenue and costs'!$D$1928:$D$2055,C631,'Revenue and costs'!Q1928:Q2055)+SUMIF('Revenue and costs'!$D$1928:$D$2055,C631,'Revenue and costs'!R1928:R2055)+SUMIF('Revenue and costs'!$D$1928:$D$2055,C631,'Revenue and costs'!S1928:S2055)+SUMIF('Revenue and costs'!$D$1928:$D$2055,C631,'Revenue and costs'!T1928:T2055)+SUMIF('Revenue and costs'!$D$1928:$D$2055,C631,'Revenue and costs'!U1928:U2055)+SUMIF('Revenue and costs'!$D$1928:$D$2055,C631,'Revenue and costs'!V1928:V2055)+SUMIF('Revenue and costs'!$D$1928:$D$2055,C631,'Revenue and costs'!AE1928:AE2055)</x:f>
        <x:v>9473.471051719654</x:v>
      </x:c>
      <x:c r="G631" s="10" t="n">
        <x:f>IF('Income statement'!S50=0,1/39,E631/'Income statement'!S50)*('Shared costs'!W21+'Assumptions'!$D$18*'Assumptions'!$D$19*12*(1+'Assumptions'!$D$13)^(16-1)*'Assumptions'!$D$21)</x:f>
        <x:v>465.3064458216702</x:v>
      </x:c>
      <x:c r="H631" s="10" t="n">
        <x:f>IF('Income statement'!S50=0,1/39,E631/'Income statement'!S50)*'Cash and capital'!S18</x:f>
        <x:v>1.809685826502504</x:v>
      </x:c>
      <x:c r="I631" s="10" t="n">
        <x:f>E631-F631-G631-H631</x:f>
        <x:v>-568.6186282150653</x:v>
      </x:c>
      <x:c r="J631" s="10" t="n">
        <x:f>M592</x:f>
        <x:v>1493.4555941395438</x:v>
      </x:c>
      <x:c r="K631" s="10" t="n">
        <x:f>MAX(0,I631-J631)</x:f>
        <x:v>0</x:v>
      </x:c>
      <x:c r="L631" s="10" t="n">
        <x:f>K631*'Assumptions'!$D$12</x:f>
        <x:v>0</x:v>
      </x:c>
      <x:c r="M631" s="10" t="n">
        <x:f>MAX(0,J631-I631)</x:f>
        <x:v>2062.074222354609</x:v>
      </x:c>
    </x:row>
    <x:row r="632" ht="16" customHeight="1">
      <x:c r="A632" s="1"/>
      <x:c r="B632" s="1"/>
      <x:c r="C632" s="1" t="str">
        <x:v>ETV courses</x:v>
      </x:c>
      <x:c r="D632" s="10" t="n">
        <x:v>17</x:v>
      </x:c>
      <x:c r="E632" s="10" t="n">
        <x:f>SUMIF('Revenue and costs'!$D$2056:$D$2183,C632,'Revenue and costs'!N2056:N2183)</x:f>
        <x:v>65411.006845493976</x:v>
      </x:c>
      <x:c r="F632" s="10" t="n">
        <x:f>SUMIF('Revenue and costs'!$D$2056:$D$2183,C632,'Revenue and costs'!O2056:O2183)+SUMIF('Revenue and costs'!$D$2056:$D$2183,C632,'Revenue and costs'!P2056:P2183)+SUMIF('Revenue and costs'!$D$2056:$D$2183,C632,'Revenue and costs'!Q2056:Q2183)+SUMIF('Revenue and costs'!$D$2056:$D$2183,C632,'Revenue and costs'!R2056:R2183)+SUMIF('Revenue and costs'!$D$2056:$D$2183,C632,'Revenue and costs'!S2056:S2183)+SUMIF('Revenue and costs'!$D$2056:$D$2183,C632,'Revenue and costs'!T2056:T2183)+SUMIF('Revenue and costs'!$D$2056:$D$2183,C632,'Revenue and costs'!U2056:U2183)+SUMIF('Revenue and costs'!$D$2056:$D$2183,C632,'Revenue and costs'!V2056:V2183)+SUMIF('Revenue and costs'!$D$2056:$D$2183,C632,'Revenue and costs'!AE2056:AE2183)</x:f>
        <x:v>25956.872475737873</x:v>
      </x:c>
      <x:c r="G632" s="10" t="n">
        <x:f>IF('Income statement'!T50=0,1/39,E632/'Income statement'!T50)*('Shared costs'!X21+'Assumptions'!$D$18*'Assumptions'!$D$19*12*(1+'Assumptions'!$D$13)^(17-1)*'Assumptions'!$D$21)</x:f>
        <x:v>3337.897954886179</x:v>
      </x:c>
      <x:c r="H632" s="10" t="n">
        <x:f>IF('Income statement'!T50=0,1/39,E632/'Income statement'!T50)*'Cash and capital'!T18</x:f>
        <x:v>12.071990058377772</x:v>
      </x:c>
      <x:c r="I632" s="10" t="n">
        <x:f>E632-F632-G632-H632</x:f>
        <x:v>36104.16442481155</x:v>
      </x:c>
      <x:c r="J632" s="10" t="n">
        <x:f>M593</x:f>
        <x:v>0</x:v>
      </x:c>
      <x:c r="K632" s="10" t="n">
        <x:f>MAX(0,I632-J632)</x:f>
        <x:v>36104.16442481155</x:v>
      </x:c>
      <x:c r="L632" s="10" t="n">
        <x:f>K632*'Assumptions'!$D$12</x:f>
        <x:v>9026.041106202887</x:v>
      </x:c>
      <x:c r="M632" s="10" t="n">
        <x:f>MAX(0,J632-I632)</x:f>
        <x:v>0</x:v>
      </x:c>
    </x:row>
    <x:row r="633" ht="16" customHeight="1">
      <x:c r="A633" s="1"/>
      <x:c r="B633" s="1"/>
      <x:c r="C633" s="1" t="str">
        <x:v>ETV services</x:v>
      </x:c>
      <x:c r="D633" s="10" t="n">
        <x:v>17</x:v>
      </x:c>
      <x:c r="E633" s="10" t="n">
        <x:f>SUMIF('Revenue and costs'!$D$2056:$D$2183,C633,'Revenue and costs'!N2056:N2183)</x:f>
        <x:v>167459.97769600412</x:v>
      </x:c>
      <x:c r="F633" s="10" t="n">
        <x:f>SUMIF('Revenue and costs'!$D$2056:$D$2183,C633,'Revenue and costs'!O2056:O2183)+SUMIF('Revenue and costs'!$D$2056:$D$2183,C633,'Revenue and costs'!P2056:P2183)+SUMIF('Revenue and costs'!$D$2056:$D$2183,C633,'Revenue and costs'!Q2056:Q2183)+SUMIF('Revenue and costs'!$D$2056:$D$2183,C633,'Revenue and costs'!R2056:R2183)+SUMIF('Revenue and costs'!$D$2056:$D$2183,C633,'Revenue and costs'!S2056:S2183)+SUMIF('Revenue and costs'!$D$2056:$D$2183,C633,'Revenue and costs'!T2056:T2183)+SUMIF('Revenue and costs'!$D$2056:$D$2183,C633,'Revenue and costs'!U2056:U2183)+SUMIF('Revenue and costs'!$D$2056:$D$2183,C633,'Revenue and costs'!V2056:V2183)+SUMIF('Revenue and costs'!$D$2056:$D$2183,C633,'Revenue and costs'!AE2056:AE2183)</x:f>
        <x:v>121420.11254863214</x:v>
      </x:c>
      <x:c r="G633" s="10" t="n">
        <x:f>IF('Income statement'!T50=0,1/39,E633/'Income statement'!T50)*('Shared costs'!X21+'Assumptions'!$D$18*'Assumptions'!$D$19*12*(1+'Assumptions'!$D$13)^(17-1)*'Assumptions'!$D$21)</x:f>
        <x:v>8545.416804194678</x:v>
      </x:c>
      <x:c r="H633" s="10" t="n">
        <x:f>IF('Income statement'!T50=0,1/39,E633/'Income statement'!T50)*'Cash and capital'!T18</x:f>
        <x:v>30.90573411746202</x:v>
      </x:c>
      <x:c r="I633" s="10" t="n">
        <x:f>E633-F633-G633-H633</x:f>
        <x:v>37463.54260905984</x:v>
      </x:c>
      <x:c r="J633" s="10" t="n">
        <x:f>M594</x:f>
        <x:v>0</x:v>
      </x:c>
      <x:c r="K633" s="10" t="n">
        <x:f>MAX(0,I633-J633)</x:f>
        <x:v>37463.54260905984</x:v>
      </x:c>
      <x:c r="L633" s="10" t="n">
        <x:f>K633*'Assumptions'!$D$12</x:f>
        <x:v>9365.88565226496</x:v>
      </x:c>
      <x:c r="M633" s="10" t="n">
        <x:f>MAX(0,J633-I633)</x:f>
        <x:v>0</x:v>
      </x:c>
    </x:row>
    <x:row r="634" ht="16" customHeight="1">
      <x:c r="A634" s="1"/>
      <x:c r="B634" s="1"/>
      <x:c r="C634" s="1" t="str">
        <x:v>BPA professional services</x:v>
      </x:c>
      <x:c r="D634" s="10" t="n">
        <x:v>17</x:v>
      </x:c>
      <x:c r="E634" s="10" t="n">
        <x:f>SUMIF('Revenue and costs'!$D$2056:$D$2183,C634,'Revenue and costs'!N2056:N2183)</x:f>
        <x:v>856136.9609955266</x:v>
      </x:c>
      <x:c r="F634" s="10" t="n">
        <x:f>SUMIF('Revenue and costs'!$D$2056:$D$2183,C634,'Revenue and costs'!O2056:O2183)+SUMIF('Revenue and costs'!$D$2056:$D$2183,C634,'Revenue and costs'!P2056:P2183)+SUMIF('Revenue and costs'!$D$2056:$D$2183,C634,'Revenue and costs'!Q2056:Q2183)+SUMIF('Revenue and costs'!$D$2056:$D$2183,C634,'Revenue and costs'!R2056:R2183)+SUMIF('Revenue and costs'!$D$2056:$D$2183,C634,'Revenue and costs'!S2056:S2183)+SUMIF('Revenue and costs'!$D$2056:$D$2183,C634,'Revenue and costs'!T2056:T2183)+SUMIF('Revenue and costs'!$D$2056:$D$2183,C634,'Revenue and costs'!U2056:U2183)+SUMIF('Revenue and costs'!$D$2056:$D$2183,C634,'Revenue and costs'!V2056:V2183)+SUMIF('Revenue and costs'!$D$2056:$D$2183,C634,'Revenue and costs'!AE2056:AE2183)</x:f>
        <x:v>547712.8369041181</x:v>
      </x:c>
      <x:c r="G634" s="10" t="n">
        <x:f>IF('Income statement'!T50=0,1/39,E634/'Income statement'!T50)*('Shared costs'!X21+'Assumptions'!$D$18*'Assumptions'!$D$19*12*(1+'Assumptions'!$D$13)^(17-1)*'Assumptions'!$D$21)</x:f>
        <x:v>43688.332423311374</x:v>
      </x:c>
      <x:c r="H634" s="10" t="n">
        <x:f>IF('Income statement'!T50=0,1/39,E634/'Income statement'!T50)*'Cash and capital'!T18</x:f>
        <x:v>158.00516427090787</x:v>
      </x:c>
      <x:c r="I634" s="10" t="n">
        <x:f>E634-F634-G634-H634</x:f>
        <x:v>264577.78650382627</x:v>
      </x:c>
      <x:c r="J634" s="10" t="n">
        <x:f>M595</x:f>
        <x:v>0</x:v>
      </x:c>
      <x:c r="K634" s="10" t="n">
        <x:f>MAX(0,I634-J634)</x:f>
        <x:v>264577.78650382627</x:v>
      </x:c>
      <x:c r="L634" s="10" t="n">
        <x:f>K634*'Assumptions'!$D$12</x:f>
        <x:v>66144.44662595657</x:v>
      </x:c>
      <x:c r="M634" s="10" t="n">
        <x:f>MAX(0,J634-I634)</x:f>
        <x:v>0</x:v>
      </x:c>
    </x:row>
    <x:row r="635" ht="16" customHeight="1">
      <x:c r="A635" s="1"/>
      <x:c r="B635" s="1"/>
      <x:c r="C635" s="1" t="str">
        <x:v>CornerFlow</x:v>
      </x:c>
      <x:c r="D635" s="10" t="n">
        <x:v>17</x:v>
      </x:c>
      <x:c r="E635" s="10" t="n">
        <x:f>SUMIF('Revenue and costs'!$D$2056:$D$2183,C635,'Revenue and costs'!N2056:N2183)</x:f>
        <x:v>32370.90796219965</x:v>
      </x:c>
      <x:c r="F635" s="10" t="n">
        <x:f>SUMIF('Revenue and costs'!$D$2056:$D$2183,C635,'Revenue and costs'!O2056:O2183)+SUMIF('Revenue and costs'!$D$2056:$D$2183,C635,'Revenue and costs'!P2056:P2183)+SUMIF('Revenue and costs'!$D$2056:$D$2183,C635,'Revenue and costs'!Q2056:Q2183)+SUMIF('Revenue and costs'!$D$2056:$D$2183,C635,'Revenue and costs'!R2056:R2183)+SUMIF('Revenue and costs'!$D$2056:$D$2183,C635,'Revenue and costs'!S2056:S2183)+SUMIF('Revenue and costs'!$D$2056:$D$2183,C635,'Revenue and costs'!T2056:T2183)+SUMIF('Revenue and costs'!$D$2056:$D$2183,C635,'Revenue and costs'!U2056:U2183)+SUMIF('Revenue and costs'!$D$2056:$D$2183,C635,'Revenue and costs'!V2056:V2183)+SUMIF('Revenue and costs'!$D$2056:$D$2183,C635,'Revenue and costs'!AE2056:AE2183)</x:f>
        <x:v>13663.57836543153</x:v>
      </x:c>
      <x:c r="G635" s="10" t="n">
        <x:f>IF('Income statement'!T50=0,1/39,E635/'Income statement'!T50)*('Shared costs'!X21+'Assumptions'!$D$18*'Assumptions'!$D$19*12*(1+'Assumptions'!$D$13)^(17-1)*'Assumptions'!$D$21)</x:f>
        <x:v>1651.8747026790084</x:v>
      </x:c>
      <x:c r="H635" s="10" t="n">
        <x:f>IF('Income statement'!T50=0,1/39,E635/'Income statement'!T50)*'Cash and capital'!T18</x:f>
        <x:v>5.974243448406055</x:v>
      </x:c>
      <x:c r="I635" s="10" t="n">
        <x:f>E635-F635-G635-H635</x:f>
        <x:v>17049.480650640704</x:v>
      </x:c>
      <x:c r="J635" s="10" t="n">
        <x:f>M596</x:f>
        <x:v>0</x:v>
      </x:c>
      <x:c r="K635" s="10" t="n">
        <x:f>MAX(0,I635-J635)</x:f>
        <x:v>17049.480650640704</x:v>
      </x:c>
      <x:c r="L635" s="10" t="n">
        <x:f>K635*'Assumptions'!$D$12</x:f>
        <x:v>4262.370162660176</x:v>
      </x:c>
      <x:c r="M635" s="10" t="n">
        <x:f>MAX(0,J635-I635)</x:f>
        <x:v>0</x:v>
      </x:c>
    </x:row>
    <x:row r="636" ht="16" customHeight="1">
      <x:c r="A636" s="1"/>
      <x:c r="B636" s="1"/>
      <x:c r="C636" s="1" t="str">
        <x:v>Spindle</x:v>
      </x:c>
      <x:c r="D636" s="10" t="n">
        <x:v>17</x:v>
      </x:c>
      <x:c r="E636" s="10" t="n">
        <x:f>SUMIF('Revenue and costs'!$D$2056:$D$2183,C636,'Revenue and costs'!N2056:N2183)</x:f>
        <x:v>32370.90796219965</x:v>
      </x:c>
      <x:c r="F636" s="10" t="n">
        <x:f>SUMIF('Revenue and costs'!$D$2056:$D$2183,C636,'Revenue and costs'!O2056:O2183)+SUMIF('Revenue and costs'!$D$2056:$D$2183,C636,'Revenue and costs'!P2056:P2183)+SUMIF('Revenue and costs'!$D$2056:$D$2183,C636,'Revenue and costs'!Q2056:Q2183)+SUMIF('Revenue and costs'!$D$2056:$D$2183,C636,'Revenue and costs'!R2056:R2183)+SUMIF('Revenue and costs'!$D$2056:$D$2183,C636,'Revenue and costs'!S2056:S2183)+SUMIF('Revenue and costs'!$D$2056:$D$2183,C636,'Revenue and costs'!T2056:T2183)+SUMIF('Revenue and costs'!$D$2056:$D$2183,C636,'Revenue and costs'!U2056:U2183)+SUMIF('Revenue and costs'!$D$2056:$D$2183,C636,'Revenue and costs'!V2056:V2183)+SUMIF('Revenue and costs'!$D$2056:$D$2183,C636,'Revenue and costs'!AE2056:AE2183)</x:f>
        <x:v>13663.57836543153</x:v>
      </x:c>
      <x:c r="G636" s="10" t="n">
        <x:f>IF('Income statement'!T50=0,1/39,E636/'Income statement'!T50)*('Shared costs'!X21+'Assumptions'!$D$18*'Assumptions'!$D$19*12*(1+'Assumptions'!$D$13)^(17-1)*'Assumptions'!$D$21)</x:f>
        <x:v>1651.8747026790084</x:v>
      </x:c>
      <x:c r="H636" s="10" t="n">
        <x:f>IF('Income statement'!T50=0,1/39,E636/'Income statement'!T50)*'Cash and capital'!T18</x:f>
        <x:v>5.974243448406055</x:v>
      </x:c>
      <x:c r="I636" s="10" t="n">
        <x:f>E636-F636-G636-H636</x:f>
        <x:v>17049.480650640704</x:v>
      </x:c>
      <x:c r="J636" s="10" t="n">
        <x:f>M597</x:f>
        <x:v>0</x:v>
      </x:c>
      <x:c r="K636" s="10" t="n">
        <x:f>MAX(0,I636-J636)</x:f>
        <x:v>17049.480650640704</x:v>
      </x:c>
      <x:c r="L636" s="10" t="n">
        <x:f>K636*'Assumptions'!$D$12</x:f>
        <x:v>4262.370162660176</x:v>
      </x:c>
      <x:c r="M636" s="10" t="n">
        <x:f>MAX(0,J636-I636)</x:f>
        <x:v>0</x:v>
      </x:c>
    </x:row>
    <x:row r="637" ht="16" customHeight="1">
      <x:c r="A637" s="1"/>
      <x:c r="B637" s="1"/>
      <x:c r="C637" s="1" t="str">
        <x:v>Maison Contour</x:v>
      </x:c>
      <x:c r="D637" s="10" t="n">
        <x:v>17</x:v>
      </x:c>
      <x:c r="E637" s="10" t="n">
        <x:f>SUMIF('Revenue and costs'!$D$2056:$D$2183,C637,'Revenue and costs'!N2056:N2183)</x:f>
        <x:v>45608.315032702616</x:v>
      </x:c>
      <x:c r="F637" s="10" t="n">
        <x:f>SUMIF('Revenue and costs'!$D$2056:$D$2183,C637,'Revenue and costs'!O2056:O2183)+SUMIF('Revenue and costs'!$D$2056:$D$2183,C637,'Revenue and costs'!P2056:P2183)+SUMIF('Revenue and costs'!$D$2056:$D$2183,C637,'Revenue and costs'!Q2056:Q2183)+SUMIF('Revenue and costs'!$D$2056:$D$2183,C637,'Revenue and costs'!R2056:R2183)+SUMIF('Revenue and costs'!$D$2056:$D$2183,C637,'Revenue and costs'!S2056:S2183)+SUMIF('Revenue and costs'!$D$2056:$D$2183,C637,'Revenue and costs'!T2056:T2183)+SUMIF('Revenue and costs'!$D$2056:$D$2183,C637,'Revenue and costs'!U2056:U2183)+SUMIF('Revenue and costs'!$D$2056:$D$2183,C637,'Revenue and costs'!V2056:V2183)+SUMIF('Revenue and costs'!$D$2056:$D$2183,C637,'Revenue and costs'!AE2056:AE2183)</x:f>
        <x:v>14721.206249930477</x:v>
      </x:c>
      <x:c r="G637" s="10" t="n">
        <x:f>IF('Income statement'!T50=0,1/39,E637/'Income statement'!T50)*('Shared costs'!X21+'Assumptions'!$D$18*'Assumptions'!$D$19*12*(1+'Assumptions'!$D$13)^(17-1)*'Assumptions'!$D$21)</x:f>
        <x:v>2327.3743795605533</x:v>
      </x:c>
      <x:c r="H637" s="10" t="n">
        <x:f>IF('Income statement'!T50=0,1/39,E637/'Income statement'!T50)*'Cash and capital'!T18</x:f>
        <x:v>8.417285594680857</x:v>
      </x:c>
      <x:c r="I637" s="10" t="n">
        <x:f>E637-F637-G637-H637</x:f>
        <x:v>28551.317117616905</x:v>
      </x:c>
      <x:c r="J637" s="10" t="n">
        <x:f>M598</x:f>
        <x:v>0</x:v>
      </x:c>
      <x:c r="K637" s="10" t="n">
        <x:f>MAX(0,I637-J637)</x:f>
        <x:v>28551.317117616905</x:v>
      </x:c>
      <x:c r="L637" s="10" t="n">
        <x:f>K637*'Assumptions'!$D$12</x:f>
        <x:v>7137.829279404226</x:v>
      </x:c>
      <x:c r="M637" s="10" t="n">
        <x:f>MAX(0,J637-I637)</x:f>
        <x:v>0</x:v>
      </x:c>
    </x:row>
    <x:row r="638" ht="16" customHeight="1">
      <x:c r="A638" s="1"/>
      <x:c r="B638" s="1"/>
      <x:c r="C638" s="1" t="str">
        <x:v>DishLoom US</x:v>
      </x:c>
      <x:c r="D638" s="10" t="n">
        <x:v>17</x:v>
      </x:c>
      <x:c r="E638" s="10" t="n">
        <x:f>SUMIF('Revenue and costs'!$D$2056:$D$2183,C638,'Revenue and costs'!N2056:N2183)</x:f>
        <x:v>41697.83227208437</x:v>
      </x:c>
      <x:c r="F638" s="10" t="n">
        <x:f>SUMIF('Revenue and costs'!$D$2056:$D$2183,C638,'Revenue and costs'!O2056:O2183)+SUMIF('Revenue and costs'!$D$2056:$D$2183,C638,'Revenue and costs'!P2056:P2183)+SUMIF('Revenue and costs'!$D$2056:$D$2183,C638,'Revenue and costs'!Q2056:Q2183)+SUMIF('Revenue and costs'!$D$2056:$D$2183,C638,'Revenue and costs'!R2056:R2183)+SUMIF('Revenue and costs'!$D$2056:$D$2183,C638,'Revenue and costs'!S2056:S2183)+SUMIF('Revenue and costs'!$D$2056:$D$2183,C638,'Revenue and costs'!T2056:T2183)+SUMIF('Revenue and costs'!$D$2056:$D$2183,C638,'Revenue and costs'!U2056:U2183)+SUMIF('Revenue and costs'!$D$2056:$D$2183,C638,'Revenue and costs'!V2056:V2183)+SUMIF('Revenue and costs'!$D$2056:$D$2183,C638,'Revenue and costs'!AE2056:AE2183)</x:f>
        <x:v>29340.321594281115</x:v>
      </x:c>
      <x:c r="G638" s="10" t="n">
        <x:f>IF('Income statement'!T50=0,1/39,E638/'Income statement'!T50)*('Shared costs'!X21+'Assumptions'!$D$18*'Assumptions'!$D$19*12*(1+'Assumptions'!$D$13)^(17-1)*'Assumptions'!$D$21)</x:f>
        <x:v>2127.823982176868</x:v>
      </x:c>
      <x:c r="H638" s="10" t="n">
        <x:f>IF('Income statement'!T50=0,1/39,E638/'Income statement'!T50)*'Cash and capital'!T18</x:f>
        <x:v>7.695582760765635</x:v>
      </x:c>
      <x:c r="I638" s="10" t="n">
        <x:f>E638-F638-G638-H638</x:f>
        <x:v>10221.991112865624</x:v>
      </x:c>
      <x:c r="J638" s="10" t="n">
        <x:f>M599</x:f>
        <x:v>0</x:v>
      </x:c>
      <x:c r="K638" s="10" t="n">
        <x:f>MAX(0,I638-J638)</x:f>
        <x:v>10221.991112865624</x:v>
      </x:c>
      <x:c r="L638" s="10" t="n">
        <x:f>K638*'Assumptions'!$D$12</x:f>
        <x:v>2555.497778216406</x:v>
      </x:c>
      <x:c r="M638" s="10" t="n">
        <x:f>MAX(0,J638-I638)</x:f>
        <x:v>0</x:v>
      </x:c>
    </x:row>
    <x:row r="639" ht="16" customHeight="1">
      <x:c r="A639" s="1"/>
      <x:c r="B639" s="1"/>
      <x:c r="C639" s="1" t="str">
        <x:v>Is Makes Travel Easy</x:v>
      </x:c>
      <x:c r="D639" s="10" t="n">
        <x:v>17</x:v>
      </x:c>
      <x:c r="E639" s="10" t="n">
        <x:f>SUMIF('Revenue and costs'!$D$2056:$D$2183,C639,'Revenue and costs'!N2056:N2183)</x:f>
        <x:v>70657.5534247558</x:v>
      </x:c>
      <x:c r="F639" s="10" t="n">
        <x:f>SUMIF('Revenue and costs'!$D$2056:$D$2183,C639,'Revenue and costs'!O2056:O2183)+SUMIF('Revenue and costs'!$D$2056:$D$2183,C639,'Revenue and costs'!P2056:P2183)+SUMIF('Revenue and costs'!$D$2056:$D$2183,C639,'Revenue and costs'!Q2056:Q2183)+SUMIF('Revenue and costs'!$D$2056:$D$2183,C639,'Revenue and costs'!R2056:R2183)+SUMIF('Revenue and costs'!$D$2056:$D$2183,C639,'Revenue and costs'!S2056:S2183)+SUMIF('Revenue and costs'!$D$2056:$D$2183,C639,'Revenue and costs'!T2056:T2183)+SUMIF('Revenue and costs'!$D$2056:$D$2183,C639,'Revenue and costs'!U2056:U2183)+SUMIF('Revenue and costs'!$D$2056:$D$2183,C639,'Revenue and costs'!V2056:V2183)+SUMIF('Revenue and costs'!$D$2056:$D$2183,C639,'Revenue and costs'!AE2056:AE2183)</x:f>
        <x:v>41881.16937655999</x:v>
      </x:c>
      <x:c r="G639" s="10" t="n">
        <x:f>IF('Income statement'!T50=0,1/39,E639/'Income statement'!T50)*('Shared costs'!X21+'Assumptions'!$D$18*'Assumptions'!$D$19*12*(1+'Assumptions'!$D$13)^(17-1)*'Assumptions'!$D$21)</x:f>
        <x:v>3605.6271634962663</x:v>
      </x:c>
      <x:c r="H639" s="10" t="n">
        <x:f>IF('Income statement'!T50=0,1/39,E639/'Income statement'!T50)*'Cash and capital'!T18</x:f>
        <x:v>13.040271410402667</x:v>
      </x:c>
      <x:c r="I639" s="10" t="n">
        <x:f>E639-F639-G639-H639</x:f>
        <x:v>25157.716613289136</x:v>
      </x:c>
      <x:c r="J639" s="10" t="n">
        <x:f>M600</x:f>
        <x:v>0</x:v>
      </x:c>
      <x:c r="K639" s="10" t="n">
        <x:f>MAX(0,I639-J639)</x:f>
        <x:v>25157.716613289136</x:v>
      </x:c>
      <x:c r="L639" s="10" t="n">
        <x:f>K639*'Assumptions'!$D$12</x:f>
        <x:v>6289.429153322284</x:v>
      </x:c>
      <x:c r="M639" s="10" t="n">
        <x:f>MAX(0,J639-I639)</x:f>
        <x:v>0</x:v>
      </x:c>
    </x:row>
    <x:row r="640" ht="16" customHeight="1">
      <x:c r="A640" s="1"/>
      <x:c r="B640" s="1"/>
      <x:c r="C640" s="1" t="str">
        <x:v>Turbo Tax - Made Easy!</x:v>
      </x:c>
      <x:c r="D640" s="10" t="n">
        <x:v>17</x:v>
      </x:c>
      <x:c r="E640" s="10" t="n">
        <x:f>SUMIF('Revenue and costs'!$D$2056:$D$2183,C640,'Revenue and costs'!N2056:N2183)</x:f>
        <x:v>157070.50368241555</x:v>
      </x:c>
      <x:c r="F640" s="10" t="n">
        <x:f>SUMIF('Revenue and costs'!$D$2056:$D$2183,C640,'Revenue and costs'!O2056:O2183)+SUMIF('Revenue and costs'!$D$2056:$D$2183,C640,'Revenue and costs'!P2056:P2183)+SUMIF('Revenue and costs'!$D$2056:$D$2183,C640,'Revenue and costs'!Q2056:Q2183)+SUMIF('Revenue and costs'!$D$2056:$D$2183,C640,'Revenue and costs'!R2056:R2183)+SUMIF('Revenue and costs'!$D$2056:$D$2183,C640,'Revenue and costs'!S2056:S2183)+SUMIF('Revenue and costs'!$D$2056:$D$2183,C640,'Revenue and costs'!T2056:T2183)+SUMIF('Revenue and costs'!$D$2056:$D$2183,C640,'Revenue and costs'!U2056:U2183)+SUMIF('Revenue and costs'!$D$2056:$D$2183,C640,'Revenue and costs'!V2056:V2183)+SUMIF('Revenue and costs'!$D$2056:$D$2183,C640,'Revenue and costs'!AE2056:AE2183)</x:f>
        <x:v>49329.78433571678</x:v>
      </x:c>
      <x:c r="G640" s="10" t="n">
        <x:f>IF('Income statement'!T50=0,1/39,E640/'Income statement'!T50)*('Shared costs'!X21+'Assumptions'!$D$18*'Assumptions'!$D$19*12*(1+'Assumptions'!$D$13)^(17-1)*'Assumptions'!$D$21)</x:f>
        <x:v>8015.2460311898385</x:v>
      </x:c>
      <x:c r="H640" s="10" t="n">
        <x:f>IF('Income statement'!T50=0,1/39,E640/'Income statement'!T50)*'Cash and capital'!T18</x:f>
        <x:v>28.988294942430347</x:v>
      </x:c>
      <x:c r="I640" s="10" t="n">
        <x:f>E640-F640-G640-H640</x:f>
        <x:v>99696.48502056651</x:v>
      </x:c>
      <x:c r="J640" s="10" t="n">
        <x:f>M601</x:f>
        <x:v>0</x:v>
      </x:c>
      <x:c r="K640" s="10" t="n">
        <x:f>MAX(0,I640-J640)</x:f>
        <x:v>99696.48502056651</x:v>
      </x:c>
      <x:c r="L640" s="10" t="n">
        <x:f>K640*'Assumptions'!$D$12</x:f>
        <x:v>24924.12125514163</x:v>
      </x:c>
      <x:c r="M640" s="10" t="n">
        <x:f>MAX(0,J640-I640)</x:f>
        <x:v>0</x:v>
      </x:c>
    </x:row>
    <x:row r="641" ht="16" customHeight="1">
      <x:c r="A641" s="1"/>
      <x:c r="B641" s="1"/>
      <x:c r="C641" s="1" t="str">
        <x:v>LavaLearning adult</x:v>
      </x:c>
      <x:c r="D641" s="10" t="n">
        <x:v>17</x:v>
      </x:c>
      <x:c r="E641" s="10" t="n">
        <x:f>SUMIF('Revenue and costs'!$D$2056:$D$2183,C641,'Revenue and costs'!N2056:N2183)</x:f>
        <x:v>86785.39868851568</x:v>
      </x:c>
      <x:c r="F641" s="10" t="n">
        <x:f>SUMIF('Revenue and costs'!$D$2056:$D$2183,C641,'Revenue and costs'!O2056:O2183)+SUMIF('Revenue and costs'!$D$2056:$D$2183,C641,'Revenue and costs'!P2056:P2183)+SUMIF('Revenue and costs'!$D$2056:$D$2183,C641,'Revenue and costs'!Q2056:Q2183)+SUMIF('Revenue and costs'!$D$2056:$D$2183,C641,'Revenue and costs'!R2056:R2183)+SUMIF('Revenue and costs'!$D$2056:$D$2183,C641,'Revenue and costs'!S2056:S2183)+SUMIF('Revenue and costs'!$D$2056:$D$2183,C641,'Revenue and costs'!T2056:T2183)+SUMIF('Revenue and costs'!$D$2056:$D$2183,C641,'Revenue and costs'!U2056:U2183)+SUMIF('Revenue and costs'!$D$2056:$D$2183,C641,'Revenue and costs'!V2056:V2183)+SUMIF('Revenue and costs'!$D$2056:$D$2183,C641,'Revenue and costs'!AE2056:AE2183)</x:f>
        <x:v>37695.62124335722</x:v>
      </x:c>
      <x:c r="G641" s="10" t="n">
        <x:f>IF('Income statement'!T50=0,1/39,E641/'Income statement'!T50)*('Shared costs'!X21+'Assumptions'!$D$18*'Assumptions'!$D$19*12*(1+'Assumptions'!$D$13)^(17-1)*'Assumptions'!$D$21)</x:f>
        <x:v>4428.624764645916</x:v>
      </x:c>
      <x:c r="H641" s="10" t="n">
        <x:f>IF('Income statement'!T50=0,1/39,E641/'Income statement'!T50)*'Cash and capital'!T18</x:f>
        <x:v>16.01676110344546</x:v>
      </x:c>
      <x:c r="I641" s="10" t="n">
        <x:f>E641-F641-G641-H641</x:f>
        <x:v>44645.13591940909</x:v>
      </x:c>
      <x:c r="J641" s="10" t="n">
        <x:f>M602</x:f>
        <x:v>0</x:v>
      </x:c>
      <x:c r="K641" s="10" t="n">
        <x:f>MAX(0,I641-J641)</x:f>
        <x:v>44645.13591940909</x:v>
      </x:c>
      <x:c r="L641" s="10" t="n">
        <x:f>K641*'Assumptions'!$D$12</x:f>
        <x:v>11161.283979852273</x:v>
      </x:c>
      <x:c r="M641" s="10" t="n">
        <x:f>MAX(0,J641-I641)</x:f>
        <x:v>0</x:v>
      </x:c>
    </x:row>
    <x:row r="642" ht="16" customHeight="1">
      <x:c r="A642" s="1"/>
      <x:c r="B642" s="1"/>
      <x:c r="C642" s="1" t="str">
        <x:v>LavaLearning Model Life</x:v>
      </x:c>
      <x:c r="D642" s="10" t="n">
        <x:v>17</x:v>
      </x:c>
      <x:c r="E642" s="10" t="n">
        <x:f>SUMIF('Revenue and costs'!$D$2056:$D$2183,C642,'Revenue and costs'!N2056:N2183)</x:f>
        <x:v>0</x:v>
      </x:c>
      <x:c r="F642" s="10" t="n">
        <x:f>SUMIF('Revenue and costs'!$D$2056:$D$2183,C642,'Revenue and costs'!O2056:O2183)+SUMIF('Revenue and costs'!$D$2056:$D$2183,C642,'Revenue and costs'!P2056:P2183)+SUMIF('Revenue and costs'!$D$2056:$D$2183,C642,'Revenue and costs'!Q2056:Q2183)+SUMIF('Revenue and costs'!$D$2056:$D$2183,C642,'Revenue and costs'!R2056:R2183)+SUMIF('Revenue and costs'!$D$2056:$D$2183,C642,'Revenue and costs'!S2056:S2183)+SUMIF('Revenue and costs'!$D$2056:$D$2183,C642,'Revenue and costs'!T2056:T2183)+SUMIF('Revenue and costs'!$D$2056:$D$2183,C642,'Revenue and costs'!U2056:U2183)+SUMIF('Revenue and costs'!$D$2056:$D$2183,C642,'Revenue and costs'!V2056:V2183)+SUMIF('Revenue and costs'!$D$2056:$D$2183,C642,'Revenue and costs'!AE2056:AE2183)</x:f>
        <x:v>0</x:v>
      </x:c>
      <x:c r="G642" s="10" t="n">
        <x:f>IF('Income statement'!T50=0,1/39,E642/'Income statement'!T50)*('Shared costs'!X21+'Assumptions'!$D$18*'Assumptions'!$D$19*12*(1+'Assumptions'!$D$13)^(17-1)*'Assumptions'!$D$21)</x:f>
        <x:v>0</x:v>
      </x:c>
      <x:c r="H642" s="10" t="n">
        <x:f>IF('Income statement'!T50=0,1/39,E642/'Income statement'!T50)*'Cash and capital'!T18</x:f>
        <x:v>0</x:v>
      </x:c>
      <x:c r="I642" s="10" t="n">
        <x:f>E642-F642-G642-H642</x:f>
        <x:v>0</x:v>
      </x:c>
      <x:c r="J642" s="10" t="n">
        <x:f>M603</x:f>
        <x:v>0</x:v>
      </x:c>
      <x:c r="K642" s="10" t="n">
        <x:f>MAX(0,I642-J642)</x:f>
        <x:v>0</x:v>
      </x:c>
      <x:c r="L642" s="10" t="n">
        <x:f>K642*'Assumptions'!$D$12</x:f>
        <x:v>0</x:v>
      </x:c>
      <x:c r="M642" s="10" t="n">
        <x:f>MAX(0,J642-I642)</x:f>
        <x:v>0</x:v>
      </x:c>
    </x:row>
    <x:row r="643" ht="16" customHeight="1">
      <x:c r="A643" s="1"/>
      <x:c r="B643" s="1"/>
      <x:c r="C643" s="1" t="str">
        <x:v>LavaLearning Kids</x:v>
      </x:c>
      <x:c r="D643" s="10" t="n">
        <x:v>17</x:v>
      </x:c>
      <x:c r="E643" s="10" t="n">
        <x:f>SUMIF('Revenue and costs'!$D$2056:$D$2183,C643,'Revenue and costs'!N2056:N2183)</x:f>
        <x:v>37490.503793933334</x:v>
      </x:c>
      <x:c r="F643" s="10" t="n">
        <x:f>SUMIF('Revenue and costs'!$D$2056:$D$2183,C643,'Revenue and costs'!O2056:O2183)+SUMIF('Revenue and costs'!$D$2056:$D$2183,C643,'Revenue and costs'!P2056:P2183)+SUMIF('Revenue and costs'!$D$2056:$D$2183,C643,'Revenue and costs'!Q2056:Q2183)+SUMIF('Revenue and costs'!$D$2056:$D$2183,C643,'Revenue and costs'!R2056:R2183)+SUMIF('Revenue and costs'!$D$2056:$D$2183,C643,'Revenue and costs'!S2056:S2183)+SUMIF('Revenue and costs'!$D$2056:$D$2183,C643,'Revenue and costs'!T2056:T2183)+SUMIF('Revenue and costs'!$D$2056:$D$2183,C643,'Revenue and costs'!U2056:U2183)+SUMIF('Revenue and costs'!$D$2056:$D$2183,C643,'Revenue and costs'!V2056:V2183)+SUMIF('Revenue and costs'!$D$2056:$D$2183,C643,'Revenue and costs'!AE2056:AE2183)</x:f>
        <x:v>23442.506780657633</x:v>
      </x:c>
      <x:c r="G643" s="10" t="n">
        <x:f>IF('Income statement'!T50=0,1/39,E643/'Income statement'!T50)*('Shared costs'!X21+'Assumptions'!$D$18*'Assumptions'!$D$19*12*(1+'Assumptions'!$D$13)^(17-1)*'Assumptions'!$D$21)</x:f>
        <x:v>1913.125664569146</x:v>
      </x:c>
      <x:c r="H643" s="10" t="n">
        <x:f>IF('Income statement'!T50=0,1/39,E643/'Income statement'!T50)*'Cash and capital'!T18</x:f>
        <x:v>6.919095285491925</x:v>
      </x:c>
      <x:c r="I643" s="10" t="n">
        <x:f>E643-F643-G643-H643</x:f>
        <x:v>12127.952253421063</x:v>
      </x:c>
      <x:c r="J643" s="10" t="n">
        <x:f>M604</x:f>
        <x:v>0</x:v>
      </x:c>
      <x:c r="K643" s="10" t="n">
        <x:f>MAX(0,I643-J643)</x:f>
        <x:v>12127.952253421063</x:v>
      </x:c>
      <x:c r="L643" s="10" t="n">
        <x:f>K643*'Assumptions'!$D$12</x:f>
        <x:v>3031.9880633552657</x:v>
      </x:c>
      <x:c r="M643" s="10" t="n">
        <x:f>MAX(0,J643-I643)</x:f>
        <x:v>0</x:v>
      </x:c>
    </x:row>
    <x:row r="644" ht="16" customHeight="1">
      <x:c r="A644" s="1"/>
      <x:c r="B644" s="1"/>
      <x:c r="C644" s="1" t="str">
        <x:v>VraiSkill adult</x:v>
      </x:c>
      <x:c r="D644" s="10" t="n">
        <x:v>17</x:v>
      </x:c>
      <x:c r="E644" s="10" t="n">
        <x:f>SUMIF('Revenue and costs'!$D$2056:$D$2183,C644,'Revenue and costs'!N2056:N2183)</x:f>
        <x:v>70995.17508092176</x:v>
      </x:c>
      <x:c r="F644" s="10" t="n">
        <x:f>SUMIF('Revenue and costs'!$D$2056:$D$2183,C644,'Revenue and costs'!O2056:O2183)+SUMIF('Revenue and costs'!$D$2056:$D$2183,C644,'Revenue and costs'!P2056:P2183)+SUMIF('Revenue and costs'!$D$2056:$D$2183,C644,'Revenue and costs'!Q2056:Q2183)+SUMIF('Revenue and costs'!$D$2056:$D$2183,C644,'Revenue and costs'!R2056:R2183)+SUMIF('Revenue and costs'!$D$2056:$D$2183,C644,'Revenue and costs'!S2056:S2183)+SUMIF('Revenue and costs'!$D$2056:$D$2183,C644,'Revenue and costs'!T2056:T2183)+SUMIF('Revenue and costs'!$D$2056:$D$2183,C644,'Revenue and costs'!U2056:U2183)+SUMIF('Revenue and costs'!$D$2056:$D$2183,C644,'Revenue and costs'!V2056:V2183)+SUMIF('Revenue and costs'!$D$2056:$D$2183,C644,'Revenue and costs'!AE2056:AE2183)</x:f>
        <x:v>59556.09628197151</x:v>
      </x:c>
      <x:c r="G644" s="10" t="n">
        <x:f>IF('Income statement'!T50=0,1/39,E644/'Income statement'!T50)*('Shared costs'!X21+'Assumptions'!$D$18*'Assumptions'!$D$19*12*(1+'Assumptions'!$D$13)^(17-1)*'Assumptions'!$D$21)</x:f>
        <x:v>3622.8558638326426</x:v>
      </x:c>
      <x:c r="H644" s="10" t="n">
        <x:f>IF('Income statement'!T50=0,1/39,E644/'Income statement'!T50)*'Cash and capital'!T18</x:f>
        <x:v>13.102581493571938</x:v>
      </x:c>
      <x:c r="I644" s="10" t="n">
        <x:f>E644-F644-G644-H644</x:f>
        <x:v>7803.120353624035</x:v>
      </x:c>
      <x:c r="J644" s="10" t="n">
        <x:f>M605</x:f>
        <x:v>0</x:v>
      </x:c>
      <x:c r="K644" s="10" t="n">
        <x:f>MAX(0,I644-J644)</x:f>
        <x:v>7803.120353624035</x:v>
      </x:c>
      <x:c r="L644" s="10" t="n">
        <x:f>K644*'Assumptions'!$D$12</x:f>
        <x:v>1950.7800884060086</x:v>
      </x:c>
      <x:c r="M644" s="10" t="n">
        <x:f>MAX(0,J644-I644)</x:f>
        <x:v>0</x:v>
      </x:c>
    </x:row>
    <x:row r="645" ht="16" customHeight="1">
      <x:c r="A645" s="1"/>
      <x:c r="B645" s="1"/>
      <x:c r="C645" s="1" t="str">
        <x:v>VraiSkill teen</x:v>
      </x:c>
      <x:c r="D645" s="10" t="n">
        <x:v>17</x:v>
      </x:c>
      <x:c r="E645" s="10" t="n">
        <x:f>SUMIF('Revenue and costs'!$D$2056:$D$2183,C645,'Revenue and costs'!N2056:N2183)</x:f>
        <x:v>31570.95056331228</x:v>
      </x:c>
      <x:c r="F645" s="10" t="n">
        <x:f>SUMIF('Revenue and costs'!$D$2056:$D$2183,C645,'Revenue and costs'!O2056:O2183)+SUMIF('Revenue and costs'!$D$2056:$D$2183,C645,'Revenue and costs'!P2056:P2183)+SUMIF('Revenue and costs'!$D$2056:$D$2183,C645,'Revenue and costs'!Q2056:Q2183)+SUMIF('Revenue and costs'!$D$2056:$D$2183,C645,'Revenue and costs'!R2056:R2183)+SUMIF('Revenue and costs'!$D$2056:$D$2183,C645,'Revenue and costs'!S2056:S2183)+SUMIF('Revenue and costs'!$D$2056:$D$2183,C645,'Revenue and costs'!T2056:T2183)+SUMIF('Revenue and costs'!$D$2056:$D$2183,C645,'Revenue and costs'!U2056:U2183)+SUMIF('Revenue and costs'!$D$2056:$D$2183,C645,'Revenue and costs'!V2056:V2183)+SUMIF('Revenue and costs'!$D$2056:$D$2183,C645,'Revenue and costs'!AE2056:AE2183)</x:f>
        <x:v>16282.218808044136</x:v>
      </x:c>
      <x:c r="G645" s="10" t="n">
        <x:f>IF('Income statement'!T50=0,1/39,E645/'Income statement'!T50)*('Shared costs'!X21+'Assumptions'!$D$18*'Assumptions'!$D$19*12*(1+'Assumptions'!$D$13)^(17-1)*'Assumptions'!$D$21)</x:f>
        <x:v>1611.0531912161227</x:v>
      </x:c>
      <x:c r="H645" s="10" t="n">
        <x:f>IF('Income statement'!T50=0,1/39,E645/'Income statement'!T50)*'Cash and capital'!T18</x:f>
        <x:v>5.826606556203725</x:v>
      </x:c>
      <x:c r="I645" s="10" t="n">
        <x:f>E645-F645-G645-H645</x:f>
        <x:v>13671.851957495817</x:v>
      </x:c>
      <x:c r="J645" s="10" t="n">
        <x:f>M606</x:f>
        <x:v>0</x:v>
      </x:c>
      <x:c r="K645" s="10" t="n">
        <x:f>MAX(0,I645-J645)</x:f>
        <x:v>13671.851957495817</x:v>
      </x:c>
      <x:c r="L645" s="10" t="n">
        <x:f>K645*'Assumptions'!$D$12</x:f>
        <x:v>3417.9629893739543</x:v>
      </x:c>
      <x:c r="M645" s="10" t="n">
        <x:f>MAX(0,J645-I645)</x:f>
        <x:v>0</x:v>
      </x:c>
    </x:row>
    <x:row r="646" ht="16" customHeight="1">
      <x:c r="A646" s="1"/>
      <x:c r="B646" s="1"/>
      <x:c r="C646" s="1" t="str">
        <x:v>VraiSkill Model Life</x:v>
      </x:c>
      <x:c r="D646" s="10" t="n">
        <x:v>17</x:v>
      </x:c>
      <x:c r="E646" s="10" t="n">
        <x:f>SUMIF('Revenue and costs'!$D$2056:$D$2183,C646,'Revenue and costs'!N2056:N2183)</x:f>
        <x:v>0</x:v>
      </x:c>
      <x:c r="F646" s="10" t="n">
        <x:f>SUMIF('Revenue and costs'!$D$2056:$D$2183,C646,'Revenue and costs'!O2056:O2183)+SUMIF('Revenue and costs'!$D$2056:$D$2183,C646,'Revenue and costs'!P2056:P2183)+SUMIF('Revenue and costs'!$D$2056:$D$2183,C646,'Revenue and costs'!Q2056:Q2183)+SUMIF('Revenue and costs'!$D$2056:$D$2183,C646,'Revenue and costs'!R2056:R2183)+SUMIF('Revenue and costs'!$D$2056:$D$2183,C646,'Revenue and costs'!S2056:S2183)+SUMIF('Revenue and costs'!$D$2056:$D$2183,C646,'Revenue and costs'!T2056:T2183)+SUMIF('Revenue and costs'!$D$2056:$D$2183,C646,'Revenue and costs'!U2056:U2183)+SUMIF('Revenue and costs'!$D$2056:$D$2183,C646,'Revenue and costs'!V2056:V2183)+SUMIF('Revenue and costs'!$D$2056:$D$2183,C646,'Revenue and costs'!AE2056:AE2183)</x:f>
        <x:v>0</x:v>
      </x:c>
      <x:c r="G646" s="10" t="n">
        <x:f>IF('Income statement'!T50=0,1/39,E646/'Income statement'!T50)*('Shared costs'!X21+'Assumptions'!$D$18*'Assumptions'!$D$19*12*(1+'Assumptions'!$D$13)^(17-1)*'Assumptions'!$D$21)</x:f>
        <x:v>0</x:v>
      </x:c>
      <x:c r="H646" s="10" t="n">
        <x:f>IF('Income statement'!T50=0,1/39,E646/'Income statement'!T50)*'Cash and capital'!T18</x:f>
        <x:v>0</x:v>
      </x:c>
      <x:c r="I646" s="10" t="n">
        <x:f>E646-F646-G646-H646</x:f>
        <x:v>0</x:v>
      </x:c>
      <x:c r="J646" s="10" t="n">
        <x:f>M607</x:f>
        <x:v>0</x:v>
      </x:c>
      <x:c r="K646" s="10" t="n">
        <x:f>MAX(0,I646-J646)</x:f>
        <x:v>0</x:v>
      </x:c>
      <x:c r="L646" s="10" t="n">
        <x:f>K646*'Assumptions'!$D$12</x:f>
        <x:v>0</x:v>
      </x:c>
      <x:c r="M646" s="10" t="n">
        <x:f>MAX(0,J646-I646)</x:f>
        <x:v>0</x:v>
      </x:c>
    </x:row>
    <x:row r="647" ht="16" customHeight="1">
      <x:c r="A647" s="1"/>
      <x:c r="B647" s="1"/>
      <x:c r="C647" s="1" t="str">
        <x:v>Model Life</x:v>
      </x:c>
      <x:c r="D647" s="10" t="n">
        <x:v>17</x:v>
      </x:c>
      <x:c r="E647" s="10" t="n">
        <x:f>SUMIF('Revenue and costs'!$D$2056:$D$2183,C647,'Revenue and costs'!N2056:N2183)</x:f>
        <x:v>120019.15743922695</x:v>
      </x:c>
      <x:c r="F647" s="10" t="n">
        <x:f>SUMIF('Revenue and costs'!$D$2056:$D$2183,C647,'Revenue and costs'!O2056:O2183)+SUMIF('Revenue and costs'!$D$2056:$D$2183,C647,'Revenue and costs'!P2056:P2183)+SUMIF('Revenue and costs'!$D$2056:$D$2183,C647,'Revenue and costs'!Q2056:Q2183)+SUMIF('Revenue and costs'!$D$2056:$D$2183,C647,'Revenue and costs'!R2056:R2183)+SUMIF('Revenue and costs'!$D$2056:$D$2183,C647,'Revenue and costs'!S2056:S2183)+SUMIF('Revenue and costs'!$D$2056:$D$2183,C647,'Revenue and costs'!T2056:T2183)+SUMIF('Revenue and costs'!$D$2056:$D$2183,C647,'Revenue and costs'!U2056:U2183)+SUMIF('Revenue and costs'!$D$2056:$D$2183,C647,'Revenue and costs'!V2056:V2183)+SUMIF('Revenue and costs'!$D$2056:$D$2183,C647,'Revenue and costs'!AE2056:AE2183)</x:f>
        <x:v>40544.115432997896</x:v>
      </x:c>
      <x:c r="G647" s="10" t="n">
        <x:f>IF('Income statement'!T50=0,1/39,E647/'Income statement'!T50)*('Shared costs'!X21+'Assumptions'!$D$18*'Assumptions'!$D$19*12*(1+'Assumptions'!$D$13)^(17-1)*'Assumptions'!$D$21)</x:f>
        <x:v>6124.530403726009</x:v>
      </x:c>
      <x:c r="H647" s="10" t="n">
        <x:f>IF('Income statement'!T50=0,1/39,E647/'Income statement'!T50)*'Cash and capital'!T18</x:f>
        <x:v>22.150248792891556</x:v>
      </x:c>
      <x:c r="I647" s="10" t="n">
        <x:f>E647-F647-G647-H647</x:f>
        <x:v>73328.36135371015</x:v>
      </x:c>
      <x:c r="J647" s="10" t="n">
        <x:f>M608</x:f>
        <x:v>0</x:v>
      </x:c>
      <x:c r="K647" s="10" t="n">
        <x:f>MAX(0,I647-J647)</x:f>
        <x:v>73328.36135371015</x:v>
      </x:c>
      <x:c r="L647" s="10" t="n">
        <x:f>K647*'Assumptions'!$D$12</x:f>
        <x:v>18332.090338427537</x:v>
      </x:c>
      <x:c r="M647" s="10" t="n">
        <x:f>MAX(0,J647-I647)</x:f>
        <x:v>0</x:v>
      </x:c>
    </x:row>
    <x:row r="648" ht="16" customHeight="1">
      <x:c r="A648" s="1"/>
      <x:c r="B648" s="1"/>
      <x:c r="C648" s="1" t="str">
        <x:v>S’otality cleaning</x:v>
      </x:c>
      <x:c r="D648" s="10" t="n">
        <x:v>17</x:v>
      </x:c>
      <x:c r="E648" s="10" t="n">
        <x:f>SUMIF('Revenue and costs'!$D$2056:$D$2183,C648,'Revenue and costs'!N2056:N2183)</x:f>
        <x:v>371104.97372934734</x:v>
      </x:c>
      <x:c r="F648" s="10" t="n">
        <x:f>SUMIF('Revenue and costs'!$D$2056:$D$2183,C648,'Revenue and costs'!O2056:O2183)+SUMIF('Revenue and costs'!$D$2056:$D$2183,C648,'Revenue and costs'!P2056:P2183)+SUMIF('Revenue and costs'!$D$2056:$D$2183,C648,'Revenue and costs'!Q2056:Q2183)+SUMIF('Revenue and costs'!$D$2056:$D$2183,C648,'Revenue and costs'!R2056:R2183)+SUMIF('Revenue and costs'!$D$2056:$D$2183,C648,'Revenue and costs'!S2056:S2183)+SUMIF('Revenue and costs'!$D$2056:$D$2183,C648,'Revenue and costs'!T2056:T2183)+SUMIF('Revenue and costs'!$D$2056:$D$2183,C648,'Revenue and costs'!U2056:U2183)+SUMIF('Revenue and costs'!$D$2056:$D$2183,C648,'Revenue and costs'!V2056:V2183)+SUMIF('Revenue and costs'!$D$2056:$D$2183,C648,'Revenue and costs'!AE2056:AE2183)</x:f>
        <x:v>322295.01715224766</x:v>
      </x:c>
      <x:c r="G648" s="10" t="n">
        <x:f>IF('Income statement'!T50=0,1/39,E648/'Income statement'!T50)*('Shared costs'!X21+'Assumptions'!$D$18*'Assumptions'!$D$19*12*(1+'Assumptions'!$D$13)^(17-1)*'Assumptions'!$D$21)</x:f>
        <x:v>18937.340863521807</x:v>
      </x:c>
      <x:c r="H648" s="10" t="n">
        <x:f>IF('Income statement'!T50=0,1/39,E648/'Income statement'!T50)*'Cash and capital'!T18</x:f>
        <x:v>68.48962842075318</x:v>
      </x:c>
      <x:c r="I648" s="10" t="n">
        <x:f>E648-F648-G648-H648</x:f>
        <x:v>29804.126085157124</x:v>
      </x:c>
      <x:c r="J648" s="10" t="n">
        <x:f>M609</x:f>
        <x:v>0</x:v>
      </x:c>
      <x:c r="K648" s="10" t="n">
        <x:f>MAX(0,I648-J648)</x:f>
        <x:v>29804.126085157124</x:v>
      </x:c>
      <x:c r="L648" s="10" t="n">
        <x:f>K648*'Assumptions'!$D$12</x:f>
        <x:v>7451.031521289281</x:v>
      </x:c>
      <x:c r="M648" s="10" t="n">
        <x:f>MAX(0,J648-I648)</x:f>
        <x:v>0</x:v>
      </x:c>
    </x:row>
    <x:row r="649" ht="16" customHeight="1">
      <x:c r="A649" s="1"/>
      <x:c r="B649" s="1"/>
      <x:c r="C649" s="1" t="str">
        <x:v>S’otality laundry</x:v>
      </x:c>
      <x:c r="D649" s="10" t="n">
        <x:v>17</x:v>
      </x:c>
      <x:c r="E649" s="10" t="n">
        <x:f>SUMIF('Revenue and costs'!$D$2056:$D$2183,C649,'Revenue and costs'!N2056:N2183)</x:f>
        <x:v>57519.14058950845</x:v>
      </x:c>
      <x:c r="F649" s="10" t="n">
        <x:f>SUMIF('Revenue and costs'!$D$2056:$D$2183,C649,'Revenue and costs'!O2056:O2183)+SUMIF('Revenue and costs'!$D$2056:$D$2183,C649,'Revenue and costs'!P2056:P2183)+SUMIF('Revenue and costs'!$D$2056:$D$2183,C649,'Revenue and costs'!Q2056:Q2183)+SUMIF('Revenue and costs'!$D$2056:$D$2183,C649,'Revenue and costs'!R2056:R2183)+SUMIF('Revenue and costs'!$D$2056:$D$2183,C649,'Revenue and costs'!S2056:S2183)+SUMIF('Revenue and costs'!$D$2056:$D$2183,C649,'Revenue and costs'!T2056:T2183)+SUMIF('Revenue and costs'!$D$2056:$D$2183,C649,'Revenue and costs'!U2056:U2183)+SUMIF('Revenue and costs'!$D$2056:$D$2183,C649,'Revenue and costs'!V2056:V2183)+SUMIF('Revenue and costs'!$D$2056:$D$2183,C649,'Revenue and costs'!AE2056:AE2183)</x:f>
        <x:v>53755.17478067853</x:v>
      </x:c>
      <x:c r="G649" s="10" t="n">
        <x:f>IF('Income statement'!T50=0,1/39,E649/'Income statement'!T50)*('Shared costs'!X21+'Assumptions'!$D$18*'Assumptions'!$D$19*12*(1+'Assumptions'!$D$13)^(17-1)*'Assumptions'!$D$21)</x:f>
        <x:v>2935.179123507971</x:v>
      </x:c>
      <x:c r="H649" s="10" t="n">
        <x:f>IF('Income statement'!T50=0,1/39,E649/'Income statement'!T50)*'Cash and capital'!T18</x:f>
        <x:v>10.615499238578272</x:v>
      </x:c>
      <x:c r="I649" s="10" t="n">
        <x:f>E649-F649-G649-H649</x:f>
        <x:v>818.1711860833765</x:v>
      </x:c>
      <x:c r="J649" s="10" t="n">
        <x:f>M610</x:f>
        <x:v>0</x:v>
      </x:c>
      <x:c r="K649" s="10" t="n">
        <x:f>MAX(0,I649-J649)</x:f>
        <x:v>818.1711860833765</x:v>
      </x:c>
      <x:c r="L649" s="10" t="n">
        <x:f>K649*'Assumptions'!$D$12</x:f>
        <x:v>204.54279652084412</x:v>
      </x:c>
      <x:c r="M649" s="10" t="n">
        <x:f>MAX(0,J649-I649)</x:f>
        <x:v>0</x:v>
      </x:c>
    </x:row>
    <x:row r="650" ht="16" customHeight="1">
      <x:c r="A650" s="1"/>
      <x:c r="B650" s="1"/>
      <x:c r="C650" s="1" t="str">
        <x:v>S’otality Personal Chef</x:v>
      </x:c>
      <x:c r="D650" s="10" t="n">
        <x:v>17</x:v>
      </x:c>
      <x:c r="E650" s="10" t="n">
        <x:f>SUMIF('Revenue and costs'!$D$2056:$D$2183,C650,'Revenue and costs'!N2056:N2183)</x:f>
        <x:v>103850.34116109462</x:v>
      </x:c>
      <x:c r="F650" s="10" t="n">
        <x:f>SUMIF('Revenue and costs'!$D$2056:$D$2183,C650,'Revenue and costs'!O2056:O2183)+SUMIF('Revenue and costs'!$D$2056:$D$2183,C650,'Revenue and costs'!P2056:P2183)+SUMIF('Revenue and costs'!$D$2056:$D$2183,C650,'Revenue and costs'!Q2056:Q2183)+SUMIF('Revenue and costs'!$D$2056:$D$2183,C650,'Revenue and costs'!R2056:R2183)+SUMIF('Revenue and costs'!$D$2056:$D$2183,C650,'Revenue and costs'!S2056:S2183)+SUMIF('Revenue and costs'!$D$2056:$D$2183,C650,'Revenue and costs'!T2056:T2183)+SUMIF('Revenue and costs'!$D$2056:$D$2183,C650,'Revenue and costs'!U2056:U2183)+SUMIF('Revenue and costs'!$D$2056:$D$2183,C650,'Revenue and costs'!V2056:V2183)+SUMIF('Revenue and costs'!$D$2056:$D$2183,C650,'Revenue and costs'!AE2056:AE2183)</x:f>
        <x:v>85085.66113201821</x:v>
      </x:c>
      <x:c r="G650" s="10" t="n">
        <x:f>IF('Income statement'!T50=0,1/39,E650/'Income statement'!T50)*('Shared costs'!X21+'Assumptions'!$D$18*'Assumptions'!$D$19*12*(1+'Assumptions'!$D$13)^(17-1)*'Assumptions'!$D$21)</x:f>
        <x:v>5299.442067825763</x:v>
      </x:c>
      <x:c r="H650" s="10" t="n">
        <x:f>IF('Income statement'!T50=0,1/39,E650/'Income statement'!T50)*'Cash and capital'!T18</x:f>
        <x:v>19.166197655650937</x:v>
      </x:c>
      <x:c r="I650" s="10" t="n">
        <x:f>E650-F650-G650-H650</x:f>
        <x:v>13446.071763594993</x:v>
      </x:c>
      <x:c r="J650" s="10" t="n">
        <x:f>M611</x:f>
        <x:v>0</x:v>
      </x:c>
      <x:c r="K650" s="10" t="n">
        <x:f>MAX(0,I650-J650)</x:f>
        <x:v>13446.071763594993</x:v>
      </x:c>
      <x:c r="L650" s="10" t="n">
        <x:f>K650*'Assumptions'!$D$12</x:f>
        <x:v>3361.5179408987483</x:v>
      </x:c>
      <x:c r="M650" s="10" t="n">
        <x:f>MAX(0,J650-I650)</x:f>
        <x:v>0</x:v>
      </x:c>
    </x:row>
    <x:row r="651" ht="16" customHeight="1">
      <x:c r="A651" s="1"/>
      <x:c r="B651" s="1"/>
      <x:c r="C651" s="1" t="str">
        <x:v>S’otality interiors</x:v>
      </x:c>
      <x:c r="D651" s="10" t="n">
        <x:v>17</x:v>
      </x:c>
      <x:c r="E651" s="10" t="n">
        <x:f>SUMIF('Revenue and costs'!$D$2056:$D$2183,C651,'Revenue and costs'!N2056:N2183)</x:f>
        <x:v>134099.9891705745</x:v>
      </x:c>
      <x:c r="F651" s="10" t="n">
        <x:f>SUMIF('Revenue and costs'!$D$2056:$D$2183,C651,'Revenue and costs'!O2056:O2183)+SUMIF('Revenue and costs'!$D$2056:$D$2183,C651,'Revenue and costs'!P2056:P2183)+SUMIF('Revenue and costs'!$D$2056:$D$2183,C651,'Revenue and costs'!Q2056:Q2183)+SUMIF('Revenue and costs'!$D$2056:$D$2183,C651,'Revenue and costs'!R2056:R2183)+SUMIF('Revenue and costs'!$D$2056:$D$2183,C651,'Revenue and costs'!S2056:S2183)+SUMIF('Revenue and costs'!$D$2056:$D$2183,C651,'Revenue and costs'!T2056:T2183)+SUMIF('Revenue and costs'!$D$2056:$D$2183,C651,'Revenue and costs'!U2056:U2183)+SUMIF('Revenue and costs'!$D$2056:$D$2183,C651,'Revenue and costs'!V2056:V2183)+SUMIF('Revenue and costs'!$D$2056:$D$2183,C651,'Revenue and costs'!AE2056:AE2183)</x:f>
        <x:v>85950.8289044641</x:v>
      </x:c>
      <x:c r="G651" s="10" t="n">
        <x:f>IF('Income statement'!T50=0,1/39,E651/'Income statement'!T50)*('Shared costs'!X21+'Assumptions'!$D$18*'Assumptions'!$D$19*12*(1+'Assumptions'!$D$13)^(17-1)*'Assumptions'!$D$21)</x:f>
        <x:v>6843.069709353578</x:v>
      </x:c>
      <x:c r="H651" s="10" t="n">
        <x:f>IF('Income statement'!T50=0,1/39,E651/'Income statement'!T50)*'Cash and capital'!T18</x:f>
        <x:v>24.748949972893765</x:v>
      </x:c>
      <x:c r="I651" s="10" t="n">
        <x:f>E651-F651-G651-H651</x:f>
        <x:v>41281.34160678393</x:v>
      </x:c>
      <x:c r="J651" s="10" t="n">
        <x:f>M612</x:f>
        <x:v>0</x:v>
      </x:c>
      <x:c r="K651" s="10" t="n">
        <x:f>MAX(0,I651-J651)</x:f>
        <x:v>41281.34160678393</x:v>
      </x:c>
      <x:c r="L651" s="10" t="n">
        <x:f>K651*'Assumptions'!$D$12</x:f>
        <x:v>10320.335401695982</x:v>
      </x:c>
      <x:c r="M651" s="10" t="n">
        <x:f>MAX(0,J651-I651)</x:f>
        <x:v>0</x:v>
      </x:c>
    </x:row>
    <x:row r="652" ht="16" customHeight="1">
      <x:c r="A652" s="1"/>
      <x:c r="B652" s="1"/>
      <x:c r="C652" s="1" t="str">
        <x:v>S’otality concierge</x:v>
      </x:c>
      <x:c r="D652" s="10" t="n">
        <x:v>17</x:v>
      </x:c>
      <x:c r="E652" s="10" t="n">
        <x:f>SUMIF('Revenue and costs'!$D$2056:$D$2183,C652,'Revenue and costs'!N2056:N2183)</x:f>
        <x:v>48617.3214456227</x:v>
      </x:c>
      <x:c r="F652" s="10" t="n">
        <x:f>SUMIF('Revenue and costs'!$D$2056:$D$2183,C652,'Revenue and costs'!O2056:O2183)+SUMIF('Revenue and costs'!$D$2056:$D$2183,C652,'Revenue and costs'!P2056:P2183)+SUMIF('Revenue and costs'!$D$2056:$D$2183,C652,'Revenue and costs'!Q2056:Q2183)+SUMIF('Revenue and costs'!$D$2056:$D$2183,C652,'Revenue and costs'!R2056:R2183)+SUMIF('Revenue and costs'!$D$2056:$D$2183,C652,'Revenue and costs'!S2056:S2183)+SUMIF('Revenue and costs'!$D$2056:$D$2183,C652,'Revenue and costs'!T2056:T2183)+SUMIF('Revenue and costs'!$D$2056:$D$2183,C652,'Revenue and costs'!U2056:U2183)+SUMIF('Revenue and costs'!$D$2056:$D$2183,C652,'Revenue and costs'!V2056:V2183)+SUMIF('Revenue and costs'!$D$2056:$D$2183,C652,'Revenue and costs'!AE2056:AE2183)</x:f>
        <x:v>29909.052510628026</x:v>
      </x:c>
      <x:c r="G652" s="10" t="n">
        <x:f>IF('Income statement'!T50=0,1/39,E652/'Income statement'!T50)*('Shared costs'!X21+'Assumptions'!$D$18*'Assumptions'!$D$19*12*(1+'Assumptions'!$D$13)^(17-1)*'Assumptions'!$D$21)</x:f>
        <x:v>2480.922793448288</x:v>
      </x:c>
      <x:c r="H652" s="10" t="n">
        <x:f>IF('Income statement'!T50=0,1/39,E652/'Income statement'!T50)*'Cash and capital'!T18</x:f>
        <x:v>8.97261561105208</x:v>
      </x:c>
      <x:c r="I652" s="10" t="n">
        <x:f>E652-F652-G652-H652</x:f>
        <x:v>16218.373525935334</x:v>
      </x:c>
      <x:c r="J652" s="10" t="n">
        <x:f>M613</x:f>
        <x:v>0</x:v>
      </x:c>
      <x:c r="K652" s="10" t="n">
        <x:f>MAX(0,I652-J652)</x:f>
        <x:v>16218.373525935334</x:v>
      </x:c>
      <x:c r="L652" s="10" t="n">
        <x:f>K652*'Assumptions'!$D$12</x:f>
        <x:v>4054.5933814838336</x:v>
      </x:c>
      <x:c r="M652" s="10" t="n">
        <x:f>MAX(0,J652-I652)</x:f>
        <x:v>0</x:v>
      </x:c>
    </x:row>
    <x:row r="653" ht="16" customHeight="1">
      <x:c r="A653" s="1"/>
      <x:c r="B653" s="1"/>
      <x:c r="C653" s="1" t="str">
        <x:v>S’otality administration</x:v>
      </x:c>
      <x:c r="D653" s="10" t="n">
        <x:v>17</x:v>
      </x:c>
      <x:c r="E653" s="10" t="n">
        <x:f>SUMIF('Revenue and costs'!$D$2056:$D$2183,C653,'Revenue and costs'!N2056:N2183)</x:f>
        <x:v>77787.71431299631</x:v>
      </x:c>
      <x:c r="F653" s="10" t="n">
        <x:f>SUMIF('Revenue and costs'!$D$2056:$D$2183,C653,'Revenue and costs'!O2056:O2183)+SUMIF('Revenue and costs'!$D$2056:$D$2183,C653,'Revenue and costs'!P2056:P2183)+SUMIF('Revenue and costs'!$D$2056:$D$2183,C653,'Revenue and costs'!Q2056:Q2183)+SUMIF('Revenue and costs'!$D$2056:$D$2183,C653,'Revenue and costs'!R2056:R2183)+SUMIF('Revenue and costs'!$D$2056:$D$2183,C653,'Revenue and costs'!S2056:S2183)+SUMIF('Revenue and costs'!$D$2056:$D$2183,C653,'Revenue and costs'!T2056:T2183)+SUMIF('Revenue and costs'!$D$2056:$D$2183,C653,'Revenue and costs'!U2056:U2183)+SUMIF('Revenue and costs'!$D$2056:$D$2183,C653,'Revenue and costs'!V2056:V2183)+SUMIF('Revenue and costs'!$D$2056:$D$2183,C653,'Revenue and costs'!AE2056:AE2183)</x:f>
        <x:v>64317.671640946304</x:v>
      </x:c>
      <x:c r="G653" s="10" t="n">
        <x:f>IF('Income statement'!T50=0,1/39,E653/'Income statement'!T50)*('Shared costs'!X21+'Assumptions'!$D$18*'Assumptions'!$D$19*12*(1+'Assumptions'!$D$13)^(17-1)*'Assumptions'!$D$21)</x:f>
        <x:v>3969.4764695172603</x:v>
      </x:c>
      <x:c r="H653" s="10" t="n">
        <x:f>IF('Income statement'!T50=0,1/39,E653/'Income statement'!T50)*'Cash and capital'!T18</x:f>
        <x:v>14.356184977683325</x:v>
      </x:c>
      <x:c r="I653" s="10" t="n">
        <x:f>E653-F653-G653-H653</x:f>
        <x:v>9486.21001755506</x:v>
      </x:c>
      <x:c r="J653" s="10" t="n">
        <x:f>M614</x:f>
        <x:v>0</x:v>
      </x:c>
      <x:c r="K653" s="10" t="n">
        <x:f>MAX(0,I653-J653)</x:f>
        <x:v>9486.21001755506</x:v>
      </x:c>
      <x:c r="L653" s="10" t="n">
        <x:f>K653*'Assumptions'!$D$12</x:f>
        <x:v>2371.552504388765</x:v>
      </x:c>
      <x:c r="M653" s="10" t="n">
        <x:f>MAX(0,J653-I653)</x:f>
        <x:v>0</x:v>
      </x:c>
    </x:row>
    <x:row r="654" ht="16" customHeight="1">
      <x:c r="A654" s="1"/>
      <x:c r="B654" s="1"/>
      <x:c r="C654" s="1" t="str">
        <x:v>S’otality bike tours</x:v>
      </x:c>
      <x:c r="D654" s="10" t="n">
        <x:v>17</x:v>
      </x:c>
      <x:c r="E654" s="10" t="n">
        <x:f>SUMIF('Revenue and costs'!$D$2056:$D$2183,C654,'Revenue and costs'!N2056:N2183)</x:f>
        <x:v>41540.13646443784</x:v>
      </x:c>
      <x:c r="F654" s="10" t="n">
        <x:f>SUMIF('Revenue and costs'!$D$2056:$D$2183,C654,'Revenue and costs'!O2056:O2183)+SUMIF('Revenue and costs'!$D$2056:$D$2183,C654,'Revenue and costs'!P2056:P2183)+SUMIF('Revenue and costs'!$D$2056:$D$2183,C654,'Revenue and costs'!Q2056:Q2183)+SUMIF('Revenue and costs'!$D$2056:$D$2183,C654,'Revenue and costs'!R2056:R2183)+SUMIF('Revenue and costs'!$D$2056:$D$2183,C654,'Revenue and costs'!S2056:S2183)+SUMIF('Revenue and costs'!$D$2056:$D$2183,C654,'Revenue and costs'!T2056:T2183)+SUMIF('Revenue and costs'!$D$2056:$D$2183,C654,'Revenue and costs'!U2056:U2183)+SUMIF('Revenue and costs'!$D$2056:$D$2183,C654,'Revenue and costs'!V2056:V2183)+SUMIF('Revenue and costs'!$D$2056:$D$2183,C654,'Revenue and costs'!AE2056:AE2183)</x:f>
        <x:v>34833.651856111734</x:v>
      </x:c>
      <x:c r="G654" s="10" t="n">
        <x:f>IF('Income statement'!T50=0,1/39,E654/'Income statement'!T50)*('Shared costs'!X21+'Assumptions'!$D$18*'Assumptions'!$D$19*12*(1+'Assumptions'!$D$13)^(17-1)*'Assumptions'!$D$21)</x:f>
        <x:v>2119.776827130305</x:v>
      </x:c>
      <x:c r="H654" s="10" t="n">
        <x:f>IF('Income statement'!T50=0,1/39,E654/'Income statement'!T50)*'Cash and capital'!T18</x:f>
        <x:v>7.6664790622603745</x:v>
      </x:c>
      <x:c r="I654" s="10" t="n">
        <x:f>E654-F654-G654-H654</x:f>
        <x:v>4579.041302133542</x:v>
      </x:c>
      <x:c r="J654" s="10" t="n">
        <x:f>M615</x:f>
        <x:v>0</x:v>
      </x:c>
      <x:c r="K654" s="10" t="n">
        <x:f>MAX(0,I654-J654)</x:f>
        <x:v>4579.041302133542</x:v>
      </x:c>
      <x:c r="L654" s="10" t="n">
        <x:f>K654*'Assumptions'!$D$12</x:f>
        <x:v>1144.7603255333854</x:v>
      </x:c>
      <x:c r="M654" s="10" t="n">
        <x:f>MAX(0,J654-I654)</x:f>
        <x:v>0</x:v>
      </x:c>
    </x:row>
    <x:row r="655" ht="16" customHeight="1">
      <x:c r="A655" s="1"/>
      <x:c r="B655" s="1"/>
      <x:c r="C655" s="1" t="str">
        <x:v>S’otality editorial</x:v>
      </x:c>
      <x:c r="D655" s="10" t="n">
        <x:v>17</x:v>
      </x:c>
      <x:c r="E655" s="10" t="n">
        <x:f>SUMIF('Revenue and costs'!$D$2056:$D$2183,C655,'Revenue and costs'!N2056:N2183)</x:f>
        <x:v>19157.18047797707</x:v>
      </x:c>
      <x:c r="F655" s="10" t="n">
        <x:f>SUMIF('Revenue and costs'!$D$2056:$D$2183,C655,'Revenue and costs'!O2056:O2183)+SUMIF('Revenue and costs'!$D$2056:$D$2183,C655,'Revenue and costs'!P2056:P2183)+SUMIF('Revenue and costs'!$D$2056:$D$2183,C655,'Revenue and costs'!Q2056:Q2183)+SUMIF('Revenue and costs'!$D$2056:$D$2183,C655,'Revenue and costs'!R2056:R2183)+SUMIF('Revenue and costs'!$D$2056:$D$2183,C655,'Revenue and costs'!S2056:S2183)+SUMIF('Revenue and costs'!$D$2056:$D$2183,C655,'Revenue and costs'!T2056:T2183)+SUMIF('Revenue and costs'!$D$2056:$D$2183,C655,'Revenue and costs'!U2056:U2183)+SUMIF('Revenue and costs'!$D$2056:$D$2183,C655,'Revenue and costs'!V2056:V2183)+SUMIF('Revenue and costs'!$D$2056:$D$2183,C655,'Revenue and costs'!AE2056:AE2183)</x:f>
        <x:v>11613.50770799217</x:v>
      </x:c>
      <x:c r="G655" s="10" t="n">
        <x:f>IF('Income statement'!T50=0,1/39,E655/'Income statement'!T50)*('Shared costs'!X21+'Assumptions'!$D$18*'Assumptions'!$D$19*12*(1+'Assumptions'!$D$13)^(17-1)*'Assumptions'!$D$21)</x:f>
        <x:v>977.5833857727891</x:v>
      </x:c>
      <x:c r="H655" s="10" t="n">
        <x:f>IF('Income statement'!T50=0,1/39,E655/'Income statement'!T50)*'Cash and capital'!T18</x:f>
        <x:v>3.535571510509768</x:v>
      </x:c>
      <x:c r="I655" s="10" t="n">
        <x:f>E655-F655-G655-H655</x:f>
        <x:v>6562.553812701599</x:v>
      </x:c>
      <x:c r="J655" s="10" t="n">
        <x:f>M616</x:f>
        <x:v>0</x:v>
      </x:c>
      <x:c r="K655" s="10" t="n">
        <x:f>MAX(0,I655-J655)</x:f>
        <x:v>6562.553812701599</x:v>
      </x:c>
      <x:c r="L655" s="10" t="n">
        <x:f>K655*'Assumptions'!$D$12</x:f>
        <x:v>1640.6384531753997</x:v>
      </x:c>
      <x:c r="M655" s="10" t="n">
        <x:f>MAX(0,J655-I655)</x:f>
        <x:v>0</x:v>
      </x:c>
    </x:row>
    <x:row r="656" ht="16" customHeight="1">
      <x:c r="A656" s="1"/>
      <x:c r="B656" s="1"/>
      <x:c r="C656" s="1" t="str">
        <x:v>Tomato Odyssey</x:v>
      </x:c>
      <x:c r="D656" s="10" t="n">
        <x:v>17</x:v>
      </x:c>
      <x:c r="E656" s="10" t="n">
        <x:f>SUMIF('Revenue and costs'!$D$2056:$D$2183,C656,'Revenue and costs'!N2056:N2183)</x:f>
        <x:v>19157.18047797707</x:v>
      </x:c>
      <x:c r="F656" s="10" t="n">
        <x:f>SUMIF('Revenue and costs'!$D$2056:$D$2183,C656,'Revenue and costs'!O2056:O2183)+SUMIF('Revenue and costs'!$D$2056:$D$2183,C656,'Revenue and costs'!P2056:P2183)+SUMIF('Revenue and costs'!$D$2056:$D$2183,C656,'Revenue and costs'!Q2056:Q2183)+SUMIF('Revenue and costs'!$D$2056:$D$2183,C656,'Revenue and costs'!R2056:R2183)+SUMIF('Revenue and costs'!$D$2056:$D$2183,C656,'Revenue and costs'!S2056:S2183)+SUMIF('Revenue and costs'!$D$2056:$D$2183,C656,'Revenue and costs'!T2056:T2183)+SUMIF('Revenue and costs'!$D$2056:$D$2183,C656,'Revenue and costs'!U2056:U2183)+SUMIF('Revenue and costs'!$D$2056:$D$2183,C656,'Revenue and costs'!V2056:V2183)+SUMIF('Revenue and costs'!$D$2056:$D$2183,C656,'Revenue and costs'!AE2056:AE2183)</x:f>
        <x:v>11613.50770799217</x:v>
      </x:c>
      <x:c r="G656" s="10" t="n">
        <x:f>IF('Income statement'!T50=0,1/39,E656/'Income statement'!T50)*('Shared costs'!X21+'Assumptions'!$D$18*'Assumptions'!$D$19*12*(1+'Assumptions'!$D$13)^(17-1)*'Assumptions'!$D$21)</x:f>
        <x:v>977.5833857727891</x:v>
      </x:c>
      <x:c r="H656" s="10" t="n">
        <x:f>IF('Income statement'!T50=0,1/39,E656/'Income statement'!T50)*'Cash and capital'!T18</x:f>
        <x:v>3.535571510509768</x:v>
      </x:c>
      <x:c r="I656" s="10" t="n">
        <x:f>E656-F656-G656-H656</x:f>
        <x:v>6562.553812701599</x:v>
      </x:c>
      <x:c r="J656" s="10" t="n">
        <x:f>M617</x:f>
        <x:v>0</x:v>
      </x:c>
      <x:c r="K656" s="10" t="n">
        <x:f>MAX(0,I656-J656)</x:f>
        <x:v>6562.553812701599</x:v>
      </x:c>
      <x:c r="L656" s="10" t="n">
        <x:f>K656*'Assumptions'!$D$12</x:f>
        <x:v>1640.6384531753997</x:v>
      </x:c>
      <x:c r="M656" s="10" t="n">
        <x:f>MAX(0,J656-I656)</x:f>
        <x:v>0</x:v>
      </x:c>
    </x:row>
    <x:row r="657" ht="16" customHeight="1">
      <x:c r="A657" s="1"/>
      <x:c r="B657" s="1"/>
      <x:c r="C657" s="1" t="str">
        <x:v>Semajes Studio</x:v>
      </x:c>
      <x:c r="D657" s="10" t="n">
        <x:v>17</x:v>
      </x:c>
      <x:c r="E657" s="10" t="n">
        <x:f>SUMIF('Revenue and costs'!$D$2056:$D$2183,C657,'Revenue and costs'!N2056:N2183)</x:f>
        <x:v>250483.5317851368</x:v>
      </x:c>
      <x:c r="F657" s="10" t="n">
        <x:f>SUMIF('Revenue and costs'!$D$2056:$D$2183,C657,'Revenue and costs'!O2056:O2183)+SUMIF('Revenue and costs'!$D$2056:$D$2183,C657,'Revenue and costs'!P2056:P2183)+SUMIF('Revenue and costs'!$D$2056:$D$2183,C657,'Revenue and costs'!Q2056:Q2183)+SUMIF('Revenue and costs'!$D$2056:$D$2183,C657,'Revenue and costs'!R2056:R2183)+SUMIF('Revenue and costs'!$D$2056:$D$2183,C657,'Revenue and costs'!S2056:S2183)+SUMIF('Revenue and costs'!$D$2056:$D$2183,C657,'Revenue and costs'!T2056:T2183)+SUMIF('Revenue and costs'!$D$2056:$D$2183,C657,'Revenue and costs'!U2056:U2183)+SUMIF('Revenue and costs'!$D$2056:$D$2183,C657,'Revenue and costs'!V2056:V2183)+SUMIF('Revenue and costs'!$D$2056:$D$2183,C657,'Revenue and costs'!AE2056:AE2183)</x:f>
        <x:v>173244.33673300556</x:v>
      </x:c>
      <x:c r="G657" s="10" t="n">
        <x:f>IF('Income statement'!T50=0,1/39,E657/'Income statement'!T50)*('Shared costs'!X21+'Assumptions'!$D$18*'Assumptions'!$D$19*12*(1+'Assumptions'!$D$13)^(17-1)*'Assumptions'!$D$21)</x:f>
        <x:v>12782.07611836924</x:v>
      </x:c>
      <x:c r="H657" s="10" t="n">
        <x:f>IF('Income statement'!T50=0,1/39,E657/'Income statement'!T50)*'Cash and capital'!T18</x:f>
        <x:v>46.22822444302169</x:v>
      </x:c>
      <x:c r="I657" s="10" t="n">
        <x:f>E657-F657-G657-H657</x:f>
        <x:v>64410.89070931896</x:v>
      </x:c>
      <x:c r="J657" s="10" t="n">
        <x:f>M618</x:f>
        <x:v>0</x:v>
      </x:c>
      <x:c r="K657" s="10" t="n">
        <x:f>MAX(0,I657-J657)</x:f>
        <x:v>64410.89070931896</x:v>
      </x:c>
      <x:c r="L657" s="10" t="n">
        <x:f>K657*'Assumptions'!$D$12</x:f>
        <x:v>16102.72267732974</x:v>
      </x:c>
      <x:c r="M657" s="10" t="n">
        <x:f>MAX(0,J657-I657)</x:f>
        <x:v>0</x:v>
      </x:c>
    </x:row>
    <x:row r="658" ht="16" customHeight="1">
      <x:c r="A658" s="1"/>
      <x:c r="B658" s="1"/>
      <x:c r="C658" s="1" t="str">
        <x:v>Semajes Marketplace</x:v>
      </x:c>
      <x:c r="D658" s="10" t="n">
        <x:v>17</x:v>
      </x:c>
      <x:c r="E658" s="10" t="n">
        <x:f>SUMIF('Revenue and costs'!$D$2056:$D$2183,C658,'Revenue and costs'!N2056:N2183)</x:f>
        <x:v>81630.67693476834</x:v>
      </x:c>
      <x:c r="F658" s="10" t="n">
        <x:f>SUMIF('Revenue and costs'!$D$2056:$D$2183,C658,'Revenue and costs'!O2056:O2183)+SUMIF('Revenue and costs'!$D$2056:$D$2183,C658,'Revenue and costs'!P2056:P2183)+SUMIF('Revenue and costs'!$D$2056:$D$2183,C658,'Revenue and costs'!Q2056:Q2183)+SUMIF('Revenue and costs'!$D$2056:$D$2183,C658,'Revenue and costs'!R2056:R2183)+SUMIF('Revenue and costs'!$D$2056:$D$2183,C658,'Revenue and costs'!S2056:S2183)+SUMIF('Revenue and costs'!$D$2056:$D$2183,C658,'Revenue and costs'!T2056:T2183)+SUMIF('Revenue and costs'!$D$2056:$D$2183,C658,'Revenue and costs'!U2056:U2183)+SUMIF('Revenue and costs'!$D$2056:$D$2183,C658,'Revenue and costs'!V2056:V2183)+SUMIF('Revenue and costs'!$D$2056:$D$2183,C658,'Revenue and costs'!AE2056:AE2183)</x:f>
        <x:v>41542.44028581722</x:v>
      </x:c>
      <x:c r="G658" s="10" t="n">
        <x:f>IF('Income statement'!T50=0,1/39,E658/'Income statement'!T50)*('Shared costs'!X21+'Assumptions'!$D$18*'Assumptions'!$D$19*12*(1+'Assumptions'!$D$13)^(17-1)*'Assumptions'!$D$21)</x:f>
        <x:v>4165.581340769529</x:v>
      </x:c>
      <x:c r="H658" s="10" t="n">
        <x:f>IF('Income statement'!T50=0,1/39,E658/'Income statement'!T50)*'Cash and capital'!T18</x:f>
        <x:v>15.065426568694626</x:v>
      </x:c>
      <x:c r="I658" s="10" t="n">
        <x:f>E658-F658-G658-H658</x:f>
        <x:v>35907.5898816129</x:v>
      </x:c>
      <x:c r="J658" s="10" t="n">
        <x:f>M619</x:f>
        <x:v>0</x:v>
      </x:c>
      <x:c r="K658" s="10" t="n">
        <x:f>MAX(0,I658-J658)</x:f>
        <x:v>35907.5898816129</x:v>
      </x:c>
      <x:c r="L658" s="10" t="n">
        <x:f>K658*'Assumptions'!$D$12</x:f>
        <x:v>8976.897470403224</x:v>
      </x:c>
      <x:c r="M658" s="10" t="n">
        <x:f>MAX(0,J658-I658)</x:f>
        <x:v>0</x:v>
      </x:c>
    </x:row>
    <x:row r="659" ht="16" customHeight="1">
      <x:c r="A659" s="1"/>
      <x:c r="B659" s="1"/>
      <x:c r="C659" s="1" t="str">
        <x:v>Semajes premium and media</x:v>
      </x:c>
      <x:c r="D659" s="10" t="n">
        <x:v>17</x:v>
      </x:c>
      <x:c r="E659" s="10" t="n">
        <x:f>SUMIF('Revenue and costs'!$D$2056:$D$2183,C659,'Revenue and costs'!N2056:N2183)</x:f>
        <x:v>56942.91274828028</x:v>
      </x:c>
      <x:c r="F659" s="10" t="n">
        <x:f>SUMIF('Revenue and costs'!$D$2056:$D$2183,C659,'Revenue and costs'!O2056:O2183)+SUMIF('Revenue and costs'!$D$2056:$D$2183,C659,'Revenue and costs'!P2056:P2183)+SUMIF('Revenue and costs'!$D$2056:$D$2183,C659,'Revenue and costs'!Q2056:Q2183)+SUMIF('Revenue and costs'!$D$2056:$D$2183,C659,'Revenue and costs'!R2056:R2183)+SUMIF('Revenue and costs'!$D$2056:$D$2183,C659,'Revenue and costs'!S2056:S2183)+SUMIF('Revenue and costs'!$D$2056:$D$2183,C659,'Revenue and costs'!T2056:T2183)+SUMIF('Revenue and costs'!$D$2056:$D$2183,C659,'Revenue and costs'!U2056:U2183)+SUMIF('Revenue and costs'!$D$2056:$D$2183,C659,'Revenue and costs'!V2056:V2183)+SUMIF('Revenue and costs'!$D$2056:$D$2183,C659,'Revenue and costs'!AE2056:AE2183)</x:f>
        <x:v>33154.73141498017</x:v>
      </x:c>
      <x:c r="G659" s="10" t="n">
        <x:f>IF('Income statement'!T50=0,1/39,E659/'Income statement'!T50)*('Shared costs'!X21+'Assumptions'!$D$18*'Assumptions'!$D$19*12*(1+'Assumptions'!$D$13)^(17-1)*'Assumptions'!$D$21)</x:f>
        <x:v>2905.7744433854464</x:v>
      </x:c>
      <x:c r="H659" s="10" t="n">
        <x:f>IF('Income statement'!T50=0,1/39,E659/'Income statement'!T50)*'Cash and capital'!T18</x:f>
        <x:v>10.509152965892113</x:v>
      </x:c>
      <x:c r="I659" s="10" t="n">
        <x:f>E659-F659-G659-H659</x:f>
        <x:v>20871.897736948773</x:v>
      </x:c>
      <x:c r="J659" s="10" t="n">
        <x:f>M620</x:f>
        <x:v>0</x:v>
      </x:c>
      <x:c r="K659" s="10" t="n">
        <x:f>MAX(0,I659-J659)</x:f>
        <x:v>20871.897736948773</x:v>
      </x:c>
      <x:c r="L659" s="10" t="n">
        <x:f>K659*'Assumptions'!$D$12</x:f>
        <x:v>5217.974434237193</x:v>
      </x:c>
      <x:c r="M659" s="10" t="n">
        <x:f>MAX(0,J659-I659)</x:f>
        <x:v>0</x:v>
      </x:c>
    </x:row>
    <x:row r="660" ht="16" customHeight="1">
      <x:c r="A660" s="1"/>
      <x:c r="B660" s="1"/>
      <x:c r="C660" s="1" t="str">
        <x:v>Semajes courses</x:v>
      </x:c>
      <x:c r="D660" s="10" t="n">
        <x:v>17</x:v>
      </x:c>
      <x:c r="E660" s="10" t="n">
        <x:f>SUMIF('Revenue and costs'!$D$2056:$D$2183,C660,'Revenue and costs'!N2056:N2183)</x:f>
        <x:v>30781.67679995496</x:v>
      </x:c>
      <x:c r="F660" s="10" t="n">
        <x:f>SUMIF('Revenue and costs'!$D$2056:$D$2183,C660,'Revenue and costs'!O2056:O2183)+SUMIF('Revenue and costs'!$D$2056:$D$2183,C660,'Revenue and costs'!P2056:P2183)+SUMIF('Revenue and costs'!$D$2056:$D$2183,C660,'Revenue and costs'!Q2056:Q2183)+SUMIF('Revenue and costs'!$D$2056:$D$2183,C660,'Revenue and costs'!R2056:R2183)+SUMIF('Revenue and costs'!$D$2056:$D$2183,C660,'Revenue and costs'!S2056:S2183)+SUMIF('Revenue and costs'!$D$2056:$D$2183,C660,'Revenue and costs'!T2056:T2183)+SUMIF('Revenue and costs'!$D$2056:$D$2183,C660,'Revenue and costs'!U2056:U2183)+SUMIF('Revenue and costs'!$D$2056:$D$2183,C660,'Revenue and costs'!V2056:V2183)+SUMIF('Revenue and costs'!$D$2056:$D$2183,C660,'Revenue and costs'!AE2056:AE2183)</x:f>
        <x:v>10484.161548303422</x:v>
      </x:c>
      <x:c r="G660" s="10" t="n">
        <x:f>IF('Income statement'!T50=0,1/39,E660/'Income statement'!T50)*('Shared costs'!X21+'Assumptions'!$D$18*'Assumptions'!$D$19*12*(1+'Assumptions'!$D$13)^(17-1)*'Assumptions'!$D$21)</x:f>
        <x:v>1570.776861472741</x:v>
      </x:c>
      <x:c r="H660" s="10" t="n">
        <x:f>IF('Income statement'!T50=0,1/39,E660/'Income statement'!T50)*'Cash and capital'!T18</x:f>
        <x:v>5.680941392432525</x:v>
      </x:c>
      <x:c r="I660" s="10" t="n">
        <x:f>E660-F660-G660-H660</x:f>
        <x:v>18721.057448786367</x:v>
      </x:c>
      <x:c r="J660" s="10" t="n">
        <x:f>M621</x:f>
        <x:v>0</x:v>
      </x:c>
      <x:c r="K660" s="10" t="n">
        <x:f>MAX(0,I660-J660)</x:f>
        <x:v>18721.057448786367</x:v>
      </x:c>
      <x:c r="L660" s="10" t="n">
        <x:f>K660*'Assumptions'!$D$12</x:f>
        <x:v>4680.264362196592</x:v>
      </x:c>
      <x:c r="M660" s="10" t="n">
        <x:f>MAX(0,J660-I660)</x:f>
        <x:v>0</x:v>
      </x:c>
    </x:row>
    <x:row r="661" ht="16" customHeight="1">
      <x:c r="A661" s="1"/>
      <x:c r="B661" s="1"/>
      <x:c r="C661" s="1" t="str">
        <x:v>Sleepy Face</x:v>
      </x:c>
      <x:c r="D661" s="10" t="n">
        <x:v>17</x:v>
      </x:c>
      <x:c r="E661" s="10" t="n">
        <x:f>SUMIF('Revenue and costs'!$D$2056:$D$2183,C661,'Revenue and costs'!N2056:N2183)</x:f>
        <x:v>394220.2562531425</x:v>
      </x:c>
      <x:c r="F661" s="10" t="n">
        <x:f>SUMIF('Revenue and costs'!$D$2056:$D$2183,C661,'Revenue and costs'!O2056:O2183)+SUMIF('Revenue and costs'!$D$2056:$D$2183,C661,'Revenue and costs'!P2056:P2183)+SUMIF('Revenue and costs'!$D$2056:$D$2183,C661,'Revenue and costs'!Q2056:Q2183)+SUMIF('Revenue and costs'!$D$2056:$D$2183,C661,'Revenue and costs'!R2056:R2183)+SUMIF('Revenue and costs'!$D$2056:$D$2183,C661,'Revenue and costs'!S2056:S2183)+SUMIF('Revenue and costs'!$D$2056:$D$2183,C661,'Revenue and costs'!T2056:T2183)+SUMIF('Revenue and costs'!$D$2056:$D$2183,C661,'Revenue and costs'!U2056:U2183)+SUMIF('Revenue and costs'!$D$2056:$D$2183,C661,'Revenue and costs'!V2056:V2183)+SUMIF('Revenue and costs'!$D$2056:$D$2183,C661,'Revenue and costs'!AE2056:AE2183)</x:f>
        <x:v>266594.7940270722</x:v>
      </x:c>
      <x:c r="G661" s="10" t="n">
        <x:f>IF('Income statement'!T50=0,1/39,E661/'Income statement'!T50)*('Shared costs'!X21+'Assumptions'!$D$18*'Assumptions'!$D$19*12*(1+'Assumptions'!$D$13)^(17-1)*'Assumptions'!$D$21)</x:f>
        <x:v>20116.90464007461</x:v>
      </x:c>
      <x:c r="H661" s="10" t="n">
        <x:f>IF('Income statement'!T50=0,1/39,E661/'Income statement'!T50)*'Cash and capital'!T18</x:f>
        <x:v>72.75569118726862</x:v>
      </x:c>
      <x:c r="I661" s="10" t="n">
        <x:f>E661-F661-G661-H661</x:f>
        <x:v>107435.8018948084</x:v>
      </x:c>
      <x:c r="J661" s="10" t="n">
        <x:f>M622</x:f>
        <x:v>0</x:v>
      </x:c>
      <x:c r="K661" s="10" t="n">
        <x:f>MAX(0,I661-J661)</x:f>
        <x:v>107435.8018948084</x:v>
      </x:c>
      <x:c r="L661" s="10" t="n">
        <x:f>K661*'Assumptions'!$D$12</x:f>
        <x:v>26858.9504737021</x:v>
      </x:c>
      <x:c r="M661" s="10" t="n">
        <x:f>MAX(0,J661-I661)</x:f>
        <x:v>0</x:v>
      </x:c>
    </x:row>
    <x:row r="662" ht="16" customHeight="1">
      <x:c r="A662" s="1"/>
      <x:c r="B662" s="1"/>
      <x:c r="C662" s="1" t="str">
        <x:v>QzoticMusic</x:v>
      </x:c>
      <x:c r="D662" s="10" t="n">
        <x:v>17</x:v>
      </x:c>
      <x:c r="E662" s="10" t="n">
        <x:f>SUMIF('Revenue and costs'!$D$2056:$D$2183,C662,'Revenue and costs'!N2056:N2183)</x:f>
        <x:v>34496.582665577036</x:v>
      </x:c>
      <x:c r="F662" s="10" t="n">
        <x:f>SUMIF('Revenue and costs'!$D$2056:$D$2183,C662,'Revenue and costs'!O2056:O2183)+SUMIF('Revenue and costs'!$D$2056:$D$2183,C662,'Revenue and costs'!P2056:P2183)+SUMIF('Revenue and costs'!$D$2056:$D$2183,C662,'Revenue and costs'!Q2056:Q2183)+SUMIF('Revenue and costs'!$D$2056:$D$2183,C662,'Revenue and costs'!R2056:R2183)+SUMIF('Revenue and costs'!$D$2056:$D$2183,C662,'Revenue and costs'!S2056:S2183)+SUMIF('Revenue and costs'!$D$2056:$D$2183,C662,'Revenue and costs'!T2056:T2183)+SUMIF('Revenue and costs'!$D$2056:$D$2183,C662,'Revenue and costs'!U2056:U2183)+SUMIF('Revenue and costs'!$D$2056:$D$2183,C662,'Revenue and costs'!V2056:V2183)+SUMIF('Revenue and costs'!$D$2056:$D$2183,C662,'Revenue and costs'!AE2056:AE2183)</x:f>
        <x:v>40596.59739541599</x:v>
      </x:c>
      <x:c r="G662" s="10" t="n">
        <x:f>IF('Income statement'!T50=0,1/39,E662/'Income statement'!T50)*('Shared costs'!X21+'Assumptions'!$D$18*'Assumptions'!$D$19*12*(1+'Assumptions'!$D$13)^(17-1)*'Assumptions'!$D$21)</x:f>
        <x:v>1760.3470468200533</x:v>
      </x:c>
      <x:c r="H662" s="10" t="n">
        <x:f>IF('Income statement'!T50=0,1/39,E662/'Income statement'!T50)*'Cash and capital'!T18</x:f>
        <x:v>6.366549348040509</x:v>
      </x:c>
      <x:c r="I662" s="10" t="n">
        <x:f>E662-F662-G662-H662</x:f>
        <x:v>-7866.72832600705</x:v>
      </x:c>
      <x:c r="J662" s="10" t="n">
        <x:f>M623</x:f>
        <x:v>54976.75377672108</x:v>
      </x:c>
      <x:c r="K662" s="10" t="n">
        <x:f>MAX(0,I662-J662)</x:f>
        <x:v>0</x:v>
      </x:c>
      <x:c r="L662" s="10" t="n">
        <x:f>K662*'Assumptions'!$D$12</x:f>
        <x:v>0</x:v>
      </x:c>
      <x:c r="M662" s="10" t="n">
        <x:f>MAX(0,J662-I662)</x:f>
        <x:v>62843.48210272813</x:v>
      </x:c>
    </x:row>
    <x:row r="663" ht="16" customHeight="1">
      <x:c r="A663" s="1"/>
      <x:c r="B663" s="1"/>
      <x:c r="C663" s="1" t="str">
        <x:v>LesPetitFilms</x:v>
      </x:c>
      <x:c r="D663" s="10" t="n">
        <x:v>17</x:v>
      </x:c>
      <x:c r="E663" s="10" t="n">
        <x:f>SUMIF('Revenue and costs'!$D$2056:$D$2183,C663,'Revenue and costs'!N2056:N2183)</x:f>
        <x:v>125890.04314099217</x:v>
      </x:c>
      <x:c r="F663" s="10" t="n">
        <x:f>SUMIF('Revenue and costs'!$D$2056:$D$2183,C663,'Revenue and costs'!O2056:O2183)+SUMIF('Revenue and costs'!$D$2056:$D$2183,C663,'Revenue and costs'!P2056:P2183)+SUMIF('Revenue and costs'!$D$2056:$D$2183,C663,'Revenue and costs'!Q2056:Q2183)+SUMIF('Revenue and costs'!$D$2056:$D$2183,C663,'Revenue and costs'!R2056:R2183)+SUMIF('Revenue and costs'!$D$2056:$D$2183,C663,'Revenue and costs'!S2056:S2183)+SUMIF('Revenue and costs'!$D$2056:$D$2183,C663,'Revenue and costs'!T2056:T2183)+SUMIF('Revenue and costs'!$D$2056:$D$2183,C663,'Revenue and costs'!U2056:U2183)+SUMIF('Revenue and costs'!$D$2056:$D$2183,C663,'Revenue and costs'!V2056:V2183)+SUMIF('Revenue and costs'!$D$2056:$D$2183,C663,'Revenue and costs'!AE2056:AE2183)</x:f>
        <x:v>78031.86318635754</x:v>
      </x:c>
      <x:c r="G663" s="10" t="n">
        <x:f>IF('Income statement'!T50=0,1/39,E663/'Income statement'!T50)*('Shared costs'!X21+'Assumptions'!$D$18*'Assumptions'!$D$19*12*(1+'Assumptions'!$D$13)^(17-1)*'Assumptions'!$D$21)</x:f>
        <x:v>6424.119392221187</x:v>
      </x:c>
      <x:c r="H663" s="10" t="n">
        <x:f>IF('Income statement'!T50=0,1/39,E663/'Income statement'!T50)*'Cash and capital'!T18</x:f>
        <x:v>23.23375564049276</x:v>
      </x:c>
      <x:c r="I663" s="10" t="n">
        <x:f>E663-F663-G663-H663</x:f>
        <x:v>41410.826806772944</x:v>
      </x:c>
      <x:c r="J663" s="10" t="n">
        <x:f>M624</x:f>
        <x:v>0</x:v>
      </x:c>
      <x:c r="K663" s="10" t="n">
        <x:f>MAX(0,I663-J663)</x:f>
        <x:v>41410.826806772944</x:v>
      </x:c>
      <x:c r="L663" s="10" t="n">
        <x:f>K663*'Assumptions'!$D$12</x:f>
        <x:v>10352.706701693236</x:v>
      </x:c>
      <x:c r="M663" s="10" t="n">
        <x:f>MAX(0,J663-I663)</x:f>
        <x:v>0</x:v>
      </x:c>
    </x:row>
    <x:row r="664" ht="16" customHeight="1">
      <x:c r="A664" s="1"/>
      <x:c r="B664" s="1"/>
      <x:c r="C664" s="1" t="str">
        <x:v>Learn Anglais</x:v>
      </x:c>
      <x:c r="D664" s="10" t="n">
        <x:v>17</x:v>
      </x:c>
      <x:c r="E664" s="10" t="n">
        <x:f>SUMIF('Revenue and costs'!$D$2056:$D$2183,C664,'Revenue and costs'!N2056:N2183)</x:f>
        <x:v>133671.25141517344</x:v>
      </x:c>
      <x:c r="F664" s="10" t="n">
        <x:f>SUMIF('Revenue and costs'!$D$2056:$D$2183,C664,'Revenue and costs'!O2056:O2183)+SUMIF('Revenue and costs'!$D$2056:$D$2183,C664,'Revenue and costs'!P2056:P2183)+SUMIF('Revenue and costs'!$D$2056:$D$2183,C664,'Revenue and costs'!Q2056:Q2183)+SUMIF('Revenue and costs'!$D$2056:$D$2183,C664,'Revenue and costs'!R2056:R2183)+SUMIF('Revenue and costs'!$D$2056:$D$2183,C664,'Revenue and costs'!S2056:S2183)+SUMIF('Revenue and costs'!$D$2056:$D$2183,C664,'Revenue and costs'!T2056:T2183)+SUMIF('Revenue and costs'!$D$2056:$D$2183,C664,'Revenue and costs'!U2056:U2183)+SUMIF('Revenue and costs'!$D$2056:$D$2183,C664,'Revenue and costs'!V2056:V2183)+SUMIF('Revenue and costs'!$D$2056:$D$2183,C664,'Revenue and costs'!AE2056:AE2183)</x:f>
        <x:v>86529.61850750189</x:v>
      </x:c>
      <x:c r="G664" s="10" t="n">
        <x:f>IF('Income statement'!T50=0,1/39,E664/'Income statement'!T50)*('Shared costs'!X21+'Assumptions'!$D$18*'Assumptions'!$D$19*12*(1+'Assumptions'!$D$13)^(17-1)*'Assumptions'!$D$21)</x:f>
        <x:v>6821.191390306816</x:v>
      </x:c>
      <x:c r="H664" s="10" t="n">
        <x:f>IF('Income statement'!T50=0,1/39,E664/'Income statement'!T50)*'Cash and capital'!T18</x:f>
        <x:v>24.669823872097332</x:v>
      </x:c>
      <x:c r="I664" s="10" t="n">
        <x:f>E664-F664-G664-H664</x:f>
        <x:v>40295.77169349263</x:v>
      </x:c>
      <x:c r="J664" s="10" t="n">
        <x:f>M625</x:f>
        <x:v>0</x:v>
      </x:c>
      <x:c r="K664" s="10" t="n">
        <x:f>MAX(0,I664-J664)</x:f>
        <x:v>40295.77169349263</x:v>
      </x:c>
      <x:c r="L664" s="10" t="n">
        <x:f>K664*'Assumptions'!$D$12</x:f>
        <x:v>10073.942923373157</x:v>
      </x:c>
      <x:c r="M664" s="10" t="n">
        <x:f>MAX(0,J664-I664)</x:f>
        <x:v>0</x:v>
      </x:c>
    </x:row>
    <x:row r="665" ht="16" customHeight="1">
      <x:c r="A665" s="1"/>
      <x:c r="B665" s="1"/>
      <x:c r="C665" s="1" t="str">
        <x:v>Fiefé</x:v>
      </x:c>
      <x:c r="D665" s="10" t="n">
        <x:v>17</x:v>
      </x:c>
      <x:c r="E665" s="10" t="n">
        <x:f>SUMIF('Revenue and costs'!$D$2056:$D$2183,C665,'Revenue and costs'!N2056:N2183)</x:f>
        <x:v>92760.39131512023</x:v>
      </x:c>
      <x:c r="F665" s="10" t="n">
        <x:f>SUMIF('Revenue and costs'!$D$2056:$D$2183,C665,'Revenue and costs'!O2056:O2183)+SUMIF('Revenue and costs'!$D$2056:$D$2183,C665,'Revenue and costs'!P2056:P2183)+SUMIF('Revenue and costs'!$D$2056:$D$2183,C665,'Revenue and costs'!Q2056:Q2183)+SUMIF('Revenue and costs'!$D$2056:$D$2183,C665,'Revenue and costs'!R2056:R2183)+SUMIF('Revenue and costs'!$D$2056:$D$2183,C665,'Revenue and costs'!S2056:S2183)+SUMIF('Revenue and costs'!$D$2056:$D$2183,C665,'Revenue and costs'!T2056:T2183)+SUMIF('Revenue and costs'!$D$2056:$D$2183,C665,'Revenue and costs'!U2056:U2183)+SUMIF('Revenue and costs'!$D$2056:$D$2183,C665,'Revenue and costs'!V2056:V2183)+SUMIF('Revenue and costs'!$D$2056:$D$2183,C665,'Revenue and costs'!AE2056:AE2183)</x:f>
        <x:v>78455.28596951927</x:v>
      </x:c>
      <x:c r="G665" s="10" t="n">
        <x:f>IF('Income statement'!T50=0,1/39,E665/'Income statement'!T50)*('Shared costs'!X21+'Assumptions'!$D$18*'Assumptions'!$D$19*12*(1+'Assumptions'!$D$13)^(17-1)*'Assumptions'!$D$21)</x:f>
        <x:v>4733.526288573112</x:v>
      </x:c>
      <x:c r="H665" s="10" t="n">
        <x:f>IF('Income statement'!T50=0,1/39,E665/'Income statement'!T50)*'Cash and capital'!T18</x:f>
        <x:v>17.11948150274504</x:v>
      </x:c>
      <x:c r="I665" s="10" t="n">
        <x:f>E665-F665-G665-H665</x:f>
        <x:v>9554.459575525098</x:v>
      </x:c>
      <x:c r="J665" s="10" t="n">
        <x:f>M626</x:f>
        <x:v>0</x:v>
      </x:c>
      <x:c r="K665" s="10" t="n">
        <x:f>MAX(0,I665-J665)</x:f>
        <x:v>9554.459575525098</x:v>
      </x:c>
      <x:c r="L665" s="10" t="n">
        <x:f>K665*'Assumptions'!$D$12</x:f>
        <x:v>2388.6148938812744</x:v>
      </x:c>
      <x:c r="M665" s="10" t="n">
        <x:f>MAX(0,J665-I665)</x:f>
        <x:v>0</x:v>
      </x:c>
    </x:row>
    <x:row r="666" ht="16" customHeight="1">
      <x:c r="A666" s="1"/>
      <x:c r="B666" s="1"/>
      <x:c r="C666" s="1" t="str">
        <x:v>Fiefé Design</x:v>
      </x:c>
      <x:c r="D666" s="10" t="n">
        <x:v>17</x:v>
      </x:c>
      <x:c r="E666" s="10" t="n">
        <x:f>SUMIF('Revenue and costs'!$D$2056:$D$2183,C666,'Revenue and costs'!N2056:N2183)</x:f>
        <x:v>57794.63633340825</x:v>
      </x:c>
      <x:c r="F666" s="10" t="n">
        <x:f>SUMIF('Revenue and costs'!$D$2056:$D$2183,C666,'Revenue and costs'!O2056:O2183)+SUMIF('Revenue and costs'!$D$2056:$D$2183,C666,'Revenue and costs'!P2056:P2183)+SUMIF('Revenue and costs'!$D$2056:$D$2183,C666,'Revenue and costs'!Q2056:Q2183)+SUMIF('Revenue and costs'!$D$2056:$D$2183,C666,'Revenue and costs'!R2056:R2183)+SUMIF('Revenue and costs'!$D$2056:$D$2183,C666,'Revenue and costs'!S2056:S2183)+SUMIF('Revenue and costs'!$D$2056:$D$2183,C666,'Revenue and costs'!T2056:T2183)+SUMIF('Revenue and costs'!$D$2056:$D$2183,C666,'Revenue and costs'!U2056:U2183)+SUMIF('Revenue and costs'!$D$2056:$D$2183,C666,'Revenue and costs'!V2056:V2183)+SUMIF('Revenue and costs'!$D$2056:$D$2183,C666,'Revenue and costs'!AE2056:AE2183)</x:f>
        <x:v>45776.23076961908</x:v>
      </x:c>
      <x:c r="G666" s="10" t="n">
        <x:f>IF('Income statement'!T50=0,1/39,E666/'Income statement'!T50)*('Shared costs'!X21+'Assumptions'!$D$18*'Assumptions'!$D$19*12*(1+'Assumptions'!$D$13)^(17-1)*'Assumptions'!$D$21)</x:f>
        <x:v>2949.2375629739017</x:v>
      </x:c>
      <x:c r="H666" s="10" t="n">
        <x:f>IF('Income statement'!T50=0,1/39,E666/'Income statement'!T50)*'Cash and capital'!T18</x:f>
        <x:v>10.666343615417471</x:v>
      </x:c>
      <x:c r="I666" s="10" t="n">
        <x:f>E666-F666-G666-H666</x:f>
        <x:v>9058.501657199853</x:v>
      </x:c>
      <x:c r="J666" s="10" t="n">
        <x:f>M627</x:f>
        <x:v>0</x:v>
      </x:c>
      <x:c r="K666" s="10" t="n">
        <x:f>MAX(0,I666-J666)</x:f>
        <x:v>9058.501657199853</x:v>
      </x:c>
      <x:c r="L666" s="10" t="n">
        <x:f>K666*'Assumptions'!$D$12</x:f>
        <x:v>2264.6254142999633</x:v>
      </x:c>
      <x:c r="M666" s="10" t="n">
        <x:f>MAX(0,J666-I666)</x:f>
        <x:v>0</x:v>
      </x:c>
    </x:row>
    <x:row r="667" ht="16" customHeight="1">
      <x:c r="A667" s="1"/>
      <x:c r="B667" s="1"/>
      <x:c r="C667" s="1" t="str">
        <x:v>OsezArt</x:v>
      </x:c>
      <x:c r="D667" s="10" t="n">
        <x:v>17</x:v>
      </x:c>
      <x:c r="E667" s="10" t="n">
        <x:f>SUMIF('Revenue and costs'!$D$2056:$D$2183,C667,'Revenue and costs'!N2056:N2183)</x:f>
        <x:v>227789.93378031967</x:v>
      </x:c>
      <x:c r="F667" s="10" t="n">
        <x:f>SUMIF('Revenue and costs'!$D$2056:$D$2183,C667,'Revenue and costs'!O2056:O2183)+SUMIF('Revenue and costs'!$D$2056:$D$2183,C667,'Revenue and costs'!P2056:P2183)+SUMIF('Revenue and costs'!$D$2056:$D$2183,C667,'Revenue and costs'!Q2056:Q2183)+SUMIF('Revenue and costs'!$D$2056:$D$2183,C667,'Revenue and costs'!R2056:R2183)+SUMIF('Revenue and costs'!$D$2056:$D$2183,C667,'Revenue and costs'!S2056:S2183)+SUMIF('Revenue and costs'!$D$2056:$D$2183,C667,'Revenue and costs'!T2056:T2183)+SUMIF('Revenue and costs'!$D$2056:$D$2183,C667,'Revenue and costs'!U2056:U2183)+SUMIF('Revenue and costs'!$D$2056:$D$2183,C667,'Revenue and costs'!V2056:V2183)+SUMIF('Revenue and costs'!$D$2056:$D$2183,C667,'Revenue and costs'!AE2056:AE2183)</x:f>
        <x:v>133364.6213590645</x:v>
      </x:c>
      <x:c r="G667" s="10" t="n">
        <x:f>IF('Income statement'!T50=0,1/39,E667/'Income statement'!T50)*('Shared costs'!X21+'Assumptions'!$D$18*'Assumptions'!$D$19*12*(1+'Assumptions'!$D$13)^(17-1)*'Assumptions'!$D$21)</x:f>
        <x:v>11624.030736982386</x:v>
      </x:c>
      <x:c r="H667" s="10" t="n">
        <x:f>IF('Income statement'!T50=0,1/39,E667/'Income statement'!T50)*'Cash and capital'!T18</x:f>
        <x:v>42.03998606060263</x:v>
      </x:c>
      <x:c r="I667" s="10" t="n">
        <x:f>E667-F667-G667-H667</x:f>
        <x:v>82759.24169821218</x:v>
      </x:c>
      <x:c r="J667" s="10" t="n">
        <x:f>M628</x:f>
        <x:v>0</x:v>
      </x:c>
      <x:c r="K667" s="10" t="n">
        <x:f>MAX(0,I667-J667)</x:f>
        <x:v>82759.24169821218</x:v>
      </x:c>
      <x:c r="L667" s="10" t="n">
        <x:f>K667*'Assumptions'!$D$12</x:f>
        <x:v>20689.810424553045</x:v>
      </x:c>
      <x:c r="M667" s="10" t="n">
        <x:f>MAX(0,J667-I667)</x:f>
        <x:v>0</x:v>
      </x:c>
    </x:row>
    <x:row r="668" ht="16" customHeight="1">
      <x:c r="A668" s="1"/>
      <x:c r="B668" s="1"/>
      <x:c r="C668" s="1" t="str">
        <x:v>FinBot research</x:v>
      </x:c>
      <x:c r="D668" s="10" t="n">
        <x:v>17</x:v>
      </x:c>
      <x:c r="E668" s="10" t="n">
        <x:f>SUMIF('Revenue and costs'!$D$2056:$D$2183,C668,'Revenue and costs'!N2056:N2183)</x:f>
        <x:v>11444.469579200702</x:v>
      </x:c>
      <x:c r="F668" s="10" t="n">
        <x:f>SUMIF('Revenue and costs'!$D$2056:$D$2183,C668,'Revenue and costs'!O2056:O2183)+SUMIF('Revenue and costs'!$D$2056:$D$2183,C668,'Revenue and costs'!P2056:P2183)+SUMIF('Revenue and costs'!$D$2056:$D$2183,C668,'Revenue and costs'!Q2056:Q2183)+SUMIF('Revenue and costs'!$D$2056:$D$2183,C668,'Revenue and costs'!R2056:R2183)+SUMIF('Revenue and costs'!$D$2056:$D$2183,C668,'Revenue and costs'!S2056:S2183)+SUMIF('Revenue and costs'!$D$2056:$D$2183,C668,'Revenue and costs'!T2056:T2183)+SUMIF('Revenue and costs'!$D$2056:$D$2183,C668,'Revenue and costs'!U2056:U2183)+SUMIF('Revenue and costs'!$D$2056:$D$2183,C668,'Revenue and costs'!V2056:V2183)+SUMIF('Revenue and costs'!$D$2056:$D$2183,C668,'Revenue and costs'!AE2056:AE2183)</x:f>
        <x:v>7095.312950882579</x:v>
      </x:c>
      <x:c r="G668" s="10" t="n">
        <x:f>IF('Income statement'!T50=0,1/39,E668/'Income statement'!T50)*('Shared costs'!X21+'Assumptions'!$D$18*'Assumptions'!$D$19*12*(1+'Assumptions'!$D$13)^(17-1)*'Assumptions'!$D$21)</x:f>
        <x:v>584.0067818158445</x:v>
      </x:c>
      <x:c r="H668" s="10" t="n">
        <x:f>IF('Income statement'!T50=0,1/39,E668/'Income statement'!T50)*'Cash and capital'!T18</x:f>
        <x:v>2.1121448766238506</x:v>
      </x:c>
      <x:c r="I668" s="10" t="n">
        <x:f>E668-F668-G668-H668</x:f>
        <x:v>3763.0377016256552</x:v>
      </x:c>
      <x:c r="J668" s="10" t="n">
        <x:f>M629</x:f>
        <x:v>0</x:v>
      </x:c>
      <x:c r="K668" s="10" t="n">
        <x:f>MAX(0,I668-J668)</x:f>
        <x:v>3763.0377016256552</x:v>
      </x:c>
      <x:c r="L668" s="10" t="n">
        <x:f>K668*'Assumptions'!$D$12</x:f>
        <x:v>940.7594254064138</x:v>
      </x:c>
      <x:c r="M668" s="10" t="n">
        <x:f>MAX(0,J668-I668)</x:f>
        <x:v>0</x:v>
      </x:c>
    </x:row>
    <x:row r="669" ht="16" customHeight="1">
      <x:c r="A669" s="1"/>
      <x:c r="B669" s="1"/>
      <x:c r="C669" s="1" t="str">
        <x:v>Functional Analysis</x:v>
      </x:c>
      <x:c r="D669" s="10" t="n">
        <x:v>17</x:v>
      </x:c>
      <x:c r="E669" s="10" t="n">
        <x:f>SUMIF('Revenue and costs'!$D$2056:$D$2183,C669,'Revenue and costs'!N2056:N2183)</x:f>
        <x:v>24622.413059901883</x:v>
      </x:c>
      <x:c r="F669" s="10" t="n">
        <x:f>SUMIF('Revenue and costs'!$D$2056:$D$2183,C669,'Revenue and costs'!O2056:O2183)+SUMIF('Revenue and costs'!$D$2056:$D$2183,C669,'Revenue and costs'!P2056:P2183)+SUMIF('Revenue and costs'!$D$2056:$D$2183,C669,'Revenue and costs'!Q2056:Q2183)+SUMIF('Revenue and costs'!$D$2056:$D$2183,C669,'Revenue and costs'!R2056:R2183)+SUMIF('Revenue and costs'!$D$2056:$D$2183,C669,'Revenue and costs'!S2056:S2183)+SUMIF('Revenue and costs'!$D$2056:$D$2183,C669,'Revenue and costs'!T2056:T2183)+SUMIF('Revenue and costs'!$D$2056:$D$2183,C669,'Revenue and costs'!U2056:U2183)+SUMIF('Revenue and costs'!$D$2056:$D$2183,C669,'Revenue and costs'!V2056:V2183)+SUMIF('Revenue and costs'!$D$2056:$D$2183,C669,'Revenue and costs'!AE2056:AE2183)</x:f>
        <x:v>13819.081872353037</x:v>
      </x:c>
      <x:c r="G669" s="10" t="n">
        <x:f>IF('Income statement'!T50=0,1/39,E669/'Income statement'!T50)*('Shared costs'!X21+'Assumptions'!$D$18*'Assumptions'!$D$19*12*(1+'Assumptions'!$D$13)^(17-1)*'Assumptions'!$D$21)</x:f>
        <x:v>1256.47205509528</x:v>
      </x:c>
      <x:c r="H669" s="10" t="n">
        <x:f>IF('Income statement'!T50=0,1/39,E669/'Income statement'!T50)*'Cash and capital'!T18</x:f>
        <x:v>4.544212664001867</x:v>
      </x:c>
      <x:c r="I669" s="10" t="n">
        <x:f>E669-F669-G669-H669</x:f>
        <x:v>9542.314919789562</x:v>
      </x:c>
      <x:c r="J669" s="10" t="n">
        <x:f>M630</x:f>
        <x:v>0</x:v>
      </x:c>
      <x:c r="K669" s="10" t="n">
        <x:f>MAX(0,I669-J669)</x:f>
        <x:v>9542.314919789562</x:v>
      </x:c>
      <x:c r="L669" s="10" t="n">
        <x:f>K669*'Assumptions'!$D$12</x:f>
        <x:v>2385.5787299473905</x:v>
      </x:c>
      <x:c r="M669" s="10" t="n">
        <x:f>MAX(0,J669-I669)</x:f>
        <x:v>0</x:v>
      </x:c>
    </x:row>
    <x:row r="670" ht="16" customHeight="1">
      <x:c r="A670" s="1"/>
      <x:c r="B670" s="1"/>
      <x:c r="C670" s="1" t="str">
        <x:v>Independent candy game</x:v>
      </x:c>
      <x:c r="D670" s="10" t="n">
        <x:v>17</x:v>
      </x:c>
      <x:c r="E670" s="10" t="n">
        <x:f>SUMIF('Revenue and costs'!$D$2056:$D$2183,C670,'Revenue and costs'!N2056:N2183)</x:f>
        <x:v>9846.190206933019</x:v>
      </x:c>
      <x:c r="F670" s="10" t="n">
        <x:f>SUMIF('Revenue and costs'!$D$2056:$D$2183,C670,'Revenue and costs'!O2056:O2183)+SUMIF('Revenue and costs'!$D$2056:$D$2183,C670,'Revenue and costs'!P2056:P2183)+SUMIF('Revenue and costs'!$D$2056:$D$2183,C670,'Revenue and costs'!Q2056:Q2183)+SUMIF('Revenue and costs'!$D$2056:$D$2183,C670,'Revenue and costs'!R2056:R2183)+SUMIF('Revenue and costs'!$D$2056:$D$2183,C670,'Revenue and costs'!S2056:S2183)+SUMIF('Revenue and costs'!$D$2056:$D$2183,C670,'Revenue and costs'!T2056:T2183)+SUMIF('Revenue and costs'!$D$2056:$D$2183,C670,'Revenue and costs'!U2056:U2183)+SUMIF('Revenue and costs'!$D$2056:$D$2183,C670,'Revenue and costs'!V2056:V2183)+SUMIF('Revenue and costs'!$D$2056:$D$2183,C670,'Revenue and costs'!AE2056:AE2183)</x:f>
        <x:v>10029.356621474799</x:v>
      </x:c>
      <x:c r="G670" s="10" t="n">
        <x:f>IF('Income statement'!T50=0,1/39,E670/'Income statement'!T50)*('Shared costs'!X21+'Assumptions'!$D$18*'Assumptions'!$D$19*12*(1+'Assumptions'!$D$13)^(17-1)*'Assumptions'!$D$21)</x:f>
        <x:v>502.44721401052834</x:v>
      </x:c>
      <x:c r="H670" s="10" t="n">
        <x:f>IF('Income statement'!T50=0,1/39,E670/'Income statement'!T50)*'Cash and capital'!T18</x:f>
        <x:v>1.817172919716037</x:v>
      </x:c>
      <x:c r="I670" s="10" t="n">
        <x:f>E670-F670-G670-H670</x:f>
        <x:v>-687.4308014720243</x:v>
      </x:c>
      <x:c r="J670" s="10" t="n">
        <x:f>M631</x:f>
        <x:v>2062.074222354609</x:v>
      </x:c>
      <x:c r="K670" s="10" t="n">
        <x:f>MAX(0,I670-J670)</x:f>
        <x:v>0</x:v>
      </x:c>
      <x:c r="L670" s="10" t="n">
        <x:f>K670*'Assumptions'!$D$12</x:f>
        <x:v>0</x:v>
      </x:c>
      <x:c r="M670" s="10" t="n">
        <x:f>MAX(0,J670-I670)</x:f>
        <x:v>2749.505023826633</x:v>
      </x:c>
    </x:row>
    <x:row r="671" ht="16" customHeight="1">
      <x:c r="A671" s="1"/>
      <x:c r="B671" s="1"/>
      <x:c r="C671" s="1" t="str">
        <x:v>ETV courses</x:v>
      </x:c>
      <x:c r="D671" s="10" t="n">
        <x:v>18</x:v>
      </x:c>
      <x:c r="E671" s="10" t="n">
        <x:f>SUMIF('Revenue and costs'!$D$2184:$D$2311,C671,'Revenue and costs'!N2184:N2311)</x:f>
        <x:v>68377.33281236011</x:v>
      </x:c>
      <x:c r="F671" s="10" t="n">
        <x:f>SUMIF('Revenue and costs'!$D$2184:$D$2311,C671,'Revenue and costs'!O2184:O2311)+SUMIF('Revenue and costs'!$D$2184:$D$2311,C671,'Revenue and costs'!P2184:P2311)+SUMIF('Revenue and costs'!$D$2184:$D$2311,C671,'Revenue and costs'!Q2184:Q2311)+SUMIF('Revenue and costs'!$D$2184:$D$2311,C671,'Revenue and costs'!R2184:R2311)+SUMIF('Revenue and costs'!$D$2184:$D$2311,C671,'Revenue and costs'!S2184:S2311)+SUMIF('Revenue and costs'!$D$2184:$D$2311,C671,'Revenue and costs'!T2184:T2311)+SUMIF('Revenue and costs'!$D$2184:$D$2311,C671,'Revenue and costs'!U2184:U2311)+SUMIF('Revenue and costs'!$D$2184:$D$2311,C671,'Revenue and costs'!V2184:V2311)+SUMIF('Revenue and costs'!$D$2184:$D$2311,C671,'Revenue and costs'!AE2184:AE2311)</x:f>
        <x:v>27442.180270443045</x:v>
      </x:c>
      <x:c r="G671" s="10" t="n">
        <x:f>IF('Income statement'!U50=0,1/39,E671/'Income statement'!U50)*('Shared costs'!Y21+'Assumptions'!$D$18*'Assumptions'!$D$19*12*(1+'Assumptions'!$D$13)^(18-1)*'Assumptions'!$D$21)</x:f>
        <x:v>3587.156476018887</x:v>
      </x:c>
      <x:c r="H671" s="10" t="n">
        <x:f>IF('Income statement'!U50=0,1/39,E671/'Income statement'!U50)*'Cash and capital'!U18</x:f>
        <x:v>12.061280345397067</x:v>
      </x:c>
      <x:c r="I671" s="10" t="n">
        <x:f>E671-F671-G671-H671</x:f>
        <x:v>37335.93478555278</x:v>
      </x:c>
      <x:c r="J671" s="10" t="n">
        <x:f>M632</x:f>
        <x:v>0</x:v>
      </x:c>
      <x:c r="K671" s="10" t="n">
        <x:f>MAX(0,I671-J671)</x:f>
        <x:v>37335.93478555278</x:v>
      </x:c>
      <x:c r="L671" s="10" t="n">
        <x:f>K671*'Assumptions'!$D$12</x:f>
        <x:v>9333.983696388195</x:v>
      </x:c>
      <x:c r="M671" s="10" t="n">
        <x:f>MAX(0,J671-I671)</x:f>
        <x:v>0</x:v>
      </x:c>
    </x:row>
    <x:row r="672" ht="16" customHeight="1">
      <x:c r="A672" s="1"/>
      <x:c r="B672" s="1"/>
      <x:c r="C672" s="1" t="str">
        <x:v>ETV services</x:v>
      </x:c>
      <x:c r="D672" s="10" t="n">
        <x:v>18</x:v>
      </x:c>
      <x:c r="E672" s="10" t="n">
        <x:f>SUMIF('Revenue and costs'!$D$2184:$D$2311,C672,'Revenue and costs'!N2184:N2311)</x:f>
        <x:v>175934.27375361655</x:v>
      </x:c>
      <x:c r="F672" s="10" t="n">
        <x:f>SUMIF('Revenue and costs'!$D$2184:$D$2311,C672,'Revenue and costs'!O2184:O2311)+SUMIF('Revenue and costs'!$D$2184:$D$2311,C672,'Revenue and costs'!P2184:P2311)+SUMIF('Revenue and costs'!$D$2184:$D$2311,C672,'Revenue and costs'!Q2184:Q2311)+SUMIF('Revenue and costs'!$D$2184:$D$2311,C672,'Revenue and costs'!R2184:R2311)+SUMIF('Revenue and costs'!$D$2184:$D$2311,C672,'Revenue and costs'!S2184:S2311)+SUMIF('Revenue and costs'!$D$2184:$D$2311,C672,'Revenue and costs'!T2184:T2311)+SUMIF('Revenue and costs'!$D$2184:$D$2311,C672,'Revenue and costs'!U2184:U2311)+SUMIF('Revenue and costs'!$D$2184:$D$2311,C672,'Revenue and costs'!V2184:V2311)+SUMIF('Revenue and costs'!$D$2184:$D$2311,C672,'Revenue and costs'!AE2184:AE2311)</x:f>
        <x:v>128693.88514987404</x:v>
      </x:c>
      <x:c r="G672" s="10" t="n">
        <x:f>IF('Income statement'!U50=0,1/39,E672/'Income statement'!U50)*('Shared costs'!Y21+'Assumptions'!$D$18*'Assumptions'!$D$19*12*(1+'Assumptions'!$D$13)^(18-1)*'Assumptions'!$D$21)</x:f>
        <x:v>9229.721948658473</x:v>
      </x:c>
      <x:c r="H672" s="10" t="n">
        <x:f>IF('Income statement'!U50=0,1/39,E672/'Income statement'!U50)*'Cash and capital'!U18</x:f>
        <x:v>31.033567862749745</x:v>
      </x:c>
      <x:c r="I672" s="10" t="n">
        <x:f>E672-F672-G672-H672</x:f>
        <x:v>37979.633087221286</x:v>
      </x:c>
      <x:c r="J672" s="10" t="n">
        <x:f>M633</x:f>
        <x:v>0</x:v>
      </x:c>
      <x:c r="K672" s="10" t="n">
        <x:f>MAX(0,I672-J672)</x:f>
        <x:v>37979.633087221286</x:v>
      </x:c>
      <x:c r="L672" s="10" t="n">
        <x:f>K672*'Assumptions'!$D$12</x:f>
        <x:v>9494.908271805321</x:v>
      </x:c>
      <x:c r="M672" s="10" t="n">
        <x:f>MAX(0,J672-I672)</x:f>
        <x:v>0</x:v>
      </x:c>
    </x:row>
    <x:row r="673" ht="16" customHeight="1">
      <x:c r="A673" s="1"/>
      <x:c r="B673" s="1"/>
      <x:c r="C673" s="1" t="str">
        <x:v>BPA professional services</x:v>
      </x:c>
      <x:c r="D673" s="10" t="n">
        <x:v>18</x:v>
      </x:c>
      <x:c r="E673" s="10" t="n">
        <x:f>SUMIF('Revenue and costs'!$D$2184:$D$2311,C673,'Revenue and costs'!N2184:N2311)</x:f>
        <x:v>883996.192771783</x:v>
      </x:c>
      <x:c r="F673" s="10" t="n">
        <x:f>SUMIF('Revenue and costs'!$D$2184:$D$2311,C673,'Revenue and costs'!O2184:O2311)+SUMIF('Revenue and costs'!$D$2184:$D$2311,C673,'Revenue and costs'!P2184:P2311)+SUMIF('Revenue and costs'!$D$2184:$D$2311,C673,'Revenue and costs'!Q2184:Q2311)+SUMIF('Revenue and costs'!$D$2184:$D$2311,C673,'Revenue and costs'!R2184:R2311)+SUMIF('Revenue and costs'!$D$2184:$D$2311,C673,'Revenue and costs'!S2184:S2311)+SUMIF('Revenue and costs'!$D$2184:$D$2311,C673,'Revenue and costs'!T2184:T2311)+SUMIF('Revenue and costs'!$D$2184:$D$2311,C673,'Revenue and costs'!U2184:U2311)+SUMIF('Revenue and costs'!$D$2184:$D$2311,C673,'Revenue and costs'!V2184:V2311)+SUMIF('Revenue and costs'!$D$2184:$D$2311,C673,'Revenue and costs'!AE2184:AE2311)</x:f>
        <x:v>579367.0972574467</x:v>
      </x:c>
      <x:c r="G673" s="10" t="n">
        <x:f>IF('Income statement'!U50=0,1/39,E673/'Income statement'!U50)*('Shared costs'!Y21+'Assumptions'!$D$18*'Assumptions'!$D$19*12*(1+'Assumptions'!$D$13)^(18-1)*'Assumptions'!$D$21)</x:f>
        <x:v>46375.49517146617</x:v>
      </x:c>
      <x:c r="H673" s="10" t="n">
        <x:f>IF('Income statement'!U50=0,1/39,E673/'Income statement'!U50)*'Cash and capital'!U18</x:f>
        <x:v>155.9307078347581</x:v>
      </x:c>
      <x:c r="I673" s="10" t="n">
        <x:f>E673-F673-G673-H673</x:f>
        <x:v>258097.66963503533</x:v>
      </x:c>
      <x:c r="J673" s="10" t="n">
        <x:f>M634</x:f>
        <x:v>0</x:v>
      </x:c>
      <x:c r="K673" s="10" t="n">
        <x:f>MAX(0,I673-J673)</x:f>
        <x:v>258097.66963503533</x:v>
      </x:c>
      <x:c r="L673" s="10" t="n">
        <x:f>K673*'Assumptions'!$D$12</x:f>
        <x:v>64524.41740875883</x:v>
      </x:c>
      <x:c r="M673" s="10" t="n">
        <x:f>MAX(0,J673-I673)</x:f>
        <x:v>0</x:v>
      </x:c>
    </x:row>
    <x:row r="674" ht="16" customHeight="1">
      <x:c r="A674" s="1"/>
      <x:c r="B674" s="1"/>
      <x:c r="C674" s="1" t="str">
        <x:v>CornerFlow</x:v>
      </x:c>
      <x:c r="D674" s="10" t="n">
        <x:v>18</x:v>
      </x:c>
      <x:c r="E674" s="10" t="n">
        <x:f>SUMIF('Revenue and costs'!$D$2184:$D$2311,C674,'Revenue and costs'!N2184:N2311)</x:f>
        <x:v>34027.24371331237</x:v>
      </x:c>
      <x:c r="F674" s="10" t="n">
        <x:f>SUMIF('Revenue and costs'!$D$2184:$D$2311,C674,'Revenue and costs'!O2184:O2311)+SUMIF('Revenue and costs'!$D$2184:$D$2311,C674,'Revenue and costs'!P2184:P2311)+SUMIF('Revenue and costs'!$D$2184:$D$2311,C674,'Revenue and costs'!Q2184:Q2311)+SUMIF('Revenue and costs'!$D$2184:$D$2311,C674,'Revenue and costs'!R2184:R2311)+SUMIF('Revenue and costs'!$D$2184:$D$2311,C674,'Revenue and costs'!S2184:S2311)+SUMIF('Revenue and costs'!$D$2184:$D$2311,C674,'Revenue and costs'!T2184:T2311)+SUMIF('Revenue and costs'!$D$2184:$D$2311,C674,'Revenue and costs'!U2184:U2311)+SUMIF('Revenue and costs'!$D$2184:$D$2311,C674,'Revenue and costs'!V2184:V2311)+SUMIF('Revenue and costs'!$D$2184:$D$2311,C674,'Revenue and costs'!AE2184:AE2311)</x:f>
        <x:v>14466.778953528259</x:v>
      </x:c>
      <x:c r="G674" s="10" t="n">
        <x:f>IF('Income statement'!U50=0,1/39,E674/'Income statement'!U50)*('Shared costs'!Y21+'Assumptions'!$D$18*'Assumptions'!$D$19*12*(1+'Assumptions'!$D$13)^(18-1)*'Assumptions'!$D$21)</x:f>
        <x:v>1785.1098109111572</x:v>
      </x:c>
      <x:c r="H674" s="10" t="n">
        <x:f>IF('Income statement'!U50=0,1/39,E674/'Income statement'!U50)*'Cash and capital'!U18</x:f>
        <x:v>6.00216634558789</x:v>
      </x:c>
      <x:c r="I674" s="10" t="n">
        <x:f>E674-F674-G674-H674</x:f>
        <x:v>17769.352782527367</x:v>
      </x:c>
      <x:c r="J674" s="10" t="n">
        <x:f>M635</x:f>
        <x:v>0</x:v>
      </x:c>
      <x:c r="K674" s="10" t="n">
        <x:f>MAX(0,I674-J674)</x:f>
        <x:v>17769.352782527367</x:v>
      </x:c>
      <x:c r="L674" s="10" t="n">
        <x:f>K674*'Assumptions'!$D$12</x:f>
        <x:v>4442.338195631842</x:v>
      </x:c>
      <x:c r="M674" s="10" t="n">
        <x:f>MAX(0,J674-I674)</x:f>
        <x:v>0</x:v>
      </x:c>
    </x:row>
    <x:row r="675" ht="16" customHeight="1">
      <x:c r="A675" s="1"/>
      <x:c r="B675" s="1"/>
      <x:c r="C675" s="1" t="str">
        <x:v>Spindle</x:v>
      </x:c>
      <x:c r="D675" s="10" t="n">
        <x:v>18</x:v>
      </x:c>
      <x:c r="E675" s="10" t="n">
        <x:f>SUMIF('Revenue and costs'!$D$2184:$D$2311,C675,'Revenue and costs'!N2184:N2311)</x:f>
        <x:v>34027.24371331237</x:v>
      </x:c>
      <x:c r="F675" s="10" t="n">
        <x:f>SUMIF('Revenue and costs'!$D$2184:$D$2311,C675,'Revenue and costs'!O2184:O2311)+SUMIF('Revenue and costs'!$D$2184:$D$2311,C675,'Revenue and costs'!P2184:P2311)+SUMIF('Revenue and costs'!$D$2184:$D$2311,C675,'Revenue and costs'!Q2184:Q2311)+SUMIF('Revenue and costs'!$D$2184:$D$2311,C675,'Revenue and costs'!R2184:R2311)+SUMIF('Revenue and costs'!$D$2184:$D$2311,C675,'Revenue and costs'!S2184:S2311)+SUMIF('Revenue and costs'!$D$2184:$D$2311,C675,'Revenue and costs'!T2184:T2311)+SUMIF('Revenue and costs'!$D$2184:$D$2311,C675,'Revenue and costs'!U2184:U2311)+SUMIF('Revenue and costs'!$D$2184:$D$2311,C675,'Revenue and costs'!V2184:V2311)+SUMIF('Revenue and costs'!$D$2184:$D$2311,C675,'Revenue and costs'!AE2184:AE2311)</x:f>
        <x:v>14466.778953528259</x:v>
      </x:c>
      <x:c r="G675" s="10" t="n">
        <x:f>IF('Income statement'!U50=0,1/39,E675/'Income statement'!U50)*('Shared costs'!Y21+'Assumptions'!$D$18*'Assumptions'!$D$19*12*(1+'Assumptions'!$D$13)^(18-1)*'Assumptions'!$D$21)</x:f>
        <x:v>1785.1098109111572</x:v>
      </x:c>
      <x:c r="H675" s="10" t="n">
        <x:f>IF('Income statement'!U50=0,1/39,E675/'Income statement'!U50)*'Cash and capital'!U18</x:f>
        <x:v>6.00216634558789</x:v>
      </x:c>
      <x:c r="I675" s="10" t="n">
        <x:f>E675-F675-G675-H675</x:f>
        <x:v>17769.352782527367</x:v>
      </x:c>
      <x:c r="J675" s="10" t="n">
        <x:f>M636</x:f>
        <x:v>0</x:v>
      </x:c>
      <x:c r="K675" s="10" t="n">
        <x:f>MAX(0,I675-J675)</x:f>
        <x:v>17769.352782527367</x:v>
      </x:c>
      <x:c r="L675" s="10" t="n">
        <x:f>K675*'Assumptions'!$D$12</x:f>
        <x:v>4442.338195631842</x:v>
      </x:c>
      <x:c r="M675" s="10" t="n">
        <x:f>MAX(0,J675-I675)</x:f>
        <x:v>0</x:v>
      </x:c>
    </x:row>
    <x:row r="676" ht="16" customHeight="1">
      <x:c r="A676" s="1"/>
      <x:c r="B676" s="1"/>
      <x:c r="C676" s="1" t="str">
        <x:v>Maison Contour</x:v>
      </x:c>
      <x:c r="D676" s="10" t="n">
        <x:v>18</x:v>
      </x:c>
      <x:c r="E676" s="10" t="n">
        <x:f>SUMIF('Revenue and costs'!$D$2184:$D$2311,C676,'Revenue and costs'!N2184:N2311)</x:f>
        <x:v>47945.663521196824</x:v>
      </x:c>
      <x:c r="F676" s="10" t="n">
        <x:f>SUMIF('Revenue and costs'!$D$2184:$D$2311,C676,'Revenue and costs'!O2184:O2311)+SUMIF('Revenue and costs'!$D$2184:$D$2311,C676,'Revenue and costs'!P2184:P2311)+SUMIF('Revenue and costs'!$D$2184:$D$2311,C676,'Revenue and costs'!Q2184:Q2311)+SUMIF('Revenue and costs'!$D$2184:$D$2311,C676,'Revenue and costs'!R2184:R2311)+SUMIF('Revenue and costs'!$D$2184:$D$2311,C676,'Revenue and costs'!S2184:S2311)+SUMIF('Revenue and costs'!$D$2184:$D$2311,C676,'Revenue and costs'!T2184:T2311)+SUMIF('Revenue and costs'!$D$2184:$D$2311,C676,'Revenue and costs'!U2184:U2311)+SUMIF('Revenue and costs'!$D$2184:$D$2311,C676,'Revenue and costs'!V2184:V2311)+SUMIF('Revenue and costs'!$D$2184:$D$2311,C676,'Revenue and costs'!AE2184:AE2311)</x:f>
        <x:v>15578.817649519027</x:v>
      </x:c>
      <x:c r="G676" s="10" t="n">
        <x:f>IF('Income statement'!U50=0,1/39,E676/'Income statement'!U50)*('Shared costs'!Y21+'Assumptions'!$D$18*'Assumptions'!$D$19*12*(1+'Assumptions'!$D$13)^(18-1)*'Assumptions'!$D$21)</x:f>
        <x:v>2515.2867232925246</x:v>
      </x:c>
      <x:c r="H676" s="10" t="n">
        <x:f>IF('Income statement'!U50=0,1/39,E676/'Income statement'!U50)*'Cash and capital'!U18</x:f>
        <x:v>8.457277657526582</x:v>
      </x:c>
      <x:c r="I676" s="10" t="n">
        <x:f>E676-F676-G676-H676</x:f>
        <x:v>29843.101870727747</x:v>
      </x:c>
      <x:c r="J676" s="10" t="n">
        <x:f>M637</x:f>
        <x:v>0</x:v>
      </x:c>
      <x:c r="K676" s="10" t="n">
        <x:f>MAX(0,I676-J676)</x:f>
        <x:v>29843.101870727747</x:v>
      </x:c>
      <x:c r="L676" s="10" t="n">
        <x:f>K676*'Assumptions'!$D$12</x:f>
        <x:v>7460.775467681937</x:v>
      </x:c>
      <x:c r="M676" s="10" t="n">
        <x:f>MAX(0,J676-I676)</x:f>
        <x:v>0</x:v>
      </x:c>
    </x:row>
    <x:row r="677" ht="16" customHeight="1">
      <x:c r="A677" s="1"/>
      <x:c r="B677" s="1"/>
      <x:c r="C677" s="1" t="str">
        <x:v>DishLoom US</x:v>
      </x:c>
      <x:c r="D677" s="10" t="n">
        <x:v>18</x:v>
      </x:c>
      <x:c r="E677" s="10" t="n">
        <x:f>SUMIF('Revenue and costs'!$D$2184:$D$2311,C677,'Revenue and costs'!N2184:N2311)</x:f>
        <x:v>43843.022394836036</x:v>
      </x:c>
      <x:c r="F677" s="10" t="n">
        <x:f>SUMIF('Revenue and costs'!$D$2184:$D$2311,C677,'Revenue and costs'!O2184:O2311)+SUMIF('Revenue and costs'!$D$2184:$D$2311,C677,'Revenue and costs'!P2184:P2311)+SUMIF('Revenue and costs'!$D$2184:$D$2311,C677,'Revenue and costs'!Q2184:Q2311)+SUMIF('Revenue and costs'!$D$2184:$D$2311,C677,'Revenue and costs'!R2184:R2311)+SUMIF('Revenue and costs'!$D$2184:$D$2311,C677,'Revenue and costs'!S2184:S2311)+SUMIF('Revenue and costs'!$D$2184:$D$2311,C677,'Revenue and costs'!T2184:T2311)+SUMIF('Revenue and costs'!$D$2184:$D$2311,C677,'Revenue and costs'!U2184:U2311)+SUMIF('Revenue and costs'!$D$2184:$D$2311,C677,'Revenue and costs'!V2184:V2311)+SUMIF('Revenue and costs'!$D$2184:$D$2311,C677,'Revenue and costs'!AE2184:AE2311)</x:f>
        <x:v>31065.952409681842</x:v>
      </x:c>
      <x:c r="G677" s="10" t="n">
        <x:f>IF('Income statement'!U50=0,1/39,E677/'Income statement'!U50)*('Shared costs'!Y21+'Assumptions'!$D$18*'Assumptions'!$D$19*12*(1+'Assumptions'!$D$13)^(18-1)*'Assumptions'!$D$21)</x:f>
        <x:v>2300.057274001308</x:v>
      </x:c>
      <x:c r="H677" s="10" t="n">
        <x:f>IF('Income statement'!U50=0,1/39,E677/'Income statement'!U50)*'Cash and capital'!U18</x:f>
        <x:v>7.73360063260688</x:v>
      </x:c>
      <x:c r="I677" s="10" t="n">
        <x:f>E677-F677-G677-H677</x:f>
        <x:v>10469.279110520278</x:v>
      </x:c>
      <x:c r="J677" s="10" t="n">
        <x:f>M638</x:f>
        <x:v>0</x:v>
      </x:c>
      <x:c r="K677" s="10" t="n">
        <x:f>MAX(0,I677-J677)</x:f>
        <x:v>10469.279110520278</x:v>
      </x:c>
      <x:c r="L677" s="10" t="n">
        <x:f>K677*'Assumptions'!$D$12</x:f>
        <x:v>2617.3197776300694</x:v>
      </x:c>
      <x:c r="M677" s="10" t="n">
        <x:f>MAX(0,J677-I677)</x:f>
        <x:v>0</x:v>
      </x:c>
    </x:row>
    <x:row r="678" ht="16" customHeight="1">
      <x:c r="A678" s="1"/>
      <x:c r="B678" s="1"/>
      <x:c r="C678" s="1" t="str">
        <x:v>Is Makes Travel Easy</x:v>
      </x:c>
      <x:c r="D678" s="10" t="n">
        <x:v>18</x:v>
      </x:c>
      <x:c r="E678" s="10" t="n">
        <x:f>SUMIF('Revenue and costs'!$D$2184:$D$2311,C678,'Revenue and costs'!N2184:N2311)</x:f>
        <x:v>74280.64377525607</x:v>
      </x:c>
      <x:c r="F678" s="10" t="n">
        <x:f>SUMIF('Revenue and costs'!$D$2184:$D$2311,C678,'Revenue and costs'!O2184:O2311)+SUMIF('Revenue and costs'!$D$2184:$D$2311,C678,'Revenue and costs'!P2184:P2311)+SUMIF('Revenue and costs'!$D$2184:$D$2311,C678,'Revenue and costs'!Q2184:Q2311)+SUMIF('Revenue and costs'!$D$2184:$D$2311,C678,'Revenue and costs'!R2184:R2311)+SUMIF('Revenue and costs'!$D$2184:$D$2311,C678,'Revenue and costs'!S2184:S2311)+SUMIF('Revenue and costs'!$D$2184:$D$2311,C678,'Revenue and costs'!T2184:T2311)+SUMIF('Revenue and costs'!$D$2184:$D$2311,C678,'Revenue and costs'!U2184:U2311)+SUMIF('Revenue and costs'!$D$2184:$D$2311,C678,'Revenue and costs'!V2184:V2311)+SUMIF('Revenue and costs'!$D$2184:$D$2311,C678,'Revenue and costs'!AE2184:AE2311)</x:f>
        <x:v>44329.85347603661</x:v>
      </x:c>
      <x:c r="G678" s="10" t="n">
        <x:f>IF('Income statement'!U50=0,1/39,E678/'Income statement'!U50)*('Shared costs'!Y21+'Assumptions'!$D$18*'Assumptions'!$D$19*12*(1+'Assumptions'!$D$13)^(18-1)*'Assumptions'!$D$21)</x:f>
        <x:v>3896.8512137270195</x:v>
      </x:c>
      <x:c r="H678" s="10" t="n">
        <x:f>IF('Income statement'!U50=0,1/39,E678/'Income statement'!U50)*'Cash and capital'!U18</x:f>
        <x:v>13.102582858394086</x:v>
      </x:c>
      <x:c r="I678" s="10" t="n">
        <x:f>E678-F678-G678-H678</x:f>
        <x:v>26040.83650263405</x:v>
      </x:c>
      <x:c r="J678" s="10" t="n">
        <x:f>M639</x:f>
        <x:v>0</x:v>
      </x:c>
      <x:c r="K678" s="10" t="n">
        <x:f>MAX(0,I678-J678)</x:f>
        <x:v>26040.83650263405</x:v>
      </x:c>
      <x:c r="L678" s="10" t="n">
        <x:f>K678*'Assumptions'!$D$12</x:f>
        <x:v>6510.209125658513</x:v>
      </x:c>
      <x:c r="M678" s="10" t="n">
        <x:f>MAX(0,J678-I678)</x:f>
        <x:v>0</x:v>
      </x:c>
    </x:row>
    <x:row r="679" ht="16" customHeight="1">
      <x:c r="A679" s="1"/>
      <x:c r="B679" s="1"/>
      <x:c r="C679" s="1" t="str">
        <x:v>Turbo Tax - Made Easy!</x:v>
      </x:c>
      <x:c r="D679" s="10" t="n">
        <x:v>18</x:v>
      </x:c>
      <x:c r="E679" s="10" t="n">
        <x:f>SUMIF('Revenue and costs'!$D$2184:$D$2311,C679,'Revenue and costs'!N2184:N2311)</x:f>
        <x:v>162812.3581323601</x:v>
      </x:c>
      <x:c r="F679" s="10" t="n">
        <x:f>SUMIF('Revenue and costs'!$D$2184:$D$2311,C679,'Revenue and costs'!O2184:O2311)+SUMIF('Revenue and costs'!$D$2184:$D$2311,C679,'Revenue and costs'!P2184:P2311)+SUMIF('Revenue and costs'!$D$2184:$D$2311,C679,'Revenue and costs'!Q2184:Q2311)+SUMIF('Revenue and costs'!$D$2184:$D$2311,C679,'Revenue and costs'!R2184:R2311)+SUMIF('Revenue and costs'!$D$2184:$D$2311,C679,'Revenue and costs'!S2184:S2311)+SUMIF('Revenue and costs'!$D$2184:$D$2311,C679,'Revenue and costs'!T2184:T2311)+SUMIF('Revenue and costs'!$D$2184:$D$2311,C679,'Revenue and costs'!U2184:U2311)+SUMIF('Revenue and costs'!$D$2184:$D$2311,C679,'Revenue and costs'!V2184:V2311)+SUMIF('Revenue and costs'!$D$2184:$D$2311,C679,'Revenue and costs'!AE2184:AE2311)</x:f>
        <x:v>52003.279904301584</x:v>
      </x:c>
      <x:c r="G679" s="10" t="n">
        <x:f>IF('Income statement'!U50=0,1/39,E679/'Income statement'!U50)*('Shared costs'!Y21+'Assumptions'!$D$18*'Assumptions'!$D$19*12*(1+'Assumptions'!$D$13)^(18-1)*'Assumptions'!$D$21)</x:f>
        <x:v>8541.330596399484</x:v>
      </x:c>
      <x:c r="H679" s="10" t="n">
        <x:f>IF('Income statement'!U50=0,1/39,E679/'Income statement'!U50)*'Cash and capital'!U18</x:f>
        <x:v>28.71895428443231</x:v>
      </x:c>
      <x:c r="I679" s="10" t="n">
        <x:f>E679-F679-G679-H679</x:f>
        <x:v>102239.0286773746</x:v>
      </x:c>
      <x:c r="J679" s="10" t="n">
        <x:f>M640</x:f>
        <x:v>0</x:v>
      </x:c>
      <x:c r="K679" s="10" t="n">
        <x:f>MAX(0,I679-J679)</x:f>
        <x:v>102239.0286773746</x:v>
      </x:c>
      <x:c r="L679" s="10" t="n">
        <x:f>K679*'Assumptions'!$D$12</x:f>
        <x:v>25559.75716934365</x:v>
      </x:c>
      <x:c r="M679" s="10" t="n">
        <x:f>MAX(0,J679-I679)</x:f>
        <x:v>0</x:v>
      </x:c>
    </x:row>
    <x:row r="680" ht="16" customHeight="1">
      <x:c r="A680" s="1"/>
      <x:c r="B680" s="1"/>
      <x:c r="C680" s="1" t="str">
        <x:v>LavaLearning adult</x:v>
      </x:c>
      <x:c r="D680" s="10" t="n">
        <x:v>18</x:v>
      </x:c>
      <x:c r="E680" s="10" t="n">
        <x:f>SUMIF('Revenue and costs'!$D$2184:$D$2311,C680,'Revenue and costs'!N2184:N2311)</x:f>
        <x:v>90397.02119485114</x:v>
      </x:c>
      <x:c r="F680" s="10" t="n">
        <x:f>SUMIF('Revenue and costs'!$D$2184:$D$2311,C680,'Revenue and costs'!O2184:O2311)+SUMIF('Revenue and costs'!$D$2184:$D$2311,C680,'Revenue and costs'!P2184:P2311)+SUMIF('Revenue and costs'!$D$2184:$D$2311,C680,'Revenue and costs'!Q2184:Q2311)+SUMIF('Revenue and costs'!$D$2184:$D$2311,C680,'Revenue and costs'!R2184:R2311)+SUMIF('Revenue and costs'!$D$2184:$D$2311,C680,'Revenue and costs'!S2184:S2311)+SUMIF('Revenue and costs'!$D$2184:$D$2311,C680,'Revenue and costs'!T2184:T2311)+SUMIF('Revenue and costs'!$D$2184:$D$2311,C680,'Revenue and costs'!U2184:U2311)+SUMIF('Revenue and costs'!$D$2184:$D$2311,C680,'Revenue and costs'!V2184:V2311)+SUMIF('Revenue and costs'!$D$2184:$D$2311,C680,'Revenue and costs'!AE2184:AE2311)</x:f>
        <x:v>39836.50600616537</x:v>
      </x:c>
      <x:c r="G680" s="10" t="n">
        <x:f>IF('Income statement'!U50=0,1/39,E680/'Income statement'!U50)*('Shared costs'!Y21+'Assumptions'!$D$18*'Assumptions'!$D$19*12*(1+'Assumptions'!$D$13)^(18-1)*'Assumptions'!$D$21)</x:f>
        <x:v>4742.335605306194</x:v>
      </x:c>
      <x:c r="H680" s="10" t="n">
        <x:f>IF('Income statement'!U50=0,1/39,E680/'Income statement'!U50)*'Cash and capital'!U18</x:f>
        <x:v>15.945398426286866</x:v>
      </x:c>
      <x:c r="I680" s="10" t="n">
        <x:f>E680-F680-G680-H680</x:f>
        <x:v>45802.23418495329</x:v>
      </x:c>
      <x:c r="J680" s="10" t="n">
        <x:f>M641</x:f>
        <x:v>0</x:v>
      </x:c>
      <x:c r="K680" s="10" t="n">
        <x:f>MAX(0,I680-J680)</x:f>
        <x:v>45802.23418495329</x:v>
      </x:c>
      <x:c r="L680" s="10" t="n">
        <x:f>K680*'Assumptions'!$D$12</x:f>
        <x:v>11450.558546238322</x:v>
      </x:c>
      <x:c r="M680" s="10" t="n">
        <x:f>MAX(0,J680-I680)</x:f>
        <x:v>0</x:v>
      </x:c>
    </x:row>
    <x:row r="681" ht="16" customHeight="1">
      <x:c r="A681" s="1"/>
      <x:c r="B681" s="1"/>
      <x:c r="C681" s="1" t="str">
        <x:v>LavaLearning Model Life</x:v>
      </x:c>
      <x:c r="D681" s="10" t="n">
        <x:v>18</x:v>
      </x:c>
      <x:c r="E681" s="10" t="n">
        <x:f>SUMIF('Revenue and costs'!$D$2184:$D$2311,C681,'Revenue and costs'!N2184:N2311)</x:f>
        <x:v>0</x:v>
      </x:c>
      <x:c r="F681" s="10" t="n">
        <x:f>SUMIF('Revenue and costs'!$D$2184:$D$2311,C681,'Revenue and costs'!O2184:O2311)+SUMIF('Revenue and costs'!$D$2184:$D$2311,C681,'Revenue and costs'!P2184:P2311)+SUMIF('Revenue and costs'!$D$2184:$D$2311,C681,'Revenue and costs'!Q2184:Q2311)+SUMIF('Revenue and costs'!$D$2184:$D$2311,C681,'Revenue and costs'!R2184:R2311)+SUMIF('Revenue and costs'!$D$2184:$D$2311,C681,'Revenue and costs'!S2184:S2311)+SUMIF('Revenue and costs'!$D$2184:$D$2311,C681,'Revenue and costs'!T2184:T2311)+SUMIF('Revenue and costs'!$D$2184:$D$2311,C681,'Revenue and costs'!U2184:U2311)+SUMIF('Revenue and costs'!$D$2184:$D$2311,C681,'Revenue and costs'!V2184:V2311)+SUMIF('Revenue and costs'!$D$2184:$D$2311,C681,'Revenue and costs'!AE2184:AE2311)</x:f>
        <x:v>0</x:v>
      </x:c>
      <x:c r="G681" s="10" t="n">
        <x:f>IF('Income statement'!U50=0,1/39,E681/'Income statement'!U50)*('Shared costs'!Y21+'Assumptions'!$D$18*'Assumptions'!$D$19*12*(1+'Assumptions'!$D$13)^(18-1)*'Assumptions'!$D$21)</x:f>
        <x:v>0</x:v>
      </x:c>
      <x:c r="H681" s="10" t="n">
        <x:f>IF('Income statement'!U50=0,1/39,E681/'Income statement'!U50)*'Cash and capital'!U18</x:f>
        <x:v>0</x:v>
      </x:c>
      <x:c r="I681" s="10" t="n">
        <x:f>E681-F681-G681-H681</x:f>
        <x:v>0</x:v>
      </x:c>
      <x:c r="J681" s="10" t="n">
        <x:f>M642</x:f>
        <x:v>0</x:v>
      </x:c>
      <x:c r="K681" s="10" t="n">
        <x:f>MAX(0,I681-J681)</x:f>
        <x:v>0</x:v>
      </x:c>
      <x:c r="L681" s="10" t="n">
        <x:f>K681*'Assumptions'!$D$12</x:f>
        <x:v>0</x:v>
      </x:c>
      <x:c r="M681" s="10" t="n">
        <x:f>MAX(0,J681-I681)</x:f>
        <x:v>0</x:v>
      </x:c>
    </x:row>
    <x:row r="682" ht="16" customHeight="1">
      <x:c r="A682" s="1"/>
      <x:c r="B682" s="1"/>
      <x:c r="C682" s="1" t="str">
        <x:v>LavaLearning Kids</x:v>
      </x:c>
      <x:c r="D682" s="10" t="n">
        <x:v>18</x:v>
      </x:c>
      <x:c r="E682" s="10" t="n">
        <x:f>SUMIF('Revenue and costs'!$D$2184:$D$2311,C682,'Revenue and costs'!N2184:N2311)</x:f>
        <x:v>39387.5233275496</x:v>
      </x:c>
      <x:c r="F682" s="10" t="n">
        <x:f>SUMIF('Revenue and costs'!$D$2184:$D$2311,C682,'Revenue and costs'!O2184:O2311)+SUMIF('Revenue and costs'!$D$2184:$D$2311,C682,'Revenue and costs'!P2184:P2311)+SUMIF('Revenue and costs'!$D$2184:$D$2311,C682,'Revenue and costs'!Q2184:Q2311)+SUMIF('Revenue and costs'!$D$2184:$D$2311,C682,'Revenue and costs'!R2184:R2311)+SUMIF('Revenue and costs'!$D$2184:$D$2311,C682,'Revenue and costs'!S2184:S2311)+SUMIF('Revenue and costs'!$D$2184:$D$2311,C682,'Revenue and costs'!T2184:T2311)+SUMIF('Revenue and costs'!$D$2184:$D$2311,C682,'Revenue and costs'!U2184:U2311)+SUMIF('Revenue and costs'!$D$2184:$D$2311,C682,'Revenue and costs'!V2184:V2311)+SUMIF('Revenue and costs'!$D$2184:$D$2311,C682,'Revenue and costs'!AE2184:AE2311)</x:f>
        <x:v>24813.66620089306</x:v>
      </x:c>
      <x:c r="G682" s="10" t="n">
        <x:f>IF('Income statement'!U50=0,1/39,E682/'Income statement'!U50)*('Shared costs'!Y21+'Assumptions'!$D$18*'Assumptions'!$D$19*12*(1+'Assumptions'!$D$13)^(18-1)*'Assumptions'!$D$21)</x:f>
        <x:v>2066.316476053372</x:v>
      </x:c>
      <x:c r="H682" s="10" t="n">
        <x:f>IF('Income statement'!U50=0,1/39,E682/'Income statement'!U50)*'Cash and capital'!U18</x:f>
        <x:v>6.947681949924908</x:v>
      </x:c>
      <x:c r="I682" s="10" t="n">
        <x:f>E682-F682-G682-H682</x:f>
        <x:v>12500.59296865324</x:v>
      </x:c>
      <x:c r="J682" s="10" t="n">
        <x:f>M643</x:f>
        <x:v>0</x:v>
      </x:c>
      <x:c r="K682" s="10" t="n">
        <x:f>MAX(0,I682-J682)</x:f>
        <x:v>12500.59296865324</x:v>
      </x:c>
      <x:c r="L682" s="10" t="n">
        <x:f>K682*'Assumptions'!$D$12</x:f>
        <x:v>3125.14824216331</x:v>
      </x:c>
      <x:c r="M682" s="10" t="n">
        <x:f>MAX(0,J682-I682)</x:f>
        <x:v>0</x:v>
      </x:c>
    </x:row>
    <x:row r="683" ht="16" customHeight="1">
      <x:c r="A683" s="1"/>
      <x:c r="B683" s="1"/>
      <x:c r="C683" s="1" t="str">
        <x:v>VraiSkill adult</x:v>
      </x:c>
      <x:c r="D683" s="10" t="n">
        <x:v>18</x:v>
      </x:c>
      <x:c r="E683" s="10" t="n">
        <x:f>SUMIF('Revenue and costs'!$D$2184:$D$2311,C683,'Revenue and costs'!N2184:N2311)</x:f>
        <x:v>74587.53101754429</x:v>
      </x:c>
      <x:c r="F683" s="10" t="n">
        <x:f>SUMIF('Revenue and costs'!$D$2184:$D$2311,C683,'Revenue and costs'!O2184:O2311)+SUMIF('Revenue and costs'!$D$2184:$D$2311,C683,'Revenue and costs'!P2184:P2311)+SUMIF('Revenue and costs'!$D$2184:$D$2311,C683,'Revenue and costs'!Q2184:Q2311)+SUMIF('Revenue and costs'!$D$2184:$D$2311,C683,'Revenue and costs'!R2184:R2311)+SUMIF('Revenue and costs'!$D$2184:$D$2311,C683,'Revenue and costs'!S2184:S2311)+SUMIF('Revenue and costs'!$D$2184:$D$2311,C683,'Revenue and costs'!T2184:T2311)+SUMIF('Revenue and costs'!$D$2184:$D$2311,C683,'Revenue and costs'!U2184:U2311)+SUMIF('Revenue and costs'!$D$2184:$D$2311,C683,'Revenue and costs'!V2184:V2311)+SUMIF('Revenue and costs'!$D$2184:$D$2311,C683,'Revenue and costs'!AE2184:AE2311)</x:f>
        <x:v>63076.10707024342</x:v>
      </x:c>
      <x:c r="G683" s="10" t="n">
        <x:f>IF('Income statement'!U50=0,1/39,E683/'Income statement'!U50)*('Shared costs'!Y21+'Assumptions'!$D$18*'Assumptions'!$D$19*12*(1+'Assumptions'!$D$13)^(18-1)*'Assumptions'!$D$21)</x:f>
        <x:v>3912.950884675032</x:v>
      </x:c>
      <x:c r="H683" s="10" t="n">
        <x:f>IF('Income statement'!U50=0,1/39,E683/'Income statement'!U50)*'Cash and capital'!U18</x:f>
        <x:v>13.156715608406746</x:v>
      </x:c>
      <x:c r="I683" s="10" t="n">
        <x:f>E683-F683-G683-H683</x:f>
        <x:v>7585.316347017425</x:v>
      </x:c>
      <x:c r="J683" s="10" t="n">
        <x:f>M644</x:f>
        <x:v>0</x:v>
      </x:c>
      <x:c r="K683" s="10" t="n">
        <x:f>MAX(0,I683-J683)</x:f>
        <x:v>7585.316347017425</x:v>
      </x:c>
      <x:c r="L683" s="10" t="n">
        <x:f>K683*'Assumptions'!$D$12</x:f>
        <x:v>1896.3290867543562</x:v>
      </x:c>
      <x:c r="M683" s="10" t="n">
        <x:f>MAX(0,J683-I683)</x:f>
        <x:v>0</x:v>
      </x:c>
    </x:row>
    <x:row r="684" ht="16" customHeight="1">
      <x:c r="A684" s="1"/>
      <x:c r="B684" s="1"/>
      <x:c r="C684" s="1" t="str">
        <x:v>VraiSkill teen</x:v>
      </x:c>
      <x:c r="D684" s="10" t="n">
        <x:v>18</x:v>
      </x:c>
      <x:c r="E684" s="10" t="n">
        <x:f>SUMIF('Revenue and costs'!$D$2184:$D$2311,C684,'Revenue and costs'!N2184:N2311)</x:f>
        <x:v>33168.440696883874</x:v>
      </x:c>
      <x:c r="F684" s="10" t="n">
        <x:f>SUMIF('Revenue and costs'!$D$2184:$D$2311,C684,'Revenue and costs'!O2184:O2311)+SUMIF('Revenue and costs'!$D$2184:$D$2311,C684,'Revenue and costs'!P2184:P2311)+SUMIF('Revenue and costs'!$D$2184:$D$2311,C684,'Revenue and costs'!Q2184:Q2311)+SUMIF('Revenue and costs'!$D$2184:$D$2311,C684,'Revenue and costs'!R2184:R2311)+SUMIF('Revenue and costs'!$D$2184:$D$2311,C684,'Revenue and costs'!S2184:S2311)+SUMIF('Revenue and costs'!$D$2184:$D$2311,C684,'Revenue and costs'!T2184:T2311)+SUMIF('Revenue and costs'!$D$2184:$D$2311,C684,'Revenue and costs'!U2184:U2311)+SUMIF('Revenue and costs'!$D$2184:$D$2311,C684,'Revenue and costs'!V2184:V2311)+SUMIF('Revenue and costs'!$D$2184:$D$2311,C684,'Revenue and costs'!AE2184:AE2311)</x:f>
        <x:v>17226.76690885935</x:v>
      </x:c>
      <x:c r="G684" s="10" t="n">
        <x:f>IF('Income statement'!U50=0,1/39,E684/'Income statement'!U50)*('Shared costs'!Y21+'Assumptions'!$D$18*'Assumptions'!$D$19*12*(1+'Assumptions'!$D$13)^(18-1)*'Assumptions'!$D$21)</x:f>
        <x:v>1740.0559798344184</x:v>
      </x:c>
      <x:c r="H684" s="10" t="n">
        <x:f>IF('Income statement'!U50=0,1/39,E684/'Income statement'!U50)*'Cash and capital'!U18</x:f>
        <x:v>5.85067953677887</x:v>
      </x:c>
      <x:c r="I684" s="10" t="n">
        <x:f>E684-F684-G684-H684</x:f>
        <x:v>14195.767128653326</x:v>
      </x:c>
      <x:c r="J684" s="10" t="n">
        <x:f>M645</x:f>
        <x:v>0</x:v>
      </x:c>
      <x:c r="K684" s="10" t="n">
        <x:f>MAX(0,I684-J684)</x:f>
        <x:v>14195.767128653326</x:v>
      </x:c>
      <x:c r="L684" s="10" t="n">
        <x:f>K684*'Assumptions'!$D$12</x:f>
        <x:v>3548.9417821633315</x:v>
      </x:c>
      <x:c r="M684" s="10" t="n">
        <x:f>MAX(0,J684-I684)</x:f>
        <x:v>0</x:v>
      </x:c>
    </x:row>
    <x:row r="685" ht="16" customHeight="1">
      <x:c r="A685" s="1"/>
      <x:c r="B685" s="1"/>
      <x:c r="C685" s="1" t="str">
        <x:v>VraiSkill Model Life</x:v>
      </x:c>
      <x:c r="D685" s="10" t="n">
        <x:v>18</x:v>
      </x:c>
      <x:c r="E685" s="10" t="n">
        <x:f>SUMIF('Revenue and costs'!$D$2184:$D$2311,C685,'Revenue and costs'!N2184:N2311)</x:f>
        <x:v>0</x:v>
      </x:c>
      <x:c r="F685" s="10" t="n">
        <x:f>SUMIF('Revenue and costs'!$D$2184:$D$2311,C685,'Revenue and costs'!O2184:O2311)+SUMIF('Revenue and costs'!$D$2184:$D$2311,C685,'Revenue and costs'!P2184:P2311)+SUMIF('Revenue and costs'!$D$2184:$D$2311,C685,'Revenue and costs'!Q2184:Q2311)+SUMIF('Revenue and costs'!$D$2184:$D$2311,C685,'Revenue and costs'!R2184:R2311)+SUMIF('Revenue and costs'!$D$2184:$D$2311,C685,'Revenue and costs'!S2184:S2311)+SUMIF('Revenue and costs'!$D$2184:$D$2311,C685,'Revenue and costs'!T2184:T2311)+SUMIF('Revenue and costs'!$D$2184:$D$2311,C685,'Revenue and costs'!U2184:U2311)+SUMIF('Revenue and costs'!$D$2184:$D$2311,C685,'Revenue and costs'!V2184:V2311)+SUMIF('Revenue and costs'!$D$2184:$D$2311,C685,'Revenue and costs'!AE2184:AE2311)</x:f>
        <x:v>0</x:v>
      </x:c>
      <x:c r="G685" s="10" t="n">
        <x:f>IF('Income statement'!U50=0,1/39,E685/'Income statement'!U50)*('Shared costs'!Y21+'Assumptions'!$D$18*'Assumptions'!$D$19*12*(1+'Assumptions'!$D$13)^(18-1)*'Assumptions'!$D$21)</x:f>
        <x:v>0</x:v>
      </x:c>
      <x:c r="H685" s="10" t="n">
        <x:f>IF('Income statement'!U50=0,1/39,E685/'Income statement'!U50)*'Cash and capital'!U18</x:f>
        <x:v>0</x:v>
      </x:c>
      <x:c r="I685" s="10" t="n">
        <x:f>E685-F685-G685-H685</x:f>
        <x:v>0</x:v>
      </x:c>
      <x:c r="J685" s="10" t="n">
        <x:f>M646</x:f>
        <x:v>0</x:v>
      </x:c>
      <x:c r="K685" s="10" t="n">
        <x:f>MAX(0,I685-J685)</x:f>
        <x:v>0</x:v>
      </x:c>
      <x:c r="L685" s="10" t="n">
        <x:f>K685*'Assumptions'!$D$12</x:f>
        <x:v>0</x:v>
      </x:c>
      <x:c r="M685" s="10" t="n">
        <x:f>MAX(0,J685-I685)</x:f>
        <x:v>0</x:v>
      </x:c>
    </x:row>
    <x:row r="686" ht="16" customHeight="1">
      <x:c r="A686" s="1"/>
      <x:c r="B686" s="1"/>
      <x:c r="C686" s="1" t="str">
        <x:v>Model Life</x:v>
      </x:c>
      <x:c r="D686" s="10" t="n">
        <x:v>18</x:v>
      </x:c>
      <x:c r="E686" s="10" t="n">
        <x:f>SUMIF('Revenue and costs'!$D$2184:$D$2311,C686,'Revenue and costs'!N2184:N2311)</x:f>
        <x:v>126193.67292481907</x:v>
      </x:c>
      <x:c r="F686" s="10" t="n">
        <x:f>SUMIF('Revenue and costs'!$D$2184:$D$2311,C686,'Revenue and costs'!O2184:O2311)+SUMIF('Revenue and costs'!$D$2184:$D$2311,C686,'Revenue and costs'!P2184:P2311)+SUMIF('Revenue and costs'!$D$2184:$D$2311,C686,'Revenue and costs'!Q2184:Q2311)+SUMIF('Revenue and costs'!$D$2184:$D$2311,C686,'Revenue and costs'!R2184:R2311)+SUMIF('Revenue and costs'!$D$2184:$D$2311,C686,'Revenue and costs'!S2184:S2311)+SUMIF('Revenue and costs'!$D$2184:$D$2311,C686,'Revenue and costs'!T2184:T2311)+SUMIF('Revenue and costs'!$D$2184:$D$2311,C686,'Revenue and costs'!U2184:U2311)+SUMIF('Revenue and costs'!$D$2184:$D$2311,C686,'Revenue and costs'!V2184:V2311)+SUMIF('Revenue and costs'!$D$2184:$D$2311,C686,'Revenue and costs'!AE2184:AE2311)</x:f>
        <x:v>42912.2376043994</x:v>
      </x:c>
      <x:c r="G686" s="10" t="n">
        <x:f>IF('Income statement'!U50=0,1/39,E686/'Income statement'!U50)*('Shared costs'!Y21+'Assumptions'!$D$18*'Assumptions'!$D$19*12*(1+'Assumptions'!$D$13)^(18-1)*'Assumptions'!$D$21)</x:f>
        <x:v>6620.270672257733</x:v>
      </x:c>
      <x:c r="H686" s="10" t="n">
        <x:f>IF('Income statement'!U50=0,1/39,E686/'Income statement'!U50)*'Cash and capital'!U18</x:f>
        <x:v>22.25967589491081</x:v>
      </x:c>
      <x:c r="I686" s="10" t="n">
        <x:f>E686-F686-G686-H686</x:f>
        <x:v>76638.90497226703</x:v>
      </x:c>
      <x:c r="J686" s="10" t="n">
        <x:f>M647</x:f>
        <x:v>0</x:v>
      </x:c>
      <x:c r="K686" s="10" t="n">
        <x:f>MAX(0,I686-J686)</x:f>
        <x:v>76638.90497226703</x:v>
      </x:c>
      <x:c r="L686" s="10" t="n">
        <x:f>K686*'Assumptions'!$D$12</x:f>
        <x:v>19159.726243066758</x:v>
      </x:c>
      <x:c r="M686" s="10" t="n">
        <x:f>MAX(0,J686-I686)</x:f>
        <x:v>0</x:v>
      </x:c>
    </x:row>
    <x:row r="687" ht="16" customHeight="1">
      <x:c r="A687" s="1"/>
      <x:c r="B687" s="1"/>
      <x:c r="C687" s="1" t="str">
        <x:v>S’otality cleaning</x:v>
      </x:c>
      <x:c r="D687" s="10" t="n">
        <x:v>18</x:v>
      </x:c>
      <x:c r="E687" s="10" t="n">
        <x:f>SUMIF('Revenue and costs'!$D$2184:$D$2311,C687,'Revenue and costs'!N2184:N2311)</x:f>
        <x:v>389906.13965822227</x:v>
      </x:c>
      <x:c r="F687" s="10" t="n">
        <x:f>SUMIF('Revenue and costs'!$D$2184:$D$2311,C687,'Revenue and costs'!O2184:O2311)+SUMIF('Revenue and costs'!$D$2184:$D$2311,C687,'Revenue and costs'!P2184:P2311)+SUMIF('Revenue and costs'!$D$2184:$D$2311,C687,'Revenue and costs'!Q2184:Q2311)+SUMIF('Revenue and costs'!$D$2184:$D$2311,C687,'Revenue and costs'!R2184:R2311)+SUMIF('Revenue and costs'!$D$2184:$D$2311,C687,'Revenue and costs'!S2184:S2311)+SUMIF('Revenue and costs'!$D$2184:$D$2311,C687,'Revenue and costs'!T2184:T2311)+SUMIF('Revenue and costs'!$D$2184:$D$2311,C687,'Revenue and costs'!U2184:U2311)+SUMIF('Revenue and costs'!$D$2184:$D$2311,C687,'Revenue and costs'!V2184:V2311)+SUMIF('Revenue and costs'!$D$2184:$D$2311,C687,'Revenue and costs'!AE2184:AE2311)</x:f>
        <x:v>339098.87371026695</x:v>
      </x:c>
      <x:c r="G687" s="10" t="n">
        <x:f>IF('Income statement'!U50=0,1/39,E687/'Income statement'!U50)*('Shared costs'!Y21+'Assumptions'!$D$18*'Assumptions'!$D$19*12*(1+'Assumptions'!$D$13)^(18-1)*'Assumptions'!$D$21)</x:f>
        <x:v>20454.94137293538</x:v>
      </x:c>
      <x:c r="H687" s="10" t="n">
        <x:f>IF('Income statement'!U50=0,1/39,E687/'Income statement'!U50)*'Cash and capital'!U18</x:f>
        <x:v>68.77669931517529</x:v>
      </x:c>
      <x:c r="I687" s="10" t="n">
        <x:f>E687-F687-G687-H687</x:f>
        <x:v>30283.547875704757</x:v>
      </x:c>
      <x:c r="J687" s="10" t="n">
        <x:f>M648</x:f>
        <x:v>0</x:v>
      </x:c>
      <x:c r="K687" s="10" t="n">
        <x:f>MAX(0,I687-J687)</x:f>
        <x:v>30283.547875704757</x:v>
      </x:c>
      <x:c r="L687" s="10" t="n">
        <x:f>K687*'Assumptions'!$D$12</x:f>
        <x:v>7570.886968926189</x:v>
      </x:c>
      <x:c r="M687" s="10" t="n">
        <x:f>MAX(0,J687-I687)</x:f>
        <x:v>0</x:v>
      </x:c>
    </x:row>
    <x:row r="688" ht="16" customHeight="1">
      <x:c r="A688" s="1"/>
      <x:c r="B688" s="1"/>
      <x:c r="C688" s="1" t="str">
        <x:v>S’otality laundry</x:v>
      </x:c>
      <x:c r="D688" s="10" t="n">
        <x:v>18</x:v>
      </x:c>
      <x:c r="E688" s="10" t="n">
        <x:f>SUMIF('Revenue and costs'!$D$2184:$D$2311,C688,'Revenue and costs'!N2184:N2311)</x:f>
        <x:v>60433.2133798622</x:v>
      </x:c>
      <x:c r="F688" s="10" t="n">
        <x:f>SUMIF('Revenue and costs'!$D$2184:$D$2311,C688,'Revenue and costs'!O2184:O2311)+SUMIF('Revenue and costs'!$D$2184:$D$2311,C688,'Revenue and costs'!P2184:P2311)+SUMIF('Revenue and costs'!$D$2184:$D$2311,C688,'Revenue and costs'!Q2184:Q2311)+SUMIF('Revenue and costs'!$D$2184:$D$2311,C688,'Revenue and costs'!R2184:R2311)+SUMIF('Revenue and costs'!$D$2184:$D$2311,C688,'Revenue and costs'!S2184:S2311)+SUMIF('Revenue and costs'!$D$2184:$D$2311,C688,'Revenue and costs'!T2184:T2311)+SUMIF('Revenue and costs'!$D$2184:$D$2311,C688,'Revenue and costs'!U2184:U2311)+SUMIF('Revenue and costs'!$D$2184:$D$2311,C688,'Revenue and costs'!V2184:V2311)+SUMIF('Revenue and costs'!$D$2184:$D$2311,C688,'Revenue and costs'!AE2184:AE2311)</x:f>
        <x:v>56587.15523480118</x:v>
      </x:c>
      <x:c r="G688" s="10" t="n">
        <x:f>IF('Income statement'!U50=0,1/39,E688/'Income statement'!U50)*('Shared costs'!Y21+'Assumptions'!$D$18*'Assumptions'!$D$19*12*(1+'Assumptions'!$D$13)^(18-1)*'Assumptions'!$D$21)</x:f>
        <x:v>3170.398490638662</x:v>
      </x:c>
      <x:c r="H688" s="10" t="n">
        <x:f>IF('Income statement'!U50=0,1/39,E688/'Income statement'!U50)*'Cash and capital'!U18</x:f>
        <x:v>10.659993579275154</x:v>
      </x:c>
      <x:c r="I688" s="10" t="n">
        <x:f>E688-F688-G688-H688</x:f>
        <x:v>664.9996608430815</x:v>
      </x:c>
      <x:c r="J688" s="10" t="n">
        <x:f>M649</x:f>
        <x:v>0</x:v>
      </x:c>
      <x:c r="K688" s="10" t="n">
        <x:f>MAX(0,I688-J688)</x:f>
        <x:v>664.9996608430815</x:v>
      </x:c>
      <x:c r="L688" s="10" t="n">
        <x:f>K688*'Assumptions'!$D$12</x:f>
        <x:v>166.24991521077038</x:v>
      </x:c>
      <x:c r="M688" s="10" t="n">
        <x:f>MAX(0,J688-I688)</x:f>
        <x:v>0</x:v>
      </x:c>
    </x:row>
    <x:row r="689" ht="16" customHeight="1">
      <x:c r="A689" s="1"/>
      <x:c r="B689" s="1"/>
      <x:c r="C689" s="1" t="str">
        <x:v>S’otality Personal Chef</x:v>
      </x:c>
      <x:c r="D689" s="10" t="n">
        <x:v>18</x:v>
      </x:c>
      <x:c r="E689" s="10" t="n">
        <x:f>SUMIF('Revenue and costs'!$D$2184:$D$2311,C689,'Revenue and costs'!N2184:N2311)</x:f>
        <x:v>109113.28259726762</x:v>
      </x:c>
      <x:c r="F689" s="10" t="n">
        <x:f>SUMIF('Revenue and costs'!$D$2184:$D$2311,C689,'Revenue and costs'!O2184:O2311)+SUMIF('Revenue and costs'!$D$2184:$D$2311,C689,'Revenue and costs'!P2184:P2311)+SUMIF('Revenue and costs'!$D$2184:$D$2311,C689,'Revenue and costs'!Q2184:Q2311)+SUMIF('Revenue and costs'!$D$2184:$D$2311,C689,'Revenue and costs'!R2184:R2311)+SUMIF('Revenue and costs'!$D$2184:$D$2311,C689,'Revenue and costs'!S2184:S2311)+SUMIF('Revenue and costs'!$D$2184:$D$2311,C689,'Revenue and costs'!T2184:T2311)+SUMIF('Revenue and costs'!$D$2184:$D$2311,C689,'Revenue and costs'!U2184:U2311)+SUMIF('Revenue and costs'!$D$2184:$D$2311,C689,'Revenue and costs'!V2184:V2311)+SUMIF('Revenue and costs'!$D$2184:$D$2311,C689,'Revenue and costs'!AE2184:AE2311)</x:f>
        <x:v>89646.79601621289</x:v>
      </x:c>
      <x:c r="G689" s="10" t="n">
        <x:f>IF('Income statement'!U50=0,1/39,E689/'Income statement'!U50)*('Shared costs'!Y21+'Assumptions'!$D$18*'Assumptions'!$D$19*12*(1+'Assumptions'!$D$13)^(18-1)*'Assumptions'!$D$21)</x:f>
        <x:v>5724.213013142209</x:v>
      </x:c>
      <x:c r="H689" s="10" t="n">
        <x:f>IF('Income statement'!U50=0,1/39,E689/'Income statement'!U50)*'Cash and capital'!U18</x:f>
        <x:v>19.246815233692285</x:v>
      </x:c>
      <x:c r="I689" s="10" t="n">
        <x:f>E689-F689-G689-H689</x:f>
        <x:v>13723.026752678834</x:v>
      </x:c>
      <x:c r="J689" s="10" t="n">
        <x:f>M650</x:f>
        <x:v>0</x:v>
      </x:c>
      <x:c r="K689" s="10" t="n">
        <x:f>MAX(0,I689-J689)</x:f>
        <x:v>13723.026752678834</x:v>
      </x:c>
      <x:c r="L689" s="10" t="n">
        <x:f>K689*'Assumptions'!$D$12</x:f>
        <x:v>3430.7566881697085</x:v>
      </x:c>
      <x:c r="M689" s="10" t="n">
        <x:f>MAX(0,J689-I689)</x:f>
        <x:v>0</x:v>
      </x:c>
    </x:row>
    <x:row r="690" ht="16" customHeight="1">
      <x:c r="A690" s="1"/>
      <x:c r="B690" s="1"/>
      <x:c r="C690" s="1" t="str">
        <x:v>S’otality interiors</x:v>
      </x:c>
      <x:c r="D690" s="10" t="n">
        <x:v>18</x:v>
      </x:c>
      <x:c r="E690" s="10" t="n">
        <x:f>SUMIF('Revenue and costs'!$D$2184:$D$2311,C690,'Revenue and costs'!N2184:N2311)</x:f>
        <x:v>140898.74328141983</x:v>
      </x:c>
      <x:c r="F690" s="10" t="n">
        <x:f>SUMIF('Revenue and costs'!$D$2184:$D$2311,C690,'Revenue and costs'!O2184:O2311)+SUMIF('Revenue and costs'!$D$2184:$D$2311,C690,'Revenue and costs'!P2184:P2311)+SUMIF('Revenue and costs'!$D$2184:$D$2311,C690,'Revenue and costs'!Q2184:Q2311)+SUMIF('Revenue and costs'!$D$2184:$D$2311,C690,'Revenue and costs'!R2184:R2311)+SUMIF('Revenue and costs'!$D$2184:$D$2311,C690,'Revenue and costs'!S2184:S2311)+SUMIF('Revenue and costs'!$D$2184:$D$2311,C690,'Revenue and costs'!T2184:T2311)+SUMIF('Revenue and costs'!$D$2184:$D$2311,C690,'Revenue and costs'!U2184:U2311)+SUMIF('Revenue and costs'!$D$2184:$D$2311,C690,'Revenue and costs'!V2184:V2311)+SUMIF('Revenue and costs'!$D$2184:$D$2311,C690,'Revenue and costs'!AE2184:AE2311)</x:f>
        <x:v>90752.68593518736</x:v>
      </x:c>
      <x:c r="G690" s="10" t="n">
        <x:f>IF('Income statement'!U50=0,1/39,E690/'Income statement'!U50)*('Shared costs'!Y21+'Assumptions'!$D$18*'Assumptions'!$D$19*12*(1+'Assumptions'!$D$13)^(18-1)*'Assumptions'!$D$21)</x:f>
        <x:v>7391.716211157996</x:v>
      </x:c>
      <x:c r="H690" s="10" t="n">
        <x:f>IF('Income statement'!U50=0,1/39,E690/'Income statement'!U50)*'Cash and capital'!U18</x:f>
        <x:v>24.853546828081946</x:v>
      </x:c>
      <x:c r="I690" s="10" t="n">
        <x:f>E690-F690-G690-H690</x:f>
        <x:v>42729.48758824639</x:v>
      </x:c>
      <x:c r="J690" s="10" t="n">
        <x:f>M651</x:f>
        <x:v>0</x:v>
      </x:c>
      <x:c r="K690" s="10" t="n">
        <x:f>MAX(0,I690-J690)</x:f>
        <x:v>42729.48758824639</x:v>
      </x:c>
      <x:c r="L690" s="10" t="n">
        <x:f>K690*'Assumptions'!$D$12</x:f>
        <x:v>10682.371897061597</x:v>
      </x:c>
      <x:c r="M690" s="10" t="n">
        <x:f>MAX(0,J690-I690)</x:f>
        <x:v>0</x:v>
      </x:c>
    </x:row>
    <x:row r="691" ht="16" customHeight="1">
      <x:c r="A691" s="1"/>
      <x:c r="B691" s="1"/>
      <x:c r="C691" s="1" t="str">
        <x:v>S’otality concierge</x:v>
      </x:c>
      <x:c r="D691" s="10" t="n">
        <x:v>18</x:v>
      </x:c>
      <x:c r="E691" s="10" t="n">
        <x:f>SUMIF('Revenue and costs'!$D$2184:$D$2311,C691,'Revenue and costs'!N2184:N2311)</x:f>
        <x:v>51077.645748812414</x:v>
      </x:c>
      <x:c r="F691" s="10" t="n">
        <x:f>SUMIF('Revenue and costs'!$D$2184:$D$2311,C691,'Revenue and costs'!O2184:O2311)+SUMIF('Revenue and costs'!$D$2184:$D$2311,C691,'Revenue and costs'!P2184:P2311)+SUMIF('Revenue and costs'!$D$2184:$D$2311,C691,'Revenue and costs'!Q2184:Q2311)+SUMIF('Revenue and costs'!$D$2184:$D$2311,C691,'Revenue and costs'!R2184:R2311)+SUMIF('Revenue and costs'!$D$2184:$D$2311,C691,'Revenue and costs'!S2184:S2311)+SUMIF('Revenue and costs'!$D$2184:$D$2311,C691,'Revenue and costs'!T2184:T2311)+SUMIF('Revenue and costs'!$D$2184:$D$2311,C691,'Revenue and costs'!U2184:U2311)+SUMIF('Revenue and costs'!$D$2184:$D$2311,C691,'Revenue and costs'!V2184:V2311)+SUMIF('Revenue and costs'!$D$2184:$D$2311,C691,'Revenue and costs'!AE2184:AE2311)</x:f>
        <x:v>31691.17824878632</x:v>
      </x:c>
      <x:c r="G691" s="10" t="n">
        <x:f>IF('Income statement'!U50=0,1/39,E691/'Income statement'!U50)*('Shared costs'!Y21+'Assumptions'!$D$18*'Assumptions'!$D$19*12*(1+'Assumptions'!$D$13)^(18-1)*'Assumptions'!$D$21)</x:f>
        <x:v>2679.594248439754</x:v>
      </x:c>
      <x:c r="H691" s="10" t="n">
        <x:f>IF('Income statement'!U50=0,1/39,E691/'Income statement'!U50)*'Cash and capital'!U18</x:f>
        <x:v>9.009737283112393</x:v>
      </x:c>
      <x:c r="I691" s="10" t="n">
        <x:f>E691-F691-G691-H691</x:f>
        <x:v>16697.86351430323</x:v>
      </x:c>
      <x:c r="J691" s="10" t="n">
        <x:f>M652</x:f>
        <x:v>0</x:v>
      </x:c>
      <x:c r="K691" s="10" t="n">
        <x:f>MAX(0,I691-J691)</x:f>
        <x:v>16697.86351430323</x:v>
      </x:c>
      <x:c r="L691" s="10" t="n">
        <x:f>K691*'Assumptions'!$D$12</x:f>
        <x:v>4174.465878575807</x:v>
      </x:c>
      <x:c r="M691" s="10" t="n">
        <x:f>MAX(0,J691-I691)</x:f>
        <x:v>0</x:v>
      </x:c>
    </x:row>
    <x:row r="692" ht="16" customHeight="1">
      <x:c r="A692" s="1"/>
      <x:c r="B692" s="1"/>
      <x:c r="C692" s="1" t="str">
        <x:v>S’otality administration</x:v>
      </x:c>
      <x:c r="D692" s="10" t="n">
        <x:v>18</x:v>
      </x:c>
      <x:c r="E692" s="10" t="n">
        <x:f>SUMIF('Revenue and costs'!$D$2184:$D$2311,C692,'Revenue and costs'!N2184:N2311)</x:f>
        <x:v>81724.23319809986</x:v>
      </x:c>
      <x:c r="F692" s="10" t="n">
        <x:f>SUMIF('Revenue and costs'!$D$2184:$D$2311,C692,'Revenue and costs'!O2184:O2311)+SUMIF('Revenue and costs'!$D$2184:$D$2311,C692,'Revenue and costs'!P2184:P2311)+SUMIF('Revenue and costs'!$D$2184:$D$2311,C692,'Revenue and costs'!Q2184:Q2311)+SUMIF('Revenue and costs'!$D$2184:$D$2311,C692,'Revenue and costs'!R2184:R2311)+SUMIF('Revenue and costs'!$D$2184:$D$2311,C692,'Revenue and costs'!S2184:S2311)+SUMIF('Revenue and costs'!$D$2184:$D$2311,C692,'Revenue and costs'!T2184:T2311)+SUMIF('Revenue and costs'!$D$2184:$D$2311,C692,'Revenue and costs'!U2184:U2311)+SUMIF('Revenue and costs'!$D$2184:$D$2311,C692,'Revenue and costs'!V2184:V2311)+SUMIF('Revenue and costs'!$D$2184:$D$2311,C692,'Revenue and costs'!AE2184:AE2311)</x:f>
        <x:v>68169.97428975537</x:v>
      </x:c>
      <x:c r="G692" s="10" t="n">
        <x:f>IF('Income statement'!U50=0,1/39,E692/'Income statement'!U50)*('Shared costs'!Y21+'Assumptions'!$D$18*'Assumptions'!$D$19*12*(1+'Assumptions'!$D$13)^(18-1)*'Assumptions'!$D$21)</x:f>
        <x:v>4287.350797503607</x:v>
      </x:c>
      <x:c r="H692" s="10" t="n">
        <x:f>IF('Income statement'!U50=0,1/39,E692/'Income statement'!U50)*'Cash and capital'!U18</x:f>
        <x:v>14.41557965297983</x:v>
      </x:c>
      <x:c r="I692" s="10" t="n">
        <x:f>E692-F692-G692-H692</x:f>
        <x:v>9252.492531187903</x:v>
      </x:c>
      <x:c r="J692" s="10" t="n">
        <x:f>M653</x:f>
        <x:v>0</x:v>
      </x:c>
      <x:c r="K692" s="10" t="n">
        <x:f>MAX(0,I692-J692)</x:f>
        <x:v>9252.492531187903</x:v>
      </x:c>
      <x:c r="L692" s="10" t="n">
        <x:f>K692*'Assumptions'!$D$12</x:f>
        <x:v>2313.123132796976</x:v>
      </x:c>
      <x:c r="M692" s="10" t="n">
        <x:f>MAX(0,J692-I692)</x:f>
        <x:v>0</x:v>
      </x:c>
    </x:row>
    <x:row r="693" ht="16" customHeight="1">
      <x:c r="A693" s="1"/>
      <x:c r="B693" s="1"/>
      <x:c r="C693" s="1" t="str">
        <x:v>S’otality bike tours</x:v>
      </x:c>
      <x:c r="D693" s="10" t="n">
        <x:v>18</x:v>
      </x:c>
      <x:c r="E693" s="10" t="n">
        <x:f>SUMIF('Revenue and costs'!$D$2184:$D$2311,C693,'Revenue and costs'!N2184:N2311)</x:f>
        <x:v>43645.31303890705</x:v>
      </x:c>
      <x:c r="F693" s="10" t="n">
        <x:f>SUMIF('Revenue and costs'!$D$2184:$D$2311,C693,'Revenue and costs'!O2184:O2311)+SUMIF('Revenue and costs'!$D$2184:$D$2311,C693,'Revenue and costs'!P2184:P2311)+SUMIF('Revenue and costs'!$D$2184:$D$2311,C693,'Revenue and costs'!Q2184:Q2311)+SUMIF('Revenue and costs'!$D$2184:$D$2311,C693,'Revenue and costs'!R2184:R2311)+SUMIF('Revenue and costs'!$D$2184:$D$2311,C693,'Revenue and costs'!S2184:S2311)+SUMIF('Revenue and costs'!$D$2184:$D$2311,C693,'Revenue and costs'!T2184:T2311)+SUMIF('Revenue and costs'!$D$2184:$D$2311,C693,'Revenue and costs'!U2184:U2311)+SUMIF('Revenue and costs'!$D$2184:$D$2311,C693,'Revenue and costs'!V2184:V2311)+SUMIF('Revenue and costs'!$D$2184:$D$2311,C693,'Revenue and costs'!AE2184:AE2311)</x:f>
        <x:v>36724.90365484884</x:v>
      </x:c>
      <x:c r="G693" s="10" t="n">
        <x:f>IF('Income statement'!U50=0,1/39,E693/'Income statement'!U50)*('Shared costs'!Y21+'Assumptions'!$D$18*'Assumptions'!$D$19*12*(1+'Assumptions'!$D$13)^(18-1)*'Assumptions'!$D$21)</x:f>
        <x:v>2289.685205256884</x:v>
      </x:c>
      <x:c r="H693" s="10" t="n">
        <x:f>IF('Income statement'!U50=0,1/39,E693/'Income statement'!U50)*'Cash and capital'!U18</x:f>
        <x:v>7.698726093476914</x:v>
      </x:c>
      <x:c r="I693" s="10" t="n">
        <x:f>E693-F693-G693-H693</x:f>
        <x:v>4623.025452707853</x:v>
      </x:c>
      <x:c r="J693" s="10" t="n">
        <x:f>M654</x:f>
        <x:v>0</x:v>
      </x:c>
      <x:c r="K693" s="10" t="n">
        <x:f>MAX(0,I693-J693)</x:f>
        <x:v>4623.025452707853</x:v>
      </x:c>
      <x:c r="L693" s="10" t="n">
        <x:f>K693*'Assumptions'!$D$12</x:f>
        <x:v>1155.7563631769633</x:v>
      </x:c>
      <x:c r="M693" s="10" t="n">
        <x:f>MAX(0,J693-I693)</x:f>
        <x:v>0</x:v>
      </x:c>
    </x:row>
    <x:row r="694" ht="16" customHeight="1">
      <x:c r="A694" s="1"/>
      <x:c r="B694" s="1"/>
      <x:c r="C694" s="1" t="str">
        <x:v>S’otality editorial</x:v>
      </x:c>
      <x:c r="D694" s="10" t="n">
        <x:v>18</x:v>
      </x:c>
      <x:c r="E694" s="10" t="n">
        <x:f>SUMIF('Revenue and costs'!$D$2184:$D$2311,C694,'Revenue and costs'!N2184:N2311)</x:f>
        <x:v>20126.534957585485</x:v>
      </x:c>
      <x:c r="F694" s="10" t="n">
        <x:f>SUMIF('Revenue and costs'!$D$2184:$D$2311,C694,'Revenue and costs'!O2184:O2311)+SUMIF('Revenue and costs'!$D$2184:$D$2311,C694,'Revenue and costs'!P2184:P2311)+SUMIF('Revenue and costs'!$D$2184:$D$2311,C694,'Revenue and costs'!Q2184:Q2311)+SUMIF('Revenue and costs'!$D$2184:$D$2311,C694,'Revenue and costs'!R2184:R2311)+SUMIF('Revenue and costs'!$D$2184:$D$2311,C694,'Revenue and costs'!S2184:S2311)+SUMIF('Revenue and costs'!$D$2184:$D$2311,C694,'Revenue and costs'!T2184:T2311)+SUMIF('Revenue and costs'!$D$2184:$D$2311,C694,'Revenue and costs'!U2184:U2311)+SUMIF('Revenue and costs'!$D$2184:$D$2311,C694,'Revenue and costs'!V2184:V2311)+SUMIF('Revenue and costs'!$D$2184:$D$2311,C694,'Revenue and costs'!AE2184:AE2311)</x:f>
        <x:v>12298.781454489783</x:v>
      </x:c>
      <x:c r="G694" s="10" t="n">
        <x:f>IF('Income statement'!U50=0,1/39,E694/'Income statement'!U50)*('Shared costs'!Y21+'Assumptions'!$D$18*'Assumptions'!$D$19*12*(1+'Assumptions'!$D$13)^(18-1)*'Assumptions'!$D$21)</x:f>
        <x:v>1055.8620414610955</x:v>
      </x:c>
      <x:c r="H694" s="10" t="n">
        <x:f>IF('Income statement'!U50=0,1/39,E694/'Income statement'!U50)*'Cash and capital'!U18</x:f>
        <x:v>3.550179138619344</x:v>
      </x:c>
      <x:c r="I694" s="10" t="n">
        <x:f>E694-F694-G694-H694</x:f>
        <x:v>6768.341282495987</x:v>
      </x:c>
      <x:c r="J694" s="10" t="n">
        <x:f>M655</x:f>
        <x:v>0</x:v>
      </x:c>
      <x:c r="K694" s="10" t="n">
        <x:f>MAX(0,I694-J694)</x:f>
        <x:v>6768.341282495987</x:v>
      </x:c>
      <x:c r="L694" s="10" t="n">
        <x:f>K694*'Assumptions'!$D$12</x:f>
        <x:v>1692.0853206239967</x:v>
      </x:c>
      <x:c r="M694" s="10" t="n">
        <x:f>MAX(0,J694-I694)</x:f>
        <x:v>0</x:v>
      </x:c>
    </x:row>
    <x:row r="695" ht="16" customHeight="1">
      <x:c r="A695" s="1"/>
      <x:c r="B695" s="1"/>
      <x:c r="C695" s="1" t="str">
        <x:v>Tomato Odyssey</x:v>
      </x:c>
      <x:c r="D695" s="10" t="n">
        <x:v>18</x:v>
      </x:c>
      <x:c r="E695" s="10" t="n">
        <x:f>SUMIF('Revenue and costs'!$D$2184:$D$2311,C695,'Revenue and costs'!N2184:N2311)</x:f>
        <x:v>20126.534957585485</x:v>
      </x:c>
      <x:c r="F695" s="10" t="n">
        <x:f>SUMIF('Revenue and costs'!$D$2184:$D$2311,C695,'Revenue and costs'!O2184:O2311)+SUMIF('Revenue and costs'!$D$2184:$D$2311,C695,'Revenue and costs'!P2184:P2311)+SUMIF('Revenue and costs'!$D$2184:$D$2311,C695,'Revenue and costs'!Q2184:Q2311)+SUMIF('Revenue and costs'!$D$2184:$D$2311,C695,'Revenue and costs'!R2184:R2311)+SUMIF('Revenue and costs'!$D$2184:$D$2311,C695,'Revenue and costs'!S2184:S2311)+SUMIF('Revenue and costs'!$D$2184:$D$2311,C695,'Revenue and costs'!T2184:T2311)+SUMIF('Revenue and costs'!$D$2184:$D$2311,C695,'Revenue and costs'!U2184:U2311)+SUMIF('Revenue and costs'!$D$2184:$D$2311,C695,'Revenue and costs'!V2184:V2311)+SUMIF('Revenue and costs'!$D$2184:$D$2311,C695,'Revenue and costs'!AE2184:AE2311)</x:f>
        <x:v>12298.781454489783</x:v>
      </x:c>
      <x:c r="G695" s="10" t="n">
        <x:f>IF('Income statement'!U50=0,1/39,E695/'Income statement'!U50)*('Shared costs'!Y21+'Assumptions'!$D$18*'Assumptions'!$D$19*12*(1+'Assumptions'!$D$13)^(18-1)*'Assumptions'!$D$21)</x:f>
        <x:v>1055.8620414610955</x:v>
      </x:c>
      <x:c r="H695" s="10" t="n">
        <x:f>IF('Income statement'!U50=0,1/39,E695/'Income statement'!U50)*'Cash and capital'!U18</x:f>
        <x:v>3.550179138619344</x:v>
      </x:c>
      <x:c r="I695" s="10" t="n">
        <x:f>E695-F695-G695-H695</x:f>
        <x:v>6768.341282495987</x:v>
      </x:c>
      <x:c r="J695" s="10" t="n">
        <x:f>M656</x:f>
        <x:v>0</x:v>
      </x:c>
      <x:c r="K695" s="10" t="n">
        <x:f>MAX(0,I695-J695)</x:f>
        <x:v>6768.341282495987</x:v>
      </x:c>
      <x:c r="L695" s="10" t="n">
        <x:f>K695*'Assumptions'!$D$12</x:f>
        <x:v>1692.0853206239967</x:v>
      </x:c>
      <x:c r="M695" s="10" t="n">
        <x:f>MAX(0,J695-I695)</x:f>
        <x:v>0</x:v>
      </x:c>
    </x:row>
    <x:row r="696" ht="16" customHeight="1">
      <x:c r="A696" s="1"/>
      <x:c r="B696" s="1"/>
      <x:c r="C696" s="1" t="str">
        <x:v>Semajes Studio</x:v>
      </x:c>
      <x:c r="D696" s="10" t="n">
        <x:v>18</x:v>
      </x:c>
      <x:c r="E696" s="10" t="n">
        <x:f>SUMIF('Revenue and costs'!$D$2184:$D$2311,C696,'Revenue and costs'!N2184:N2311)</x:f>
        <x:v>263158.9587645187</x:v>
      </x:c>
      <x:c r="F696" s="10" t="n">
        <x:f>SUMIF('Revenue and costs'!$D$2184:$D$2311,C696,'Revenue and costs'!O2184:O2311)+SUMIF('Revenue and costs'!$D$2184:$D$2311,C696,'Revenue and costs'!P2184:P2311)+SUMIF('Revenue and costs'!$D$2184:$D$2311,C696,'Revenue and costs'!Q2184:Q2311)+SUMIF('Revenue and costs'!$D$2184:$D$2311,C696,'Revenue and costs'!R2184:R2311)+SUMIF('Revenue and costs'!$D$2184:$D$2311,C696,'Revenue and costs'!S2184:S2311)+SUMIF('Revenue and costs'!$D$2184:$D$2311,C696,'Revenue and costs'!T2184:T2311)+SUMIF('Revenue and costs'!$D$2184:$D$2311,C696,'Revenue and costs'!U2184:U2311)+SUMIF('Revenue and costs'!$D$2184:$D$2311,C696,'Revenue and costs'!V2184:V2311)+SUMIF('Revenue and costs'!$D$2184:$D$2311,C696,'Revenue and costs'!AE2184:AE2311)</x:f>
        <x:v>183569.73579306254</x:v>
      </x:c>
      <x:c r="G696" s="10" t="n">
        <x:f>IF('Income statement'!U50=0,1/39,E696/'Income statement'!U50)*('Shared costs'!Y21+'Assumptions'!$D$18*'Assumptions'!$D$19*12*(1+'Assumptions'!$D$13)^(18-1)*'Assumptions'!$D$21)</x:f>
        <x:v>13805.633012112627</x:v>
      </x:c>
      <x:c r="H696" s="10" t="n">
        <x:f>IF('Income statement'!U50=0,1/39,E696/'Income statement'!U50)*'Cash and capital'!U18</x:f>
        <x:v>46.41938850951932</x:v>
      </x:c>
      <x:c r="I696" s="10" t="n">
        <x:f>E696-F696-G696-H696</x:f>
        <x:v>65737.17057083405</x:v>
      </x:c>
      <x:c r="J696" s="10" t="n">
        <x:f>M657</x:f>
        <x:v>0</x:v>
      </x:c>
      <x:c r="K696" s="10" t="n">
        <x:f>MAX(0,I696-J696)</x:f>
        <x:v>65737.17057083405</x:v>
      </x:c>
      <x:c r="L696" s="10" t="n">
        <x:f>K696*'Assumptions'!$D$12</x:f>
        <x:v>16434.29264270851</x:v>
      </x:c>
      <x:c r="M696" s="10" t="n">
        <x:f>MAX(0,J696-I696)</x:f>
        <x:v>0</x:v>
      </x:c>
    </x:row>
    <x:row r="697" ht="16" customHeight="1">
      <x:c r="A697" s="1"/>
      <x:c r="B697" s="1"/>
      <x:c r="C697" s="1" t="str">
        <x:v>Semajes Marketplace</x:v>
      </x:c>
      <x:c r="D697" s="10" t="n">
        <x:v>18</x:v>
      </x:c>
      <x:c r="E697" s="10" t="n">
        <x:f>SUMIF('Revenue and costs'!$D$2184:$D$2311,C697,'Revenue and costs'!N2184:N2311)</x:f>
        <x:v>85830.25548195415</x:v>
      </x:c>
      <x:c r="F697" s="10" t="n">
        <x:f>SUMIF('Revenue and costs'!$D$2184:$D$2311,C697,'Revenue and costs'!O2184:O2311)+SUMIF('Revenue and costs'!$D$2184:$D$2311,C697,'Revenue and costs'!P2184:P2311)+SUMIF('Revenue and costs'!$D$2184:$D$2311,C697,'Revenue and costs'!Q2184:Q2311)+SUMIF('Revenue and costs'!$D$2184:$D$2311,C697,'Revenue and costs'!R2184:R2311)+SUMIF('Revenue and costs'!$D$2184:$D$2311,C697,'Revenue and costs'!S2184:S2311)+SUMIF('Revenue and costs'!$D$2184:$D$2311,C697,'Revenue and costs'!T2184:T2311)+SUMIF('Revenue and costs'!$D$2184:$D$2311,C697,'Revenue and costs'!U2184:U2311)+SUMIF('Revenue and costs'!$D$2184:$D$2311,C697,'Revenue and costs'!V2184:V2311)+SUMIF('Revenue and costs'!$D$2184:$D$2311,C697,'Revenue and costs'!AE2184:AE2311)</x:f>
        <x:v>43891.06805509887</x:v>
      </x:c>
      <x:c r="G697" s="10" t="n">
        <x:f>IF('Income statement'!U50=0,1/39,E697/'Income statement'!U50)*('Shared costs'!Y21+'Assumptions'!$D$18*'Assumptions'!$D$19*12*(1+'Assumptions'!$D$13)^(18-1)*'Assumptions'!$D$21)</x:f>
        <x:v>4502.757626351768</x:v>
      </x:c>
      <x:c r="H697" s="10" t="n">
        <x:f>IF('Income statement'!U50=0,1/39,E697/'Income statement'!U50)*'Cash and capital'!U18</x:f>
        <x:v>15.139853090288604</x:v>
      </x:c>
      <x:c r="I697" s="10" t="n">
        <x:f>E697-F697-G697-H697</x:f>
        <x:v>37421.28994741323</x:v>
      </x:c>
      <x:c r="J697" s="10" t="n">
        <x:f>M658</x:f>
        <x:v>0</x:v>
      </x:c>
      <x:c r="K697" s="10" t="n">
        <x:f>MAX(0,I697-J697)</x:f>
        <x:v>37421.28994741323</x:v>
      </x:c>
      <x:c r="L697" s="10" t="n">
        <x:f>K697*'Assumptions'!$D$12</x:f>
        <x:v>9355.322486853307</x:v>
      </x:c>
      <x:c r="M697" s="10" t="n">
        <x:f>MAX(0,J697-I697)</x:f>
        <x:v>0</x:v>
      </x:c>
    </x:row>
    <x:row r="698" ht="16" customHeight="1">
      <x:c r="A698" s="1"/>
      <x:c r="B698" s="1"/>
      <x:c r="C698" s="1" t="str">
        <x:v>Semajes premium and media</x:v>
      </x:c>
      <x:c r="D698" s="10" t="n">
        <x:v>18</x:v>
      </x:c>
      <x:c r="E698" s="10" t="n">
        <x:f>SUMIF('Revenue and costs'!$D$2184:$D$2311,C698,'Revenue and costs'!N2184:N2311)</x:f>
        <x:v>59872.402540249626</x:v>
      </x:c>
      <x:c r="F698" s="10" t="n">
        <x:f>SUMIF('Revenue and costs'!$D$2184:$D$2311,C698,'Revenue and costs'!O2184:O2311)+SUMIF('Revenue and costs'!$D$2184:$D$2311,C698,'Revenue and costs'!P2184:P2311)+SUMIF('Revenue and costs'!$D$2184:$D$2311,C698,'Revenue and costs'!Q2184:Q2311)+SUMIF('Revenue and costs'!$D$2184:$D$2311,C698,'Revenue and costs'!R2184:R2311)+SUMIF('Revenue and costs'!$D$2184:$D$2311,C698,'Revenue and costs'!S2184:S2311)+SUMIF('Revenue and costs'!$D$2184:$D$2311,C698,'Revenue and costs'!T2184:T2311)+SUMIF('Revenue and costs'!$D$2184:$D$2311,C698,'Revenue and costs'!U2184:U2311)+SUMIF('Revenue and costs'!$D$2184:$D$2311,C698,'Revenue and costs'!V2184:V2311)+SUMIF('Revenue and costs'!$D$2184:$D$2311,C698,'Revenue and costs'!AE2184:AE2311)</x:f>
        <x:v>35144.67688412063</x:v>
      </x:c>
      <x:c r="G698" s="10" t="n">
        <x:f>IF('Income statement'!U50=0,1/39,E698/'Income statement'!U50)*('Shared costs'!Y21+'Assumptions'!$D$18*'Assumptions'!$D$19*12*(1+'Assumptions'!$D$13)^(18-1)*'Assumptions'!$D$21)</x:f>
        <x:v>3140.9776847605162</x:v>
      </x:c>
      <x:c r="H698" s="10" t="n">
        <x:f>IF('Income statement'!U50=0,1/39,E698/'Income statement'!U50)*'Cash and capital'!U18</x:f>
        <x:v>10.56107049352294</x:v>
      </x:c>
      <x:c r="I698" s="10" t="n">
        <x:f>E698-F698-G698-H698</x:f>
        <x:v>21576.186900874956</x:v>
      </x:c>
      <x:c r="J698" s="10" t="n">
        <x:f>M659</x:f>
        <x:v>0</x:v>
      </x:c>
      <x:c r="K698" s="10" t="n">
        <x:f>MAX(0,I698-J698)</x:f>
        <x:v>21576.186900874956</x:v>
      </x:c>
      <x:c r="L698" s="10" t="n">
        <x:f>K698*'Assumptions'!$D$12</x:f>
        <x:v>5394.046725218739</x:v>
      </x:c>
      <x:c r="M698" s="10" t="n">
        <x:f>MAX(0,J698-I698)</x:f>
        <x:v>0</x:v>
      </x:c>
    </x:row>
    <x:row r="699" ht="16" customHeight="1">
      <x:c r="A699" s="1"/>
      <x:c r="B699" s="1"/>
      <x:c r="C699" s="1" t="str">
        <x:v>Semajes courses</x:v>
      </x:c>
      <x:c r="D699" s="10" t="n">
        <x:v>18</x:v>
      </x:c>
      <x:c r="E699" s="10" t="n">
        <x:f>SUMIF('Revenue and costs'!$D$2184:$D$2311,C699,'Revenue and costs'!N2184:N2311)</x:f>
        <x:v>32339.229679646774</x:v>
      </x:c>
      <x:c r="F699" s="10" t="n">
        <x:f>SUMIF('Revenue and costs'!$D$2184:$D$2311,C699,'Revenue and costs'!O2184:O2311)+SUMIF('Revenue and costs'!$D$2184:$D$2311,C699,'Revenue and costs'!P2184:P2311)+SUMIF('Revenue and costs'!$D$2184:$D$2311,C699,'Revenue and costs'!Q2184:Q2311)+SUMIF('Revenue and costs'!$D$2184:$D$2311,C699,'Revenue and costs'!R2184:R2311)+SUMIF('Revenue and costs'!$D$2184:$D$2311,C699,'Revenue and costs'!S2184:S2311)+SUMIF('Revenue and costs'!$D$2184:$D$2311,C699,'Revenue and costs'!T2184:T2311)+SUMIF('Revenue and costs'!$D$2184:$D$2311,C699,'Revenue and costs'!U2184:U2311)+SUMIF('Revenue and costs'!$D$2184:$D$2311,C699,'Revenue and costs'!V2184:V2311)+SUMIF('Revenue and costs'!$D$2184:$D$2311,C699,'Revenue and costs'!AE2184:AE2311)</x:f>
        <x:v>11091.821022159962</x:v>
      </x:c>
      <x:c r="G699" s="10" t="n">
        <x:f>IF('Income statement'!U50=0,1/39,E699/'Income statement'!U50)*('Shared costs'!Y21+'Assumptions'!$D$18*'Assumptions'!$D$19*12*(1+'Assumptions'!$D$13)^(18-1)*'Assumptions'!$D$21)</x:f>
        <x:v>1696.554580348263</x:v>
      </x:c>
      <x:c r="H699" s="10" t="n">
        <x:f>IF('Income statement'!U50=0,1/39,E699/'Income statement'!U50)*'Cash and capital'!U18</x:f>
        <x:v>5.70441254839203</x:v>
      </x:c>
      <x:c r="I699" s="10" t="n">
        <x:f>E699-F699-G699-H699</x:f>
        <x:v>19545.149664590157</x:v>
      </x:c>
      <x:c r="J699" s="10" t="n">
        <x:f>M660</x:f>
        <x:v>0</x:v>
      </x:c>
      <x:c r="K699" s="10" t="n">
        <x:f>MAX(0,I699-J699)</x:f>
        <x:v>19545.149664590157</x:v>
      </x:c>
      <x:c r="L699" s="10" t="n">
        <x:f>K699*'Assumptions'!$D$12</x:f>
        <x:v>4886.287416147539</x:v>
      </x:c>
      <x:c r="M699" s="10" t="n">
        <x:f>MAX(0,J699-I699)</x:f>
        <x:v>0</x:v>
      </x:c>
    </x:row>
    <x:row r="700" ht="16" customHeight="1">
      <x:c r="A700" s="1"/>
      <x:c r="B700" s="1"/>
      <x:c r="C700" s="1" t="str">
        <x:v>Sleepy Face</x:v>
      </x:c>
      <x:c r="D700" s="10" t="n">
        <x:v>18</x:v>
      </x:c>
      <x:c r="E700" s="10" t="n">
        <x:f>SUMIF('Revenue and costs'!$D$2184:$D$2311,C700,'Revenue and costs'!N2184:N2311)</x:f>
        <x:v>414167.8049773483</x:v>
      </x:c>
      <x:c r="F700" s="10" t="n">
        <x:f>SUMIF('Revenue and costs'!$D$2184:$D$2311,C700,'Revenue and costs'!O2184:O2311)+SUMIF('Revenue and costs'!$D$2184:$D$2311,C700,'Revenue and costs'!P2184:P2311)+SUMIF('Revenue and costs'!$D$2184:$D$2311,C700,'Revenue and costs'!Q2184:Q2311)+SUMIF('Revenue and costs'!$D$2184:$D$2311,C700,'Revenue and costs'!R2184:R2311)+SUMIF('Revenue and costs'!$D$2184:$D$2311,C700,'Revenue and costs'!S2184:S2311)+SUMIF('Revenue and costs'!$D$2184:$D$2311,C700,'Revenue and costs'!T2184:T2311)+SUMIF('Revenue and costs'!$D$2184:$D$2311,C700,'Revenue and costs'!U2184:U2311)+SUMIF('Revenue and costs'!$D$2184:$D$2311,C700,'Revenue and costs'!V2184:V2311)+SUMIF('Revenue and costs'!$D$2184:$D$2311,C700,'Revenue and costs'!AE2184:AE2311)</x:f>
        <x:v>282353.3826156334</x:v>
      </x:c>
      <x:c r="G700" s="10" t="n">
        <x:f>IF('Income statement'!U50=0,1/39,E700/'Income statement'!U50)*('Shared costs'!Y21+'Assumptions'!$D$18*'Assumptions'!$D$19*12*(1+'Assumptions'!$D$13)^(18-1)*'Assumptions'!$D$21)</x:f>
        <x:v>21727.73728773558</x:v>
      </x:c>
      <x:c r="H700" s="10" t="n">
        <x:f>IF('Income statement'!U50=0,1/39,E700/'Income statement'!U50)*'Cash and capital'!U18</x:f>
        <x:v>73.05628635117738</x:v>
      </x:c>
      <x:c r="I700" s="10" t="n">
        <x:f>E700-F700-G700-H700</x:f>
        <x:v>110013.62878762813</x:v>
      </x:c>
      <x:c r="J700" s="10" t="n">
        <x:f>M661</x:f>
        <x:v>0</x:v>
      </x:c>
      <x:c r="K700" s="10" t="n">
        <x:f>MAX(0,I700-J700)</x:f>
        <x:v>110013.62878762813</x:v>
      </x:c>
      <x:c r="L700" s="10" t="n">
        <x:f>K700*'Assumptions'!$D$12</x:f>
        <x:v>27503.407196907032</x:v>
      </x:c>
      <x:c r="M700" s="10" t="n">
        <x:f>MAX(0,J700-I700)</x:f>
        <x:v>0</x:v>
      </x:c>
    </x:row>
    <x:row r="701" ht="16" customHeight="1">
      <x:c r="A701" s="1"/>
      <x:c r="B701" s="1"/>
      <x:c r="C701" s="1" t="str">
        <x:v>QzoticMusic</x:v>
      </x:c>
      <x:c r="D701" s="10" t="n">
        <x:v>18</x:v>
      </x:c>
      <x:c r="E701" s="10" t="n">
        <x:f>SUMIF('Revenue and costs'!$D$2184:$D$2311,C701,'Revenue and costs'!N2184:N2311)</x:f>
        <x:v>36242.11123467182</x:v>
      </x:c>
      <x:c r="F701" s="10" t="n">
        <x:f>SUMIF('Revenue and costs'!$D$2184:$D$2311,C701,'Revenue and costs'!O2184:O2311)+SUMIF('Revenue and costs'!$D$2184:$D$2311,C701,'Revenue and costs'!P2184:P2311)+SUMIF('Revenue and costs'!$D$2184:$D$2311,C701,'Revenue and costs'!Q2184:Q2311)+SUMIF('Revenue and costs'!$D$2184:$D$2311,C701,'Revenue and costs'!R2184:R2311)+SUMIF('Revenue and costs'!$D$2184:$D$2311,C701,'Revenue and costs'!S2184:S2311)+SUMIF('Revenue and costs'!$D$2184:$D$2311,C701,'Revenue and costs'!T2184:T2311)+SUMIF('Revenue and costs'!$D$2184:$D$2311,C701,'Revenue and costs'!U2184:U2311)+SUMIF('Revenue and costs'!$D$2184:$D$2311,C701,'Revenue and costs'!V2184:V2311)+SUMIF('Revenue and costs'!$D$2184:$D$2311,C701,'Revenue and costs'!AE2184:AE2311)</x:f>
        <x:v>43014.395122616625</x:v>
      </x:c>
      <x:c r="G701" s="10" t="n">
        <x:f>IF('Income statement'!U50=0,1/39,E701/'Income statement'!U50)*('Shared costs'!Y21+'Assumptions'!$D$18*'Assumptions'!$D$19*12*(1+'Assumptions'!$D$13)^(18-1)*'Assumptions'!$D$21)</x:f>
        <x:v>1901.3044041482349</x:v>
      </x:c>
      <x:c r="H701" s="10" t="n">
        <x:f>IF('Income statement'!U50=0,1/39,E701/'Income statement'!U50)*'Cash and capital'!U18</x:f>
        <x:v>6.392853390611123</x:v>
      </x:c>
      <x:c r="I701" s="10" t="n">
        <x:f>E701-F701-G701-H701</x:f>
        <x:v>-8679.981145483649</x:v>
      </x:c>
      <x:c r="J701" s="10" t="n">
        <x:f>M662</x:f>
        <x:v>62843.48210272813</x:v>
      </x:c>
      <x:c r="K701" s="10" t="n">
        <x:f>MAX(0,I701-J701)</x:f>
        <x:v>0</x:v>
      </x:c>
      <x:c r="L701" s="10" t="n">
        <x:f>K701*'Assumptions'!$D$12</x:f>
        <x:v>0</x:v>
      </x:c>
      <x:c r="M701" s="10" t="n">
        <x:f>MAX(0,J701-I701)</x:f>
        <x:v>71523.46324821177</x:v>
      </x:c>
    </x:row>
    <x:row r="702" ht="16" customHeight="1">
      <x:c r="A702" s="1"/>
      <x:c r="B702" s="1"/>
      <x:c r="C702" s="1" t="str">
        <x:v>LesPetitFilms</x:v>
      </x:c>
      <x:c r="D702" s="10" t="n">
        <x:v>18</x:v>
      </x:c>
      <x:c r="E702" s="10" t="n">
        <x:f>SUMIF('Revenue and costs'!$D$2184:$D$2311,C702,'Revenue and costs'!N2184:N2311)</x:f>
        <x:v>132260.08686413316</x:v>
      </x:c>
      <x:c r="F702" s="10" t="n">
        <x:f>SUMIF('Revenue and costs'!$D$2184:$D$2311,C702,'Revenue and costs'!O2184:O2311)+SUMIF('Revenue and costs'!$D$2184:$D$2311,C702,'Revenue and costs'!P2184:P2311)+SUMIF('Revenue and costs'!$D$2184:$D$2311,C702,'Revenue and costs'!Q2184:Q2311)+SUMIF('Revenue and costs'!$D$2184:$D$2311,C702,'Revenue and costs'!R2184:R2311)+SUMIF('Revenue and costs'!$D$2184:$D$2311,C702,'Revenue and costs'!S2184:S2311)+SUMIF('Revenue and costs'!$D$2184:$D$2311,C702,'Revenue and costs'!T2184:T2311)+SUMIF('Revenue and costs'!$D$2184:$D$2311,C702,'Revenue and costs'!U2184:U2311)+SUMIF('Revenue and costs'!$D$2184:$D$2311,C702,'Revenue and costs'!V2184:V2311)+SUMIF('Revenue and costs'!$D$2184:$D$2311,C702,'Revenue and costs'!AE2184:AE2311)</x:f>
        <x:v>82640.97517015778</x:v>
      </x:c>
      <x:c r="G702" s="10" t="n">
        <x:f>IF('Income statement'!U50=0,1/39,E702/'Income statement'!U50)*('Shared costs'!Y21+'Assumptions'!$D$18*'Assumptions'!$D$19*12*(1+'Assumptions'!$D$13)^(18-1)*'Assumptions'!$D$21)</x:f>
        <x:v>6938.52198674434</x:v>
      </x:c>
      <x:c r="H702" s="10" t="n">
        <x:f>IF('Income statement'!U50=0,1/39,E702/'Income statement'!U50)*'Cash and capital'!U18</x:f>
        <x:v>23.32974862521283</x:v>
      </x:c>
      <x:c r="I702" s="10" t="n">
        <x:f>E702-F702-G702-H702</x:f>
        <x:v>42657.259958605835</x:v>
      </x:c>
      <x:c r="J702" s="10" t="n">
        <x:f>M663</x:f>
        <x:v>0</x:v>
      </x:c>
      <x:c r="K702" s="10" t="n">
        <x:f>MAX(0,I702-J702)</x:f>
        <x:v>42657.259958605835</x:v>
      </x:c>
      <x:c r="L702" s="10" t="n">
        <x:f>K702*'Assumptions'!$D$12</x:f>
        <x:v>10664.314989651459</x:v>
      </x:c>
      <x:c r="M702" s="10" t="n">
        <x:f>MAX(0,J702-I702)</x:f>
        <x:v>0</x:v>
      </x:c>
    </x:row>
    <x:row r="703" ht="16" customHeight="1">
      <x:c r="A703" s="1"/>
      <x:c r="B703" s="1"/>
      <x:c r="C703" s="1" t="str">
        <x:v>Learn Anglais</x:v>
      </x:c>
      <x:c r="D703" s="10" t="n">
        <x:v>18</x:v>
      </x:c>
      <x:c r="E703" s="10" t="n">
        <x:f>SUMIF('Revenue and costs'!$D$2184:$D$2311,C703,'Revenue and costs'!N2184:N2311)</x:f>
        <x:v>140518.8471578577</x:v>
      </x:c>
      <x:c r="F703" s="10" t="n">
        <x:f>SUMIF('Revenue and costs'!$D$2184:$D$2311,C703,'Revenue and costs'!O2184:O2311)+SUMIF('Revenue and costs'!$D$2184:$D$2311,C703,'Revenue and costs'!P2184:P2311)+SUMIF('Revenue and costs'!$D$2184:$D$2311,C703,'Revenue and costs'!Q2184:Q2311)+SUMIF('Revenue and costs'!$D$2184:$D$2311,C703,'Revenue and costs'!R2184:R2311)+SUMIF('Revenue and costs'!$D$2184:$D$2311,C703,'Revenue and costs'!S2184:S2311)+SUMIF('Revenue and costs'!$D$2184:$D$2311,C703,'Revenue and costs'!T2184:T2311)+SUMIF('Revenue and costs'!$D$2184:$D$2311,C703,'Revenue and costs'!U2184:U2311)+SUMIF('Revenue and costs'!$D$2184:$D$2311,C703,'Revenue and costs'!V2184:V2311)+SUMIF('Revenue and costs'!$D$2184:$D$2311,C703,'Revenue and costs'!AE2184:AE2311)</x:f>
        <x:v>91627.13382347974</x:v>
      </x:c>
      <x:c r="G703" s="10" t="n">
        <x:f>IF('Income statement'!U50=0,1/39,E703/'Income statement'!U50)*('Shared costs'!Y21+'Assumptions'!$D$18*'Assumptions'!$D$19*12*(1+'Assumptions'!$D$13)^(18-1)*'Assumptions'!$D$21)</x:f>
        <x:v>7371.786407174709</x:v>
      </x:c>
      <x:c r="H703" s="10" t="n">
        <x:f>IF('Income statement'!U50=0,1/39,E703/'Income statement'!U50)*'Cash and capital'!U18</x:f>
        <x:v>24.786535825166894</x:v>
      </x:c>
      <x:c r="I703" s="10" t="n">
        <x:f>E703-F703-G703-H703</x:f>
        <x:v>41495.14039137808</x:v>
      </x:c>
      <x:c r="J703" s="10" t="n">
        <x:f>M664</x:f>
        <x:v>0</x:v>
      </x:c>
      <x:c r="K703" s="10" t="n">
        <x:f>MAX(0,I703-J703)</x:f>
        <x:v>41495.14039137808</x:v>
      </x:c>
      <x:c r="L703" s="10" t="n">
        <x:f>K703*'Assumptions'!$D$12</x:f>
        <x:v>10373.78509784452</x:v>
      </x:c>
      <x:c r="M703" s="10" t="n">
        <x:f>MAX(0,J703-I703)</x:f>
        <x:v>0</x:v>
      </x:c>
    </x:row>
    <x:row r="704" ht="16" customHeight="1">
      <x:c r="A704" s="1"/>
      <x:c r="B704" s="1"/>
      <x:c r="C704" s="1" t="str">
        <x:v>Fiefé</x:v>
      </x:c>
      <x:c r="D704" s="10" t="n">
        <x:v>18</x:v>
      </x:c>
      <x:c r="E704" s="10" t="n">
        <x:f>SUMIF('Revenue and costs'!$D$2184:$D$2311,C704,'Revenue and costs'!N2184:N2311)</x:f>
        <x:v>97454.06799987837</x:v>
      </x:c>
      <x:c r="F704" s="10" t="n">
        <x:f>SUMIF('Revenue and costs'!$D$2184:$D$2311,C704,'Revenue and costs'!O2184:O2311)+SUMIF('Revenue and costs'!$D$2184:$D$2311,C704,'Revenue and costs'!P2184:P2311)+SUMIF('Revenue and costs'!$D$2184:$D$2311,C704,'Revenue and costs'!Q2184:Q2311)+SUMIF('Revenue and costs'!$D$2184:$D$2311,C704,'Revenue and costs'!R2184:R2311)+SUMIF('Revenue and costs'!$D$2184:$D$2311,C704,'Revenue and costs'!S2184:S2311)+SUMIF('Revenue and costs'!$D$2184:$D$2311,C704,'Revenue and costs'!T2184:T2311)+SUMIF('Revenue and costs'!$D$2184:$D$2311,C704,'Revenue and costs'!U2184:U2311)+SUMIF('Revenue and costs'!$D$2184:$D$2311,C704,'Revenue and costs'!V2184:V2311)+SUMIF('Revenue and costs'!$D$2184:$D$2311,C704,'Revenue and costs'!AE2184:AE2311)</x:f>
        <x:v>83125.39488341016</x:v>
      </x:c>
      <x:c r="G704" s="10" t="n">
        <x:f>IF('Income statement'!U50=0,1/39,E704/'Income statement'!U50)*('Shared costs'!Y21+'Assumptions'!$D$18*'Assumptions'!$D$19*12*(1+'Assumptions'!$D$13)^(18-1)*'Assumptions'!$D$21)</x:f>
        <x:v>5112.55670207945</x:v>
      </x:c>
      <x:c r="H704" s="10" t="n">
        <x:f>IF('Income statement'!U50=0,1/39,E704/'Income statement'!U50)*'Cash and capital'!U18</x:f>
        <x:v>17.190211823141624</x:v>
      </x:c>
      <x:c r="I704" s="10" t="n">
        <x:f>E704-F704-G704-H704</x:f>
        <x:v>9198.926202565623</x:v>
      </x:c>
      <x:c r="J704" s="10" t="n">
        <x:f>M665</x:f>
        <x:v>0</x:v>
      </x:c>
      <x:c r="K704" s="10" t="n">
        <x:f>MAX(0,I704-J704)</x:f>
        <x:v>9198.926202565623</x:v>
      </x:c>
      <x:c r="L704" s="10" t="n">
        <x:f>K704*'Assumptions'!$D$12</x:f>
        <x:v>2299.7315506414056</x:v>
      </x:c>
      <x:c r="M704" s="10" t="n">
        <x:f>MAX(0,J704-I704)</x:f>
        <x:v>0</x:v>
      </x:c>
    </x:row>
    <x:row r="705" ht="16" customHeight="1">
      <x:c r="A705" s="1"/>
      <x:c r="B705" s="1"/>
      <x:c r="C705" s="1" t="str">
        <x:v>Fiefé Design</x:v>
      </x:c>
      <x:c r="D705" s="10" t="n">
        <x:v>18</x:v>
      </x:c>
      <x:c r="E705" s="10" t="n">
        <x:f>SUMIF('Revenue and costs'!$D$2184:$D$2311,C705,'Revenue and costs'!N2184:N2311)</x:f>
        <x:v>60719.045482790265</x:v>
      </x:c>
      <x:c r="F705" s="10" t="n">
        <x:f>SUMIF('Revenue and costs'!$D$2184:$D$2311,C705,'Revenue and costs'!O2184:O2311)+SUMIF('Revenue and costs'!$D$2184:$D$2311,C705,'Revenue and costs'!P2184:P2311)+SUMIF('Revenue and costs'!$D$2184:$D$2311,C705,'Revenue and costs'!Q2184:Q2311)+SUMIF('Revenue and costs'!$D$2184:$D$2311,C705,'Revenue and costs'!R2184:R2311)+SUMIF('Revenue and costs'!$D$2184:$D$2311,C705,'Revenue and costs'!S2184:S2311)+SUMIF('Revenue and costs'!$D$2184:$D$2311,C705,'Revenue and costs'!T2184:T2311)+SUMIF('Revenue and costs'!$D$2184:$D$2311,C705,'Revenue and costs'!U2184:U2311)+SUMIF('Revenue and costs'!$D$2184:$D$2311,C705,'Revenue and costs'!V2184:V2311)+SUMIF('Revenue and costs'!$D$2184:$D$2311,C705,'Revenue and costs'!AE2184:AE2311)</x:f>
        <x:v>48498.04470882093</x:v>
      </x:c>
      <x:c r="G705" s="10" t="n">
        <x:f>IF('Income statement'!U50=0,1/39,E705/'Income statement'!U50)*('Shared costs'!Y21+'Assumptions'!$D$18*'Assumptions'!$D$19*12*(1+'Assumptions'!$D$13)^(18-1)*'Assumptions'!$D$21)</x:f>
        <x:v>3185.3935838501243</x:v>
      </x:c>
      <x:c r="H705" s="10" t="n">
        <x:f>IF('Income statement'!U50=0,1/39,E705/'Income statement'!U50)*'Cash and capital'!U18</x:f>
        <x:v>10.710412350867054</x:v>
      </x:c>
      <x:c r="I705" s="10" t="n">
        <x:f>E705-F705-G705-H705</x:f>
        <x:v>9024.896777768341</x:v>
      </x:c>
      <x:c r="J705" s="10" t="n">
        <x:f>M666</x:f>
        <x:v>0</x:v>
      </x:c>
      <x:c r="K705" s="10" t="n">
        <x:f>MAX(0,I705-J705)</x:f>
        <x:v>9024.896777768341</x:v>
      </x:c>
      <x:c r="L705" s="10" t="n">
        <x:f>K705*'Assumptions'!$D$12</x:f>
        <x:v>2256.2241944420853</x:v>
      </x:c>
      <x:c r="M705" s="10" t="n">
        <x:f>MAX(0,J705-I705)</x:f>
        <x:v>0</x:v>
      </x:c>
    </x:row>
    <x:row r="706" ht="16" customHeight="1">
      <x:c r="A706" s="1"/>
      <x:c r="B706" s="1"/>
      <x:c r="C706" s="1" t="str">
        <x:v>OsezArt</x:v>
      </x:c>
      <x:c r="D706" s="10" t="n">
        <x:v>18</x:v>
      </x:c>
      <x:c r="E706" s="10" t="n">
        <x:f>SUMIF('Revenue and costs'!$D$2184:$D$2311,C706,'Revenue and costs'!N2184:N2311)</x:f>
        <x:v>239354.62930022556</x:v>
      </x:c>
      <x:c r="F706" s="10" t="n">
        <x:f>SUMIF('Revenue and costs'!$D$2184:$D$2311,C706,'Revenue and costs'!O2184:O2311)+SUMIF('Revenue and costs'!$D$2184:$D$2311,C706,'Revenue and costs'!P2184:P2311)+SUMIF('Revenue and costs'!$D$2184:$D$2311,C706,'Revenue and costs'!Q2184:Q2311)+SUMIF('Revenue and costs'!$D$2184:$D$2311,C706,'Revenue and costs'!R2184:R2311)+SUMIF('Revenue and costs'!$D$2184:$D$2311,C706,'Revenue and costs'!S2184:S2311)+SUMIF('Revenue and costs'!$D$2184:$D$2311,C706,'Revenue and costs'!T2184:T2311)+SUMIF('Revenue and costs'!$D$2184:$D$2311,C706,'Revenue and costs'!U2184:U2311)+SUMIF('Revenue and costs'!$D$2184:$D$2311,C706,'Revenue and costs'!V2184:V2311)+SUMIF('Revenue and costs'!$D$2184:$D$2311,C706,'Revenue and costs'!AE2184:AE2311)</x:f>
        <x:v>141282.36023556482</x:v>
      </x:c>
      <x:c r="G706" s="10" t="n">
        <x:f>IF('Income statement'!U50=0,1/39,E706/'Income statement'!U50)*('Shared costs'!Y21+'Assumptions'!$D$18*'Assumptions'!$D$19*12*(1+'Assumptions'!$D$13)^(18-1)*'Assumptions'!$D$21)</x:f>
        <x:v>12556.829482009283</x:v>
      </x:c>
      <x:c r="H706" s="10" t="n">
        <x:f>IF('Income statement'!U50=0,1/39,E706/'Income statement'!U50)*'Cash and capital'!U18</x:f>
        <x:v>42.22047230009478</x:v>
      </x:c>
      <x:c r="I706" s="10" t="n">
        <x:f>E706-F706-G706-H706</x:f>
        <x:v>85473.21911035136</x:v>
      </x:c>
      <x:c r="J706" s="10" t="n">
        <x:f>M667</x:f>
        <x:v>0</x:v>
      </x:c>
      <x:c r="K706" s="10" t="n">
        <x:f>MAX(0,I706-J706)</x:f>
        <x:v>85473.21911035136</x:v>
      </x:c>
      <x:c r="L706" s="10" t="n">
        <x:f>K706*'Assumptions'!$D$12</x:f>
        <x:v>21368.30477758784</x:v>
      </x:c>
      <x:c r="M706" s="10" t="n">
        <x:f>MAX(0,J706-I706)</x:f>
        <x:v>0</x:v>
      </x:c>
    </x:row>
    <x:row r="707" ht="16" customHeight="1">
      <x:c r="A707" s="1"/>
      <x:c r="B707" s="1"/>
      <x:c r="C707" s="1" t="str">
        <x:v>FinBot research</x:v>
      </x:c>
      <x:c r="D707" s="10" t="n">
        <x:v>18</x:v>
      </x:c>
      <x:c r="E707" s="10" t="n">
        <x:f>SUMIF('Revenue and costs'!$D$2184:$D$2311,C707,'Revenue and costs'!N2184:N2311)</x:f>
        <x:v>12023.559752620404</x:v>
      </x:c>
      <x:c r="F707" s="10" t="n">
        <x:f>SUMIF('Revenue and costs'!$D$2184:$D$2311,C707,'Revenue and costs'!O2184:O2311)+SUMIF('Revenue and costs'!$D$2184:$D$2311,C707,'Revenue and costs'!P2184:P2311)+SUMIF('Revenue and costs'!$D$2184:$D$2311,C707,'Revenue and costs'!Q2184:Q2311)+SUMIF('Revenue and costs'!$D$2184:$D$2311,C707,'Revenue and costs'!R2184:R2311)+SUMIF('Revenue and costs'!$D$2184:$D$2311,C707,'Revenue and costs'!S2184:S2311)+SUMIF('Revenue and costs'!$D$2184:$D$2311,C707,'Revenue and costs'!T2184:T2311)+SUMIF('Revenue and costs'!$D$2184:$D$2311,C707,'Revenue and costs'!U2184:U2311)+SUMIF('Revenue and costs'!$D$2184:$D$2311,C707,'Revenue and costs'!V2184:V2311)+SUMIF('Revenue and costs'!$D$2184:$D$2311,C707,'Revenue and costs'!AE2184:AE2311)</x:f>
        <x:v>7503.351643604805</x:v>
      </x:c>
      <x:c r="G707" s="10" t="n">
        <x:f>IF('Income statement'!U50=0,1/39,E707/'Income statement'!U50)*('Shared costs'!Y21+'Assumptions'!$D$18*'Assumptions'!$D$19*12*(1+'Assumptions'!$D$13)^(18-1)*'Assumptions'!$D$21)</x:f>
        <x:v>630.7702926899766</x:v>
      </x:c>
      <x:c r="H707" s="10" t="n">
        <x:f>IF('Income statement'!U50=0,1/39,E707/'Income statement'!U50)*'Cash and capital'!U18</x:f>
        <x:v>2.1208713320823405</x:v>
      </x:c>
      <x:c r="I707" s="10" t="n">
        <x:f>E707-F707-G707-H707</x:f>
        <x:v>3887.31694499354</x:v>
      </x:c>
      <x:c r="J707" s="10" t="n">
        <x:f>M668</x:f>
        <x:v>0</x:v>
      </x:c>
      <x:c r="K707" s="10" t="n">
        <x:f>MAX(0,I707-J707)</x:f>
        <x:v>3887.31694499354</x:v>
      </x:c>
      <x:c r="L707" s="10" t="n">
        <x:f>K707*'Assumptions'!$D$12</x:f>
        <x:v>971.829236248385</x:v>
      </x:c>
      <x:c r="M707" s="10" t="n">
        <x:f>MAX(0,J707-I707)</x:f>
        <x:v>0</x:v>
      </x:c>
    </x:row>
    <x:row r="708" ht="16" customHeight="1">
      <x:c r="A708" s="1"/>
      <x:c r="B708" s="1"/>
      <x:c r="C708" s="1" t="str">
        <x:v>Functional Analysis</x:v>
      </x:c>
      <x:c r="D708" s="10" t="n">
        <x:v>18</x:v>
      </x:c>
      <x:c r="E708" s="10" t="n">
        <x:f>SUMIF('Revenue and costs'!$D$2184:$D$2311,C708,'Revenue and costs'!N2184:N2311)</x:f>
        <x:v>25868.373956293275</x:v>
      </x:c>
      <x:c r="F708" s="10" t="n">
        <x:f>SUMIF('Revenue and costs'!$D$2184:$D$2311,C708,'Revenue and costs'!O2184:O2311)+SUMIF('Revenue and costs'!$D$2184:$D$2311,C708,'Revenue and costs'!P2184:P2311)+SUMIF('Revenue and costs'!$D$2184:$D$2311,C708,'Revenue and costs'!Q2184:Q2311)+SUMIF('Revenue and costs'!$D$2184:$D$2311,C708,'Revenue and costs'!R2184:R2311)+SUMIF('Revenue and costs'!$D$2184:$D$2311,C708,'Revenue and costs'!S2184:S2311)+SUMIF('Revenue and costs'!$D$2184:$D$2311,C708,'Revenue and costs'!T2184:T2311)+SUMIF('Revenue and costs'!$D$2184:$D$2311,C708,'Revenue and costs'!U2184:U2311)+SUMIF('Revenue and costs'!$D$2184:$D$2311,C708,'Revenue and costs'!V2184:V2311)+SUMIF('Revenue and costs'!$D$2184:$D$2311,C708,'Revenue and costs'!AE2184:AE2311)</x:f>
        <x:v>14635.265089126417</x:v>
      </x:c>
      <x:c r="G708" s="10" t="n">
        <x:f>IF('Income statement'!U50=0,1/39,E708/'Income statement'!U50)*('Shared costs'!Y21+'Assumptions'!$D$18*'Assumptions'!$D$19*12*(1+'Assumptions'!$D$13)^(18-1)*'Assumptions'!$D$21)</x:f>
        <x:v>1357.0857672386721</x:v>
      </x:c>
      <x:c r="H708" s="10" t="n">
        <x:f>IF('Income statement'!U50=0,1/39,E708/'Income statement'!U50)*'Cash and capital'!U18</x:f>
        <x:v>4.562999133391502</x:v>
      </x:c>
      <x:c r="I708" s="10" t="n">
        <x:f>E708-F708-G708-H708</x:f>
        <x:v>9871.460100794795</x:v>
      </x:c>
      <x:c r="J708" s="10" t="n">
        <x:f>M669</x:f>
        <x:v>0</x:v>
      </x:c>
      <x:c r="K708" s="10" t="n">
        <x:f>MAX(0,I708-J708)</x:f>
        <x:v>9871.460100794795</x:v>
      </x:c>
      <x:c r="L708" s="10" t="n">
        <x:f>K708*'Assumptions'!$D$12</x:f>
        <x:v>2467.8650251986987</x:v>
      </x:c>
      <x:c r="M708" s="10" t="n">
        <x:f>MAX(0,J708-I708)</x:f>
        <x:v>0</x:v>
      </x:c>
    </x:row>
    <x:row r="709" ht="16" customHeight="1">
      <x:c r="A709" s="1"/>
      <x:c r="B709" s="1"/>
      <x:c r="C709" s="1" t="str">
        <x:v>Independent candy game</x:v>
      </x:c>
      <x:c r="D709" s="10" t="n">
        <x:v>18</x:v>
      </x:c>
      <x:c r="E709" s="10" t="n">
        <x:f>SUMIF('Revenue and costs'!$D$2184:$D$2311,C709,'Revenue and costs'!N2184:N2311)</x:f>
        <x:v>10344.40744234066</x:v>
      </x:c>
      <x:c r="F709" s="10" t="n">
        <x:f>SUMIF('Revenue and costs'!$D$2184:$D$2311,C709,'Revenue and costs'!O2184:O2311)+SUMIF('Revenue and costs'!$D$2184:$D$2311,C709,'Revenue and costs'!P2184:P2311)+SUMIF('Revenue and costs'!$D$2184:$D$2311,C709,'Revenue and costs'!Q2184:Q2311)+SUMIF('Revenue and costs'!$D$2184:$D$2311,C709,'Revenue and costs'!R2184:R2311)+SUMIF('Revenue and costs'!$D$2184:$D$2311,C709,'Revenue and costs'!S2184:S2311)+SUMIF('Revenue and costs'!$D$2184:$D$2311,C709,'Revenue and costs'!T2184:T2311)+SUMIF('Revenue and costs'!$D$2184:$D$2311,C709,'Revenue and costs'!U2184:U2311)+SUMIF('Revenue and costs'!$D$2184:$D$2311,C709,'Revenue and costs'!V2184:V2311)+SUMIF('Revenue and costs'!$D$2184:$D$2311,C709,'Revenue and costs'!AE2184:AE2311)</x:f>
        <x:v>10618.305245503985</x:v>
      </x:c>
      <x:c r="G709" s="10" t="n">
        <x:f>IF('Income statement'!U50=0,1/39,E709/'Income statement'!U50)*('Shared costs'!Y21+'Assumptions'!$D$18*'Assumptions'!$D$19*12*(1+'Assumptions'!$D$13)^(18-1)*'Assumptions'!$D$21)</x:f>
        <x:v>542.6799587108594</x:v>
      </x:c>
      <x:c r="H709" s="10" t="n">
        <x:f>IF('Income statement'!U50=0,1/39,E709/'Income statement'!U50)*'Cash and capital'!U18</x:f>
        <x:v>1.8246806805329105</x:v>
      </x:c>
      <x:c r="I709" s="10" t="n">
        <x:f>E709-F709-G709-H709</x:f>
        <x:v>-818.4024425547174</x:v>
      </x:c>
      <x:c r="J709" s="10" t="n">
        <x:f>M670</x:f>
        <x:v>2749.505023826633</x:v>
      </x:c>
      <x:c r="K709" s="10" t="n">
        <x:f>MAX(0,I709-J709)</x:f>
        <x:v>0</x:v>
      </x:c>
      <x:c r="L709" s="10" t="n">
        <x:f>K709*'Assumptions'!$D$12</x:f>
        <x:v>0</x:v>
      </x:c>
      <x:c r="M709" s="10" t="n">
        <x:f>MAX(0,J709-I709)</x:f>
        <x:v>3567.9074663813503</x:v>
      </x:c>
    </x:row>
    <x:row r="710" ht="16" customHeight="1">
      <x:c r="A710" s="1"/>
      <x:c r="B710" s="1"/>
      <x:c r="C710" s="1" t="str">
        <x:v>ETV courses</x:v>
      </x:c>
      <x:c r="D710" s="10" t="n">
        <x:v>19</x:v>
      </x:c>
      <x:c r="E710" s="10" t="n">
        <x:f>SUMIF('Revenue and costs'!$D$2312:$D$2439,C710,'Revenue and costs'!N2312:N2439)</x:f>
        <x:v>71483.45068917942</x:v>
      </x:c>
      <x:c r="F710" s="10" t="n">
        <x:f>SUMIF('Revenue and costs'!$D$2312:$D$2439,C710,'Revenue and costs'!O2312:O2439)+SUMIF('Revenue and costs'!$D$2312:$D$2439,C710,'Revenue and costs'!P2312:P2439)+SUMIF('Revenue and costs'!$D$2312:$D$2439,C710,'Revenue and costs'!Q2312:Q2439)+SUMIF('Revenue and costs'!$D$2312:$D$2439,C710,'Revenue and costs'!R2312:R2439)+SUMIF('Revenue and costs'!$D$2312:$D$2439,C710,'Revenue and costs'!S2312:S2439)+SUMIF('Revenue and costs'!$D$2312:$D$2439,C710,'Revenue and costs'!T2312:T2439)+SUMIF('Revenue and costs'!$D$2312:$D$2439,C710,'Revenue and costs'!U2312:U2439)+SUMIF('Revenue and costs'!$D$2312:$D$2439,C710,'Revenue and costs'!V2312:V2439)+SUMIF('Revenue and costs'!$D$2312:$D$2439,C710,'Revenue and costs'!AE2312:AE2439)</x:f>
        <x:v>29014.25308954006</x:v>
      </x:c>
      <x:c r="G710" s="10" t="n">
        <x:f>IF('Income statement'!V50=0,1/39,E710/'Income statement'!V50)*('Shared costs'!Z21+'Assumptions'!$D$18*'Assumptions'!$D$19*12*(1+'Assumptions'!$D$13)^(19-1)*'Assumptions'!$D$21)</x:f>
        <x:v>3856.1077871345774</x:v>
      </x:c>
      <x:c r="H710" s="10" t="n">
        <x:f>IF('Income statement'!V50=0,1/39,E710/'Income statement'!V50)*'Cash and capital'!V18</x:f>
        <x:v>13.16863224083748</x:v>
      </x:c>
      <x:c r="I710" s="10" t="n">
        <x:f>E710-F710-G710-H710</x:f>
        <x:v>38599.92118026395</x:v>
      </x:c>
      <x:c r="J710" s="10" t="n">
        <x:f>M671</x:f>
        <x:v>0</x:v>
      </x:c>
      <x:c r="K710" s="10" t="n">
        <x:f>MAX(0,I710-J710)</x:f>
        <x:v>38599.92118026395</x:v>
      </x:c>
      <x:c r="L710" s="10" t="n">
        <x:f>K710*'Assumptions'!$D$12</x:f>
        <x:v>9649.980295065987</x:v>
      </x:c>
      <x:c r="M710" s="10" t="n">
        <x:f>MAX(0,J710-I710)</x:f>
        <x:v>0</x:v>
      </x:c>
    </x:row>
    <x:row r="711" ht="16" customHeight="1">
      <x:c r="A711" s="1"/>
      <x:c r="B711" s="1"/>
      <x:c r="C711" s="1" t="str">
        <x:v>ETV services</x:v>
      </x:c>
      <x:c r="D711" s="10" t="n">
        <x:v>19</x:v>
      </x:c>
      <x:c r="E711" s="10" t="n">
        <x:f>SUMIF('Revenue and costs'!$D$2312:$D$2439,C711,'Revenue and costs'!N2312:N2439)</x:f>
        <x:v>184836.96681050878</x:v>
      </x:c>
      <x:c r="F711" s="10" t="n">
        <x:f>SUMIF('Revenue and costs'!$D$2312:$D$2439,C711,'Revenue and costs'!O2312:O2439)+SUMIF('Revenue and costs'!$D$2312:$D$2439,C711,'Revenue and costs'!P2312:P2439)+SUMIF('Revenue and costs'!$D$2312:$D$2439,C711,'Revenue and costs'!Q2312:Q2439)+SUMIF('Revenue and costs'!$D$2312:$D$2439,C711,'Revenue and costs'!R2312:R2439)+SUMIF('Revenue and costs'!$D$2312:$D$2439,C711,'Revenue and costs'!S2312:S2439)+SUMIF('Revenue and costs'!$D$2312:$D$2439,C711,'Revenue and costs'!T2312:T2439)+SUMIF('Revenue and costs'!$D$2312:$D$2439,C711,'Revenue and costs'!U2312:U2439)+SUMIF('Revenue and costs'!$D$2312:$D$2439,C711,'Revenue and costs'!V2312:V2439)+SUMIF('Revenue and costs'!$D$2312:$D$2439,C711,'Revenue and costs'!AE2312:AE2439)</x:f>
        <x:v>136404.2153439472</x:v>
      </x:c>
      <x:c r="G711" s="10" t="n">
        <x:f>IF('Income statement'!V50=0,1/39,E711/'Income statement'!V50)*('Shared costs'!Z21+'Assumptions'!$D$18*'Assumptions'!$D$19*12*(1+'Assumptions'!$D$13)^(19-1)*'Assumptions'!$D$21)</x:f>
        <x:v>9970.857033294125</x:v>
      </x:c>
      <x:c r="H711" s="10" t="n">
        <x:f>IF('Income statement'!V50=0,1/39,E711/'Income statement'!V50)*'Cash and capital'!V18</x:f>
        <x:v>34.050539208341824</x:v>
      </x:c>
      <x:c r="I711" s="10" t="n">
        <x:f>E711-F711-G711-H711</x:f>
        <x:v>38427.84389405911</x:v>
      </x:c>
      <x:c r="J711" s="10" t="n">
        <x:f>M672</x:f>
        <x:v>0</x:v>
      </x:c>
      <x:c r="K711" s="10" t="n">
        <x:f>MAX(0,I711-J711)</x:f>
        <x:v>38427.84389405911</x:v>
      </x:c>
      <x:c r="L711" s="10" t="n">
        <x:f>K711*'Assumptions'!$D$12</x:f>
        <x:v>9606.960973514777</x:v>
      </x:c>
      <x:c r="M711" s="10" t="n">
        <x:f>MAX(0,J711-I711)</x:f>
        <x:v>0</x:v>
      </x:c>
    </x:row>
    <x:row r="712" ht="16" customHeight="1">
      <x:c r="A712" s="1"/>
      <x:c r="B712" s="1"/>
      <x:c r="C712" s="1" t="str">
        <x:v>BPA professional services</x:v>
      </x:c>
      <x:c r="D712" s="10" t="n">
        <x:v>19</x:v>
      </x:c>
      <x:c r="E712" s="10" t="n">
        <x:f>SUMIF('Revenue and costs'!$D$2312:$D$2439,C712,'Revenue and costs'!N2312:N2439)</x:f>
        <x:v>912798.43540194</x:v>
      </x:c>
      <x:c r="F712" s="10" t="n">
        <x:f>SUMIF('Revenue and costs'!$D$2312:$D$2439,C712,'Revenue and costs'!O2312:O2439)+SUMIF('Revenue and costs'!$D$2312:$D$2439,C712,'Revenue and costs'!P2312:P2439)+SUMIF('Revenue and costs'!$D$2312:$D$2439,C712,'Revenue and costs'!Q2312:Q2439)+SUMIF('Revenue and costs'!$D$2312:$D$2439,C712,'Revenue and costs'!R2312:R2439)+SUMIF('Revenue and costs'!$D$2312:$D$2439,C712,'Revenue and costs'!S2312:S2439)+SUMIF('Revenue and costs'!$D$2312:$D$2439,C712,'Revenue and costs'!T2312:T2439)+SUMIF('Revenue and costs'!$D$2312:$D$2439,C712,'Revenue and costs'!U2312:U2439)+SUMIF('Revenue and costs'!$D$2312:$D$2439,C712,'Revenue and costs'!V2312:V2439)+SUMIF('Revenue and costs'!$D$2312:$D$2439,C712,'Revenue and costs'!AE2312:AE2439)</x:f>
        <x:v>612894.7398368226</x:v>
      </x:c>
      <x:c r="G712" s="10" t="n">
        <x:f>IF('Income statement'!V50=0,1/39,E712/'Income statement'!V50)*('Shared costs'!Z21+'Assumptions'!$D$18*'Assumptions'!$D$19*12*(1+'Assumptions'!$D$13)^(19-1)*'Assumptions'!$D$21)</x:f>
        <x:v>49240.056557181364</x:v>
      </x:c>
      <x:c r="H712" s="10" t="n">
        <x:f>IF('Income statement'!V50=0,1/39,E712/'Income statement'!V50)*'Cash and capital'!V18</x:f>
        <x:v>168.15510149455517</x:v>
      </x:c>
      <x:c r="I712" s="10" t="n">
        <x:f>E712-F712-G712-H712</x:f>
        <x:v>250495.4839064415</x:v>
      </x:c>
      <x:c r="J712" s="10" t="n">
        <x:f>M673</x:f>
        <x:v>0</x:v>
      </x:c>
      <x:c r="K712" s="10" t="n">
        <x:f>MAX(0,I712-J712)</x:f>
        <x:v>250495.4839064415</x:v>
      </x:c>
      <x:c r="L712" s="10" t="n">
        <x:f>K712*'Assumptions'!$D$12</x:f>
        <x:v>62623.87097661038</x:v>
      </x:c>
      <x:c r="M712" s="10" t="n">
        <x:f>MAX(0,J712-I712)</x:f>
        <x:v>0</x:v>
      </x:c>
    </x:row>
    <x:row r="713" ht="16" customHeight="1">
      <x:c r="A713" s="1"/>
      <x:c r="B713" s="1"/>
      <x:c r="C713" s="1" t="str">
        <x:v>CornerFlow</x:v>
      </x:c>
      <x:c r="D713" s="10" t="n">
        <x:v>19</x:v>
      </x:c>
      <x:c r="E713" s="10" t="n">
        <x:f>SUMIF('Revenue and costs'!$D$2312:$D$2439,C713,'Revenue and costs'!N2312:N2439)</x:f>
        <x:v>35762.121647280335</x:v>
      </x:c>
      <x:c r="F713" s="10" t="n">
        <x:f>SUMIF('Revenue and costs'!$D$2312:$D$2439,C713,'Revenue and costs'!O2312:O2439)+SUMIF('Revenue and costs'!$D$2312:$D$2439,C713,'Revenue and costs'!P2312:P2439)+SUMIF('Revenue and costs'!$D$2312:$D$2439,C713,'Revenue and costs'!Q2312:Q2439)+SUMIF('Revenue and costs'!$D$2312:$D$2439,C713,'Revenue and costs'!R2312:R2439)+SUMIF('Revenue and costs'!$D$2312:$D$2439,C713,'Revenue and costs'!S2312:S2439)+SUMIF('Revenue and costs'!$D$2312:$D$2439,C713,'Revenue and costs'!T2312:T2439)+SUMIF('Revenue and costs'!$D$2312:$D$2439,C713,'Revenue and costs'!U2312:U2439)+SUMIF('Revenue and costs'!$D$2312:$D$2439,C713,'Revenue and costs'!V2312:V2439)+SUMIF('Revenue and costs'!$D$2312:$D$2439,C713,'Revenue and costs'!AE2312:AE2439)</x:f>
        <x:v>15315.602403162411</x:v>
      </x:c>
      <x:c r="G713" s="10" t="n">
        <x:f>IF('Income statement'!V50=0,1/39,E713/'Income statement'!V50)*('Shared costs'!Z21+'Assumptions'!$D$18*'Assumptions'!$D$19*12*(1+'Assumptions'!$D$13)^(19-1)*'Assumptions'!$D$21)</x:f>
        <x:v>1929.15415301022</x:v>
      </x:c>
      <x:c r="H713" s="10" t="n">
        <x:f>IF('Income statement'!V50=0,1/39,E713/'Income statement'!V50)*'Cash and capital'!V18</x:f>
        <x:v>6.58807351330641</x:v>
      </x:c>
      <x:c r="I713" s="10" t="n">
        <x:f>E713-F713-G713-H713</x:f>
        <x:v>18510.7770175944</x:v>
      </x:c>
      <x:c r="J713" s="10" t="n">
        <x:f>M674</x:f>
        <x:v>0</x:v>
      </x:c>
      <x:c r="K713" s="10" t="n">
        <x:f>MAX(0,I713-J713)</x:f>
        <x:v>18510.7770175944</x:v>
      </x:c>
      <x:c r="L713" s="10" t="n">
        <x:f>K713*'Assumptions'!$D$12</x:f>
        <x:v>4627.6942543986</x:v>
      </x:c>
      <x:c r="M713" s="10" t="n">
        <x:f>MAX(0,J713-I713)</x:f>
        <x:v>0</x:v>
      </x:c>
    </x:row>
    <x:row r="714" ht="16" customHeight="1">
      <x:c r="A714" s="1"/>
      <x:c r="B714" s="1"/>
      <x:c r="C714" s="1" t="str">
        <x:v>Spindle</x:v>
      </x:c>
      <x:c r="D714" s="10" t="n">
        <x:v>19</x:v>
      </x:c>
      <x:c r="E714" s="10" t="n">
        <x:f>SUMIF('Revenue and costs'!$D$2312:$D$2439,C714,'Revenue and costs'!N2312:N2439)</x:f>
        <x:v>35762.121647280335</x:v>
      </x:c>
      <x:c r="F714" s="10" t="n">
        <x:f>SUMIF('Revenue and costs'!$D$2312:$D$2439,C714,'Revenue and costs'!O2312:O2439)+SUMIF('Revenue and costs'!$D$2312:$D$2439,C714,'Revenue and costs'!P2312:P2439)+SUMIF('Revenue and costs'!$D$2312:$D$2439,C714,'Revenue and costs'!Q2312:Q2439)+SUMIF('Revenue and costs'!$D$2312:$D$2439,C714,'Revenue and costs'!R2312:R2439)+SUMIF('Revenue and costs'!$D$2312:$D$2439,C714,'Revenue and costs'!S2312:S2439)+SUMIF('Revenue and costs'!$D$2312:$D$2439,C714,'Revenue and costs'!T2312:T2439)+SUMIF('Revenue and costs'!$D$2312:$D$2439,C714,'Revenue and costs'!U2312:U2439)+SUMIF('Revenue and costs'!$D$2312:$D$2439,C714,'Revenue and costs'!V2312:V2439)+SUMIF('Revenue and costs'!$D$2312:$D$2439,C714,'Revenue and costs'!AE2312:AE2439)</x:f>
        <x:v>15315.602403162411</x:v>
      </x:c>
      <x:c r="G714" s="10" t="n">
        <x:f>IF('Income statement'!V50=0,1/39,E714/'Income statement'!V50)*('Shared costs'!Z21+'Assumptions'!$D$18*'Assumptions'!$D$19*12*(1+'Assumptions'!$D$13)^(19-1)*'Assumptions'!$D$21)</x:f>
        <x:v>1929.15415301022</x:v>
      </x:c>
      <x:c r="H714" s="10" t="n">
        <x:f>IF('Income statement'!V50=0,1/39,E714/'Income statement'!V50)*'Cash and capital'!V18</x:f>
        <x:v>6.58807351330641</x:v>
      </x:c>
      <x:c r="I714" s="10" t="n">
        <x:f>E714-F714-G714-H714</x:f>
        <x:v>18510.7770175944</x:v>
      </x:c>
      <x:c r="J714" s="10" t="n">
        <x:f>M675</x:f>
        <x:v>0</x:v>
      </x:c>
      <x:c r="K714" s="10" t="n">
        <x:f>MAX(0,I714-J714)</x:f>
        <x:v>18510.7770175944</x:v>
      </x:c>
      <x:c r="L714" s="10" t="n">
        <x:f>K714*'Assumptions'!$D$12</x:f>
        <x:v>4627.6942543986</x:v>
      </x:c>
      <x:c r="M714" s="10" t="n">
        <x:f>MAX(0,J714-I714)</x:f>
        <x:v>0</x:v>
      </x:c>
    </x:row>
    <x:row r="715" ht="16" customHeight="1">
      <x:c r="A715" s="1"/>
      <x:c r="B715" s="1"/>
      <x:c r="C715" s="1" t="str">
        <x:v>Maison Contour</x:v>
      </x:c>
      <x:c r="D715" s="10" t="n">
        <x:v>19</x:v>
      </x:c>
      <x:c r="E715" s="10" t="n">
        <x:f>SUMIF('Revenue and costs'!$D$2312:$D$2439,C715,'Revenue and costs'!N2312:N2439)</x:f>
        <x:v>50392.81025432816</x:v>
      </x:c>
      <x:c r="F715" s="10" t="n">
        <x:f>SUMIF('Revenue and costs'!$D$2312:$D$2439,C715,'Revenue and costs'!O2312:O2439)+SUMIF('Revenue and costs'!$D$2312:$D$2439,C715,'Revenue and costs'!P2312:P2439)+SUMIF('Revenue and costs'!$D$2312:$D$2439,C715,'Revenue and costs'!Q2312:Q2439)+SUMIF('Revenue and costs'!$D$2312:$D$2439,C715,'Revenue and costs'!R2312:R2439)+SUMIF('Revenue and costs'!$D$2312:$D$2439,C715,'Revenue and costs'!S2312:S2439)+SUMIF('Revenue and costs'!$D$2312:$D$2439,C715,'Revenue and costs'!T2312:T2439)+SUMIF('Revenue and costs'!$D$2312:$D$2439,C715,'Revenue and costs'!U2312:U2439)+SUMIF('Revenue and costs'!$D$2312:$D$2439,C715,'Revenue and costs'!V2312:V2439)+SUMIF('Revenue and costs'!$D$2312:$D$2439,C715,'Revenue and costs'!AE2312:AE2439)</x:f>
        <x:v>16484.54917331314</x:v>
      </x:c>
      <x:c r="G715" s="10" t="n">
        <x:f>IF('Income statement'!V50=0,1/39,E715/'Income statement'!V50)*('Shared costs'!Z21+'Assumptions'!$D$18*'Assumptions'!$D$19*12*(1+'Assumptions'!$D$13)^(19-1)*'Assumptions'!$D$21)</x:f>
        <x:v>2718.3929449942543</x:v>
      </x:c>
      <x:c r="H715" s="10" t="n">
        <x:f>IF('Income statement'!V50=0,1/39,E715/'Income statement'!V50)*'Cash and capital'!V18</x:f>
        <x:v>9.28332893031425</x:v>
      </x:c>
      <x:c r="I715" s="10" t="n">
        <x:f>E715-F715-G715-H715</x:f>
        <x:v>31180.584807090454</x:v>
      </x:c>
      <x:c r="J715" s="10" t="n">
        <x:f>M676</x:f>
        <x:v>0</x:v>
      </x:c>
      <x:c r="K715" s="10" t="n">
        <x:f>MAX(0,I715-J715)</x:f>
        <x:v>31180.584807090454</x:v>
      </x:c>
      <x:c r="L715" s="10" t="n">
        <x:f>K715*'Assumptions'!$D$12</x:f>
        <x:v>7795.1462017726135</x:v>
      </x:c>
      <x:c r="M715" s="10" t="n">
        <x:f>MAX(0,J715-I715)</x:f>
        <x:v>0</x:v>
      </x:c>
    </x:row>
    <x:row r="716" ht="16" customHeight="1">
      <x:c r="A716" s="1"/>
      <x:c r="B716" s="1"/>
      <x:c r="C716" s="1" t="str">
        <x:v>DishLoom US</x:v>
      </x:c>
      <x:c r="D716" s="10" t="n">
        <x:v>19</x:v>
      </x:c>
      <x:c r="E716" s="10" t="n">
        <x:f>SUMIF('Revenue and costs'!$D$2312:$D$2439,C716,'Revenue and costs'!N2312:N2439)</x:f>
        <x:v>46086.66911220066</x:v>
      </x:c>
      <x:c r="F716" s="10" t="n">
        <x:f>SUMIF('Revenue and costs'!$D$2312:$D$2439,C716,'Revenue and costs'!O2312:O2439)+SUMIF('Revenue and costs'!$D$2312:$D$2439,C716,'Revenue and costs'!P2312:P2439)+SUMIF('Revenue and costs'!$D$2312:$D$2439,C716,'Revenue and costs'!Q2312:Q2439)+SUMIF('Revenue and costs'!$D$2312:$D$2439,C716,'Revenue and costs'!R2312:R2439)+SUMIF('Revenue and costs'!$D$2312:$D$2439,C716,'Revenue and costs'!S2312:S2439)+SUMIF('Revenue and costs'!$D$2312:$D$2439,C716,'Revenue and costs'!T2312:T2439)+SUMIF('Revenue and costs'!$D$2312:$D$2439,C716,'Revenue and costs'!U2312:U2439)+SUMIF('Revenue and costs'!$D$2312:$D$2439,C716,'Revenue and costs'!V2312:V2439)+SUMIF('Revenue and costs'!$D$2312:$D$2439,C716,'Revenue and costs'!AE2312:AE2439)</x:f>
        <x:v>32885.74812332367</x:v>
      </x:c>
      <x:c r="G716" s="10" t="n">
        <x:f>IF('Income statement'!V50=0,1/39,E716/'Income statement'!V50)*('Shared costs'!Z21+'Assumptions'!$D$18*'Assumptions'!$D$19*12*(1+'Assumptions'!$D$13)^(19-1)*'Assumptions'!$D$21)</x:f>
        <x:v>2486.1021947497093</x:v>
      </x:c>
      <x:c r="H716" s="10" t="n">
        <x:f>IF('Income statement'!V50=0,1/39,E716/'Income statement'!V50)*'Cash and capital'!V18</x:f>
        <x:v>8.490054563574695</x:v>
      </x:c>
      <x:c r="I716" s="10" t="n">
        <x:f>E716-F716-G716-H716</x:f>
        <x:v>10706.328739563705</x:v>
      </x:c>
      <x:c r="J716" s="10" t="n">
        <x:f>M677</x:f>
        <x:v>0</x:v>
      </x:c>
      <x:c r="K716" s="10" t="n">
        <x:f>MAX(0,I716-J716)</x:f>
        <x:v>10706.328739563705</x:v>
      </x:c>
      <x:c r="L716" s="10" t="n">
        <x:f>K716*'Assumptions'!$D$12</x:f>
        <x:v>2676.5821848909263</x:v>
      </x:c>
      <x:c r="M716" s="10" t="n">
        <x:f>MAX(0,J716-I716)</x:f>
        <x:v>0</x:v>
      </x:c>
    </x:row>
    <x:row r="717" ht="16" customHeight="1">
      <x:c r="A717" s="1"/>
      <x:c r="B717" s="1"/>
      <x:c r="C717" s="1" t="str">
        <x:v>Is Makes Travel Easy</x:v>
      </x:c>
      <x:c r="D717" s="10" t="n">
        <x:v>19</x:v>
      </x:c>
      <x:c r="E717" s="10" t="n">
        <x:f>SUMIF('Revenue and costs'!$D$2312:$D$2439,C717,'Revenue and costs'!N2312:N2439)</x:f>
        <x:v>78073.3863795861</x:v>
      </x:c>
      <x:c r="F717" s="10" t="n">
        <x:f>SUMIF('Revenue and costs'!$D$2312:$D$2439,C717,'Revenue and costs'!O2312:O2439)+SUMIF('Revenue and costs'!$D$2312:$D$2439,C717,'Revenue and costs'!P2312:P2439)+SUMIF('Revenue and costs'!$D$2312:$D$2439,C717,'Revenue and costs'!Q2312:Q2439)+SUMIF('Revenue and costs'!$D$2312:$D$2439,C717,'Revenue and costs'!R2312:R2439)+SUMIF('Revenue and costs'!$D$2312:$D$2439,C717,'Revenue and costs'!S2312:S2439)+SUMIF('Revenue and costs'!$D$2312:$D$2439,C717,'Revenue and costs'!T2312:T2439)+SUMIF('Revenue and costs'!$D$2312:$D$2439,C717,'Revenue and costs'!U2312:U2439)+SUMIF('Revenue and costs'!$D$2312:$D$2439,C717,'Revenue and costs'!V2312:V2439)+SUMIF('Revenue and costs'!$D$2312:$D$2439,C717,'Revenue and costs'!AE2312:AE2439)</x:f>
        <x:v>46913.90249478723</x:v>
      </x:c>
      <x:c r="G717" s="10" t="n">
        <x:f>IF('Income statement'!V50=0,1/39,E717/'Income statement'!V50)*('Shared costs'!Z21+'Assumptions'!$D$18*'Assumptions'!$D$19*12*(1+'Assumptions'!$D$13)^(19-1)*'Assumptions'!$D$21)</x:f>
        <x:v>4211.595694999941</x:v>
      </x:c>
      <x:c r="H717" s="10" t="n">
        <x:f>IF('Income statement'!V50=0,1/39,E717/'Income statement'!V50)*'Cash and capital'!V18</x:f>
        <x:v>14.382625672339117</x:v>
      </x:c>
      <x:c r="I717" s="10" t="n">
        <x:f>E717-F717-G717-H717</x:f>
        <x:v>26933.505564126583</x:v>
      </x:c>
      <x:c r="J717" s="10" t="n">
        <x:f>M678</x:f>
        <x:v>0</x:v>
      </x:c>
      <x:c r="K717" s="10" t="n">
        <x:f>MAX(0,I717-J717)</x:f>
        <x:v>26933.505564126583</x:v>
      </x:c>
      <x:c r="L717" s="10" t="n">
        <x:f>K717*'Assumptions'!$D$12</x:f>
        <x:v>6733.376391031646</x:v>
      </x:c>
      <x:c r="M717" s="10" t="n">
        <x:f>MAX(0,J717-I717)</x:f>
        <x:v>0</x:v>
      </x:c>
    </x:row>
    <x:row r="718" ht="16" customHeight="1">
      <x:c r="A718" s="1"/>
      <x:c r="B718" s="1"/>
      <x:c r="C718" s="1" t="str">
        <x:v>Turbo Tax - Made Easy!</x:v>
      </x:c>
      <x:c r="D718" s="10" t="n">
        <x:v>19</x:v>
      </x:c>
      <x:c r="E718" s="10" t="n">
        <x:f>SUMIF('Revenue and costs'!$D$2312:$D$2439,C718,'Revenue and costs'!N2312:N2439)</x:f>
        <x:v>168778.572892817</x:v>
      </x:c>
      <x:c r="F718" s="10" t="n">
        <x:f>SUMIF('Revenue and costs'!$D$2312:$D$2439,C718,'Revenue and costs'!O2312:O2439)+SUMIF('Revenue and costs'!$D$2312:$D$2439,C718,'Revenue and costs'!P2312:P2439)+SUMIF('Revenue and costs'!$D$2312:$D$2439,C718,'Revenue and costs'!Q2312:Q2439)+SUMIF('Revenue and costs'!$D$2312:$D$2439,C718,'Revenue and costs'!R2312:R2439)+SUMIF('Revenue and costs'!$D$2312:$D$2439,C718,'Revenue and costs'!S2312:S2439)+SUMIF('Revenue and costs'!$D$2312:$D$2439,C718,'Revenue and costs'!T2312:T2439)+SUMIF('Revenue and costs'!$D$2312:$D$2439,C718,'Revenue and costs'!U2312:U2439)+SUMIF('Revenue and costs'!$D$2312:$D$2439,C718,'Revenue and costs'!V2312:V2439)+SUMIF('Revenue and costs'!$D$2312:$D$2439,C718,'Revenue and costs'!AE2312:AE2439)</x:f>
        <x:v>54828.82325034114</x:v>
      </x:c>
      <x:c r="G718" s="10" t="n">
        <x:f>IF('Income statement'!V50=0,1/39,E718/'Income statement'!V50)*('Shared costs'!Z21+'Assumptions'!$D$18*'Assumptions'!$D$19*12*(1+'Assumptions'!$D$13)^(19-1)*'Assumptions'!$D$21)</x:f>
        <x:v>9104.602015693818</x:v>
      </x:c>
      <x:c r="H718" s="10" t="n">
        <x:f>IF('Income statement'!V50=0,1/39,E718/'Income statement'!V50)*'Cash and capital'!V18</x:f>
        <x:v>31.092272898562314</x:v>
      </x:c>
      <x:c r="I718" s="10" t="n">
        <x:f>E718-F718-G718-H718</x:f>
        <x:v>104814.05535388348</x:v>
      </x:c>
      <x:c r="J718" s="10" t="n">
        <x:f>M679</x:f>
        <x:v>0</x:v>
      </x:c>
      <x:c r="K718" s="10" t="n">
        <x:f>MAX(0,I718-J718)</x:f>
        <x:v>104814.05535388348</x:v>
      </x:c>
      <x:c r="L718" s="10" t="n">
        <x:f>K718*'Assumptions'!$D$12</x:f>
        <x:v>26203.51383847087</x:v>
      </x:c>
      <x:c r="M718" s="10" t="n">
        <x:f>MAX(0,J718-I718)</x:f>
        <x:v>0</x:v>
      </x:c>
    </x:row>
    <x:row r="719" ht="16" customHeight="1">
      <x:c r="A719" s="1"/>
      <x:c r="B719" s="1"/>
      <x:c r="C719" s="1" t="str">
        <x:v>LavaLearning adult</x:v>
      </x:c>
      <x:c r="D719" s="10" t="n">
        <x:v>19</x:v>
      </x:c>
      <x:c r="E719" s="10" t="n">
        <x:f>SUMIF('Revenue and costs'!$D$2312:$D$2439,C719,'Revenue and costs'!N2312:N2439)</x:f>
        <x:v>94168.00016596488</x:v>
      </x:c>
      <x:c r="F719" s="10" t="n">
        <x:f>SUMIF('Revenue and costs'!$D$2312:$D$2439,C719,'Revenue and costs'!O2312:O2439)+SUMIF('Revenue and costs'!$D$2312:$D$2439,C719,'Revenue and costs'!P2312:P2439)+SUMIF('Revenue and costs'!$D$2312:$D$2439,C719,'Revenue and costs'!Q2312:Q2439)+SUMIF('Revenue and costs'!$D$2312:$D$2439,C719,'Revenue and costs'!R2312:R2439)+SUMIF('Revenue and costs'!$D$2312:$D$2439,C719,'Revenue and costs'!S2312:S2439)+SUMIF('Revenue and costs'!$D$2312:$D$2439,C719,'Revenue and costs'!T2312:T2439)+SUMIF('Revenue and costs'!$D$2312:$D$2439,C719,'Revenue and costs'!U2312:U2439)+SUMIF('Revenue and costs'!$D$2312:$D$2439,C719,'Revenue and costs'!V2312:V2439)+SUMIF('Revenue and costs'!$D$2312:$D$2439,C719,'Revenue and costs'!AE2312:AE2439)</x:f>
        <x:v>42102.29769023782</x:v>
      </x:c>
      <x:c r="G719" s="10" t="n">
        <x:f>IF('Income statement'!V50=0,1/39,E719/'Income statement'!V50)*('Shared costs'!Z21+'Assumptions'!$D$18*'Assumptions'!$D$19*12*(1+'Assumptions'!$D$13)^(19-1)*'Assumptions'!$D$21)</x:f>
        <x:v>5079.804559488534</x:v>
      </x:c>
      <x:c r="H719" s="10" t="n">
        <x:f>IF('Income statement'!V50=0,1/39,E719/'Income statement'!V50)*'Cash and capital'!V18</x:f>
        <x:v>17.347564381477532</x:v>
      </x:c>
      <x:c r="I719" s="10" t="n">
        <x:f>E719-F719-G719-H719</x:f>
        <x:v>46968.550351857055</x:v>
      </x:c>
      <x:c r="J719" s="10" t="n">
        <x:f>M680</x:f>
        <x:v>0</x:v>
      </x:c>
      <x:c r="K719" s="10" t="n">
        <x:f>MAX(0,I719-J719)</x:f>
        <x:v>46968.550351857055</x:v>
      </x:c>
      <x:c r="L719" s="10" t="n">
        <x:f>K719*'Assumptions'!$D$12</x:f>
        <x:v>11742.137587964264</x:v>
      </x:c>
      <x:c r="M719" s="10" t="n">
        <x:f>MAX(0,J719-I719)</x:f>
        <x:v>0</x:v>
      </x:c>
    </x:row>
    <x:row r="720" ht="16" customHeight="1">
      <x:c r="A720" s="1"/>
      <x:c r="B720" s="1"/>
      <x:c r="C720" s="1" t="str">
        <x:v>LavaLearning Model Life</x:v>
      </x:c>
      <x:c r="D720" s="10" t="n">
        <x:v>19</x:v>
      </x:c>
      <x:c r="E720" s="10" t="n">
        <x:f>SUMIF('Revenue and costs'!$D$2312:$D$2439,C720,'Revenue and costs'!N2312:N2439)</x:f>
        <x:v>0</x:v>
      </x:c>
      <x:c r="F720" s="10" t="n">
        <x:f>SUMIF('Revenue and costs'!$D$2312:$D$2439,C720,'Revenue and costs'!O2312:O2439)+SUMIF('Revenue and costs'!$D$2312:$D$2439,C720,'Revenue and costs'!P2312:P2439)+SUMIF('Revenue and costs'!$D$2312:$D$2439,C720,'Revenue and costs'!Q2312:Q2439)+SUMIF('Revenue and costs'!$D$2312:$D$2439,C720,'Revenue and costs'!R2312:R2439)+SUMIF('Revenue and costs'!$D$2312:$D$2439,C720,'Revenue and costs'!S2312:S2439)+SUMIF('Revenue and costs'!$D$2312:$D$2439,C720,'Revenue and costs'!T2312:T2439)+SUMIF('Revenue and costs'!$D$2312:$D$2439,C720,'Revenue and costs'!U2312:U2439)+SUMIF('Revenue and costs'!$D$2312:$D$2439,C720,'Revenue and costs'!V2312:V2439)+SUMIF('Revenue and costs'!$D$2312:$D$2439,C720,'Revenue and costs'!AE2312:AE2439)</x:f>
        <x:v>0</x:v>
      </x:c>
      <x:c r="G720" s="10" t="n">
        <x:f>IF('Income statement'!V50=0,1/39,E720/'Income statement'!V50)*('Shared costs'!Z21+'Assumptions'!$D$18*'Assumptions'!$D$19*12*(1+'Assumptions'!$D$13)^(19-1)*'Assumptions'!$D$21)</x:f>
        <x:v>0</x:v>
      </x:c>
      <x:c r="H720" s="10" t="n">
        <x:f>IF('Income statement'!V50=0,1/39,E720/'Income statement'!V50)*'Cash and capital'!V18</x:f>
        <x:v>0</x:v>
      </x:c>
      <x:c r="I720" s="10" t="n">
        <x:f>E720-F720-G720-H720</x:f>
        <x:v>0</x:v>
      </x:c>
      <x:c r="J720" s="10" t="n">
        <x:f>M681</x:f>
        <x:v>0</x:v>
      </x:c>
      <x:c r="K720" s="10" t="n">
        <x:f>MAX(0,I720-J720)</x:f>
        <x:v>0</x:v>
      </x:c>
      <x:c r="L720" s="10" t="n">
        <x:f>K720*'Assumptions'!$D$12</x:f>
        <x:v>0</x:v>
      </x:c>
      <x:c r="M720" s="10" t="n">
        <x:f>MAX(0,J720-I720)</x:f>
        <x:v>0</x:v>
      </x:c>
    </x:row>
    <x:row r="721" ht="16" customHeight="1">
      <x:c r="A721" s="1"/>
      <x:c r="B721" s="1"/>
      <x:c r="C721" s="1" t="str">
        <x:v>LavaLearning Kids</x:v>
      </x:c>
      <x:c r="D721" s="10" t="n">
        <x:v>19</x:v>
      </x:c>
      <x:c r="E721" s="10" t="n">
        <x:f>SUMIF('Revenue and costs'!$D$2312:$D$2439,C721,'Revenue and costs'!N2312:N2439)</x:f>
        <x:v>41380.53201854264</x:v>
      </x:c>
      <x:c r="F721" s="10" t="n">
        <x:f>SUMIF('Revenue and costs'!$D$2312:$D$2439,C721,'Revenue and costs'!O2312:O2439)+SUMIF('Revenue and costs'!$D$2312:$D$2439,C721,'Revenue and costs'!P2312:P2439)+SUMIF('Revenue and costs'!$D$2312:$D$2439,C721,'Revenue and costs'!Q2312:Q2439)+SUMIF('Revenue and costs'!$D$2312:$D$2439,C721,'Revenue and costs'!R2312:R2439)+SUMIF('Revenue and costs'!$D$2312:$D$2439,C721,'Revenue and costs'!S2312:S2439)+SUMIF('Revenue and costs'!$D$2312:$D$2439,C721,'Revenue and costs'!T2312:T2439)+SUMIF('Revenue and costs'!$D$2312:$D$2439,C721,'Revenue and costs'!U2312:U2439)+SUMIF('Revenue and costs'!$D$2312:$D$2439,C721,'Revenue and costs'!V2312:V2439)+SUMIF('Revenue and costs'!$D$2312:$D$2439,C721,'Revenue and costs'!AE2312:AE2439)</x:f>
        <x:v>26265.998973804293</x:v>
      </x:c>
      <x:c r="G721" s="10" t="n">
        <x:f>IF('Income statement'!V50=0,1/39,E721/'Income statement'!V50)*('Shared costs'!Z21+'Assumptions'!$D$18*'Assumptions'!$D$19*12*(1+'Assumptions'!$D$13)^(19-1)*'Assumptions'!$D$21)</x:f>
        <x:v>2232.234037585822</x:v>
      </x:c>
      <x:c r="H721" s="10" t="n">
        <x:f>IF('Income statement'!V50=0,1/39,E721/'Income statement'!V50)*'Cash and capital'!V18</x:f>
        <x:v>7.623093217083245</x:v>
      </x:c>
      <x:c r="I721" s="10" t="n">
        <x:f>E721-F721-G721-H721</x:f>
        <x:v>12874.67591393544</x:v>
      </x:c>
      <x:c r="J721" s="10" t="n">
        <x:f>M682</x:f>
        <x:v>0</x:v>
      </x:c>
      <x:c r="K721" s="10" t="n">
        <x:f>MAX(0,I721-J721)</x:f>
        <x:v>12874.67591393544</x:v>
      </x:c>
      <x:c r="L721" s="10" t="n">
        <x:f>K721*'Assumptions'!$D$12</x:f>
        <x:v>3218.66897848386</x:v>
      </x:c>
      <x:c r="M721" s="10" t="n">
        <x:f>MAX(0,J721-I721)</x:f>
        <x:v>0</x:v>
      </x:c>
    </x:row>
    <x:row r="722" ht="16" customHeight="1">
      <x:c r="A722" s="1"/>
      <x:c r="B722" s="1"/>
      <x:c r="C722" s="1" t="str">
        <x:v>VraiSkill adult</x:v>
      </x:c>
      <x:c r="D722" s="10" t="n">
        <x:v>19</x:v>
      </x:c>
      <x:c r="E722" s="10" t="n">
        <x:f>SUMIF('Revenue and costs'!$D$2312:$D$2439,C722,'Revenue and costs'!N2312:N2439)</x:f>
        <x:v>78361.66010680165</x:v>
      </x:c>
      <x:c r="F722" s="10" t="n">
        <x:f>SUMIF('Revenue and costs'!$D$2312:$D$2439,C722,'Revenue and costs'!O2312:O2439)+SUMIF('Revenue and costs'!$D$2312:$D$2439,C722,'Revenue and costs'!P2312:P2439)+SUMIF('Revenue and costs'!$D$2312:$D$2439,C722,'Revenue and costs'!Q2312:Q2439)+SUMIF('Revenue and costs'!$D$2312:$D$2439,C722,'Revenue and costs'!R2312:R2439)+SUMIF('Revenue and costs'!$D$2312:$D$2439,C722,'Revenue and costs'!S2312:S2439)+SUMIF('Revenue and costs'!$D$2312:$D$2439,C722,'Revenue and costs'!T2312:T2439)+SUMIF('Revenue and costs'!$D$2312:$D$2439,C722,'Revenue and costs'!U2312:U2439)+SUMIF('Revenue and costs'!$D$2312:$D$2439,C722,'Revenue and costs'!V2312:V2439)+SUMIF('Revenue and costs'!$D$2312:$D$2439,C722,'Revenue and costs'!AE2312:AE2439)</x:f>
        <x:v>66806.0742532701</x:v>
      </x:c>
      <x:c r="G722" s="10" t="n">
        <x:f>IF('Income statement'!V50=0,1/39,E722/'Income statement'!V50)*('Shared costs'!Z21+'Assumptions'!$D$18*'Assumptions'!$D$19*12*(1+'Assumptions'!$D$13)^(19-1)*'Assumptions'!$D$21)</x:f>
        <x:v>4227.146351181547</x:v>
      </x:c>
      <x:c r="H722" s="10" t="n">
        <x:f>IF('Income statement'!V50=0,1/39,E722/'Income statement'!V50)*'Cash and capital'!V18</x:f>
        <x:v>14.435731260580841</x:v>
      </x:c>
      <x:c r="I722" s="10" t="n">
        <x:f>E722-F722-G722-H722</x:f>
        <x:v>7314.003771089421</x:v>
      </x:c>
      <x:c r="J722" s="10" t="n">
        <x:f>M683</x:f>
        <x:v>0</x:v>
      </x:c>
      <x:c r="K722" s="10" t="n">
        <x:f>MAX(0,I722-J722)</x:f>
        <x:v>7314.003771089421</x:v>
      </x:c>
      <x:c r="L722" s="10" t="n">
        <x:f>K722*'Assumptions'!$D$12</x:f>
        <x:v>1828.5009427723553</x:v>
      </x:c>
      <x:c r="M722" s="10" t="n">
        <x:f>MAX(0,J722-I722)</x:f>
        <x:v>0</x:v>
      </x:c>
    </x:row>
    <x:row r="723" ht="16" customHeight="1">
      <x:c r="A723" s="1"/>
      <x:c r="B723" s="1"/>
      <x:c r="C723" s="1" t="str">
        <x:v>VraiSkill teen</x:v>
      </x:c>
      <x:c r="D723" s="10" t="n">
        <x:v>19</x:v>
      </x:c>
      <x:c r="E723" s="10" t="n">
        <x:f>SUMIF('Revenue and costs'!$D$2312:$D$2439,C723,'Revenue and costs'!N2312:N2439)</x:f>
        <x:v>34846.76380508853</x:v>
      </x:c>
      <x:c r="F723" s="10" t="n">
        <x:f>SUMIF('Revenue and costs'!$D$2312:$D$2439,C723,'Revenue and costs'!O2312:O2439)+SUMIF('Revenue and costs'!$D$2312:$D$2439,C723,'Revenue and costs'!P2312:P2439)+SUMIF('Revenue and costs'!$D$2312:$D$2439,C723,'Revenue and costs'!Q2312:Q2439)+SUMIF('Revenue and costs'!$D$2312:$D$2439,C723,'Revenue and costs'!R2312:R2439)+SUMIF('Revenue and costs'!$D$2312:$D$2439,C723,'Revenue and costs'!S2312:S2439)+SUMIF('Revenue and costs'!$D$2312:$D$2439,C723,'Revenue and costs'!T2312:T2439)+SUMIF('Revenue and costs'!$D$2312:$D$2439,C723,'Revenue and costs'!U2312:U2439)+SUMIF('Revenue and costs'!$D$2312:$D$2439,C723,'Revenue and costs'!V2312:V2439)+SUMIF('Revenue and costs'!$D$2312:$D$2439,C723,'Revenue and costs'!AE2312:AE2439)</x:f>
        <x:v>18226.891597129194</x:v>
      </x:c>
      <x:c r="G723" s="10" t="n">
        <x:f>IF('Income statement'!V50=0,1/39,E723/'Income statement'!V50)*('Shared costs'!Z21+'Assumptions'!$D$18*'Assumptions'!$D$19*12*(1+'Assumptions'!$D$13)^(19-1)*'Assumptions'!$D$21)</x:f>
        <x:v>1879.776031651218</x:v>
      </x:c>
      <x:c r="H723" s="10" t="n">
        <x:f>IF('Income statement'!V50=0,1/39,E723/'Income statement'!V50)*'Cash and capital'!V18</x:f>
        <x:v>6.4194469196490465</x:v>
      </x:c>
      <x:c r="I723" s="10" t="n">
        <x:f>E723-F723-G723-H723</x:f>
        <x:v>14733.67672938847</x:v>
      </x:c>
      <x:c r="J723" s="10" t="n">
        <x:f>M684</x:f>
        <x:v>0</x:v>
      </x:c>
      <x:c r="K723" s="10" t="n">
        <x:f>MAX(0,I723-J723)</x:f>
        <x:v>14733.67672938847</x:v>
      </x:c>
      <x:c r="L723" s="10" t="n">
        <x:f>K723*'Assumptions'!$D$12</x:f>
        <x:v>3683.4191823471174</x:v>
      </x:c>
      <x:c r="M723" s="10" t="n">
        <x:f>MAX(0,J723-I723)</x:f>
        <x:v>0</x:v>
      </x:c>
    </x:row>
    <x:row r="724" ht="16" customHeight="1">
      <x:c r="A724" s="1"/>
      <x:c r="B724" s="1"/>
      <x:c r="C724" s="1" t="str">
        <x:v>VraiSkill Model Life</x:v>
      </x:c>
      <x:c r="D724" s="10" t="n">
        <x:v>19</x:v>
      </x:c>
      <x:c r="E724" s="10" t="n">
        <x:f>SUMIF('Revenue and costs'!$D$2312:$D$2439,C724,'Revenue and costs'!N2312:N2439)</x:f>
        <x:v>0</x:v>
      </x:c>
      <x:c r="F724" s="10" t="n">
        <x:f>SUMIF('Revenue and costs'!$D$2312:$D$2439,C724,'Revenue and costs'!O2312:O2439)+SUMIF('Revenue and costs'!$D$2312:$D$2439,C724,'Revenue and costs'!P2312:P2439)+SUMIF('Revenue and costs'!$D$2312:$D$2439,C724,'Revenue and costs'!Q2312:Q2439)+SUMIF('Revenue and costs'!$D$2312:$D$2439,C724,'Revenue and costs'!R2312:R2439)+SUMIF('Revenue and costs'!$D$2312:$D$2439,C724,'Revenue and costs'!S2312:S2439)+SUMIF('Revenue and costs'!$D$2312:$D$2439,C724,'Revenue and costs'!T2312:T2439)+SUMIF('Revenue and costs'!$D$2312:$D$2439,C724,'Revenue and costs'!U2312:U2439)+SUMIF('Revenue and costs'!$D$2312:$D$2439,C724,'Revenue and costs'!V2312:V2439)+SUMIF('Revenue and costs'!$D$2312:$D$2439,C724,'Revenue and costs'!AE2312:AE2439)</x:f>
        <x:v>0</x:v>
      </x:c>
      <x:c r="G724" s="10" t="n">
        <x:f>IF('Income statement'!V50=0,1/39,E724/'Income statement'!V50)*('Shared costs'!Z21+'Assumptions'!$D$18*'Assumptions'!$D$19*12*(1+'Assumptions'!$D$13)^(19-1)*'Assumptions'!$D$21)</x:f>
        <x:v>0</x:v>
      </x:c>
      <x:c r="H724" s="10" t="n">
        <x:f>IF('Income statement'!V50=0,1/39,E724/'Income statement'!V50)*'Cash and capital'!V18</x:f>
        <x:v>0</x:v>
      </x:c>
      <x:c r="I724" s="10" t="n">
        <x:f>E724-F724-G724-H724</x:f>
        <x:v>0</x:v>
      </x:c>
      <x:c r="J724" s="10" t="n">
        <x:f>M685</x:f>
        <x:v>0</x:v>
      </x:c>
      <x:c r="K724" s="10" t="n">
        <x:f>MAX(0,I724-J724)</x:f>
        <x:v>0</x:v>
      </x:c>
      <x:c r="L724" s="10" t="n">
        <x:f>K724*'Assumptions'!$D$12</x:f>
        <x:v>0</x:v>
      </x:c>
      <x:c r="M724" s="10" t="n">
        <x:f>MAX(0,J724-I724)</x:f>
        <x:v>0</x:v>
      </x:c>
    </x:row>
    <x:row r="725" ht="16" customHeight="1">
      <x:c r="A725" s="1"/>
      <x:c r="B725" s="1"/>
      <x:c r="C725" s="1" t="str">
        <x:v>Model Life</x:v>
      </x:c>
      <x:c r="D725" s="10" t="n">
        <x:v>19</x:v>
      </x:c>
      <x:c r="E725" s="10" t="n">
        <x:f>SUMIF('Revenue and costs'!$D$2312:$D$2439,C725,'Revenue and costs'!N2312:N2439)</x:f>
        <x:v>132651.5767039003</x:v>
      </x:c>
      <x:c r="F725" s="10" t="n">
        <x:f>SUMIF('Revenue and costs'!$D$2312:$D$2439,C725,'Revenue and costs'!O2312:O2439)+SUMIF('Revenue and costs'!$D$2312:$D$2439,C725,'Revenue and costs'!P2312:P2439)+SUMIF('Revenue and costs'!$D$2312:$D$2439,C725,'Revenue and costs'!Q2312:Q2439)+SUMIF('Revenue and costs'!$D$2312:$D$2439,C725,'Revenue and costs'!R2312:R2439)+SUMIF('Revenue and costs'!$D$2312:$D$2439,C725,'Revenue and costs'!S2312:S2439)+SUMIF('Revenue and costs'!$D$2312:$D$2439,C725,'Revenue and costs'!T2312:T2439)+SUMIF('Revenue and costs'!$D$2312:$D$2439,C725,'Revenue and costs'!U2312:U2439)+SUMIF('Revenue and costs'!$D$2312:$D$2439,C725,'Revenue and costs'!V2312:V2439)+SUMIF('Revenue and costs'!$D$2312:$D$2439,C725,'Revenue and costs'!AE2312:AE2439)</x:f>
        <x:v>45408.79630727058</x:v>
      </x:c>
      <x:c r="G725" s="10" t="n">
        <x:f>IF('Income statement'!V50=0,1/39,E725/'Income statement'!V50)*('Shared costs'!Z21+'Assumptions'!$D$18*'Assumptions'!$D$19*12*(1+'Assumptions'!$D$13)^(19-1)*'Assumptions'!$D$21)</x:f>
        <x:v>7155.765047321915</x:v>
      </x:c>
      <x:c r="H725" s="10" t="n">
        <x:f>IF('Income statement'!V50=0,1/39,E725/'Income statement'!V50)*'Cash and capital'!V18</x:f>
        <x:v>24.436982447537748</x:v>
      </x:c>
      <x:c r="I725" s="10" t="n">
        <x:f>E725-F725-G725-H725</x:f>
        <x:v>80062.57836686025</x:v>
      </x:c>
      <x:c r="J725" s="10" t="n">
        <x:f>M686</x:f>
        <x:v>0</x:v>
      </x:c>
      <x:c r="K725" s="10" t="n">
        <x:f>MAX(0,I725-J725)</x:f>
        <x:v>80062.57836686025</x:v>
      </x:c>
      <x:c r="L725" s="10" t="n">
        <x:f>K725*'Assumptions'!$D$12</x:f>
        <x:v>20015.644591715063</x:v>
      </x:c>
      <x:c r="M725" s="10" t="n">
        <x:f>MAX(0,J725-I725)</x:f>
        <x:v>0</x:v>
      </x:c>
    </x:row>
    <x:row r="726" ht="16" customHeight="1">
      <x:c r="A726" s="1"/>
      <x:c r="B726" s="1"/>
      <x:c r="C726" s="1" t="str">
        <x:v>S’otality cleaning</x:v>
      </x:c>
      <x:c r="D726" s="10" t="n">
        <x:v>19</x:v>
      </x:c>
      <x:c r="E726" s="10" t="n">
        <x:f>SUMIF('Revenue and costs'!$D$2312:$D$2439,C726,'Revenue and costs'!N2312:N2439)</x:f>
        <x:v>409649.6219309283</x:v>
      </x:c>
      <x:c r="F726" s="10" t="n">
        <x:f>SUMIF('Revenue and costs'!$D$2312:$D$2439,C726,'Revenue and costs'!O2312:O2439)+SUMIF('Revenue and costs'!$D$2312:$D$2439,C726,'Revenue and costs'!P2312:P2439)+SUMIF('Revenue and costs'!$D$2312:$D$2439,C726,'Revenue and costs'!Q2312:Q2439)+SUMIF('Revenue and costs'!$D$2312:$D$2439,C726,'Revenue and costs'!R2312:R2439)+SUMIF('Revenue and costs'!$D$2312:$D$2439,C726,'Revenue and costs'!S2312:S2439)+SUMIF('Revenue and costs'!$D$2312:$D$2439,C726,'Revenue and costs'!T2312:T2439)+SUMIF('Revenue and costs'!$D$2312:$D$2439,C726,'Revenue and costs'!U2312:U2439)+SUMIF('Revenue and costs'!$D$2312:$D$2439,C726,'Revenue and costs'!V2312:V2439)+SUMIF('Revenue and costs'!$D$2312:$D$2439,C726,'Revenue and costs'!AE2312:AE2439)</x:f>
        <x:v>356774.48512610135</x:v>
      </x:c>
      <x:c r="G726" s="10" t="n">
        <x:f>IF('Income statement'!V50=0,1/39,E726/'Income statement'!V50)*('Shared costs'!Z21+'Assumptions'!$D$18*'Assumptions'!$D$19*12*(1+'Assumptions'!$D$13)^(19-1)*'Assumptions'!$D$21)</x:f>
        <x:v>22098.16512626332</x:v>
      </x:c>
      <x:c r="H726" s="10" t="n">
        <x:f>IF('Income statement'!V50=0,1/39,E726/'Income statement'!V50)*'Cash and capital'!V18</x:f>
        <x:v>75.46537228963244</x:v>
      </x:c>
      <x:c r="I726" s="10" t="n">
        <x:f>E726-F726-G726-H726</x:f>
        <x:v>30701.506306274012</x:v>
      </x:c>
      <x:c r="J726" s="10" t="n">
        <x:f>M687</x:f>
        <x:v>0</x:v>
      </x:c>
      <x:c r="K726" s="10" t="n">
        <x:f>MAX(0,I726-J726)</x:f>
        <x:v>30701.506306274012</x:v>
      </x:c>
      <x:c r="L726" s="10" t="n">
        <x:f>K726*'Assumptions'!$D$12</x:f>
        <x:v>7675.376576568503</x:v>
      </x:c>
      <x:c r="M726" s="10" t="n">
        <x:f>MAX(0,J726-I726)</x:f>
        <x:v>0</x:v>
      </x:c>
    </x:row>
    <x:row r="727" ht="16" customHeight="1">
      <x:c r="A727" s="1"/>
      <x:c r="B727" s="1"/>
      <x:c r="C727" s="1" t="str">
        <x:v>S’otality laundry</x:v>
      </x:c>
      <x:c r="D727" s="10" t="n">
        <x:v>19</x:v>
      </x:c>
      <x:c r="E727" s="10" t="n">
        <x:f>SUMIF('Revenue and costs'!$D$2312:$D$2439,C727,'Revenue and costs'!N2312:N2439)</x:f>
        <x:v>63493.33979411631</x:v>
      </x:c>
      <x:c r="F727" s="10" t="n">
        <x:f>SUMIF('Revenue and costs'!$D$2312:$D$2439,C727,'Revenue and costs'!O2312:O2439)+SUMIF('Revenue and costs'!$D$2312:$D$2439,C727,'Revenue and costs'!P2312:P2439)+SUMIF('Revenue and costs'!$D$2312:$D$2439,C727,'Revenue and costs'!Q2312:Q2439)+SUMIF('Revenue and costs'!$D$2312:$D$2439,C727,'Revenue and costs'!R2312:R2439)+SUMIF('Revenue and costs'!$D$2312:$D$2439,C727,'Revenue and costs'!S2312:S2439)+SUMIF('Revenue and costs'!$D$2312:$D$2439,C727,'Revenue and costs'!T2312:T2439)+SUMIF('Revenue and costs'!$D$2312:$D$2439,C727,'Revenue and costs'!U2312:U2439)+SUMIF('Revenue and costs'!$D$2312:$D$2439,C727,'Revenue and costs'!V2312:V2439)+SUMIF('Revenue and costs'!$D$2312:$D$2439,C727,'Revenue and costs'!AE2312:AE2439)</x:f>
        <x:v>59567.88616317576</x:v>
      </x:c>
      <x:c r="G727" s="10" t="n">
        <x:f>IF('Income statement'!V50=0,1/39,E727/'Income statement'!V50)*('Shared costs'!Z21+'Assumptions'!$D$18*'Assumptions'!$D$19*12*(1+'Assumptions'!$D$13)^(19-1)*'Assumptions'!$D$21)</x:f>
        <x:v>3425.0887394323163</x:v>
      </x:c>
      <x:c r="H727" s="10" t="n">
        <x:f>IF('Income statement'!V50=0,1/39,E727/'Income statement'!V50)*'Cash and capital'!V18</x:f>
        <x:v>11.696699493800661</x:v>
      </x:c>
      <x:c r="I727" s="10" t="n">
        <x:f>E727-F727-G727-H727</x:f>
        <x:v>488.66819201443514</x:v>
      </x:c>
      <x:c r="J727" s="10" t="n">
        <x:f>M688</x:f>
        <x:v>0</x:v>
      </x:c>
      <x:c r="K727" s="10" t="n">
        <x:f>MAX(0,I727-J727)</x:f>
        <x:v>488.66819201443514</x:v>
      </x:c>
      <x:c r="L727" s="10" t="n">
        <x:f>K727*'Assumptions'!$D$12</x:f>
        <x:v>122.16704800360878</x:v>
      </x:c>
      <x:c r="M727" s="10" t="n">
        <x:f>MAX(0,J727-I727)</x:f>
        <x:v>0</x:v>
      </x:c>
    </x:row>
    <x:row r="728" ht="16" customHeight="1">
      <x:c r="A728" s="1"/>
      <x:c r="B728" s="1"/>
      <x:c r="C728" s="1" t="str">
        <x:v>S’otality Personal Chef</x:v>
      </x:c>
      <x:c r="D728" s="10" t="n">
        <x:v>19</x:v>
      </x:c>
      <x:c r="E728" s="10" t="n">
        <x:f>SUMIF('Revenue and costs'!$D$2312:$D$2439,C728,'Revenue and costs'!N2312:N2439)</x:f>
        <x:v>114639.38057082341</x:v>
      </x:c>
      <x:c r="F728" s="10" t="n">
        <x:f>SUMIF('Revenue and costs'!$D$2312:$D$2439,C728,'Revenue and costs'!O2312:O2439)+SUMIF('Revenue and costs'!$D$2312:$D$2439,C728,'Revenue and costs'!P2312:P2439)+SUMIF('Revenue and costs'!$D$2312:$D$2439,C728,'Revenue and costs'!Q2312:Q2439)+SUMIF('Revenue and costs'!$D$2312:$D$2439,C728,'Revenue and costs'!R2312:R2439)+SUMIF('Revenue and costs'!$D$2312:$D$2439,C728,'Revenue and costs'!S2312:S2439)+SUMIF('Revenue and costs'!$D$2312:$D$2439,C728,'Revenue and costs'!T2312:T2439)+SUMIF('Revenue and costs'!$D$2312:$D$2439,C728,'Revenue and costs'!U2312:U2439)+SUMIF('Revenue and costs'!$D$2312:$D$2439,C728,'Revenue and costs'!V2312:V2439)+SUMIF('Revenue and costs'!$D$2312:$D$2439,C728,'Revenue and costs'!AE2312:AE2439)</x:f>
        <x:v>94451.36397725575</x:v>
      </x:c>
      <x:c r="G728" s="10" t="n">
        <x:f>IF('Income statement'!V50=0,1/39,E728/'Income statement'!V50)*('Shared costs'!Z21+'Assumptions'!$D$18*'Assumptions'!$D$19*12*(1+'Assumptions'!$D$13)^(19-1)*'Assumptions'!$D$21)</x:f>
        <x:v>6184.113999386886</x:v>
      </x:c>
      <x:c r="H728" s="10" t="n">
        <x:f>IF('Income statement'!V50=0,1/39,E728/'Income statement'!V50)*'Cash and capital'!V18</x:f>
        <x:v>21.118788034152644</x:v>
      </x:c>
      <x:c r="I728" s="10" t="n">
        <x:f>E728-F728-G728-H728</x:f>
        <x:v>13982.783806146625</x:v>
      </x:c>
      <x:c r="J728" s="10" t="n">
        <x:f>M689</x:f>
        <x:v>0</x:v>
      </x:c>
      <x:c r="K728" s="10" t="n">
        <x:f>MAX(0,I728-J728)</x:f>
        <x:v>13982.783806146625</x:v>
      </x:c>
      <x:c r="L728" s="10" t="n">
        <x:f>K728*'Assumptions'!$D$12</x:f>
        <x:v>3495.695951536656</x:v>
      </x:c>
      <x:c r="M728" s="10" t="n">
        <x:f>MAX(0,J728-I728)</x:f>
        <x:v>0</x:v>
      </x:c>
    </x:row>
    <x:row r="729" ht="16" customHeight="1">
      <x:c r="A729" s="1"/>
      <x:c r="B729" s="1"/>
      <x:c r="C729" s="1" t="str">
        <x:v>S’otality interiors</x:v>
      </x:c>
      <x:c r="D729" s="10" t="n">
        <x:v>19</x:v>
      </x:c>
      <x:c r="E729" s="10" t="n">
        <x:f>SUMIF('Revenue and costs'!$D$2312:$D$2439,C729,'Revenue and costs'!N2312:N2439)</x:f>
        <x:v>148037.3176359079</x:v>
      </x:c>
      <x:c r="F729" s="10" t="n">
        <x:f>SUMIF('Revenue and costs'!$D$2312:$D$2439,C729,'Revenue and costs'!O2312:O2439)+SUMIF('Revenue and costs'!$D$2312:$D$2439,C729,'Revenue and costs'!P2312:P2439)+SUMIF('Revenue and costs'!$D$2312:$D$2439,C729,'Revenue and costs'!Q2312:Q2439)+SUMIF('Revenue and costs'!$D$2312:$D$2439,C729,'Revenue and costs'!R2312:R2439)+SUMIF('Revenue and costs'!$D$2312:$D$2439,C729,'Revenue and costs'!S2312:S2439)+SUMIF('Revenue and costs'!$D$2312:$D$2439,C729,'Revenue and costs'!T2312:T2439)+SUMIF('Revenue and costs'!$D$2312:$D$2439,C729,'Revenue and costs'!U2312:U2439)+SUMIF('Revenue and costs'!$D$2312:$D$2439,C729,'Revenue and costs'!V2312:V2439)+SUMIF('Revenue and costs'!$D$2312:$D$2439,C729,'Revenue and costs'!AE2312:AE2439)</x:f>
        <x:v>95821.62171448508</x:v>
      </x:c>
      <x:c r="G729" s="10" t="n">
        <x:f>IF('Income statement'!V50=0,1/39,E729/'Income statement'!V50)*('Shared costs'!Z21+'Assumptions'!$D$18*'Assumptions'!$D$19*12*(1+'Assumptions'!$D$13)^(19-1)*'Assumptions'!$D$21)</x:f>
        <x:v>7985.734429699961</x:v>
      </x:c>
      <x:c r="H729" s="10" t="n">
        <x:f>IF('Income statement'!V50=0,1/39,E729/'Income statement'!V50)*'Cash and capital'!V18</x:f>
        <x:v>27.271333085804816</x:v>
      </x:c>
      <x:c r="I729" s="10" t="n">
        <x:f>E729-F729-G729-H729</x:f>
        <x:v>44202.690158637066</x:v>
      </x:c>
      <x:c r="J729" s="10" t="n">
        <x:f>M690</x:f>
        <x:v>0</x:v>
      </x:c>
      <x:c r="K729" s="10" t="n">
        <x:f>MAX(0,I729-J729)</x:f>
        <x:v>44202.690158637066</x:v>
      </x:c>
      <x:c r="L729" s="10" t="n">
        <x:f>K729*'Assumptions'!$D$12</x:f>
        <x:v>11050.672539659266</x:v>
      </x:c>
      <x:c r="M729" s="10" t="n">
        <x:f>MAX(0,J729-I729)</x:f>
        <x:v>0</x:v>
      </x:c>
    </x:row>
    <x:row r="730" ht="16" customHeight="1">
      <x:c r="A730" s="1"/>
      <x:c r="B730" s="1"/>
      <x:c r="C730" s="1" t="str">
        <x:v>S’otality concierge</x:v>
      </x:c>
      <x:c r="D730" s="10" t="n">
        <x:v>19</x:v>
      </x:c>
      <x:c r="E730" s="10" t="n">
        <x:f>SUMIF('Revenue and costs'!$D$2312:$D$2439,C730,'Revenue and costs'!N2312:N2439)</x:f>
        <x:v>53662.32142110334</x:v>
      </x:c>
      <x:c r="F730" s="10" t="n">
        <x:f>SUMIF('Revenue and costs'!$D$2312:$D$2439,C730,'Revenue and costs'!O2312:O2439)+SUMIF('Revenue and costs'!$D$2312:$D$2439,C730,'Revenue and costs'!P2312:P2439)+SUMIF('Revenue and costs'!$D$2312:$D$2439,C730,'Revenue and costs'!Q2312:Q2439)+SUMIF('Revenue and costs'!$D$2312:$D$2439,C730,'Revenue and costs'!R2312:R2439)+SUMIF('Revenue and costs'!$D$2312:$D$2439,C730,'Revenue and costs'!S2312:S2439)+SUMIF('Revenue and costs'!$D$2312:$D$2439,C730,'Revenue and costs'!T2312:T2439)+SUMIF('Revenue and costs'!$D$2312:$D$2439,C730,'Revenue and costs'!U2312:U2439)+SUMIF('Revenue and costs'!$D$2312:$D$2439,C730,'Revenue and costs'!V2312:V2439)+SUMIF('Revenue and costs'!$D$2312:$D$2439,C730,'Revenue and costs'!AE2312:AE2439)</x:f>
        <x:v>33579.84202716825</x:v>
      </x:c>
      <x:c r="G730" s="10" t="n">
        <x:f>IF('Income statement'!V50=0,1/39,E730/'Income statement'!V50)*('Shared costs'!Z21+'Assumptions'!$D$18*'Assumptions'!$D$19*12*(1+'Assumptions'!$D$13)^(19-1)*'Assumptions'!$D$21)</x:f>
        <x:v>2894.7636622550212</x:v>
      </x:c>
      <x:c r="H730" s="10" t="n">
        <x:f>IF('Income statement'!V50=0,1/39,E730/'Income statement'!V50)*'Cash and capital'!V18</x:f>
        <x:v>9.885636034230975</x:v>
      </x:c>
      <x:c r="I730" s="10" t="n">
        <x:f>E730-F730-G730-H730</x:f>
        <x:v>17177.83009564584</x:v>
      </x:c>
      <x:c r="J730" s="10" t="n">
        <x:f>M691</x:f>
        <x:v>0</x:v>
      </x:c>
      <x:c r="K730" s="10" t="n">
        <x:f>MAX(0,I730-J730)</x:f>
        <x:v>17177.83009564584</x:v>
      </x:c>
      <x:c r="L730" s="10" t="n">
        <x:f>K730*'Assumptions'!$D$12</x:f>
        <x:v>4294.45752391146</x:v>
      </x:c>
      <x:c r="M730" s="10" t="n">
        <x:f>MAX(0,J730-I730)</x:f>
        <x:v>0</x:v>
      </x:c>
    </x:row>
    <x:row r="731" ht="16" customHeight="1">
      <x:c r="A731" s="1"/>
      <x:c r="B731" s="1"/>
      <x:c r="C731" s="1" t="str">
        <x:v>S’otality administration</x:v>
      </x:c>
      <x:c r="D731" s="10" t="n">
        <x:v>19</x:v>
      </x:c>
      <x:c r="E731" s="10" t="n">
        <x:f>SUMIF('Revenue and costs'!$D$2312:$D$2439,C731,'Revenue and costs'!N2312:N2439)</x:f>
        <x:v>85859.71427376535</x:v>
      </x:c>
      <x:c r="F731" s="10" t="n">
        <x:f>SUMIF('Revenue and costs'!$D$2312:$D$2439,C731,'Revenue and costs'!O2312:O2439)+SUMIF('Revenue and costs'!$D$2312:$D$2439,C731,'Revenue and costs'!P2312:P2439)+SUMIF('Revenue and costs'!$D$2312:$D$2439,C731,'Revenue and costs'!Q2312:Q2439)+SUMIF('Revenue and costs'!$D$2312:$D$2439,C731,'Revenue and costs'!R2312:R2439)+SUMIF('Revenue and costs'!$D$2312:$D$2439,C731,'Revenue and costs'!S2312:S2439)+SUMIF('Revenue and costs'!$D$2312:$D$2439,C731,'Revenue and costs'!T2312:T2439)+SUMIF('Revenue and costs'!$D$2312:$D$2439,C731,'Revenue and costs'!U2312:U2439)+SUMIF('Revenue and costs'!$D$2312:$D$2439,C731,'Revenue and costs'!V2312:V2439)+SUMIF('Revenue and costs'!$D$2312:$D$2439,C731,'Revenue and costs'!AE2312:AE2439)</x:f>
        <x:v>72253.59080303507</x:v>
      </x:c>
      <x:c r="G731" s="10" t="n">
        <x:f>IF('Income statement'!V50=0,1/39,E731/'Income statement'!V50)*('Shared costs'!Z21+'Assumptions'!$D$18*'Assumptions'!$D$19*12*(1+'Assumptions'!$D$13)^(19-1)*'Assumptions'!$D$21)</x:f>
        <x:v>4631.621859608034</x:v>
      </x:c>
      <x:c r="H731" s="10" t="n">
        <x:f>IF('Income statement'!V50=0,1/39,E731/'Income statement'!V50)*'Cash and capital'!V18</x:f>
        <x:v>15.817017654769563</x:v>
      </x:c>
      <x:c r="I731" s="10" t="n">
        <x:f>E731-F731-G731-H731</x:f>
        <x:v>8958.684593467475</x:v>
      </x:c>
      <x:c r="J731" s="10" t="n">
        <x:f>M692</x:f>
        <x:v>0</x:v>
      </x:c>
      <x:c r="K731" s="10" t="n">
        <x:f>MAX(0,I731-J731)</x:f>
        <x:v>8958.684593467475</x:v>
      </x:c>
      <x:c r="L731" s="10" t="n">
        <x:f>K731*'Assumptions'!$D$12</x:f>
        <x:v>2239.6711483668687</x:v>
      </x:c>
      <x:c r="M731" s="10" t="n">
        <x:f>MAX(0,J731-I731)</x:f>
        <x:v>0</x:v>
      </x:c>
    </x:row>
    <x:row r="732" ht="16" customHeight="1">
      <x:c r="A732" s="1"/>
      <x:c r="B732" s="1"/>
      <x:c r="C732" s="1" t="str">
        <x:v>S’otality bike tours</x:v>
      </x:c>
      <x:c r="D732" s="10" t="n">
        <x:v>19</x:v>
      </x:c>
      <x:c r="E732" s="10" t="n">
        <x:f>SUMIF('Revenue and costs'!$D$2312:$D$2439,C732,'Revenue and costs'!N2312:N2439)</x:f>
        <x:v>45855.75222832936</x:v>
      </x:c>
      <x:c r="F732" s="10" t="n">
        <x:f>SUMIF('Revenue and costs'!$D$2312:$D$2439,C732,'Revenue and costs'!O2312:O2439)+SUMIF('Revenue and costs'!$D$2312:$D$2439,C732,'Revenue and costs'!P2312:P2439)+SUMIF('Revenue and costs'!$D$2312:$D$2439,C732,'Revenue and costs'!Q2312:Q2439)+SUMIF('Revenue and costs'!$D$2312:$D$2439,C732,'Revenue and costs'!R2312:R2439)+SUMIF('Revenue and costs'!$D$2312:$D$2439,C732,'Revenue and costs'!S2312:S2439)+SUMIF('Revenue and costs'!$D$2312:$D$2439,C732,'Revenue and costs'!T2312:T2439)+SUMIF('Revenue and costs'!$D$2312:$D$2439,C732,'Revenue and costs'!U2312:U2439)+SUMIF('Revenue and costs'!$D$2312:$D$2439,C732,'Revenue and costs'!V2312:V2439)+SUMIF('Revenue and costs'!$D$2312:$D$2439,C732,'Revenue and costs'!AE2312:AE2439)</x:f>
        <x:v>38718.57016008655</x:v>
      </x:c>
      <x:c r="G732" s="10" t="n">
        <x:f>IF('Income statement'!V50=0,1/39,E732/'Income statement'!V50)*('Shared costs'!Z21+'Assumptions'!$D$18*'Assumptions'!$D$19*12*(1+'Assumptions'!$D$13)^(19-1)*'Assumptions'!$D$21)</x:f>
        <x:v>2473.6455997547537</x:v>
      </x:c>
      <x:c r="H732" s="10" t="n">
        <x:f>IF('Income statement'!V50=0,1/39,E732/'Income statement'!V50)*'Cash and capital'!V18</x:f>
        <x:v>8.447515213661056</x:v>
      </x:c>
      <x:c r="I732" s="10" t="n">
        <x:f>E732-F732-G732-H732</x:f>
        <x:v>4655.088953274393</x:v>
      </x:c>
      <x:c r="J732" s="10" t="n">
        <x:f>M693</x:f>
        <x:v>0</x:v>
      </x:c>
      <x:c r="K732" s="10" t="n">
        <x:f>MAX(0,I732-J732)</x:f>
        <x:v>4655.088953274393</x:v>
      </x:c>
      <x:c r="L732" s="10" t="n">
        <x:f>K732*'Assumptions'!$D$12</x:f>
        <x:v>1163.7722383185983</x:v>
      </x:c>
      <x:c r="M732" s="10" t="n">
        <x:f>MAX(0,J732-I732)</x:f>
        <x:v>0</x:v>
      </x:c>
    </x:row>
    <x:row r="733" ht="16" customHeight="1">
      <x:c r="A733" s="1"/>
      <x:c r="B733" s="1"/>
      <x:c r="C733" s="1" t="str">
        <x:v>S’otality editorial</x:v>
      </x:c>
      <x:c r="D733" s="10" t="n">
        <x:v>19</x:v>
      </x:c>
      <x:c r="E733" s="10" t="n">
        <x:f>SUMIF('Revenue and costs'!$D$2312:$D$2439,C733,'Revenue and costs'!N2312:N2439)</x:f>
        <x:v>21144.938036069238</x:v>
      </x:c>
      <x:c r="F733" s="10" t="n">
        <x:f>SUMIF('Revenue and costs'!$D$2312:$D$2439,C733,'Revenue and costs'!O2312:O2439)+SUMIF('Revenue and costs'!$D$2312:$D$2439,C733,'Revenue and costs'!P2312:P2439)+SUMIF('Revenue and costs'!$D$2312:$D$2439,C733,'Revenue and costs'!Q2312:Q2439)+SUMIF('Revenue and costs'!$D$2312:$D$2439,C733,'Revenue and costs'!R2312:R2439)+SUMIF('Revenue and costs'!$D$2312:$D$2439,C733,'Revenue and costs'!S2312:S2439)+SUMIF('Revenue and costs'!$D$2312:$D$2439,C733,'Revenue and costs'!T2312:T2439)+SUMIF('Revenue and costs'!$D$2312:$D$2439,C733,'Revenue and costs'!U2312:U2439)+SUMIF('Revenue and costs'!$D$2312:$D$2439,C733,'Revenue and costs'!V2312:V2439)+SUMIF('Revenue and costs'!$D$2312:$D$2439,C733,'Revenue and costs'!AE2312:AE2439)</x:f>
        <x:v>13024.681529059008</x:v>
      </x:c>
      <x:c r="G733" s="10" t="n">
        <x:f>IF('Income statement'!V50=0,1/39,E733/'Income statement'!V50)*('Shared costs'!Z21+'Assumptions'!$D$18*'Assumptions'!$D$19*12*(1+'Assumptions'!$D$13)^(19-1)*'Assumptions'!$D$21)</x:f>
        <x:v>1140.6438753761386</x:v>
      </x:c>
      <x:c r="H733" s="10" t="n">
        <x:f>IF('Income statement'!V50=0,1/39,E733/'Income statement'!V50)*'Cash and capital'!V18</x:f>
        <x:v>3.895305977365773</x:v>
      </x:c>
      <x:c r="I733" s="10" t="n">
        <x:f>E733-F733-G733-H733</x:f>
        <x:v>6975.717325656726</x:v>
      </x:c>
      <x:c r="J733" s="10" t="n">
        <x:f>M694</x:f>
        <x:v>0</x:v>
      </x:c>
      <x:c r="K733" s="10" t="n">
        <x:f>MAX(0,I733-J733)</x:f>
        <x:v>6975.717325656726</x:v>
      </x:c>
      <x:c r="L733" s="10" t="n">
        <x:f>K733*'Assumptions'!$D$12</x:f>
        <x:v>1743.9293314141814</x:v>
      </x:c>
      <x:c r="M733" s="10" t="n">
        <x:f>MAX(0,J733-I733)</x:f>
        <x:v>0</x:v>
      </x:c>
    </x:row>
    <x:row r="734" ht="16" customHeight="1">
      <x:c r="A734" s="1"/>
      <x:c r="B734" s="1"/>
      <x:c r="C734" s="1" t="str">
        <x:v>Tomato Odyssey</x:v>
      </x:c>
      <x:c r="D734" s="10" t="n">
        <x:v>19</x:v>
      </x:c>
      <x:c r="E734" s="10" t="n">
        <x:f>SUMIF('Revenue and costs'!$D$2312:$D$2439,C734,'Revenue and costs'!N2312:N2439)</x:f>
        <x:v>21144.938036069238</x:v>
      </x:c>
      <x:c r="F734" s="10" t="n">
        <x:f>SUMIF('Revenue and costs'!$D$2312:$D$2439,C734,'Revenue and costs'!O2312:O2439)+SUMIF('Revenue and costs'!$D$2312:$D$2439,C734,'Revenue and costs'!P2312:P2439)+SUMIF('Revenue and costs'!$D$2312:$D$2439,C734,'Revenue and costs'!Q2312:Q2439)+SUMIF('Revenue and costs'!$D$2312:$D$2439,C734,'Revenue and costs'!R2312:R2439)+SUMIF('Revenue and costs'!$D$2312:$D$2439,C734,'Revenue and costs'!S2312:S2439)+SUMIF('Revenue and costs'!$D$2312:$D$2439,C734,'Revenue and costs'!T2312:T2439)+SUMIF('Revenue and costs'!$D$2312:$D$2439,C734,'Revenue and costs'!U2312:U2439)+SUMIF('Revenue and costs'!$D$2312:$D$2439,C734,'Revenue and costs'!V2312:V2439)+SUMIF('Revenue and costs'!$D$2312:$D$2439,C734,'Revenue and costs'!AE2312:AE2439)</x:f>
        <x:v>13024.681529059008</x:v>
      </x:c>
      <x:c r="G734" s="10" t="n">
        <x:f>IF('Income statement'!V50=0,1/39,E734/'Income statement'!V50)*('Shared costs'!Z21+'Assumptions'!$D$18*'Assumptions'!$D$19*12*(1+'Assumptions'!$D$13)^(19-1)*'Assumptions'!$D$21)</x:f>
        <x:v>1140.6438753761386</x:v>
      </x:c>
      <x:c r="H734" s="10" t="n">
        <x:f>IF('Income statement'!V50=0,1/39,E734/'Income statement'!V50)*'Cash and capital'!V18</x:f>
        <x:v>3.895305977365773</x:v>
      </x:c>
      <x:c r="I734" s="10" t="n">
        <x:f>E734-F734-G734-H734</x:f>
        <x:v>6975.717325656726</x:v>
      </x:c>
      <x:c r="J734" s="10" t="n">
        <x:f>M695</x:f>
        <x:v>0</x:v>
      </x:c>
      <x:c r="K734" s="10" t="n">
        <x:f>MAX(0,I734-J734)</x:f>
        <x:v>6975.717325656726</x:v>
      </x:c>
      <x:c r="L734" s="10" t="n">
        <x:f>K734*'Assumptions'!$D$12</x:f>
        <x:v>1743.9293314141814</x:v>
      </x:c>
      <x:c r="M734" s="10" t="n">
        <x:f>MAX(0,J734-I734)</x:f>
        <x:v>0</x:v>
      </x:c>
    </x:row>
    <x:row r="735" ht="16" customHeight="1">
      <x:c r="A735" s="1"/>
      <x:c r="B735" s="1"/>
      <x:c r="C735" s="1" t="str">
        <x:v>Semajes Studio</x:v>
      </x:c>
      <x:c r="D735" s="10" t="n">
        <x:v>19</x:v>
      </x:c>
      <x:c r="E735" s="10" t="n">
        <x:f>SUMIF('Revenue and costs'!$D$2312:$D$2439,C735,'Revenue and costs'!N2312:N2439)</x:f>
        <x:v>276475.29165081395</x:v>
      </x:c>
      <x:c r="F735" s="10" t="n">
        <x:f>SUMIF('Revenue and costs'!$D$2312:$D$2439,C735,'Revenue and costs'!O2312:O2439)+SUMIF('Revenue and costs'!$D$2312:$D$2439,C735,'Revenue and costs'!P2312:P2439)+SUMIF('Revenue and costs'!$D$2312:$D$2439,C735,'Revenue and costs'!Q2312:Q2439)+SUMIF('Revenue and costs'!$D$2312:$D$2439,C735,'Revenue and costs'!R2312:R2439)+SUMIF('Revenue and costs'!$D$2312:$D$2439,C735,'Revenue and costs'!S2312:S2439)+SUMIF('Revenue and costs'!$D$2312:$D$2439,C735,'Revenue and costs'!T2312:T2439)+SUMIF('Revenue and costs'!$D$2312:$D$2439,C735,'Revenue and costs'!U2312:U2439)+SUMIF('Revenue and costs'!$D$2312:$D$2439,C735,'Revenue and costs'!V2312:V2439)+SUMIF('Revenue and costs'!$D$2312:$D$2439,C735,'Revenue and costs'!AE2312:AE2439)</x:f>
        <x:v>194512.39158047418</x:v>
      </x:c>
      <x:c r="G735" s="10" t="n">
        <x:f>IF('Income statement'!V50=0,1/39,E735/'Income statement'!V50)*('Shared costs'!Z21+'Assumptions'!$D$18*'Assumptions'!$D$19*12*(1+'Assumptions'!$D$13)^(19-1)*'Assumptions'!$D$21)</x:f>
        <x:v>14914.200626948574</x:v>
      </x:c>
      <x:c r="H735" s="10" t="n">
        <x:f>IF('Income statement'!V50=0,1/39,E735/'Income statement'!V50)*'Cash and capital'!V18</x:f>
        <x:v>50.93208853694816</x:v>
      </x:c>
      <x:c r="I735" s="10" t="n">
        <x:f>E735-F735-G735-H735</x:f>
        <x:v>66997.76735485424</x:v>
      </x:c>
      <x:c r="J735" s="10" t="n">
        <x:f>M696</x:f>
        <x:v>0</x:v>
      </x:c>
      <x:c r="K735" s="10" t="n">
        <x:f>MAX(0,I735-J735)</x:f>
        <x:v>66997.76735485424</x:v>
      </x:c>
      <x:c r="L735" s="10" t="n">
        <x:f>K735*'Assumptions'!$D$12</x:f>
        <x:v>16749.44183871356</x:v>
      </x:c>
      <x:c r="M735" s="10" t="n">
        <x:f>MAX(0,J735-I735)</x:f>
        <x:v>0</x:v>
      </x:c>
    </x:row>
    <x:row r="736" ht="16" customHeight="1">
      <x:c r="A736" s="1"/>
      <x:c r="B736" s="1"/>
      <x:c r="C736" s="1" t="str">
        <x:v>Semajes Marketplace</x:v>
      </x:c>
      <x:c r="D736" s="10" t="n">
        <x:v>19</x:v>
      </x:c>
      <x:c r="E736" s="10" t="n">
        <x:f>SUMIF('Revenue and costs'!$D$2312:$D$2439,C736,'Revenue and costs'!N2312:N2439)</x:f>
        <x:v>90222.5797434616</x:v>
      </x:c>
      <x:c r="F736" s="10" t="n">
        <x:f>SUMIF('Revenue and costs'!$D$2312:$D$2439,C736,'Revenue and costs'!O2312:O2439)+SUMIF('Revenue and costs'!$D$2312:$D$2439,C736,'Revenue and costs'!P2312:P2439)+SUMIF('Revenue and costs'!$D$2312:$D$2439,C736,'Revenue and costs'!Q2312:Q2439)+SUMIF('Revenue and costs'!$D$2312:$D$2439,C736,'Revenue and costs'!R2312:R2439)+SUMIF('Revenue and costs'!$D$2312:$D$2439,C736,'Revenue and costs'!S2312:S2439)+SUMIF('Revenue and costs'!$D$2312:$D$2439,C736,'Revenue and costs'!T2312:T2439)+SUMIF('Revenue and costs'!$D$2312:$D$2439,C736,'Revenue and costs'!U2312:U2439)+SUMIF('Revenue and costs'!$D$2312:$D$2439,C736,'Revenue and costs'!V2312:V2439)+SUMIF('Revenue and costs'!$D$2312:$D$2439,C736,'Revenue and costs'!AE2312:AE2439)</x:f>
        <x:v>46362.2381705519</x:v>
      </x:c>
      <x:c r="G736" s="10" t="n">
        <x:f>IF('Income statement'!V50=0,1/39,E736/'Income statement'!V50)*('Shared costs'!Z21+'Assumptions'!$D$18*'Assumptions'!$D$19*12*(1+'Assumptions'!$D$13)^(19-1)*'Assumptions'!$D$21)</x:f>
        <x:v>4866.972550568213</x:v>
      </x:c>
      <x:c r="H736" s="10" t="n">
        <x:f>IF('Income statement'!V50=0,1/39,E736/'Income statement'!V50)*'Cash and capital'!V18</x:f>
        <x:v>16.62074173821501</x:v>
      </x:c>
      <x:c r="I736" s="10" t="n">
        <x:f>E736-F736-G736-H736</x:f>
        <x:v>38976.748280603264</x:v>
      </x:c>
      <x:c r="J736" s="10" t="n">
        <x:f>M697</x:f>
        <x:v>0</x:v>
      </x:c>
      <x:c r="K736" s="10" t="n">
        <x:f>MAX(0,I736-J736)</x:f>
        <x:v>38976.748280603264</x:v>
      </x:c>
      <x:c r="L736" s="10" t="n">
        <x:f>K736*'Assumptions'!$D$12</x:f>
        <x:v>9744.187070150816</x:v>
      </x:c>
      <x:c r="M736" s="10" t="n">
        <x:f>MAX(0,J736-I736)</x:f>
        <x:v>0</x:v>
      </x:c>
    </x:row>
    <x:row r="737" ht="16" customHeight="1">
      <x:c r="A737" s="1"/>
      <x:c r="B737" s="1"/>
      <x:c r="C737" s="1" t="str">
        <x:v>Semajes premium and media</x:v>
      </x:c>
      <x:c r="D737" s="10" t="n">
        <x:v>19</x:v>
      </x:c>
      <x:c r="E737" s="10" t="n">
        <x:f>SUMIF('Revenue and costs'!$D$2312:$D$2439,C737,'Revenue and costs'!N2312:N2439)</x:f>
        <x:v>62936.345491317414</x:v>
      </x:c>
      <x:c r="F737" s="10" t="n">
        <x:f>SUMIF('Revenue and costs'!$D$2312:$D$2439,C737,'Revenue and costs'!O2312:O2439)+SUMIF('Revenue and costs'!$D$2312:$D$2439,C737,'Revenue and costs'!P2312:P2439)+SUMIF('Revenue and costs'!$D$2312:$D$2439,C737,'Revenue and costs'!Q2312:Q2439)+SUMIF('Revenue and costs'!$D$2312:$D$2439,C737,'Revenue and costs'!R2312:R2439)+SUMIF('Revenue and costs'!$D$2312:$D$2439,C737,'Revenue and costs'!S2312:S2439)+SUMIF('Revenue and costs'!$D$2312:$D$2439,C737,'Revenue and costs'!T2312:T2439)+SUMIF('Revenue and costs'!$D$2312:$D$2439,C737,'Revenue and costs'!U2312:U2439)+SUMIF('Revenue and costs'!$D$2312:$D$2439,C737,'Revenue and costs'!V2312:V2439)+SUMIF('Revenue and costs'!$D$2312:$D$2439,C737,'Revenue and costs'!AE2312:AE2439)</x:f>
        <x:v>37245.149379428345</x:v>
      </x:c>
      <x:c r="G737" s="10" t="n">
        <x:f>IF('Income statement'!V50=0,1/39,E737/'Income statement'!V50)*('Shared costs'!Z21+'Assumptions'!$D$18*'Assumptions'!$D$19*12*(1+'Assumptions'!$D$13)^(19-1)*'Assumptions'!$D$21)</x:f>
        <x:v>3395.0422035179895</x:v>
      </x:c>
      <x:c r="H737" s="10" t="n">
        <x:f>IF('Income statement'!V50=0,1/39,E737/'Income statement'!V50)*'Cash and capital'!V18</x:f>
        <x:v>11.594090385495392</x:v>
      </x:c>
      <x:c r="I737" s="10" t="n">
        <x:f>E737-F737-G737-H737</x:f>
        <x:v>22284.55981798558</x:v>
      </x:c>
      <x:c r="J737" s="10" t="n">
        <x:f>M698</x:f>
        <x:v>0</x:v>
      </x:c>
      <x:c r="K737" s="10" t="n">
        <x:f>MAX(0,I737-J737)</x:f>
        <x:v>22284.55981798558</x:v>
      </x:c>
      <x:c r="L737" s="10" t="n">
        <x:f>K737*'Assumptions'!$D$12</x:f>
        <x:v>5571.139954496395</x:v>
      </x:c>
      <x:c r="M737" s="10" t="n">
        <x:f>MAX(0,J737-I737)</x:f>
        <x:v>0</x:v>
      </x:c>
    </x:row>
    <x:row r="738" ht="16" customHeight="1">
      <x:c r="A738" s="1"/>
      <x:c r="B738" s="1"/>
      <x:c r="C738" s="1" t="str">
        <x:v>Semajes courses</x:v>
      </x:c>
      <x:c r="D738" s="10" t="n">
        <x:v>19</x:v>
      </x:c>
      <x:c r="E738" s="10" t="n">
        <x:f>SUMIF('Revenue and costs'!$D$2312:$D$2439,C738,'Revenue and costs'!N2312:N2439)</x:f>
        <x:v>33975.5947100085</x:v>
      </x:c>
      <x:c r="F738" s="10" t="n">
        <x:f>SUMIF('Revenue and costs'!$D$2312:$D$2439,C738,'Revenue and costs'!O2312:O2439)+SUMIF('Revenue and costs'!$D$2312:$D$2439,C738,'Revenue and costs'!P2312:P2439)+SUMIF('Revenue and costs'!$D$2312:$D$2439,C738,'Revenue and costs'!Q2312:Q2439)+SUMIF('Revenue and costs'!$D$2312:$D$2439,C738,'Revenue and costs'!R2312:R2439)+SUMIF('Revenue and costs'!$D$2312:$D$2439,C738,'Revenue and costs'!S2312:S2439)+SUMIF('Revenue and costs'!$D$2312:$D$2439,C738,'Revenue and costs'!T2312:T2439)+SUMIF('Revenue and costs'!$D$2312:$D$2439,C738,'Revenue and costs'!U2312:U2439)+SUMIF('Revenue and costs'!$D$2312:$D$2439,C738,'Revenue and costs'!V2312:V2439)+SUMIF('Revenue and costs'!$D$2312:$D$2439,C738,'Revenue and costs'!AE2312:AE2439)</x:f>
        <x:v>11735.04034292412</x:v>
      </x:c>
      <x:c r="G738" s="10" t="n">
        <x:f>IF('Income statement'!V50=0,1/39,E738/'Income statement'!V50)*('Shared costs'!Z21+'Assumptions'!$D$18*'Assumptions'!$D$19*12*(1+'Assumptions'!$D$13)^(19-1)*'Assumptions'!$D$21)</x:f>
        <x:v>1832.781630862483</x:v>
      </x:c>
      <x:c r="H738" s="10" t="n">
        <x:f>IF('Income statement'!V50=0,1/39,E738/'Income statement'!V50)*'Cash and capital'!V18</x:f>
        <x:v>6.258960746666514</x:v>
      </x:c>
      <x:c r="I738" s="10" t="n">
        <x:f>E738-F738-G738-H738</x:f>
        <x:v>20401.513775475236</x:v>
      </x:c>
      <x:c r="J738" s="10" t="n">
        <x:f>M699</x:f>
        <x:v>0</x:v>
      </x:c>
      <x:c r="K738" s="10" t="n">
        <x:f>MAX(0,I738-J738)</x:f>
        <x:v>20401.513775475236</x:v>
      </x:c>
      <x:c r="L738" s="10" t="n">
        <x:f>K738*'Assumptions'!$D$12</x:f>
        <x:v>5100.378443868809</x:v>
      </x:c>
      <x:c r="M738" s="10" t="n">
        <x:f>MAX(0,J738-I738)</x:f>
        <x:v>0</x:v>
      </x:c>
    </x:row>
    <x:row r="739" ht="16" customHeight="1">
      <x:c r="A739" s="1"/>
      <x:c r="B739" s="1"/>
      <x:c r="C739" s="1" t="str">
        <x:v>Sleepy Face</x:v>
      </x:c>
      <x:c r="D739" s="10" t="n">
        <x:v>19</x:v>
      </x:c>
      <x:c r="E739" s="10" t="n">
        <x:f>SUMIF('Revenue and costs'!$D$2312:$D$2439,C739,'Revenue and costs'!N2312:N2439)</x:f>
        <x:v>435124.6970590879</x:v>
      </x:c>
      <x:c r="F739" s="10" t="n">
        <x:f>SUMIF('Revenue and costs'!$D$2312:$D$2439,C739,'Revenue and costs'!O2312:O2439)+SUMIF('Revenue and costs'!$D$2312:$D$2439,C739,'Revenue and costs'!P2312:P2439)+SUMIF('Revenue and costs'!$D$2312:$D$2439,C739,'Revenue and costs'!Q2312:Q2439)+SUMIF('Revenue and costs'!$D$2312:$D$2439,C739,'Revenue and costs'!R2312:R2439)+SUMIF('Revenue and costs'!$D$2312:$D$2439,C739,'Revenue and costs'!S2312:S2439)+SUMIF('Revenue and costs'!$D$2312:$D$2439,C739,'Revenue and costs'!T2312:T2439)+SUMIF('Revenue and costs'!$D$2312:$D$2439,C739,'Revenue and costs'!U2312:U2439)+SUMIF('Revenue and costs'!$D$2312:$D$2439,C739,'Revenue and costs'!V2312:V2439)+SUMIF('Revenue and costs'!$D$2312:$D$2439,C739,'Revenue and costs'!AE2312:AE2439)</x:f>
        <x:v>299047.9694640952</x:v>
      </x:c>
      <x:c r="G739" s="10" t="n">
        <x:f>IF('Income statement'!V50=0,1/39,E739/'Income statement'!V50)*('Shared costs'!Z21+'Assumptions'!$D$18*'Assumptions'!$D$19*12*(1+'Assumptions'!$D$13)^(19-1)*'Assumptions'!$D$21)</x:f>
        <x:v>23472.39419092716</x:v>
      </x:c>
      <x:c r="H739" s="10" t="n">
        <x:f>IF('Income statement'!V50=0,1/39,E739/'Income statement'!V50)*'Cash and capital'!V18</x:f>
        <x:v>80.15837315117619</x:v>
      </x:c>
      <x:c r="I739" s="10" t="n">
        <x:f>E739-F739-G739-H739</x:f>
        <x:v>112524.1750309144</x:v>
      </x:c>
      <x:c r="J739" s="10" t="n">
        <x:f>M700</x:f>
        <x:v>0</x:v>
      </x:c>
      <x:c r="K739" s="10" t="n">
        <x:f>MAX(0,I739-J739)</x:f>
        <x:v>112524.1750309144</x:v>
      </x:c>
      <x:c r="L739" s="10" t="n">
        <x:f>K739*'Assumptions'!$D$12</x:f>
        <x:v>28131.0437577286</x:v>
      </x:c>
      <x:c r="M739" s="10" t="n">
        <x:f>MAX(0,J739-I739)</x:f>
        <x:v>0</x:v>
      </x:c>
    </x:row>
    <x:row r="740" ht="16" customHeight="1">
      <x:c r="A740" s="1"/>
      <x:c r="B740" s="1"/>
      <x:c r="C740" s="1" t="str">
        <x:v>QzoticMusic</x:v>
      </x:c>
      <x:c r="D740" s="10" t="n">
        <x:v>19</x:v>
      </x:c>
      <x:c r="E740" s="10" t="n">
        <x:f>SUMIF('Revenue and costs'!$D$2312:$D$2439,C740,'Revenue and costs'!N2312:N2439)</x:f>
        <x:v>38075.96259260776</x:v>
      </x:c>
      <x:c r="F740" s="10" t="n">
        <x:f>SUMIF('Revenue and costs'!$D$2312:$D$2439,C740,'Revenue and costs'!O2312:O2439)+SUMIF('Revenue and costs'!$D$2312:$D$2439,C740,'Revenue and costs'!P2312:P2439)+SUMIF('Revenue and costs'!$D$2312:$D$2439,C740,'Revenue and costs'!Q2312:Q2439)+SUMIF('Revenue and costs'!$D$2312:$D$2439,C740,'Revenue and costs'!R2312:R2439)+SUMIF('Revenue and costs'!$D$2312:$D$2439,C740,'Revenue and costs'!S2312:S2439)+SUMIF('Revenue and costs'!$D$2312:$D$2439,C740,'Revenue and costs'!T2312:T2439)+SUMIF('Revenue and costs'!$D$2312:$D$2439,C740,'Revenue and costs'!U2312:U2439)+SUMIF('Revenue and costs'!$D$2312:$D$2439,C740,'Revenue and costs'!V2312:V2439)+SUMIF('Revenue and costs'!$D$2312:$D$2439,C740,'Revenue and costs'!AE2312:AE2439)</x:f>
        <x:v>45577.057843799186</x:v>
      </x:c>
      <x:c r="G740" s="10" t="n">
        <x:f>IF('Income statement'!V50=0,1/39,E740/'Income statement'!V50)*('Shared costs'!Z21+'Assumptions'!$D$18*'Assumptions'!$D$19*12*(1+'Assumptions'!$D$13)^(19-1)*'Assumptions'!$D$21)</x:f>
        <x:v>2053.972135374612</x:v>
      </x:c>
      <x:c r="H740" s="10" t="n">
        <x:f>IF('Income statement'!V50=0,1/39,E740/'Income statement'!V50)*'Cash and capital'!V18</x:f>
        <x:v>7.01432770471775</x:v>
      </x:c>
      <x:c r="I740" s="10" t="n">
        <x:f>E740-F740-G740-H740</x:f>
        <x:v>-9562.081714270758</x:v>
      </x:c>
      <x:c r="J740" s="10" t="n">
        <x:f>M701</x:f>
        <x:v>71523.46324821177</x:v>
      </x:c>
      <x:c r="K740" s="10" t="n">
        <x:f>MAX(0,I740-J740)</x:f>
        <x:v>0</x:v>
      </x:c>
      <x:c r="L740" s="10" t="n">
        <x:f>K740*'Assumptions'!$D$12</x:f>
        <x:v>0</x:v>
      </x:c>
      <x:c r="M740" s="10" t="n">
        <x:f>MAX(0,J740-I740)</x:f>
        <x:v>81085.54496248253</x:v>
      </x:c>
    </x:row>
    <x:row r="741" ht="16" customHeight="1">
      <x:c r="A741" s="1"/>
      <x:c r="B741" s="1"/>
      <x:c r="C741" s="1" t="str">
        <x:v>LesPetitFilms</x:v>
      </x:c>
      <x:c r="D741" s="10" t="n">
        <x:v>19</x:v>
      </x:c>
      <x:c r="E741" s="10" t="n">
        <x:f>SUMIF('Revenue and costs'!$D$2312:$D$2439,C741,'Revenue and costs'!N2312:N2439)</x:f>
        <x:v>138952.44995131213</x:v>
      </x:c>
      <x:c r="F741" s="10" t="n">
        <x:f>SUMIF('Revenue and costs'!$D$2312:$D$2439,C741,'Revenue and costs'!O2312:O2439)+SUMIF('Revenue and costs'!$D$2312:$D$2439,C741,'Revenue and costs'!P2312:P2439)+SUMIF('Revenue and costs'!$D$2312:$D$2439,C741,'Revenue and costs'!Q2312:Q2439)+SUMIF('Revenue and costs'!$D$2312:$D$2439,C741,'Revenue and costs'!R2312:R2439)+SUMIF('Revenue and costs'!$D$2312:$D$2439,C741,'Revenue and costs'!S2312:S2439)+SUMIF('Revenue and costs'!$D$2312:$D$2439,C741,'Revenue and costs'!T2312:T2439)+SUMIF('Revenue and costs'!$D$2312:$D$2439,C741,'Revenue and costs'!U2312:U2439)+SUMIF('Revenue and costs'!$D$2312:$D$2439,C741,'Revenue and costs'!V2312:V2439)+SUMIF('Revenue and costs'!$D$2312:$D$2439,C741,'Revenue and costs'!AE2312:AE2439)</x:f>
        <x:v>87523.55255880357</x:v>
      </x:c>
      <x:c r="G741" s="10" t="n">
        <x:f>IF('Income statement'!V50=0,1/39,E741/'Income statement'!V50)*('Shared costs'!Z21+'Assumptions'!$D$18*'Assumptions'!$D$19*12*(1+'Assumptions'!$D$13)^(19-1)*'Assumptions'!$D$21)</x:f>
        <x:v>7495.659752471767</x:v>
      </x:c>
      <x:c r="H741" s="10" t="n">
        <x:f>IF('Income statement'!V50=0,1/39,E741/'Income statement'!V50)*'Cash and capital'!V18</x:f>
        <x:v>25.59772499411794</x:v>
      </x:c>
      <x:c r="I741" s="10" t="n">
        <x:f>E741-F741-G741-H741</x:f>
        <x:v>43907.63991504267</x:v>
      </x:c>
      <x:c r="J741" s="10" t="n">
        <x:f>M702</x:f>
        <x:v>0</x:v>
      </x:c>
      <x:c r="K741" s="10" t="n">
        <x:f>MAX(0,I741-J741)</x:f>
        <x:v>43907.63991504267</x:v>
      </x:c>
      <x:c r="L741" s="10" t="n">
        <x:f>K741*'Assumptions'!$D$12</x:f>
        <x:v>10976.909978760668</x:v>
      </x:c>
      <x:c r="M741" s="10" t="n">
        <x:f>MAX(0,J741-I741)</x:f>
        <x:v>0</x:v>
      </x:c>
    </x:row>
    <x:row r="742" ht="16" customHeight="1">
      <x:c r="A742" s="1"/>
      <x:c r="B742" s="1"/>
      <x:c r="C742" s="1" t="str">
        <x:v>Learn Anglais</x:v>
      </x:c>
      <x:c r="D742" s="10" t="n">
        <x:v>19</x:v>
      </x:c>
      <x:c r="E742" s="10" t="n">
        <x:f>SUMIF('Revenue and costs'!$D$2312:$D$2439,C742,'Revenue and costs'!N2312:N2439)</x:f>
        <x:v>147688.95573322117</x:v>
      </x:c>
      <x:c r="F742" s="10" t="n">
        <x:f>SUMIF('Revenue and costs'!$D$2312:$D$2439,C742,'Revenue and costs'!O2312:O2439)+SUMIF('Revenue and costs'!$D$2312:$D$2439,C742,'Revenue and costs'!P2312:P2439)+SUMIF('Revenue and costs'!$D$2312:$D$2439,C742,'Revenue and costs'!Q2312:Q2439)+SUMIF('Revenue and costs'!$D$2312:$D$2439,C742,'Revenue and costs'!R2312:R2439)+SUMIF('Revenue and costs'!$D$2312:$D$2439,C742,'Revenue and costs'!S2312:S2439)+SUMIF('Revenue and costs'!$D$2312:$D$2439,C742,'Revenue and costs'!T2312:T2439)+SUMIF('Revenue and costs'!$D$2312:$D$2439,C742,'Revenue and costs'!U2312:U2439)+SUMIF('Revenue and costs'!$D$2312:$D$2439,C742,'Revenue and costs'!V2312:V2439)+SUMIF('Revenue and costs'!$D$2312:$D$2439,C742,'Revenue and costs'!AE2312:AE2439)</x:f>
        <x:v>97007.71129859211</x:v>
      </x:c>
      <x:c r="G742" s="10" t="n">
        <x:f>IF('Income statement'!V50=0,1/39,E742/'Income statement'!V50)*('Shared costs'!Z21+'Assumptions'!$D$18*'Assumptions'!$D$19*12*(1+'Assumptions'!$D$13)^(19-1)*'Assumptions'!$D$21)</x:f>
        <x:v>7966.942373178623</x:v>
      </x:c>
      <x:c r="H742" s="10" t="n">
        <x:f>IF('Income statement'!V50=0,1/39,E742/'Income statement'!V50)*'Cash and capital'!V18</x:f>
        <x:v>27.207158095104564</x:v>
      </x:c>
      <x:c r="I742" s="10" t="n">
        <x:f>E742-F742-G742-H742</x:f>
        <x:v>42687.09490335533</x:v>
      </x:c>
      <x:c r="J742" s="10" t="n">
        <x:f>M703</x:f>
        <x:v>0</x:v>
      </x:c>
      <x:c r="K742" s="10" t="n">
        <x:f>MAX(0,I742-J742)</x:f>
        <x:v>42687.09490335533</x:v>
      </x:c>
      <x:c r="L742" s="10" t="n">
        <x:f>K742*'Assumptions'!$D$12</x:f>
        <x:v>10671.773725838833</x:v>
      </x:c>
      <x:c r="M742" s="10" t="n">
        <x:f>MAX(0,J742-I742)</x:f>
        <x:v>0</x:v>
      </x:c>
    </x:row>
    <x:row r="743" ht="16" customHeight="1">
      <x:c r="A743" s="1"/>
      <x:c r="B743" s="1"/>
      <x:c r="C743" s="1" t="str">
        <x:v>Fiefé</x:v>
      </x:c>
      <x:c r="D743" s="10" t="n">
        <x:v>19</x:v>
      </x:c>
      <x:c r="E743" s="10" t="n">
        <x:f>SUMIF('Revenue and costs'!$D$2312:$D$2439,C743,'Revenue and costs'!N2312:N2439)</x:f>
        <x:v>102385.24411124142</x:v>
      </x:c>
      <x:c r="F743" s="10" t="n">
        <x:f>SUMIF('Revenue and costs'!$D$2312:$D$2439,C743,'Revenue and costs'!O2312:O2439)+SUMIF('Revenue and costs'!$D$2312:$D$2439,C743,'Revenue and costs'!P2312:P2439)+SUMIF('Revenue and costs'!$D$2312:$D$2439,C743,'Revenue and costs'!Q2312:Q2439)+SUMIF('Revenue and costs'!$D$2312:$D$2439,C743,'Revenue and costs'!R2312:R2439)+SUMIF('Revenue and costs'!$D$2312:$D$2439,C743,'Revenue and costs'!S2312:S2439)+SUMIF('Revenue and costs'!$D$2312:$D$2439,C743,'Revenue and costs'!T2312:T2439)+SUMIF('Revenue and costs'!$D$2312:$D$2439,C743,'Revenue and costs'!U2312:U2439)+SUMIF('Revenue and costs'!$D$2312:$D$2439,C743,'Revenue and costs'!V2312:V2439)+SUMIF('Revenue and costs'!$D$2312:$D$2439,C743,'Revenue and costs'!AE2312:AE2439)</x:f>
        <x:v>88074.5029771216</x:v>
      </x:c>
      <x:c r="G743" s="10" t="n">
        <x:f>IF('Income statement'!V50=0,1/39,E743/'Income statement'!V50)*('Shared costs'!Z21+'Assumptions'!$D$18*'Assumptions'!$D$19*12*(1+'Assumptions'!$D$13)^(19-1)*'Assumptions'!$D$21)</x:f>
        <x:v>5523.076086823486</x:v>
      </x:c>
      <x:c r="H743" s="10" t="n">
        <x:f>IF('Income statement'!V50=0,1/39,E743/'Income statement'!V50)*'Cash and capital'!V18</x:f>
        <x:v>18.86133942318764</x:v>
      </x:c>
      <x:c r="I743" s="10" t="n">
        <x:f>E743-F743-G743-H743</x:f>
        <x:v>8768.803707873143</x:v>
      </x:c>
      <x:c r="J743" s="10" t="n">
        <x:f>M704</x:f>
        <x:v>0</x:v>
      </x:c>
      <x:c r="K743" s="10" t="n">
        <x:f>MAX(0,I743-J743)</x:f>
        <x:v>8768.803707873143</x:v>
      </x:c>
      <x:c r="L743" s="10" t="n">
        <x:f>K743*'Assumptions'!$D$12</x:f>
        <x:v>2192.200926968286</x:v>
      </x:c>
      <x:c r="M743" s="10" t="n">
        <x:f>MAX(0,J743-I743)</x:f>
        <x:v>0</x:v>
      </x:c>
    </x:row>
    <x:row r="744" ht="16" customHeight="1">
      <x:c r="A744" s="1"/>
      <x:c r="B744" s="1"/>
      <x:c r="C744" s="1" t="str">
        <x:v>Fiefé Design</x:v>
      </x:c>
      <x:c r="D744" s="10" t="n">
        <x:v>19</x:v>
      </x:c>
      <x:c r="E744" s="10" t="n">
        <x:f>SUMIF('Revenue and costs'!$D$2312:$D$2439,C744,'Revenue and costs'!N2312:N2439)</x:f>
        <x:v>63791.42935279839</x:v>
      </x:c>
      <x:c r="F744" s="10" t="n">
        <x:f>SUMIF('Revenue and costs'!$D$2312:$D$2439,C744,'Revenue and costs'!O2312:O2439)+SUMIF('Revenue and costs'!$D$2312:$D$2439,C744,'Revenue and costs'!P2312:P2439)+SUMIF('Revenue and costs'!$D$2312:$D$2439,C744,'Revenue and costs'!Q2312:Q2439)+SUMIF('Revenue and costs'!$D$2312:$D$2439,C744,'Revenue and costs'!R2312:R2439)+SUMIF('Revenue and costs'!$D$2312:$D$2439,C744,'Revenue and costs'!S2312:S2439)+SUMIF('Revenue and costs'!$D$2312:$D$2439,C744,'Revenue and costs'!T2312:T2439)+SUMIF('Revenue and costs'!$D$2312:$D$2439,C744,'Revenue and costs'!U2312:U2439)+SUMIF('Revenue and costs'!$D$2312:$D$2439,C744,'Revenue and costs'!V2312:V2439)+SUMIF('Revenue and costs'!$D$2312:$D$2439,C744,'Revenue and costs'!AE2312:AE2439)</x:f>
        <x:v>51382.28267401447</x:v>
      </x:c>
      <x:c r="G744" s="10" t="n">
        <x:f>IF('Income statement'!V50=0,1/39,E744/'Income statement'!V50)*('Shared costs'!Z21+'Assumptions'!$D$18*'Assumptions'!$D$19*12*(1+'Assumptions'!$D$13)^(19-1)*'Assumptions'!$D$21)</x:f>
        <x:v>3441.168901447655</x:v>
      </x:c>
      <x:c r="H744" s="10" t="n">
        <x:f>IF('Income statement'!V50=0,1/39,E744/'Income statement'!V50)*'Cash and capital'!V18</x:f>
        <x:v>11.751613347780461</x:v>
      </x:c>
      <x:c r="I744" s="10" t="n">
        <x:f>E744-F744-G744-H744</x:f>
        <x:v>8956.22616398849</x:v>
      </x:c>
      <x:c r="J744" s="10" t="n">
        <x:f>M705</x:f>
        <x:v>0</x:v>
      </x:c>
      <x:c r="K744" s="10" t="n">
        <x:f>MAX(0,I744-J744)</x:f>
        <x:v>8956.22616398849</x:v>
      </x:c>
      <x:c r="L744" s="10" t="n">
        <x:f>K744*'Assumptions'!$D$12</x:f>
        <x:v>2239.0565409971223</x:v>
      </x:c>
      <x:c r="M744" s="10" t="n">
        <x:f>MAX(0,J744-I744)</x:f>
        <x:v>0</x:v>
      </x:c>
    </x:row>
    <x:row r="745" ht="16" customHeight="1">
      <x:c r="A745" s="1"/>
      <x:c r="B745" s="1"/>
      <x:c r="C745" s="1" t="str">
        <x:v>OsezArt</x:v>
      </x:c>
      <x:c r="D745" s="10" t="n">
        <x:v>19</x:v>
      </x:c>
      <x:c r="E745" s="10" t="n">
        <x:f>SUMIF('Revenue and costs'!$D$2312:$D$2439,C745,'Revenue and costs'!N2312:N2439)</x:f>
        <x:v>251493.2371857716</x:v>
      </x:c>
      <x:c r="F745" s="10" t="n">
        <x:f>SUMIF('Revenue and costs'!$D$2312:$D$2439,C745,'Revenue and costs'!O2312:O2439)+SUMIF('Revenue and costs'!$D$2312:$D$2439,C745,'Revenue and costs'!P2312:P2439)+SUMIF('Revenue and costs'!$D$2312:$D$2439,C745,'Revenue and costs'!Q2312:Q2439)+SUMIF('Revenue and costs'!$D$2312:$D$2439,C745,'Revenue and costs'!R2312:R2439)+SUMIF('Revenue and costs'!$D$2312:$D$2439,C745,'Revenue and costs'!S2312:S2439)+SUMIF('Revenue and costs'!$D$2312:$D$2439,C745,'Revenue and costs'!T2312:T2439)+SUMIF('Revenue and costs'!$D$2312:$D$2439,C745,'Revenue and costs'!U2312:U2439)+SUMIF('Revenue and costs'!$D$2312:$D$2439,C745,'Revenue and costs'!V2312:V2439)+SUMIF('Revenue and costs'!$D$2312:$D$2439,C745,'Revenue and costs'!AE2312:AE2439)</x:f>
        <x:v>149665.3299744674</x:v>
      </x:c>
      <x:c r="G745" s="10" t="n">
        <x:f>IF('Income statement'!V50=0,1/39,E745/'Income statement'!V50)*('Shared costs'!Z21+'Assumptions'!$D$18*'Assumptions'!$D$19*12*(1+'Assumptions'!$D$13)^(19-1)*'Assumptions'!$D$21)</x:f>
        <x:v>13566.567100132106</x:v>
      </x:c>
      <x:c r="H745" s="10" t="n">
        <x:f>IF('Income statement'!V50=0,1/39,E745/'Income statement'!V50)*'Cash and capital'!V18</x:f>
        <x:v>46.329911603700126</x:v>
      </x:c>
      <x:c r="I745" s="10" t="n">
        <x:f>E745-F745-G745-H745</x:f>
        <x:v>88215.01019956841</x:v>
      </x:c>
      <x:c r="J745" s="10" t="n">
        <x:f>M706</x:f>
        <x:v>0</x:v>
      </x:c>
      <x:c r="K745" s="10" t="n">
        <x:f>MAX(0,I745-J745)</x:f>
        <x:v>88215.01019956841</x:v>
      </x:c>
      <x:c r="L745" s="10" t="n">
        <x:f>K745*'Assumptions'!$D$12</x:f>
        <x:v>22053.752549892102</x:v>
      </x:c>
      <x:c r="M745" s="10" t="n">
        <x:f>MAX(0,J745-I745)</x:f>
        <x:v>0</x:v>
      </x:c>
    </x:row>
    <x:row r="746" ht="16" customHeight="1">
      <x:c r="A746" s="1"/>
      <x:c r="B746" s="1"/>
      <x:c r="C746" s="1" t="str">
        <x:v>FinBot research</x:v>
      </x:c>
      <x:c r="D746" s="10" t="n">
        <x:v>19</x:v>
      </x:c>
      <x:c r="E746" s="10" t="n">
        <x:f>SUMIF('Revenue and costs'!$D$2312:$D$2439,C746,'Revenue and costs'!N2312:N2439)</x:f>
        <x:v>12631.951879344597</x:v>
      </x:c>
      <x:c r="F746" s="10" t="n">
        <x:f>SUMIF('Revenue and costs'!$D$2312:$D$2439,C746,'Revenue and costs'!O2312:O2439)+SUMIF('Revenue and costs'!$D$2312:$D$2439,C746,'Revenue and costs'!P2312:P2439)+SUMIF('Revenue and costs'!$D$2312:$D$2439,C746,'Revenue and costs'!Q2312:Q2439)+SUMIF('Revenue and costs'!$D$2312:$D$2439,C746,'Revenue and costs'!R2312:R2439)+SUMIF('Revenue and costs'!$D$2312:$D$2439,C746,'Revenue and costs'!S2312:S2439)+SUMIF('Revenue and costs'!$D$2312:$D$2439,C746,'Revenue and costs'!T2312:T2439)+SUMIF('Revenue and costs'!$D$2312:$D$2439,C746,'Revenue and costs'!U2312:U2439)+SUMIF('Revenue and costs'!$D$2312:$D$2439,C746,'Revenue and costs'!V2312:V2439)+SUMIF('Revenue and costs'!$D$2312:$D$2439,C746,'Revenue and costs'!AE2312:AE2439)</x:f>
        <x:v>7935.323898247692</x:v>
      </x:c>
      <x:c r="G746" s="10" t="n">
        <x:f>IF('Income statement'!V50=0,1/39,E746/'Income statement'!V50)*('Shared costs'!Z21+'Assumptions'!$D$18*'Assumptions'!$D$19*12*(1+'Assumptions'!$D$13)^(19-1)*'Assumptions'!$D$21)</x:f>
        <x:v>681.4188114735668</x:v>
      </x:c>
      <x:c r="H746" s="10" t="n">
        <x:f>IF('Income statement'!V50=0,1/39,E746/'Income statement'!V50)*'Cash and capital'!V18</x:f>
        <x:v>2.3270495083727805</x:v>
      </x:c>
      <x:c r="I746" s="10" t="n">
        <x:f>E746-F746-G746-H746</x:f>
        <x:v>4012.8821201149644</x:v>
      </x:c>
      <x:c r="J746" s="10" t="n">
        <x:f>M707</x:f>
        <x:v>0</x:v>
      </x:c>
      <x:c r="K746" s="10" t="n">
        <x:f>MAX(0,I746-J746)</x:f>
        <x:v>4012.8821201149644</x:v>
      </x:c>
      <x:c r="L746" s="10" t="n">
        <x:f>K746*'Assumptions'!$D$12</x:f>
        <x:v>1003.2205300287411</x:v>
      </x:c>
      <x:c r="M746" s="10" t="n">
        <x:f>MAX(0,J746-I746)</x:f>
        <x:v>0</x:v>
      </x:c>
    </x:row>
    <x:row r="747" ht="16" customHeight="1">
      <x:c r="A747" s="1"/>
      <x:c r="B747" s="1"/>
      <x:c r="C747" s="1" t="str">
        <x:v>Functional Analysis</x:v>
      </x:c>
      <x:c r="D747" s="10" t="n">
        <x:v>19</x:v>
      </x:c>
      <x:c r="E747" s="10" t="n">
        <x:f>SUMIF('Revenue and costs'!$D$2312:$D$2439,C747,'Revenue and costs'!N2312:N2439)</x:f>
        <x:v>27177.34773996989</x:v>
      </x:c>
      <x:c r="F747" s="10" t="n">
        <x:f>SUMIF('Revenue and costs'!$D$2312:$D$2439,C747,'Revenue and costs'!O2312:O2439)+SUMIF('Revenue and costs'!$D$2312:$D$2439,C747,'Revenue and costs'!P2312:P2439)+SUMIF('Revenue and costs'!$D$2312:$D$2439,C747,'Revenue and costs'!Q2312:Q2439)+SUMIF('Revenue and costs'!$D$2312:$D$2439,C747,'Revenue and costs'!R2312:R2439)+SUMIF('Revenue and costs'!$D$2312:$D$2439,C747,'Revenue and costs'!S2312:S2439)+SUMIF('Revenue and costs'!$D$2312:$D$2439,C747,'Revenue and costs'!T2312:T2439)+SUMIF('Revenue and costs'!$D$2312:$D$2439,C747,'Revenue and costs'!U2312:U2439)+SUMIF('Revenue and costs'!$D$2312:$D$2439,C747,'Revenue and costs'!V2312:V2439)+SUMIF('Revenue and costs'!$D$2312:$D$2439,C747,'Revenue and costs'!AE2312:AE2439)</x:f>
        <x:v>15499.972265180677</x:v>
      </x:c>
      <x:c r="G747" s="10" t="n">
        <x:f>IF('Income statement'!V50=0,1/39,E747/'Income statement'!V50)*('Shared costs'!Z21+'Assumptions'!$D$18*'Assumptions'!$D$19*12*(1+'Assumptions'!$D$13)^(19-1)*'Assumptions'!$D$21)</x:f>
        <x:v>1466.0565661476355</x:v>
      </x:c>
      <x:c r="H747" s="10" t="n">
        <x:f>IF('Income statement'!V50=0,1/39,E747/'Income statement'!V50)*'Cash and capital'!V18</x:f>
        <x:v>5.006592354154405</x:v>
      </x:c>
      <x:c r="I747" s="10" t="n">
        <x:f>E747-F747-G747-H747</x:f>
        <x:v>10206.312316287422</x:v>
      </x:c>
      <x:c r="J747" s="10" t="n">
        <x:f>M708</x:f>
        <x:v>0</x:v>
      </x:c>
      <x:c r="K747" s="10" t="n">
        <x:f>MAX(0,I747-J747)</x:f>
        <x:v>10206.312316287422</x:v>
      </x:c>
      <x:c r="L747" s="10" t="n">
        <x:f>K747*'Assumptions'!$D$12</x:f>
        <x:v>2551.5780790718554</x:v>
      </x:c>
      <x:c r="M747" s="10" t="n">
        <x:f>MAX(0,J747-I747)</x:f>
        <x:v>0</x:v>
      </x:c>
    </x:row>
    <x:row r="748" ht="16" customHeight="1">
      <x:c r="A748" s="1"/>
      <x:c r="B748" s="1"/>
      <x:c r="C748" s="1" t="str">
        <x:v>Independent candy game</x:v>
      </x:c>
      <x:c r="D748" s="10" t="n">
        <x:v>19</x:v>
      </x:c>
      <x:c r="E748" s="10" t="n">
        <x:f>SUMIF('Revenue and costs'!$D$2312:$D$2439,C748,'Revenue and costs'!N2312:N2439)</x:f>
        <x:v>10867.834461711987</x:v>
      </x:c>
      <x:c r="F748" s="10" t="n">
        <x:f>SUMIF('Revenue and costs'!$D$2312:$D$2439,C748,'Revenue and costs'!O2312:O2439)+SUMIF('Revenue and costs'!$D$2312:$D$2439,C748,'Revenue and costs'!P2312:P2439)+SUMIF('Revenue and costs'!$D$2312:$D$2439,C748,'Revenue and costs'!Q2312:Q2439)+SUMIF('Revenue and costs'!$D$2312:$D$2439,C748,'Revenue and costs'!R2312:R2439)+SUMIF('Revenue and costs'!$D$2312:$D$2439,C748,'Revenue and costs'!S2312:S2439)+SUMIF('Revenue and costs'!$D$2312:$D$2439,C748,'Revenue and costs'!T2312:T2439)+SUMIF('Revenue and costs'!$D$2312:$D$2439,C748,'Revenue and costs'!U2312:U2439)+SUMIF('Revenue and costs'!$D$2312:$D$2439,C748,'Revenue and costs'!V2312:V2439)+SUMIF('Revenue and costs'!$D$2312:$D$2439,C748,'Revenue and costs'!AE2312:AE2439)</x:f>
        <x:v>11242.298738414564</x:v>
      </x:c>
      <x:c r="G748" s="10" t="n">
        <x:f>IF('Income statement'!V50=0,1/39,E748/'Income statement'!V50)*('Shared costs'!Z21+'Assumptions'!$D$18*'Assumptions'!$D$19*12*(1+'Assumptions'!$D$13)^(19-1)*'Assumptions'!$D$21)</x:f>
        <x:v>586.2551498712237</x:v>
      </x:c>
      <x:c r="H748" s="10" t="n">
        <x:f>IF('Income statement'!V50=0,1/39,E748/'Income statement'!V50)*'Cash and capital'!V18</x:f>
        <x:v>2.002065008065547</x:v>
      </x:c>
      <x:c r="I748" s="10" t="n">
        <x:f>E748-F748-G748-H748</x:f>
        <x:v>-962.7214915818654</x:v>
      </x:c>
      <x:c r="J748" s="10" t="n">
        <x:f>M709</x:f>
        <x:v>3567.9074663813503</x:v>
      </x:c>
      <x:c r="K748" s="10" t="n">
        <x:f>MAX(0,I748-J748)</x:f>
        <x:v>0</x:v>
      </x:c>
      <x:c r="L748" s="10" t="n">
        <x:f>K748*'Assumptions'!$D$12</x:f>
        <x:v>0</x:v>
      </x:c>
      <x:c r="M748" s="10" t="n">
        <x:f>MAX(0,J748-I748)</x:f>
        <x:v>4530.628957963216</x:v>
      </x:c>
    </x:row>
    <x:row r="749" ht="16" customHeight="1">
      <x:c r="A749" s="1"/>
      <x:c r="B749" s="1"/>
      <x:c r="C749" s="1" t="str">
        <x:v>ETV courses</x:v>
      </x:c>
      <x:c r="D749" s="10" t="n">
        <x:v>20</x:v>
      </x:c>
      <x:c r="E749" s="10" t="n">
        <x:f>SUMIF('Revenue and costs'!$D$2440:$D$2567,C749,'Revenue and costs'!N2440:N2567)</x:f>
        <x:v>74736.1248618123</x:v>
      </x:c>
      <x:c r="F749" s="10" t="n">
        <x:f>SUMIF('Revenue and costs'!$D$2440:$D$2567,C749,'Revenue and costs'!O2440:O2567)+SUMIF('Revenue and costs'!$D$2440:$D$2567,C749,'Revenue and costs'!P2440:P2567)+SUMIF('Revenue and costs'!$D$2440:$D$2567,C749,'Revenue and costs'!Q2440:Q2567)+SUMIF('Revenue and costs'!$D$2440:$D$2567,C749,'Revenue and costs'!R2440:R2567)+SUMIF('Revenue and costs'!$D$2440:$D$2567,C749,'Revenue and costs'!S2440:S2567)+SUMIF('Revenue and costs'!$D$2440:$D$2567,C749,'Revenue and costs'!T2440:T2567)+SUMIF('Revenue and costs'!$D$2440:$D$2567,C749,'Revenue and costs'!U2440:U2567)+SUMIF('Revenue and costs'!$D$2440:$D$2567,C749,'Revenue and costs'!V2440:V2567)+SUMIF('Revenue and costs'!$D$2440:$D$2567,C749,'Revenue and costs'!AE2440:AE2567)</x:f>
        <x:v>30678.222425543943</x:v>
      </x:c>
      <x:c r="G749" s="10" t="n">
        <x:f>IF('Income statement'!W50=0,1/39,E749/'Income statement'!W50)*('Shared costs'!AA21+'Assumptions'!$D$18*'Assumptions'!$D$19*12*(1+'Assumptions'!$D$13)^(20-1)*'Assumptions'!$D$21)</x:f>
        <x:v>4146.292946438603</x:v>
      </x:c>
      <x:c r="H749" s="10" t="n">
        <x:f>IF('Income statement'!W50=0,1/39,E749/'Income statement'!W50)*'Cash and capital'!W18</x:f>
        <x:v>13.15804822497406</x:v>
      </x:c>
      <x:c r="I749" s="10" t="n">
        <x:f>E749-F749-G749-H749</x:f>
        <x:v>39898.45144160478</x:v>
      </x:c>
      <x:c r="J749" s="10" t="n">
        <x:f>M710</x:f>
        <x:v>0</x:v>
      </x:c>
      <x:c r="K749" s="10" t="n">
        <x:f>MAX(0,I749-J749)</x:f>
        <x:v>39898.45144160478</x:v>
      </x:c>
      <x:c r="L749" s="10" t="n">
        <x:f>K749*'Assumptions'!$D$12</x:f>
        <x:v>9974.612860401196</x:v>
      </x:c>
      <x:c r="M749" s="10" t="n">
        <x:f>MAX(0,J749-I749)</x:f>
        <x:v>0</x:v>
      </x:c>
    </x:row>
    <x:row r="750" ht="16" customHeight="1">
      <x:c r="A750" s="1"/>
      <x:c r="B750" s="1"/>
      <x:c r="C750" s="1" t="str">
        <x:v>ETV services</x:v>
      </x:c>
      <x:c r="D750" s="10" t="n">
        <x:v>20</x:v>
      </x:c>
      <x:c r="E750" s="10" t="n">
        <x:f>SUMIF('Revenue and costs'!$D$2440:$D$2567,C750,'Revenue and costs'!N2440:N2567)</x:f>
        <x:v>194189.93092164976</x:v>
      </x:c>
      <x:c r="F750" s="10" t="n">
        <x:f>SUMIF('Revenue and costs'!$D$2440:$D$2567,C750,'Revenue and costs'!O2440:O2567)+SUMIF('Revenue and costs'!$D$2440:$D$2567,C750,'Revenue and costs'!P2440:P2567)+SUMIF('Revenue and costs'!$D$2440:$D$2567,C750,'Revenue and costs'!Q2440:Q2567)+SUMIF('Revenue and costs'!$D$2440:$D$2567,C750,'Revenue and costs'!R2440:R2567)+SUMIF('Revenue and costs'!$D$2440:$D$2567,C750,'Revenue and costs'!S2440:S2567)+SUMIF('Revenue and costs'!$D$2440:$D$2567,C750,'Revenue and costs'!T2440:T2567)+SUMIF('Revenue and costs'!$D$2440:$D$2567,C750,'Revenue and costs'!U2440:U2567)+SUMIF('Revenue and costs'!$D$2440:$D$2567,C750,'Revenue and costs'!V2440:V2567)+SUMIF('Revenue and costs'!$D$2440:$D$2567,C750,'Revenue and costs'!AE2440:AE2567)</x:f>
        <x:v>144577.52197213704</x:v>
      </x:c>
      <x:c r="G750" s="10" t="n">
        <x:f>IF('Income statement'!W50=0,1/39,E750/'Income statement'!W50)*('Shared costs'!AA21+'Assumptions'!$D$18*'Assumptions'!$D$19*12*(1+'Assumptions'!$D$13)^(20-1)*'Assumptions'!$D$21)</x:f>
        <x:v>10773.482600798461</x:v>
      </x:c>
      <x:c r="H750" s="10" t="n">
        <x:f>IF('Income statement'!W50=0,1/39,E750/'Income statement'!W50)*'Cash and capital'!W18</x:f>
        <x:v>34.18909504066422</x:v>
      </x:c>
      <x:c r="I750" s="10" t="n">
        <x:f>E750-F750-G750-H750</x:f>
        <x:v>38804.7372536736</x:v>
      </x:c>
      <x:c r="J750" s="10" t="n">
        <x:f>M711</x:f>
        <x:v>0</x:v>
      </x:c>
      <x:c r="K750" s="10" t="n">
        <x:f>MAX(0,I750-J750)</x:f>
        <x:v>38804.7372536736</x:v>
      </x:c>
      <x:c r="L750" s="10" t="n">
        <x:f>K750*'Assumptions'!$D$12</x:f>
        <x:v>9701.1843134184</x:v>
      </x:c>
      <x:c r="M750" s="10" t="n">
        <x:f>MAX(0,J750-I750)</x:f>
        <x:v>0</x:v>
      </x:c>
    </x:row>
    <x:row r="751" ht="16" customHeight="1">
      <x:c r="A751" s="1"/>
      <x:c r="B751" s="1"/>
      <x:c r="C751" s="1" t="str">
        <x:v>BPA professional services</x:v>
      </x:c>
      <x:c r="D751" s="10" t="n">
        <x:v>20</x:v>
      </x:c>
      <x:c r="E751" s="10" t="n">
        <x:f>SUMIF('Revenue and costs'!$D$2440:$D$2567,C751,'Revenue and costs'!N2440:N2567)</x:f>
        <x:v>942578.8156071301</x:v>
      </x:c>
      <x:c r="F751" s="10" t="n">
        <x:f>SUMIF('Revenue and costs'!$D$2440:$D$2567,C751,'Revenue and costs'!O2440:O2567)+SUMIF('Revenue and costs'!$D$2440:$D$2567,C751,'Revenue and costs'!P2440:P2567)+SUMIF('Revenue and costs'!$D$2440:$D$2567,C751,'Revenue and costs'!Q2440:Q2567)+SUMIF('Revenue and costs'!$D$2440:$D$2567,C751,'Revenue and costs'!R2440:R2567)+SUMIF('Revenue and costs'!$D$2440:$D$2567,C751,'Revenue and costs'!S2440:S2567)+SUMIF('Revenue and costs'!$D$2440:$D$2567,C751,'Revenue and costs'!T2440:T2567)+SUMIF('Revenue and costs'!$D$2440:$D$2567,C751,'Revenue and costs'!U2440:U2567)+SUMIF('Revenue and costs'!$D$2440:$D$2567,C751,'Revenue and costs'!V2440:V2567)+SUMIF('Revenue and costs'!$D$2440:$D$2567,C751,'Revenue and costs'!AE2440:AE2567)</x:f>
        <x:v>648408.9983727516</x:v>
      </x:c>
      <x:c r="G751" s="10" t="n">
        <x:f>IF('Income statement'!W50=0,1/39,E751/'Income statement'!W50)*('Shared costs'!AA21+'Assumptions'!$D$18*'Assumptions'!$D$19*12*(1+'Assumptions'!$D$13)^(20-1)*'Assumptions'!$D$21)</x:f>
        <x:v>52293.424389351254</x:v>
      </x:c>
      <x:c r="H751" s="10" t="n">
        <x:f>IF('Income statement'!W50=0,1/39,E751/'Income statement'!W50)*'Cash and capital'!W18</x:f>
        <x:v>165.9505029800497</x:v>
      </x:c>
      <x:c r="I751" s="10" t="n">
        <x:f>E751-F751-G751-H751</x:f>
        <x:v>241710.4423420471</x:v>
      </x:c>
      <x:c r="J751" s="10" t="n">
        <x:f>M712</x:f>
        <x:v>0</x:v>
      </x:c>
      <x:c r="K751" s="10" t="n">
        <x:f>MAX(0,I751-J751)</x:f>
        <x:v>241710.4423420471</x:v>
      </x:c>
      <x:c r="L751" s="10" t="n">
        <x:f>K751*'Assumptions'!$D$12</x:f>
        <x:v>60427.61058551178</x:v>
      </x:c>
      <x:c r="M751" s="10" t="n">
        <x:f>MAX(0,J751-I751)</x:f>
        <x:v>0</x:v>
      </x:c>
    </x:row>
    <x:row r="752" ht="16" customHeight="1">
      <x:c r="A752" s="1"/>
      <x:c r="B752" s="1"/>
      <x:c r="C752" s="1" t="str">
        <x:v>CornerFlow</x:v>
      </x:c>
      <x:c r="D752" s="10" t="n">
        <x:v>20</x:v>
      </x:c>
      <x:c r="E752" s="10" t="n">
        <x:f>SUMIF('Revenue and costs'!$D$2440:$D$2567,C752,'Revenue and costs'!N2440:N2567)</x:f>
        <x:v>37581.030217084524</x:v>
      </x:c>
      <x:c r="F752" s="10" t="n">
        <x:f>SUMIF('Revenue and costs'!$D$2440:$D$2567,C752,'Revenue and costs'!O2440:O2567)+SUMIF('Revenue and costs'!$D$2440:$D$2567,C752,'Revenue and costs'!P2440:P2567)+SUMIF('Revenue and costs'!$D$2440:$D$2567,C752,'Revenue and costs'!Q2440:Q2567)+SUMIF('Revenue and costs'!$D$2440:$D$2567,C752,'Revenue and costs'!R2440:R2567)+SUMIF('Revenue and costs'!$D$2440:$D$2567,C752,'Revenue and costs'!S2440:S2567)+SUMIF('Revenue and costs'!$D$2440:$D$2567,C752,'Revenue and costs'!T2440:T2567)+SUMIF('Revenue and costs'!$D$2440:$D$2567,C752,'Revenue and costs'!U2440:U2567)+SUMIF('Revenue and costs'!$D$2440:$D$2567,C752,'Revenue and costs'!V2440:V2567)+SUMIF('Revenue and costs'!$D$2440:$D$2567,C752,'Revenue and costs'!AE2440:AE2567)</x:f>
        <x:v>16213.240002771341</x:v>
      </x:c>
      <x:c r="G752" s="10" t="n">
        <x:f>IF('Income statement'!W50=0,1/39,E752/'Income statement'!W50)*('Shared costs'!AA21+'Assumptions'!$D$18*'Assumptions'!$D$19*12*(1+'Assumptions'!$D$13)^(20-1)*'Assumptions'!$D$21)</x:f>
        <x:v>2084.9617343300797</x:v>
      </x:c>
      <x:c r="H752" s="10" t="n">
        <x:f>IF('Income statement'!W50=0,1/39,E752/'Income statement'!W50)*'Cash and capital'!W18</x:f>
        <x:v>6.616519238252279</x:v>
      </x:c>
      <x:c r="I752" s="10" t="n">
        <x:f>E752-F752-G752-H752</x:f>
        <x:v>19276.21196074485</x:v>
      </x:c>
      <x:c r="J752" s="10" t="n">
        <x:f>M713</x:f>
        <x:v>0</x:v>
      </x:c>
      <x:c r="K752" s="10" t="n">
        <x:f>MAX(0,I752-J752)</x:f>
        <x:v>19276.21196074485</x:v>
      </x:c>
      <x:c r="L752" s="10" t="n">
        <x:f>K752*'Assumptions'!$D$12</x:f>
        <x:v>4819.052990186213</x:v>
      </x:c>
      <x:c r="M752" s="10" t="n">
        <x:f>MAX(0,J752-I752)</x:f>
        <x:v>0</x:v>
      </x:c>
    </x:row>
    <x:row r="753" ht="16" customHeight="1">
      <x:c r="A753" s="1"/>
      <x:c r="B753" s="1"/>
      <x:c r="C753" s="1" t="str">
        <x:v>Spindle</x:v>
      </x:c>
      <x:c r="D753" s="10" t="n">
        <x:v>20</x:v>
      </x:c>
      <x:c r="E753" s="10" t="n">
        <x:f>SUMIF('Revenue and costs'!$D$2440:$D$2567,C753,'Revenue and costs'!N2440:N2567)</x:f>
        <x:v>37581.030217084524</x:v>
      </x:c>
      <x:c r="F753" s="10" t="n">
        <x:f>SUMIF('Revenue and costs'!$D$2440:$D$2567,C753,'Revenue and costs'!O2440:O2567)+SUMIF('Revenue and costs'!$D$2440:$D$2567,C753,'Revenue and costs'!P2440:P2567)+SUMIF('Revenue and costs'!$D$2440:$D$2567,C753,'Revenue and costs'!Q2440:Q2567)+SUMIF('Revenue and costs'!$D$2440:$D$2567,C753,'Revenue and costs'!R2440:R2567)+SUMIF('Revenue and costs'!$D$2440:$D$2567,C753,'Revenue and costs'!S2440:S2567)+SUMIF('Revenue and costs'!$D$2440:$D$2567,C753,'Revenue and costs'!T2440:T2567)+SUMIF('Revenue and costs'!$D$2440:$D$2567,C753,'Revenue and costs'!U2440:U2567)+SUMIF('Revenue and costs'!$D$2440:$D$2567,C753,'Revenue and costs'!V2440:V2567)+SUMIF('Revenue and costs'!$D$2440:$D$2567,C753,'Revenue and costs'!AE2440:AE2567)</x:f>
        <x:v>16213.240002771341</x:v>
      </x:c>
      <x:c r="G753" s="10" t="n">
        <x:f>IF('Income statement'!W50=0,1/39,E753/'Income statement'!W50)*('Shared costs'!AA21+'Assumptions'!$D$18*'Assumptions'!$D$19*12*(1+'Assumptions'!$D$13)^(20-1)*'Assumptions'!$D$21)</x:f>
        <x:v>2084.9617343300797</x:v>
      </x:c>
      <x:c r="H753" s="10" t="n">
        <x:f>IF('Income statement'!W50=0,1/39,E753/'Income statement'!W50)*'Cash and capital'!W18</x:f>
        <x:v>6.616519238252279</x:v>
      </x:c>
      <x:c r="I753" s="10" t="n">
        <x:f>E753-F753-G753-H753</x:f>
        <x:v>19276.21196074485</x:v>
      </x:c>
      <x:c r="J753" s="10" t="n">
        <x:f>M714</x:f>
        <x:v>0</x:v>
      </x:c>
      <x:c r="K753" s="10" t="n">
        <x:f>MAX(0,I753-J753)</x:f>
        <x:v>19276.21196074485</x:v>
      </x:c>
      <x:c r="L753" s="10" t="n">
        <x:f>K753*'Assumptions'!$D$12</x:f>
        <x:v>4819.052990186213</x:v>
      </x:c>
      <x:c r="M753" s="10" t="n">
        <x:f>MAX(0,J753-I753)</x:f>
        <x:v>0</x:v>
      </x:c>
    </x:row>
    <x:row r="754" ht="16" customHeight="1">
      <x:c r="A754" s="1"/>
      <x:c r="B754" s="1"/>
      <x:c r="C754" s="1" t="str">
        <x:v>Maison Contour</x:v>
      </x:c>
      <x:c r="D754" s="10" t="n">
        <x:v>20</x:v>
      </x:c>
      <x:c r="E754" s="10" t="n">
        <x:f>SUMIF('Revenue and costs'!$D$2440:$D$2567,C754,'Revenue and costs'!N2440:N2567)</x:f>
        <x:v>52957.741352064455</x:v>
      </x:c>
      <x:c r="F754" s="10" t="n">
        <x:f>SUMIF('Revenue and costs'!$D$2440:$D$2567,C754,'Revenue and costs'!O2440:O2567)+SUMIF('Revenue and costs'!$D$2440:$D$2567,C754,'Revenue and costs'!P2440:P2567)+SUMIF('Revenue and costs'!$D$2440:$D$2567,C754,'Revenue and costs'!Q2440:Q2567)+SUMIF('Revenue and costs'!$D$2440:$D$2567,C754,'Revenue and costs'!R2440:R2567)+SUMIF('Revenue and costs'!$D$2440:$D$2567,C754,'Revenue and costs'!S2440:S2567)+SUMIF('Revenue and costs'!$D$2440:$D$2567,C754,'Revenue and costs'!T2440:T2567)+SUMIF('Revenue and costs'!$D$2440:$D$2567,C754,'Revenue and costs'!U2440:U2567)+SUMIF('Revenue and costs'!$D$2440:$D$2567,C754,'Revenue and costs'!V2440:V2567)+SUMIF('Revenue and costs'!$D$2440:$D$2567,C754,'Revenue and costs'!AE2440:AE2567)</x:f>
        <x:v>17441.79166561768</x:v>
      </x:c>
      <x:c r="G754" s="10" t="n">
        <x:f>IF('Income statement'!W50=0,1/39,E754/'Income statement'!W50)*('Shared costs'!AA21+'Assumptions'!$D$18*'Assumptions'!$D$19*12*(1+'Assumptions'!$D$13)^(20-1)*'Assumptions'!$D$21)</x:f>
        <x:v>2938.0478293915676</x:v>
      </x:c>
      <x:c r="H754" s="10" t="n">
        <x:f>IF('Income statement'!W50=0,1/39,E754/'Income statement'!W50)*'Cash and capital'!W18</x:f>
        <x:v>9.323744251987828</x:v>
      </x:c>
      <x:c r="I754" s="10" t="n">
        <x:f>E754-F754-G754-H754</x:f>
        <x:v>32568.578112803225</x:v>
      </x:c>
      <x:c r="J754" s="10" t="n">
        <x:f>M715</x:f>
        <x:v>0</x:v>
      </x:c>
      <x:c r="K754" s="10" t="n">
        <x:f>MAX(0,I754-J754)</x:f>
        <x:v>32568.578112803225</x:v>
      </x:c>
      <x:c r="L754" s="10" t="n">
        <x:f>K754*'Assumptions'!$D$12</x:f>
        <x:v>8142.144528200806</x:v>
      </x:c>
      <x:c r="M754" s="10" t="n">
        <x:f>MAX(0,J754-I754)</x:f>
        <x:v>0</x:v>
      </x:c>
    </x:row>
    <x:row r="755" ht="16" customHeight="1">
      <x:c r="A755" s="1"/>
      <x:c r="B755" s="1"/>
      <x:c r="C755" s="1" t="str">
        <x:v>DishLoom US</x:v>
      </x:c>
      <x:c r="D755" s="10" t="n">
        <x:v>20</x:v>
      </x:c>
      <x:c r="E755" s="10" t="n">
        <x:f>SUMIF('Revenue and costs'!$D$2440:$D$2567,C755,'Revenue and costs'!N2440:N2567)</x:f>
        <x:v>48436.64007518676</x:v>
      </x:c>
      <x:c r="F755" s="10" t="n">
        <x:f>SUMIF('Revenue and costs'!$D$2440:$D$2567,C755,'Revenue and costs'!O2440:O2567)+SUMIF('Revenue and costs'!$D$2440:$D$2567,C755,'Revenue and costs'!P2440:P2567)+SUMIF('Revenue and costs'!$D$2440:$D$2567,C755,'Revenue and costs'!Q2440:Q2567)+SUMIF('Revenue and costs'!$D$2440:$D$2567,C755,'Revenue and costs'!R2440:R2567)+SUMIF('Revenue and costs'!$D$2440:$D$2567,C755,'Revenue and costs'!S2440:S2567)+SUMIF('Revenue and costs'!$D$2440:$D$2567,C755,'Revenue and costs'!T2440:T2567)+SUMIF('Revenue and costs'!$D$2440:$D$2567,C755,'Revenue and costs'!U2440:U2567)+SUMIF('Revenue and costs'!$D$2440:$D$2567,C755,'Revenue and costs'!V2440:V2567)+SUMIF('Revenue and costs'!$D$2440:$D$2567,C755,'Revenue and costs'!AE2440:AE2567)</x:f>
        <x:v>34807.23691246445</x:v>
      </x:c>
      <x:c r="G755" s="10" t="n">
        <x:f>IF('Income statement'!W50=0,1/39,E755/'Income statement'!W50)*('Shared costs'!AA21+'Assumptions'!$D$18*'Assumptions'!$D$19*12*(1+'Assumptions'!$D$13)^(20-1)*'Assumptions'!$D$21)</x:f>
        <x:v>2687.221199443685</x:v>
      </x:c>
      <x:c r="H755" s="10" t="n">
        <x:f>IF('Income statement'!W50=0,1/39,E755/'Income statement'!W50)*'Cash and capital'!W18</x:f>
        <x:v>8.527758793266976</x:v>
      </x:c>
      <x:c r="I755" s="10" t="n">
        <x:f>E755-F755-G755-H755</x:f>
        <x:v>10933.654204485365</x:v>
      </x:c>
      <x:c r="J755" s="10" t="n">
        <x:f>M716</x:f>
        <x:v>0</x:v>
      </x:c>
      <x:c r="K755" s="10" t="n">
        <x:f>MAX(0,I755-J755)</x:f>
        <x:v>10933.654204485365</x:v>
      </x:c>
      <x:c r="L755" s="10" t="n">
        <x:f>K755*'Assumptions'!$D$12</x:f>
        <x:v>2733.4135511213412</x:v>
      </x:c>
      <x:c r="M755" s="10" t="n">
        <x:f>MAX(0,J755-I755)</x:f>
        <x:v>0</x:v>
      </x:c>
    </x:row>
    <x:row r="756" ht="16" customHeight="1">
      <x:c r="A756" s="1"/>
      <x:c r="B756" s="1"/>
      <x:c r="C756" s="1" t="str">
        <x:v>Is Makes Travel Easy</x:v>
      </x:c>
      <x:c r="D756" s="10" t="n">
        <x:v>20</x:v>
      </x:c>
      <x:c r="E756" s="10" t="n">
        <x:f>SUMIF('Revenue and costs'!$D$2440:$D$2567,C756,'Revenue and costs'!N2440:N2567)</x:f>
        <x:v>82048.27709368872</x:v>
      </x:c>
      <x:c r="F756" s="10" t="n">
        <x:f>SUMIF('Revenue and costs'!$D$2440:$D$2567,C756,'Revenue and costs'!O2440:O2567)+SUMIF('Revenue and costs'!$D$2440:$D$2567,C756,'Revenue and costs'!P2440:P2567)+SUMIF('Revenue and costs'!$D$2440:$D$2567,C756,'Revenue and costs'!Q2440:Q2567)+SUMIF('Revenue and costs'!$D$2440:$D$2567,C756,'Revenue and costs'!R2440:R2567)+SUMIF('Revenue and costs'!$D$2440:$D$2567,C756,'Revenue and costs'!S2440:S2567)+SUMIF('Revenue and costs'!$D$2440:$D$2567,C756,'Revenue and costs'!T2440:T2567)+SUMIF('Revenue and costs'!$D$2440:$D$2567,C756,'Revenue and costs'!U2440:U2567)+SUMIF('Revenue and costs'!$D$2440:$D$2567,C756,'Revenue and costs'!V2440:V2567)+SUMIF('Revenue and costs'!$D$2440:$D$2567,C756,'Revenue and costs'!AE2440:AE2567)</x:f>
        <x:v>49643.49322683289</x:v>
      </x:c>
      <x:c r="G756" s="10" t="n">
        <x:f>IF('Income statement'!W50=0,1/39,E756/'Income statement'!W50)*('Shared costs'!AA21+'Assumptions'!$D$18*'Assumptions'!$D$19*12*(1+'Assumptions'!$D$13)^(20-1)*'Assumptions'!$D$21)</x:f>
        <x:v>4551.964571484367</x:v>
      </x:c>
      <x:c r="H756" s="10" t="n">
        <x:f>IF('Income statement'!W50=0,1/39,E756/'Income statement'!W50)*'Cash and capital'!W18</x:f>
        <x:v>14.445426341959406</x:v>
      </x:c>
      <x:c r="I756" s="10" t="n">
        <x:f>E756-F756-G756-H756</x:f>
        <x:v>27838.373869029503</x:v>
      </x:c>
      <x:c r="J756" s="10" t="n">
        <x:f>M717</x:f>
        <x:v>0</x:v>
      </x:c>
      <x:c r="K756" s="10" t="n">
        <x:f>MAX(0,I756-J756)</x:f>
        <x:v>27838.373869029503</x:v>
      </x:c>
      <x:c r="L756" s="10" t="n">
        <x:f>K756*'Assumptions'!$D$12</x:f>
        <x:v>6959.593467257376</x:v>
      </x:c>
      <x:c r="M756" s="10" t="n">
        <x:f>MAX(0,J756-I756)</x:f>
        <x:v>0</x:v>
      </x:c>
    </x:row>
    <x:row r="757" ht="16" customHeight="1">
      <x:c r="A757" s="1"/>
      <x:c r="B757" s="1"/>
      <x:c r="C757" s="1" t="str">
        <x:v>Turbo Tax - Made Easy!</x:v>
      </x:c>
      <x:c r="D757" s="10" t="n">
        <x:v>20</x:v>
      </x:c>
      <x:c r="E757" s="10" t="n">
        <x:f>SUMIF('Revenue and costs'!$D$2440:$D$2567,C757,'Revenue and costs'!N2440:N2567)</x:f>
        <x:v>174978.51536971948</x:v>
      </x:c>
      <x:c r="F757" s="10" t="n">
        <x:f>SUMIF('Revenue and costs'!$D$2440:$D$2567,C757,'Revenue and costs'!O2440:O2567)+SUMIF('Revenue and costs'!$D$2440:$D$2567,C757,'Revenue and costs'!P2440:P2567)+SUMIF('Revenue and costs'!$D$2440:$D$2567,C757,'Revenue and costs'!Q2440:Q2567)+SUMIF('Revenue and costs'!$D$2440:$D$2567,C757,'Revenue and costs'!R2440:R2567)+SUMIF('Revenue and costs'!$D$2440:$D$2567,C757,'Revenue and costs'!S2440:S2567)+SUMIF('Revenue and costs'!$D$2440:$D$2567,C757,'Revenue and costs'!T2440:T2567)+SUMIF('Revenue and costs'!$D$2440:$D$2567,C757,'Revenue and costs'!U2440:U2567)+SUMIF('Revenue and costs'!$D$2440:$D$2567,C757,'Revenue and costs'!V2440:V2567)+SUMIF('Revenue and costs'!$D$2440:$D$2567,C757,'Revenue and costs'!AE2440:AE2567)</x:f>
        <x:v>57815.308192705066</x:v>
      </x:c>
      <x:c r="G757" s="10" t="n">
        <x:f>IF('Income statement'!W50=0,1/39,E757/'Income statement'!W50)*('Shared costs'!AA21+'Assumptions'!$D$18*'Assumptions'!$D$19*12*(1+'Assumptions'!$D$13)^(20-1)*'Assumptions'!$D$21)</x:f>
        <x:v>9707.65055583554</x:v>
      </x:c>
      <x:c r="H757" s="10" t="n">
        <x:f>IF('Income statement'!W50=0,1/39,E757/'Income statement'!W50)*'Cash and capital'!W18</x:f>
        <x:v>30.806731655223558</x:v>
      </x:c>
      <x:c r="I757" s="10" t="n">
        <x:f>E757-F757-G757-H757</x:f>
        <x:v>107424.74988952365</x:v>
      </x:c>
      <x:c r="J757" s="10" t="n">
        <x:f>M718</x:f>
        <x:v>0</x:v>
      </x:c>
      <x:c r="K757" s="10" t="n">
        <x:f>MAX(0,I757-J757)</x:f>
        <x:v>107424.74988952365</x:v>
      </x:c>
      <x:c r="L757" s="10" t="n">
        <x:f>K757*'Assumptions'!$D$12</x:f>
        <x:v>26856.187472380912</x:v>
      </x:c>
      <x:c r="M757" s="10" t="n">
        <x:f>MAX(0,J757-I757)</x:f>
        <x:v>0</x:v>
      </x:c>
    </x:row>
    <x:row r="758" ht="16" customHeight="1">
      <x:c r="A758" s="1"/>
      <x:c r="B758" s="1"/>
      <x:c r="C758" s="1" t="str">
        <x:v>LavaLearning adult</x:v>
      </x:c>
      <x:c r="D758" s="10" t="n">
        <x:v>20</x:v>
      </x:c>
      <x:c r="E758" s="10" t="n">
        <x:f>SUMIF('Revenue and costs'!$D$2440:$D$2567,C758,'Revenue and costs'!N2440:N2567)</x:f>
        <x:v>98105.69734526292</x:v>
      </x:c>
      <x:c r="F758" s="10" t="n">
        <x:f>SUMIF('Revenue and costs'!$D$2440:$D$2567,C758,'Revenue and costs'!O2440:O2567)+SUMIF('Revenue and costs'!$D$2440:$D$2567,C758,'Revenue and costs'!P2440:P2567)+SUMIF('Revenue and costs'!$D$2440:$D$2567,C758,'Revenue and costs'!Q2440:Q2567)+SUMIF('Revenue and costs'!$D$2440:$D$2567,C758,'Revenue and costs'!R2440:R2567)+SUMIF('Revenue and costs'!$D$2440:$D$2567,C758,'Revenue and costs'!S2440:S2567)+SUMIF('Revenue and costs'!$D$2440:$D$2567,C758,'Revenue and costs'!T2440:T2567)+SUMIF('Revenue and costs'!$D$2440:$D$2567,C758,'Revenue and costs'!U2440:U2567)+SUMIF('Revenue and costs'!$D$2440:$D$2567,C758,'Revenue and costs'!V2440:V2567)+SUMIF('Revenue and costs'!$D$2440:$D$2567,C758,'Revenue and costs'!AE2440:AE2567)</x:f>
        <x:v>44500.396985932275</x:v>
      </x:c>
      <x:c r="G758" s="10" t="n">
        <x:f>IF('Income statement'!W50=0,1/39,E758/'Income statement'!W50)*('Shared costs'!AA21+'Assumptions'!$D$18*'Assumptions'!$D$19*12*(1+'Assumptions'!$D$13)^(20-1)*'Assumptions'!$D$21)</x:f>
        <x:v>5442.815795711033</x:v>
      </x:c>
      <x:c r="H758" s="10" t="n">
        <x:f>IF('Income statement'!W50=0,1/39,E758/'Income statement'!W50)*'Cash and capital'!W18</x:f>
        <x:v>17.272497058156624</x:v>
      </x:c>
      <x:c r="I758" s="10" t="n">
        <x:f>E758-F758-G758-H758</x:f>
        <x:v>48145.21206656146</x:v>
      </x:c>
      <x:c r="J758" s="10" t="n">
        <x:f>M719</x:f>
        <x:v>0</x:v>
      </x:c>
      <x:c r="K758" s="10" t="n">
        <x:f>MAX(0,I758-J758)</x:f>
        <x:v>48145.21206656146</x:v>
      </x:c>
      <x:c r="L758" s="10" t="n">
        <x:f>K758*'Assumptions'!$D$12</x:f>
        <x:v>12036.303016640364</x:v>
      </x:c>
      <x:c r="M758" s="10" t="n">
        <x:f>MAX(0,J758-I758)</x:f>
        <x:v>0</x:v>
      </x:c>
    </x:row>
    <x:row r="759" ht="16" customHeight="1">
      <x:c r="A759" s="1"/>
      <x:c r="B759" s="1"/>
      <x:c r="C759" s="1" t="str">
        <x:v>LavaLearning Model Life</x:v>
      </x:c>
      <x:c r="D759" s="10" t="n">
        <x:v>20</x:v>
      </x:c>
      <x:c r="E759" s="10" t="n">
        <x:f>SUMIF('Revenue and costs'!$D$2440:$D$2567,C759,'Revenue and costs'!N2440:N2567)</x:f>
        <x:v>0</x:v>
      </x:c>
      <x:c r="F759" s="10" t="n">
        <x:f>SUMIF('Revenue and costs'!$D$2440:$D$2567,C759,'Revenue and costs'!O2440:O2567)+SUMIF('Revenue and costs'!$D$2440:$D$2567,C759,'Revenue and costs'!P2440:P2567)+SUMIF('Revenue and costs'!$D$2440:$D$2567,C759,'Revenue and costs'!Q2440:Q2567)+SUMIF('Revenue and costs'!$D$2440:$D$2567,C759,'Revenue and costs'!R2440:R2567)+SUMIF('Revenue and costs'!$D$2440:$D$2567,C759,'Revenue and costs'!S2440:S2567)+SUMIF('Revenue and costs'!$D$2440:$D$2567,C759,'Revenue and costs'!T2440:T2567)+SUMIF('Revenue and costs'!$D$2440:$D$2567,C759,'Revenue and costs'!U2440:U2567)+SUMIF('Revenue and costs'!$D$2440:$D$2567,C759,'Revenue and costs'!V2440:V2567)+SUMIF('Revenue and costs'!$D$2440:$D$2567,C759,'Revenue and costs'!AE2440:AE2567)</x:f>
        <x:v>0</x:v>
      </x:c>
      <x:c r="G759" s="10" t="n">
        <x:f>IF('Income statement'!W50=0,1/39,E759/'Income statement'!W50)*('Shared costs'!AA21+'Assumptions'!$D$18*'Assumptions'!$D$19*12*(1+'Assumptions'!$D$13)^(20-1)*'Assumptions'!$D$21)</x:f>
        <x:v>0</x:v>
      </x:c>
      <x:c r="H759" s="10" t="n">
        <x:f>IF('Income statement'!W50=0,1/39,E759/'Income statement'!W50)*'Cash and capital'!W18</x:f>
        <x:v>0</x:v>
      </x:c>
      <x:c r="I759" s="10" t="n">
        <x:f>E759-F759-G759-H759</x:f>
        <x:v>0</x:v>
      </x:c>
      <x:c r="J759" s="10" t="n">
        <x:f>M720</x:f>
        <x:v>0</x:v>
      </x:c>
      <x:c r="K759" s="10" t="n">
        <x:f>MAX(0,I759-J759)</x:f>
        <x:v>0</x:v>
      </x:c>
      <x:c r="L759" s="10" t="n">
        <x:f>K759*'Assumptions'!$D$12</x:f>
        <x:v>0</x:v>
      </x:c>
      <x:c r="M759" s="10" t="n">
        <x:f>MAX(0,J759-I759)</x:f>
        <x:v>0</x:v>
      </x:c>
    </x:row>
    <x:row r="760" ht="16" customHeight="1">
      <x:c r="A760" s="1"/>
      <x:c r="B760" s="1"/>
      <x:c r="C760" s="1" t="str">
        <x:v>LavaLearning Kids</x:v>
      </x:c>
      <x:c r="D760" s="10" t="n">
        <x:v>20</x:v>
      </x:c>
      <x:c r="E760" s="10" t="n">
        <x:f>SUMIF('Revenue and costs'!$D$2440:$D$2567,C760,'Revenue and costs'!N2440:N2567)</x:f>
        <x:v>43474.386941388744</x:v>
      </x:c>
      <x:c r="F760" s="10" t="n">
        <x:f>SUMIF('Revenue and costs'!$D$2440:$D$2567,C760,'Revenue and costs'!O2440:O2567)+SUMIF('Revenue and costs'!$D$2440:$D$2567,C760,'Revenue and costs'!P2440:P2567)+SUMIF('Revenue and costs'!$D$2440:$D$2567,C760,'Revenue and costs'!Q2440:Q2567)+SUMIF('Revenue and costs'!$D$2440:$D$2567,C760,'Revenue and costs'!R2440:R2567)+SUMIF('Revenue and costs'!$D$2440:$D$2567,C760,'Revenue and costs'!S2440:S2567)+SUMIF('Revenue and costs'!$D$2440:$D$2567,C760,'Revenue and costs'!T2440:T2567)+SUMIF('Revenue and costs'!$D$2440:$D$2567,C760,'Revenue and costs'!U2440:U2567)+SUMIF('Revenue and costs'!$D$2440:$D$2567,C760,'Revenue and costs'!V2440:V2567)+SUMIF('Revenue and costs'!$D$2440:$D$2567,C760,'Revenue and costs'!AE2440:AE2567)</x:f>
        <x:v>27804.34650447833</x:v>
      </x:c>
      <x:c r="G760" s="10" t="n">
        <x:f>IF('Income statement'!W50=0,1/39,E760/'Income statement'!W50)*('Shared costs'!AA21+'Assumptions'!$D$18*'Assumptions'!$D$19*12*(1+'Assumptions'!$D$13)^(20-1)*'Assumptions'!$D$21)</x:f>
        <x:v>2411.9198615009855</x:v>
      </x:c>
      <x:c r="H760" s="10" t="n">
        <x:f>IF('Income statement'!W50=0,1/39,E760/'Income statement'!W50)*'Cash and capital'!W18</x:f>
        <x:v>7.654104102717108</x:v>
      </x:c>
      <x:c r="I760" s="10" t="n">
        <x:f>E760-F760-G760-H760</x:f>
        <x:v>13250.466471306712</x:v>
      </x:c>
      <x:c r="J760" s="10" t="n">
        <x:f>M721</x:f>
        <x:v>0</x:v>
      </x:c>
      <x:c r="K760" s="10" t="n">
        <x:f>MAX(0,I760-J760)</x:f>
        <x:v>13250.466471306712</x:v>
      </x:c>
      <x:c r="L760" s="10" t="n">
        <x:f>K760*'Assumptions'!$D$12</x:f>
        <x:v>3312.616617826678</x:v>
      </x:c>
      <x:c r="M760" s="10" t="n">
        <x:f>MAX(0,J760-I760)</x:f>
        <x:v>0</x:v>
      </x:c>
    </x:row>
    <x:row r="761" ht="16" customHeight="1">
      <x:c r="A761" s="1"/>
      <x:c r="B761" s="1"/>
      <x:c r="C761" s="1" t="str">
        <x:v>VraiSkill adult</x:v>
      </x:c>
      <x:c r="D761" s="10" t="n">
        <x:v>20</x:v>
      </x:c>
      <x:c r="E761" s="10" t="n">
        <x:f>SUMIF('Revenue and costs'!$D$2440:$D$2567,C761,'Revenue and costs'!N2440:N2567)</x:f>
        <x:v>82326.76011324706</x:v>
      </x:c>
      <x:c r="F761" s="10" t="n">
        <x:f>SUMIF('Revenue and costs'!$D$2440:$D$2567,C761,'Revenue and costs'!O2440:O2567)+SUMIF('Revenue and costs'!$D$2440:$D$2567,C761,'Revenue and costs'!P2440:P2567)+SUMIF('Revenue and costs'!$D$2440:$D$2567,C761,'Revenue and costs'!Q2440:Q2567)+SUMIF('Revenue and costs'!$D$2440:$D$2567,C761,'Revenue and costs'!R2440:R2567)+SUMIF('Revenue and costs'!$D$2440:$D$2567,C761,'Revenue and costs'!S2440:S2567)+SUMIF('Revenue and costs'!$D$2440:$D$2567,C761,'Revenue and costs'!T2440:T2567)+SUMIF('Revenue and costs'!$D$2440:$D$2567,C761,'Revenue and costs'!U2440:U2567)+SUMIF('Revenue and costs'!$D$2440:$D$2567,C761,'Revenue and costs'!V2440:V2567)+SUMIF('Revenue and costs'!$D$2440:$D$2567,C761,'Revenue and costs'!AE2440:AE2567)</x:f>
        <x:v>70758.59094560191</x:v>
      </x:c>
      <x:c r="G761" s="10" t="n">
        <x:f>IF('Income statement'!W50=0,1/39,E761/'Income statement'!W50)*('Shared costs'!AA21+'Assumptions'!$D$18*'Assumptions'!$D$19*12*(1+'Assumptions'!$D$13)^(20-1)*'Assumptions'!$D$21)</x:f>
        <x:v>4567.414558780773</x:v>
      </x:c>
      <x:c r="H761" s="10" t="n">
        <x:f>IF('Income statement'!W50=0,1/39,E761/'Income statement'!W50)*'Cash and capital'!W18</x:f>
        <x:v>14.494456085044966</x:v>
      </x:c>
      <x:c r="I761" s="10" t="n">
        <x:f>E761-F761-G761-H761</x:f>
        <x:v>6986.260152779326</x:v>
      </x:c>
      <x:c r="J761" s="10" t="n">
        <x:f>M722</x:f>
        <x:v>0</x:v>
      </x:c>
      <x:c r="K761" s="10" t="n">
        <x:f>MAX(0,I761-J761)</x:f>
        <x:v>6986.260152779326</x:v>
      </x:c>
      <x:c r="L761" s="10" t="n">
        <x:f>K761*'Assumptions'!$D$12</x:f>
        <x:v>1746.5650381948315</x:v>
      </x:c>
      <x:c r="M761" s="10" t="n">
        <x:f>MAX(0,J761-I761)</x:f>
        <x:v>0</x:v>
      </x:c>
    </x:row>
    <x:row r="762" ht="16" customHeight="1">
      <x:c r="A762" s="1"/>
      <x:c r="B762" s="1"/>
      <x:c r="C762" s="1" t="str">
        <x:v>VraiSkill teen</x:v>
      </x:c>
      <x:c r="D762" s="10" t="n">
        <x:v>20</x:v>
      </x:c>
      <x:c r="E762" s="10" t="n">
        <x:f>SUMIF('Revenue and costs'!$D$2440:$D$2567,C762,'Revenue and costs'!N2440:N2567)</x:f>
        <x:v>36610.010055906314</x:v>
      </x:c>
      <x:c r="F762" s="10" t="n">
        <x:f>SUMIF('Revenue and costs'!$D$2440:$D$2567,C762,'Revenue and costs'!O2440:O2567)+SUMIF('Revenue and costs'!$D$2440:$D$2567,C762,'Revenue and costs'!P2440:P2567)+SUMIF('Revenue and costs'!$D$2440:$D$2567,C762,'Revenue and costs'!Q2440:Q2567)+SUMIF('Revenue and costs'!$D$2440:$D$2567,C762,'Revenue and costs'!R2440:R2567)+SUMIF('Revenue and costs'!$D$2440:$D$2567,C762,'Revenue and costs'!S2440:S2567)+SUMIF('Revenue and costs'!$D$2440:$D$2567,C762,'Revenue and costs'!T2440:T2567)+SUMIF('Revenue and costs'!$D$2440:$D$2567,C762,'Revenue and costs'!U2440:U2567)+SUMIF('Revenue and costs'!$D$2440:$D$2567,C762,'Revenue and costs'!V2440:V2567)+SUMIF('Revenue and costs'!$D$2440:$D$2567,C762,'Revenue and costs'!AE2440:AE2567)</x:f>
        <x:v>19285.892024029992</x:v>
      </x:c>
      <x:c r="G762" s="10" t="n">
        <x:f>IF('Income statement'!W50=0,1/39,E762/'Income statement'!W50)*('Shared costs'!AA21+'Assumptions'!$D$18*'Assumptions'!$D$19*12*(1+'Assumptions'!$D$13)^(20-1)*'Assumptions'!$D$21)</x:f>
        <x:v>2031.0904096850406</x:v>
      </x:c>
      <x:c r="H762" s="10" t="n">
        <x:f>IF('Income statement'!W50=0,1/39,E762/'Income statement'!W50)*'Cash and capital'!W18</x:f>
        <x:v>6.445561349656512</x:v>
      </x:c>
      <x:c r="I762" s="10" t="n">
        <x:f>E762-F762-G762-H762</x:f>
        <x:v>15286.582060841625</x:v>
      </x:c>
      <x:c r="J762" s="10" t="n">
        <x:f>M723</x:f>
        <x:v>0</x:v>
      </x:c>
      <x:c r="K762" s="10" t="n">
        <x:f>MAX(0,I762-J762)</x:f>
        <x:v>15286.582060841625</x:v>
      </x:c>
      <x:c r="L762" s="10" t="n">
        <x:f>K762*'Assumptions'!$D$12</x:f>
        <x:v>3821.6455152104063</x:v>
      </x:c>
      <x:c r="M762" s="10" t="n">
        <x:f>MAX(0,J762-I762)</x:f>
        <x:v>0</x:v>
      </x:c>
    </x:row>
    <x:row r="763" ht="16" customHeight="1">
      <x:c r="A763" s="1"/>
      <x:c r="B763" s="1"/>
      <x:c r="C763" s="1" t="str">
        <x:v>VraiSkill Model Life</x:v>
      </x:c>
      <x:c r="D763" s="10" t="n">
        <x:v>20</x:v>
      </x:c>
      <x:c r="E763" s="10" t="n">
        <x:f>SUMIF('Revenue and costs'!$D$2440:$D$2567,C763,'Revenue and costs'!N2440:N2567)</x:f>
        <x:v>0</x:v>
      </x:c>
      <x:c r="F763" s="10" t="n">
        <x:f>SUMIF('Revenue and costs'!$D$2440:$D$2567,C763,'Revenue and costs'!O2440:O2567)+SUMIF('Revenue and costs'!$D$2440:$D$2567,C763,'Revenue and costs'!P2440:P2567)+SUMIF('Revenue and costs'!$D$2440:$D$2567,C763,'Revenue and costs'!Q2440:Q2567)+SUMIF('Revenue and costs'!$D$2440:$D$2567,C763,'Revenue and costs'!R2440:R2567)+SUMIF('Revenue and costs'!$D$2440:$D$2567,C763,'Revenue and costs'!S2440:S2567)+SUMIF('Revenue and costs'!$D$2440:$D$2567,C763,'Revenue and costs'!T2440:T2567)+SUMIF('Revenue and costs'!$D$2440:$D$2567,C763,'Revenue and costs'!U2440:U2567)+SUMIF('Revenue and costs'!$D$2440:$D$2567,C763,'Revenue and costs'!V2440:V2567)+SUMIF('Revenue and costs'!$D$2440:$D$2567,C763,'Revenue and costs'!AE2440:AE2567)</x:f>
        <x:v>0</x:v>
      </x:c>
      <x:c r="G763" s="10" t="n">
        <x:f>IF('Income statement'!W50=0,1/39,E763/'Income statement'!W50)*('Shared costs'!AA21+'Assumptions'!$D$18*'Assumptions'!$D$19*12*(1+'Assumptions'!$D$13)^(20-1)*'Assumptions'!$D$21)</x:f>
        <x:v>0</x:v>
      </x:c>
      <x:c r="H763" s="10" t="n">
        <x:f>IF('Income statement'!W50=0,1/39,E763/'Income statement'!W50)*'Cash and capital'!W18</x:f>
        <x:v>0</x:v>
      </x:c>
      <x:c r="I763" s="10" t="n">
        <x:f>E763-F763-G763-H763</x:f>
        <x:v>0</x:v>
      </x:c>
      <x:c r="J763" s="10" t="n">
        <x:f>M724</x:f>
        <x:v>0</x:v>
      </x:c>
      <x:c r="K763" s="10" t="n">
        <x:f>MAX(0,I763-J763)</x:f>
        <x:v>0</x:v>
      </x:c>
      <x:c r="L763" s="10" t="n">
        <x:f>K763*'Assumptions'!$D$12</x:f>
        <x:v>0</x:v>
      </x:c>
      <x:c r="M763" s="10" t="n">
        <x:f>MAX(0,J763-I763)</x:f>
        <x:v>0</x:v>
      </x:c>
    </x:row>
    <x:row r="764" ht="16" customHeight="1">
      <x:c r="A764" s="1"/>
      <x:c r="B764" s="1"/>
      <x:c r="C764" s="1" t="str">
        <x:v>Model Life</x:v>
      </x:c>
      <x:c r="D764" s="10" t="n">
        <x:v>20</x:v>
      </x:c>
      <x:c r="E764" s="10" t="n">
        <x:f>SUMIF('Revenue and costs'!$D$2440:$D$2567,C764,'Revenue and costs'!N2440:N2567)</x:f>
        <x:v>139415.51429048463</x:v>
      </x:c>
      <x:c r="F764" s="10" t="n">
        <x:f>SUMIF('Revenue and costs'!$D$2440:$D$2567,C764,'Revenue and costs'!O2440:O2567)+SUMIF('Revenue and costs'!$D$2440:$D$2567,C764,'Revenue and costs'!P2440:P2567)+SUMIF('Revenue and costs'!$D$2440:$D$2567,C764,'Revenue and costs'!Q2440:Q2567)+SUMIF('Revenue and costs'!$D$2440:$D$2567,C764,'Revenue and costs'!R2440:R2567)+SUMIF('Revenue and costs'!$D$2440:$D$2567,C764,'Revenue and costs'!S2440:S2567)+SUMIF('Revenue and costs'!$D$2440:$D$2567,C764,'Revenue and costs'!T2440:T2567)+SUMIF('Revenue and costs'!$D$2440:$D$2567,C764,'Revenue and costs'!U2440:U2567)+SUMIF('Revenue and costs'!$D$2440:$D$2567,C764,'Revenue and costs'!V2440:V2567)+SUMIF('Revenue and costs'!$D$2440:$D$2567,C764,'Revenue and costs'!AE2440:AE2567)</x:f>
        <x:v>48044.04815171541</x:v>
      </x:c>
      <x:c r="G764" s="10" t="n">
        <x:f>IF('Income statement'!W50=0,1/39,E764/'Income statement'!W50)*('Shared costs'!AA21+'Assumptions'!$D$18*'Assumptions'!$D$19*12*(1+'Assumptions'!$D$13)^(20-1)*'Assumptions'!$D$21)</x:f>
        <x:v>7734.6472618908165</x:v>
      </x:c>
      <x:c r="H764" s="10" t="n">
        <x:f>IF('Income statement'!W50=0,1/39,E764/'Income statement'!W50)*'Cash and capital'!W18</x:f>
        <x:v>24.545506791202296</x:v>
      </x:c>
      <x:c r="I764" s="10" t="n">
        <x:f>E764-F764-G764-H764</x:f>
        <x:v>83612.2733700872</x:v>
      </x:c>
      <x:c r="J764" s="10" t="n">
        <x:f>M725</x:f>
        <x:v>0</x:v>
      </x:c>
      <x:c r="K764" s="10" t="n">
        <x:f>MAX(0,I764-J764)</x:f>
        <x:v>83612.2733700872</x:v>
      </x:c>
      <x:c r="L764" s="10" t="n">
        <x:f>K764*'Assumptions'!$D$12</x:f>
        <x:v>20903.0683425218</x:v>
      </x:c>
      <x:c r="M764" s="10" t="n">
        <x:f>MAX(0,J764-I764)</x:f>
        <x:v>0</x:v>
      </x:c>
    </x:row>
    <x:row r="765" ht="16" customHeight="1">
      <x:c r="A765" s="1"/>
      <x:c r="B765" s="1"/>
      <x:c r="C765" s="1" t="str">
        <x:v>S’otality cleaning</x:v>
      </x:c>
      <x:c r="D765" s="10" t="n">
        <x:v>20</x:v>
      </x:c>
      <x:c r="E765" s="10" t="n">
        <x:f>SUMIF('Revenue and costs'!$D$2440:$D$2567,C765,'Revenue and costs'!N2440:N2567)</x:f>
        <x:v>430386.60254350526</x:v>
      </x:c>
      <x:c r="F765" s="10" t="n">
        <x:f>SUMIF('Revenue and costs'!$D$2440:$D$2567,C765,'Revenue and costs'!O2440:O2567)+SUMIF('Revenue and costs'!$D$2440:$D$2567,C765,'Revenue and costs'!P2440:P2567)+SUMIF('Revenue and costs'!$D$2440:$D$2567,C765,'Revenue and costs'!Q2440:Q2567)+SUMIF('Revenue and costs'!$D$2440:$D$2567,C765,'Revenue and costs'!R2440:R2567)+SUMIF('Revenue and costs'!$D$2440:$D$2567,C765,'Revenue and costs'!S2440:S2567)+SUMIF('Revenue and costs'!$D$2440:$D$2567,C765,'Revenue and costs'!T2440:T2567)+SUMIF('Revenue and costs'!$D$2440:$D$2567,C765,'Revenue and costs'!U2440:U2567)+SUMIF('Revenue and costs'!$D$2440:$D$2567,C765,'Revenue and costs'!V2440:V2567)+SUMIF('Revenue and costs'!$D$2440:$D$2567,C765,'Revenue and costs'!AE2440:AE2567)</x:f>
        <x:v>375370.77639062813</x:v>
      </x:c>
      <x:c r="G765" s="10" t="n">
        <x:f>IF('Income statement'!W50=0,1/39,E765/'Income statement'!W50)*('Shared costs'!AA21+'Assumptions'!$D$18*'Assumptions'!$D$19*12*(1+'Assumptions'!$D$13)^(20-1)*'Assumptions'!$D$21)</x:f>
        <x:v>23877.46137048692</x:v>
      </x:c>
      <x:c r="H765" s="10" t="n">
        <x:f>IF('Income statement'!W50=0,1/39,E765/'Income statement'!W50)*'Cash and capital'!W18</x:f>
        <x:v>75.77390026739018</x:v>
      </x:c>
      <x:c r="I765" s="10" t="n">
        <x:f>E765-F765-G765-H765</x:f>
        <x:v>31062.590882122815</x:v>
      </x:c>
      <x:c r="J765" s="10" t="n">
        <x:f>M726</x:f>
        <x:v>0</x:v>
      </x:c>
      <x:c r="K765" s="10" t="n">
        <x:f>MAX(0,I765-J765)</x:f>
        <x:v>31062.590882122815</x:v>
      </x:c>
      <x:c r="L765" s="10" t="n">
        <x:f>K765*'Assumptions'!$D$12</x:f>
        <x:v>7765.647720530704</x:v>
      </x:c>
      <x:c r="M765" s="10" t="n">
        <x:f>MAX(0,J765-I765)</x:f>
        <x:v>0</x:v>
      </x:c>
    </x:row>
    <x:row r="766" ht="16" customHeight="1">
      <x:c r="A766" s="1"/>
      <x:c r="B766" s="1"/>
      <x:c r="C766" s="1" t="str">
        <x:v>S’otality laundry</x:v>
      </x:c>
      <x:c r="D766" s="10" t="n">
        <x:v>20</x:v>
      </x:c>
      <x:c r="E766" s="10" t="n">
        <x:f>SUMIF('Revenue and costs'!$D$2440:$D$2567,C766,'Revenue and costs'!N2440:N2567)</x:f>
        <x:v>66707.45274784524</x:v>
      </x:c>
      <x:c r="F766" s="10" t="n">
        <x:f>SUMIF('Revenue and costs'!$D$2440:$D$2567,C766,'Revenue and costs'!O2440:O2567)+SUMIF('Revenue and costs'!$D$2440:$D$2567,C766,'Revenue and costs'!P2440:P2567)+SUMIF('Revenue and costs'!$D$2440:$D$2567,C766,'Revenue and costs'!Q2440:Q2567)+SUMIF('Revenue and costs'!$D$2440:$D$2567,C766,'Revenue and costs'!R2440:R2567)+SUMIF('Revenue and costs'!$D$2440:$D$2567,C766,'Revenue and costs'!S2440:S2567)+SUMIF('Revenue and costs'!$D$2440:$D$2567,C766,'Revenue and costs'!T2440:T2567)+SUMIF('Revenue and costs'!$D$2440:$D$2567,C766,'Revenue and costs'!U2440:U2567)+SUMIF('Revenue and costs'!$D$2440:$D$2567,C766,'Revenue and costs'!V2440:V2567)+SUMIF('Revenue and costs'!$D$2440:$D$2567,C766,'Revenue and costs'!AE2440:AE2567)</x:f>
        <x:v>62705.8123815884</x:v>
      </x:c>
      <x:c r="G766" s="10" t="n">
        <x:f>IF('Income statement'!W50=0,1/39,E766/'Income statement'!W50)*('Shared costs'!AA21+'Assumptions'!$D$18*'Assumptions'!$D$19*12*(1+'Assumptions'!$D$13)^(20-1)*'Assumptions'!$D$21)</x:f>
        <x:v>3700.8694431868357</x:v>
      </x:c>
      <x:c r="H766" s="10" t="n">
        <x:f>IF('Income statement'!W50=0,1/39,E766/'Income statement'!W50)*'Cash and capital'!W18</x:f>
        <x:v>11.744519559239578</x:v>
      </x:c>
      <x:c r="I766" s="10" t="n">
        <x:f>E766-F766-G766-H766</x:f>
        <x:v>289.02640351075837</x:v>
      </x:c>
      <x:c r="J766" s="10" t="n">
        <x:f>M727</x:f>
        <x:v>0</x:v>
      </x:c>
      <x:c r="K766" s="10" t="n">
        <x:f>MAX(0,I766-J766)</x:f>
        <x:v>289.02640351075837</x:v>
      </x:c>
      <x:c r="L766" s="10" t="n">
        <x:f>K766*'Assumptions'!$D$12</x:f>
        <x:v>72.25660087768959</x:v>
      </x:c>
      <x:c r="M766" s="10" t="n">
        <x:f>MAX(0,J766-I766)</x:f>
        <x:v>0</x:v>
      </x:c>
    </x:row>
    <x:row r="767" ht="16" customHeight="1">
      <x:c r="A767" s="1"/>
      <x:c r="B767" s="1"/>
      <x:c r="C767" s="1" t="str">
        <x:v>S’otality Personal Chef</x:v>
      </x:c>
      <x:c r="D767" s="10" t="n">
        <x:v>20</x:v>
      </x:c>
      <x:c r="E767" s="10" t="n">
        <x:f>SUMIF('Revenue and costs'!$D$2440:$D$2567,C767,'Revenue and costs'!N2440:N2567)</x:f>
        <x:v>120443.1723426771</x:v>
      </x:c>
      <x:c r="F767" s="10" t="n">
        <x:f>SUMIF('Revenue and costs'!$D$2440:$D$2567,C767,'Revenue and costs'!O2440:O2567)+SUMIF('Revenue and costs'!$D$2440:$D$2567,C767,'Revenue and costs'!P2440:P2567)+SUMIF('Revenue and costs'!$D$2440:$D$2567,C767,'Revenue and costs'!Q2440:Q2567)+SUMIF('Revenue and costs'!$D$2440:$D$2567,C767,'Revenue and costs'!R2440:R2567)+SUMIF('Revenue and costs'!$D$2440:$D$2567,C767,'Revenue and costs'!S2440:S2567)+SUMIF('Revenue and costs'!$D$2440:$D$2567,C767,'Revenue and costs'!T2440:T2567)+SUMIF('Revenue and costs'!$D$2440:$D$2567,C767,'Revenue and costs'!U2440:U2567)+SUMIF('Revenue and costs'!$D$2440:$D$2567,C767,'Revenue and costs'!V2440:V2567)+SUMIF('Revenue and costs'!$D$2440:$D$2567,C767,'Revenue and costs'!AE2440:AE2567)</x:f>
        <x:v>99513.59728511452</x:v>
      </x:c>
      <x:c r="G767" s="10" t="n">
        <x:f>IF('Income statement'!W50=0,1/39,E767/'Income statement'!W50)*('Shared costs'!AA21+'Assumptions'!$D$18*'Assumptions'!$D$19*12*(1+'Assumptions'!$D$13)^(20-1)*'Assumptions'!$D$21)</x:f>
        <x:v>6682.07880532356</x:v>
      </x:c>
      <x:c r="H767" s="10" t="n">
        <x:f>IF('Income statement'!W50=0,1/39,E767/'Income statement'!W50)*'Cash and capital'!W18</x:f>
        <x:v>21.20523472395859</x:v>
      </x:c>
      <x:c r="I767" s="10" t="n">
        <x:f>E767-F767-G767-H767</x:f>
        <x:v>14226.291017515068</x:v>
      </x:c>
      <x:c r="J767" s="10" t="n">
        <x:f>M728</x:f>
        <x:v>0</x:v>
      </x:c>
      <x:c r="K767" s="10" t="n">
        <x:f>MAX(0,I767-J767)</x:f>
        <x:v>14226.291017515068</x:v>
      </x:c>
      <x:c r="L767" s="10" t="n">
        <x:f>K767*'Assumptions'!$D$12</x:f>
        <x:v>3556.572754378767</x:v>
      </x:c>
      <x:c r="M767" s="10" t="n">
        <x:f>MAX(0,J767-I767)</x:f>
        <x:v>0</x:v>
      </x:c>
    </x:row>
    <x:row r="768" ht="16" customHeight="1">
      <x:c r="A768" s="1"/>
      <x:c r="B768" s="1"/>
      <x:c r="C768" s="1" t="str">
        <x:v>S’otality interiors</x:v>
      </x:c>
      <x:c r="D768" s="10" t="n">
        <x:v>20</x:v>
      </x:c>
      <x:c r="E768" s="10" t="n">
        <x:f>SUMIF('Revenue and costs'!$D$2440:$D$2567,C768,'Revenue and costs'!N2440:N2567)</x:f>
        <x:v>155534.26942615135</x:v>
      </x:c>
      <x:c r="F768" s="10" t="n">
        <x:f>SUMIF('Revenue and costs'!$D$2440:$D$2567,C768,'Revenue and costs'!O2440:O2567)+SUMIF('Revenue and costs'!$D$2440:$D$2567,C768,'Revenue and costs'!P2440:P2567)+SUMIF('Revenue and costs'!$D$2440:$D$2567,C768,'Revenue and costs'!Q2440:Q2567)+SUMIF('Revenue and costs'!$D$2440:$D$2567,C768,'Revenue and costs'!R2440:R2567)+SUMIF('Revenue and costs'!$D$2440:$D$2567,C768,'Revenue and costs'!S2440:S2567)+SUMIF('Revenue and costs'!$D$2440:$D$2567,C768,'Revenue and costs'!T2440:T2567)+SUMIF('Revenue and costs'!$D$2440:$D$2567,C768,'Revenue and costs'!U2440:U2567)+SUMIF('Revenue and costs'!$D$2440:$D$2567,C768,'Revenue and costs'!V2440:V2567)+SUMIF('Revenue and costs'!$D$2440:$D$2567,C768,'Revenue and costs'!AE2440:AE2567)</x:f>
        <x:v>101173.7437476994</x:v>
      </x:c>
      <x:c r="G768" s="10" t="n">
        <x:f>IF('Income statement'!W50=0,1/39,E768/'Income statement'!W50)*('Shared costs'!AA21+'Assumptions'!$D$18*'Assumptions'!$D$19*12*(1+'Assumptions'!$D$13)^(20-1)*'Assumptions'!$D$21)</x:f>
        <x:v>8628.901290286869</x:v>
      </x:c>
      <x:c r="H768" s="10" t="n">
        <x:f>IF('Income statement'!W50=0,1/39,E768/'Income statement'!W50)*'Cash and capital'!W18</x:f>
        <x:v>27.3833761320841</x:v>
      </x:c>
      <x:c r="I768" s="10" t="n">
        <x:f>E768-F768-G768-H768</x:f>
        <x:v>45704.241012033</x:v>
      </x:c>
      <x:c r="J768" s="10" t="n">
        <x:f>M729</x:f>
        <x:v>0</x:v>
      </x:c>
      <x:c r="K768" s="10" t="n">
        <x:f>MAX(0,I768-J768)</x:f>
        <x:v>45704.241012033</x:v>
      </x:c>
      <x:c r="L768" s="10" t="n">
        <x:f>K768*'Assumptions'!$D$12</x:f>
        <x:v>11426.06025300825</x:v>
      </x:c>
      <x:c r="M768" s="10" t="n">
        <x:f>MAX(0,J768-I768)</x:f>
        <x:v>0</x:v>
      </x:c>
    </x:row>
    <x:row r="769" ht="16" customHeight="1">
      <x:c r="A769" s="1"/>
      <x:c r="B769" s="1"/>
      <x:c r="C769" s="1" t="str">
        <x:v>S’otality concierge</x:v>
      </x:c>
      <x:c r="D769" s="10" t="n">
        <x:v>20</x:v>
      </x:c>
      <x:c r="E769" s="10" t="n">
        <x:f>SUMIF('Revenue and costs'!$D$2440:$D$2567,C769,'Revenue and costs'!N2440:N2567)</x:f>
        <x:v>56377.709751685674</x:v>
      </x:c>
      <x:c r="F769" s="10" t="n">
        <x:f>SUMIF('Revenue and costs'!$D$2440:$D$2567,C769,'Revenue and costs'!O2440:O2567)+SUMIF('Revenue and costs'!$D$2440:$D$2567,C769,'Revenue and costs'!P2440:P2567)+SUMIF('Revenue and costs'!$D$2440:$D$2567,C769,'Revenue and costs'!Q2440:Q2567)+SUMIF('Revenue and costs'!$D$2440:$D$2567,C769,'Revenue and costs'!R2440:R2567)+SUMIF('Revenue and costs'!$D$2440:$D$2567,C769,'Revenue and costs'!S2440:S2567)+SUMIF('Revenue and costs'!$D$2440:$D$2567,C769,'Revenue and costs'!T2440:T2567)+SUMIF('Revenue and costs'!$D$2440:$D$2567,C769,'Revenue and costs'!U2440:U2567)+SUMIF('Revenue and costs'!$D$2440:$D$2567,C769,'Revenue and costs'!V2440:V2567)+SUMIF('Revenue and costs'!$D$2440:$D$2567,C769,'Revenue and costs'!AE2440:AE2567)</x:f>
        <x:v>35581.48055732271</x:v>
      </x:c>
      <x:c r="G769" s="10" t="n">
        <x:f>IF('Income statement'!W50=0,1/39,E769/'Income statement'!W50)*('Shared costs'!AA21+'Assumptions'!$D$18*'Assumptions'!$D$19*12*(1+'Assumptions'!$D$13)^(20-1)*'Assumptions'!$D$21)</x:f>
        <x:v>3127.7845983050165</x:v>
      </x:c>
      <x:c r="H769" s="10" t="n">
        <x:f>IF('Income statement'!W50=0,1/39,E769/'Income statement'!W50)*'Cash and capital'!W18</x:f>
        <x:v>9.925864166731987</x:v>
      </x:c>
      <x:c r="I769" s="10" t="n">
        <x:f>E769-F769-G769-H769</x:f>
        <x:v>17658.51873189121</x:v>
      </x:c>
      <x:c r="J769" s="10" t="n">
        <x:f>M730</x:f>
        <x:v>0</x:v>
      </x:c>
      <x:c r="K769" s="10" t="n">
        <x:f>MAX(0,I769-J769)</x:f>
        <x:v>17658.51873189121</x:v>
      </x:c>
      <x:c r="L769" s="10" t="n">
        <x:f>K769*'Assumptions'!$D$12</x:f>
        <x:v>4414.629682972803</x:v>
      </x:c>
      <x:c r="M769" s="10" t="n">
        <x:f>MAX(0,J769-I769)</x:f>
        <x:v>0</x:v>
      </x:c>
    </x:row>
    <x:row r="770" ht="16" customHeight="1">
      <x:c r="A770" s="1"/>
      <x:c r="B770" s="1"/>
      <x:c r="C770" s="1" t="str">
        <x:v>S’otality administration</x:v>
      </x:c>
      <x:c r="D770" s="10" t="n">
        <x:v>20</x:v>
      </x:c>
      <x:c r="E770" s="10" t="n">
        <x:f>SUMIF('Revenue and costs'!$D$2440:$D$2567,C770,'Revenue and costs'!N2440:N2567)</x:f>
        <x:v>90204.33560269707</x:v>
      </x:c>
      <x:c r="F770" s="10" t="n">
        <x:f>SUMIF('Revenue and costs'!$D$2440:$D$2567,C770,'Revenue and costs'!O2440:O2567)+SUMIF('Revenue and costs'!$D$2440:$D$2567,C770,'Revenue and costs'!P2440:P2567)+SUMIF('Revenue and costs'!$D$2440:$D$2567,C770,'Revenue and costs'!Q2440:Q2567)+SUMIF('Revenue and costs'!$D$2440:$D$2567,C770,'Revenue and costs'!R2440:R2567)+SUMIF('Revenue and costs'!$D$2440:$D$2567,C770,'Revenue and costs'!S2440:S2567)+SUMIF('Revenue and costs'!$D$2440:$D$2567,C770,'Revenue and costs'!T2440:T2567)+SUMIF('Revenue and costs'!$D$2440:$D$2567,C770,'Revenue and costs'!U2440:U2567)+SUMIF('Revenue and costs'!$D$2440:$D$2567,C770,'Revenue and costs'!V2440:V2567)+SUMIF('Revenue and costs'!$D$2440:$D$2567,C770,'Revenue and costs'!AE2440:AE2567)</x:f>
        <x:v>76582.547402111</x:v>
      </x:c>
      <x:c r="G770" s="10" t="n">
        <x:f>IF('Income statement'!W50=0,1/39,E770/'Income statement'!W50)*('Shared costs'!AA21+'Assumptions'!$D$18*'Assumptions'!$D$19*12*(1+'Assumptions'!$D$13)^(20-1)*'Assumptions'!$D$21)</x:f>
        <x:v>5004.455357288027</x:v>
      </x:c>
      <x:c r="H770" s="10" t="n">
        <x:f>IF('Income statement'!W50=0,1/39,E770/'Income statement'!W50)*'Cash and capital'!W18</x:f>
        <x:v>15.88138266677118</x:v>
      </x:c>
      <x:c r="I770" s="10" t="n">
        <x:f>E770-F770-G770-H770</x:f>
        <x:v>8601.451460631275</x:v>
      </x:c>
      <x:c r="J770" s="10" t="n">
        <x:f>M731</x:f>
        <x:v>0</x:v>
      </x:c>
      <x:c r="K770" s="10" t="n">
        <x:f>MAX(0,I770-J770)</x:f>
        <x:v>8601.451460631275</x:v>
      </x:c>
      <x:c r="L770" s="10" t="n">
        <x:f>K770*'Assumptions'!$D$12</x:f>
        <x:v>2150.3628651578188</x:v>
      </x:c>
      <x:c r="M770" s="10" t="n">
        <x:f>MAX(0,J770-I770)</x:f>
        <x:v>0</x:v>
      </x:c>
    </x:row>
    <x:row r="771" ht="16" customHeight="1">
      <x:c r="A771" s="1"/>
      <x:c r="B771" s="1"/>
      <x:c r="C771" s="1" t="str">
        <x:v>S’otality bike tours</x:v>
      </x:c>
      <x:c r="D771" s="10" t="n">
        <x:v>20</x:v>
      </x:c>
      <x:c r="E771" s="10" t="n">
        <x:f>SUMIF('Revenue and costs'!$D$2440:$D$2567,C771,'Revenue and costs'!N2440:N2567)</x:f>
        <x:v>48177.26893707084</x:v>
      </x:c>
      <x:c r="F771" s="10" t="n">
        <x:f>SUMIF('Revenue and costs'!$D$2440:$D$2567,C771,'Revenue and costs'!O2440:O2567)+SUMIF('Revenue and costs'!$D$2440:$D$2567,C771,'Revenue and costs'!P2440:P2567)+SUMIF('Revenue and costs'!$D$2440:$D$2567,C771,'Revenue and costs'!Q2440:Q2567)+SUMIF('Revenue and costs'!$D$2440:$D$2567,C771,'Revenue and costs'!R2440:R2567)+SUMIF('Revenue and costs'!$D$2440:$D$2567,C771,'Revenue and costs'!S2440:S2567)+SUMIF('Revenue and costs'!$D$2440:$D$2567,C771,'Revenue and costs'!T2440:T2567)+SUMIF('Revenue and costs'!$D$2440:$D$2567,C771,'Revenue and costs'!U2440:U2567)+SUMIF('Revenue and costs'!$D$2440:$D$2567,C771,'Revenue and costs'!V2440:V2567)+SUMIF('Revenue and costs'!$D$2440:$D$2567,C771,'Revenue and costs'!AE2440:AE2567)</x:f>
        <x:v>40820.712468625046</x:v>
      </x:c>
      <x:c r="G771" s="10" t="n">
        <x:f>IF('Income statement'!W50=0,1/39,E771/'Income statement'!W50)*('Shared costs'!AA21+'Assumptions'!$D$18*'Assumptions'!$D$19*12*(1+'Assumptions'!$D$13)^(20-1)*'Assumptions'!$D$21)</x:f>
        <x:v>2672.831522129424</x:v>
      </x:c>
      <x:c r="H771" s="10" t="n">
        <x:f>IF('Income statement'!W50=0,1/39,E771/'Income statement'!W50)*'Cash and capital'!W18</x:f>
        <x:v>8.482093889583435</x:v>
      </x:c>
      <x:c r="I771" s="10" t="n">
        <x:f>E771-F771-G771-H771</x:f>
        <x:v>4675.242852426786</x:v>
      </x:c>
      <x:c r="J771" s="10" t="n">
        <x:f>M732</x:f>
        <x:v>0</x:v>
      </x:c>
      <x:c r="K771" s="10" t="n">
        <x:f>MAX(0,I771-J771)</x:f>
        <x:v>4675.242852426786</x:v>
      </x:c>
      <x:c r="L771" s="10" t="n">
        <x:f>K771*'Assumptions'!$D$12</x:f>
        <x:v>1168.8107131066965</x:v>
      </x:c>
      <x:c r="M771" s="10" t="n">
        <x:f>MAX(0,J771-I771)</x:f>
        <x:v>0</x:v>
      </x:c>
    </x:row>
    <x:row r="772" ht="16" customHeight="1">
      <x:c r="A772" s="1"/>
      <x:c r="B772" s="1"/>
      <x:c r="C772" s="1" t="str">
        <x:v>S’otality editorial</x:v>
      </x:c>
      <x:c r="D772" s="10" t="n">
        <x:v>20</x:v>
      </x:c>
      <x:c r="E772" s="10" t="n">
        <x:f>SUMIF('Revenue and costs'!$D$2440:$D$2567,C772,'Revenue and costs'!N2440:N2567)</x:f>
        <x:v>22214.87204693222</x:v>
      </x:c>
      <x:c r="F772" s="10" t="n">
        <x:f>SUMIF('Revenue and costs'!$D$2440:$D$2567,C772,'Revenue and costs'!O2440:O2567)+SUMIF('Revenue and costs'!$D$2440:$D$2567,C772,'Revenue and costs'!P2440:P2567)+SUMIF('Revenue and costs'!$D$2440:$D$2567,C772,'Revenue and costs'!Q2440:Q2567)+SUMIF('Revenue and costs'!$D$2440:$D$2567,C772,'Revenue and costs'!R2440:R2567)+SUMIF('Revenue and costs'!$D$2440:$D$2567,C772,'Revenue and costs'!S2440:S2567)+SUMIF('Revenue and costs'!$D$2440:$D$2567,C772,'Revenue and costs'!T2440:T2567)+SUMIF('Revenue and costs'!$D$2440:$D$2567,C772,'Revenue and costs'!U2440:U2567)+SUMIF('Revenue and costs'!$D$2440:$D$2567,C772,'Revenue and costs'!V2440:V2567)+SUMIF('Revenue and costs'!$D$2440:$D$2567,C772,'Revenue and costs'!AE2440:AE2567)</x:f>
        <x:v>13793.626568082866</x:v>
      </x:c>
      <x:c r="G772" s="10" t="n">
        <x:f>IF('Income statement'!W50=0,1/39,E772/'Income statement'!W50)*('Shared costs'!AA21+'Assumptions'!$D$18*'Assumptions'!$D$19*12*(1+'Assumptions'!$D$13)^(20-1)*'Assumptions'!$D$21)</x:f>
        <x:v>1232.461108259789</x:v>
      </x:c>
      <x:c r="H772" s="10" t="n">
        <x:f>IF('Income statement'!W50=0,1/39,E772/'Income statement'!W50)*'Cash and capital'!W18</x:f>
        <x:v>3.91115218036305</x:v>
      </x:c>
      <x:c r="I772" s="10" t="n">
        <x:f>E772-F772-G772-H772</x:f>
        <x:v>7184.873218409203</x:v>
      </x:c>
      <x:c r="J772" s="10" t="n">
        <x:f>M733</x:f>
        <x:v>0</x:v>
      </x:c>
      <x:c r="K772" s="10" t="n">
        <x:f>MAX(0,I772-J772)</x:f>
        <x:v>7184.873218409203</x:v>
      </x:c>
      <x:c r="L772" s="10" t="n">
        <x:f>K772*'Assumptions'!$D$12</x:f>
        <x:v>1796.2183046023008</x:v>
      </x:c>
      <x:c r="M772" s="10" t="n">
        <x:f>MAX(0,J772-I772)</x:f>
        <x:v>0</x:v>
      </x:c>
    </x:row>
    <x:row r="773" ht="16" customHeight="1">
      <x:c r="A773" s="1"/>
      <x:c r="B773" s="1"/>
      <x:c r="C773" s="1" t="str">
        <x:v>Tomato Odyssey</x:v>
      </x:c>
      <x:c r="D773" s="10" t="n">
        <x:v>20</x:v>
      </x:c>
      <x:c r="E773" s="10" t="n">
        <x:f>SUMIF('Revenue and costs'!$D$2440:$D$2567,C773,'Revenue and costs'!N2440:N2567)</x:f>
        <x:v>22214.87204693222</x:v>
      </x:c>
      <x:c r="F773" s="10" t="n">
        <x:f>SUMIF('Revenue and costs'!$D$2440:$D$2567,C773,'Revenue and costs'!O2440:O2567)+SUMIF('Revenue and costs'!$D$2440:$D$2567,C773,'Revenue and costs'!P2440:P2567)+SUMIF('Revenue and costs'!$D$2440:$D$2567,C773,'Revenue and costs'!Q2440:Q2567)+SUMIF('Revenue and costs'!$D$2440:$D$2567,C773,'Revenue and costs'!R2440:R2567)+SUMIF('Revenue and costs'!$D$2440:$D$2567,C773,'Revenue and costs'!S2440:S2567)+SUMIF('Revenue and costs'!$D$2440:$D$2567,C773,'Revenue and costs'!T2440:T2567)+SUMIF('Revenue and costs'!$D$2440:$D$2567,C773,'Revenue and costs'!U2440:U2567)+SUMIF('Revenue and costs'!$D$2440:$D$2567,C773,'Revenue and costs'!V2440:V2567)+SUMIF('Revenue and costs'!$D$2440:$D$2567,C773,'Revenue and costs'!AE2440:AE2567)</x:f>
        <x:v>13793.626568082866</x:v>
      </x:c>
      <x:c r="G773" s="10" t="n">
        <x:f>IF('Income statement'!W50=0,1/39,E773/'Income statement'!W50)*('Shared costs'!AA21+'Assumptions'!$D$18*'Assumptions'!$D$19*12*(1+'Assumptions'!$D$13)^(20-1)*'Assumptions'!$D$21)</x:f>
        <x:v>1232.461108259789</x:v>
      </x:c>
      <x:c r="H773" s="10" t="n">
        <x:f>IF('Income statement'!W50=0,1/39,E773/'Income statement'!W50)*'Cash and capital'!W18</x:f>
        <x:v>3.91115218036305</x:v>
      </x:c>
      <x:c r="I773" s="10" t="n">
        <x:f>E773-F773-G773-H773</x:f>
        <x:v>7184.873218409203</x:v>
      </x:c>
      <x:c r="J773" s="10" t="n">
        <x:f>M734</x:f>
        <x:v>0</x:v>
      </x:c>
      <x:c r="K773" s="10" t="n">
        <x:f>MAX(0,I773-J773)</x:f>
        <x:v>7184.873218409203</x:v>
      </x:c>
      <x:c r="L773" s="10" t="n">
        <x:f>K773*'Assumptions'!$D$12</x:f>
        <x:v>1796.2183046023008</x:v>
      </x:c>
      <x:c r="M773" s="10" t="n">
        <x:f>MAX(0,J773-I773)</x:f>
        <x:v>0</x:v>
      </x:c>
    </x:row>
    <x:row r="774" ht="16" customHeight="1">
      <x:c r="A774" s="1"/>
      <x:c r="B774" s="1"/>
      <x:c r="C774" s="1" t="str">
        <x:v>Semajes Studio</x:v>
      </x:c>
      <x:c r="D774" s="10" t="n">
        <x:v>20</x:v>
      </x:c>
      <x:c r="E774" s="10" t="n">
        <x:f>SUMIF('Revenue and costs'!$D$2440:$D$2567,C774,'Revenue and costs'!N2440:N2567)</x:f>
        <x:v>290465.19103985786</x:v>
      </x:c>
      <x:c r="F774" s="10" t="n">
        <x:f>SUMIF('Revenue and costs'!$D$2440:$D$2567,C774,'Revenue and costs'!O2440:O2567)+SUMIF('Revenue and costs'!$D$2440:$D$2567,C774,'Revenue and costs'!P2440:P2567)+SUMIF('Revenue and costs'!$D$2440:$D$2567,C774,'Revenue and costs'!Q2440:Q2567)+SUMIF('Revenue and costs'!$D$2440:$D$2567,C774,'Revenue and costs'!R2440:R2567)+SUMIF('Revenue and costs'!$D$2440:$D$2567,C774,'Revenue and costs'!S2440:S2567)+SUMIF('Revenue and costs'!$D$2440:$D$2567,C774,'Revenue and costs'!T2440:T2567)+SUMIF('Revenue and costs'!$D$2440:$D$2567,C774,'Revenue and costs'!U2440:U2567)+SUMIF('Revenue and costs'!$D$2440:$D$2567,C774,'Revenue and costs'!V2440:V2567)+SUMIF('Revenue and costs'!$D$2440:$D$2567,C774,'Revenue and costs'!AE2440:AE2567)</x:f>
        <x:v>206109.48078215733</x:v>
      </x:c>
      <x:c r="G774" s="10" t="n">
        <x:f>IF('Income statement'!W50=0,1/39,E774/'Income statement'!W50)*('Shared costs'!AA21+'Assumptions'!$D$18*'Assumptions'!$D$19*12*(1+'Assumptions'!$D$13)^(20-1)*'Assumptions'!$D$21)</x:f>
        <x:v>16114.747386506377</x:v>
      </x:c>
      <x:c r="H774" s="10" t="n">
        <x:f>IF('Income statement'!W50=0,1/39,E774/'Income statement'!W50)*'Cash and capital'!W18</x:f>
        <x:v>51.13932517167004</x:v>
      </x:c>
      <x:c r="I774" s="10" t="n">
        <x:f>E774-F774-G774-H774</x:f>
        <x:v>68189.82354602248</x:v>
      </x:c>
      <x:c r="J774" s="10" t="n">
        <x:f>M735</x:f>
        <x:v>0</x:v>
      </x:c>
      <x:c r="K774" s="10" t="n">
        <x:f>MAX(0,I774-J774)</x:f>
        <x:v>68189.82354602248</x:v>
      </x:c>
      <x:c r="L774" s="10" t="n">
        <x:f>K774*'Assumptions'!$D$12</x:f>
        <x:v>17047.45588650562</x:v>
      </x:c>
      <x:c r="M774" s="10" t="n">
        <x:f>MAX(0,J774-I774)</x:f>
        <x:v>0</x:v>
      </x:c>
    </x:row>
    <x:row r="775" ht="16" customHeight="1">
      <x:c r="A775" s="1"/>
      <x:c r="B775" s="1"/>
      <x:c r="C775" s="1" t="str">
        <x:v>Semajes Marketplace</x:v>
      </x:c>
      <x:c r="D775" s="10" t="n">
        <x:v>20</x:v>
      </x:c>
      <x:c r="E775" s="10" t="n">
        <x:f>SUMIF('Revenue and costs'!$D$2440:$D$2567,C775,'Revenue and costs'!N2440:N2567)</x:f>
        <x:v>94823.05199904286</x:v>
      </x:c>
      <x:c r="F775" s="10" t="n">
        <x:f>SUMIF('Revenue and costs'!$D$2440:$D$2567,C775,'Revenue and costs'!O2440:O2567)+SUMIF('Revenue and costs'!$D$2440:$D$2567,C775,'Revenue and costs'!P2440:P2567)+SUMIF('Revenue and costs'!$D$2440:$D$2567,C775,'Revenue and costs'!Q2440:Q2567)+SUMIF('Revenue and costs'!$D$2440:$D$2567,C775,'Revenue and costs'!R2440:R2567)+SUMIF('Revenue and costs'!$D$2440:$D$2567,C775,'Revenue and costs'!S2440:S2567)+SUMIF('Revenue and costs'!$D$2440:$D$2567,C775,'Revenue and costs'!T2440:T2567)+SUMIF('Revenue and costs'!$D$2440:$D$2567,C775,'Revenue and costs'!U2440:U2567)+SUMIF('Revenue and costs'!$D$2440:$D$2567,C775,'Revenue and costs'!V2440:V2567)+SUMIF('Revenue and costs'!$D$2440:$D$2567,C775,'Revenue and costs'!AE2440:AE2567)</x:f>
        <x:v>48965.73265519008</x:v>
      </x:c>
      <x:c r="G775" s="10" t="n">
        <x:f>IF('Income statement'!W50=0,1/39,E775/'Income statement'!W50)*('Shared costs'!AA21+'Assumptions'!$D$18*'Assumptions'!$D$19*12*(1+'Assumptions'!$D$13)^(20-1)*'Assumptions'!$D$21)</x:f>
        <x:v>5260.697586212505</x:v>
      </x:c>
      <x:c r="H775" s="10" t="n">
        <x:f>IF('Income statement'!W50=0,1/39,E775/'Income statement'!W50)*'Cash and capital'!W18</x:f>
        <x:v>16.694554251369212</x:v>
      </x:c>
      <x:c r="I775" s="10" t="n">
        <x:f>E775-F775-G775-H775</x:f>
        <x:v>40579.92720338891</x:v>
      </x:c>
      <x:c r="J775" s="10" t="n">
        <x:f>M736</x:f>
        <x:v>0</x:v>
      </x:c>
      <x:c r="K775" s="10" t="n">
        <x:f>MAX(0,I775-J775)</x:f>
        <x:v>40579.92720338891</x:v>
      </x:c>
      <x:c r="L775" s="10" t="n">
        <x:f>K775*'Assumptions'!$D$12</x:f>
        <x:v>10144.981800847227</x:v>
      </x:c>
      <x:c r="M775" s="10" t="n">
        <x:f>MAX(0,J775-I775)</x:f>
        <x:v>0</x:v>
      </x:c>
    </x:row>
    <x:row r="776" ht="16" customHeight="1">
      <x:c r="A776" s="1"/>
      <x:c r="B776" s="1"/>
      <x:c r="C776" s="1" t="str">
        <x:v>Semajes premium and media</x:v>
      </x:c>
      <x:c r="D776" s="10" t="n">
        <x:v>20</x:v>
      </x:c>
      <x:c r="E776" s="10" t="n">
        <x:f>SUMIF('Revenue and costs'!$D$2440:$D$2567,C776,'Revenue and costs'!N2440:N2567)</x:f>
        <x:v>66145.4857323053</x:v>
      </x:c>
      <x:c r="F776" s="10" t="n">
        <x:f>SUMIF('Revenue and costs'!$D$2440:$D$2567,C776,'Revenue and costs'!O2440:O2567)+SUMIF('Revenue and costs'!$D$2440:$D$2567,C776,'Revenue and costs'!P2440:P2567)+SUMIF('Revenue and costs'!$D$2440:$D$2567,C776,'Revenue and costs'!Q2440:Q2567)+SUMIF('Revenue and costs'!$D$2440:$D$2567,C776,'Revenue and costs'!R2440:R2567)+SUMIF('Revenue and costs'!$D$2440:$D$2567,C776,'Revenue and costs'!S2440:S2567)+SUMIF('Revenue and costs'!$D$2440:$D$2567,C776,'Revenue and costs'!T2440:T2567)+SUMIF('Revenue and costs'!$D$2440:$D$2567,C776,'Revenue and costs'!U2440:U2567)+SUMIF('Revenue and costs'!$D$2440:$D$2567,C776,'Revenue and costs'!V2440:V2567)+SUMIF('Revenue and costs'!$D$2440:$D$2567,C776,'Revenue and costs'!AE2440:AE2567)</x:f>
        <x:v>39464.98224226456</x:v>
      </x:c>
      <x:c r="G776" s="10" t="n">
        <x:f>IF('Income statement'!W50=0,1/39,E776/'Income statement'!W50)*('Shared costs'!AA21+'Assumptions'!$D$18*'Assumptions'!$D$19*12*(1+'Assumptions'!$D$13)^(20-1)*'Assumptions'!$D$21)</x:f>
        <x:v>3669.692018922831</x:v>
      </x:c>
      <x:c r="H776" s="10" t="n">
        <x:f>IF('Income statement'!W50=0,1/39,E776/'Income statement'!W50)*'Cash and capital'!W18</x:f>
        <x:v>11.645579600752415</x:v>
      </x:c>
      <x:c r="I776" s="10" t="n">
        <x:f>E776-F776-G776-H776</x:f>
        <x:v>22999.165891517157</x:v>
      </x:c>
      <x:c r="J776" s="10" t="n">
        <x:f>M737</x:f>
        <x:v>0</x:v>
      </x:c>
      <x:c r="K776" s="10" t="n">
        <x:f>MAX(0,I776-J776)</x:f>
        <x:v>22999.165891517157</x:v>
      </x:c>
      <x:c r="L776" s="10" t="n">
        <x:f>K776*'Assumptions'!$D$12</x:f>
        <x:v>5749.791472879289</x:v>
      </x:c>
      <x:c r="M776" s="10" t="n">
        <x:f>MAX(0,J776-I776)</x:f>
        <x:v>0</x:v>
      </x:c>
    </x:row>
    <x:row r="777" ht="16" customHeight="1">
      <x:c r="A777" s="1"/>
      <x:c r="B777" s="1"/>
      <x:c r="C777" s="1" t="str">
        <x:v>Semajes courses</x:v>
      </x:c>
      <x:c r="D777" s="10" t="n">
        <x:v>20</x:v>
      </x:c>
      <x:c r="E777" s="10" t="n">
        <x:f>SUMIF('Revenue and costs'!$D$2440:$D$2567,C777,'Revenue and costs'!N2440:N2567)</x:f>
        <x:v>35694.75980452068</x:v>
      </x:c>
      <x:c r="F777" s="10" t="n">
        <x:f>SUMIF('Revenue and costs'!$D$2440:$D$2567,C777,'Revenue and costs'!O2440:O2567)+SUMIF('Revenue and costs'!$D$2440:$D$2567,C777,'Revenue and costs'!P2440:P2567)+SUMIF('Revenue and costs'!$D$2440:$D$2567,C777,'Revenue and costs'!Q2440:Q2567)+SUMIF('Revenue and costs'!$D$2440:$D$2567,C777,'Revenue and costs'!R2440:R2567)+SUMIF('Revenue and costs'!$D$2440:$D$2567,C777,'Revenue and costs'!S2440:S2567)+SUMIF('Revenue and costs'!$D$2440:$D$2567,C777,'Revenue and costs'!T2440:T2567)+SUMIF('Revenue and costs'!$D$2440:$D$2567,C777,'Revenue and costs'!U2440:U2567)+SUMIF('Revenue and costs'!$D$2440:$D$2567,C777,'Revenue and costs'!V2440:V2567)+SUMIF('Revenue and costs'!$D$2440:$D$2567,C777,'Revenue and costs'!AE2440:AE2567)</x:f>
        <x:v>12415.915309015963</x:v>
      </x:c>
      <x:c r="G777" s="10" t="n">
        <x:f>IF('Income statement'!W50=0,1/39,E777/'Income statement'!W50)*('Shared costs'!AA21+'Assumptions'!$D$18*'Assumptions'!$D$19*12*(1+'Assumptions'!$D$13)^(20-1)*'Assumptions'!$D$21)</x:f>
        <x:v>1980.3131494435818</x:v>
      </x:c>
      <x:c r="H777" s="10" t="n">
        <x:f>IF('Income statement'!W50=0,1/39,E777/'Income statement'!W50)*'Cash and capital'!W18</x:f>
        <x:v>6.284422315917217</x:v>
      </x:c>
      <x:c r="I777" s="10" t="n">
        <x:f>E777-F777-G777-H777</x:f>
        <x:v>21292.246923745224</x:v>
      </x:c>
      <x:c r="J777" s="10" t="n">
        <x:f>M738</x:f>
        <x:v>0</x:v>
      </x:c>
      <x:c r="K777" s="10" t="n">
        <x:f>MAX(0,I777-J777)</x:f>
        <x:v>21292.246923745224</x:v>
      </x:c>
      <x:c r="L777" s="10" t="n">
        <x:f>K777*'Assumptions'!$D$12</x:f>
        <x:v>5323.061730936306</x:v>
      </x:c>
      <x:c r="M777" s="10" t="n">
        <x:f>MAX(0,J777-I777)</x:f>
        <x:v>0</x:v>
      </x:c>
    </x:row>
    <x:row r="778" ht="16" customHeight="1">
      <x:c r="A778" s="1"/>
      <x:c r="B778" s="1"/>
      <x:c r="C778" s="1" t="str">
        <x:v>Sleepy Face</x:v>
      </x:c>
      <x:c r="D778" s="10" t="n">
        <x:v>20</x:v>
      </x:c>
      <x:c r="E778" s="10" t="n">
        <x:f>SUMIF('Revenue and costs'!$D$2440:$D$2567,C778,'Revenue and costs'!N2440:N2567)</x:f>
        <x:v>457142.0070821428</x:v>
      </x:c>
      <x:c r="F778" s="10" t="n">
        <x:f>SUMIF('Revenue and costs'!$D$2440:$D$2567,C778,'Revenue and costs'!O2440:O2567)+SUMIF('Revenue and costs'!$D$2440:$D$2567,C778,'Revenue and costs'!P2440:P2567)+SUMIF('Revenue and costs'!$D$2440:$D$2567,C778,'Revenue and costs'!Q2440:Q2567)+SUMIF('Revenue and costs'!$D$2440:$D$2567,C778,'Revenue and costs'!R2440:R2567)+SUMIF('Revenue and costs'!$D$2440:$D$2567,C778,'Revenue and costs'!S2440:S2567)+SUMIF('Revenue and costs'!$D$2440:$D$2567,C778,'Revenue and costs'!T2440:T2567)+SUMIF('Revenue and costs'!$D$2440:$D$2567,C778,'Revenue and costs'!U2440:U2567)+SUMIF('Revenue and costs'!$D$2440:$D$2567,C778,'Revenue and costs'!V2440:V2567)+SUMIF('Revenue and costs'!$D$2440:$D$2567,C778,'Revenue and costs'!AE2440:AE2567)</x:f>
        <x:v>316734.3721770001</x:v>
      </x:c>
      <x:c r="G778" s="10" t="n">
        <x:f>IF('Income statement'!W50=0,1/39,E778/'Income statement'!W50)*('Shared costs'!AA21+'Assumptions'!$D$18*'Assumptions'!$D$19*12*(1+'Assumptions'!$D$13)^(20-1)*'Assumptions'!$D$21)</x:f>
        <x:v>25361.82713500556</x:v>
      </x:c>
      <x:c r="H778" s="10" t="n">
        <x:f>IF('Income statement'!W50=0,1/39,E778/'Income statement'!W50)*'Cash and capital'!W18</x:f>
        <x:v>80.4844589677379</x:v>
      </x:c>
      <x:c r="I778" s="10" t="n">
        <x:f>E778-F778-G778-H778</x:f>
        <x:v>114965.32331116941</x:v>
      </x:c>
      <x:c r="J778" s="10" t="n">
        <x:f>M739</x:f>
        <x:v>0</x:v>
      </x:c>
      <x:c r="K778" s="10" t="n">
        <x:f>MAX(0,I778-J778)</x:f>
        <x:v>114965.32331116941</x:v>
      </x:c>
      <x:c r="L778" s="10" t="n">
        <x:f>K778*'Assumptions'!$D$12</x:f>
        <x:v>28741.330827792353</x:v>
      </x:c>
      <x:c r="M778" s="10" t="n">
        <x:f>MAX(0,J778-I778)</x:f>
        <x:v>0</x:v>
      </x:c>
    </x:row>
    <x:row r="779" ht="16" customHeight="1">
      <x:c r="A779" s="1"/>
      <x:c r="B779" s="1"/>
      <x:c r="C779" s="1" t="str">
        <x:v>QzoticMusic</x:v>
      </x:c>
      <x:c r="D779" s="10" t="n">
        <x:v>20</x:v>
      </x:c>
      <x:c r="E779" s="10" t="n">
        <x:f>SUMIF('Revenue and costs'!$D$2440:$D$2567,C779,'Revenue and costs'!N2440:N2567)</x:f>
        <x:v>40002.606488526435</x:v>
      </x:c>
      <x:c r="F779" s="10" t="n">
        <x:f>SUMIF('Revenue and costs'!$D$2440:$D$2567,C779,'Revenue and costs'!O2440:O2567)+SUMIF('Revenue and costs'!$D$2440:$D$2567,C779,'Revenue and costs'!P2440:P2567)+SUMIF('Revenue and costs'!$D$2440:$D$2567,C779,'Revenue and costs'!Q2440:Q2567)+SUMIF('Revenue and costs'!$D$2440:$D$2567,C779,'Revenue and costs'!R2440:R2567)+SUMIF('Revenue and costs'!$D$2440:$D$2567,C779,'Revenue and costs'!S2440:S2567)+SUMIF('Revenue and costs'!$D$2440:$D$2567,C779,'Revenue and costs'!T2440:T2567)+SUMIF('Revenue and costs'!$D$2440:$D$2567,C779,'Revenue and costs'!U2440:U2567)+SUMIF('Revenue and costs'!$D$2440:$D$2567,C779,'Revenue and costs'!V2440:V2567)+SUMIF('Revenue and costs'!$D$2440:$D$2567,C779,'Revenue and costs'!AE2440:AE2567)</x:f>
        <x:v>48293.29974537375</x:v>
      </x:c>
      <x:c r="G779" s="10" t="n">
        <x:f>IF('Income statement'!W50=0,1/39,E779/'Income statement'!W50)*('Shared costs'!AA21+'Assumptions'!$D$18*'Assumptions'!$D$19*12*(1+'Assumptions'!$D$13)^(20-1)*'Assumptions'!$D$21)</x:f>
        <x:v>2219.3086065034468</x:v>
      </x:c>
      <x:c r="H779" s="10" t="n">
        <x:f>IF('Income statement'!W50=0,1/39,E779/'Income statement'!W50)*'Cash and capital'!W18</x:f>
        <x:v>7.042862153663011</x:v>
      </x:c>
      <x:c r="I779" s="10" t="n">
        <x:f>E779-F779-G779-H779</x:f>
        <x:v>-10517.044725504424</x:v>
      </x:c>
      <x:c r="J779" s="10" t="n">
        <x:f>M740</x:f>
        <x:v>81085.54496248253</x:v>
      </x:c>
      <x:c r="K779" s="10" t="n">
        <x:f>MAX(0,I779-J779)</x:f>
        <x:v>0</x:v>
      </x:c>
      <x:c r="L779" s="10" t="n">
        <x:f>K779*'Assumptions'!$D$12</x:f>
        <x:v>0</x:v>
      </x:c>
      <x:c r="M779" s="10" t="n">
        <x:f>MAX(0,J779-I779)</x:f>
        <x:v>91602.58968798695</x:v>
      </x:c>
    </x:row>
    <x:row r="780" ht="16" customHeight="1">
      <x:c r="A780" s="1"/>
      <x:c r="B780" s="1"/>
      <x:c r="C780" s="1" t="str">
        <x:v>LesPetitFilms</x:v>
      </x:c>
      <x:c r="D780" s="10" t="n">
        <x:v>20</x:v>
      </x:c>
      <x:c r="E780" s="10" t="n">
        <x:f>SUMIF('Revenue and costs'!$D$2440:$D$2567,C780,'Revenue and costs'!N2440:N2567)</x:f>
        <x:v>145983.4448798403</x:v>
      </x:c>
      <x:c r="F780" s="10" t="n">
        <x:f>SUMIF('Revenue and costs'!$D$2440:$D$2567,C780,'Revenue and costs'!O2440:O2567)+SUMIF('Revenue and costs'!$D$2440:$D$2567,C780,'Revenue and costs'!P2440:P2567)+SUMIF('Revenue and costs'!$D$2440:$D$2567,C780,'Revenue and costs'!Q2440:Q2567)+SUMIF('Revenue and costs'!$D$2440:$D$2567,C780,'Revenue and costs'!R2440:R2567)+SUMIF('Revenue and costs'!$D$2440:$D$2567,C780,'Revenue and costs'!S2440:S2567)+SUMIF('Revenue and costs'!$D$2440:$D$2567,C780,'Revenue and costs'!T2440:T2567)+SUMIF('Revenue and costs'!$D$2440:$D$2567,C780,'Revenue and costs'!U2440:U2567)+SUMIF('Revenue and costs'!$D$2440:$D$2567,C780,'Revenue and costs'!V2440:V2567)+SUMIF('Revenue and costs'!$D$2440:$D$2567,C780,'Revenue and costs'!AE2440:AE2567)</x:f>
        <x:v>92695.88600028631</x:v>
      </x:c>
      <x:c r="G780" s="10" t="n">
        <x:f>IF('Income statement'!W50=0,1/39,E780/'Income statement'!W50)*('Shared costs'!AA21+'Assumptions'!$D$18*'Assumptions'!$D$19*12*(1+'Assumptions'!$D$13)^(20-1)*'Assumptions'!$D$21)</x:f>
        <x:v>8099.030139992899</x:v>
      </x:c>
      <x:c r="H780" s="10" t="n">
        <x:f>IF('Income statement'!W50=0,1/39,E780/'Income statement'!W50)*'Cash and capital'!W18</x:f>
        <x:v>25.7018571852429</x:v>
      </x:c>
      <x:c r="I780" s="10" t="n">
        <x:f>E780-F780-G780-H780</x:f>
        <x:v>45162.82688237585</x:v>
      </x:c>
      <x:c r="J780" s="10" t="n">
        <x:f>M741</x:f>
        <x:v>0</x:v>
      </x:c>
      <x:c r="K780" s="10" t="n">
        <x:f>MAX(0,I780-J780)</x:f>
        <x:v>45162.82688237585</x:v>
      </x:c>
      <x:c r="L780" s="10" t="n">
        <x:f>K780*'Assumptions'!$D$12</x:f>
        <x:v>11290.706720593962</x:v>
      </x:c>
      <x:c r="M780" s="10" t="n">
        <x:f>MAX(0,J780-I780)</x:f>
        <x:v>0</x:v>
      </x:c>
    </x:row>
    <x:row r="781" ht="16" customHeight="1">
      <x:c r="A781" s="1"/>
      <x:c r="B781" s="1"/>
      <x:c r="C781" s="1" t="str">
        <x:v>Learn Anglais</x:v>
      </x:c>
      <x:c r="D781" s="10" t="n">
        <x:v>20</x:v>
      </x:c>
      <x:c r="E781" s="10" t="n">
        <x:f>SUMIF('Revenue and costs'!$D$2440:$D$2567,C781,'Revenue and costs'!N2440:N2567)</x:f>
        <x:v>155204.7532955482</x:v>
      </x:c>
      <x:c r="F781" s="10" t="n">
        <x:f>SUMIF('Revenue and costs'!$D$2440:$D$2567,C781,'Revenue and costs'!O2440:O2567)+SUMIF('Revenue and costs'!$D$2440:$D$2567,C781,'Revenue and costs'!P2440:P2567)+SUMIF('Revenue and costs'!$D$2440:$D$2567,C781,'Revenue and costs'!Q2440:Q2567)+SUMIF('Revenue and costs'!$D$2440:$D$2567,C781,'Revenue and costs'!R2440:R2567)+SUMIF('Revenue and costs'!$D$2440:$D$2567,C781,'Revenue and costs'!S2440:S2567)+SUMIF('Revenue and costs'!$D$2440:$D$2567,C781,'Revenue and costs'!T2440:T2567)+SUMIF('Revenue and costs'!$D$2440:$D$2567,C781,'Revenue and costs'!U2440:U2567)+SUMIF('Revenue and costs'!$D$2440:$D$2567,C781,'Revenue and costs'!V2440:V2567)+SUMIF('Revenue and costs'!$D$2440:$D$2567,C781,'Revenue and costs'!AE2440:AE2567)</x:f>
        <x:v>102692.74916440561</x:v>
      </x:c>
      <x:c r="G781" s="10" t="n">
        <x:f>IF('Income statement'!W50=0,1/39,E781/'Income statement'!W50)*('Shared costs'!AA21+'Assumptions'!$D$18*'Assumptions'!$D$19*12*(1+'Assumptions'!$D$13)^(20-1)*'Assumptions'!$D$21)</x:f>
        <x:v>8610.620031918392</x:v>
      </x:c>
      <x:c r="H781" s="10" t="n">
        <x:f>IF('Income statement'!W50=0,1/39,E781/'Income statement'!W50)*'Cash and capital'!W18</x:f>
        <x:v>27.325361495315068</x:v>
      </x:c>
      <x:c r="I781" s="10" t="n">
        <x:f>E781-F781-G781-H781</x:f>
        <x:v>43874.05873772888</x:v>
      </x:c>
      <x:c r="J781" s="10" t="n">
        <x:f>M742</x:f>
        <x:v>0</x:v>
      </x:c>
      <x:c r="K781" s="10" t="n">
        <x:f>MAX(0,I781-J781)</x:f>
        <x:v>43874.05873772888</x:v>
      </x:c>
      <x:c r="L781" s="10" t="n">
        <x:f>K781*'Assumptions'!$D$12</x:f>
        <x:v>10968.51468443222</x:v>
      </x:c>
      <x:c r="M781" s="10" t="n">
        <x:f>MAX(0,J781-I781)</x:f>
        <x:v>0</x:v>
      </x:c>
    </x:row>
    <x:row r="782" ht="16" customHeight="1">
      <x:c r="A782" s="1"/>
      <x:c r="B782" s="1"/>
      <x:c r="C782" s="1" t="str">
        <x:v>Fiefé</x:v>
      </x:c>
      <x:c r="D782" s="10" t="n">
        <x:v>20</x:v>
      </x:c>
      <x:c r="E782" s="10" t="n">
        <x:f>SUMIF('Revenue and costs'!$D$2440:$D$2567,C782,'Revenue and costs'!N2440:N2567)</x:f>
        <x:v>107565.93754606441</x:v>
      </x:c>
      <x:c r="F782" s="10" t="n">
        <x:f>SUMIF('Revenue and costs'!$D$2440:$D$2567,C782,'Revenue and costs'!O2440:O2567)+SUMIF('Revenue and costs'!$D$2440:$D$2567,C782,'Revenue and costs'!P2440:P2567)+SUMIF('Revenue and costs'!$D$2440:$D$2567,C782,'Revenue and costs'!Q2440:Q2567)+SUMIF('Revenue and costs'!$D$2440:$D$2567,C782,'Revenue and costs'!R2440:R2567)+SUMIF('Revenue and costs'!$D$2440:$D$2567,C782,'Revenue and costs'!S2440:S2567)+SUMIF('Revenue and costs'!$D$2440:$D$2567,C782,'Revenue and costs'!T2440:T2567)+SUMIF('Revenue and costs'!$D$2440:$D$2567,C782,'Revenue and costs'!U2440:U2567)+SUMIF('Revenue and costs'!$D$2440:$D$2567,C782,'Revenue and costs'!V2440:V2567)+SUMIF('Revenue and costs'!$D$2440:$D$2567,C782,'Revenue and costs'!AE2440:AE2567)</x:f>
        <x:v>93319.32929036919</x:v>
      </x:c>
      <x:c r="G782" s="10" t="n">
        <x:f>IF('Income statement'!W50=0,1/39,E782/'Income statement'!W50)*('Shared costs'!AA21+'Assumptions'!$D$18*'Assumptions'!$D$19*12*(1+'Assumptions'!$D$13)^(20-1)*'Assumptions'!$D$21)</x:f>
        <x:v>5967.661408040081</x:v>
      </x:c>
      <x:c r="H782" s="10" t="n">
        <x:f>IF('Income statement'!W50=0,1/39,E782/'Income statement'!W50)*'Cash and capital'!W18</x:f>
        <x:v>18.93806771775592</x:v>
      </x:c>
      <x:c r="I782" s="10" t="n">
        <x:f>E782-F782-G782-H782</x:f>
        <x:v>8260.00877993738</x:v>
      </x:c>
      <x:c r="J782" s="10" t="n">
        <x:f>M743</x:f>
        <x:v>0</x:v>
      </x:c>
      <x:c r="K782" s="10" t="n">
        <x:f>MAX(0,I782-J782)</x:f>
        <x:v>8260.00877993738</x:v>
      </x:c>
      <x:c r="L782" s="10" t="n">
        <x:f>K782*'Assumptions'!$D$12</x:f>
        <x:v>2065.002194984345</x:v>
      </x:c>
      <x:c r="M782" s="10" t="n">
        <x:f>MAX(0,J782-I782)</x:f>
        <x:v>0</x:v>
      </x:c>
    </x:row>
    <x:row r="783" ht="16" customHeight="1">
      <x:c r="A783" s="1"/>
      <x:c r="B783" s="1"/>
      <x:c r="C783" s="1" t="str">
        <x:v>Fiefé Design</x:v>
      </x:c>
      <x:c r="D783" s="10" t="n">
        <x:v>20</x:v>
      </x:c>
      <x:c r="E783" s="10" t="n">
        <x:f>SUMIF('Revenue and costs'!$D$2440:$D$2567,C783,'Revenue and costs'!N2440:N2567)</x:f>
        <x:v>67019.27572963513</x:v>
      </x:c>
      <x:c r="F783" s="10" t="n">
        <x:f>SUMIF('Revenue and costs'!$D$2440:$D$2567,C783,'Revenue and costs'!O2440:O2567)+SUMIF('Revenue and costs'!$D$2440:$D$2567,C783,'Revenue and costs'!P2440:P2567)+SUMIF('Revenue and costs'!$D$2440:$D$2567,C783,'Revenue and costs'!Q2440:Q2567)+SUMIF('Revenue and costs'!$D$2440:$D$2567,C783,'Revenue and costs'!R2440:R2567)+SUMIF('Revenue and costs'!$D$2440:$D$2567,C783,'Revenue and costs'!S2440:S2567)+SUMIF('Revenue and costs'!$D$2440:$D$2567,C783,'Revenue and costs'!T2440:T2567)+SUMIF('Revenue and costs'!$D$2440:$D$2567,C783,'Revenue and costs'!U2440:U2567)+SUMIF('Revenue and costs'!$D$2440:$D$2567,C783,'Revenue and costs'!V2440:V2567)+SUMIF('Revenue and costs'!$D$2440:$D$2567,C783,'Revenue and costs'!AE2440:AE2567)</x:f>
        <x:v>54438.667893313825</x:v>
      </x:c>
      <x:c r="G783" s="10" t="n">
        <x:f>IF('Income statement'!W50=0,1/39,E783/'Income statement'!W50)*('Shared costs'!AA21+'Assumptions'!$D$18*'Assumptions'!$D$19*12*(1+'Assumptions'!$D$13)^(20-1)*'Assumptions'!$D$21)</x:f>
        <x:v>3718.169101582605</x:v>
      </x:c>
      <x:c r="H783" s="10" t="n">
        <x:f>IF('Income statement'!W50=0,1/39,E783/'Income statement'!W50)*'Cash and capital'!W18</x:f>
        <x:v>11.799419138788734</x:v>
      </x:c>
      <x:c r="I783" s="10" t="n">
        <x:f>E783-F783-G783-H783</x:f>
        <x:v>8850.639315599916</x:v>
      </x:c>
      <x:c r="J783" s="10" t="n">
        <x:f>M744</x:f>
        <x:v>0</x:v>
      </x:c>
      <x:c r="K783" s="10" t="n">
        <x:f>MAX(0,I783-J783)</x:f>
        <x:v>8850.639315599916</x:v>
      </x:c>
      <x:c r="L783" s="10" t="n">
        <x:f>K783*'Assumptions'!$D$12</x:f>
        <x:v>2212.659828899979</x:v>
      </x:c>
      <x:c r="M783" s="10" t="n">
        <x:f>MAX(0,J783-I783)</x:f>
        <x:v>0</x:v>
      </x:c>
    </x:row>
    <x:row r="784" ht="16" customHeight="1">
      <x:c r="A784" s="1"/>
      <x:c r="B784" s="1"/>
      <x:c r="C784" s="1" t="str">
        <x:v>OsezArt</x:v>
      </x:c>
      <x:c r="D784" s="10" t="n">
        <x:v>20</x:v>
      </x:c>
      <x:c r="E784" s="10" t="n">
        <x:f>SUMIF('Revenue and costs'!$D$2440:$D$2567,C784,'Revenue and costs'!N2440:N2567)</x:f>
        <x:v>264238.1372399599</x:v>
      </x:c>
      <x:c r="F784" s="10" t="n">
        <x:f>SUMIF('Revenue and costs'!$D$2440:$D$2567,C784,'Revenue and costs'!O2440:O2567)+SUMIF('Revenue and costs'!$D$2440:$D$2567,C784,'Revenue and costs'!P2440:P2567)+SUMIF('Revenue and costs'!$D$2440:$D$2567,C784,'Revenue and costs'!Q2440:Q2567)+SUMIF('Revenue and costs'!$D$2440:$D$2567,C784,'Revenue and costs'!R2440:R2567)+SUMIF('Revenue and costs'!$D$2440:$D$2567,C784,'Revenue and costs'!S2440:S2567)+SUMIF('Revenue and costs'!$D$2440:$D$2567,C784,'Revenue and costs'!T2440:T2567)+SUMIF('Revenue and costs'!$D$2440:$D$2567,C784,'Revenue and costs'!U2440:U2567)+SUMIF('Revenue and costs'!$D$2440:$D$2567,C784,'Revenue and costs'!V2440:V2567)+SUMIF('Revenue and costs'!$D$2440:$D$2567,C784,'Revenue and costs'!AE2440:AE2567)</x:f>
        <x:v>158542.95725226586</x:v>
      </x:c>
      <x:c r="G784" s="10" t="n">
        <x:f>IF('Income statement'!W50=0,1/39,E784/'Income statement'!W50)*('Shared costs'!AA21+'Assumptions'!$D$18*'Assumptions'!$D$19*12*(1+'Assumptions'!$D$13)^(20-1)*'Assumptions'!$D$21)</x:f>
        <x:v>14659.694045468785</x:v>
      </x:c>
      <x:c r="H784" s="10" t="n">
        <x:f>IF('Income statement'!W50=0,1/39,E784/'Income statement'!W50)*'Cash and capital'!W18</x:f>
        <x:v>46.52178794538043</x:v>
      </x:c>
      <x:c r="I784" s="10" t="n">
        <x:f>E784-F784-G784-H784</x:f>
        <x:v>90988.96415427988</x:v>
      </x:c>
      <x:c r="J784" s="10" t="n">
        <x:f>M745</x:f>
        <x:v>0</x:v>
      </x:c>
      <x:c r="K784" s="10" t="n">
        <x:f>MAX(0,I784-J784)</x:f>
        <x:v>90988.96415427988</x:v>
      </x:c>
      <x:c r="L784" s="10" t="n">
        <x:f>K784*'Assumptions'!$D$12</x:f>
        <x:v>22747.24103856997</x:v>
      </x:c>
      <x:c r="M784" s="10" t="n">
        <x:f>MAX(0,J784-I784)</x:f>
        <x:v>0</x:v>
      </x:c>
    </x:row>
    <x:row r="785" ht="16" customHeight="1">
      <x:c r="A785" s="1"/>
      <x:c r="B785" s="1"/>
      <x:c r="C785" s="1" t="str">
        <x:v>FinBot research</x:v>
      </x:c>
      <x:c r="D785" s="10" t="n">
        <x:v>20</x:v>
      </x:c>
      <x:c r="E785" s="10" t="n">
        <x:f>SUMIF('Revenue and costs'!$D$2440:$D$2567,C785,'Revenue and costs'!N2440:N2567)</x:f>
        <x:v>13271.12864526604</x:v>
      </x:c>
      <x:c r="F785" s="10" t="n">
        <x:f>SUMIF('Revenue and costs'!$D$2440:$D$2567,C785,'Revenue and costs'!O2440:O2567)+SUMIF('Revenue and costs'!$D$2440:$D$2567,C785,'Revenue and costs'!P2440:P2567)+SUMIF('Revenue and costs'!$D$2440:$D$2567,C785,'Revenue and costs'!Q2440:Q2567)+SUMIF('Revenue and costs'!$D$2440:$D$2567,C785,'Revenue and costs'!R2440:R2567)+SUMIF('Revenue and costs'!$D$2440:$D$2567,C785,'Revenue and costs'!S2440:S2567)+SUMIF('Revenue and costs'!$D$2440:$D$2567,C785,'Revenue and costs'!T2440:T2567)+SUMIF('Revenue and costs'!$D$2440:$D$2567,C785,'Revenue and costs'!U2440:U2567)+SUMIF('Revenue and costs'!$D$2440:$D$2567,C785,'Revenue and costs'!V2440:V2567)+SUMIF('Revenue and costs'!$D$2440:$D$2567,C785,'Revenue and costs'!AE2440:AE2567)</x:f>
        <x:v>8392.649976181827</x:v>
      </x:c>
      <x:c r="G785" s="10" t="n">
        <x:f>IF('Income statement'!W50=0,1/39,E785/'Income statement'!W50)*('Shared costs'!AA21+'Assumptions'!$D$18*'Assumptions'!$D$19*12*(1+'Assumptions'!$D$13)^(20-1)*'Assumptions'!$D$21)</x:f>
        <x:v>736.2702735108272</x:v>
      </x:c>
      <x:c r="H785" s="10" t="n">
        <x:f>IF('Income statement'!W50=0,1/39,E785/'Income statement'!W50)*'Cash and capital'!W18</x:f>
        <x:v>2.336515989250486</x:v>
      </x:c>
      <x:c r="I785" s="10" t="n">
        <x:f>E785-F785-G785-H785</x:f>
        <x:v>4139.871879584137</x:v>
      </x:c>
      <x:c r="J785" s="10" t="n">
        <x:f>M746</x:f>
        <x:v>0</x:v>
      </x:c>
      <x:c r="K785" s="10" t="n">
        <x:f>MAX(0,I785-J785)</x:f>
        <x:v>4139.871879584137</x:v>
      </x:c>
      <x:c r="L785" s="10" t="n">
        <x:f>K785*'Assumptions'!$D$12</x:f>
        <x:v>1034.9679698960342</x:v>
      </x:c>
      <x:c r="M785" s="10" t="n">
        <x:f>MAX(0,J785-I785)</x:f>
        <x:v>0</x:v>
      </x:c>
    </x:row>
    <x:row r="786" ht="16" customHeight="1">
      <x:c r="A786" s="1"/>
      <x:c r="B786" s="1"/>
      <x:c r="C786" s="1" t="str">
        <x:v>Functional Analysis</x:v>
      </x:c>
      <x:c r="D786" s="10" t="n">
        <x:v>20</x:v>
      </x:c>
      <x:c r="E786" s="10" t="n">
        <x:f>SUMIF('Revenue and costs'!$D$2440:$D$2567,C786,'Revenue and costs'!N2440:N2567)</x:f>
        <x:v>28552.538905888192</x:v>
      </x:c>
      <x:c r="F786" s="10" t="n">
        <x:f>SUMIF('Revenue and costs'!$D$2440:$D$2567,C786,'Revenue and costs'!O2440:O2567)+SUMIF('Revenue and costs'!$D$2440:$D$2567,C786,'Revenue and costs'!P2440:P2567)+SUMIF('Revenue and costs'!$D$2440:$D$2567,C786,'Revenue and costs'!Q2440:Q2567)+SUMIF('Revenue and costs'!$D$2440:$D$2567,C786,'Revenue and costs'!R2440:R2567)+SUMIF('Revenue and costs'!$D$2440:$D$2567,C786,'Revenue and costs'!S2440:S2567)+SUMIF('Revenue and costs'!$D$2440:$D$2567,C786,'Revenue and costs'!T2440:T2567)+SUMIF('Revenue and costs'!$D$2440:$D$2567,C786,'Revenue and costs'!U2440:U2567)+SUMIF('Revenue and costs'!$D$2440:$D$2567,C786,'Revenue and costs'!V2440:V2567)+SUMIF('Revenue and costs'!$D$2440:$D$2567,C786,'Revenue and costs'!AE2440:AE2567)</x:f>
        <x:v>16416.11397145027</x:v>
      </x:c>
      <x:c r="G786" s="10" t="n">
        <x:f>IF('Income statement'!W50=0,1/39,E786/'Income statement'!W50)*('Shared costs'!AA21+'Assumptions'!$D$18*'Assumptions'!$D$19*12*(1+'Assumptions'!$D$13)^(20-1)*'Assumptions'!$D$21)</x:f>
        <x:v>1584.0691618316694</x:v>
      </x:c>
      <x:c r="H786" s="10" t="n">
        <x:f>IF('Income statement'!W50=0,1/39,E786/'Income statement'!W50)*'Cash and capital'!W18</x:f>
        <x:v>5.026962323291302</x:v>
      </x:c>
      <x:c r="I786" s="10" t="n">
        <x:f>E786-F786-G786-H786</x:f>
        <x:v>10547.328810282961</x:v>
      </x:c>
      <x:c r="J786" s="10" t="n">
        <x:f>M747</x:f>
        <x:v>0</x:v>
      </x:c>
      <x:c r="K786" s="10" t="n">
        <x:f>MAX(0,I786-J786)</x:f>
        <x:v>10547.328810282961</x:v>
      </x:c>
      <x:c r="L786" s="10" t="n">
        <x:f>K786*'Assumptions'!$D$12</x:f>
        <x:v>2636.8322025707403</x:v>
      </x:c>
      <x:c r="M786" s="10" t="n">
        <x:f>MAX(0,J786-I786)</x:f>
        <x:v>0</x:v>
      </x:c>
    </x:row>
    <x:row r="787" ht="16" customHeight="1">
      <x:c r="A787" s="1"/>
      <x:c r="B787" s="1"/>
      <x:c r="C787" s="1" t="str">
        <x:v>Independent candy game</x:v>
      </x:c>
      <x:c r="D787" s="10" t="n">
        <x:v>20</x:v>
      </x:c>
      <x:c r="E787" s="10" t="n">
        <x:f>SUMIF('Revenue and costs'!$D$2440:$D$2567,C787,'Revenue and costs'!N2440:N2567)</x:f>
        <x:v>11417.74688618578</x:v>
      </x:c>
      <x:c r="F787" s="10" t="n">
        <x:f>SUMIF('Revenue and costs'!$D$2440:$D$2567,C787,'Revenue and costs'!O2440:O2567)+SUMIF('Revenue and costs'!$D$2440:$D$2567,C787,'Revenue and costs'!P2440:P2567)+SUMIF('Revenue and costs'!$D$2440:$D$2567,C787,'Revenue and costs'!Q2440:Q2567)+SUMIF('Revenue and costs'!$D$2440:$D$2567,C787,'Revenue and costs'!R2440:R2567)+SUMIF('Revenue and costs'!$D$2440:$D$2567,C787,'Revenue and costs'!S2440:S2567)+SUMIF('Revenue and costs'!$D$2440:$D$2567,C787,'Revenue and costs'!T2440:T2567)+SUMIF('Revenue and costs'!$D$2440:$D$2567,C787,'Revenue and costs'!U2440:U2567)+SUMIF('Revenue and costs'!$D$2440:$D$2567,C787,'Revenue and costs'!V2440:V2567)+SUMIF('Revenue and costs'!$D$2440:$D$2567,C787,'Revenue and costs'!AE2440:AE2567)</x:f>
        <x:v>11903.43823007725</x:v>
      </x:c>
      <x:c r="G787" s="10" t="n">
        <x:f>IF('Income statement'!W50=0,1/39,E787/'Income statement'!W50)*('Shared costs'!AA21+'Assumptions'!$D$18*'Assumptions'!$D$19*12*(1+'Assumptions'!$D$13)^(20-1)*'Assumptions'!$D$21)</x:f>
        <x:v>633.4463215205219</x:v>
      </x:c>
      <x:c r="H787" s="10" t="n">
        <x:f>IF('Income statement'!W50=0,1/39,E787/'Income statement'!W50)*'Cash and capital'!W18</x:f>
        <x:v>2.0102094459241244</x:v>
      </x:c>
      <x:c r="I787" s="10" t="n">
        <x:f>E787-F787-G787-H787</x:f>
        <x:v>-1121.1478748579168</x:v>
      </x:c>
      <x:c r="J787" s="10" t="n">
        <x:f>M748</x:f>
        <x:v>4530.628957963216</x:v>
      </x:c>
      <x:c r="K787" s="10" t="n">
        <x:f>MAX(0,I787-J787)</x:f>
        <x:v>0</x:v>
      </x:c>
      <x:c r="L787" s="10" t="n">
        <x:f>K787*'Assumptions'!$D$12</x:f>
        <x:v>0</x:v>
      </x:c>
      <x:c r="M787" s="10" t="n">
        <x:f>MAX(0,J787-I787)</x:f>
        <x:v>5651.776832821132</x:v>
      </x:c>
    </x:row>
    <x:row r="788" ht="16" customHeight="1">
      <x:c r="A788" s="1"/>
      <x:c r="B788" s="1"/>
      <x:c r="C788" s="1"/>
      <x:c r="D788" s="10"/>
      <x:c r="E788" s="10"/>
      <x:c r="F788" s="10"/>
      <x:c r="G788" s="10"/>
      <x:c r="H788" s="10"/>
      <x:c r="I788" s="10"/>
      <x:c r="J788" s="10"/>
      <x:c r="K788" s="10"/>
      <x:c r="L788" s="10"/>
      <x:c r="M788" s="10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36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</x:cols>
  <x:sheetData>
    <x:row r="1" ht="1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16" customHeight="1">
      <x:c r="A2" s="1"/>
      <x:c r="B2" s="1"/>
      <x:c r="C2" s="2" t="str">
        <x:v>Monthly cash</x:v>
      </x:c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</x:row>
    <x:row r="3" ht="16" customHeight="1">
      <x:c r="A3" s="1"/>
      <x:c r="B3" s="1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  <x:c r="N3" s="1"/>
      <x:c r="O3" s="1"/>
      <x:c r="P3" s="1"/>
      <x:c r="Q3" s="1"/>
    </x:row>
    <x:row r="4" ht="16" customHeight="1">
      <x:c r="A4" s="1"/>
      <x:c r="B4" s="1"/>
      <x:c r="C4" s="1" t="str">
        <x:v>Dot comparison assumptions. USD. Not an owner or AF&amp;I budget.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 ht="16" customHeight="1">
      <x:c r="A5" s="1"/>
      <x:c r="B5" s="1"/>
      <x:c r="C5" s="1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 ht="16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 ht="36" customHeight="1">
      <x:c r="A7" s="1"/>
      <x:c r="B7" s="1"/>
      <x:c r="C7" s="20" t="str">
        <x:v>Month</x:v>
      </x:c>
      <x:c r="D7" s="20" t="str">
        <x:v>Customer cash collected</x:v>
      </x:c>
      <x:c r="E7" s="20" t="str">
        <x:v>Operating cash costs</x:v>
      </x:c>
      <x:c r="F7" s="20" t="str">
        <x:v>Tax paid</x:v>
      </x:c>
      <x:c r="G7" s="20" t="str">
        <x:v>Materials reserve change</x:v>
      </x:c>
      <x:c r="H7" s="20" t="str">
        <x:v>Capital spending</x:v>
      </x:c>
      <x:c r="I7" s="20" t="str">
        <x:v>Net cash</x:v>
      </x:c>
      <x:c r="J7" s="20" t="str">
        <x:v>Cumulative cash</x:v>
      </x:c>
      <x:c r="K7" s="20" t="str">
        <x:v>Required cash to date</x:v>
      </x:c>
      <x:c r="L7" s="13"/>
      <x:c r="M7" s="13"/>
      <x:c r="N7" s="13"/>
      <x:c r="O7" s="13"/>
      <x:c r="P7" s="13"/>
      <x:c r="Q7" s="13"/>
    </x:row>
    <x:row r="8" ht="16" customHeight="1">
      <x:c r="A8" s="1"/>
      <x:c r="B8" s="1"/>
      <x:c r="C8" s="1" t="n">
        <x:v>0</x:v>
      </x:c>
      <x:c r="D8" s="10" t="n">
        <x:f>IF(AND(C8&gt;=(13-'Assumptions'!$J$30)+'Assumptions'!$AF$30,C8&lt;=12),'Revenue and costs'!N8/'Assumptions'!$J$30,0)+IF(AND(C8&gt;=(13-'Assumptions'!$J$31)+'Assumptions'!$AF$31,C8&lt;=12),'Revenue and costs'!N9/'Assumptions'!$J$31,0)+IF(AND(C8&gt;=(13-'Assumptions'!$J$32)+'Assumptions'!$AF$32,C8&lt;=12),'Revenue and costs'!N10/'Assumptions'!$J$32,0)+IF(AND(C8&gt;=(13-'Assumptions'!$J$33)+'Assumptions'!$AF$33,C8&lt;=12),'Revenue and costs'!N11/'Assumptions'!$J$33,0)+IF(AND(C8&gt;=(13-'Assumptions'!$J$34)+'Assumptions'!$AF$34,C8&lt;=12),'Revenue and costs'!N12/'Assumptions'!$J$34,0)+IF(AND(C8&gt;=(13-'Assumptions'!$J$35)+'Assumptions'!$AF$35,C8&lt;=12),'Revenue and costs'!N13/'Assumptions'!$J$35,0)+IF(AND(C8&gt;=(13-'Assumptions'!$J$36)+'Assumptions'!$AF$36,C8&lt;=12),'Revenue and costs'!N14/'Assumptions'!$J$36,0)+IF(AND(C8&gt;=(13-'Assumptions'!$J$37)+'Assumptions'!$AF$37,C8&lt;=12),'Revenue and costs'!N15/'Assumptions'!$J$37,0)+IF(AND(C8&gt;=(13-'Assumptions'!$J$38)+'Assumptions'!$AF$38,C8&lt;=12),'Revenue and costs'!N16/'Assumptions'!$J$38,0)+IF(AND(C8&gt;=(13-'Assumptions'!$J$39)+'Assumptions'!$AF$39,C8&lt;=12),'Revenue and costs'!N17/'Assumptions'!$J$39,0)+IF(AND(C8&gt;=(13-'Assumptions'!$J$40)+'Assumptions'!$AF$40,C8&lt;=12),'Revenue and costs'!N18/'Assumptions'!$J$40,0)+IF(AND(C8&gt;=(13-'Assumptions'!$J$41)+'Assumptions'!$AF$41,C8&lt;=12),'Revenue and costs'!N19/'Assumptions'!$J$41,0)+IF(AND(C8&gt;=(13-'Assumptions'!$J$42)+'Assumptions'!$AF$42,C8&lt;=12),'Revenue and costs'!N20/'Assumptions'!$J$42,0)+IF(AND(C8&gt;=(13-'Assumptions'!$J$43)+'Assumptions'!$AF$43,C8&lt;=12),'Revenue and costs'!N21/'Assumptions'!$J$43,0)+IF(AND(C8&gt;=(13-'Assumptions'!$J$44)+'Assumptions'!$AF$44,C8&lt;=12),'Revenue and costs'!N22/'Assumptions'!$J$44,0)+IF(AND(C8&gt;=(13-'Assumptions'!$J$45)+'Assumptions'!$AF$45,C8&lt;=12),'Revenue and costs'!N23/'Assumptions'!$J$45,0)+IF(AND(C8&gt;=(13-'Assumptions'!$J$46)+'Assumptions'!$AF$46,C8&lt;=12),'Revenue and costs'!N24/'Assumptions'!$J$46,0)+IF(AND(C8&gt;=(13-'Assumptions'!$J$47)+'Assumptions'!$AF$47,C8&lt;=12),'Revenue and costs'!N25/'Assumptions'!$J$47,0)+IF(AND(C8&gt;=(13-'Assumptions'!$J$48)+'Assumptions'!$AF$48,C8&lt;=12),'Revenue and costs'!N26/'Assumptions'!$J$48,0)+IF(AND(C8&gt;=(13-'Assumptions'!$J$49)+'Assumptions'!$AF$49,C8&lt;=12),'Revenue and costs'!N27/'Assumptions'!$J$49,0)+IF(AND(C8&gt;=(13-'Assumptions'!$J$50)+'Assumptions'!$AF$50,C8&lt;=12),'Revenue and costs'!N28/'Assumptions'!$J$50,0)+IF(AND(C8&gt;=(13-'Assumptions'!$J$51)+'Assumptions'!$AF$51,C8&lt;=12),'Revenue and costs'!N29/'Assumptions'!$J$51,0)+IF(AND(C8&gt;=(13-'Assumptions'!$J$52)+'Assumptions'!$AF$52,C8&lt;=12),'Revenue and costs'!N30/'Assumptions'!$J$52,0)+IF(AND(C8&gt;=(13-'Assumptions'!$J$53)+'Assumptions'!$AF$53,C8&lt;=12),'Revenue and costs'!N31/'Assumptions'!$J$53,0)+IF(AND(C8&gt;=(13-'Assumptions'!$J$54)+'Assumptions'!$AF$54,C8&lt;=12),'Revenue and costs'!N32/'Assumptions'!$J$54,0)+IF(AND(C8&gt;=(13-'Assumptions'!$J$55)+'Assumptions'!$AF$55,C8&lt;=12),'Revenue and costs'!N33/'Assumptions'!$J$55,0)+IF(AND(C8&gt;=(13-'Assumptions'!$J$56)+'Assumptions'!$AF$56,C8&lt;=12),'Revenue and costs'!N34/'Assumptions'!$J$56,0)+IF(AND(C8&gt;=(13-'Assumptions'!$J$57)+'Assumptions'!$AF$57,C8&lt;=12),'Revenue and costs'!N35/'Assumptions'!$J$57,0)+IF(AND(C8&gt;=(13-'Assumptions'!$J$58)+'Assumptions'!$AF$58,C8&lt;=12),'Revenue and costs'!N36/'Assumptions'!$J$58,0)+IF(AND(C8&gt;=(13-'Assumptions'!$J$59)+'Assumptions'!$AF$59,C8&lt;=12),'Revenue and costs'!N37/'Assumptions'!$J$59,0)+IF(AND(C8&gt;=(13-'Assumptions'!$J$60)+'Assumptions'!$AF$60,C8&lt;=12),'Revenue and costs'!N38/'Assumptions'!$J$60,0)+IF(AND(C8&gt;=(13-'Assumptions'!$J$61)+'Assumptions'!$AF$61,C8&lt;=12),'Revenue and costs'!N39/'Assumptions'!$J$61,0)+IF(AND(C8&gt;=(13-'Assumptions'!$J$62)+'Assumptions'!$AF$62,C8&lt;=12),'Revenue and costs'!N40/'Assumptions'!$J$62,0)+IF(AND(C8&gt;=(13-'Assumptions'!$J$63)+'Assumptions'!$AF$63,C8&lt;=12),'Revenue and costs'!N41/'Assumptions'!$J$63,0)+IF(AND(C8&gt;=(13-'Assumptions'!$J$64)+'Assumptions'!$AF$64,C8&lt;=12),'Revenue and costs'!N42/'Assumptions'!$J$64,0)+IF(AND(C8&gt;=(13-'Assumptions'!$J$65)+'Assumptions'!$AF$65,C8&lt;=12),'Revenue and costs'!N43/'Assumptions'!$J$65,0)+IF(AND(C8&gt;=(13-'Assumptions'!$J$66)+'Assumptions'!$AF$66,C8&lt;=12),'Revenue and costs'!N44/'Assumptions'!$J$66,0)+IF(AND(C8&gt;=(13-'Assumptions'!$J$67)+'Assumptions'!$AF$67,C8&lt;=12),'Revenue and costs'!N45/'Assumptions'!$J$67,0)+IF(AND(C8&gt;=(13-'Assumptions'!$J$68)+'Assumptions'!$AF$68,C8&lt;=12),'Revenue and costs'!N46/'Assumptions'!$J$68,0)+IF(AND(C8&gt;=(13-'Assumptions'!$J$69)+'Assumptions'!$AF$69,C8&lt;=12),'Revenue and costs'!N47/'Assumptions'!$J$69,0)+IF(AND(C8&gt;=(13-'Assumptions'!$J$70)+'Assumptions'!$AF$70,C8&lt;=12),'Revenue and costs'!N48/'Assumptions'!$J$70,0)+IF(AND(C8&gt;=(13-'Assumptions'!$J$71)+'Assumptions'!$AF$71,C8&lt;=12),'Revenue and costs'!N49/'Assumptions'!$J$71,0)+IF(AND(C8&gt;=(13-'Assumptions'!$J$72)+'Assumptions'!$AF$72,C8&lt;=12),'Revenue and costs'!N50/'Assumptions'!$J$72,0)+IF(AND(C8&gt;=(13-'Assumptions'!$J$73)+'Assumptions'!$AF$73,C8&lt;=12),'Revenue and costs'!N51/'Assumptions'!$J$73,0)+IF(AND(C8&gt;=(13-'Assumptions'!$J$74)+'Assumptions'!$AF$74,C8&lt;=12),'Revenue and costs'!N52/'Assumptions'!$J$74,0)+IF(AND(C8&gt;=(13-'Assumptions'!$J$75)+'Assumptions'!$AF$75,C8&lt;=12),'Revenue and costs'!N53/'Assumptions'!$J$75,0)+IF(AND(C8&gt;=(13-'Assumptions'!$J$76)+'Assumptions'!$AF$76,C8&lt;=12),'Revenue and costs'!N54/'Assumptions'!$J$76,0)+IF(AND(C8&gt;=(13-'Assumptions'!$J$77)+'Assumptions'!$AF$77,C8&lt;=12),'Revenue and costs'!N55/'Assumptions'!$J$77,0)+IF(AND(C8&gt;=(13-'Assumptions'!$J$78)+'Assumptions'!$AF$78,C8&lt;=12),'Revenue and costs'!N56/'Assumptions'!$J$78,0)+IF(AND(C8&gt;=(13-'Assumptions'!$J$79)+'Assumptions'!$AF$79,C8&lt;=12),'Revenue and costs'!N57/'Assumptions'!$J$79,0)+IF(AND(C8&gt;=(13-'Assumptions'!$J$80)+'Assumptions'!$AF$80,C8&lt;=12),'Revenue and costs'!N58/'Assumptions'!$J$80,0)+IF(AND(C8&gt;=(13-'Assumptions'!$J$81)+'Assumptions'!$AF$81,C8&lt;=12),'Revenue and costs'!N59/'Assumptions'!$J$81,0)+IF(AND(C8&gt;=(13-'Assumptions'!$J$82)+'Assumptions'!$AF$82,C8&lt;=12),'Revenue and costs'!N60/'Assumptions'!$J$82,0)+IF(AND(C8&gt;=(13-'Assumptions'!$J$83)+'Assumptions'!$AF$83,C8&lt;=12),'Revenue and costs'!N61/'Assumptions'!$J$83,0)+IF(AND(C8&gt;=(13-'Assumptions'!$J$84)+'Assumptions'!$AF$84,C8&lt;=12),'Revenue and costs'!N62/'Assumptions'!$J$84,0)+IF(AND(C8&gt;=(13-'Assumptions'!$J$85)+'Assumptions'!$AF$85,C8&lt;=12),'Revenue and costs'!N63/'Assumptions'!$J$85,0)+IF(AND(C8&gt;=(13-'Assumptions'!$J$86)+'Assumptions'!$AF$86,C8&lt;=12),'Revenue and costs'!N64/'Assumptions'!$J$86,0)+IF(AND(C8&gt;=(13-'Assumptions'!$J$87)+'Assumptions'!$AF$87,C8&lt;=12),'Revenue and costs'!N65/'Assumptions'!$J$87,0)+IF(AND(C8&gt;=(13-'Assumptions'!$J$88)+'Assumptions'!$AF$88,C8&lt;=12),'Revenue and costs'!N66/'Assumptions'!$J$88,0)+IF(AND(C8&gt;=(13-'Assumptions'!$J$89)+'Assumptions'!$AF$89,C8&lt;=12),'Revenue and costs'!N67/'Assumptions'!$J$89,0)+IF(AND(C8&gt;=(13-'Assumptions'!$J$90)+'Assumptions'!$AF$90,C8&lt;=12),'Revenue and costs'!N68/'Assumptions'!$J$90,0)+IF(AND(C8&gt;=(13-'Assumptions'!$J$91)+'Assumptions'!$AF$91,C8&lt;=12),'Revenue and costs'!N69/'Assumptions'!$J$91,0)+IF(AND(C8&gt;=(13-'Assumptions'!$J$92)+'Assumptions'!$AF$92,C8&lt;=12),'Revenue and costs'!N70/'Assumptions'!$J$92,0)+IF(AND(C8&gt;=(13-'Assumptions'!$J$93)+'Assumptions'!$AF$93,C8&lt;=12),'Revenue and costs'!N71/'Assumptions'!$J$93,0)+IF(AND(C8&gt;=(13-'Assumptions'!$J$94)+'Assumptions'!$AF$94,C8&lt;=12),'Revenue and costs'!N72/'Assumptions'!$J$94,0)+IF(AND(C8&gt;=(13-'Assumptions'!$J$95)+'Assumptions'!$AF$95,C8&lt;=12),'Revenue and costs'!N73/'Assumptions'!$J$95,0)+IF(AND(C8&gt;=(13-'Assumptions'!$J$96)+'Assumptions'!$AF$96,C8&lt;=12),'Revenue and costs'!N74/'Assumptions'!$J$96,0)+IF(AND(C8&gt;=(13-'Assumptions'!$J$97)+'Assumptions'!$AF$97,C8&lt;=12),'Revenue and costs'!N75/'Assumptions'!$J$97,0)+IF(AND(C8&gt;=(13-'Assumptions'!$J$98)+'Assumptions'!$AF$98,C8&lt;=12),'Revenue and costs'!N76/'Assumptions'!$J$98,0)+IF(AND(C8&gt;=(13-'Assumptions'!$J$99)+'Assumptions'!$AF$99,C8&lt;=12),'Revenue and costs'!N77/'Assumptions'!$J$99,0)+IF(AND(C8&gt;=(13-'Assumptions'!$J$100)+'Assumptions'!$AF$100,C8&lt;=12),'Revenue and costs'!N78/'Assumptions'!$J$100,0)+IF(AND(C8&gt;=(13-'Assumptions'!$J$101)+'Assumptions'!$AF$101,C8&lt;=12),'Revenue and costs'!N79/'Assumptions'!$J$101,0)+IF(AND(C8&gt;=(13-'Assumptions'!$J$102)+'Assumptions'!$AF$102,C8&lt;=12),'Revenue and costs'!N80/'Assumptions'!$J$102,0)+IF(AND(C8&gt;=(13-'Assumptions'!$J$103)+'Assumptions'!$AF$103,C8&lt;=12),'Revenue and costs'!N81/'Assumptions'!$J$103,0)+IF(AND(C8&gt;=(13-'Assumptions'!$J$104)+'Assumptions'!$AF$104,C8&lt;=12),'Revenue and costs'!N82/'Assumptions'!$J$104,0)+IF(AND(C8&gt;=(13-'Assumptions'!$J$105)+'Assumptions'!$AF$105,C8&lt;=12),'Revenue and costs'!N83/'Assumptions'!$J$105,0)+IF(AND(C8&gt;=(13-'Assumptions'!$J$106)+'Assumptions'!$AF$106,C8&lt;=12),'Revenue and costs'!N84/'Assumptions'!$J$106,0)+IF(AND(C8&gt;=(13-'Assumptions'!$J$107)+'Assumptions'!$AF$107,C8&lt;=12),'Revenue and costs'!N85/'Assumptions'!$J$107,0)+IF(AND(C8&gt;=(13-'Assumptions'!$J$108)+'Assumptions'!$AF$108,C8&lt;=12),'Revenue and costs'!N86/'Assumptions'!$J$108,0)+IF(AND(C8&gt;=(13-'Assumptions'!$J$109)+'Assumptions'!$AF$109,C8&lt;=12),'Revenue and costs'!N87/'Assumptions'!$J$109,0)+IF(AND(C8&gt;=(13-'Assumptions'!$J$110)+'Assumptions'!$AF$110,C8&lt;=12),'Revenue and costs'!N88/'Assumptions'!$J$110,0)+IF(AND(C8&gt;=(13-'Assumptions'!$J$111)+'Assumptions'!$AF$111,C8&lt;=12),'Revenue and costs'!N89/'Assumptions'!$J$111,0)+IF(AND(C8&gt;=(13-'Assumptions'!$J$112)+'Assumptions'!$AF$112,C8&lt;=12),'Revenue and costs'!N90/'Assumptions'!$J$112,0)+IF(AND(C8&gt;=(13-'Assumptions'!$J$113)+'Assumptions'!$AF$113,C8&lt;=12),'Revenue and costs'!N91/'Assumptions'!$J$113,0)+IF(AND(C8&gt;=(13-'Assumptions'!$J$114)+'Assumptions'!$AF$114,C8&lt;=12),'Revenue and costs'!N92/'Assumptions'!$J$114,0)+IF(AND(C8&gt;=(13-'Assumptions'!$J$115)+'Assumptions'!$AF$115,C8&lt;=12),'Revenue and costs'!N93/'Assumptions'!$J$115,0)+IF(AND(C8&gt;=(13-'Assumptions'!$J$116)+'Assumptions'!$AF$116,C8&lt;=12),'Revenue and costs'!N94/'Assumptions'!$J$116,0)+IF(AND(C8&gt;=(13-'Assumptions'!$J$117)+'Assumptions'!$AF$117,C8&lt;=12),'Revenue and costs'!N95/'Assumptions'!$J$117,0)+IF(AND(C8&gt;=(13-'Assumptions'!$J$118)+'Assumptions'!$AF$118,C8&lt;=12),'Revenue and costs'!N96/'Assumptions'!$J$118,0)+IF(AND(C8&gt;=(13-'Assumptions'!$J$119)+'Assumptions'!$AF$119,C8&lt;=12),'Revenue and costs'!N97/'Assumptions'!$J$119,0)+IF(AND(C8&gt;=(13-'Assumptions'!$J$120)+'Assumptions'!$AF$120,C8&lt;=12),'Revenue and costs'!N98/'Assumptions'!$J$120,0)+IF(AND(C8&gt;=(13-'Assumptions'!$J$121)+'Assumptions'!$AF$121,C8&lt;=12),'Revenue and costs'!N99/'Assumptions'!$J$121,0)+IF(AND(C8&gt;=(13-'Assumptions'!$J$122)+'Assumptions'!$AF$122,C8&lt;=12),'Revenue and costs'!N100/'Assumptions'!$J$122,0)+IF(AND(C8&gt;=(13-'Assumptions'!$J$123)+'Assumptions'!$AF$123,C8&lt;=12),'Revenue and costs'!N101/'Assumptions'!$J$123,0)+IF(AND(C8&gt;=(13-'Assumptions'!$J$124)+'Assumptions'!$AF$124,C8&lt;=12),'Revenue and costs'!N102/'Assumptions'!$J$124,0)+IF(AND(C8&gt;=(13-'Assumptions'!$J$125)+'Assumptions'!$AF$125,C8&lt;=12),'Revenue and costs'!N103/'Assumptions'!$J$125,0)+IF(AND(C8&gt;=(13-'Assumptions'!$J$126)+'Assumptions'!$AF$126,C8&lt;=12),'Revenue and costs'!N104/'Assumptions'!$J$126,0)+IF(AND(C8&gt;=(13-'Assumptions'!$J$127)+'Assumptions'!$AF$127,C8&lt;=12),'Revenue and costs'!N105/'Assumptions'!$J$127,0)+IF(AND(C8&gt;=(13-'Assumptions'!$J$128)+'Assumptions'!$AF$128,C8&lt;=12),'Revenue and costs'!N106/'Assumptions'!$J$128,0)+IF(AND(C8&gt;=(13-'Assumptions'!$J$129)+'Assumptions'!$AF$129,C8&lt;=12),'Revenue and costs'!N107/'Assumptions'!$J$129,0)+IF(AND(C8&gt;=(13-'Assumptions'!$J$130)+'Assumptions'!$AF$130,C8&lt;=12),'Revenue and costs'!N108/'Assumptions'!$J$130,0)+IF(AND(C8&gt;=(13-'Assumptions'!$J$131)+'Assumptions'!$AF$131,C8&lt;=12),'Revenue and costs'!N109/'Assumptions'!$J$131,0)+IF(AND(C8&gt;=(13-'Assumptions'!$J$132)+'Assumptions'!$AF$132,C8&lt;=12),'Revenue and costs'!N110/'Assumptions'!$J$132,0)+IF(AND(C8&gt;=(13-'Assumptions'!$J$133)+'Assumptions'!$AF$133,C8&lt;=12),'Revenue and costs'!N111/'Assumptions'!$J$133,0)+IF(AND(C8&gt;=(13-'Assumptions'!$J$134)+'Assumptions'!$AF$134,C8&lt;=12),'Revenue and costs'!N112/'Assumptions'!$J$134,0)+IF(AND(C8&gt;=(13-'Assumptions'!$J$135)+'Assumptions'!$AF$135,C8&lt;=12),'Revenue and costs'!N113/'Assumptions'!$J$135,0)+IF(AND(C8&gt;=(13-'Assumptions'!$J$136)+'Assumptions'!$AF$136,C8&lt;=12),'Revenue and costs'!N114/'Assumptions'!$J$136,0)+IF(AND(C8&gt;=(13-'Assumptions'!$J$137)+'Assumptions'!$AF$137,C8&lt;=12),'Revenue and costs'!N115/'Assumptions'!$J$137,0)+IF(AND(C8&gt;=(13-'Assumptions'!$J$138)+'Assumptions'!$AF$138,C8&lt;=12),'Revenue and costs'!N116/'Assumptions'!$J$138,0)+IF(AND(C8&gt;=(13-'Assumptions'!$J$139)+'Assumptions'!$AF$139,C8&lt;=12),'Revenue and costs'!N117/'Assumptions'!$J$139,0)+IF(AND(C8&gt;=(13-'Assumptions'!$J$140)+'Assumptions'!$AF$140,C8&lt;=12),'Revenue and costs'!N118/'Assumptions'!$J$140,0)+IF(AND(C8&gt;=(13-'Assumptions'!$J$141)+'Assumptions'!$AF$141,C8&lt;=12),'Revenue and costs'!N119/'Assumptions'!$J$141,0)+IF(AND(C8&gt;=(13-'Assumptions'!$J$142)+'Assumptions'!$AF$142,C8&lt;=12),'Revenue and costs'!N120/'Assumptions'!$J$142,0)+IF(AND(C8&gt;=(13-'Assumptions'!$J$143)+'Assumptions'!$AF$143,C8&lt;=12),'Revenue and costs'!N121/'Assumptions'!$J$143,0)+IF(AND(C8&gt;=(13-'Assumptions'!$J$144)+'Assumptions'!$AF$144,C8&lt;=12),'Revenue and costs'!N122/'Assumptions'!$J$144,0)+IF(AND(C8&gt;=(13-'Assumptions'!$J$145)+'Assumptions'!$AF$145,C8&lt;=12),'Revenue and costs'!N123/'Assumptions'!$J$145,0)+IF(AND(C8&gt;=(13-'Assumptions'!$J$146)+'Assumptions'!$AF$146,C8&lt;=12),'Revenue and costs'!N124/'Assumptions'!$J$146,0)+IF(AND(C8&gt;=(13-'Assumptions'!$J$147)+'Assumptions'!$AF$147,C8&lt;=12),'Revenue and costs'!N125/'Assumptions'!$J$147,0)+IF(AND(C8&gt;=(13-'Assumptions'!$J$148)+'Assumptions'!$AF$148,C8&lt;=12),'Revenue and costs'!N126/'Assumptions'!$J$148,0)+IF(AND(C8&gt;=(13-'Assumptions'!$J$149)+'Assumptions'!$AF$149,C8&lt;=12),'Revenue and costs'!N127/'Assumptions'!$J$149,0)+IF(AND(C8&gt;=(13-'Assumptions'!$J$150)+'Assumptions'!$AF$150,C8&lt;=12),'Revenue and costs'!N128/'Assumptions'!$J$150,0)+IF(AND(C8&gt;=(13-'Assumptions'!$J$151)+'Assumptions'!$AF$151,C8&lt;=12),'Revenue and costs'!N129/'Assumptions'!$J$151,0)+IF(AND(C8&gt;=(13-'Assumptions'!$J$152)+'Assumptions'!$AF$152,C8&lt;=12),'Revenue and costs'!N130/'Assumptions'!$J$152,0)+IF(AND(C8&gt;=(13-'Assumptions'!$J$153)+'Assumptions'!$AF$153,C8&lt;=12),'Revenue and costs'!N131/'Assumptions'!$J$153,0)+IF(AND(C8&gt;=(13-'Assumptions'!$J$154)+'Assumptions'!$AF$154,C8&lt;=12),'Revenue and costs'!N132/'Assumptions'!$J$154,0)+IF(AND(C8&gt;=(13-'Assumptions'!$J$155)+'Assumptions'!$AF$155,C8&lt;=12),'Revenue and costs'!N133/'Assumptions'!$J$155,0)+IF(AND(C8&gt;=(13-'Assumptions'!$J$156)+'Assumptions'!$AF$156,C8&lt;=12),'Revenue and costs'!N134/'Assumptions'!$J$156,0)+IF(AND(C8&gt;=(13-'Assumptions'!$J$157)+'Assumptions'!$AF$157,C8&lt;=12),'Revenue and costs'!N135/'Assumptions'!$J$157,0)</x:f>
        <x:v>0</x:v>
      </x:c>
      <x:c r="E8" s="10" t="n">
        <x:f>IF(AND(C8&gt;=(13-'Assumptions'!$J$30),C8&lt;=12),SUM('Revenue and costs'!O8:U8)/'Assumptions'!$J$30,0)+IF(C8=(13-'Assumptions'!$J$30)-1,'Revenue and costs'!V8+'Revenue and costs'!AE8,0)+IF(AND(C8&gt;=(13-'Assumptions'!$J$31),C8&lt;=12),SUM('Revenue and costs'!O9:U9)/'Assumptions'!$J$31,0)+IF(C8=(13-'Assumptions'!$J$31)-1,'Revenue and costs'!V9+'Revenue and costs'!AE9,0)+IF(AND(C8&gt;=(13-'Assumptions'!$J$32),C8&lt;=12),SUM('Revenue and costs'!O10:U10)/'Assumptions'!$J$32,0)+IF(C8=(13-'Assumptions'!$J$32)-1,'Revenue and costs'!V10+'Revenue and costs'!AE10,0)+IF(AND(C8&gt;=(13-'Assumptions'!$J$33),C8&lt;=12),SUM('Revenue and costs'!O11:U11)/'Assumptions'!$J$33,0)+IF(C8=(13-'Assumptions'!$J$33)-1,'Revenue and costs'!V11+'Revenue and costs'!AE11,0)+IF(AND(C8&gt;=(13-'Assumptions'!$J$34),C8&lt;=12),SUM('Revenue and costs'!O12:U12)/'Assumptions'!$J$34,0)+IF(C8=(13-'Assumptions'!$J$34)-1,'Revenue and costs'!V12+'Revenue and costs'!AE12,0)+IF(AND(C8&gt;=(13-'Assumptions'!$J$35),C8&lt;=12),SUM('Revenue and costs'!O13:U13)/'Assumptions'!$J$35,0)+IF(C8=(13-'Assumptions'!$J$35)-1,'Revenue and costs'!V13+'Revenue and costs'!AE13,0)+IF(AND(C8&gt;=(13-'Assumptions'!$J$36),C8&lt;=12),SUM('Revenue and costs'!O14:U14)/'Assumptions'!$J$36,0)+IF(C8=(13-'Assumptions'!$J$36)-1,'Revenue and costs'!V14+'Revenue and costs'!AE14,0)+IF(AND(C8&gt;=(13-'Assumptions'!$J$37),C8&lt;=12),SUM('Revenue and costs'!O15:U15)/'Assumptions'!$J$37,0)+IF(C8=(13-'Assumptions'!$J$37)-1,'Revenue and costs'!V15+'Revenue and costs'!AE15,0)+IF(AND(C8&gt;=(13-'Assumptions'!$J$38),C8&lt;=12),SUM('Revenue and costs'!O16:U16)/'Assumptions'!$J$38,0)+IF(C8=(13-'Assumptions'!$J$38)-1,'Revenue and costs'!V16+'Revenue and costs'!AE16,0)+IF(AND(C8&gt;=(13-'Assumptions'!$J$39),C8&lt;=12),SUM('Revenue and costs'!O17:U17)/'Assumptions'!$J$39,0)+IF(C8=(13-'Assumptions'!$J$39)-1,'Revenue and costs'!V17+'Revenue and costs'!AE17,0)+IF(AND(C8&gt;=(13-'Assumptions'!$J$40),C8&lt;=12),SUM('Revenue and costs'!O18:U18)/'Assumptions'!$J$40,0)+IF(C8=(13-'Assumptions'!$J$40)-1,'Revenue and costs'!V18+'Revenue and costs'!AE18,0)+IF(AND(C8&gt;=(13-'Assumptions'!$J$41),C8&lt;=12),SUM('Revenue and costs'!O19:U19)/'Assumptions'!$J$41,0)+IF(C8=(13-'Assumptions'!$J$41)-1,'Revenue and costs'!V19+'Revenue and costs'!AE19,0)+IF(AND(C8&gt;=(13-'Assumptions'!$J$42),C8&lt;=12),SUM('Revenue and costs'!O20:U20)/'Assumptions'!$J$42,0)+IF(C8=(13-'Assumptions'!$J$42)-1,'Revenue and costs'!V20+'Revenue and costs'!AE20,0)+IF(AND(C8&gt;=(13-'Assumptions'!$J$43),C8&lt;=12),SUM('Revenue and costs'!O21:U21)/'Assumptions'!$J$43,0)+IF(C8=(13-'Assumptions'!$J$43)-1,'Revenue and costs'!V21+'Revenue and costs'!AE21,0)+IF(AND(C8&gt;=(13-'Assumptions'!$J$44),C8&lt;=12),SUM('Revenue and costs'!O22:U22)/'Assumptions'!$J$44,0)+IF(C8=(13-'Assumptions'!$J$44)-1,'Revenue and costs'!V22+'Revenue and costs'!AE22,0)+IF(AND(C8&gt;=(13-'Assumptions'!$J$45),C8&lt;=12),SUM('Revenue and costs'!O23:U23)/'Assumptions'!$J$45,0)+IF(C8=(13-'Assumptions'!$J$45)-1,'Revenue and costs'!V23+'Revenue and costs'!AE23,0)+IF(AND(C8&gt;=(13-'Assumptions'!$J$46),C8&lt;=12),SUM('Revenue and costs'!O24:U24)/'Assumptions'!$J$46,0)+IF(C8=(13-'Assumptions'!$J$46)-1,'Revenue and costs'!V24+'Revenue and costs'!AE24,0)+IF(AND(C8&gt;=(13-'Assumptions'!$J$47),C8&lt;=12),SUM('Revenue and costs'!O25:U25)/'Assumptions'!$J$47,0)+IF(C8=(13-'Assumptions'!$J$47)-1,'Revenue and costs'!V25+'Revenue and costs'!AE25,0)+IF(AND(C8&gt;=(13-'Assumptions'!$J$48),C8&lt;=12),SUM('Revenue and costs'!O26:U26)/'Assumptions'!$J$48,0)+IF(C8=(13-'Assumptions'!$J$48)-1,'Revenue and costs'!V26+'Revenue and costs'!AE26,0)+IF(AND(C8&gt;=(13-'Assumptions'!$J$49),C8&lt;=12),SUM('Revenue and costs'!O27:U27)/'Assumptions'!$J$49,0)+IF(C8=(13-'Assumptions'!$J$49)-1,'Revenue and costs'!V27+'Revenue and costs'!AE27,0)+IF(AND(C8&gt;=(13-'Assumptions'!$J$50),C8&lt;=12),SUM('Revenue and costs'!O28:U28)/'Assumptions'!$J$50,0)+IF(C8=(13-'Assumptions'!$J$50)-1,'Revenue and costs'!V28+'Revenue and costs'!AE28,0)+IF(AND(C8&gt;=(13-'Assumptions'!$J$51),C8&lt;=12),SUM('Revenue and costs'!O29:U29)/'Assumptions'!$J$51,0)+IF(C8=(13-'Assumptions'!$J$51)-1,'Revenue and costs'!V29+'Revenue and costs'!AE29,0)+IF(AND(C8&gt;=(13-'Assumptions'!$J$52),C8&lt;=12),SUM('Revenue and costs'!O30:U30)/'Assumptions'!$J$52,0)+IF(C8=(13-'Assumptions'!$J$52)-1,'Revenue and costs'!V30+'Revenue and costs'!AE30,0)+IF(AND(C8&gt;=(13-'Assumptions'!$J$53),C8&lt;=12),SUM('Revenue and costs'!O31:U31)/'Assumptions'!$J$53,0)+IF(C8=(13-'Assumptions'!$J$53)-1,'Revenue and costs'!V31+'Revenue and costs'!AE31,0)+IF(AND(C8&gt;=(13-'Assumptions'!$J$54),C8&lt;=12),SUM('Revenue and costs'!O32:U32)/'Assumptions'!$J$54,0)+IF(C8=(13-'Assumptions'!$J$54)-1,'Revenue and costs'!V32+'Revenue and costs'!AE32,0)+IF(AND(C8&gt;=(13-'Assumptions'!$J$55),C8&lt;=12),SUM('Revenue and costs'!O33:U33)/'Assumptions'!$J$55,0)+IF(C8=(13-'Assumptions'!$J$55)-1,'Revenue and costs'!V33+'Revenue and costs'!AE33,0)+IF(AND(C8&gt;=(13-'Assumptions'!$J$56),C8&lt;=12),SUM('Revenue and costs'!O34:U34)/'Assumptions'!$J$56,0)+IF(C8=(13-'Assumptions'!$J$56)-1,'Revenue and costs'!V34+'Revenue and costs'!AE34,0)+IF(AND(C8&gt;=(13-'Assumptions'!$J$57),C8&lt;=12),SUM('Revenue and costs'!O35:U35)/'Assumptions'!$J$57,0)+IF(C8=(13-'Assumptions'!$J$57)-1,'Revenue and costs'!V35+'Revenue and costs'!AE35,0)+IF(AND(C8&gt;=(13-'Assumptions'!$J$58),C8&lt;=12),SUM('Revenue and costs'!O36:U36)/'Assumptions'!$J$58,0)+IF(C8=(13-'Assumptions'!$J$58)-1,'Revenue and costs'!V36+'Revenue and costs'!AE36,0)+IF(AND(C8&gt;=(13-'Assumptions'!$J$59),C8&lt;=12),SUM('Revenue and costs'!O37:U37)/'Assumptions'!$J$59,0)+IF(C8=(13-'Assumptions'!$J$59)-1,'Revenue and costs'!V37+'Revenue and costs'!AE37,0)+IF(AND(C8&gt;=(13-'Assumptions'!$J$60),C8&lt;=12),SUM('Revenue and costs'!O38:U38)/'Assumptions'!$J$60,0)+IF(C8=(13-'Assumptions'!$J$60)-1,'Revenue and costs'!V38+'Revenue and costs'!AE38,0)+IF(AND(C8&gt;=(13-'Assumptions'!$J$61),C8&lt;=12),SUM('Revenue and costs'!O39:U39)/'Assumptions'!$J$61,0)+IF(C8=(13-'Assumptions'!$J$61)-1,'Revenue and costs'!V39+'Revenue and costs'!AE39,0)+IF(AND(C8&gt;=(13-'Assumptions'!$J$62),C8&lt;=12),SUM('Revenue and costs'!O40:U40)/'Assumptions'!$J$62,0)+IF(C8=(13-'Assumptions'!$J$62)-1,'Revenue and costs'!V40+'Revenue and costs'!AE40,0)+IF(AND(C8&gt;=(13-'Assumptions'!$J$63),C8&lt;=12),SUM('Revenue and costs'!O41:U41)/'Assumptions'!$J$63,0)+IF(C8=(13-'Assumptions'!$J$63)-1,'Revenue and costs'!V41+'Revenue and costs'!AE41,0)+IF(AND(C8&gt;=(13-'Assumptions'!$J$64),C8&lt;=12),SUM('Revenue and costs'!O42:U42)/'Assumptions'!$J$64,0)+IF(C8=(13-'Assumptions'!$J$64)-1,'Revenue and costs'!V42+'Revenue and costs'!AE42,0)+IF(AND(C8&gt;=(13-'Assumptions'!$J$65),C8&lt;=12),SUM('Revenue and costs'!O43:U43)/'Assumptions'!$J$65,0)+IF(C8=(13-'Assumptions'!$J$65)-1,'Revenue and costs'!V43+'Revenue and costs'!AE43,0)+IF(AND(C8&gt;=(13-'Assumptions'!$J$66),C8&lt;=12),SUM('Revenue and costs'!O44:U44)/'Assumptions'!$J$66,0)+IF(C8=(13-'Assumptions'!$J$66)-1,'Revenue and costs'!V44+'Revenue and costs'!AE44,0)+IF(AND(C8&gt;=(13-'Assumptions'!$J$67),C8&lt;=12),SUM('Revenue and costs'!O45:U45)/'Assumptions'!$J$67,0)+IF(C8=(13-'Assumptions'!$J$67)-1,'Revenue and costs'!V45+'Revenue and costs'!AE45,0)+IF(AND(C8&gt;=(13-'Assumptions'!$J$68),C8&lt;=12),SUM('Revenue and costs'!O46:U46)/'Assumptions'!$J$68,0)+IF(C8=(13-'Assumptions'!$J$68)-1,'Revenue and costs'!V46+'Revenue and costs'!AE46,0)+IF(AND(C8&gt;=(13-'Assumptions'!$J$69),C8&lt;=12),SUM('Revenue and costs'!O47:U47)/'Assumptions'!$J$69,0)+IF(C8=(13-'Assumptions'!$J$69)-1,'Revenue and costs'!V47+'Revenue and costs'!AE47,0)+IF(AND(C8&gt;=(13-'Assumptions'!$J$70),C8&lt;=12),SUM('Revenue and costs'!O48:U48)/'Assumptions'!$J$70,0)+IF(C8=(13-'Assumptions'!$J$70)-1,'Revenue and costs'!V48+'Revenue and costs'!AE48,0)+IF(AND(C8&gt;=(13-'Assumptions'!$J$71),C8&lt;=12),SUM('Revenue and costs'!O49:U49)/'Assumptions'!$J$71,0)+IF(C8=(13-'Assumptions'!$J$71)-1,'Revenue and costs'!V49+'Revenue and costs'!AE49,0)+IF(AND(C8&gt;=(13-'Assumptions'!$J$72),C8&lt;=12),SUM('Revenue and costs'!O50:U50)/'Assumptions'!$J$72,0)+IF(C8=(13-'Assumptions'!$J$72)-1,'Revenue and costs'!V50+'Revenue and costs'!AE50,0)+IF(AND(C8&gt;=(13-'Assumptions'!$J$73),C8&lt;=12),SUM('Revenue and costs'!O51:U51)/'Assumptions'!$J$73,0)+IF(C8=(13-'Assumptions'!$J$73)-1,'Revenue and costs'!V51+'Revenue and costs'!AE51,0)+IF(AND(C8&gt;=(13-'Assumptions'!$J$74),C8&lt;=12),SUM('Revenue and costs'!O52:U52)/'Assumptions'!$J$74,0)+IF(C8=(13-'Assumptions'!$J$74)-1,'Revenue and costs'!V52+'Revenue and costs'!AE52,0)+IF(AND(C8&gt;=(13-'Assumptions'!$J$75),C8&lt;=12),SUM('Revenue and costs'!O53:U53)/'Assumptions'!$J$75,0)+IF(C8=(13-'Assumptions'!$J$75)-1,'Revenue and costs'!V53+'Revenue and costs'!AE53,0)+IF(AND(C8&gt;=(13-'Assumptions'!$J$76),C8&lt;=12),SUM('Revenue and costs'!O54:U54)/'Assumptions'!$J$76,0)+IF(C8=(13-'Assumptions'!$J$76)-1,'Revenue and costs'!V54+'Revenue and costs'!AE54,0)+IF(AND(C8&gt;=(13-'Assumptions'!$J$77),C8&lt;=12),SUM('Revenue and costs'!O55:U55)/'Assumptions'!$J$77,0)+IF(C8=(13-'Assumptions'!$J$77)-1,'Revenue and costs'!V55+'Revenue and costs'!AE55,0)+IF(AND(C8&gt;=(13-'Assumptions'!$J$78),C8&lt;=12),SUM('Revenue and costs'!O56:U56)/'Assumptions'!$J$78,0)+IF(C8=(13-'Assumptions'!$J$78)-1,'Revenue and costs'!V56+'Revenue and costs'!AE56,0)+IF(AND(C8&gt;=(13-'Assumptions'!$J$79),C8&lt;=12),SUM('Revenue and costs'!O57:U57)/'Assumptions'!$J$79,0)+IF(C8=(13-'Assumptions'!$J$79)-1,'Revenue and costs'!V57+'Revenue and costs'!AE57,0)+IF(AND(C8&gt;=(13-'Assumptions'!$J$80),C8&lt;=12),SUM('Revenue and costs'!O58:U58)/'Assumptions'!$J$80,0)+IF(C8=(13-'Assumptions'!$J$80)-1,'Revenue and costs'!V58+'Revenue and costs'!AE58,0)+IF(AND(C8&gt;=(13-'Assumptions'!$J$81),C8&lt;=12),SUM('Revenue and costs'!O59:U59)/'Assumptions'!$J$81,0)+IF(C8=(13-'Assumptions'!$J$81)-1,'Revenue and costs'!V59+'Revenue and costs'!AE59,0)+IF(AND(C8&gt;=(13-'Assumptions'!$J$82),C8&lt;=12),SUM('Revenue and costs'!O60:U60)/'Assumptions'!$J$82,0)+IF(C8=(13-'Assumptions'!$J$82)-1,'Revenue and costs'!V60+'Revenue and costs'!AE60,0)+IF(AND(C8&gt;=(13-'Assumptions'!$J$83),C8&lt;=12),SUM('Revenue and costs'!O61:U61)/'Assumptions'!$J$83,0)+IF(C8=(13-'Assumptions'!$J$83)-1,'Revenue and costs'!V61+'Revenue and costs'!AE61,0)+IF(AND(C8&gt;=(13-'Assumptions'!$J$84),C8&lt;=12),SUM('Revenue and costs'!O62:U62)/'Assumptions'!$J$84,0)+IF(C8=(13-'Assumptions'!$J$84)-1,'Revenue and costs'!V62+'Revenue and costs'!AE62,0)+IF(AND(C8&gt;=(13-'Assumptions'!$J$85),C8&lt;=12),SUM('Revenue and costs'!O63:U63)/'Assumptions'!$J$85,0)+IF(C8=(13-'Assumptions'!$J$85)-1,'Revenue and costs'!V63+'Revenue and costs'!AE63,0)+IF(AND(C8&gt;=(13-'Assumptions'!$J$86),C8&lt;=12),SUM('Revenue and costs'!O64:U64)/'Assumptions'!$J$86,0)+IF(C8=(13-'Assumptions'!$J$86)-1,'Revenue and costs'!V64+'Revenue and costs'!AE64,0)+IF(AND(C8&gt;=(13-'Assumptions'!$J$87),C8&lt;=12),SUM('Revenue and costs'!O65:U65)/'Assumptions'!$J$87,0)+IF(C8=(13-'Assumptions'!$J$87)-1,'Revenue and costs'!V65+'Revenue and costs'!AE65,0)+IF(AND(C8&gt;=(13-'Assumptions'!$J$88),C8&lt;=12),SUM('Revenue and costs'!O66:U66)/'Assumptions'!$J$88,0)+IF(C8=(13-'Assumptions'!$J$88)-1,'Revenue and costs'!V66+'Revenue and costs'!AE66,0)+IF(AND(C8&gt;=(13-'Assumptions'!$J$89),C8&lt;=12),SUM('Revenue and costs'!O67:U67)/'Assumptions'!$J$89,0)+IF(C8=(13-'Assumptions'!$J$89)-1,'Revenue and costs'!V67+'Revenue and costs'!AE67,0)+IF(AND(C8&gt;=(13-'Assumptions'!$J$90),C8&lt;=12),SUM('Revenue and costs'!O68:U68)/'Assumptions'!$J$90,0)+IF(C8=(13-'Assumptions'!$J$90)-1,'Revenue and costs'!V68+'Revenue and costs'!AE68,0)+IF(AND(C8&gt;=(13-'Assumptions'!$J$91),C8&lt;=12),SUM('Revenue and costs'!O69:U69)/'Assumptions'!$J$91,0)+IF(C8=(13-'Assumptions'!$J$91)-1,'Revenue and costs'!V69+'Revenue and costs'!AE69,0)+IF(AND(C8&gt;=(13-'Assumptions'!$J$92),C8&lt;=12),SUM('Revenue and costs'!O70:U70)/'Assumptions'!$J$92,0)+IF(C8=(13-'Assumptions'!$J$92)-1,'Revenue and costs'!V70+'Revenue and costs'!AE70,0)+IF(AND(C8&gt;=(13-'Assumptions'!$J$93),C8&lt;=12),SUM('Revenue and costs'!O71:U71)/'Assumptions'!$J$93,0)+IF(C8=(13-'Assumptions'!$J$93)-1,'Revenue and costs'!V71+'Revenue and costs'!AE71,0)+IF(AND(C8&gt;=(13-'Assumptions'!$J$94),C8&lt;=12),SUM('Revenue and costs'!O72:U72)/'Assumptions'!$J$94,0)+IF(C8=(13-'Assumptions'!$J$94)-1,'Revenue and costs'!V72+'Revenue and costs'!AE72,0)+IF(AND(C8&gt;=(13-'Assumptions'!$J$95),C8&lt;=12),SUM('Revenue and costs'!O73:U73)/'Assumptions'!$J$95,0)+IF(C8=(13-'Assumptions'!$J$95)-1,'Revenue and costs'!V73+'Revenue and costs'!AE73,0)+IF(AND(C8&gt;=(13-'Assumptions'!$J$96),C8&lt;=12),SUM('Revenue and costs'!O74:U74)/'Assumptions'!$J$96,0)+IF(C8=(13-'Assumptions'!$J$96)-1,'Revenue and costs'!V74+'Revenue and costs'!AE74,0)+IF(AND(C8&gt;=(13-'Assumptions'!$J$97),C8&lt;=12),SUM('Revenue and costs'!O75:U75)/'Assumptions'!$J$97,0)+IF(C8=(13-'Assumptions'!$J$97)-1,'Revenue and costs'!V75+'Revenue and costs'!AE75,0)+IF(AND(C8&gt;=(13-'Assumptions'!$J$98),C8&lt;=12),SUM('Revenue and costs'!O76:U76)/'Assumptions'!$J$98,0)+IF(C8=(13-'Assumptions'!$J$98)-1,'Revenue and costs'!V76+'Revenue and costs'!AE76,0)+IF(AND(C8&gt;=(13-'Assumptions'!$J$99),C8&lt;=12),SUM('Revenue and costs'!O77:U77)/'Assumptions'!$J$99,0)+IF(C8=(13-'Assumptions'!$J$99)-1,'Revenue and costs'!V77+'Revenue and costs'!AE77,0)+IF(AND(C8&gt;=(13-'Assumptions'!$J$100),C8&lt;=12),SUM('Revenue and costs'!O78:U78)/'Assumptions'!$J$100,0)+IF(C8=(13-'Assumptions'!$J$100)-1,'Revenue and costs'!V78+'Revenue and costs'!AE78,0)+IF(AND(C8&gt;=(13-'Assumptions'!$J$101),C8&lt;=12),SUM('Revenue and costs'!O79:U79)/'Assumptions'!$J$101,0)+IF(C8=(13-'Assumptions'!$J$101)-1,'Revenue and costs'!V79+'Revenue and costs'!AE79,0)+IF(AND(C8&gt;=(13-'Assumptions'!$J$102),C8&lt;=12),SUM('Revenue and costs'!O80:U80)/'Assumptions'!$J$102,0)+IF(C8=(13-'Assumptions'!$J$102)-1,'Revenue and costs'!V80+'Revenue and costs'!AE80,0)+IF(AND(C8&gt;=(13-'Assumptions'!$J$103),C8&lt;=12),SUM('Revenue and costs'!O81:U81)/'Assumptions'!$J$103,0)+IF(C8=(13-'Assumptions'!$J$103)-1,'Revenue and costs'!V81+'Revenue and costs'!AE81,0)+IF(AND(C8&gt;=(13-'Assumptions'!$J$104),C8&lt;=12),SUM('Revenue and costs'!O82:U82)/'Assumptions'!$J$104,0)+IF(C8=(13-'Assumptions'!$J$104)-1,'Revenue and costs'!V82+'Revenue and costs'!AE82,0)+IF(AND(C8&gt;=(13-'Assumptions'!$J$105),C8&lt;=12),SUM('Revenue and costs'!O83:U83)/'Assumptions'!$J$105,0)+IF(C8=(13-'Assumptions'!$J$105)-1,'Revenue and costs'!V83+'Revenue and costs'!AE83,0)+IF(AND(C8&gt;=(13-'Assumptions'!$J$106),C8&lt;=12),SUM('Revenue and costs'!O84:U84)/'Assumptions'!$J$106,0)+IF(C8=(13-'Assumptions'!$J$106)-1,'Revenue and costs'!V84+'Revenue and costs'!AE84,0)+IF(AND(C8&gt;=(13-'Assumptions'!$J$107),C8&lt;=12),SUM('Revenue and costs'!O85:U85)/'Assumptions'!$J$107,0)+IF(C8=(13-'Assumptions'!$J$107)-1,'Revenue and costs'!V85+'Revenue and costs'!AE85,0)+IF(AND(C8&gt;=(13-'Assumptions'!$J$108),C8&lt;=12),SUM('Revenue and costs'!O86:U86)/'Assumptions'!$J$108,0)+IF(C8=(13-'Assumptions'!$J$108)-1,'Revenue and costs'!V86+'Revenue and costs'!AE86,0)+IF(AND(C8&gt;=(13-'Assumptions'!$J$109),C8&lt;=12),SUM('Revenue and costs'!O87:U87)/'Assumptions'!$J$109,0)+IF(C8=(13-'Assumptions'!$J$109)-1,'Revenue and costs'!V87+'Revenue and costs'!AE87,0)+IF(AND(C8&gt;=(13-'Assumptions'!$J$110),C8&lt;=12),SUM('Revenue and costs'!O88:U88)/'Assumptions'!$J$110,0)+IF(C8=(13-'Assumptions'!$J$110)-1,'Revenue and costs'!V88+'Revenue and costs'!AE88,0)+IF(AND(C8&gt;=(13-'Assumptions'!$J$111),C8&lt;=12),SUM('Revenue and costs'!O89:U89)/'Assumptions'!$J$111,0)+IF(C8=(13-'Assumptions'!$J$111)-1,'Revenue and costs'!V89+'Revenue and costs'!AE89,0)+IF(AND(C8&gt;=(13-'Assumptions'!$J$112),C8&lt;=12),SUM('Revenue and costs'!O90:U90)/'Assumptions'!$J$112,0)+IF(C8=(13-'Assumptions'!$J$112)-1,'Revenue and costs'!V90+'Revenue and costs'!AE90,0)+IF(AND(C8&gt;=(13-'Assumptions'!$J$113),C8&lt;=12),SUM('Revenue and costs'!O91:U91)/'Assumptions'!$J$113,0)+IF(C8=(13-'Assumptions'!$J$113)-1,'Revenue and costs'!V91+'Revenue and costs'!AE91,0)+IF(AND(C8&gt;=(13-'Assumptions'!$J$114),C8&lt;=12),SUM('Revenue and costs'!O92:U92)/'Assumptions'!$J$114,0)+IF(C8=(13-'Assumptions'!$J$114)-1,'Revenue and costs'!V92+'Revenue and costs'!AE92,0)+IF(AND(C8&gt;=(13-'Assumptions'!$J$115),C8&lt;=12),SUM('Revenue and costs'!O93:U93)/'Assumptions'!$J$115,0)+IF(C8=(13-'Assumptions'!$J$115)-1,'Revenue and costs'!V93+'Revenue and costs'!AE93,0)+IF(AND(C8&gt;=(13-'Assumptions'!$J$116),C8&lt;=12),SUM('Revenue and costs'!O94:U94)/'Assumptions'!$J$116,0)+IF(C8=(13-'Assumptions'!$J$116)-1,'Revenue and costs'!V94+'Revenue and costs'!AE94,0)+IF(AND(C8&gt;=(13-'Assumptions'!$J$117),C8&lt;=12),SUM('Revenue and costs'!O95:U95)/'Assumptions'!$J$117,0)+IF(C8=(13-'Assumptions'!$J$117)-1,'Revenue and costs'!V95+'Revenue and costs'!AE95,0)+IF(AND(C8&gt;=(13-'Assumptions'!$J$118),C8&lt;=12),SUM('Revenue and costs'!O96:U96)/'Assumptions'!$J$118,0)+IF(C8=(13-'Assumptions'!$J$118)-1,'Revenue and costs'!V96+'Revenue and costs'!AE96,0)+IF(AND(C8&gt;=(13-'Assumptions'!$J$119),C8&lt;=12),SUM('Revenue and costs'!O97:U97)/'Assumptions'!$J$119,0)+IF(C8=(13-'Assumptions'!$J$119)-1,'Revenue and costs'!V97+'Revenue and costs'!AE97,0)+IF(AND(C8&gt;=(13-'Assumptions'!$J$120),C8&lt;=12),SUM('Revenue and costs'!O98:U98)/'Assumptions'!$J$120,0)+IF(C8=(13-'Assumptions'!$J$120)-1,'Revenue and costs'!V98+'Revenue and costs'!AE98,0)+IF(AND(C8&gt;=(13-'Assumptions'!$J$121),C8&lt;=12),SUM('Revenue and costs'!O99:U99)/'Assumptions'!$J$121,0)+IF(C8=(13-'Assumptions'!$J$121)-1,'Revenue and costs'!V99+'Revenue and costs'!AE99,0)+IF(AND(C8&gt;=(13-'Assumptions'!$J$122),C8&lt;=12),SUM('Revenue and costs'!O100:U100)/'Assumptions'!$J$122,0)+IF(C8=(13-'Assumptions'!$J$122)-1,'Revenue and costs'!V100+'Revenue and costs'!AE100,0)+IF(AND(C8&gt;=(13-'Assumptions'!$J$123),C8&lt;=12),SUM('Revenue and costs'!O101:U101)/'Assumptions'!$J$123,0)+IF(C8=(13-'Assumptions'!$J$123)-1,'Revenue and costs'!V101+'Revenue and costs'!AE101,0)+IF(AND(C8&gt;=(13-'Assumptions'!$J$124),C8&lt;=12),SUM('Revenue and costs'!O102:U102)/'Assumptions'!$J$124,0)+IF(C8=(13-'Assumptions'!$J$124)-1,'Revenue and costs'!V102+'Revenue and costs'!AE102,0)+IF(AND(C8&gt;=(13-'Assumptions'!$J$125),C8&lt;=12),SUM('Revenue and costs'!O103:U103)/'Assumptions'!$J$125,0)+IF(C8=(13-'Assumptions'!$J$125)-1,'Revenue and costs'!V103+'Revenue and costs'!AE103,0)+IF(AND(C8&gt;=(13-'Assumptions'!$J$126),C8&lt;=12),SUM('Revenue and costs'!O104:U104)/'Assumptions'!$J$126,0)+IF(C8=(13-'Assumptions'!$J$126)-1,'Revenue and costs'!V104+'Revenue and costs'!AE104,0)+IF(AND(C8&gt;=(13-'Assumptions'!$J$127),C8&lt;=12),SUM('Revenue and costs'!O105:U105)/'Assumptions'!$J$127,0)+IF(C8=(13-'Assumptions'!$J$127)-1,'Revenue and costs'!V105+'Revenue and costs'!AE105,0)+IF(AND(C8&gt;=(13-'Assumptions'!$J$128),C8&lt;=12),SUM('Revenue and costs'!O106:U106)/'Assumptions'!$J$128,0)+IF(C8=(13-'Assumptions'!$J$128)-1,'Revenue and costs'!V106+'Revenue and costs'!AE106,0)+IF(AND(C8&gt;=(13-'Assumptions'!$J$129),C8&lt;=12),SUM('Revenue and costs'!O107:U107)/'Assumptions'!$J$129,0)+IF(C8=(13-'Assumptions'!$J$129)-1,'Revenue and costs'!V107+'Revenue and costs'!AE107,0)+IF(AND(C8&gt;=(13-'Assumptions'!$J$130),C8&lt;=12),SUM('Revenue and costs'!O108:U108)/'Assumptions'!$J$130,0)+IF(C8=(13-'Assumptions'!$J$130)-1,'Revenue and costs'!V108+'Revenue and costs'!AE108,0)+IF(AND(C8&gt;=(13-'Assumptions'!$J$131),C8&lt;=12),SUM('Revenue and costs'!O109:U109)/'Assumptions'!$J$131,0)+IF(C8=(13-'Assumptions'!$J$131)-1,'Revenue and costs'!V109+'Revenue and costs'!AE109,0)+IF(AND(C8&gt;=(13-'Assumptions'!$J$132),C8&lt;=12),SUM('Revenue and costs'!O110:U110)/'Assumptions'!$J$132,0)+IF(C8=(13-'Assumptions'!$J$132)-1,'Revenue and costs'!V110+'Revenue and costs'!AE110,0)+IF(AND(C8&gt;=(13-'Assumptions'!$J$133),C8&lt;=12),SUM('Revenue and costs'!O111:U111)/'Assumptions'!$J$133,0)+IF(C8=(13-'Assumptions'!$J$133)-1,'Revenue and costs'!V111+'Revenue and costs'!AE111,0)+IF(AND(C8&gt;=(13-'Assumptions'!$J$134),C8&lt;=12),SUM('Revenue and costs'!O112:U112)/'Assumptions'!$J$134,0)+IF(C8=(13-'Assumptions'!$J$134)-1,'Revenue and costs'!V112+'Revenue and costs'!AE112,0)+IF(AND(C8&gt;=(13-'Assumptions'!$J$135),C8&lt;=12),SUM('Revenue and costs'!O113:U113)/'Assumptions'!$J$135,0)+IF(C8=(13-'Assumptions'!$J$135)-1,'Revenue and costs'!V113+'Revenue and costs'!AE113,0)+IF(AND(C8&gt;=(13-'Assumptions'!$J$136),C8&lt;=12),SUM('Revenue and costs'!O114:U114)/'Assumptions'!$J$136,0)+IF(C8=(13-'Assumptions'!$J$136)-1,'Revenue and costs'!V114+'Revenue and costs'!AE114,0)+IF(AND(C8&gt;=(13-'Assumptions'!$J$137),C8&lt;=12),SUM('Revenue and costs'!O115:U115)/'Assumptions'!$J$137,0)+IF(C8=(13-'Assumptions'!$J$137)-1,'Revenue and costs'!V115+'Revenue and costs'!AE115,0)+IF(AND(C8&gt;=(13-'Assumptions'!$J$138),C8&lt;=12),SUM('Revenue and costs'!O116:U116)/'Assumptions'!$J$138,0)+IF(C8=(13-'Assumptions'!$J$138)-1,'Revenue and costs'!V116+'Revenue and costs'!AE116,0)+IF(AND(C8&gt;=(13-'Assumptions'!$J$139),C8&lt;=12),SUM('Revenue and costs'!O117:U117)/'Assumptions'!$J$139,0)+IF(C8=(13-'Assumptions'!$J$139)-1,'Revenue and costs'!V117+'Revenue and costs'!AE117,0)+IF(AND(C8&gt;=(13-'Assumptions'!$J$140),C8&lt;=12),SUM('Revenue and costs'!O118:U118)/'Assumptions'!$J$140,0)+IF(C8=(13-'Assumptions'!$J$140)-1,'Revenue and costs'!V118+'Revenue and costs'!AE118,0)+IF(AND(C8&gt;=(13-'Assumptions'!$J$141),C8&lt;=12),SUM('Revenue and costs'!O119:U119)/'Assumptions'!$J$141,0)+IF(C8=(13-'Assumptions'!$J$141)-1,'Revenue and costs'!V119+'Revenue and costs'!AE119,0)+IF(AND(C8&gt;=(13-'Assumptions'!$J$142),C8&lt;=12),SUM('Revenue and costs'!O120:U120)/'Assumptions'!$J$142,0)+IF(C8=(13-'Assumptions'!$J$142)-1,'Revenue and costs'!V120+'Revenue and costs'!AE120,0)+IF(AND(C8&gt;=(13-'Assumptions'!$J$143),C8&lt;=12),SUM('Revenue and costs'!O121:U121)/'Assumptions'!$J$143,0)+IF(C8=(13-'Assumptions'!$J$143)-1,'Revenue and costs'!V121+'Revenue and costs'!AE121,0)+IF(AND(C8&gt;=(13-'Assumptions'!$J$144),C8&lt;=12),SUM('Revenue and costs'!O122:U122)/'Assumptions'!$J$144,0)+IF(C8=(13-'Assumptions'!$J$144)-1,'Revenue and costs'!V122+'Revenue and costs'!AE122,0)+IF(AND(C8&gt;=(13-'Assumptions'!$J$145),C8&lt;=12),SUM('Revenue and costs'!O123:U123)/'Assumptions'!$J$145,0)+IF(C8=(13-'Assumptions'!$J$145)-1,'Revenue and costs'!V123+'Revenue and costs'!AE123,0)+IF(AND(C8&gt;=(13-'Assumptions'!$J$146),C8&lt;=12),SUM('Revenue and costs'!O124:U124)/'Assumptions'!$J$146,0)+IF(C8=(13-'Assumptions'!$J$146)-1,'Revenue and costs'!V124+'Revenue and costs'!AE124,0)+IF(AND(C8&gt;=(13-'Assumptions'!$J$147),C8&lt;=12),SUM('Revenue and costs'!O125:U125)/'Assumptions'!$J$147,0)+IF(C8=(13-'Assumptions'!$J$147)-1,'Revenue and costs'!V125+'Revenue and costs'!AE125,0)+IF(AND(C8&gt;=(13-'Assumptions'!$J$148),C8&lt;=12),SUM('Revenue and costs'!O126:U126)/'Assumptions'!$J$148,0)+IF(C8=(13-'Assumptions'!$J$148)-1,'Revenue and costs'!V126+'Revenue and costs'!AE126,0)+IF(AND(C8&gt;=(13-'Assumptions'!$J$149),C8&lt;=12),SUM('Revenue and costs'!O127:U127)/'Assumptions'!$J$149,0)+IF(C8=(13-'Assumptions'!$J$149)-1,'Revenue and costs'!V127+'Revenue and costs'!AE127,0)+IF(AND(C8&gt;=(13-'Assumptions'!$J$150),C8&lt;=12),SUM('Revenue and costs'!O128:U128)/'Assumptions'!$J$150,0)+IF(C8=(13-'Assumptions'!$J$150)-1,'Revenue and costs'!V128+'Revenue and costs'!AE128,0)+IF(AND(C8&gt;=(13-'Assumptions'!$J$151),C8&lt;=12),SUM('Revenue and costs'!O129:U129)/'Assumptions'!$J$151,0)+IF(C8=(13-'Assumptions'!$J$151)-1,'Revenue and costs'!V129+'Revenue and costs'!AE129,0)+IF(AND(C8&gt;=(13-'Assumptions'!$J$152),C8&lt;=12),SUM('Revenue and costs'!O130:U130)/'Assumptions'!$J$152,0)+IF(C8=(13-'Assumptions'!$J$152)-1,'Revenue and costs'!V130+'Revenue and costs'!AE130,0)+IF(AND(C8&gt;=(13-'Assumptions'!$J$153),C8&lt;=12),SUM('Revenue and costs'!O131:U131)/'Assumptions'!$J$153,0)+IF(C8=(13-'Assumptions'!$J$153)-1,'Revenue and costs'!V131+'Revenue and costs'!AE131,0)+IF(AND(C8&gt;=(13-'Assumptions'!$J$154),C8&lt;=12),SUM('Revenue and costs'!O132:U132)/'Assumptions'!$J$154,0)+IF(C8=(13-'Assumptions'!$J$154)-1,'Revenue and costs'!V132+'Revenue and costs'!AE132,0)+IF(AND(C8&gt;=(13-'Assumptions'!$J$155),C8&lt;=12),SUM('Revenue and costs'!O133:U133)/'Assumptions'!$J$155,0)+IF(C8=(13-'Assumptions'!$J$155)-1,'Revenue and costs'!V133+'Revenue and costs'!AE133,0)+IF(AND(C8&gt;=(13-'Assumptions'!$J$156),C8&lt;=12),SUM('Revenue and costs'!O134:U134)/'Assumptions'!$J$156,0)+IF(C8=(13-'Assumptions'!$J$156)-1,'Revenue and costs'!V134+'Revenue and costs'!AE134,0)+IF(AND(C8&gt;=(13-'Assumptions'!$J$157),C8&lt;=12),SUM('Revenue and costs'!O135:U135)/'Assumptions'!$J$157,0)+IF(C8=(13-'Assumptions'!$J$157)-1,'Revenue and costs'!V135+'Revenue and costs'!AE135,0)+IF(C8&gt;0,'Shared costs'!H21/12+'Assumptions'!$D$18*'Assumptions'!$D$19*'Assumptions'!$D$21,0)</x:f>
        <x:v>0</x:v>
      </x:c>
      <x:c r="F8" s="10" t="n">
        <x:f>IF(C8=12,'Income statement'!D85,0)</x:f>
        <x:v>0</x:v>
      </x:c>
      <x:c r="G8" s="10" t="n">
        <x:f>IF(C8=(13-'Assumptions'!$J$30)-1,'Revenue and costs'!Y8,0)+IF(C8=(13-'Assumptions'!$J$31)-1,'Revenue and costs'!Y9,0)+IF(C8=(13-'Assumptions'!$J$32)-1,'Revenue and costs'!Y10,0)+IF(C8=(13-'Assumptions'!$J$33)-1,'Revenue and costs'!Y11,0)+IF(C8=(13-'Assumptions'!$J$34)-1,'Revenue and costs'!Y12,0)+IF(C8=(13-'Assumptions'!$J$35)-1,'Revenue and costs'!Y13,0)+IF(C8=(13-'Assumptions'!$J$36)-1,'Revenue and costs'!Y14,0)+IF(C8=(13-'Assumptions'!$J$37)-1,'Revenue and costs'!Y15,0)+IF(C8=(13-'Assumptions'!$J$38)-1,'Revenue and costs'!Y16,0)+IF(C8=(13-'Assumptions'!$J$39)-1,'Revenue and costs'!Y17,0)+IF(C8=(13-'Assumptions'!$J$40)-1,'Revenue and costs'!Y18,0)+IF(C8=(13-'Assumptions'!$J$41)-1,'Revenue and costs'!Y19,0)+IF(C8=(13-'Assumptions'!$J$42)-1,'Revenue and costs'!Y20,0)+IF(C8=(13-'Assumptions'!$J$43)-1,'Revenue and costs'!Y21,0)+IF(C8=(13-'Assumptions'!$J$44)-1,'Revenue and costs'!Y22,0)+IF(C8=(13-'Assumptions'!$J$45)-1,'Revenue and costs'!Y23,0)+IF(C8=(13-'Assumptions'!$J$46)-1,'Revenue and costs'!Y24,0)+IF(C8=(13-'Assumptions'!$J$47)-1,'Revenue and costs'!Y25,0)+IF(C8=(13-'Assumptions'!$J$48)-1,'Revenue and costs'!Y26,0)+IF(C8=(13-'Assumptions'!$J$49)-1,'Revenue and costs'!Y27,0)+IF(C8=(13-'Assumptions'!$J$50)-1,'Revenue and costs'!Y28,0)+IF(C8=(13-'Assumptions'!$J$51)-1,'Revenue and costs'!Y29,0)+IF(C8=(13-'Assumptions'!$J$52)-1,'Revenue and costs'!Y30,0)+IF(C8=(13-'Assumptions'!$J$53)-1,'Revenue and costs'!Y31,0)+IF(C8=(13-'Assumptions'!$J$54)-1,'Revenue and costs'!Y32,0)+IF(C8=(13-'Assumptions'!$J$55)-1,'Revenue and costs'!Y33,0)+IF(C8=(13-'Assumptions'!$J$56)-1,'Revenue and costs'!Y34,0)+IF(C8=(13-'Assumptions'!$J$57)-1,'Revenue and costs'!Y35,0)+IF(C8=(13-'Assumptions'!$J$58)-1,'Revenue and costs'!Y36,0)+IF(C8=(13-'Assumptions'!$J$59)-1,'Revenue and costs'!Y37,0)+IF(C8=(13-'Assumptions'!$J$60)-1,'Revenue and costs'!Y38,0)+IF(C8=(13-'Assumptions'!$J$61)-1,'Revenue and costs'!Y39,0)+IF(C8=(13-'Assumptions'!$J$62)-1,'Revenue and costs'!Y40,0)+IF(C8=(13-'Assumptions'!$J$63)-1,'Revenue and costs'!Y41,0)+IF(C8=(13-'Assumptions'!$J$64)-1,'Revenue and costs'!Y42,0)+IF(C8=(13-'Assumptions'!$J$65)-1,'Revenue and costs'!Y43,0)+IF(C8=(13-'Assumptions'!$J$66)-1,'Revenue and costs'!Y44,0)+IF(C8=(13-'Assumptions'!$J$67)-1,'Revenue and costs'!Y45,0)+IF(C8=(13-'Assumptions'!$J$68)-1,'Revenue and costs'!Y46,0)+IF(C8=(13-'Assumptions'!$J$69)-1,'Revenue and costs'!Y47,0)+IF(C8=(13-'Assumptions'!$J$70)-1,'Revenue and costs'!Y48,0)+IF(C8=(13-'Assumptions'!$J$71)-1,'Revenue and costs'!Y49,0)+IF(C8=(13-'Assumptions'!$J$72)-1,'Revenue and costs'!Y50,0)+IF(C8=(13-'Assumptions'!$J$73)-1,'Revenue and costs'!Y51,0)+IF(C8=(13-'Assumptions'!$J$74)-1,'Revenue and costs'!Y52,0)+IF(C8=(13-'Assumptions'!$J$75)-1,'Revenue and costs'!Y53,0)+IF(C8=(13-'Assumptions'!$J$76)-1,'Revenue and costs'!Y54,0)+IF(C8=(13-'Assumptions'!$J$77)-1,'Revenue and costs'!Y55,0)+IF(C8=(13-'Assumptions'!$J$78)-1,'Revenue and costs'!Y56,0)+IF(C8=(13-'Assumptions'!$J$79)-1,'Revenue and costs'!Y57,0)+IF(C8=(13-'Assumptions'!$J$80)-1,'Revenue and costs'!Y58,0)+IF(C8=(13-'Assumptions'!$J$81)-1,'Revenue and costs'!Y59,0)+IF(C8=(13-'Assumptions'!$J$82)-1,'Revenue and costs'!Y60,0)+IF(C8=(13-'Assumptions'!$J$83)-1,'Revenue and costs'!Y61,0)+IF(C8=(13-'Assumptions'!$J$84)-1,'Revenue and costs'!Y62,0)+IF(C8=(13-'Assumptions'!$J$85)-1,'Revenue and costs'!Y63,0)+IF(C8=(13-'Assumptions'!$J$86)-1,'Revenue and costs'!Y64,0)+IF(C8=(13-'Assumptions'!$J$87)-1,'Revenue and costs'!Y65,0)+IF(C8=(13-'Assumptions'!$J$88)-1,'Revenue and costs'!Y66,0)+IF(C8=(13-'Assumptions'!$J$89)-1,'Revenue and costs'!Y67,0)+IF(C8=(13-'Assumptions'!$J$90)-1,'Revenue and costs'!Y68,0)+IF(C8=(13-'Assumptions'!$J$91)-1,'Revenue and costs'!Y69,0)+IF(C8=(13-'Assumptions'!$J$92)-1,'Revenue and costs'!Y70,0)+IF(C8=(13-'Assumptions'!$J$93)-1,'Revenue and costs'!Y71,0)+IF(C8=(13-'Assumptions'!$J$94)-1,'Revenue and costs'!Y72,0)+IF(C8=(13-'Assumptions'!$J$95)-1,'Revenue and costs'!Y73,0)+IF(C8=(13-'Assumptions'!$J$96)-1,'Revenue and costs'!Y74,0)+IF(C8=(13-'Assumptions'!$J$97)-1,'Revenue and costs'!Y75,0)+IF(C8=(13-'Assumptions'!$J$98)-1,'Revenue and costs'!Y76,0)+IF(C8=(13-'Assumptions'!$J$99)-1,'Revenue and costs'!Y77,0)+IF(C8=(13-'Assumptions'!$J$100)-1,'Revenue and costs'!Y78,0)+IF(C8=(13-'Assumptions'!$J$101)-1,'Revenue and costs'!Y79,0)+IF(C8=(13-'Assumptions'!$J$102)-1,'Revenue and costs'!Y80,0)+IF(C8=(13-'Assumptions'!$J$103)-1,'Revenue and costs'!Y81,0)+IF(C8=(13-'Assumptions'!$J$104)-1,'Revenue and costs'!Y82,0)+IF(C8=(13-'Assumptions'!$J$105)-1,'Revenue and costs'!Y83,0)+IF(C8=(13-'Assumptions'!$J$106)-1,'Revenue and costs'!Y84,0)+IF(C8=(13-'Assumptions'!$J$107)-1,'Revenue and costs'!Y85,0)+IF(C8=(13-'Assumptions'!$J$108)-1,'Revenue and costs'!Y86,0)+IF(C8=(13-'Assumptions'!$J$109)-1,'Revenue and costs'!Y87,0)+IF(C8=(13-'Assumptions'!$J$110)-1,'Revenue and costs'!Y88,0)+IF(C8=(13-'Assumptions'!$J$111)-1,'Revenue and costs'!Y89,0)+IF(C8=(13-'Assumptions'!$J$112)-1,'Revenue and costs'!Y90,0)+IF(C8=(13-'Assumptions'!$J$113)-1,'Revenue and costs'!Y91,0)+IF(C8=(13-'Assumptions'!$J$114)-1,'Revenue and costs'!Y92,0)+IF(C8=(13-'Assumptions'!$J$115)-1,'Revenue and costs'!Y93,0)+IF(C8=(13-'Assumptions'!$J$116)-1,'Revenue and costs'!Y94,0)+IF(C8=(13-'Assumptions'!$J$117)-1,'Revenue and costs'!Y95,0)+IF(C8=(13-'Assumptions'!$J$118)-1,'Revenue and costs'!Y96,0)+IF(C8=(13-'Assumptions'!$J$119)-1,'Revenue and costs'!Y97,0)+IF(C8=(13-'Assumptions'!$J$120)-1,'Revenue and costs'!Y98,0)+IF(C8=(13-'Assumptions'!$J$121)-1,'Revenue and costs'!Y99,0)+IF(C8=(13-'Assumptions'!$J$122)-1,'Revenue and costs'!Y100,0)+IF(C8=(13-'Assumptions'!$J$123)-1,'Revenue and costs'!Y101,0)+IF(C8=(13-'Assumptions'!$J$124)-1,'Revenue and costs'!Y102,0)+IF(C8=(13-'Assumptions'!$J$125)-1,'Revenue and costs'!Y103,0)+IF(C8=(13-'Assumptions'!$J$126)-1,'Revenue and costs'!Y104,0)+IF(C8=(13-'Assumptions'!$J$127)-1,'Revenue and costs'!Y105,0)+IF(C8=(13-'Assumptions'!$J$128)-1,'Revenue and costs'!Y106,0)+IF(C8=(13-'Assumptions'!$J$129)-1,'Revenue and costs'!Y107,0)+IF(C8=(13-'Assumptions'!$J$130)-1,'Revenue and costs'!Y108,0)+IF(C8=(13-'Assumptions'!$J$131)-1,'Revenue and costs'!Y109,0)+IF(C8=(13-'Assumptions'!$J$132)-1,'Revenue and costs'!Y110,0)+IF(C8=(13-'Assumptions'!$J$133)-1,'Revenue and costs'!Y111,0)+IF(C8=(13-'Assumptions'!$J$134)-1,'Revenue and costs'!Y112,0)+IF(C8=(13-'Assumptions'!$J$135)-1,'Revenue and costs'!Y113,0)+IF(C8=(13-'Assumptions'!$J$136)-1,'Revenue and costs'!Y114,0)+IF(C8=(13-'Assumptions'!$J$137)-1,'Revenue and costs'!Y115,0)+IF(C8=(13-'Assumptions'!$J$138)-1,'Revenue and costs'!Y116,0)+IF(C8=(13-'Assumptions'!$J$139)-1,'Revenue and costs'!Y117,0)+IF(C8=(13-'Assumptions'!$J$140)-1,'Revenue and costs'!Y118,0)+IF(C8=(13-'Assumptions'!$J$141)-1,'Revenue and costs'!Y119,0)+IF(C8=(13-'Assumptions'!$J$142)-1,'Revenue and costs'!Y120,0)+IF(C8=(13-'Assumptions'!$J$143)-1,'Revenue and costs'!Y121,0)+IF(C8=(13-'Assumptions'!$J$144)-1,'Revenue and costs'!Y122,0)+IF(C8=(13-'Assumptions'!$J$145)-1,'Revenue and costs'!Y123,0)+IF(C8=(13-'Assumptions'!$J$146)-1,'Revenue and costs'!Y124,0)+IF(C8=(13-'Assumptions'!$J$147)-1,'Revenue and costs'!Y125,0)+IF(C8=(13-'Assumptions'!$J$148)-1,'Revenue and costs'!Y126,0)+IF(C8=(13-'Assumptions'!$J$149)-1,'Revenue and costs'!Y127,0)+IF(C8=(13-'Assumptions'!$J$150)-1,'Revenue and costs'!Y128,0)+IF(C8=(13-'Assumptions'!$J$151)-1,'Revenue and costs'!Y129,0)+IF(C8=(13-'Assumptions'!$J$152)-1,'Revenue and costs'!Y130,0)+IF(C8=(13-'Assumptions'!$J$153)-1,'Revenue and costs'!Y131,0)+IF(C8=(13-'Assumptions'!$J$154)-1,'Revenue and costs'!Y132,0)+IF(C8=(13-'Assumptions'!$J$155)-1,'Revenue and costs'!Y133,0)+IF(C8=(13-'Assumptions'!$J$156)-1,'Revenue and costs'!Y134,0)+IF(C8=(13-'Assumptions'!$J$157)-1,'Revenue and costs'!Y135,0)</x:f>
        <x:v>83.33333333333334</x:v>
      </x:c>
      <x:c r="H8" s="10" t="n">
        <x:f>IF(C8=0,'Cash and capital'!D13,0)</x:f>
        <x:v>1500</x:v>
      </x:c>
      <x:c r="I8" s="10" t="n">
        <x:f>D8-E8-F8-G8-H8</x:f>
        <x:v>-1583.3333333333333</x:v>
      </x:c>
      <x:c r="J8" s="10" t="n">
        <x:f>I8</x:f>
        <x:v>-1583.3333333333333</x:v>
      </x:c>
      <x:c r="K8" s="10" t="n">
        <x:f>MAX(0,-MIN($J$8:J8))</x:f>
        <x:v>1583.3333333333333</x:v>
      </x:c>
      <x:c r="L8" s="10"/>
      <x:c r="M8" s="10"/>
      <x:c r="N8" s="10"/>
      <x:c r="O8" s="10"/>
      <x:c r="P8" s="10"/>
      <x:c r="Q8" s="10"/>
    </x:row>
    <x:row r="9" ht="16" customHeight="1">
      <x:c r="A9" s="1"/>
      <x:c r="B9" s="1"/>
      <x:c r="C9" s="1" t="n">
        <x:v>1</x:v>
      </x:c>
      <x:c r="D9" s="10" t="n">
        <x:f>IF(AND(C9&gt;=(13-'Assumptions'!$J$30)+'Assumptions'!$AF$30,C9&lt;=12),'Revenue and costs'!N8/'Assumptions'!$J$30,0)+IF(AND(C9&gt;=(13-'Assumptions'!$J$31)+'Assumptions'!$AF$31,C9&lt;=12),'Revenue and costs'!N9/'Assumptions'!$J$31,0)+IF(AND(C9&gt;=(13-'Assumptions'!$J$32)+'Assumptions'!$AF$32,C9&lt;=12),'Revenue and costs'!N10/'Assumptions'!$J$32,0)+IF(AND(C9&gt;=(13-'Assumptions'!$J$33)+'Assumptions'!$AF$33,C9&lt;=12),'Revenue and costs'!N11/'Assumptions'!$J$33,0)+IF(AND(C9&gt;=(13-'Assumptions'!$J$34)+'Assumptions'!$AF$34,C9&lt;=12),'Revenue and costs'!N12/'Assumptions'!$J$34,0)+IF(AND(C9&gt;=(13-'Assumptions'!$J$35)+'Assumptions'!$AF$35,C9&lt;=12),'Revenue and costs'!N13/'Assumptions'!$J$35,0)+IF(AND(C9&gt;=(13-'Assumptions'!$J$36)+'Assumptions'!$AF$36,C9&lt;=12),'Revenue and costs'!N14/'Assumptions'!$J$36,0)+IF(AND(C9&gt;=(13-'Assumptions'!$J$37)+'Assumptions'!$AF$37,C9&lt;=12),'Revenue and costs'!N15/'Assumptions'!$J$37,0)+IF(AND(C9&gt;=(13-'Assumptions'!$J$38)+'Assumptions'!$AF$38,C9&lt;=12),'Revenue and costs'!N16/'Assumptions'!$J$38,0)+IF(AND(C9&gt;=(13-'Assumptions'!$J$39)+'Assumptions'!$AF$39,C9&lt;=12),'Revenue and costs'!N17/'Assumptions'!$J$39,0)+IF(AND(C9&gt;=(13-'Assumptions'!$J$40)+'Assumptions'!$AF$40,C9&lt;=12),'Revenue and costs'!N18/'Assumptions'!$J$40,0)+IF(AND(C9&gt;=(13-'Assumptions'!$J$41)+'Assumptions'!$AF$41,C9&lt;=12),'Revenue and costs'!N19/'Assumptions'!$J$41,0)+IF(AND(C9&gt;=(13-'Assumptions'!$J$42)+'Assumptions'!$AF$42,C9&lt;=12),'Revenue and costs'!N20/'Assumptions'!$J$42,0)+IF(AND(C9&gt;=(13-'Assumptions'!$J$43)+'Assumptions'!$AF$43,C9&lt;=12),'Revenue and costs'!N21/'Assumptions'!$J$43,0)+IF(AND(C9&gt;=(13-'Assumptions'!$J$44)+'Assumptions'!$AF$44,C9&lt;=12),'Revenue and costs'!N22/'Assumptions'!$J$44,0)+IF(AND(C9&gt;=(13-'Assumptions'!$J$45)+'Assumptions'!$AF$45,C9&lt;=12),'Revenue and costs'!N23/'Assumptions'!$J$45,0)+IF(AND(C9&gt;=(13-'Assumptions'!$J$46)+'Assumptions'!$AF$46,C9&lt;=12),'Revenue and costs'!N24/'Assumptions'!$J$46,0)+IF(AND(C9&gt;=(13-'Assumptions'!$J$47)+'Assumptions'!$AF$47,C9&lt;=12),'Revenue and costs'!N25/'Assumptions'!$J$47,0)+IF(AND(C9&gt;=(13-'Assumptions'!$J$48)+'Assumptions'!$AF$48,C9&lt;=12),'Revenue and costs'!N26/'Assumptions'!$J$48,0)+IF(AND(C9&gt;=(13-'Assumptions'!$J$49)+'Assumptions'!$AF$49,C9&lt;=12),'Revenue and costs'!N27/'Assumptions'!$J$49,0)+IF(AND(C9&gt;=(13-'Assumptions'!$J$50)+'Assumptions'!$AF$50,C9&lt;=12),'Revenue and costs'!N28/'Assumptions'!$J$50,0)+IF(AND(C9&gt;=(13-'Assumptions'!$J$51)+'Assumptions'!$AF$51,C9&lt;=12),'Revenue and costs'!N29/'Assumptions'!$J$51,0)+IF(AND(C9&gt;=(13-'Assumptions'!$J$52)+'Assumptions'!$AF$52,C9&lt;=12),'Revenue and costs'!N30/'Assumptions'!$J$52,0)+IF(AND(C9&gt;=(13-'Assumptions'!$J$53)+'Assumptions'!$AF$53,C9&lt;=12),'Revenue and costs'!N31/'Assumptions'!$J$53,0)+IF(AND(C9&gt;=(13-'Assumptions'!$J$54)+'Assumptions'!$AF$54,C9&lt;=12),'Revenue and costs'!N32/'Assumptions'!$J$54,0)+IF(AND(C9&gt;=(13-'Assumptions'!$J$55)+'Assumptions'!$AF$55,C9&lt;=12),'Revenue and costs'!N33/'Assumptions'!$J$55,0)+IF(AND(C9&gt;=(13-'Assumptions'!$J$56)+'Assumptions'!$AF$56,C9&lt;=12),'Revenue and costs'!N34/'Assumptions'!$J$56,0)+IF(AND(C9&gt;=(13-'Assumptions'!$J$57)+'Assumptions'!$AF$57,C9&lt;=12),'Revenue and costs'!N35/'Assumptions'!$J$57,0)+IF(AND(C9&gt;=(13-'Assumptions'!$J$58)+'Assumptions'!$AF$58,C9&lt;=12),'Revenue and costs'!N36/'Assumptions'!$J$58,0)+IF(AND(C9&gt;=(13-'Assumptions'!$J$59)+'Assumptions'!$AF$59,C9&lt;=12),'Revenue and costs'!N37/'Assumptions'!$J$59,0)+IF(AND(C9&gt;=(13-'Assumptions'!$J$60)+'Assumptions'!$AF$60,C9&lt;=12),'Revenue and costs'!N38/'Assumptions'!$J$60,0)+IF(AND(C9&gt;=(13-'Assumptions'!$J$61)+'Assumptions'!$AF$61,C9&lt;=12),'Revenue and costs'!N39/'Assumptions'!$J$61,0)+IF(AND(C9&gt;=(13-'Assumptions'!$J$62)+'Assumptions'!$AF$62,C9&lt;=12),'Revenue and costs'!N40/'Assumptions'!$J$62,0)+IF(AND(C9&gt;=(13-'Assumptions'!$J$63)+'Assumptions'!$AF$63,C9&lt;=12),'Revenue and costs'!N41/'Assumptions'!$J$63,0)+IF(AND(C9&gt;=(13-'Assumptions'!$J$64)+'Assumptions'!$AF$64,C9&lt;=12),'Revenue and costs'!N42/'Assumptions'!$J$64,0)+IF(AND(C9&gt;=(13-'Assumptions'!$J$65)+'Assumptions'!$AF$65,C9&lt;=12),'Revenue and costs'!N43/'Assumptions'!$J$65,0)+IF(AND(C9&gt;=(13-'Assumptions'!$J$66)+'Assumptions'!$AF$66,C9&lt;=12),'Revenue and costs'!N44/'Assumptions'!$J$66,0)+IF(AND(C9&gt;=(13-'Assumptions'!$J$67)+'Assumptions'!$AF$67,C9&lt;=12),'Revenue and costs'!N45/'Assumptions'!$J$67,0)+IF(AND(C9&gt;=(13-'Assumptions'!$J$68)+'Assumptions'!$AF$68,C9&lt;=12),'Revenue and costs'!N46/'Assumptions'!$J$68,0)+IF(AND(C9&gt;=(13-'Assumptions'!$J$69)+'Assumptions'!$AF$69,C9&lt;=12),'Revenue and costs'!N47/'Assumptions'!$J$69,0)+IF(AND(C9&gt;=(13-'Assumptions'!$J$70)+'Assumptions'!$AF$70,C9&lt;=12),'Revenue and costs'!N48/'Assumptions'!$J$70,0)+IF(AND(C9&gt;=(13-'Assumptions'!$J$71)+'Assumptions'!$AF$71,C9&lt;=12),'Revenue and costs'!N49/'Assumptions'!$J$71,0)+IF(AND(C9&gt;=(13-'Assumptions'!$J$72)+'Assumptions'!$AF$72,C9&lt;=12),'Revenue and costs'!N50/'Assumptions'!$J$72,0)+IF(AND(C9&gt;=(13-'Assumptions'!$J$73)+'Assumptions'!$AF$73,C9&lt;=12),'Revenue and costs'!N51/'Assumptions'!$J$73,0)+IF(AND(C9&gt;=(13-'Assumptions'!$J$74)+'Assumptions'!$AF$74,C9&lt;=12),'Revenue and costs'!N52/'Assumptions'!$J$74,0)+IF(AND(C9&gt;=(13-'Assumptions'!$J$75)+'Assumptions'!$AF$75,C9&lt;=12),'Revenue and costs'!N53/'Assumptions'!$J$75,0)+IF(AND(C9&gt;=(13-'Assumptions'!$J$76)+'Assumptions'!$AF$76,C9&lt;=12),'Revenue and costs'!N54/'Assumptions'!$J$76,0)+IF(AND(C9&gt;=(13-'Assumptions'!$J$77)+'Assumptions'!$AF$77,C9&lt;=12),'Revenue and costs'!N55/'Assumptions'!$J$77,0)+IF(AND(C9&gt;=(13-'Assumptions'!$J$78)+'Assumptions'!$AF$78,C9&lt;=12),'Revenue and costs'!N56/'Assumptions'!$J$78,0)+IF(AND(C9&gt;=(13-'Assumptions'!$J$79)+'Assumptions'!$AF$79,C9&lt;=12),'Revenue and costs'!N57/'Assumptions'!$J$79,0)+IF(AND(C9&gt;=(13-'Assumptions'!$J$80)+'Assumptions'!$AF$80,C9&lt;=12),'Revenue and costs'!N58/'Assumptions'!$J$80,0)+IF(AND(C9&gt;=(13-'Assumptions'!$J$81)+'Assumptions'!$AF$81,C9&lt;=12),'Revenue and costs'!N59/'Assumptions'!$J$81,0)+IF(AND(C9&gt;=(13-'Assumptions'!$J$82)+'Assumptions'!$AF$82,C9&lt;=12),'Revenue and costs'!N60/'Assumptions'!$J$82,0)+IF(AND(C9&gt;=(13-'Assumptions'!$J$83)+'Assumptions'!$AF$83,C9&lt;=12),'Revenue and costs'!N61/'Assumptions'!$J$83,0)+IF(AND(C9&gt;=(13-'Assumptions'!$J$84)+'Assumptions'!$AF$84,C9&lt;=12),'Revenue and costs'!N62/'Assumptions'!$J$84,0)+IF(AND(C9&gt;=(13-'Assumptions'!$J$85)+'Assumptions'!$AF$85,C9&lt;=12),'Revenue and costs'!N63/'Assumptions'!$J$85,0)+IF(AND(C9&gt;=(13-'Assumptions'!$J$86)+'Assumptions'!$AF$86,C9&lt;=12),'Revenue and costs'!N64/'Assumptions'!$J$86,0)+IF(AND(C9&gt;=(13-'Assumptions'!$J$87)+'Assumptions'!$AF$87,C9&lt;=12),'Revenue and costs'!N65/'Assumptions'!$J$87,0)+IF(AND(C9&gt;=(13-'Assumptions'!$J$88)+'Assumptions'!$AF$88,C9&lt;=12),'Revenue and costs'!N66/'Assumptions'!$J$88,0)+IF(AND(C9&gt;=(13-'Assumptions'!$J$89)+'Assumptions'!$AF$89,C9&lt;=12),'Revenue and costs'!N67/'Assumptions'!$J$89,0)+IF(AND(C9&gt;=(13-'Assumptions'!$J$90)+'Assumptions'!$AF$90,C9&lt;=12),'Revenue and costs'!N68/'Assumptions'!$J$90,0)+IF(AND(C9&gt;=(13-'Assumptions'!$J$91)+'Assumptions'!$AF$91,C9&lt;=12),'Revenue and costs'!N69/'Assumptions'!$J$91,0)+IF(AND(C9&gt;=(13-'Assumptions'!$J$92)+'Assumptions'!$AF$92,C9&lt;=12),'Revenue and costs'!N70/'Assumptions'!$J$92,0)+IF(AND(C9&gt;=(13-'Assumptions'!$J$93)+'Assumptions'!$AF$93,C9&lt;=12),'Revenue and costs'!N71/'Assumptions'!$J$93,0)+IF(AND(C9&gt;=(13-'Assumptions'!$J$94)+'Assumptions'!$AF$94,C9&lt;=12),'Revenue and costs'!N72/'Assumptions'!$J$94,0)+IF(AND(C9&gt;=(13-'Assumptions'!$J$95)+'Assumptions'!$AF$95,C9&lt;=12),'Revenue and costs'!N73/'Assumptions'!$J$95,0)+IF(AND(C9&gt;=(13-'Assumptions'!$J$96)+'Assumptions'!$AF$96,C9&lt;=12),'Revenue and costs'!N74/'Assumptions'!$J$96,0)+IF(AND(C9&gt;=(13-'Assumptions'!$J$97)+'Assumptions'!$AF$97,C9&lt;=12),'Revenue and costs'!N75/'Assumptions'!$J$97,0)+IF(AND(C9&gt;=(13-'Assumptions'!$J$98)+'Assumptions'!$AF$98,C9&lt;=12),'Revenue and costs'!N76/'Assumptions'!$J$98,0)+IF(AND(C9&gt;=(13-'Assumptions'!$J$99)+'Assumptions'!$AF$99,C9&lt;=12),'Revenue and costs'!N77/'Assumptions'!$J$99,0)+IF(AND(C9&gt;=(13-'Assumptions'!$J$100)+'Assumptions'!$AF$100,C9&lt;=12),'Revenue and costs'!N78/'Assumptions'!$J$100,0)+IF(AND(C9&gt;=(13-'Assumptions'!$J$101)+'Assumptions'!$AF$101,C9&lt;=12),'Revenue and costs'!N79/'Assumptions'!$J$101,0)+IF(AND(C9&gt;=(13-'Assumptions'!$J$102)+'Assumptions'!$AF$102,C9&lt;=12),'Revenue and costs'!N80/'Assumptions'!$J$102,0)+IF(AND(C9&gt;=(13-'Assumptions'!$J$103)+'Assumptions'!$AF$103,C9&lt;=12),'Revenue and costs'!N81/'Assumptions'!$J$103,0)+IF(AND(C9&gt;=(13-'Assumptions'!$J$104)+'Assumptions'!$AF$104,C9&lt;=12),'Revenue and costs'!N82/'Assumptions'!$J$104,0)+IF(AND(C9&gt;=(13-'Assumptions'!$J$105)+'Assumptions'!$AF$105,C9&lt;=12),'Revenue and costs'!N83/'Assumptions'!$J$105,0)+IF(AND(C9&gt;=(13-'Assumptions'!$J$106)+'Assumptions'!$AF$106,C9&lt;=12),'Revenue and costs'!N84/'Assumptions'!$J$106,0)+IF(AND(C9&gt;=(13-'Assumptions'!$J$107)+'Assumptions'!$AF$107,C9&lt;=12),'Revenue and costs'!N85/'Assumptions'!$J$107,0)+IF(AND(C9&gt;=(13-'Assumptions'!$J$108)+'Assumptions'!$AF$108,C9&lt;=12),'Revenue and costs'!N86/'Assumptions'!$J$108,0)+IF(AND(C9&gt;=(13-'Assumptions'!$J$109)+'Assumptions'!$AF$109,C9&lt;=12),'Revenue and costs'!N87/'Assumptions'!$J$109,0)+IF(AND(C9&gt;=(13-'Assumptions'!$J$110)+'Assumptions'!$AF$110,C9&lt;=12),'Revenue and costs'!N88/'Assumptions'!$J$110,0)+IF(AND(C9&gt;=(13-'Assumptions'!$J$111)+'Assumptions'!$AF$111,C9&lt;=12),'Revenue and costs'!N89/'Assumptions'!$J$111,0)+IF(AND(C9&gt;=(13-'Assumptions'!$J$112)+'Assumptions'!$AF$112,C9&lt;=12),'Revenue and costs'!N90/'Assumptions'!$J$112,0)+IF(AND(C9&gt;=(13-'Assumptions'!$J$113)+'Assumptions'!$AF$113,C9&lt;=12),'Revenue and costs'!N91/'Assumptions'!$J$113,0)+IF(AND(C9&gt;=(13-'Assumptions'!$J$114)+'Assumptions'!$AF$114,C9&lt;=12),'Revenue and costs'!N92/'Assumptions'!$J$114,0)+IF(AND(C9&gt;=(13-'Assumptions'!$J$115)+'Assumptions'!$AF$115,C9&lt;=12),'Revenue and costs'!N93/'Assumptions'!$J$115,0)+IF(AND(C9&gt;=(13-'Assumptions'!$J$116)+'Assumptions'!$AF$116,C9&lt;=12),'Revenue and costs'!N94/'Assumptions'!$J$116,0)+IF(AND(C9&gt;=(13-'Assumptions'!$J$117)+'Assumptions'!$AF$117,C9&lt;=12),'Revenue and costs'!N95/'Assumptions'!$J$117,0)+IF(AND(C9&gt;=(13-'Assumptions'!$J$118)+'Assumptions'!$AF$118,C9&lt;=12),'Revenue and costs'!N96/'Assumptions'!$J$118,0)+IF(AND(C9&gt;=(13-'Assumptions'!$J$119)+'Assumptions'!$AF$119,C9&lt;=12),'Revenue and costs'!N97/'Assumptions'!$J$119,0)+IF(AND(C9&gt;=(13-'Assumptions'!$J$120)+'Assumptions'!$AF$120,C9&lt;=12),'Revenue and costs'!N98/'Assumptions'!$J$120,0)+IF(AND(C9&gt;=(13-'Assumptions'!$J$121)+'Assumptions'!$AF$121,C9&lt;=12),'Revenue and costs'!N99/'Assumptions'!$J$121,0)+IF(AND(C9&gt;=(13-'Assumptions'!$J$122)+'Assumptions'!$AF$122,C9&lt;=12),'Revenue and costs'!N100/'Assumptions'!$J$122,0)+IF(AND(C9&gt;=(13-'Assumptions'!$J$123)+'Assumptions'!$AF$123,C9&lt;=12),'Revenue and costs'!N101/'Assumptions'!$J$123,0)+IF(AND(C9&gt;=(13-'Assumptions'!$J$124)+'Assumptions'!$AF$124,C9&lt;=12),'Revenue and costs'!N102/'Assumptions'!$J$124,0)+IF(AND(C9&gt;=(13-'Assumptions'!$J$125)+'Assumptions'!$AF$125,C9&lt;=12),'Revenue and costs'!N103/'Assumptions'!$J$125,0)+IF(AND(C9&gt;=(13-'Assumptions'!$J$126)+'Assumptions'!$AF$126,C9&lt;=12),'Revenue and costs'!N104/'Assumptions'!$J$126,0)+IF(AND(C9&gt;=(13-'Assumptions'!$J$127)+'Assumptions'!$AF$127,C9&lt;=12),'Revenue and costs'!N105/'Assumptions'!$J$127,0)+IF(AND(C9&gt;=(13-'Assumptions'!$J$128)+'Assumptions'!$AF$128,C9&lt;=12),'Revenue and costs'!N106/'Assumptions'!$J$128,0)+IF(AND(C9&gt;=(13-'Assumptions'!$J$129)+'Assumptions'!$AF$129,C9&lt;=12),'Revenue and costs'!N107/'Assumptions'!$J$129,0)+IF(AND(C9&gt;=(13-'Assumptions'!$J$130)+'Assumptions'!$AF$130,C9&lt;=12),'Revenue and costs'!N108/'Assumptions'!$J$130,0)+IF(AND(C9&gt;=(13-'Assumptions'!$J$131)+'Assumptions'!$AF$131,C9&lt;=12),'Revenue and costs'!N109/'Assumptions'!$J$131,0)+IF(AND(C9&gt;=(13-'Assumptions'!$J$132)+'Assumptions'!$AF$132,C9&lt;=12),'Revenue and costs'!N110/'Assumptions'!$J$132,0)+IF(AND(C9&gt;=(13-'Assumptions'!$J$133)+'Assumptions'!$AF$133,C9&lt;=12),'Revenue and costs'!N111/'Assumptions'!$J$133,0)+IF(AND(C9&gt;=(13-'Assumptions'!$J$134)+'Assumptions'!$AF$134,C9&lt;=12),'Revenue and costs'!N112/'Assumptions'!$J$134,0)+IF(AND(C9&gt;=(13-'Assumptions'!$J$135)+'Assumptions'!$AF$135,C9&lt;=12),'Revenue and costs'!N113/'Assumptions'!$J$135,0)+IF(AND(C9&gt;=(13-'Assumptions'!$J$136)+'Assumptions'!$AF$136,C9&lt;=12),'Revenue and costs'!N114/'Assumptions'!$J$136,0)+IF(AND(C9&gt;=(13-'Assumptions'!$J$137)+'Assumptions'!$AF$137,C9&lt;=12),'Revenue and costs'!N115/'Assumptions'!$J$137,0)+IF(AND(C9&gt;=(13-'Assumptions'!$J$138)+'Assumptions'!$AF$138,C9&lt;=12),'Revenue and costs'!N116/'Assumptions'!$J$138,0)+IF(AND(C9&gt;=(13-'Assumptions'!$J$139)+'Assumptions'!$AF$139,C9&lt;=12),'Revenue and costs'!N117/'Assumptions'!$J$139,0)+IF(AND(C9&gt;=(13-'Assumptions'!$J$140)+'Assumptions'!$AF$140,C9&lt;=12),'Revenue and costs'!N118/'Assumptions'!$J$140,0)+IF(AND(C9&gt;=(13-'Assumptions'!$J$141)+'Assumptions'!$AF$141,C9&lt;=12),'Revenue and costs'!N119/'Assumptions'!$J$141,0)+IF(AND(C9&gt;=(13-'Assumptions'!$J$142)+'Assumptions'!$AF$142,C9&lt;=12),'Revenue and costs'!N120/'Assumptions'!$J$142,0)+IF(AND(C9&gt;=(13-'Assumptions'!$J$143)+'Assumptions'!$AF$143,C9&lt;=12),'Revenue and costs'!N121/'Assumptions'!$J$143,0)+IF(AND(C9&gt;=(13-'Assumptions'!$J$144)+'Assumptions'!$AF$144,C9&lt;=12),'Revenue and costs'!N122/'Assumptions'!$J$144,0)+IF(AND(C9&gt;=(13-'Assumptions'!$J$145)+'Assumptions'!$AF$145,C9&lt;=12),'Revenue and costs'!N123/'Assumptions'!$J$145,0)+IF(AND(C9&gt;=(13-'Assumptions'!$J$146)+'Assumptions'!$AF$146,C9&lt;=12),'Revenue and costs'!N124/'Assumptions'!$J$146,0)+IF(AND(C9&gt;=(13-'Assumptions'!$J$147)+'Assumptions'!$AF$147,C9&lt;=12),'Revenue and costs'!N125/'Assumptions'!$J$147,0)+IF(AND(C9&gt;=(13-'Assumptions'!$J$148)+'Assumptions'!$AF$148,C9&lt;=12),'Revenue and costs'!N126/'Assumptions'!$J$148,0)+IF(AND(C9&gt;=(13-'Assumptions'!$J$149)+'Assumptions'!$AF$149,C9&lt;=12),'Revenue and costs'!N127/'Assumptions'!$J$149,0)+IF(AND(C9&gt;=(13-'Assumptions'!$J$150)+'Assumptions'!$AF$150,C9&lt;=12),'Revenue and costs'!N128/'Assumptions'!$J$150,0)+IF(AND(C9&gt;=(13-'Assumptions'!$J$151)+'Assumptions'!$AF$151,C9&lt;=12),'Revenue and costs'!N129/'Assumptions'!$J$151,0)+IF(AND(C9&gt;=(13-'Assumptions'!$J$152)+'Assumptions'!$AF$152,C9&lt;=12),'Revenue and costs'!N130/'Assumptions'!$J$152,0)+IF(AND(C9&gt;=(13-'Assumptions'!$J$153)+'Assumptions'!$AF$153,C9&lt;=12),'Revenue and costs'!N131/'Assumptions'!$J$153,0)+IF(AND(C9&gt;=(13-'Assumptions'!$J$154)+'Assumptions'!$AF$154,C9&lt;=12),'Revenue and costs'!N132/'Assumptions'!$J$154,0)+IF(AND(C9&gt;=(13-'Assumptions'!$J$155)+'Assumptions'!$AF$155,C9&lt;=12),'Revenue and costs'!N133/'Assumptions'!$J$155,0)+IF(AND(C9&gt;=(13-'Assumptions'!$J$156)+'Assumptions'!$AF$156,C9&lt;=12),'Revenue and costs'!N134/'Assumptions'!$J$156,0)+IF(AND(C9&gt;=(13-'Assumptions'!$J$157)+'Assumptions'!$AF$157,C9&lt;=12),'Revenue and costs'!N135/'Assumptions'!$J$157,0)</x:f>
        <x:v>1760.5500000000002</x:v>
      </x:c>
      <x:c r="E9" s="10" t="n">
        <x:f>IF(AND(C9&gt;=(13-'Assumptions'!$J$30),C9&lt;=12),SUM('Revenue and costs'!O8:U8)/'Assumptions'!$J$30,0)+IF(C9=(13-'Assumptions'!$J$30)-1,'Revenue and costs'!V8+'Revenue and costs'!AE8,0)+IF(AND(C9&gt;=(13-'Assumptions'!$J$31),C9&lt;=12),SUM('Revenue and costs'!O9:U9)/'Assumptions'!$J$31,0)+IF(C9=(13-'Assumptions'!$J$31)-1,'Revenue and costs'!V9+'Revenue and costs'!AE9,0)+IF(AND(C9&gt;=(13-'Assumptions'!$J$32),C9&lt;=12),SUM('Revenue and costs'!O10:U10)/'Assumptions'!$J$32,0)+IF(C9=(13-'Assumptions'!$J$32)-1,'Revenue and costs'!V10+'Revenue and costs'!AE10,0)+IF(AND(C9&gt;=(13-'Assumptions'!$J$33),C9&lt;=12),SUM('Revenue and costs'!O11:U11)/'Assumptions'!$J$33,0)+IF(C9=(13-'Assumptions'!$J$33)-1,'Revenue and costs'!V11+'Revenue and costs'!AE11,0)+IF(AND(C9&gt;=(13-'Assumptions'!$J$34),C9&lt;=12),SUM('Revenue and costs'!O12:U12)/'Assumptions'!$J$34,0)+IF(C9=(13-'Assumptions'!$J$34)-1,'Revenue and costs'!V12+'Revenue and costs'!AE12,0)+IF(AND(C9&gt;=(13-'Assumptions'!$J$35),C9&lt;=12),SUM('Revenue and costs'!O13:U13)/'Assumptions'!$J$35,0)+IF(C9=(13-'Assumptions'!$J$35)-1,'Revenue and costs'!V13+'Revenue and costs'!AE13,0)+IF(AND(C9&gt;=(13-'Assumptions'!$J$36),C9&lt;=12),SUM('Revenue and costs'!O14:U14)/'Assumptions'!$J$36,0)+IF(C9=(13-'Assumptions'!$J$36)-1,'Revenue and costs'!V14+'Revenue and costs'!AE14,0)+IF(AND(C9&gt;=(13-'Assumptions'!$J$37),C9&lt;=12),SUM('Revenue and costs'!O15:U15)/'Assumptions'!$J$37,0)+IF(C9=(13-'Assumptions'!$J$37)-1,'Revenue and costs'!V15+'Revenue and costs'!AE15,0)+IF(AND(C9&gt;=(13-'Assumptions'!$J$38),C9&lt;=12),SUM('Revenue and costs'!O16:U16)/'Assumptions'!$J$38,0)+IF(C9=(13-'Assumptions'!$J$38)-1,'Revenue and costs'!V16+'Revenue and costs'!AE16,0)+IF(AND(C9&gt;=(13-'Assumptions'!$J$39),C9&lt;=12),SUM('Revenue and costs'!O17:U17)/'Assumptions'!$J$39,0)+IF(C9=(13-'Assumptions'!$J$39)-1,'Revenue and costs'!V17+'Revenue and costs'!AE17,0)+IF(AND(C9&gt;=(13-'Assumptions'!$J$40),C9&lt;=12),SUM('Revenue and costs'!O18:U18)/'Assumptions'!$J$40,0)+IF(C9=(13-'Assumptions'!$J$40)-1,'Revenue and costs'!V18+'Revenue and costs'!AE18,0)+IF(AND(C9&gt;=(13-'Assumptions'!$J$41),C9&lt;=12),SUM('Revenue and costs'!O19:U19)/'Assumptions'!$J$41,0)+IF(C9=(13-'Assumptions'!$J$41)-1,'Revenue and costs'!V19+'Revenue and costs'!AE19,0)+IF(AND(C9&gt;=(13-'Assumptions'!$J$42),C9&lt;=12),SUM('Revenue and costs'!O20:U20)/'Assumptions'!$J$42,0)+IF(C9=(13-'Assumptions'!$J$42)-1,'Revenue and costs'!V20+'Revenue and costs'!AE20,0)+IF(AND(C9&gt;=(13-'Assumptions'!$J$43),C9&lt;=12),SUM('Revenue and costs'!O21:U21)/'Assumptions'!$J$43,0)+IF(C9=(13-'Assumptions'!$J$43)-1,'Revenue and costs'!V21+'Revenue and costs'!AE21,0)+IF(AND(C9&gt;=(13-'Assumptions'!$J$44),C9&lt;=12),SUM('Revenue and costs'!O22:U22)/'Assumptions'!$J$44,0)+IF(C9=(13-'Assumptions'!$J$44)-1,'Revenue and costs'!V22+'Revenue and costs'!AE22,0)+IF(AND(C9&gt;=(13-'Assumptions'!$J$45),C9&lt;=12),SUM('Revenue and costs'!O23:U23)/'Assumptions'!$J$45,0)+IF(C9=(13-'Assumptions'!$J$45)-1,'Revenue and costs'!V23+'Revenue and costs'!AE23,0)+IF(AND(C9&gt;=(13-'Assumptions'!$J$46),C9&lt;=12),SUM('Revenue and costs'!O24:U24)/'Assumptions'!$J$46,0)+IF(C9=(13-'Assumptions'!$J$46)-1,'Revenue and costs'!V24+'Revenue and costs'!AE24,0)+IF(AND(C9&gt;=(13-'Assumptions'!$J$47),C9&lt;=12),SUM('Revenue and costs'!O25:U25)/'Assumptions'!$J$47,0)+IF(C9=(13-'Assumptions'!$J$47)-1,'Revenue and costs'!V25+'Revenue and costs'!AE25,0)+IF(AND(C9&gt;=(13-'Assumptions'!$J$48),C9&lt;=12),SUM('Revenue and costs'!O26:U26)/'Assumptions'!$J$48,0)+IF(C9=(13-'Assumptions'!$J$48)-1,'Revenue and costs'!V26+'Revenue and costs'!AE26,0)+IF(AND(C9&gt;=(13-'Assumptions'!$J$49),C9&lt;=12),SUM('Revenue and costs'!O27:U27)/'Assumptions'!$J$49,0)+IF(C9=(13-'Assumptions'!$J$49)-1,'Revenue and costs'!V27+'Revenue and costs'!AE27,0)+IF(AND(C9&gt;=(13-'Assumptions'!$J$50),C9&lt;=12),SUM('Revenue and costs'!O28:U28)/'Assumptions'!$J$50,0)+IF(C9=(13-'Assumptions'!$J$50)-1,'Revenue and costs'!V28+'Revenue and costs'!AE28,0)+IF(AND(C9&gt;=(13-'Assumptions'!$J$51),C9&lt;=12),SUM('Revenue and costs'!O29:U29)/'Assumptions'!$J$51,0)+IF(C9=(13-'Assumptions'!$J$51)-1,'Revenue and costs'!V29+'Revenue and costs'!AE29,0)+IF(AND(C9&gt;=(13-'Assumptions'!$J$52),C9&lt;=12),SUM('Revenue and costs'!O30:U30)/'Assumptions'!$J$52,0)+IF(C9=(13-'Assumptions'!$J$52)-1,'Revenue and costs'!V30+'Revenue and costs'!AE30,0)+IF(AND(C9&gt;=(13-'Assumptions'!$J$53),C9&lt;=12),SUM('Revenue and costs'!O31:U31)/'Assumptions'!$J$53,0)+IF(C9=(13-'Assumptions'!$J$53)-1,'Revenue and costs'!V31+'Revenue and costs'!AE31,0)+IF(AND(C9&gt;=(13-'Assumptions'!$J$54),C9&lt;=12),SUM('Revenue and costs'!O32:U32)/'Assumptions'!$J$54,0)+IF(C9=(13-'Assumptions'!$J$54)-1,'Revenue and costs'!V32+'Revenue and costs'!AE32,0)+IF(AND(C9&gt;=(13-'Assumptions'!$J$55),C9&lt;=12),SUM('Revenue and costs'!O33:U33)/'Assumptions'!$J$55,0)+IF(C9=(13-'Assumptions'!$J$55)-1,'Revenue and costs'!V33+'Revenue and costs'!AE33,0)+IF(AND(C9&gt;=(13-'Assumptions'!$J$56),C9&lt;=12),SUM('Revenue and costs'!O34:U34)/'Assumptions'!$J$56,0)+IF(C9=(13-'Assumptions'!$J$56)-1,'Revenue and costs'!V34+'Revenue and costs'!AE34,0)+IF(AND(C9&gt;=(13-'Assumptions'!$J$57),C9&lt;=12),SUM('Revenue and costs'!O35:U35)/'Assumptions'!$J$57,0)+IF(C9=(13-'Assumptions'!$J$57)-1,'Revenue and costs'!V35+'Revenue and costs'!AE35,0)+IF(AND(C9&gt;=(13-'Assumptions'!$J$58),C9&lt;=12),SUM('Revenue and costs'!O36:U36)/'Assumptions'!$J$58,0)+IF(C9=(13-'Assumptions'!$J$58)-1,'Revenue and costs'!V36+'Revenue and costs'!AE36,0)+IF(AND(C9&gt;=(13-'Assumptions'!$J$59),C9&lt;=12),SUM('Revenue and costs'!O37:U37)/'Assumptions'!$J$59,0)+IF(C9=(13-'Assumptions'!$J$59)-1,'Revenue and costs'!V37+'Revenue and costs'!AE37,0)+IF(AND(C9&gt;=(13-'Assumptions'!$J$60),C9&lt;=12),SUM('Revenue and costs'!O38:U38)/'Assumptions'!$J$60,0)+IF(C9=(13-'Assumptions'!$J$60)-1,'Revenue and costs'!V38+'Revenue and costs'!AE38,0)+IF(AND(C9&gt;=(13-'Assumptions'!$J$61),C9&lt;=12),SUM('Revenue and costs'!O39:U39)/'Assumptions'!$J$61,0)+IF(C9=(13-'Assumptions'!$J$61)-1,'Revenue and costs'!V39+'Revenue and costs'!AE39,0)+IF(AND(C9&gt;=(13-'Assumptions'!$J$62),C9&lt;=12),SUM('Revenue and costs'!O40:U40)/'Assumptions'!$J$62,0)+IF(C9=(13-'Assumptions'!$J$62)-1,'Revenue and costs'!V40+'Revenue and costs'!AE40,0)+IF(AND(C9&gt;=(13-'Assumptions'!$J$63),C9&lt;=12),SUM('Revenue and costs'!O41:U41)/'Assumptions'!$J$63,0)+IF(C9=(13-'Assumptions'!$J$63)-1,'Revenue and costs'!V41+'Revenue and costs'!AE41,0)+IF(AND(C9&gt;=(13-'Assumptions'!$J$64),C9&lt;=12),SUM('Revenue and costs'!O42:U42)/'Assumptions'!$J$64,0)+IF(C9=(13-'Assumptions'!$J$64)-1,'Revenue and costs'!V42+'Revenue and costs'!AE42,0)+IF(AND(C9&gt;=(13-'Assumptions'!$J$65),C9&lt;=12),SUM('Revenue and costs'!O43:U43)/'Assumptions'!$J$65,0)+IF(C9=(13-'Assumptions'!$J$65)-1,'Revenue and costs'!V43+'Revenue and costs'!AE43,0)+IF(AND(C9&gt;=(13-'Assumptions'!$J$66),C9&lt;=12),SUM('Revenue and costs'!O44:U44)/'Assumptions'!$J$66,0)+IF(C9=(13-'Assumptions'!$J$66)-1,'Revenue and costs'!V44+'Revenue and costs'!AE44,0)+IF(AND(C9&gt;=(13-'Assumptions'!$J$67),C9&lt;=12),SUM('Revenue and costs'!O45:U45)/'Assumptions'!$J$67,0)+IF(C9=(13-'Assumptions'!$J$67)-1,'Revenue and costs'!V45+'Revenue and costs'!AE45,0)+IF(AND(C9&gt;=(13-'Assumptions'!$J$68),C9&lt;=12),SUM('Revenue and costs'!O46:U46)/'Assumptions'!$J$68,0)+IF(C9=(13-'Assumptions'!$J$68)-1,'Revenue and costs'!V46+'Revenue and costs'!AE46,0)+IF(AND(C9&gt;=(13-'Assumptions'!$J$69),C9&lt;=12),SUM('Revenue and costs'!O47:U47)/'Assumptions'!$J$69,0)+IF(C9=(13-'Assumptions'!$J$69)-1,'Revenue and costs'!V47+'Revenue and costs'!AE47,0)+IF(AND(C9&gt;=(13-'Assumptions'!$J$70),C9&lt;=12),SUM('Revenue and costs'!O48:U48)/'Assumptions'!$J$70,0)+IF(C9=(13-'Assumptions'!$J$70)-1,'Revenue and costs'!V48+'Revenue and costs'!AE48,0)+IF(AND(C9&gt;=(13-'Assumptions'!$J$71),C9&lt;=12),SUM('Revenue and costs'!O49:U49)/'Assumptions'!$J$71,0)+IF(C9=(13-'Assumptions'!$J$71)-1,'Revenue and costs'!V49+'Revenue and costs'!AE49,0)+IF(AND(C9&gt;=(13-'Assumptions'!$J$72),C9&lt;=12),SUM('Revenue and costs'!O50:U50)/'Assumptions'!$J$72,0)+IF(C9=(13-'Assumptions'!$J$72)-1,'Revenue and costs'!V50+'Revenue and costs'!AE50,0)+IF(AND(C9&gt;=(13-'Assumptions'!$J$73),C9&lt;=12),SUM('Revenue and costs'!O51:U51)/'Assumptions'!$J$73,0)+IF(C9=(13-'Assumptions'!$J$73)-1,'Revenue and costs'!V51+'Revenue and costs'!AE51,0)+IF(AND(C9&gt;=(13-'Assumptions'!$J$74),C9&lt;=12),SUM('Revenue and costs'!O52:U52)/'Assumptions'!$J$74,0)+IF(C9=(13-'Assumptions'!$J$74)-1,'Revenue and costs'!V52+'Revenue and costs'!AE52,0)+IF(AND(C9&gt;=(13-'Assumptions'!$J$75),C9&lt;=12),SUM('Revenue and costs'!O53:U53)/'Assumptions'!$J$75,0)+IF(C9=(13-'Assumptions'!$J$75)-1,'Revenue and costs'!V53+'Revenue and costs'!AE53,0)+IF(AND(C9&gt;=(13-'Assumptions'!$J$76),C9&lt;=12),SUM('Revenue and costs'!O54:U54)/'Assumptions'!$J$76,0)+IF(C9=(13-'Assumptions'!$J$76)-1,'Revenue and costs'!V54+'Revenue and costs'!AE54,0)+IF(AND(C9&gt;=(13-'Assumptions'!$J$77),C9&lt;=12),SUM('Revenue and costs'!O55:U55)/'Assumptions'!$J$77,0)+IF(C9=(13-'Assumptions'!$J$77)-1,'Revenue and costs'!V55+'Revenue and costs'!AE55,0)+IF(AND(C9&gt;=(13-'Assumptions'!$J$78),C9&lt;=12),SUM('Revenue and costs'!O56:U56)/'Assumptions'!$J$78,0)+IF(C9=(13-'Assumptions'!$J$78)-1,'Revenue and costs'!V56+'Revenue and costs'!AE56,0)+IF(AND(C9&gt;=(13-'Assumptions'!$J$79),C9&lt;=12),SUM('Revenue and costs'!O57:U57)/'Assumptions'!$J$79,0)+IF(C9=(13-'Assumptions'!$J$79)-1,'Revenue and costs'!V57+'Revenue and costs'!AE57,0)+IF(AND(C9&gt;=(13-'Assumptions'!$J$80),C9&lt;=12),SUM('Revenue and costs'!O58:U58)/'Assumptions'!$J$80,0)+IF(C9=(13-'Assumptions'!$J$80)-1,'Revenue and costs'!V58+'Revenue and costs'!AE58,0)+IF(AND(C9&gt;=(13-'Assumptions'!$J$81),C9&lt;=12),SUM('Revenue and costs'!O59:U59)/'Assumptions'!$J$81,0)+IF(C9=(13-'Assumptions'!$J$81)-1,'Revenue and costs'!V59+'Revenue and costs'!AE59,0)+IF(AND(C9&gt;=(13-'Assumptions'!$J$82),C9&lt;=12),SUM('Revenue and costs'!O60:U60)/'Assumptions'!$J$82,0)+IF(C9=(13-'Assumptions'!$J$82)-1,'Revenue and costs'!V60+'Revenue and costs'!AE60,0)+IF(AND(C9&gt;=(13-'Assumptions'!$J$83),C9&lt;=12),SUM('Revenue and costs'!O61:U61)/'Assumptions'!$J$83,0)+IF(C9=(13-'Assumptions'!$J$83)-1,'Revenue and costs'!V61+'Revenue and costs'!AE61,0)+IF(AND(C9&gt;=(13-'Assumptions'!$J$84),C9&lt;=12),SUM('Revenue and costs'!O62:U62)/'Assumptions'!$J$84,0)+IF(C9=(13-'Assumptions'!$J$84)-1,'Revenue and costs'!V62+'Revenue and costs'!AE62,0)+IF(AND(C9&gt;=(13-'Assumptions'!$J$85),C9&lt;=12),SUM('Revenue and costs'!O63:U63)/'Assumptions'!$J$85,0)+IF(C9=(13-'Assumptions'!$J$85)-1,'Revenue and costs'!V63+'Revenue and costs'!AE63,0)+IF(AND(C9&gt;=(13-'Assumptions'!$J$86),C9&lt;=12),SUM('Revenue and costs'!O64:U64)/'Assumptions'!$J$86,0)+IF(C9=(13-'Assumptions'!$J$86)-1,'Revenue and costs'!V64+'Revenue and costs'!AE64,0)+IF(AND(C9&gt;=(13-'Assumptions'!$J$87),C9&lt;=12),SUM('Revenue and costs'!O65:U65)/'Assumptions'!$J$87,0)+IF(C9=(13-'Assumptions'!$J$87)-1,'Revenue and costs'!V65+'Revenue and costs'!AE65,0)+IF(AND(C9&gt;=(13-'Assumptions'!$J$88),C9&lt;=12),SUM('Revenue and costs'!O66:U66)/'Assumptions'!$J$88,0)+IF(C9=(13-'Assumptions'!$J$88)-1,'Revenue and costs'!V66+'Revenue and costs'!AE66,0)+IF(AND(C9&gt;=(13-'Assumptions'!$J$89),C9&lt;=12),SUM('Revenue and costs'!O67:U67)/'Assumptions'!$J$89,0)+IF(C9=(13-'Assumptions'!$J$89)-1,'Revenue and costs'!V67+'Revenue and costs'!AE67,0)+IF(AND(C9&gt;=(13-'Assumptions'!$J$90),C9&lt;=12),SUM('Revenue and costs'!O68:U68)/'Assumptions'!$J$90,0)+IF(C9=(13-'Assumptions'!$J$90)-1,'Revenue and costs'!V68+'Revenue and costs'!AE68,0)+IF(AND(C9&gt;=(13-'Assumptions'!$J$91),C9&lt;=12),SUM('Revenue and costs'!O69:U69)/'Assumptions'!$J$91,0)+IF(C9=(13-'Assumptions'!$J$91)-1,'Revenue and costs'!V69+'Revenue and costs'!AE69,0)+IF(AND(C9&gt;=(13-'Assumptions'!$J$92),C9&lt;=12),SUM('Revenue and costs'!O70:U70)/'Assumptions'!$J$92,0)+IF(C9=(13-'Assumptions'!$J$92)-1,'Revenue and costs'!V70+'Revenue and costs'!AE70,0)+IF(AND(C9&gt;=(13-'Assumptions'!$J$93),C9&lt;=12),SUM('Revenue and costs'!O71:U71)/'Assumptions'!$J$93,0)+IF(C9=(13-'Assumptions'!$J$93)-1,'Revenue and costs'!V71+'Revenue and costs'!AE71,0)+IF(AND(C9&gt;=(13-'Assumptions'!$J$94),C9&lt;=12),SUM('Revenue and costs'!O72:U72)/'Assumptions'!$J$94,0)+IF(C9=(13-'Assumptions'!$J$94)-1,'Revenue and costs'!V72+'Revenue and costs'!AE72,0)+IF(AND(C9&gt;=(13-'Assumptions'!$J$95),C9&lt;=12),SUM('Revenue and costs'!O73:U73)/'Assumptions'!$J$95,0)+IF(C9=(13-'Assumptions'!$J$95)-1,'Revenue and costs'!V73+'Revenue and costs'!AE73,0)+IF(AND(C9&gt;=(13-'Assumptions'!$J$96),C9&lt;=12),SUM('Revenue and costs'!O74:U74)/'Assumptions'!$J$96,0)+IF(C9=(13-'Assumptions'!$J$96)-1,'Revenue and costs'!V74+'Revenue and costs'!AE74,0)+IF(AND(C9&gt;=(13-'Assumptions'!$J$97),C9&lt;=12),SUM('Revenue and costs'!O75:U75)/'Assumptions'!$J$97,0)+IF(C9=(13-'Assumptions'!$J$97)-1,'Revenue and costs'!V75+'Revenue and costs'!AE75,0)+IF(AND(C9&gt;=(13-'Assumptions'!$J$98),C9&lt;=12),SUM('Revenue and costs'!O76:U76)/'Assumptions'!$J$98,0)+IF(C9=(13-'Assumptions'!$J$98)-1,'Revenue and costs'!V76+'Revenue and costs'!AE76,0)+IF(AND(C9&gt;=(13-'Assumptions'!$J$99),C9&lt;=12),SUM('Revenue and costs'!O77:U77)/'Assumptions'!$J$99,0)+IF(C9=(13-'Assumptions'!$J$99)-1,'Revenue and costs'!V77+'Revenue and costs'!AE77,0)+IF(AND(C9&gt;=(13-'Assumptions'!$J$100),C9&lt;=12),SUM('Revenue and costs'!O78:U78)/'Assumptions'!$J$100,0)+IF(C9=(13-'Assumptions'!$J$100)-1,'Revenue and costs'!V78+'Revenue and costs'!AE78,0)+IF(AND(C9&gt;=(13-'Assumptions'!$J$101),C9&lt;=12),SUM('Revenue and costs'!O79:U79)/'Assumptions'!$J$101,0)+IF(C9=(13-'Assumptions'!$J$101)-1,'Revenue and costs'!V79+'Revenue and costs'!AE79,0)+IF(AND(C9&gt;=(13-'Assumptions'!$J$102),C9&lt;=12),SUM('Revenue and costs'!O80:U80)/'Assumptions'!$J$102,0)+IF(C9=(13-'Assumptions'!$J$102)-1,'Revenue and costs'!V80+'Revenue and costs'!AE80,0)+IF(AND(C9&gt;=(13-'Assumptions'!$J$103),C9&lt;=12),SUM('Revenue and costs'!O81:U81)/'Assumptions'!$J$103,0)+IF(C9=(13-'Assumptions'!$J$103)-1,'Revenue and costs'!V81+'Revenue and costs'!AE81,0)+IF(AND(C9&gt;=(13-'Assumptions'!$J$104),C9&lt;=12),SUM('Revenue and costs'!O82:U82)/'Assumptions'!$J$104,0)+IF(C9=(13-'Assumptions'!$J$104)-1,'Revenue and costs'!V82+'Revenue and costs'!AE82,0)+IF(AND(C9&gt;=(13-'Assumptions'!$J$105),C9&lt;=12),SUM('Revenue and costs'!O83:U83)/'Assumptions'!$J$105,0)+IF(C9=(13-'Assumptions'!$J$105)-1,'Revenue and costs'!V83+'Revenue and costs'!AE83,0)+IF(AND(C9&gt;=(13-'Assumptions'!$J$106),C9&lt;=12),SUM('Revenue and costs'!O84:U84)/'Assumptions'!$J$106,0)+IF(C9=(13-'Assumptions'!$J$106)-1,'Revenue and costs'!V84+'Revenue and costs'!AE84,0)+IF(AND(C9&gt;=(13-'Assumptions'!$J$107),C9&lt;=12),SUM('Revenue and costs'!O85:U85)/'Assumptions'!$J$107,0)+IF(C9=(13-'Assumptions'!$J$107)-1,'Revenue and costs'!V85+'Revenue and costs'!AE85,0)+IF(AND(C9&gt;=(13-'Assumptions'!$J$108),C9&lt;=12),SUM('Revenue and costs'!O86:U86)/'Assumptions'!$J$108,0)+IF(C9=(13-'Assumptions'!$J$108)-1,'Revenue and costs'!V86+'Revenue and costs'!AE86,0)+IF(AND(C9&gt;=(13-'Assumptions'!$J$109),C9&lt;=12),SUM('Revenue and costs'!O87:U87)/'Assumptions'!$J$109,0)+IF(C9=(13-'Assumptions'!$J$109)-1,'Revenue and costs'!V87+'Revenue and costs'!AE87,0)+IF(AND(C9&gt;=(13-'Assumptions'!$J$110),C9&lt;=12),SUM('Revenue and costs'!O88:U88)/'Assumptions'!$J$110,0)+IF(C9=(13-'Assumptions'!$J$110)-1,'Revenue and costs'!V88+'Revenue and costs'!AE88,0)+IF(AND(C9&gt;=(13-'Assumptions'!$J$111),C9&lt;=12),SUM('Revenue and costs'!O89:U89)/'Assumptions'!$J$111,0)+IF(C9=(13-'Assumptions'!$J$111)-1,'Revenue and costs'!V89+'Revenue and costs'!AE89,0)+IF(AND(C9&gt;=(13-'Assumptions'!$J$112),C9&lt;=12),SUM('Revenue and costs'!O90:U90)/'Assumptions'!$J$112,0)+IF(C9=(13-'Assumptions'!$J$112)-1,'Revenue and costs'!V90+'Revenue and costs'!AE90,0)+IF(AND(C9&gt;=(13-'Assumptions'!$J$113),C9&lt;=12),SUM('Revenue and costs'!O91:U91)/'Assumptions'!$J$113,0)+IF(C9=(13-'Assumptions'!$J$113)-1,'Revenue and costs'!V91+'Revenue and costs'!AE91,0)+IF(AND(C9&gt;=(13-'Assumptions'!$J$114),C9&lt;=12),SUM('Revenue and costs'!O92:U92)/'Assumptions'!$J$114,0)+IF(C9=(13-'Assumptions'!$J$114)-1,'Revenue and costs'!V92+'Revenue and costs'!AE92,0)+IF(AND(C9&gt;=(13-'Assumptions'!$J$115),C9&lt;=12),SUM('Revenue and costs'!O93:U93)/'Assumptions'!$J$115,0)+IF(C9=(13-'Assumptions'!$J$115)-1,'Revenue and costs'!V93+'Revenue and costs'!AE93,0)+IF(AND(C9&gt;=(13-'Assumptions'!$J$116),C9&lt;=12),SUM('Revenue and costs'!O94:U94)/'Assumptions'!$J$116,0)+IF(C9=(13-'Assumptions'!$J$116)-1,'Revenue and costs'!V94+'Revenue and costs'!AE94,0)+IF(AND(C9&gt;=(13-'Assumptions'!$J$117),C9&lt;=12),SUM('Revenue and costs'!O95:U95)/'Assumptions'!$J$117,0)+IF(C9=(13-'Assumptions'!$J$117)-1,'Revenue and costs'!V95+'Revenue and costs'!AE95,0)+IF(AND(C9&gt;=(13-'Assumptions'!$J$118),C9&lt;=12),SUM('Revenue and costs'!O96:U96)/'Assumptions'!$J$118,0)+IF(C9=(13-'Assumptions'!$J$118)-1,'Revenue and costs'!V96+'Revenue and costs'!AE96,0)+IF(AND(C9&gt;=(13-'Assumptions'!$J$119),C9&lt;=12),SUM('Revenue and costs'!O97:U97)/'Assumptions'!$J$119,0)+IF(C9=(13-'Assumptions'!$J$119)-1,'Revenue and costs'!V97+'Revenue and costs'!AE97,0)+IF(AND(C9&gt;=(13-'Assumptions'!$J$120),C9&lt;=12),SUM('Revenue and costs'!O98:U98)/'Assumptions'!$J$120,0)+IF(C9=(13-'Assumptions'!$J$120)-1,'Revenue and costs'!V98+'Revenue and costs'!AE98,0)+IF(AND(C9&gt;=(13-'Assumptions'!$J$121),C9&lt;=12),SUM('Revenue and costs'!O99:U99)/'Assumptions'!$J$121,0)+IF(C9=(13-'Assumptions'!$J$121)-1,'Revenue and costs'!V99+'Revenue and costs'!AE99,0)+IF(AND(C9&gt;=(13-'Assumptions'!$J$122),C9&lt;=12),SUM('Revenue and costs'!O100:U100)/'Assumptions'!$J$122,0)+IF(C9=(13-'Assumptions'!$J$122)-1,'Revenue and costs'!V100+'Revenue and costs'!AE100,0)+IF(AND(C9&gt;=(13-'Assumptions'!$J$123),C9&lt;=12),SUM('Revenue and costs'!O101:U101)/'Assumptions'!$J$123,0)+IF(C9=(13-'Assumptions'!$J$123)-1,'Revenue and costs'!V101+'Revenue and costs'!AE101,0)+IF(AND(C9&gt;=(13-'Assumptions'!$J$124),C9&lt;=12),SUM('Revenue and costs'!O102:U102)/'Assumptions'!$J$124,0)+IF(C9=(13-'Assumptions'!$J$124)-1,'Revenue and costs'!V102+'Revenue and costs'!AE102,0)+IF(AND(C9&gt;=(13-'Assumptions'!$J$125),C9&lt;=12),SUM('Revenue and costs'!O103:U103)/'Assumptions'!$J$125,0)+IF(C9=(13-'Assumptions'!$J$125)-1,'Revenue and costs'!V103+'Revenue and costs'!AE103,0)+IF(AND(C9&gt;=(13-'Assumptions'!$J$126),C9&lt;=12),SUM('Revenue and costs'!O104:U104)/'Assumptions'!$J$126,0)+IF(C9=(13-'Assumptions'!$J$126)-1,'Revenue and costs'!V104+'Revenue and costs'!AE104,0)+IF(AND(C9&gt;=(13-'Assumptions'!$J$127),C9&lt;=12),SUM('Revenue and costs'!O105:U105)/'Assumptions'!$J$127,0)+IF(C9=(13-'Assumptions'!$J$127)-1,'Revenue and costs'!V105+'Revenue and costs'!AE105,0)+IF(AND(C9&gt;=(13-'Assumptions'!$J$128),C9&lt;=12),SUM('Revenue and costs'!O106:U106)/'Assumptions'!$J$128,0)+IF(C9=(13-'Assumptions'!$J$128)-1,'Revenue and costs'!V106+'Revenue and costs'!AE106,0)+IF(AND(C9&gt;=(13-'Assumptions'!$J$129),C9&lt;=12),SUM('Revenue and costs'!O107:U107)/'Assumptions'!$J$129,0)+IF(C9=(13-'Assumptions'!$J$129)-1,'Revenue and costs'!V107+'Revenue and costs'!AE107,0)+IF(AND(C9&gt;=(13-'Assumptions'!$J$130),C9&lt;=12),SUM('Revenue and costs'!O108:U108)/'Assumptions'!$J$130,0)+IF(C9=(13-'Assumptions'!$J$130)-1,'Revenue and costs'!V108+'Revenue and costs'!AE108,0)+IF(AND(C9&gt;=(13-'Assumptions'!$J$131),C9&lt;=12),SUM('Revenue and costs'!O109:U109)/'Assumptions'!$J$131,0)+IF(C9=(13-'Assumptions'!$J$131)-1,'Revenue and costs'!V109+'Revenue and costs'!AE109,0)+IF(AND(C9&gt;=(13-'Assumptions'!$J$132),C9&lt;=12),SUM('Revenue and costs'!O110:U110)/'Assumptions'!$J$132,0)+IF(C9=(13-'Assumptions'!$J$132)-1,'Revenue and costs'!V110+'Revenue and costs'!AE110,0)+IF(AND(C9&gt;=(13-'Assumptions'!$J$133),C9&lt;=12),SUM('Revenue and costs'!O111:U111)/'Assumptions'!$J$133,0)+IF(C9=(13-'Assumptions'!$J$133)-1,'Revenue and costs'!V111+'Revenue and costs'!AE111,0)+IF(AND(C9&gt;=(13-'Assumptions'!$J$134),C9&lt;=12),SUM('Revenue and costs'!O112:U112)/'Assumptions'!$J$134,0)+IF(C9=(13-'Assumptions'!$J$134)-1,'Revenue and costs'!V112+'Revenue and costs'!AE112,0)+IF(AND(C9&gt;=(13-'Assumptions'!$J$135),C9&lt;=12),SUM('Revenue and costs'!O113:U113)/'Assumptions'!$J$135,0)+IF(C9=(13-'Assumptions'!$J$135)-1,'Revenue and costs'!V113+'Revenue and costs'!AE113,0)+IF(AND(C9&gt;=(13-'Assumptions'!$J$136),C9&lt;=12),SUM('Revenue and costs'!O114:U114)/'Assumptions'!$J$136,0)+IF(C9=(13-'Assumptions'!$J$136)-1,'Revenue and costs'!V114+'Revenue and costs'!AE114,0)+IF(AND(C9&gt;=(13-'Assumptions'!$J$137),C9&lt;=12),SUM('Revenue and costs'!O115:U115)/'Assumptions'!$J$137,0)+IF(C9=(13-'Assumptions'!$J$137)-1,'Revenue and costs'!V115+'Revenue and costs'!AE115,0)+IF(AND(C9&gt;=(13-'Assumptions'!$J$138),C9&lt;=12),SUM('Revenue and costs'!O116:U116)/'Assumptions'!$J$138,0)+IF(C9=(13-'Assumptions'!$J$138)-1,'Revenue and costs'!V116+'Revenue and costs'!AE116,0)+IF(AND(C9&gt;=(13-'Assumptions'!$J$139),C9&lt;=12),SUM('Revenue and costs'!O117:U117)/'Assumptions'!$J$139,0)+IF(C9=(13-'Assumptions'!$J$139)-1,'Revenue and costs'!V117+'Revenue and costs'!AE117,0)+IF(AND(C9&gt;=(13-'Assumptions'!$J$140),C9&lt;=12),SUM('Revenue and costs'!O118:U118)/'Assumptions'!$J$140,0)+IF(C9=(13-'Assumptions'!$J$140)-1,'Revenue and costs'!V118+'Revenue and costs'!AE118,0)+IF(AND(C9&gt;=(13-'Assumptions'!$J$141),C9&lt;=12),SUM('Revenue and costs'!O119:U119)/'Assumptions'!$J$141,0)+IF(C9=(13-'Assumptions'!$J$141)-1,'Revenue and costs'!V119+'Revenue and costs'!AE119,0)+IF(AND(C9&gt;=(13-'Assumptions'!$J$142),C9&lt;=12),SUM('Revenue and costs'!O120:U120)/'Assumptions'!$J$142,0)+IF(C9=(13-'Assumptions'!$J$142)-1,'Revenue and costs'!V120+'Revenue and costs'!AE120,0)+IF(AND(C9&gt;=(13-'Assumptions'!$J$143),C9&lt;=12),SUM('Revenue and costs'!O121:U121)/'Assumptions'!$J$143,0)+IF(C9=(13-'Assumptions'!$J$143)-1,'Revenue and costs'!V121+'Revenue and costs'!AE121,0)+IF(AND(C9&gt;=(13-'Assumptions'!$J$144),C9&lt;=12),SUM('Revenue and costs'!O122:U122)/'Assumptions'!$J$144,0)+IF(C9=(13-'Assumptions'!$J$144)-1,'Revenue and costs'!V122+'Revenue and costs'!AE122,0)+IF(AND(C9&gt;=(13-'Assumptions'!$J$145),C9&lt;=12),SUM('Revenue and costs'!O123:U123)/'Assumptions'!$J$145,0)+IF(C9=(13-'Assumptions'!$J$145)-1,'Revenue and costs'!V123+'Revenue and costs'!AE123,0)+IF(AND(C9&gt;=(13-'Assumptions'!$J$146),C9&lt;=12),SUM('Revenue and costs'!O124:U124)/'Assumptions'!$J$146,0)+IF(C9=(13-'Assumptions'!$J$146)-1,'Revenue and costs'!V124+'Revenue and costs'!AE124,0)+IF(AND(C9&gt;=(13-'Assumptions'!$J$147),C9&lt;=12),SUM('Revenue and costs'!O125:U125)/'Assumptions'!$J$147,0)+IF(C9=(13-'Assumptions'!$J$147)-1,'Revenue and costs'!V125+'Revenue and costs'!AE125,0)+IF(AND(C9&gt;=(13-'Assumptions'!$J$148),C9&lt;=12),SUM('Revenue and costs'!O126:U126)/'Assumptions'!$J$148,0)+IF(C9=(13-'Assumptions'!$J$148)-1,'Revenue and costs'!V126+'Revenue and costs'!AE126,0)+IF(AND(C9&gt;=(13-'Assumptions'!$J$149),C9&lt;=12),SUM('Revenue and costs'!O127:U127)/'Assumptions'!$J$149,0)+IF(C9=(13-'Assumptions'!$J$149)-1,'Revenue and costs'!V127+'Revenue and costs'!AE127,0)+IF(AND(C9&gt;=(13-'Assumptions'!$J$150),C9&lt;=12),SUM('Revenue and costs'!O128:U128)/'Assumptions'!$J$150,0)+IF(C9=(13-'Assumptions'!$J$150)-1,'Revenue and costs'!V128+'Revenue and costs'!AE128,0)+IF(AND(C9&gt;=(13-'Assumptions'!$J$151),C9&lt;=12),SUM('Revenue and costs'!O129:U129)/'Assumptions'!$J$151,0)+IF(C9=(13-'Assumptions'!$J$151)-1,'Revenue and costs'!V129+'Revenue and costs'!AE129,0)+IF(AND(C9&gt;=(13-'Assumptions'!$J$152),C9&lt;=12),SUM('Revenue and costs'!O130:U130)/'Assumptions'!$J$152,0)+IF(C9=(13-'Assumptions'!$J$152)-1,'Revenue and costs'!V130+'Revenue and costs'!AE130,0)+IF(AND(C9&gt;=(13-'Assumptions'!$J$153),C9&lt;=12),SUM('Revenue and costs'!O131:U131)/'Assumptions'!$J$153,0)+IF(C9=(13-'Assumptions'!$J$153)-1,'Revenue and costs'!V131+'Revenue and costs'!AE131,0)+IF(AND(C9&gt;=(13-'Assumptions'!$J$154),C9&lt;=12),SUM('Revenue and costs'!O132:U132)/'Assumptions'!$J$154,0)+IF(C9=(13-'Assumptions'!$J$154)-1,'Revenue and costs'!V132+'Revenue and costs'!AE132,0)+IF(AND(C9&gt;=(13-'Assumptions'!$J$155),C9&lt;=12),SUM('Revenue and costs'!O133:U133)/'Assumptions'!$J$155,0)+IF(C9=(13-'Assumptions'!$J$155)-1,'Revenue and costs'!V133+'Revenue and costs'!AE133,0)+IF(AND(C9&gt;=(13-'Assumptions'!$J$156),C9&lt;=12),SUM('Revenue and costs'!O134:U134)/'Assumptions'!$J$156,0)+IF(C9=(13-'Assumptions'!$J$156)-1,'Revenue and costs'!V134+'Revenue and costs'!AE134,0)+IF(AND(C9&gt;=(13-'Assumptions'!$J$157),C9&lt;=12),SUM('Revenue and costs'!O135:U135)/'Assumptions'!$J$157,0)+IF(C9=(13-'Assumptions'!$J$157)-1,'Revenue and costs'!V135+'Revenue and costs'!AE135,0)+IF(C9&gt;0,'Shared costs'!H21/12+'Assumptions'!$D$18*'Assumptions'!$D$19*'Assumptions'!$D$21,0)</x:f>
        <x:v>9557.045833333334</x:v>
      </x:c>
      <x:c r="F9" s="10" t="n">
        <x:f>IF(C9=12,'Income statement'!D85,0)</x:f>
        <x:v>0</x:v>
      </x:c>
      <x:c r="G9" s="10" t="n">
        <x:f>IF(C9=(13-'Assumptions'!$J$30)-1,'Revenue and costs'!Y8,0)+IF(C9=(13-'Assumptions'!$J$31)-1,'Revenue and costs'!Y9,0)+IF(C9=(13-'Assumptions'!$J$32)-1,'Revenue and costs'!Y10,0)+IF(C9=(13-'Assumptions'!$J$33)-1,'Revenue and costs'!Y11,0)+IF(C9=(13-'Assumptions'!$J$34)-1,'Revenue and costs'!Y12,0)+IF(C9=(13-'Assumptions'!$J$35)-1,'Revenue and costs'!Y13,0)+IF(C9=(13-'Assumptions'!$J$36)-1,'Revenue and costs'!Y14,0)+IF(C9=(13-'Assumptions'!$J$37)-1,'Revenue and costs'!Y15,0)+IF(C9=(13-'Assumptions'!$J$38)-1,'Revenue and costs'!Y16,0)+IF(C9=(13-'Assumptions'!$J$39)-1,'Revenue and costs'!Y17,0)+IF(C9=(13-'Assumptions'!$J$40)-1,'Revenue and costs'!Y18,0)+IF(C9=(13-'Assumptions'!$J$41)-1,'Revenue and costs'!Y19,0)+IF(C9=(13-'Assumptions'!$J$42)-1,'Revenue and costs'!Y20,0)+IF(C9=(13-'Assumptions'!$J$43)-1,'Revenue and costs'!Y21,0)+IF(C9=(13-'Assumptions'!$J$44)-1,'Revenue and costs'!Y22,0)+IF(C9=(13-'Assumptions'!$J$45)-1,'Revenue and costs'!Y23,0)+IF(C9=(13-'Assumptions'!$J$46)-1,'Revenue and costs'!Y24,0)+IF(C9=(13-'Assumptions'!$J$47)-1,'Revenue and costs'!Y25,0)+IF(C9=(13-'Assumptions'!$J$48)-1,'Revenue and costs'!Y26,0)+IF(C9=(13-'Assumptions'!$J$49)-1,'Revenue and costs'!Y27,0)+IF(C9=(13-'Assumptions'!$J$50)-1,'Revenue and costs'!Y28,0)+IF(C9=(13-'Assumptions'!$J$51)-1,'Revenue and costs'!Y29,0)+IF(C9=(13-'Assumptions'!$J$52)-1,'Revenue and costs'!Y30,0)+IF(C9=(13-'Assumptions'!$J$53)-1,'Revenue and costs'!Y31,0)+IF(C9=(13-'Assumptions'!$J$54)-1,'Revenue and costs'!Y32,0)+IF(C9=(13-'Assumptions'!$J$55)-1,'Revenue and costs'!Y33,0)+IF(C9=(13-'Assumptions'!$J$56)-1,'Revenue and costs'!Y34,0)+IF(C9=(13-'Assumptions'!$J$57)-1,'Revenue and costs'!Y35,0)+IF(C9=(13-'Assumptions'!$J$58)-1,'Revenue and costs'!Y36,0)+IF(C9=(13-'Assumptions'!$J$59)-1,'Revenue and costs'!Y37,0)+IF(C9=(13-'Assumptions'!$J$60)-1,'Revenue and costs'!Y38,0)+IF(C9=(13-'Assumptions'!$J$61)-1,'Revenue and costs'!Y39,0)+IF(C9=(13-'Assumptions'!$J$62)-1,'Revenue and costs'!Y40,0)+IF(C9=(13-'Assumptions'!$J$63)-1,'Revenue and costs'!Y41,0)+IF(C9=(13-'Assumptions'!$J$64)-1,'Revenue and costs'!Y42,0)+IF(C9=(13-'Assumptions'!$J$65)-1,'Revenue and costs'!Y43,0)+IF(C9=(13-'Assumptions'!$J$66)-1,'Revenue and costs'!Y44,0)+IF(C9=(13-'Assumptions'!$J$67)-1,'Revenue and costs'!Y45,0)+IF(C9=(13-'Assumptions'!$J$68)-1,'Revenue and costs'!Y46,0)+IF(C9=(13-'Assumptions'!$J$69)-1,'Revenue and costs'!Y47,0)+IF(C9=(13-'Assumptions'!$J$70)-1,'Revenue and costs'!Y48,0)+IF(C9=(13-'Assumptions'!$J$71)-1,'Revenue and costs'!Y49,0)+IF(C9=(13-'Assumptions'!$J$72)-1,'Revenue and costs'!Y50,0)+IF(C9=(13-'Assumptions'!$J$73)-1,'Revenue and costs'!Y51,0)+IF(C9=(13-'Assumptions'!$J$74)-1,'Revenue and costs'!Y52,0)+IF(C9=(13-'Assumptions'!$J$75)-1,'Revenue and costs'!Y53,0)+IF(C9=(13-'Assumptions'!$J$76)-1,'Revenue and costs'!Y54,0)+IF(C9=(13-'Assumptions'!$J$77)-1,'Revenue and costs'!Y55,0)+IF(C9=(13-'Assumptions'!$J$78)-1,'Revenue and costs'!Y56,0)+IF(C9=(13-'Assumptions'!$J$79)-1,'Revenue and costs'!Y57,0)+IF(C9=(13-'Assumptions'!$J$80)-1,'Revenue and costs'!Y58,0)+IF(C9=(13-'Assumptions'!$J$81)-1,'Revenue and costs'!Y59,0)+IF(C9=(13-'Assumptions'!$J$82)-1,'Revenue and costs'!Y60,0)+IF(C9=(13-'Assumptions'!$J$83)-1,'Revenue and costs'!Y61,0)+IF(C9=(13-'Assumptions'!$J$84)-1,'Revenue and costs'!Y62,0)+IF(C9=(13-'Assumptions'!$J$85)-1,'Revenue and costs'!Y63,0)+IF(C9=(13-'Assumptions'!$J$86)-1,'Revenue and costs'!Y64,0)+IF(C9=(13-'Assumptions'!$J$87)-1,'Revenue and costs'!Y65,0)+IF(C9=(13-'Assumptions'!$J$88)-1,'Revenue and costs'!Y66,0)+IF(C9=(13-'Assumptions'!$J$89)-1,'Revenue and costs'!Y67,0)+IF(C9=(13-'Assumptions'!$J$90)-1,'Revenue and costs'!Y68,0)+IF(C9=(13-'Assumptions'!$J$91)-1,'Revenue and costs'!Y69,0)+IF(C9=(13-'Assumptions'!$J$92)-1,'Revenue and costs'!Y70,0)+IF(C9=(13-'Assumptions'!$J$93)-1,'Revenue and costs'!Y71,0)+IF(C9=(13-'Assumptions'!$J$94)-1,'Revenue and costs'!Y72,0)+IF(C9=(13-'Assumptions'!$J$95)-1,'Revenue and costs'!Y73,0)+IF(C9=(13-'Assumptions'!$J$96)-1,'Revenue and costs'!Y74,0)+IF(C9=(13-'Assumptions'!$J$97)-1,'Revenue and costs'!Y75,0)+IF(C9=(13-'Assumptions'!$J$98)-1,'Revenue and costs'!Y76,0)+IF(C9=(13-'Assumptions'!$J$99)-1,'Revenue and costs'!Y77,0)+IF(C9=(13-'Assumptions'!$J$100)-1,'Revenue and costs'!Y78,0)+IF(C9=(13-'Assumptions'!$J$101)-1,'Revenue and costs'!Y79,0)+IF(C9=(13-'Assumptions'!$J$102)-1,'Revenue and costs'!Y80,0)+IF(C9=(13-'Assumptions'!$J$103)-1,'Revenue and costs'!Y81,0)+IF(C9=(13-'Assumptions'!$J$104)-1,'Revenue and costs'!Y82,0)+IF(C9=(13-'Assumptions'!$J$105)-1,'Revenue and costs'!Y83,0)+IF(C9=(13-'Assumptions'!$J$106)-1,'Revenue and costs'!Y84,0)+IF(C9=(13-'Assumptions'!$J$107)-1,'Revenue and costs'!Y85,0)+IF(C9=(13-'Assumptions'!$J$108)-1,'Revenue and costs'!Y86,0)+IF(C9=(13-'Assumptions'!$J$109)-1,'Revenue and costs'!Y87,0)+IF(C9=(13-'Assumptions'!$J$110)-1,'Revenue and costs'!Y88,0)+IF(C9=(13-'Assumptions'!$J$111)-1,'Revenue and costs'!Y89,0)+IF(C9=(13-'Assumptions'!$J$112)-1,'Revenue and costs'!Y90,0)+IF(C9=(13-'Assumptions'!$J$113)-1,'Revenue and costs'!Y91,0)+IF(C9=(13-'Assumptions'!$J$114)-1,'Revenue and costs'!Y92,0)+IF(C9=(13-'Assumptions'!$J$115)-1,'Revenue and costs'!Y93,0)+IF(C9=(13-'Assumptions'!$J$116)-1,'Revenue and costs'!Y94,0)+IF(C9=(13-'Assumptions'!$J$117)-1,'Revenue and costs'!Y95,0)+IF(C9=(13-'Assumptions'!$J$118)-1,'Revenue and costs'!Y96,0)+IF(C9=(13-'Assumptions'!$J$119)-1,'Revenue and costs'!Y97,0)+IF(C9=(13-'Assumptions'!$J$120)-1,'Revenue and costs'!Y98,0)+IF(C9=(13-'Assumptions'!$J$121)-1,'Revenue and costs'!Y99,0)+IF(C9=(13-'Assumptions'!$J$122)-1,'Revenue and costs'!Y100,0)+IF(C9=(13-'Assumptions'!$J$123)-1,'Revenue and costs'!Y101,0)+IF(C9=(13-'Assumptions'!$J$124)-1,'Revenue and costs'!Y102,0)+IF(C9=(13-'Assumptions'!$J$125)-1,'Revenue and costs'!Y103,0)+IF(C9=(13-'Assumptions'!$J$126)-1,'Revenue and costs'!Y104,0)+IF(C9=(13-'Assumptions'!$J$127)-1,'Revenue and costs'!Y105,0)+IF(C9=(13-'Assumptions'!$J$128)-1,'Revenue and costs'!Y106,0)+IF(C9=(13-'Assumptions'!$J$129)-1,'Revenue and costs'!Y107,0)+IF(C9=(13-'Assumptions'!$J$130)-1,'Revenue and costs'!Y108,0)+IF(C9=(13-'Assumptions'!$J$131)-1,'Revenue and costs'!Y109,0)+IF(C9=(13-'Assumptions'!$J$132)-1,'Revenue and costs'!Y110,0)+IF(C9=(13-'Assumptions'!$J$133)-1,'Revenue and costs'!Y111,0)+IF(C9=(13-'Assumptions'!$J$134)-1,'Revenue and costs'!Y112,0)+IF(C9=(13-'Assumptions'!$J$135)-1,'Revenue and costs'!Y113,0)+IF(C9=(13-'Assumptions'!$J$136)-1,'Revenue and costs'!Y114,0)+IF(C9=(13-'Assumptions'!$J$137)-1,'Revenue and costs'!Y115,0)+IF(C9=(13-'Assumptions'!$J$138)-1,'Revenue and costs'!Y116,0)+IF(C9=(13-'Assumptions'!$J$139)-1,'Revenue and costs'!Y117,0)+IF(C9=(13-'Assumptions'!$J$140)-1,'Revenue and costs'!Y118,0)+IF(C9=(13-'Assumptions'!$J$141)-1,'Revenue and costs'!Y119,0)+IF(C9=(13-'Assumptions'!$J$142)-1,'Revenue and costs'!Y120,0)+IF(C9=(13-'Assumptions'!$J$143)-1,'Revenue and costs'!Y121,0)+IF(C9=(13-'Assumptions'!$J$144)-1,'Revenue and costs'!Y122,0)+IF(C9=(13-'Assumptions'!$J$145)-1,'Revenue and costs'!Y123,0)+IF(C9=(13-'Assumptions'!$J$146)-1,'Revenue and costs'!Y124,0)+IF(C9=(13-'Assumptions'!$J$147)-1,'Revenue and costs'!Y125,0)+IF(C9=(13-'Assumptions'!$J$148)-1,'Revenue and costs'!Y126,0)+IF(C9=(13-'Assumptions'!$J$149)-1,'Revenue and costs'!Y127,0)+IF(C9=(13-'Assumptions'!$J$150)-1,'Revenue and costs'!Y128,0)+IF(C9=(13-'Assumptions'!$J$151)-1,'Revenue and costs'!Y129,0)+IF(C9=(13-'Assumptions'!$J$152)-1,'Revenue and costs'!Y130,0)+IF(C9=(13-'Assumptions'!$J$153)-1,'Revenue and costs'!Y131,0)+IF(C9=(13-'Assumptions'!$J$154)-1,'Revenue and costs'!Y132,0)+IF(C9=(13-'Assumptions'!$J$155)-1,'Revenue and costs'!Y133,0)+IF(C9=(13-'Assumptions'!$J$156)-1,'Revenue and costs'!Y134,0)+IF(C9=(13-'Assumptions'!$J$157)-1,'Revenue and costs'!Y135,0)</x:f>
        <x:v>0</x:v>
      </x:c>
      <x:c r="H9" s="10" t="n">
        <x:f>IF(C9=0,'Cash and capital'!D13,0)</x:f>
        <x:v>0</x:v>
      </x:c>
      <x:c r="I9" s="10" t="n">
        <x:f>D9-E9-F9-G9-H9</x:f>
        <x:v>-7796.495833333333</x:v>
      </x:c>
      <x:c r="J9" s="10" t="n">
        <x:f>J8+I9</x:f>
        <x:v>-9379.829166666666</x:v>
      </x:c>
      <x:c r="K9" s="10" t="n">
        <x:f>MAX(0,-MIN($J$8:J9))</x:f>
        <x:v>9379.829166666666</x:v>
      </x:c>
      <x:c r="L9" s="10"/>
      <x:c r="M9" s="10"/>
      <x:c r="N9" s="10"/>
      <x:c r="O9" s="10"/>
      <x:c r="P9" s="10"/>
      <x:c r="Q9" s="10"/>
    </x:row>
    <x:row r="10" ht="16" customHeight="1">
      <x:c r="A10" s="1"/>
      <x:c r="B10" s="1"/>
      <x:c r="C10" s="1" t="n">
        <x:v>2</x:v>
      </x:c>
      <x:c r="D10" s="10" t="n">
        <x:f>IF(AND(C10&gt;=(13-'Assumptions'!$J$30)+'Assumptions'!$AF$30,C10&lt;=12),'Revenue and costs'!N8/'Assumptions'!$J$30,0)+IF(AND(C10&gt;=(13-'Assumptions'!$J$31)+'Assumptions'!$AF$31,C10&lt;=12),'Revenue and costs'!N9/'Assumptions'!$J$31,0)+IF(AND(C10&gt;=(13-'Assumptions'!$J$32)+'Assumptions'!$AF$32,C10&lt;=12),'Revenue and costs'!N10/'Assumptions'!$J$32,0)+IF(AND(C10&gt;=(13-'Assumptions'!$J$33)+'Assumptions'!$AF$33,C10&lt;=12),'Revenue and costs'!N11/'Assumptions'!$J$33,0)+IF(AND(C10&gt;=(13-'Assumptions'!$J$34)+'Assumptions'!$AF$34,C10&lt;=12),'Revenue and costs'!N12/'Assumptions'!$J$34,0)+IF(AND(C10&gt;=(13-'Assumptions'!$J$35)+'Assumptions'!$AF$35,C10&lt;=12),'Revenue and costs'!N13/'Assumptions'!$J$35,0)+IF(AND(C10&gt;=(13-'Assumptions'!$J$36)+'Assumptions'!$AF$36,C10&lt;=12),'Revenue and costs'!N14/'Assumptions'!$J$36,0)+IF(AND(C10&gt;=(13-'Assumptions'!$J$37)+'Assumptions'!$AF$37,C10&lt;=12),'Revenue and costs'!N15/'Assumptions'!$J$37,0)+IF(AND(C10&gt;=(13-'Assumptions'!$J$38)+'Assumptions'!$AF$38,C10&lt;=12),'Revenue and costs'!N16/'Assumptions'!$J$38,0)+IF(AND(C10&gt;=(13-'Assumptions'!$J$39)+'Assumptions'!$AF$39,C10&lt;=12),'Revenue and costs'!N17/'Assumptions'!$J$39,0)+IF(AND(C10&gt;=(13-'Assumptions'!$J$40)+'Assumptions'!$AF$40,C10&lt;=12),'Revenue and costs'!N18/'Assumptions'!$J$40,0)+IF(AND(C10&gt;=(13-'Assumptions'!$J$41)+'Assumptions'!$AF$41,C10&lt;=12),'Revenue and costs'!N19/'Assumptions'!$J$41,0)+IF(AND(C10&gt;=(13-'Assumptions'!$J$42)+'Assumptions'!$AF$42,C10&lt;=12),'Revenue and costs'!N20/'Assumptions'!$J$42,0)+IF(AND(C10&gt;=(13-'Assumptions'!$J$43)+'Assumptions'!$AF$43,C10&lt;=12),'Revenue and costs'!N21/'Assumptions'!$J$43,0)+IF(AND(C10&gt;=(13-'Assumptions'!$J$44)+'Assumptions'!$AF$44,C10&lt;=12),'Revenue and costs'!N22/'Assumptions'!$J$44,0)+IF(AND(C10&gt;=(13-'Assumptions'!$J$45)+'Assumptions'!$AF$45,C10&lt;=12),'Revenue and costs'!N23/'Assumptions'!$J$45,0)+IF(AND(C10&gt;=(13-'Assumptions'!$J$46)+'Assumptions'!$AF$46,C10&lt;=12),'Revenue and costs'!N24/'Assumptions'!$J$46,0)+IF(AND(C10&gt;=(13-'Assumptions'!$J$47)+'Assumptions'!$AF$47,C10&lt;=12),'Revenue and costs'!N25/'Assumptions'!$J$47,0)+IF(AND(C10&gt;=(13-'Assumptions'!$J$48)+'Assumptions'!$AF$48,C10&lt;=12),'Revenue and costs'!N26/'Assumptions'!$J$48,0)+IF(AND(C10&gt;=(13-'Assumptions'!$J$49)+'Assumptions'!$AF$49,C10&lt;=12),'Revenue and costs'!N27/'Assumptions'!$J$49,0)+IF(AND(C10&gt;=(13-'Assumptions'!$J$50)+'Assumptions'!$AF$50,C10&lt;=12),'Revenue and costs'!N28/'Assumptions'!$J$50,0)+IF(AND(C10&gt;=(13-'Assumptions'!$J$51)+'Assumptions'!$AF$51,C10&lt;=12),'Revenue and costs'!N29/'Assumptions'!$J$51,0)+IF(AND(C10&gt;=(13-'Assumptions'!$J$52)+'Assumptions'!$AF$52,C10&lt;=12),'Revenue and costs'!N30/'Assumptions'!$J$52,0)+IF(AND(C10&gt;=(13-'Assumptions'!$J$53)+'Assumptions'!$AF$53,C10&lt;=12),'Revenue and costs'!N31/'Assumptions'!$J$53,0)+IF(AND(C10&gt;=(13-'Assumptions'!$J$54)+'Assumptions'!$AF$54,C10&lt;=12),'Revenue and costs'!N32/'Assumptions'!$J$54,0)+IF(AND(C10&gt;=(13-'Assumptions'!$J$55)+'Assumptions'!$AF$55,C10&lt;=12),'Revenue and costs'!N33/'Assumptions'!$J$55,0)+IF(AND(C10&gt;=(13-'Assumptions'!$J$56)+'Assumptions'!$AF$56,C10&lt;=12),'Revenue and costs'!N34/'Assumptions'!$J$56,0)+IF(AND(C10&gt;=(13-'Assumptions'!$J$57)+'Assumptions'!$AF$57,C10&lt;=12),'Revenue and costs'!N35/'Assumptions'!$J$57,0)+IF(AND(C10&gt;=(13-'Assumptions'!$J$58)+'Assumptions'!$AF$58,C10&lt;=12),'Revenue and costs'!N36/'Assumptions'!$J$58,0)+IF(AND(C10&gt;=(13-'Assumptions'!$J$59)+'Assumptions'!$AF$59,C10&lt;=12),'Revenue and costs'!N37/'Assumptions'!$J$59,0)+IF(AND(C10&gt;=(13-'Assumptions'!$J$60)+'Assumptions'!$AF$60,C10&lt;=12),'Revenue and costs'!N38/'Assumptions'!$J$60,0)+IF(AND(C10&gt;=(13-'Assumptions'!$J$61)+'Assumptions'!$AF$61,C10&lt;=12),'Revenue and costs'!N39/'Assumptions'!$J$61,0)+IF(AND(C10&gt;=(13-'Assumptions'!$J$62)+'Assumptions'!$AF$62,C10&lt;=12),'Revenue and costs'!N40/'Assumptions'!$J$62,0)+IF(AND(C10&gt;=(13-'Assumptions'!$J$63)+'Assumptions'!$AF$63,C10&lt;=12),'Revenue and costs'!N41/'Assumptions'!$J$63,0)+IF(AND(C10&gt;=(13-'Assumptions'!$J$64)+'Assumptions'!$AF$64,C10&lt;=12),'Revenue and costs'!N42/'Assumptions'!$J$64,0)+IF(AND(C10&gt;=(13-'Assumptions'!$J$65)+'Assumptions'!$AF$65,C10&lt;=12),'Revenue and costs'!N43/'Assumptions'!$J$65,0)+IF(AND(C10&gt;=(13-'Assumptions'!$J$66)+'Assumptions'!$AF$66,C10&lt;=12),'Revenue and costs'!N44/'Assumptions'!$J$66,0)+IF(AND(C10&gt;=(13-'Assumptions'!$J$67)+'Assumptions'!$AF$67,C10&lt;=12),'Revenue and costs'!N45/'Assumptions'!$J$67,0)+IF(AND(C10&gt;=(13-'Assumptions'!$J$68)+'Assumptions'!$AF$68,C10&lt;=12),'Revenue and costs'!N46/'Assumptions'!$J$68,0)+IF(AND(C10&gt;=(13-'Assumptions'!$J$69)+'Assumptions'!$AF$69,C10&lt;=12),'Revenue and costs'!N47/'Assumptions'!$J$69,0)+IF(AND(C10&gt;=(13-'Assumptions'!$J$70)+'Assumptions'!$AF$70,C10&lt;=12),'Revenue and costs'!N48/'Assumptions'!$J$70,0)+IF(AND(C10&gt;=(13-'Assumptions'!$J$71)+'Assumptions'!$AF$71,C10&lt;=12),'Revenue and costs'!N49/'Assumptions'!$J$71,0)+IF(AND(C10&gt;=(13-'Assumptions'!$J$72)+'Assumptions'!$AF$72,C10&lt;=12),'Revenue and costs'!N50/'Assumptions'!$J$72,0)+IF(AND(C10&gt;=(13-'Assumptions'!$J$73)+'Assumptions'!$AF$73,C10&lt;=12),'Revenue and costs'!N51/'Assumptions'!$J$73,0)+IF(AND(C10&gt;=(13-'Assumptions'!$J$74)+'Assumptions'!$AF$74,C10&lt;=12),'Revenue and costs'!N52/'Assumptions'!$J$74,0)+IF(AND(C10&gt;=(13-'Assumptions'!$J$75)+'Assumptions'!$AF$75,C10&lt;=12),'Revenue and costs'!N53/'Assumptions'!$J$75,0)+IF(AND(C10&gt;=(13-'Assumptions'!$J$76)+'Assumptions'!$AF$76,C10&lt;=12),'Revenue and costs'!N54/'Assumptions'!$J$76,0)+IF(AND(C10&gt;=(13-'Assumptions'!$J$77)+'Assumptions'!$AF$77,C10&lt;=12),'Revenue and costs'!N55/'Assumptions'!$J$77,0)+IF(AND(C10&gt;=(13-'Assumptions'!$J$78)+'Assumptions'!$AF$78,C10&lt;=12),'Revenue and costs'!N56/'Assumptions'!$J$78,0)+IF(AND(C10&gt;=(13-'Assumptions'!$J$79)+'Assumptions'!$AF$79,C10&lt;=12),'Revenue and costs'!N57/'Assumptions'!$J$79,0)+IF(AND(C10&gt;=(13-'Assumptions'!$J$80)+'Assumptions'!$AF$80,C10&lt;=12),'Revenue and costs'!N58/'Assumptions'!$J$80,0)+IF(AND(C10&gt;=(13-'Assumptions'!$J$81)+'Assumptions'!$AF$81,C10&lt;=12),'Revenue and costs'!N59/'Assumptions'!$J$81,0)+IF(AND(C10&gt;=(13-'Assumptions'!$J$82)+'Assumptions'!$AF$82,C10&lt;=12),'Revenue and costs'!N60/'Assumptions'!$J$82,0)+IF(AND(C10&gt;=(13-'Assumptions'!$J$83)+'Assumptions'!$AF$83,C10&lt;=12),'Revenue and costs'!N61/'Assumptions'!$J$83,0)+IF(AND(C10&gt;=(13-'Assumptions'!$J$84)+'Assumptions'!$AF$84,C10&lt;=12),'Revenue and costs'!N62/'Assumptions'!$J$84,0)+IF(AND(C10&gt;=(13-'Assumptions'!$J$85)+'Assumptions'!$AF$85,C10&lt;=12),'Revenue and costs'!N63/'Assumptions'!$J$85,0)+IF(AND(C10&gt;=(13-'Assumptions'!$J$86)+'Assumptions'!$AF$86,C10&lt;=12),'Revenue and costs'!N64/'Assumptions'!$J$86,0)+IF(AND(C10&gt;=(13-'Assumptions'!$J$87)+'Assumptions'!$AF$87,C10&lt;=12),'Revenue and costs'!N65/'Assumptions'!$J$87,0)+IF(AND(C10&gt;=(13-'Assumptions'!$J$88)+'Assumptions'!$AF$88,C10&lt;=12),'Revenue and costs'!N66/'Assumptions'!$J$88,0)+IF(AND(C10&gt;=(13-'Assumptions'!$J$89)+'Assumptions'!$AF$89,C10&lt;=12),'Revenue and costs'!N67/'Assumptions'!$J$89,0)+IF(AND(C10&gt;=(13-'Assumptions'!$J$90)+'Assumptions'!$AF$90,C10&lt;=12),'Revenue and costs'!N68/'Assumptions'!$J$90,0)+IF(AND(C10&gt;=(13-'Assumptions'!$J$91)+'Assumptions'!$AF$91,C10&lt;=12),'Revenue and costs'!N69/'Assumptions'!$J$91,0)+IF(AND(C10&gt;=(13-'Assumptions'!$J$92)+'Assumptions'!$AF$92,C10&lt;=12),'Revenue and costs'!N70/'Assumptions'!$J$92,0)+IF(AND(C10&gt;=(13-'Assumptions'!$J$93)+'Assumptions'!$AF$93,C10&lt;=12),'Revenue and costs'!N71/'Assumptions'!$J$93,0)+IF(AND(C10&gt;=(13-'Assumptions'!$J$94)+'Assumptions'!$AF$94,C10&lt;=12),'Revenue and costs'!N72/'Assumptions'!$J$94,0)+IF(AND(C10&gt;=(13-'Assumptions'!$J$95)+'Assumptions'!$AF$95,C10&lt;=12),'Revenue and costs'!N73/'Assumptions'!$J$95,0)+IF(AND(C10&gt;=(13-'Assumptions'!$J$96)+'Assumptions'!$AF$96,C10&lt;=12),'Revenue and costs'!N74/'Assumptions'!$J$96,0)+IF(AND(C10&gt;=(13-'Assumptions'!$J$97)+'Assumptions'!$AF$97,C10&lt;=12),'Revenue and costs'!N75/'Assumptions'!$J$97,0)+IF(AND(C10&gt;=(13-'Assumptions'!$J$98)+'Assumptions'!$AF$98,C10&lt;=12),'Revenue and costs'!N76/'Assumptions'!$J$98,0)+IF(AND(C10&gt;=(13-'Assumptions'!$J$99)+'Assumptions'!$AF$99,C10&lt;=12),'Revenue and costs'!N77/'Assumptions'!$J$99,0)+IF(AND(C10&gt;=(13-'Assumptions'!$J$100)+'Assumptions'!$AF$100,C10&lt;=12),'Revenue and costs'!N78/'Assumptions'!$J$100,0)+IF(AND(C10&gt;=(13-'Assumptions'!$J$101)+'Assumptions'!$AF$101,C10&lt;=12),'Revenue and costs'!N79/'Assumptions'!$J$101,0)+IF(AND(C10&gt;=(13-'Assumptions'!$J$102)+'Assumptions'!$AF$102,C10&lt;=12),'Revenue and costs'!N80/'Assumptions'!$J$102,0)+IF(AND(C10&gt;=(13-'Assumptions'!$J$103)+'Assumptions'!$AF$103,C10&lt;=12),'Revenue and costs'!N81/'Assumptions'!$J$103,0)+IF(AND(C10&gt;=(13-'Assumptions'!$J$104)+'Assumptions'!$AF$104,C10&lt;=12),'Revenue and costs'!N82/'Assumptions'!$J$104,0)+IF(AND(C10&gt;=(13-'Assumptions'!$J$105)+'Assumptions'!$AF$105,C10&lt;=12),'Revenue and costs'!N83/'Assumptions'!$J$105,0)+IF(AND(C10&gt;=(13-'Assumptions'!$J$106)+'Assumptions'!$AF$106,C10&lt;=12),'Revenue and costs'!N84/'Assumptions'!$J$106,0)+IF(AND(C10&gt;=(13-'Assumptions'!$J$107)+'Assumptions'!$AF$107,C10&lt;=12),'Revenue and costs'!N85/'Assumptions'!$J$107,0)+IF(AND(C10&gt;=(13-'Assumptions'!$J$108)+'Assumptions'!$AF$108,C10&lt;=12),'Revenue and costs'!N86/'Assumptions'!$J$108,0)+IF(AND(C10&gt;=(13-'Assumptions'!$J$109)+'Assumptions'!$AF$109,C10&lt;=12),'Revenue and costs'!N87/'Assumptions'!$J$109,0)+IF(AND(C10&gt;=(13-'Assumptions'!$J$110)+'Assumptions'!$AF$110,C10&lt;=12),'Revenue and costs'!N88/'Assumptions'!$J$110,0)+IF(AND(C10&gt;=(13-'Assumptions'!$J$111)+'Assumptions'!$AF$111,C10&lt;=12),'Revenue and costs'!N89/'Assumptions'!$J$111,0)+IF(AND(C10&gt;=(13-'Assumptions'!$J$112)+'Assumptions'!$AF$112,C10&lt;=12),'Revenue and costs'!N90/'Assumptions'!$J$112,0)+IF(AND(C10&gt;=(13-'Assumptions'!$J$113)+'Assumptions'!$AF$113,C10&lt;=12),'Revenue and costs'!N91/'Assumptions'!$J$113,0)+IF(AND(C10&gt;=(13-'Assumptions'!$J$114)+'Assumptions'!$AF$114,C10&lt;=12),'Revenue and costs'!N92/'Assumptions'!$J$114,0)+IF(AND(C10&gt;=(13-'Assumptions'!$J$115)+'Assumptions'!$AF$115,C10&lt;=12),'Revenue and costs'!N93/'Assumptions'!$J$115,0)+IF(AND(C10&gt;=(13-'Assumptions'!$J$116)+'Assumptions'!$AF$116,C10&lt;=12),'Revenue and costs'!N94/'Assumptions'!$J$116,0)+IF(AND(C10&gt;=(13-'Assumptions'!$J$117)+'Assumptions'!$AF$117,C10&lt;=12),'Revenue and costs'!N95/'Assumptions'!$J$117,0)+IF(AND(C10&gt;=(13-'Assumptions'!$J$118)+'Assumptions'!$AF$118,C10&lt;=12),'Revenue and costs'!N96/'Assumptions'!$J$118,0)+IF(AND(C10&gt;=(13-'Assumptions'!$J$119)+'Assumptions'!$AF$119,C10&lt;=12),'Revenue and costs'!N97/'Assumptions'!$J$119,0)+IF(AND(C10&gt;=(13-'Assumptions'!$J$120)+'Assumptions'!$AF$120,C10&lt;=12),'Revenue and costs'!N98/'Assumptions'!$J$120,0)+IF(AND(C10&gt;=(13-'Assumptions'!$J$121)+'Assumptions'!$AF$121,C10&lt;=12),'Revenue and costs'!N99/'Assumptions'!$J$121,0)+IF(AND(C10&gt;=(13-'Assumptions'!$J$122)+'Assumptions'!$AF$122,C10&lt;=12),'Revenue and costs'!N100/'Assumptions'!$J$122,0)+IF(AND(C10&gt;=(13-'Assumptions'!$J$123)+'Assumptions'!$AF$123,C10&lt;=12),'Revenue and costs'!N101/'Assumptions'!$J$123,0)+IF(AND(C10&gt;=(13-'Assumptions'!$J$124)+'Assumptions'!$AF$124,C10&lt;=12),'Revenue and costs'!N102/'Assumptions'!$J$124,0)+IF(AND(C10&gt;=(13-'Assumptions'!$J$125)+'Assumptions'!$AF$125,C10&lt;=12),'Revenue and costs'!N103/'Assumptions'!$J$125,0)+IF(AND(C10&gt;=(13-'Assumptions'!$J$126)+'Assumptions'!$AF$126,C10&lt;=12),'Revenue and costs'!N104/'Assumptions'!$J$126,0)+IF(AND(C10&gt;=(13-'Assumptions'!$J$127)+'Assumptions'!$AF$127,C10&lt;=12),'Revenue and costs'!N105/'Assumptions'!$J$127,0)+IF(AND(C10&gt;=(13-'Assumptions'!$J$128)+'Assumptions'!$AF$128,C10&lt;=12),'Revenue and costs'!N106/'Assumptions'!$J$128,0)+IF(AND(C10&gt;=(13-'Assumptions'!$J$129)+'Assumptions'!$AF$129,C10&lt;=12),'Revenue and costs'!N107/'Assumptions'!$J$129,0)+IF(AND(C10&gt;=(13-'Assumptions'!$J$130)+'Assumptions'!$AF$130,C10&lt;=12),'Revenue and costs'!N108/'Assumptions'!$J$130,0)+IF(AND(C10&gt;=(13-'Assumptions'!$J$131)+'Assumptions'!$AF$131,C10&lt;=12),'Revenue and costs'!N109/'Assumptions'!$J$131,0)+IF(AND(C10&gt;=(13-'Assumptions'!$J$132)+'Assumptions'!$AF$132,C10&lt;=12),'Revenue and costs'!N110/'Assumptions'!$J$132,0)+IF(AND(C10&gt;=(13-'Assumptions'!$J$133)+'Assumptions'!$AF$133,C10&lt;=12),'Revenue and costs'!N111/'Assumptions'!$J$133,0)+IF(AND(C10&gt;=(13-'Assumptions'!$J$134)+'Assumptions'!$AF$134,C10&lt;=12),'Revenue and costs'!N112/'Assumptions'!$J$134,0)+IF(AND(C10&gt;=(13-'Assumptions'!$J$135)+'Assumptions'!$AF$135,C10&lt;=12),'Revenue and costs'!N113/'Assumptions'!$J$135,0)+IF(AND(C10&gt;=(13-'Assumptions'!$J$136)+'Assumptions'!$AF$136,C10&lt;=12),'Revenue and costs'!N114/'Assumptions'!$J$136,0)+IF(AND(C10&gt;=(13-'Assumptions'!$J$137)+'Assumptions'!$AF$137,C10&lt;=12),'Revenue and costs'!N115/'Assumptions'!$J$137,0)+IF(AND(C10&gt;=(13-'Assumptions'!$J$138)+'Assumptions'!$AF$138,C10&lt;=12),'Revenue and costs'!N116/'Assumptions'!$J$138,0)+IF(AND(C10&gt;=(13-'Assumptions'!$J$139)+'Assumptions'!$AF$139,C10&lt;=12),'Revenue and costs'!N117/'Assumptions'!$J$139,0)+IF(AND(C10&gt;=(13-'Assumptions'!$J$140)+'Assumptions'!$AF$140,C10&lt;=12),'Revenue and costs'!N118/'Assumptions'!$J$140,0)+IF(AND(C10&gt;=(13-'Assumptions'!$J$141)+'Assumptions'!$AF$141,C10&lt;=12),'Revenue and costs'!N119/'Assumptions'!$J$141,0)+IF(AND(C10&gt;=(13-'Assumptions'!$J$142)+'Assumptions'!$AF$142,C10&lt;=12),'Revenue and costs'!N120/'Assumptions'!$J$142,0)+IF(AND(C10&gt;=(13-'Assumptions'!$J$143)+'Assumptions'!$AF$143,C10&lt;=12),'Revenue and costs'!N121/'Assumptions'!$J$143,0)+IF(AND(C10&gt;=(13-'Assumptions'!$J$144)+'Assumptions'!$AF$144,C10&lt;=12),'Revenue and costs'!N122/'Assumptions'!$J$144,0)+IF(AND(C10&gt;=(13-'Assumptions'!$J$145)+'Assumptions'!$AF$145,C10&lt;=12),'Revenue and costs'!N123/'Assumptions'!$J$145,0)+IF(AND(C10&gt;=(13-'Assumptions'!$J$146)+'Assumptions'!$AF$146,C10&lt;=12),'Revenue and costs'!N124/'Assumptions'!$J$146,0)+IF(AND(C10&gt;=(13-'Assumptions'!$J$147)+'Assumptions'!$AF$147,C10&lt;=12),'Revenue and costs'!N125/'Assumptions'!$J$147,0)+IF(AND(C10&gt;=(13-'Assumptions'!$J$148)+'Assumptions'!$AF$148,C10&lt;=12),'Revenue and costs'!N126/'Assumptions'!$J$148,0)+IF(AND(C10&gt;=(13-'Assumptions'!$J$149)+'Assumptions'!$AF$149,C10&lt;=12),'Revenue and costs'!N127/'Assumptions'!$J$149,0)+IF(AND(C10&gt;=(13-'Assumptions'!$J$150)+'Assumptions'!$AF$150,C10&lt;=12),'Revenue and costs'!N128/'Assumptions'!$J$150,0)+IF(AND(C10&gt;=(13-'Assumptions'!$J$151)+'Assumptions'!$AF$151,C10&lt;=12),'Revenue and costs'!N129/'Assumptions'!$J$151,0)+IF(AND(C10&gt;=(13-'Assumptions'!$J$152)+'Assumptions'!$AF$152,C10&lt;=12),'Revenue and costs'!N130/'Assumptions'!$J$152,0)+IF(AND(C10&gt;=(13-'Assumptions'!$J$153)+'Assumptions'!$AF$153,C10&lt;=12),'Revenue and costs'!N131/'Assumptions'!$J$153,0)+IF(AND(C10&gt;=(13-'Assumptions'!$J$154)+'Assumptions'!$AF$154,C10&lt;=12),'Revenue and costs'!N132/'Assumptions'!$J$154,0)+IF(AND(C10&gt;=(13-'Assumptions'!$J$155)+'Assumptions'!$AF$155,C10&lt;=12),'Revenue and costs'!N133/'Assumptions'!$J$155,0)+IF(AND(C10&gt;=(13-'Assumptions'!$J$156)+'Assumptions'!$AF$156,C10&lt;=12),'Revenue and costs'!N134/'Assumptions'!$J$156,0)+IF(AND(C10&gt;=(13-'Assumptions'!$J$157)+'Assumptions'!$AF$157,C10&lt;=12),'Revenue and costs'!N135/'Assumptions'!$J$157,0)</x:f>
        <x:v>6772.216666666667</x:v>
      </x:c>
      <x:c r="E10" s="10" t="n">
        <x:f>IF(AND(C10&gt;=(13-'Assumptions'!$J$30),C10&lt;=12),SUM('Revenue and costs'!O8:U8)/'Assumptions'!$J$30,0)+IF(C10=(13-'Assumptions'!$J$30)-1,'Revenue and costs'!V8+'Revenue and costs'!AE8,0)+IF(AND(C10&gt;=(13-'Assumptions'!$J$31),C10&lt;=12),SUM('Revenue and costs'!O9:U9)/'Assumptions'!$J$31,0)+IF(C10=(13-'Assumptions'!$J$31)-1,'Revenue and costs'!V9+'Revenue and costs'!AE9,0)+IF(AND(C10&gt;=(13-'Assumptions'!$J$32),C10&lt;=12),SUM('Revenue and costs'!O10:U10)/'Assumptions'!$J$32,0)+IF(C10=(13-'Assumptions'!$J$32)-1,'Revenue and costs'!V10+'Revenue and costs'!AE10,0)+IF(AND(C10&gt;=(13-'Assumptions'!$J$33),C10&lt;=12),SUM('Revenue and costs'!O11:U11)/'Assumptions'!$J$33,0)+IF(C10=(13-'Assumptions'!$J$33)-1,'Revenue and costs'!V11+'Revenue and costs'!AE11,0)+IF(AND(C10&gt;=(13-'Assumptions'!$J$34),C10&lt;=12),SUM('Revenue and costs'!O12:U12)/'Assumptions'!$J$34,0)+IF(C10=(13-'Assumptions'!$J$34)-1,'Revenue and costs'!V12+'Revenue and costs'!AE12,0)+IF(AND(C10&gt;=(13-'Assumptions'!$J$35),C10&lt;=12),SUM('Revenue and costs'!O13:U13)/'Assumptions'!$J$35,0)+IF(C10=(13-'Assumptions'!$J$35)-1,'Revenue and costs'!V13+'Revenue and costs'!AE13,0)+IF(AND(C10&gt;=(13-'Assumptions'!$J$36),C10&lt;=12),SUM('Revenue and costs'!O14:U14)/'Assumptions'!$J$36,0)+IF(C10=(13-'Assumptions'!$J$36)-1,'Revenue and costs'!V14+'Revenue and costs'!AE14,0)+IF(AND(C10&gt;=(13-'Assumptions'!$J$37),C10&lt;=12),SUM('Revenue and costs'!O15:U15)/'Assumptions'!$J$37,0)+IF(C10=(13-'Assumptions'!$J$37)-1,'Revenue and costs'!V15+'Revenue and costs'!AE15,0)+IF(AND(C10&gt;=(13-'Assumptions'!$J$38),C10&lt;=12),SUM('Revenue and costs'!O16:U16)/'Assumptions'!$J$38,0)+IF(C10=(13-'Assumptions'!$J$38)-1,'Revenue and costs'!V16+'Revenue and costs'!AE16,0)+IF(AND(C10&gt;=(13-'Assumptions'!$J$39),C10&lt;=12),SUM('Revenue and costs'!O17:U17)/'Assumptions'!$J$39,0)+IF(C10=(13-'Assumptions'!$J$39)-1,'Revenue and costs'!V17+'Revenue and costs'!AE17,0)+IF(AND(C10&gt;=(13-'Assumptions'!$J$40),C10&lt;=12),SUM('Revenue and costs'!O18:U18)/'Assumptions'!$J$40,0)+IF(C10=(13-'Assumptions'!$J$40)-1,'Revenue and costs'!V18+'Revenue and costs'!AE18,0)+IF(AND(C10&gt;=(13-'Assumptions'!$J$41),C10&lt;=12),SUM('Revenue and costs'!O19:U19)/'Assumptions'!$J$41,0)+IF(C10=(13-'Assumptions'!$J$41)-1,'Revenue and costs'!V19+'Revenue and costs'!AE19,0)+IF(AND(C10&gt;=(13-'Assumptions'!$J$42),C10&lt;=12),SUM('Revenue and costs'!O20:U20)/'Assumptions'!$J$42,0)+IF(C10=(13-'Assumptions'!$J$42)-1,'Revenue and costs'!V20+'Revenue and costs'!AE20,0)+IF(AND(C10&gt;=(13-'Assumptions'!$J$43),C10&lt;=12),SUM('Revenue and costs'!O21:U21)/'Assumptions'!$J$43,0)+IF(C10=(13-'Assumptions'!$J$43)-1,'Revenue and costs'!V21+'Revenue and costs'!AE21,0)+IF(AND(C10&gt;=(13-'Assumptions'!$J$44),C10&lt;=12),SUM('Revenue and costs'!O22:U22)/'Assumptions'!$J$44,0)+IF(C10=(13-'Assumptions'!$J$44)-1,'Revenue and costs'!V22+'Revenue and costs'!AE22,0)+IF(AND(C10&gt;=(13-'Assumptions'!$J$45),C10&lt;=12),SUM('Revenue and costs'!O23:U23)/'Assumptions'!$J$45,0)+IF(C10=(13-'Assumptions'!$J$45)-1,'Revenue and costs'!V23+'Revenue and costs'!AE23,0)+IF(AND(C10&gt;=(13-'Assumptions'!$J$46),C10&lt;=12),SUM('Revenue and costs'!O24:U24)/'Assumptions'!$J$46,0)+IF(C10=(13-'Assumptions'!$J$46)-1,'Revenue and costs'!V24+'Revenue and costs'!AE24,0)+IF(AND(C10&gt;=(13-'Assumptions'!$J$47),C10&lt;=12),SUM('Revenue and costs'!O25:U25)/'Assumptions'!$J$47,0)+IF(C10=(13-'Assumptions'!$J$47)-1,'Revenue and costs'!V25+'Revenue and costs'!AE25,0)+IF(AND(C10&gt;=(13-'Assumptions'!$J$48),C10&lt;=12),SUM('Revenue and costs'!O26:U26)/'Assumptions'!$J$48,0)+IF(C10=(13-'Assumptions'!$J$48)-1,'Revenue and costs'!V26+'Revenue and costs'!AE26,0)+IF(AND(C10&gt;=(13-'Assumptions'!$J$49),C10&lt;=12),SUM('Revenue and costs'!O27:U27)/'Assumptions'!$J$49,0)+IF(C10=(13-'Assumptions'!$J$49)-1,'Revenue and costs'!V27+'Revenue and costs'!AE27,0)+IF(AND(C10&gt;=(13-'Assumptions'!$J$50),C10&lt;=12),SUM('Revenue and costs'!O28:U28)/'Assumptions'!$J$50,0)+IF(C10=(13-'Assumptions'!$J$50)-1,'Revenue and costs'!V28+'Revenue and costs'!AE28,0)+IF(AND(C10&gt;=(13-'Assumptions'!$J$51),C10&lt;=12),SUM('Revenue and costs'!O29:U29)/'Assumptions'!$J$51,0)+IF(C10=(13-'Assumptions'!$J$51)-1,'Revenue and costs'!V29+'Revenue and costs'!AE29,0)+IF(AND(C10&gt;=(13-'Assumptions'!$J$52),C10&lt;=12),SUM('Revenue and costs'!O30:U30)/'Assumptions'!$J$52,0)+IF(C10=(13-'Assumptions'!$J$52)-1,'Revenue and costs'!V30+'Revenue and costs'!AE30,0)+IF(AND(C10&gt;=(13-'Assumptions'!$J$53),C10&lt;=12),SUM('Revenue and costs'!O31:U31)/'Assumptions'!$J$53,0)+IF(C10=(13-'Assumptions'!$J$53)-1,'Revenue and costs'!V31+'Revenue and costs'!AE31,0)+IF(AND(C10&gt;=(13-'Assumptions'!$J$54),C10&lt;=12),SUM('Revenue and costs'!O32:U32)/'Assumptions'!$J$54,0)+IF(C10=(13-'Assumptions'!$J$54)-1,'Revenue and costs'!V32+'Revenue and costs'!AE32,0)+IF(AND(C10&gt;=(13-'Assumptions'!$J$55),C10&lt;=12),SUM('Revenue and costs'!O33:U33)/'Assumptions'!$J$55,0)+IF(C10=(13-'Assumptions'!$J$55)-1,'Revenue and costs'!V33+'Revenue and costs'!AE33,0)+IF(AND(C10&gt;=(13-'Assumptions'!$J$56),C10&lt;=12),SUM('Revenue and costs'!O34:U34)/'Assumptions'!$J$56,0)+IF(C10=(13-'Assumptions'!$J$56)-1,'Revenue and costs'!V34+'Revenue and costs'!AE34,0)+IF(AND(C10&gt;=(13-'Assumptions'!$J$57),C10&lt;=12),SUM('Revenue and costs'!O35:U35)/'Assumptions'!$J$57,0)+IF(C10=(13-'Assumptions'!$J$57)-1,'Revenue and costs'!V35+'Revenue and costs'!AE35,0)+IF(AND(C10&gt;=(13-'Assumptions'!$J$58),C10&lt;=12),SUM('Revenue and costs'!O36:U36)/'Assumptions'!$J$58,0)+IF(C10=(13-'Assumptions'!$J$58)-1,'Revenue and costs'!V36+'Revenue and costs'!AE36,0)+IF(AND(C10&gt;=(13-'Assumptions'!$J$59),C10&lt;=12),SUM('Revenue and costs'!O37:U37)/'Assumptions'!$J$59,0)+IF(C10=(13-'Assumptions'!$J$59)-1,'Revenue and costs'!V37+'Revenue and costs'!AE37,0)+IF(AND(C10&gt;=(13-'Assumptions'!$J$60),C10&lt;=12),SUM('Revenue and costs'!O38:U38)/'Assumptions'!$J$60,0)+IF(C10=(13-'Assumptions'!$J$60)-1,'Revenue and costs'!V38+'Revenue and costs'!AE38,0)+IF(AND(C10&gt;=(13-'Assumptions'!$J$61),C10&lt;=12),SUM('Revenue and costs'!O39:U39)/'Assumptions'!$J$61,0)+IF(C10=(13-'Assumptions'!$J$61)-1,'Revenue and costs'!V39+'Revenue and costs'!AE39,0)+IF(AND(C10&gt;=(13-'Assumptions'!$J$62),C10&lt;=12),SUM('Revenue and costs'!O40:U40)/'Assumptions'!$J$62,0)+IF(C10=(13-'Assumptions'!$J$62)-1,'Revenue and costs'!V40+'Revenue and costs'!AE40,0)+IF(AND(C10&gt;=(13-'Assumptions'!$J$63),C10&lt;=12),SUM('Revenue and costs'!O41:U41)/'Assumptions'!$J$63,0)+IF(C10=(13-'Assumptions'!$J$63)-1,'Revenue and costs'!V41+'Revenue and costs'!AE41,0)+IF(AND(C10&gt;=(13-'Assumptions'!$J$64),C10&lt;=12),SUM('Revenue and costs'!O42:U42)/'Assumptions'!$J$64,0)+IF(C10=(13-'Assumptions'!$J$64)-1,'Revenue and costs'!V42+'Revenue and costs'!AE42,0)+IF(AND(C10&gt;=(13-'Assumptions'!$J$65),C10&lt;=12),SUM('Revenue and costs'!O43:U43)/'Assumptions'!$J$65,0)+IF(C10=(13-'Assumptions'!$J$65)-1,'Revenue and costs'!V43+'Revenue and costs'!AE43,0)+IF(AND(C10&gt;=(13-'Assumptions'!$J$66),C10&lt;=12),SUM('Revenue and costs'!O44:U44)/'Assumptions'!$J$66,0)+IF(C10=(13-'Assumptions'!$J$66)-1,'Revenue and costs'!V44+'Revenue and costs'!AE44,0)+IF(AND(C10&gt;=(13-'Assumptions'!$J$67),C10&lt;=12),SUM('Revenue and costs'!O45:U45)/'Assumptions'!$J$67,0)+IF(C10=(13-'Assumptions'!$J$67)-1,'Revenue and costs'!V45+'Revenue and costs'!AE45,0)+IF(AND(C10&gt;=(13-'Assumptions'!$J$68),C10&lt;=12),SUM('Revenue and costs'!O46:U46)/'Assumptions'!$J$68,0)+IF(C10=(13-'Assumptions'!$J$68)-1,'Revenue and costs'!V46+'Revenue and costs'!AE46,0)+IF(AND(C10&gt;=(13-'Assumptions'!$J$69),C10&lt;=12),SUM('Revenue and costs'!O47:U47)/'Assumptions'!$J$69,0)+IF(C10=(13-'Assumptions'!$J$69)-1,'Revenue and costs'!V47+'Revenue and costs'!AE47,0)+IF(AND(C10&gt;=(13-'Assumptions'!$J$70),C10&lt;=12),SUM('Revenue and costs'!O48:U48)/'Assumptions'!$J$70,0)+IF(C10=(13-'Assumptions'!$J$70)-1,'Revenue and costs'!V48+'Revenue and costs'!AE48,0)+IF(AND(C10&gt;=(13-'Assumptions'!$J$71),C10&lt;=12),SUM('Revenue and costs'!O49:U49)/'Assumptions'!$J$71,0)+IF(C10=(13-'Assumptions'!$J$71)-1,'Revenue and costs'!V49+'Revenue and costs'!AE49,0)+IF(AND(C10&gt;=(13-'Assumptions'!$J$72),C10&lt;=12),SUM('Revenue and costs'!O50:U50)/'Assumptions'!$J$72,0)+IF(C10=(13-'Assumptions'!$J$72)-1,'Revenue and costs'!V50+'Revenue and costs'!AE50,0)+IF(AND(C10&gt;=(13-'Assumptions'!$J$73),C10&lt;=12),SUM('Revenue and costs'!O51:U51)/'Assumptions'!$J$73,0)+IF(C10=(13-'Assumptions'!$J$73)-1,'Revenue and costs'!V51+'Revenue and costs'!AE51,0)+IF(AND(C10&gt;=(13-'Assumptions'!$J$74),C10&lt;=12),SUM('Revenue and costs'!O52:U52)/'Assumptions'!$J$74,0)+IF(C10=(13-'Assumptions'!$J$74)-1,'Revenue and costs'!V52+'Revenue and costs'!AE52,0)+IF(AND(C10&gt;=(13-'Assumptions'!$J$75),C10&lt;=12),SUM('Revenue and costs'!O53:U53)/'Assumptions'!$J$75,0)+IF(C10=(13-'Assumptions'!$J$75)-1,'Revenue and costs'!V53+'Revenue and costs'!AE53,0)+IF(AND(C10&gt;=(13-'Assumptions'!$J$76),C10&lt;=12),SUM('Revenue and costs'!O54:U54)/'Assumptions'!$J$76,0)+IF(C10=(13-'Assumptions'!$J$76)-1,'Revenue and costs'!V54+'Revenue and costs'!AE54,0)+IF(AND(C10&gt;=(13-'Assumptions'!$J$77),C10&lt;=12),SUM('Revenue and costs'!O55:U55)/'Assumptions'!$J$77,0)+IF(C10=(13-'Assumptions'!$J$77)-1,'Revenue and costs'!V55+'Revenue and costs'!AE55,0)+IF(AND(C10&gt;=(13-'Assumptions'!$J$78),C10&lt;=12),SUM('Revenue and costs'!O56:U56)/'Assumptions'!$J$78,0)+IF(C10=(13-'Assumptions'!$J$78)-1,'Revenue and costs'!V56+'Revenue and costs'!AE56,0)+IF(AND(C10&gt;=(13-'Assumptions'!$J$79),C10&lt;=12),SUM('Revenue and costs'!O57:U57)/'Assumptions'!$J$79,0)+IF(C10=(13-'Assumptions'!$J$79)-1,'Revenue and costs'!V57+'Revenue and costs'!AE57,0)+IF(AND(C10&gt;=(13-'Assumptions'!$J$80),C10&lt;=12),SUM('Revenue and costs'!O58:U58)/'Assumptions'!$J$80,0)+IF(C10=(13-'Assumptions'!$J$80)-1,'Revenue and costs'!V58+'Revenue and costs'!AE58,0)+IF(AND(C10&gt;=(13-'Assumptions'!$J$81),C10&lt;=12),SUM('Revenue and costs'!O59:U59)/'Assumptions'!$J$81,0)+IF(C10=(13-'Assumptions'!$J$81)-1,'Revenue and costs'!V59+'Revenue and costs'!AE59,0)+IF(AND(C10&gt;=(13-'Assumptions'!$J$82),C10&lt;=12),SUM('Revenue and costs'!O60:U60)/'Assumptions'!$J$82,0)+IF(C10=(13-'Assumptions'!$J$82)-1,'Revenue and costs'!V60+'Revenue and costs'!AE60,0)+IF(AND(C10&gt;=(13-'Assumptions'!$J$83),C10&lt;=12),SUM('Revenue and costs'!O61:U61)/'Assumptions'!$J$83,0)+IF(C10=(13-'Assumptions'!$J$83)-1,'Revenue and costs'!V61+'Revenue and costs'!AE61,0)+IF(AND(C10&gt;=(13-'Assumptions'!$J$84),C10&lt;=12),SUM('Revenue and costs'!O62:U62)/'Assumptions'!$J$84,0)+IF(C10=(13-'Assumptions'!$J$84)-1,'Revenue and costs'!V62+'Revenue and costs'!AE62,0)+IF(AND(C10&gt;=(13-'Assumptions'!$J$85),C10&lt;=12),SUM('Revenue and costs'!O63:U63)/'Assumptions'!$J$85,0)+IF(C10=(13-'Assumptions'!$J$85)-1,'Revenue and costs'!V63+'Revenue and costs'!AE63,0)+IF(AND(C10&gt;=(13-'Assumptions'!$J$86),C10&lt;=12),SUM('Revenue and costs'!O64:U64)/'Assumptions'!$J$86,0)+IF(C10=(13-'Assumptions'!$J$86)-1,'Revenue and costs'!V64+'Revenue and costs'!AE64,0)+IF(AND(C10&gt;=(13-'Assumptions'!$J$87),C10&lt;=12),SUM('Revenue and costs'!O65:U65)/'Assumptions'!$J$87,0)+IF(C10=(13-'Assumptions'!$J$87)-1,'Revenue and costs'!V65+'Revenue and costs'!AE65,0)+IF(AND(C10&gt;=(13-'Assumptions'!$J$88),C10&lt;=12),SUM('Revenue and costs'!O66:U66)/'Assumptions'!$J$88,0)+IF(C10=(13-'Assumptions'!$J$88)-1,'Revenue and costs'!V66+'Revenue and costs'!AE66,0)+IF(AND(C10&gt;=(13-'Assumptions'!$J$89),C10&lt;=12),SUM('Revenue and costs'!O67:U67)/'Assumptions'!$J$89,0)+IF(C10=(13-'Assumptions'!$J$89)-1,'Revenue and costs'!V67+'Revenue and costs'!AE67,0)+IF(AND(C10&gt;=(13-'Assumptions'!$J$90),C10&lt;=12),SUM('Revenue and costs'!O68:U68)/'Assumptions'!$J$90,0)+IF(C10=(13-'Assumptions'!$J$90)-1,'Revenue and costs'!V68+'Revenue and costs'!AE68,0)+IF(AND(C10&gt;=(13-'Assumptions'!$J$91),C10&lt;=12),SUM('Revenue and costs'!O69:U69)/'Assumptions'!$J$91,0)+IF(C10=(13-'Assumptions'!$J$91)-1,'Revenue and costs'!V69+'Revenue and costs'!AE69,0)+IF(AND(C10&gt;=(13-'Assumptions'!$J$92),C10&lt;=12),SUM('Revenue and costs'!O70:U70)/'Assumptions'!$J$92,0)+IF(C10=(13-'Assumptions'!$J$92)-1,'Revenue and costs'!V70+'Revenue and costs'!AE70,0)+IF(AND(C10&gt;=(13-'Assumptions'!$J$93),C10&lt;=12),SUM('Revenue and costs'!O71:U71)/'Assumptions'!$J$93,0)+IF(C10=(13-'Assumptions'!$J$93)-1,'Revenue and costs'!V71+'Revenue and costs'!AE71,0)+IF(AND(C10&gt;=(13-'Assumptions'!$J$94),C10&lt;=12),SUM('Revenue and costs'!O72:U72)/'Assumptions'!$J$94,0)+IF(C10=(13-'Assumptions'!$J$94)-1,'Revenue and costs'!V72+'Revenue and costs'!AE72,0)+IF(AND(C10&gt;=(13-'Assumptions'!$J$95),C10&lt;=12),SUM('Revenue and costs'!O73:U73)/'Assumptions'!$J$95,0)+IF(C10=(13-'Assumptions'!$J$95)-1,'Revenue and costs'!V73+'Revenue and costs'!AE73,0)+IF(AND(C10&gt;=(13-'Assumptions'!$J$96),C10&lt;=12),SUM('Revenue and costs'!O74:U74)/'Assumptions'!$J$96,0)+IF(C10=(13-'Assumptions'!$J$96)-1,'Revenue and costs'!V74+'Revenue and costs'!AE74,0)+IF(AND(C10&gt;=(13-'Assumptions'!$J$97),C10&lt;=12),SUM('Revenue and costs'!O75:U75)/'Assumptions'!$J$97,0)+IF(C10=(13-'Assumptions'!$J$97)-1,'Revenue and costs'!V75+'Revenue and costs'!AE75,0)+IF(AND(C10&gt;=(13-'Assumptions'!$J$98),C10&lt;=12),SUM('Revenue and costs'!O76:U76)/'Assumptions'!$J$98,0)+IF(C10=(13-'Assumptions'!$J$98)-1,'Revenue and costs'!V76+'Revenue and costs'!AE76,0)+IF(AND(C10&gt;=(13-'Assumptions'!$J$99),C10&lt;=12),SUM('Revenue and costs'!O77:U77)/'Assumptions'!$J$99,0)+IF(C10=(13-'Assumptions'!$J$99)-1,'Revenue and costs'!V77+'Revenue and costs'!AE77,0)+IF(AND(C10&gt;=(13-'Assumptions'!$J$100),C10&lt;=12),SUM('Revenue and costs'!O78:U78)/'Assumptions'!$J$100,0)+IF(C10=(13-'Assumptions'!$J$100)-1,'Revenue and costs'!V78+'Revenue and costs'!AE78,0)+IF(AND(C10&gt;=(13-'Assumptions'!$J$101),C10&lt;=12),SUM('Revenue and costs'!O79:U79)/'Assumptions'!$J$101,0)+IF(C10=(13-'Assumptions'!$J$101)-1,'Revenue and costs'!V79+'Revenue and costs'!AE79,0)+IF(AND(C10&gt;=(13-'Assumptions'!$J$102),C10&lt;=12),SUM('Revenue and costs'!O80:U80)/'Assumptions'!$J$102,0)+IF(C10=(13-'Assumptions'!$J$102)-1,'Revenue and costs'!V80+'Revenue and costs'!AE80,0)+IF(AND(C10&gt;=(13-'Assumptions'!$J$103),C10&lt;=12),SUM('Revenue and costs'!O81:U81)/'Assumptions'!$J$103,0)+IF(C10=(13-'Assumptions'!$J$103)-1,'Revenue and costs'!V81+'Revenue and costs'!AE81,0)+IF(AND(C10&gt;=(13-'Assumptions'!$J$104),C10&lt;=12),SUM('Revenue and costs'!O82:U82)/'Assumptions'!$J$104,0)+IF(C10=(13-'Assumptions'!$J$104)-1,'Revenue and costs'!V82+'Revenue and costs'!AE82,0)+IF(AND(C10&gt;=(13-'Assumptions'!$J$105),C10&lt;=12),SUM('Revenue and costs'!O83:U83)/'Assumptions'!$J$105,0)+IF(C10=(13-'Assumptions'!$J$105)-1,'Revenue and costs'!V83+'Revenue and costs'!AE83,0)+IF(AND(C10&gt;=(13-'Assumptions'!$J$106),C10&lt;=12),SUM('Revenue and costs'!O84:U84)/'Assumptions'!$J$106,0)+IF(C10=(13-'Assumptions'!$J$106)-1,'Revenue and costs'!V84+'Revenue and costs'!AE84,0)+IF(AND(C10&gt;=(13-'Assumptions'!$J$107),C10&lt;=12),SUM('Revenue and costs'!O85:U85)/'Assumptions'!$J$107,0)+IF(C10=(13-'Assumptions'!$J$107)-1,'Revenue and costs'!V85+'Revenue and costs'!AE85,0)+IF(AND(C10&gt;=(13-'Assumptions'!$J$108),C10&lt;=12),SUM('Revenue and costs'!O86:U86)/'Assumptions'!$J$108,0)+IF(C10=(13-'Assumptions'!$J$108)-1,'Revenue and costs'!V86+'Revenue and costs'!AE86,0)+IF(AND(C10&gt;=(13-'Assumptions'!$J$109),C10&lt;=12),SUM('Revenue and costs'!O87:U87)/'Assumptions'!$J$109,0)+IF(C10=(13-'Assumptions'!$J$109)-1,'Revenue and costs'!V87+'Revenue and costs'!AE87,0)+IF(AND(C10&gt;=(13-'Assumptions'!$J$110),C10&lt;=12),SUM('Revenue and costs'!O88:U88)/'Assumptions'!$J$110,0)+IF(C10=(13-'Assumptions'!$J$110)-1,'Revenue and costs'!V88+'Revenue and costs'!AE88,0)+IF(AND(C10&gt;=(13-'Assumptions'!$J$111),C10&lt;=12),SUM('Revenue and costs'!O89:U89)/'Assumptions'!$J$111,0)+IF(C10=(13-'Assumptions'!$J$111)-1,'Revenue and costs'!V89+'Revenue and costs'!AE89,0)+IF(AND(C10&gt;=(13-'Assumptions'!$J$112),C10&lt;=12),SUM('Revenue and costs'!O90:U90)/'Assumptions'!$J$112,0)+IF(C10=(13-'Assumptions'!$J$112)-1,'Revenue and costs'!V90+'Revenue and costs'!AE90,0)+IF(AND(C10&gt;=(13-'Assumptions'!$J$113),C10&lt;=12),SUM('Revenue and costs'!O91:U91)/'Assumptions'!$J$113,0)+IF(C10=(13-'Assumptions'!$J$113)-1,'Revenue and costs'!V91+'Revenue and costs'!AE91,0)+IF(AND(C10&gt;=(13-'Assumptions'!$J$114),C10&lt;=12),SUM('Revenue and costs'!O92:U92)/'Assumptions'!$J$114,0)+IF(C10=(13-'Assumptions'!$J$114)-1,'Revenue and costs'!V92+'Revenue and costs'!AE92,0)+IF(AND(C10&gt;=(13-'Assumptions'!$J$115),C10&lt;=12),SUM('Revenue and costs'!O93:U93)/'Assumptions'!$J$115,0)+IF(C10=(13-'Assumptions'!$J$115)-1,'Revenue and costs'!V93+'Revenue and costs'!AE93,0)+IF(AND(C10&gt;=(13-'Assumptions'!$J$116),C10&lt;=12),SUM('Revenue and costs'!O94:U94)/'Assumptions'!$J$116,0)+IF(C10=(13-'Assumptions'!$J$116)-1,'Revenue and costs'!V94+'Revenue and costs'!AE94,0)+IF(AND(C10&gt;=(13-'Assumptions'!$J$117),C10&lt;=12),SUM('Revenue and costs'!O95:U95)/'Assumptions'!$J$117,0)+IF(C10=(13-'Assumptions'!$J$117)-1,'Revenue and costs'!V95+'Revenue and costs'!AE95,0)+IF(AND(C10&gt;=(13-'Assumptions'!$J$118),C10&lt;=12),SUM('Revenue and costs'!O96:U96)/'Assumptions'!$J$118,0)+IF(C10=(13-'Assumptions'!$J$118)-1,'Revenue and costs'!V96+'Revenue and costs'!AE96,0)+IF(AND(C10&gt;=(13-'Assumptions'!$J$119),C10&lt;=12),SUM('Revenue and costs'!O97:U97)/'Assumptions'!$J$119,0)+IF(C10=(13-'Assumptions'!$J$119)-1,'Revenue and costs'!V97+'Revenue and costs'!AE97,0)+IF(AND(C10&gt;=(13-'Assumptions'!$J$120),C10&lt;=12),SUM('Revenue and costs'!O98:U98)/'Assumptions'!$J$120,0)+IF(C10=(13-'Assumptions'!$J$120)-1,'Revenue and costs'!V98+'Revenue and costs'!AE98,0)+IF(AND(C10&gt;=(13-'Assumptions'!$J$121),C10&lt;=12),SUM('Revenue and costs'!O99:U99)/'Assumptions'!$J$121,0)+IF(C10=(13-'Assumptions'!$J$121)-1,'Revenue and costs'!V99+'Revenue and costs'!AE99,0)+IF(AND(C10&gt;=(13-'Assumptions'!$J$122),C10&lt;=12),SUM('Revenue and costs'!O100:U100)/'Assumptions'!$J$122,0)+IF(C10=(13-'Assumptions'!$J$122)-1,'Revenue and costs'!V100+'Revenue and costs'!AE100,0)+IF(AND(C10&gt;=(13-'Assumptions'!$J$123),C10&lt;=12),SUM('Revenue and costs'!O101:U101)/'Assumptions'!$J$123,0)+IF(C10=(13-'Assumptions'!$J$123)-1,'Revenue and costs'!V101+'Revenue and costs'!AE101,0)+IF(AND(C10&gt;=(13-'Assumptions'!$J$124),C10&lt;=12),SUM('Revenue and costs'!O102:U102)/'Assumptions'!$J$124,0)+IF(C10=(13-'Assumptions'!$J$124)-1,'Revenue and costs'!V102+'Revenue and costs'!AE102,0)+IF(AND(C10&gt;=(13-'Assumptions'!$J$125),C10&lt;=12),SUM('Revenue and costs'!O103:U103)/'Assumptions'!$J$125,0)+IF(C10=(13-'Assumptions'!$J$125)-1,'Revenue and costs'!V103+'Revenue and costs'!AE103,0)+IF(AND(C10&gt;=(13-'Assumptions'!$J$126),C10&lt;=12),SUM('Revenue and costs'!O104:U104)/'Assumptions'!$J$126,0)+IF(C10=(13-'Assumptions'!$J$126)-1,'Revenue and costs'!V104+'Revenue and costs'!AE104,0)+IF(AND(C10&gt;=(13-'Assumptions'!$J$127),C10&lt;=12),SUM('Revenue and costs'!O105:U105)/'Assumptions'!$J$127,0)+IF(C10=(13-'Assumptions'!$J$127)-1,'Revenue and costs'!V105+'Revenue and costs'!AE105,0)+IF(AND(C10&gt;=(13-'Assumptions'!$J$128),C10&lt;=12),SUM('Revenue and costs'!O106:U106)/'Assumptions'!$J$128,0)+IF(C10=(13-'Assumptions'!$J$128)-1,'Revenue and costs'!V106+'Revenue and costs'!AE106,0)+IF(AND(C10&gt;=(13-'Assumptions'!$J$129),C10&lt;=12),SUM('Revenue and costs'!O107:U107)/'Assumptions'!$J$129,0)+IF(C10=(13-'Assumptions'!$J$129)-1,'Revenue and costs'!V107+'Revenue and costs'!AE107,0)+IF(AND(C10&gt;=(13-'Assumptions'!$J$130),C10&lt;=12),SUM('Revenue and costs'!O108:U108)/'Assumptions'!$J$130,0)+IF(C10=(13-'Assumptions'!$J$130)-1,'Revenue and costs'!V108+'Revenue and costs'!AE108,0)+IF(AND(C10&gt;=(13-'Assumptions'!$J$131),C10&lt;=12),SUM('Revenue and costs'!O109:U109)/'Assumptions'!$J$131,0)+IF(C10=(13-'Assumptions'!$J$131)-1,'Revenue and costs'!V109+'Revenue and costs'!AE109,0)+IF(AND(C10&gt;=(13-'Assumptions'!$J$132),C10&lt;=12),SUM('Revenue and costs'!O110:U110)/'Assumptions'!$J$132,0)+IF(C10=(13-'Assumptions'!$J$132)-1,'Revenue and costs'!V110+'Revenue and costs'!AE110,0)+IF(AND(C10&gt;=(13-'Assumptions'!$J$133),C10&lt;=12),SUM('Revenue and costs'!O111:U111)/'Assumptions'!$J$133,0)+IF(C10=(13-'Assumptions'!$J$133)-1,'Revenue and costs'!V111+'Revenue and costs'!AE111,0)+IF(AND(C10&gt;=(13-'Assumptions'!$J$134),C10&lt;=12),SUM('Revenue and costs'!O112:U112)/'Assumptions'!$J$134,0)+IF(C10=(13-'Assumptions'!$J$134)-1,'Revenue and costs'!V112+'Revenue and costs'!AE112,0)+IF(AND(C10&gt;=(13-'Assumptions'!$J$135),C10&lt;=12),SUM('Revenue and costs'!O113:U113)/'Assumptions'!$J$135,0)+IF(C10=(13-'Assumptions'!$J$135)-1,'Revenue and costs'!V113+'Revenue and costs'!AE113,0)+IF(AND(C10&gt;=(13-'Assumptions'!$J$136),C10&lt;=12),SUM('Revenue and costs'!O114:U114)/'Assumptions'!$J$136,0)+IF(C10=(13-'Assumptions'!$J$136)-1,'Revenue and costs'!V114+'Revenue and costs'!AE114,0)+IF(AND(C10&gt;=(13-'Assumptions'!$J$137),C10&lt;=12),SUM('Revenue and costs'!O115:U115)/'Assumptions'!$J$137,0)+IF(C10=(13-'Assumptions'!$J$137)-1,'Revenue and costs'!V115+'Revenue and costs'!AE115,0)+IF(AND(C10&gt;=(13-'Assumptions'!$J$138),C10&lt;=12),SUM('Revenue and costs'!O116:U116)/'Assumptions'!$J$138,0)+IF(C10=(13-'Assumptions'!$J$138)-1,'Revenue and costs'!V116+'Revenue and costs'!AE116,0)+IF(AND(C10&gt;=(13-'Assumptions'!$J$139),C10&lt;=12),SUM('Revenue and costs'!O117:U117)/'Assumptions'!$J$139,0)+IF(C10=(13-'Assumptions'!$J$139)-1,'Revenue and costs'!V117+'Revenue and costs'!AE117,0)+IF(AND(C10&gt;=(13-'Assumptions'!$J$140),C10&lt;=12),SUM('Revenue and costs'!O118:U118)/'Assumptions'!$J$140,0)+IF(C10=(13-'Assumptions'!$J$140)-1,'Revenue and costs'!V118+'Revenue and costs'!AE118,0)+IF(AND(C10&gt;=(13-'Assumptions'!$J$141),C10&lt;=12),SUM('Revenue and costs'!O119:U119)/'Assumptions'!$J$141,0)+IF(C10=(13-'Assumptions'!$J$141)-1,'Revenue and costs'!V119+'Revenue and costs'!AE119,0)+IF(AND(C10&gt;=(13-'Assumptions'!$J$142),C10&lt;=12),SUM('Revenue and costs'!O120:U120)/'Assumptions'!$J$142,0)+IF(C10=(13-'Assumptions'!$J$142)-1,'Revenue and costs'!V120+'Revenue and costs'!AE120,0)+IF(AND(C10&gt;=(13-'Assumptions'!$J$143),C10&lt;=12),SUM('Revenue and costs'!O121:U121)/'Assumptions'!$J$143,0)+IF(C10=(13-'Assumptions'!$J$143)-1,'Revenue and costs'!V121+'Revenue and costs'!AE121,0)+IF(AND(C10&gt;=(13-'Assumptions'!$J$144),C10&lt;=12),SUM('Revenue and costs'!O122:U122)/'Assumptions'!$J$144,0)+IF(C10=(13-'Assumptions'!$J$144)-1,'Revenue and costs'!V122+'Revenue and costs'!AE122,0)+IF(AND(C10&gt;=(13-'Assumptions'!$J$145),C10&lt;=12),SUM('Revenue and costs'!O123:U123)/'Assumptions'!$J$145,0)+IF(C10=(13-'Assumptions'!$J$145)-1,'Revenue and costs'!V123+'Revenue and costs'!AE123,0)+IF(AND(C10&gt;=(13-'Assumptions'!$J$146),C10&lt;=12),SUM('Revenue and costs'!O124:U124)/'Assumptions'!$J$146,0)+IF(C10=(13-'Assumptions'!$J$146)-1,'Revenue and costs'!V124+'Revenue and costs'!AE124,0)+IF(AND(C10&gt;=(13-'Assumptions'!$J$147),C10&lt;=12),SUM('Revenue and costs'!O125:U125)/'Assumptions'!$J$147,0)+IF(C10=(13-'Assumptions'!$J$147)-1,'Revenue and costs'!V125+'Revenue and costs'!AE125,0)+IF(AND(C10&gt;=(13-'Assumptions'!$J$148),C10&lt;=12),SUM('Revenue and costs'!O126:U126)/'Assumptions'!$J$148,0)+IF(C10=(13-'Assumptions'!$J$148)-1,'Revenue and costs'!V126+'Revenue and costs'!AE126,0)+IF(AND(C10&gt;=(13-'Assumptions'!$J$149),C10&lt;=12),SUM('Revenue and costs'!O127:U127)/'Assumptions'!$J$149,0)+IF(C10=(13-'Assumptions'!$J$149)-1,'Revenue and costs'!V127+'Revenue and costs'!AE127,0)+IF(AND(C10&gt;=(13-'Assumptions'!$J$150),C10&lt;=12),SUM('Revenue and costs'!O128:U128)/'Assumptions'!$J$150,0)+IF(C10=(13-'Assumptions'!$J$150)-1,'Revenue and costs'!V128+'Revenue and costs'!AE128,0)+IF(AND(C10&gt;=(13-'Assumptions'!$J$151),C10&lt;=12),SUM('Revenue and costs'!O129:U129)/'Assumptions'!$J$151,0)+IF(C10=(13-'Assumptions'!$J$151)-1,'Revenue and costs'!V129+'Revenue and costs'!AE129,0)+IF(AND(C10&gt;=(13-'Assumptions'!$J$152),C10&lt;=12),SUM('Revenue and costs'!O130:U130)/'Assumptions'!$J$152,0)+IF(C10=(13-'Assumptions'!$J$152)-1,'Revenue and costs'!V130+'Revenue and costs'!AE130,0)+IF(AND(C10&gt;=(13-'Assumptions'!$J$153),C10&lt;=12),SUM('Revenue and costs'!O131:U131)/'Assumptions'!$J$153,0)+IF(C10=(13-'Assumptions'!$J$153)-1,'Revenue and costs'!V131+'Revenue and costs'!AE131,0)+IF(AND(C10&gt;=(13-'Assumptions'!$J$154),C10&lt;=12),SUM('Revenue and costs'!O132:U132)/'Assumptions'!$J$154,0)+IF(C10=(13-'Assumptions'!$J$154)-1,'Revenue and costs'!V132+'Revenue and costs'!AE132,0)+IF(AND(C10&gt;=(13-'Assumptions'!$J$155),C10&lt;=12),SUM('Revenue and costs'!O133:U133)/'Assumptions'!$J$155,0)+IF(C10=(13-'Assumptions'!$J$155)-1,'Revenue and costs'!V133+'Revenue and costs'!AE133,0)+IF(AND(C10&gt;=(13-'Assumptions'!$J$156),C10&lt;=12),SUM('Revenue and costs'!O134:U134)/'Assumptions'!$J$156,0)+IF(C10=(13-'Assumptions'!$J$156)-1,'Revenue and costs'!V134+'Revenue and costs'!AE134,0)+IF(AND(C10&gt;=(13-'Assumptions'!$J$157),C10&lt;=12),SUM('Revenue and costs'!O135:U135)/'Assumptions'!$J$157,0)+IF(C10=(13-'Assumptions'!$J$157)-1,'Revenue and costs'!V135+'Revenue and costs'!AE135,0)+IF(C10&gt;0,'Shared costs'!H21/12+'Assumptions'!$D$18*'Assumptions'!$D$19*'Assumptions'!$D$21,0)</x:f>
        <x:v>9557.045833333334</x:v>
      </x:c>
      <x:c r="F10" s="10" t="n">
        <x:f>IF(C10=12,'Income statement'!D85,0)</x:f>
        <x:v>0</x:v>
      </x:c>
      <x:c r="G10" s="10" t="n">
        <x:f>IF(C10=(13-'Assumptions'!$J$30)-1,'Revenue and costs'!Y8,0)+IF(C10=(13-'Assumptions'!$J$31)-1,'Revenue and costs'!Y9,0)+IF(C10=(13-'Assumptions'!$J$32)-1,'Revenue and costs'!Y10,0)+IF(C10=(13-'Assumptions'!$J$33)-1,'Revenue and costs'!Y11,0)+IF(C10=(13-'Assumptions'!$J$34)-1,'Revenue and costs'!Y12,0)+IF(C10=(13-'Assumptions'!$J$35)-1,'Revenue and costs'!Y13,0)+IF(C10=(13-'Assumptions'!$J$36)-1,'Revenue and costs'!Y14,0)+IF(C10=(13-'Assumptions'!$J$37)-1,'Revenue and costs'!Y15,0)+IF(C10=(13-'Assumptions'!$J$38)-1,'Revenue and costs'!Y16,0)+IF(C10=(13-'Assumptions'!$J$39)-1,'Revenue and costs'!Y17,0)+IF(C10=(13-'Assumptions'!$J$40)-1,'Revenue and costs'!Y18,0)+IF(C10=(13-'Assumptions'!$J$41)-1,'Revenue and costs'!Y19,0)+IF(C10=(13-'Assumptions'!$J$42)-1,'Revenue and costs'!Y20,0)+IF(C10=(13-'Assumptions'!$J$43)-1,'Revenue and costs'!Y21,0)+IF(C10=(13-'Assumptions'!$J$44)-1,'Revenue and costs'!Y22,0)+IF(C10=(13-'Assumptions'!$J$45)-1,'Revenue and costs'!Y23,0)+IF(C10=(13-'Assumptions'!$J$46)-1,'Revenue and costs'!Y24,0)+IF(C10=(13-'Assumptions'!$J$47)-1,'Revenue and costs'!Y25,0)+IF(C10=(13-'Assumptions'!$J$48)-1,'Revenue and costs'!Y26,0)+IF(C10=(13-'Assumptions'!$J$49)-1,'Revenue and costs'!Y27,0)+IF(C10=(13-'Assumptions'!$J$50)-1,'Revenue and costs'!Y28,0)+IF(C10=(13-'Assumptions'!$J$51)-1,'Revenue and costs'!Y29,0)+IF(C10=(13-'Assumptions'!$J$52)-1,'Revenue and costs'!Y30,0)+IF(C10=(13-'Assumptions'!$J$53)-1,'Revenue and costs'!Y31,0)+IF(C10=(13-'Assumptions'!$J$54)-1,'Revenue and costs'!Y32,0)+IF(C10=(13-'Assumptions'!$J$55)-1,'Revenue and costs'!Y33,0)+IF(C10=(13-'Assumptions'!$J$56)-1,'Revenue and costs'!Y34,0)+IF(C10=(13-'Assumptions'!$J$57)-1,'Revenue and costs'!Y35,0)+IF(C10=(13-'Assumptions'!$J$58)-1,'Revenue and costs'!Y36,0)+IF(C10=(13-'Assumptions'!$J$59)-1,'Revenue and costs'!Y37,0)+IF(C10=(13-'Assumptions'!$J$60)-1,'Revenue and costs'!Y38,0)+IF(C10=(13-'Assumptions'!$J$61)-1,'Revenue and costs'!Y39,0)+IF(C10=(13-'Assumptions'!$J$62)-1,'Revenue and costs'!Y40,0)+IF(C10=(13-'Assumptions'!$J$63)-1,'Revenue and costs'!Y41,0)+IF(C10=(13-'Assumptions'!$J$64)-1,'Revenue and costs'!Y42,0)+IF(C10=(13-'Assumptions'!$J$65)-1,'Revenue and costs'!Y43,0)+IF(C10=(13-'Assumptions'!$J$66)-1,'Revenue and costs'!Y44,0)+IF(C10=(13-'Assumptions'!$J$67)-1,'Revenue and costs'!Y45,0)+IF(C10=(13-'Assumptions'!$J$68)-1,'Revenue and costs'!Y46,0)+IF(C10=(13-'Assumptions'!$J$69)-1,'Revenue and costs'!Y47,0)+IF(C10=(13-'Assumptions'!$J$70)-1,'Revenue and costs'!Y48,0)+IF(C10=(13-'Assumptions'!$J$71)-1,'Revenue and costs'!Y49,0)+IF(C10=(13-'Assumptions'!$J$72)-1,'Revenue and costs'!Y50,0)+IF(C10=(13-'Assumptions'!$J$73)-1,'Revenue and costs'!Y51,0)+IF(C10=(13-'Assumptions'!$J$74)-1,'Revenue and costs'!Y52,0)+IF(C10=(13-'Assumptions'!$J$75)-1,'Revenue and costs'!Y53,0)+IF(C10=(13-'Assumptions'!$J$76)-1,'Revenue and costs'!Y54,0)+IF(C10=(13-'Assumptions'!$J$77)-1,'Revenue and costs'!Y55,0)+IF(C10=(13-'Assumptions'!$J$78)-1,'Revenue and costs'!Y56,0)+IF(C10=(13-'Assumptions'!$J$79)-1,'Revenue and costs'!Y57,0)+IF(C10=(13-'Assumptions'!$J$80)-1,'Revenue and costs'!Y58,0)+IF(C10=(13-'Assumptions'!$J$81)-1,'Revenue and costs'!Y59,0)+IF(C10=(13-'Assumptions'!$J$82)-1,'Revenue and costs'!Y60,0)+IF(C10=(13-'Assumptions'!$J$83)-1,'Revenue and costs'!Y61,0)+IF(C10=(13-'Assumptions'!$J$84)-1,'Revenue and costs'!Y62,0)+IF(C10=(13-'Assumptions'!$J$85)-1,'Revenue and costs'!Y63,0)+IF(C10=(13-'Assumptions'!$J$86)-1,'Revenue and costs'!Y64,0)+IF(C10=(13-'Assumptions'!$J$87)-1,'Revenue and costs'!Y65,0)+IF(C10=(13-'Assumptions'!$J$88)-1,'Revenue and costs'!Y66,0)+IF(C10=(13-'Assumptions'!$J$89)-1,'Revenue and costs'!Y67,0)+IF(C10=(13-'Assumptions'!$J$90)-1,'Revenue and costs'!Y68,0)+IF(C10=(13-'Assumptions'!$J$91)-1,'Revenue and costs'!Y69,0)+IF(C10=(13-'Assumptions'!$J$92)-1,'Revenue and costs'!Y70,0)+IF(C10=(13-'Assumptions'!$J$93)-1,'Revenue and costs'!Y71,0)+IF(C10=(13-'Assumptions'!$J$94)-1,'Revenue and costs'!Y72,0)+IF(C10=(13-'Assumptions'!$J$95)-1,'Revenue and costs'!Y73,0)+IF(C10=(13-'Assumptions'!$J$96)-1,'Revenue and costs'!Y74,0)+IF(C10=(13-'Assumptions'!$J$97)-1,'Revenue and costs'!Y75,0)+IF(C10=(13-'Assumptions'!$J$98)-1,'Revenue and costs'!Y76,0)+IF(C10=(13-'Assumptions'!$J$99)-1,'Revenue and costs'!Y77,0)+IF(C10=(13-'Assumptions'!$J$100)-1,'Revenue and costs'!Y78,0)+IF(C10=(13-'Assumptions'!$J$101)-1,'Revenue and costs'!Y79,0)+IF(C10=(13-'Assumptions'!$J$102)-1,'Revenue and costs'!Y80,0)+IF(C10=(13-'Assumptions'!$J$103)-1,'Revenue and costs'!Y81,0)+IF(C10=(13-'Assumptions'!$J$104)-1,'Revenue and costs'!Y82,0)+IF(C10=(13-'Assumptions'!$J$105)-1,'Revenue and costs'!Y83,0)+IF(C10=(13-'Assumptions'!$J$106)-1,'Revenue and costs'!Y84,0)+IF(C10=(13-'Assumptions'!$J$107)-1,'Revenue and costs'!Y85,0)+IF(C10=(13-'Assumptions'!$J$108)-1,'Revenue and costs'!Y86,0)+IF(C10=(13-'Assumptions'!$J$109)-1,'Revenue and costs'!Y87,0)+IF(C10=(13-'Assumptions'!$J$110)-1,'Revenue and costs'!Y88,0)+IF(C10=(13-'Assumptions'!$J$111)-1,'Revenue and costs'!Y89,0)+IF(C10=(13-'Assumptions'!$J$112)-1,'Revenue and costs'!Y90,0)+IF(C10=(13-'Assumptions'!$J$113)-1,'Revenue and costs'!Y91,0)+IF(C10=(13-'Assumptions'!$J$114)-1,'Revenue and costs'!Y92,0)+IF(C10=(13-'Assumptions'!$J$115)-1,'Revenue and costs'!Y93,0)+IF(C10=(13-'Assumptions'!$J$116)-1,'Revenue and costs'!Y94,0)+IF(C10=(13-'Assumptions'!$J$117)-1,'Revenue and costs'!Y95,0)+IF(C10=(13-'Assumptions'!$J$118)-1,'Revenue and costs'!Y96,0)+IF(C10=(13-'Assumptions'!$J$119)-1,'Revenue and costs'!Y97,0)+IF(C10=(13-'Assumptions'!$J$120)-1,'Revenue and costs'!Y98,0)+IF(C10=(13-'Assumptions'!$J$121)-1,'Revenue and costs'!Y99,0)+IF(C10=(13-'Assumptions'!$J$122)-1,'Revenue and costs'!Y100,0)+IF(C10=(13-'Assumptions'!$J$123)-1,'Revenue and costs'!Y101,0)+IF(C10=(13-'Assumptions'!$J$124)-1,'Revenue and costs'!Y102,0)+IF(C10=(13-'Assumptions'!$J$125)-1,'Revenue and costs'!Y103,0)+IF(C10=(13-'Assumptions'!$J$126)-1,'Revenue and costs'!Y104,0)+IF(C10=(13-'Assumptions'!$J$127)-1,'Revenue and costs'!Y105,0)+IF(C10=(13-'Assumptions'!$J$128)-1,'Revenue and costs'!Y106,0)+IF(C10=(13-'Assumptions'!$J$129)-1,'Revenue and costs'!Y107,0)+IF(C10=(13-'Assumptions'!$J$130)-1,'Revenue and costs'!Y108,0)+IF(C10=(13-'Assumptions'!$J$131)-1,'Revenue and costs'!Y109,0)+IF(C10=(13-'Assumptions'!$J$132)-1,'Revenue and costs'!Y110,0)+IF(C10=(13-'Assumptions'!$J$133)-1,'Revenue and costs'!Y111,0)+IF(C10=(13-'Assumptions'!$J$134)-1,'Revenue and costs'!Y112,0)+IF(C10=(13-'Assumptions'!$J$135)-1,'Revenue and costs'!Y113,0)+IF(C10=(13-'Assumptions'!$J$136)-1,'Revenue and costs'!Y114,0)+IF(C10=(13-'Assumptions'!$J$137)-1,'Revenue and costs'!Y115,0)+IF(C10=(13-'Assumptions'!$J$138)-1,'Revenue and costs'!Y116,0)+IF(C10=(13-'Assumptions'!$J$139)-1,'Revenue and costs'!Y117,0)+IF(C10=(13-'Assumptions'!$J$140)-1,'Revenue and costs'!Y118,0)+IF(C10=(13-'Assumptions'!$J$141)-1,'Revenue and costs'!Y119,0)+IF(C10=(13-'Assumptions'!$J$142)-1,'Revenue and costs'!Y120,0)+IF(C10=(13-'Assumptions'!$J$143)-1,'Revenue and costs'!Y121,0)+IF(C10=(13-'Assumptions'!$J$144)-1,'Revenue and costs'!Y122,0)+IF(C10=(13-'Assumptions'!$J$145)-1,'Revenue and costs'!Y123,0)+IF(C10=(13-'Assumptions'!$J$146)-1,'Revenue and costs'!Y124,0)+IF(C10=(13-'Assumptions'!$J$147)-1,'Revenue and costs'!Y125,0)+IF(C10=(13-'Assumptions'!$J$148)-1,'Revenue and costs'!Y126,0)+IF(C10=(13-'Assumptions'!$J$149)-1,'Revenue and costs'!Y127,0)+IF(C10=(13-'Assumptions'!$J$150)-1,'Revenue and costs'!Y128,0)+IF(C10=(13-'Assumptions'!$J$151)-1,'Revenue and costs'!Y129,0)+IF(C10=(13-'Assumptions'!$J$152)-1,'Revenue and costs'!Y130,0)+IF(C10=(13-'Assumptions'!$J$153)-1,'Revenue and costs'!Y131,0)+IF(C10=(13-'Assumptions'!$J$154)-1,'Revenue and costs'!Y132,0)+IF(C10=(13-'Assumptions'!$J$155)-1,'Revenue and costs'!Y133,0)+IF(C10=(13-'Assumptions'!$J$156)-1,'Revenue and costs'!Y134,0)+IF(C10=(13-'Assumptions'!$J$157)-1,'Revenue and costs'!Y135,0)</x:f>
        <x:v>0</x:v>
      </x:c>
      <x:c r="H10" s="10" t="n">
        <x:f>IF(C10=0,'Cash and capital'!D13,0)</x:f>
        <x:v>0</x:v>
      </x:c>
      <x:c r="I10" s="10" t="n">
        <x:f>D10-E10-F10-G10-H10</x:f>
        <x:v>-2784.8291666666664</x:v>
      </x:c>
      <x:c r="J10" s="10" t="n">
        <x:f>J9+I10</x:f>
        <x:v>-12164.658333333333</x:v>
      </x:c>
      <x:c r="K10" s="10" t="n">
        <x:f>MAX(0,-MIN($J$8:J10))</x:f>
        <x:v>12164.658333333333</x:v>
      </x:c>
      <x:c r="L10" s="10"/>
      <x:c r="M10" s="10"/>
      <x:c r="N10" s="10"/>
      <x:c r="O10" s="10"/>
      <x:c r="P10" s="10"/>
      <x:c r="Q10" s="10"/>
    </x:row>
    <x:row r="11" ht="16" customHeight="1">
      <x:c r="A11" s="1"/>
      <x:c r="B11" s="1"/>
      <x:c r="C11" s="1" t="n">
        <x:v>3</x:v>
      </x:c>
      <x:c r="D11" s="10" t="n">
        <x:f>IF(AND(C11&gt;=(13-'Assumptions'!$J$30)+'Assumptions'!$AF$30,C11&lt;=12),'Revenue and costs'!N8/'Assumptions'!$J$30,0)+IF(AND(C11&gt;=(13-'Assumptions'!$J$31)+'Assumptions'!$AF$31,C11&lt;=12),'Revenue and costs'!N9/'Assumptions'!$J$31,0)+IF(AND(C11&gt;=(13-'Assumptions'!$J$32)+'Assumptions'!$AF$32,C11&lt;=12),'Revenue and costs'!N10/'Assumptions'!$J$32,0)+IF(AND(C11&gt;=(13-'Assumptions'!$J$33)+'Assumptions'!$AF$33,C11&lt;=12),'Revenue and costs'!N11/'Assumptions'!$J$33,0)+IF(AND(C11&gt;=(13-'Assumptions'!$J$34)+'Assumptions'!$AF$34,C11&lt;=12),'Revenue and costs'!N12/'Assumptions'!$J$34,0)+IF(AND(C11&gt;=(13-'Assumptions'!$J$35)+'Assumptions'!$AF$35,C11&lt;=12),'Revenue and costs'!N13/'Assumptions'!$J$35,0)+IF(AND(C11&gt;=(13-'Assumptions'!$J$36)+'Assumptions'!$AF$36,C11&lt;=12),'Revenue and costs'!N14/'Assumptions'!$J$36,0)+IF(AND(C11&gt;=(13-'Assumptions'!$J$37)+'Assumptions'!$AF$37,C11&lt;=12),'Revenue and costs'!N15/'Assumptions'!$J$37,0)+IF(AND(C11&gt;=(13-'Assumptions'!$J$38)+'Assumptions'!$AF$38,C11&lt;=12),'Revenue and costs'!N16/'Assumptions'!$J$38,0)+IF(AND(C11&gt;=(13-'Assumptions'!$J$39)+'Assumptions'!$AF$39,C11&lt;=12),'Revenue and costs'!N17/'Assumptions'!$J$39,0)+IF(AND(C11&gt;=(13-'Assumptions'!$J$40)+'Assumptions'!$AF$40,C11&lt;=12),'Revenue and costs'!N18/'Assumptions'!$J$40,0)+IF(AND(C11&gt;=(13-'Assumptions'!$J$41)+'Assumptions'!$AF$41,C11&lt;=12),'Revenue and costs'!N19/'Assumptions'!$J$41,0)+IF(AND(C11&gt;=(13-'Assumptions'!$J$42)+'Assumptions'!$AF$42,C11&lt;=12),'Revenue and costs'!N20/'Assumptions'!$J$42,0)+IF(AND(C11&gt;=(13-'Assumptions'!$J$43)+'Assumptions'!$AF$43,C11&lt;=12),'Revenue and costs'!N21/'Assumptions'!$J$43,0)+IF(AND(C11&gt;=(13-'Assumptions'!$J$44)+'Assumptions'!$AF$44,C11&lt;=12),'Revenue and costs'!N22/'Assumptions'!$J$44,0)+IF(AND(C11&gt;=(13-'Assumptions'!$J$45)+'Assumptions'!$AF$45,C11&lt;=12),'Revenue and costs'!N23/'Assumptions'!$J$45,0)+IF(AND(C11&gt;=(13-'Assumptions'!$J$46)+'Assumptions'!$AF$46,C11&lt;=12),'Revenue and costs'!N24/'Assumptions'!$J$46,0)+IF(AND(C11&gt;=(13-'Assumptions'!$J$47)+'Assumptions'!$AF$47,C11&lt;=12),'Revenue and costs'!N25/'Assumptions'!$J$47,0)+IF(AND(C11&gt;=(13-'Assumptions'!$J$48)+'Assumptions'!$AF$48,C11&lt;=12),'Revenue and costs'!N26/'Assumptions'!$J$48,0)+IF(AND(C11&gt;=(13-'Assumptions'!$J$49)+'Assumptions'!$AF$49,C11&lt;=12),'Revenue and costs'!N27/'Assumptions'!$J$49,0)+IF(AND(C11&gt;=(13-'Assumptions'!$J$50)+'Assumptions'!$AF$50,C11&lt;=12),'Revenue and costs'!N28/'Assumptions'!$J$50,0)+IF(AND(C11&gt;=(13-'Assumptions'!$J$51)+'Assumptions'!$AF$51,C11&lt;=12),'Revenue and costs'!N29/'Assumptions'!$J$51,0)+IF(AND(C11&gt;=(13-'Assumptions'!$J$52)+'Assumptions'!$AF$52,C11&lt;=12),'Revenue and costs'!N30/'Assumptions'!$J$52,0)+IF(AND(C11&gt;=(13-'Assumptions'!$J$53)+'Assumptions'!$AF$53,C11&lt;=12),'Revenue and costs'!N31/'Assumptions'!$J$53,0)+IF(AND(C11&gt;=(13-'Assumptions'!$J$54)+'Assumptions'!$AF$54,C11&lt;=12),'Revenue and costs'!N32/'Assumptions'!$J$54,0)+IF(AND(C11&gt;=(13-'Assumptions'!$J$55)+'Assumptions'!$AF$55,C11&lt;=12),'Revenue and costs'!N33/'Assumptions'!$J$55,0)+IF(AND(C11&gt;=(13-'Assumptions'!$J$56)+'Assumptions'!$AF$56,C11&lt;=12),'Revenue and costs'!N34/'Assumptions'!$J$56,0)+IF(AND(C11&gt;=(13-'Assumptions'!$J$57)+'Assumptions'!$AF$57,C11&lt;=12),'Revenue and costs'!N35/'Assumptions'!$J$57,0)+IF(AND(C11&gt;=(13-'Assumptions'!$J$58)+'Assumptions'!$AF$58,C11&lt;=12),'Revenue and costs'!N36/'Assumptions'!$J$58,0)+IF(AND(C11&gt;=(13-'Assumptions'!$J$59)+'Assumptions'!$AF$59,C11&lt;=12),'Revenue and costs'!N37/'Assumptions'!$J$59,0)+IF(AND(C11&gt;=(13-'Assumptions'!$J$60)+'Assumptions'!$AF$60,C11&lt;=12),'Revenue and costs'!N38/'Assumptions'!$J$60,0)+IF(AND(C11&gt;=(13-'Assumptions'!$J$61)+'Assumptions'!$AF$61,C11&lt;=12),'Revenue and costs'!N39/'Assumptions'!$J$61,0)+IF(AND(C11&gt;=(13-'Assumptions'!$J$62)+'Assumptions'!$AF$62,C11&lt;=12),'Revenue and costs'!N40/'Assumptions'!$J$62,0)+IF(AND(C11&gt;=(13-'Assumptions'!$J$63)+'Assumptions'!$AF$63,C11&lt;=12),'Revenue and costs'!N41/'Assumptions'!$J$63,0)+IF(AND(C11&gt;=(13-'Assumptions'!$J$64)+'Assumptions'!$AF$64,C11&lt;=12),'Revenue and costs'!N42/'Assumptions'!$J$64,0)+IF(AND(C11&gt;=(13-'Assumptions'!$J$65)+'Assumptions'!$AF$65,C11&lt;=12),'Revenue and costs'!N43/'Assumptions'!$J$65,0)+IF(AND(C11&gt;=(13-'Assumptions'!$J$66)+'Assumptions'!$AF$66,C11&lt;=12),'Revenue and costs'!N44/'Assumptions'!$J$66,0)+IF(AND(C11&gt;=(13-'Assumptions'!$J$67)+'Assumptions'!$AF$67,C11&lt;=12),'Revenue and costs'!N45/'Assumptions'!$J$67,0)+IF(AND(C11&gt;=(13-'Assumptions'!$J$68)+'Assumptions'!$AF$68,C11&lt;=12),'Revenue and costs'!N46/'Assumptions'!$J$68,0)+IF(AND(C11&gt;=(13-'Assumptions'!$J$69)+'Assumptions'!$AF$69,C11&lt;=12),'Revenue and costs'!N47/'Assumptions'!$J$69,0)+IF(AND(C11&gt;=(13-'Assumptions'!$J$70)+'Assumptions'!$AF$70,C11&lt;=12),'Revenue and costs'!N48/'Assumptions'!$J$70,0)+IF(AND(C11&gt;=(13-'Assumptions'!$J$71)+'Assumptions'!$AF$71,C11&lt;=12),'Revenue and costs'!N49/'Assumptions'!$J$71,0)+IF(AND(C11&gt;=(13-'Assumptions'!$J$72)+'Assumptions'!$AF$72,C11&lt;=12),'Revenue and costs'!N50/'Assumptions'!$J$72,0)+IF(AND(C11&gt;=(13-'Assumptions'!$J$73)+'Assumptions'!$AF$73,C11&lt;=12),'Revenue and costs'!N51/'Assumptions'!$J$73,0)+IF(AND(C11&gt;=(13-'Assumptions'!$J$74)+'Assumptions'!$AF$74,C11&lt;=12),'Revenue and costs'!N52/'Assumptions'!$J$74,0)+IF(AND(C11&gt;=(13-'Assumptions'!$J$75)+'Assumptions'!$AF$75,C11&lt;=12),'Revenue and costs'!N53/'Assumptions'!$J$75,0)+IF(AND(C11&gt;=(13-'Assumptions'!$J$76)+'Assumptions'!$AF$76,C11&lt;=12),'Revenue and costs'!N54/'Assumptions'!$J$76,0)+IF(AND(C11&gt;=(13-'Assumptions'!$J$77)+'Assumptions'!$AF$77,C11&lt;=12),'Revenue and costs'!N55/'Assumptions'!$J$77,0)+IF(AND(C11&gt;=(13-'Assumptions'!$J$78)+'Assumptions'!$AF$78,C11&lt;=12),'Revenue and costs'!N56/'Assumptions'!$J$78,0)+IF(AND(C11&gt;=(13-'Assumptions'!$J$79)+'Assumptions'!$AF$79,C11&lt;=12),'Revenue and costs'!N57/'Assumptions'!$J$79,0)+IF(AND(C11&gt;=(13-'Assumptions'!$J$80)+'Assumptions'!$AF$80,C11&lt;=12),'Revenue and costs'!N58/'Assumptions'!$J$80,0)+IF(AND(C11&gt;=(13-'Assumptions'!$J$81)+'Assumptions'!$AF$81,C11&lt;=12),'Revenue and costs'!N59/'Assumptions'!$J$81,0)+IF(AND(C11&gt;=(13-'Assumptions'!$J$82)+'Assumptions'!$AF$82,C11&lt;=12),'Revenue and costs'!N60/'Assumptions'!$J$82,0)+IF(AND(C11&gt;=(13-'Assumptions'!$J$83)+'Assumptions'!$AF$83,C11&lt;=12),'Revenue and costs'!N61/'Assumptions'!$J$83,0)+IF(AND(C11&gt;=(13-'Assumptions'!$J$84)+'Assumptions'!$AF$84,C11&lt;=12),'Revenue and costs'!N62/'Assumptions'!$J$84,0)+IF(AND(C11&gt;=(13-'Assumptions'!$J$85)+'Assumptions'!$AF$85,C11&lt;=12),'Revenue and costs'!N63/'Assumptions'!$J$85,0)+IF(AND(C11&gt;=(13-'Assumptions'!$J$86)+'Assumptions'!$AF$86,C11&lt;=12),'Revenue and costs'!N64/'Assumptions'!$J$86,0)+IF(AND(C11&gt;=(13-'Assumptions'!$J$87)+'Assumptions'!$AF$87,C11&lt;=12),'Revenue and costs'!N65/'Assumptions'!$J$87,0)+IF(AND(C11&gt;=(13-'Assumptions'!$J$88)+'Assumptions'!$AF$88,C11&lt;=12),'Revenue and costs'!N66/'Assumptions'!$J$88,0)+IF(AND(C11&gt;=(13-'Assumptions'!$J$89)+'Assumptions'!$AF$89,C11&lt;=12),'Revenue and costs'!N67/'Assumptions'!$J$89,0)+IF(AND(C11&gt;=(13-'Assumptions'!$J$90)+'Assumptions'!$AF$90,C11&lt;=12),'Revenue and costs'!N68/'Assumptions'!$J$90,0)+IF(AND(C11&gt;=(13-'Assumptions'!$J$91)+'Assumptions'!$AF$91,C11&lt;=12),'Revenue and costs'!N69/'Assumptions'!$J$91,0)+IF(AND(C11&gt;=(13-'Assumptions'!$J$92)+'Assumptions'!$AF$92,C11&lt;=12),'Revenue and costs'!N70/'Assumptions'!$J$92,0)+IF(AND(C11&gt;=(13-'Assumptions'!$J$93)+'Assumptions'!$AF$93,C11&lt;=12),'Revenue and costs'!N71/'Assumptions'!$J$93,0)+IF(AND(C11&gt;=(13-'Assumptions'!$J$94)+'Assumptions'!$AF$94,C11&lt;=12),'Revenue and costs'!N72/'Assumptions'!$J$94,0)+IF(AND(C11&gt;=(13-'Assumptions'!$J$95)+'Assumptions'!$AF$95,C11&lt;=12),'Revenue and costs'!N73/'Assumptions'!$J$95,0)+IF(AND(C11&gt;=(13-'Assumptions'!$J$96)+'Assumptions'!$AF$96,C11&lt;=12),'Revenue and costs'!N74/'Assumptions'!$J$96,0)+IF(AND(C11&gt;=(13-'Assumptions'!$J$97)+'Assumptions'!$AF$97,C11&lt;=12),'Revenue and costs'!N75/'Assumptions'!$J$97,0)+IF(AND(C11&gt;=(13-'Assumptions'!$J$98)+'Assumptions'!$AF$98,C11&lt;=12),'Revenue and costs'!N76/'Assumptions'!$J$98,0)+IF(AND(C11&gt;=(13-'Assumptions'!$J$99)+'Assumptions'!$AF$99,C11&lt;=12),'Revenue and costs'!N77/'Assumptions'!$J$99,0)+IF(AND(C11&gt;=(13-'Assumptions'!$J$100)+'Assumptions'!$AF$100,C11&lt;=12),'Revenue and costs'!N78/'Assumptions'!$J$100,0)+IF(AND(C11&gt;=(13-'Assumptions'!$J$101)+'Assumptions'!$AF$101,C11&lt;=12),'Revenue and costs'!N79/'Assumptions'!$J$101,0)+IF(AND(C11&gt;=(13-'Assumptions'!$J$102)+'Assumptions'!$AF$102,C11&lt;=12),'Revenue and costs'!N80/'Assumptions'!$J$102,0)+IF(AND(C11&gt;=(13-'Assumptions'!$J$103)+'Assumptions'!$AF$103,C11&lt;=12),'Revenue and costs'!N81/'Assumptions'!$J$103,0)+IF(AND(C11&gt;=(13-'Assumptions'!$J$104)+'Assumptions'!$AF$104,C11&lt;=12),'Revenue and costs'!N82/'Assumptions'!$J$104,0)+IF(AND(C11&gt;=(13-'Assumptions'!$J$105)+'Assumptions'!$AF$105,C11&lt;=12),'Revenue and costs'!N83/'Assumptions'!$J$105,0)+IF(AND(C11&gt;=(13-'Assumptions'!$J$106)+'Assumptions'!$AF$106,C11&lt;=12),'Revenue and costs'!N84/'Assumptions'!$J$106,0)+IF(AND(C11&gt;=(13-'Assumptions'!$J$107)+'Assumptions'!$AF$107,C11&lt;=12),'Revenue and costs'!N85/'Assumptions'!$J$107,0)+IF(AND(C11&gt;=(13-'Assumptions'!$J$108)+'Assumptions'!$AF$108,C11&lt;=12),'Revenue and costs'!N86/'Assumptions'!$J$108,0)+IF(AND(C11&gt;=(13-'Assumptions'!$J$109)+'Assumptions'!$AF$109,C11&lt;=12),'Revenue and costs'!N87/'Assumptions'!$J$109,0)+IF(AND(C11&gt;=(13-'Assumptions'!$J$110)+'Assumptions'!$AF$110,C11&lt;=12),'Revenue and costs'!N88/'Assumptions'!$J$110,0)+IF(AND(C11&gt;=(13-'Assumptions'!$J$111)+'Assumptions'!$AF$111,C11&lt;=12),'Revenue and costs'!N89/'Assumptions'!$J$111,0)+IF(AND(C11&gt;=(13-'Assumptions'!$J$112)+'Assumptions'!$AF$112,C11&lt;=12),'Revenue and costs'!N90/'Assumptions'!$J$112,0)+IF(AND(C11&gt;=(13-'Assumptions'!$J$113)+'Assumptions'!$AF$113,C11&lt;=12),'Revenue and costs'!N91/'Assumptions'!$J$113,0)+IF(AND(C11&gt;=(13-'Assumptions'!$J$114)+'Assumptions'!$AF$114,C11&lt;=12),'Revenue and costs'!N92/'Assumptions'!$J$114,0)+IF(AND(C11&gt;=(13-'Assumptions'!$J$115)+'Assumptions'!$AF$115,C11&lt;=12),'Revenue and costs'!N93/'Assumptions'!$J$115,0)+IF(AND(C11&gt;=(13-'Assumptions'!$J$116)+'Assumptions'!$AF$116,C11&lt;=12),'Revenue and costs'!N94/'Assumptions'!$J$116,0)+IF(AND(C11&gt;=(13-'Assumptions'!$J$117)+'Assumptions'!$AF$117,C11&lt;=12),'Revenue and costs'!N95/'Assumptions'!$J$117,0)+IF(AND(C11&gt;=(13-'Assumptions'!$J$118)+'Assumptions'!$AF$118,C11&lt;=12),'Revenue and costs'!N96/'Assumptions'!$J$118,0)+IF(AND(C11&gt;=(13-'Assumptions'!$J$119)+'Assumptions'!$AF$119,C11&lt;=12),'Revenue and costs'!N97/'Assumptions'!$J$119,0)+IF(AND(C11&gt;=(13-'Assumptions'!$J$120)+'Assumptions'!$AF$120,C11&lt;=12),'Revenue and costs'!N98/'Assumptions'!$J$120,0)+IF(AND(C11&gt;=(13-'Assumptions'!$J$121)+'Assumptions'!$AF$121,C11&lt;=12),'Revenue and costs'!N99/'Assumptions'!$J$121,0)+IF(AND(C11&gt;=(13-'Assumptions'!$J$122)+'Assumptions'!$AF$122,C11&lt;=12),'Revenue and costs'!N100/'Assumptions'!$J$122,0)+IF(AND(C11&gt;=(13-'Assumptions'!$J$123)+'Assumptions'!$AF$123,C11&lt;=12),'Revenue and costs'!N101/'Assumptions'!$J$123,0)+IF(AND(C11&gt;=(13-'Assumptions'!$J$124)+'Assumptions'!$AF$124,C11&lt;=12),'Revenue and costs'!N102/'Assumptions'!$J$124,0)+IF(AND(C11&gt;=(13-'Assumptions'!$J$125)+'Assumptions'!$AF$125,C11&lt;=12),'Revenue and costs'!N103/'Assumptions'!$J$125,0)+IF(AND(C11&gt;=(13-'Assumptions'!$J$126)+'Assumptions'!$AF$126,C11&lt;=12),'Revenue and costs'!N104/'Assumptions'!$J$126,0)+IF(AND(C11&gt;=(13-'Assumptions'!$J$127)+'Assumptions'!$AF$127,C11&lt;=12),'Revenue and costs'!N105/'Assumptions'!$J$127,0)+IF(AND(C11&gt;=(13-'Assumptions'!$J$128)+'Assumptions'!$AF$128,C11&lt;=12),'Revenue and costs'!N106/'Assumptions'!$J$128,0)+IF(AND(C11&gt;=(13-'Assumptions'!$J$129)+'Assumptions'!$AF$129,C11&lt;=12),'Revenue and costs'!N107/'Assumptions'!$J$129,0)+IF(AND(C11&gt;=(13-'Assumptions'!$J$130)+'Assumptions'!$AF$130,C11&lt;=12),'Revenue and costs'!N108/'Assumptions'!$J$130,0)+IF(AND(C11&gt;=(13-'Assumptions'!$J$131)+'Assumptions'!$AF$131,C11&lt;=12),'Revenue and costs'!N109/'Assumptions'!$J$131,0)+IF(AND(C11&gt;=(13-'Assumptions'!$J$132)+'Assumptions'!$AF$132,C11&lt;=12),'Revenue and costs'!N110/'Assumptions'!$J$132,0)+IF(AND(C11&gt;=(13-'Assumptions'!$J$133)+'Assumptions'!$AF$133,C11&lt;=12),'Revenue and costs'!N111/'Assumptions'!$J$133,0)+IF(AND(C11&gt;=(13-'Assumptions'!$J$134)+'Assumptions'!$AF$134,C11&lt;=12),'Revenue and costs'!N112/'Assumptions'!$J$134,0)+IF(AND(C11&gt;=(13-'Assumptions'!$J$135)+'Assumptions'!$AF$135,C11&lt;=12),'Revenue and costs'!N113/'Assumptions'!$J$135,0)+IF(AND(C11&gt;=(13-'Assumptions'!$J$136)+'Assumptions'!$AF$136,C11&lt;=12),'Revenue and costs'!N114/'Assumptions'!$J$136,0)+IF(AND(C11&gt;=(13-'Assumptions'!$J$137)+'Assumptions'!$AF$137,C11&lt;=12),'Revenue and costs'!N115/'Assumptions'!$J$137,0)+IF(AND(C11&gt;=(13-'Assumptions'!$J$138)+'Assumptions'!$AF$138,C11&lt;=12),'Revenue and costs'!N116/'Assumptions'!$J$138,0)+IF(AND(C11&gt;=(13-'Assumptions'!$J$139)+'Assumptions'!$AF$139,C11&lt;=12),'Revenue and costs'!N117/'Assumptions'!$J$139,0)+IF(AND(C11&gt;=(13-'Assumptions'!$J$140)+'Assumptions'!$AF$140,C11&lt;=12),'Revenue and costs'!N118/'Assumptions'!$J$140,0)+IF(AND(C11&gt;=(13-'Assumptions'!$J$141)+'Assumptions'!$AF$141,C11&lt;=12),'Revenue and costs'!N119/'Assumptions'!$J$141,0)+IF(AND(C11&gt;=(13-'Assumptions'!$J$142)+'Assumptions'!$AF$142,C11&lt;=12),'Revenue and costs'!N120/'Assumptions'!$J$142,0)+IF(AND(C11&gt;=(13-'Assumptions'!$J$143)+'Assumptions'!$AF$143,C11&lt;=12),'Revenue and costs'!N121/'Assumptions'!$J$143,0)+IF(AND(C11&gt;=(13-'Assumptions'!$J$144)+'Assumptions'!$AF$144,C11&lt;=12),'Revenue and costs'!N122/'Assumptions'!$J$144,0)+IF(AND(C11&gt;=(13-'Assumptions'!$J$145)+'Assumptions'!$AF$145,C11&lt;=12),'Revenue and costs'!N123/'Assumptions'!$J$145,0)+IF(AND(C11&gt;=(13-'Assumptions'!$J$146)+'Assumptions'!$AF$146,C11&lt;=12),'Revenue and costs'!N124/'Assumptions'!$J$146,0)+IF(AND(C11&gt;=(13-'Assumptions'!$J$147)+'Assumptions'!$AF$147,C11&lt;=12),'Revenue and costs'!N125/'Assumptions'!$J$147,0)+IF(AND(C11&gt;=(13-'Assumptions'!$J$148)+'Assumptions'!$AF$148,C11&lt;=12),'Revenue and costs'!N126/'Assumptions'!$J$148,0)+IF(AND(C11&gt;=(13-'Assumptions'!$J$149)+'Assumptions'!$AF$149,C11&lt;=12),'Revenue and costs'!N127/'Assumptions'!$J$149,0)+IF(AND(C11&gt;=(13-'Assumptions'!$J$150)+'Assumptions'!$AF$150,C11&lt;=12),'Revenue and costs'!N128/'Assumptions'!$J$150,0)+IF(AND(C11&gt;=(13-'Assumptions'!$J$151)+'Assumptions'!$AF$151,C11&lt;=12),'Revenue and costs'!N129/'Assumptions'!$J$151,0)+IF(AND(C11&gt;=(13-'Assumptions'!$J$152)+'Assumptions'!$AF$152,C11&lt;=12),'Revenue and costs'!N130/'Assumptions'!$J$152,0)+IF(AND(C11&gt;=(13-'Assumptions'!$J$153)+'Assumptions'!$AF$153,C11&lt;=12),'Revenue and costs'!N131/'Assumptions'!$J$153,0)+IF(AND(C11&gt;=(13-'Assumptions'!$J$154)+'Assumptions'!$AF$154,C11&lt;=12),'Revenue and costs'!N132/'Assumptions'!$J$154,0)+IF(AND(C11&gt;=(13-'Assumptions'!$J$155)+'Assumptions'!$AF$155,C11&lt;=12),'Revenue and costs'!N133/'Assumptions'!$J$155,0)+IF(AND(C11&gt;=(13-'Assumptions'!$J$156)+'Assumptions'!$AF$156,C11&lt;=12),'Revenue and costs'!N134/'Assumptions'!$J$156,0)+IF(AND(C11&gt;=(13-'Assumptions'!$J$157)+'Assumptions'!$AF$157,C11&lt;=12),'Revenue and costs'!N135/'Assumptions'!$J$157,0)</x:f>
        <x:v>11306.966666666667</x:v>
      </x:c>
      <x:c r="E11" s="10" t="n">
        <x:f>IF(AND(C11&gt;=(13-'Assumptions'!$J$30),C11&lt;=12),SUM('Revenue and costs'!O8:U8)/'Assumptions'!$J$30,0)+IF(C11=(13-'Assumptions'!$J$30)-1,'Revenue and costs'!V8+'Revenue and costs'!AE8,0)+IF(AND(C11&gt;=(13-'Assumptions'!$J$31),C11&lt;=12),SUM('Revenue and costs'!O9:U9)/'Assumptions'!$J$31,0)+IF(C11=(13-'Assumptions'!$J$31)-1,'Revenue and costs'!V9+'Revenue and costs'!AE9,0)+IF(AND(C11&gt;=(13-'Assumptions'!$J$32),C11&lt;=12),SUM('Revenue and costs'!O10:U10)/'Assumptions'!$J$32,0)+IF(C11=(13-'Assumptions'!$J$32)-1,'Revenue and costs'!V10+'Revenue and costs'!AE10,0)+IF(AND(C11&gt;=(13-'Assumptions'!$J$33),C11&lt;=12),SUM('Revenue and costs'!O11:U11)/'Assumptions'!$J$33,0)+IF(C11=(13-'Assumptions'!$J$33)-1,'Revenue and costs'!V11+'Revenue and costs'!AE11,0)+IF(AND(C11&gt;=(13-'Assumptions'!$J$34),C11&lt;=12),SUM('Revenue and costs'!O12:U12)/'Assumptions'!$J$34,0)+IF(C11=(13-'Assumptions'!$J$34)-1,'Revenue and costs'!V12+'Revenue and costs'!AE12,0)+IF(AND(C11&gt;=(13-'Assumptions'!$J$35),C11&lt;=12),SUM('Revenue and costs'!O13:U13)/'Assumptions'!$J$35,0)+IF(C11=(13-'Assumptions'!$J$35)-1,'Revenue and costs'!V13+'Revenue and costs'!AE13,0)+IF(AND(C11&gt;=(13-'Assumptions'!$J$36),C11&lt;=12),SUM('Revenue and costs'!O14:U14)/'Assumptions'!$J$36,0)+IF(C11=(13-'Assumptions'!$J$36)-1,'Revenue and costs'!V14+'Revenue and costs'!AE14,0)+IF(AND(C11&gt;=(13-'Assumptions'!$J$37),C11&lt;=12),SUM('Revenue and costs'!O15:U15)/'Assumptions'!$J$37,0)+IF(C11=(13-'Assumptions'!$J$37)-1,'Revenue and costs'!V15+'Revenue and costs'!AE15,0)+IF(AND(C11&gt;=(13-'Assumptions'!$J$38),C11&lt;=12),SUM('Revenue and costs'!O16:U16)/'Assumptions'!$J$38,0)+IF(C11=(13-'Assumptions'!$J$38)-1,'Revenue and costs'!V16+'Revenue and costs'!AE16,0)+IF(AND(C11&gt;=(13-'Assumptions'!$J$39),C11&lt;=12),SUM('Revenue and costs'!O17:U17)/'Assumptions'!$J$39,0)+IF(C11=(13-'Assumptions'!$J$39)-1,'Revenue and costs'!V17+'Revenue and costs'!AE17,0)+IF(AND(C11&gt;=(13-'Assumptions'!$J$40),C11&lt;=12),SUM('Revenue and costs'!O18:U18)/'Assumptions'!$J$40,0)+IF(C11=(13-'Assumptions'!$J$40)-1,'Revenue and costs'!V18+'Revenue and costs'!AE18,0)+IF(AND(C11&gt;=(13-'Assumptions'!$J$41),C11&lt;=12),SUM('Revenue and costs'!O19:U19)/'Assumptions'!$J$41,0)+IF(C11=(13-'Assumptions'!$J$41)-1,'Revenue and costs'!V19+'Revenue and costs'!AE19,0)+IF(AND(C11&gt;=(13-'Assumptions'!$J$42),C11&lt;=12),SUM('Revenue and costs'!O20:U20)/'Assumptions'!$J$42,0)+IF(C11=(13-'Assumptions'!$J$42)-1,'Revenue and costs'!V20+'Revenue and costs'!AE20,0)+IF(AND(C11&gt;=(13-'Assumptions'!$J$43),C11&lt;=12),SUM('Revenue and costs'!O21:U21)/'Assumptions'!$J$43,0)+IF(C11=(13-'Assumptions'!$J$43)-1,'Revenue and costs'!V21+'Revenue and costs'!AE21,0)+IF(AND(C11&gt;=(13-'Assumptions'!$J$44),C11&lt;=12),SUM('Revenue and costs'!O22:U22)/'Assumptions'!$J$44,0)+IF(C11=(13-'Assumptions'!$J$44)-1,'Revenue and costs'!V22+'Revenue and costs'!AE22,0)+IF(AND(C11&gt;=(13-'Assumptions'!$J$45),C11&lt;=12),SUM('Revenue and costs'!O23:U23)/'Assumptions'!$J$45,0)+IF(C11=(13-'Assumptions'!$J$45)-1,'Revenue and costs'!V23+'Revenue and costs'!AE23,0)+IF(AND(C11&gt;=(13-'Assumptions'!$J$46),C11&lt;=12),SUM('Revenue and costs'!O24:U24)/'Assumptions'!$J$46,0)+IF(C11=(13-'Assumptions'!$J$46)-1,'Revenue and costs'!V24+'Revenue and costs'!AE24,0)+IF(AND(C11&gt;=(13-'Assumptions'!$J$47),C11&lt;=12),SUM('Revenue and costs'!O25:U25)/'Assumptions'!$J$47,0)+IF(C11=(13-'Assumptions'!$J$47)-1,'Revenue and costs'!V25+'Revenue and costs'!AE25,0)+IF(AND(C11&gt;=(13-'Assumptions'!$J$48),C11&lt;=12),SUM('Revenue and costs'!O26:U26)/'Assumptions'!$J$48,0)+IF(C11=(13-'Assumptions'!$J$48)-1,'Revenue and costs'!V26+'Revenue and costs'!AE26,0)+IF(AND(C11&gt;=(13-'Assumptions'!$J$49),C11&lt;=12),SUM('Revenue and costs'!O27:U27)/'Assumptions'!$J$49,0)+IF(C11=(13-'Assumptions'!$J$49)-1,'Revenue and costs'!V27+'Revenue and costs'!AE27,0)+IF(AND(C11&gt;=(13-'Assumptions'!$J$50),C11&lt;=12),SUM('Revenue and costs'!O28:U28)/'Assumptions'!$J$50,0)+IF(C11=(13-'Assumptions'!$J$50)-1,'Revenue and costs'!V28+'Revenue and costs'!AE28,0)+IF(AND(C11&gt;=(13-'Assumptions'!$J$51),C11&lt;=12),SUM('Revenue and costs'!O29:U29)/'Assumptions'!$J$51,0)+IF(C11=(13-'Assumptions'!$J$51)-1,'Revenue and costs'!V29+'Revenue and costs'!AE29,0)+IF(AND(C11&gt;=(13-'Assumptions'!$J$52),C11&lt;=12),SUM('Revenue and costs'!O30:U30)/'Assumptions'!$J$52,0)+IF(C11=(13-'Assumptions'!$J$52)-1,'Revenue and costs'!V30+'Revenue and costs'!AE30,0)+IF(AND(C11&gt;=(13-'Assumptions'!$J$53),C11&lt;=12),SUM('Revenue and costs'!O31:U31)/'Assumptions'!$J$53,0)+IF(C11=(13-'Assumptions'!$J$53)-1,'Revenue and costs'!V31+'Revenue and costs'!AE31,0)+IF(AND(C11&gt;=(13-'Assumptions'!$J$54),C11&lt;=12),SUM('Revenue and costs'!O32:U32)/'Assumptions'!$J$54,0)+IF(C11=(13-'Assumptions'!$J$54)-1,'Revenue and costs'!V32+'Revenue and costs'!AE32,0)+IF(AND(C11&gt;=(13-'Assumptions'!$J$55),C11&lt;=12),SUM('Revenue and costs'!O33:U33)/'Assumptions'!$J$55,0)+IF(C11=(13-'Assumptions'!$J$55)-1,'Revenue and costs'!V33+'Revenue and costs'!AE33,0)+IF(AND(C11&gt;=(13-'Assumptions'!$J$56),C11&lt;=12),SUM('Revenue and costs'!O34:U34)/'Assumptions'!$J$56,0)+IF(C11=(13-'Assumptions'!$J$56)-1,'Revenue and costs'!V34+'Revenue and costs'!AE34,0)+IF(AND(C11&gt;=(13-'Assumptions'!$J$57),C11&lt;=12),SUM('Revenue and costs'!O35:U35)/'Assumptions'!$J$57,0)+IF(C11=(13-'Assumptions'!$J$57)-1,'Revenue and costs'!V35+'Revenue and costs'!AE35,0)+IF(AND(C11&gt;=(13-'Assumptions'!$J$58),C11&lt;=12),SUM('Revenue and costs'!O36:U36)/'Assumptions'!$J$58,0)+IF(C11=(13-'Assumptions'!$J$58)-1,'Revenue and costs'!V36+'Revenue and costs'!AE36,0)+IF(AND(C11&gt;=(13-'Assumptions'!$J$59),C11&lt;=12),SUM('Revenue and costs'!O37:U37)/'Assumptions'!$J$59,0)+IF(C11=(13-'Assumptions'!$J$59)-1,'Revenue and costs'!V37+'Revenue and costs'!AE37,0)+IF(AND(C11&gt;=(13-'Assumptions'!$J$60),C11&lt;=12),SUM('Revenue and costs'!O38:U38)/'Assumptions'!$J$60,0)+IF(C11=(13-'Assumptions'!$J$60)-1,'Revenue and costs'!V38+'Revenue and costs'!AE38,0)+IF(AND(C11&gt;=(13-'Assumptions'!$J$61),C11&lt;=12),SUM('Revenue and costs'!O39:U39)/'Assumptions'!$J$61,0)+IF(C11=(13-'Assumptions'!$J$61)-1,'Revenue and costs'!V39+'Revenue and costs'!AE39,0)+IF(AND(C11&gt;=(13-'Assumptions'!$J$62),C11&lt;=12),SUM('Revenue and costs'!O40:U40)/'Assumptions'!$J$62,0)+IF(C11=(13-'Assumptions'!$J$62)-1,'Revenue and costs'!V40+'Revenue and costs'!AE40,0)+IF(AND(C11&gt;=(13-'Assumptions'!$J$63),C11&lt;=12),SUM('Revenue and costs'!O41:U41)/'Assumptions'!$J$63,0)+IF(C11=(13-'Assumptions'!$J$63)-1,'Revenue and costs'!V41+'Revenue and costs'!AE41,0)+IF(AND(C11&gt;=(13-'Assumptions'!$J$64),C11&lt;=12),SUM('Revenue and costs'!O42:U42)/'Assumptions'!$J$64,0)+IF(C11=(13-'Assumptions'!$J$64)-1,'Revenue and costs'!V42+'Revenue and costs'!AE42,0)+IF(AND(C11&gt;=(13-'Assumptions'!$J$65),C11&lt;=12),SUM('Revenue and costs'!O43:U43)/'Assumptions'!$J$65,0)+IF(C11=(13-'Assumptions'!$J$65)-1,'Revenue and costs'!V43+'Revenue and costs'!AE43,0)+IF(AND(C11&gt;=(13-'Assumptions'!$J$66),C11&lt;=12),SUM('Revenue and costs'!O44:U44)/'Assumptions'!$J$66,0)+IF(C11=(13-'Assumptions'!$J$66)-1,'Revenue and costs'!V44+'Revenue and costs'!AE44,0)+IF(AND(C11&gt;=(13-'Assumptions'!$J$67),C11&lt;=12),SUM('Revenue and costs'!O45:U45)/'Assumptions'!$J$67,0)+IF(C11=(13-'Assumptions'!$J$67)-1,'Revenue and costs'!V45+'Revenue and costs'!AE45,0)+IF(AND(C11&gt;=(13-'Assumptions'!$J$68),C11&lt;=12),SUM('Revenue and costs'!O46:U46)/'Assumptions'!$J$68,0)+IF(C11=(13-'Assumptions'!$J$68)-1,'Revenue and costs'!V46+'Revenue and costs'!AE46,0)+IF(AND(C11&gt;=(13-'Assumptions'!$J$69),C11&lt;=12),SUM('Revenue and costs'!O47:U47)/'Assumptions'!$J$69,0)+IF(C11=(13-'Assumptions'!$J$69)-1,'Revenue and costs'!V47+'Revenue and costs'!AE47,0)+IF(AND(C11&gt;=(13-'Assumptions'!$J$70),C11&lt;=12),SUM('Revenue and costs'!O48:U48)/'Assumptions'!$J$70,0)+IF(C11=(13-'Assumptions'!$J$70)-1,'Revenue and costs'!V48+'Revenue and costs'!AE48,0)+IF(AND(C11&gt;=(13-'Assumptions'!$J$71),C11&lt;=12),SUM('Revenue and costs'!O49:U49)/'Assumptions'!$J$71,0)+IF(C11=(13-'Assumptions'!$J$71)-1,'Revenue and costs'!V49+'Revenue and costs'!AE49,0)+IF(AND(C11&gt;=(13-'Assumptions'!$J$72),C11&lt;=12),SUM('Revenue and costs'!O50:U50)/'Assumptions'!$J$72,0)+IF(C11=(13-'Assumptions'!$J$72)-1,'Revenue and costs'!V50+'Revenue and costs'!AE50,0)+IF(AND(C11&gt;=(13-'Assumptions'!$J$73),C11&lt;=12),SUM('Revenue and costs'!O51:U51)/'Assumptions'!$J$73,0)+IF(C11=(13-'Assumptions'!$J$73)-1,'Revenue and costs'!V51+'Revenue and costs'!AE51,0)+IF(AND(C11&gt;=(13-'Assumptions'!$J$74),C11&lt;=12),SUM('Revenue and costs'!O52:U52)/'Assumptions'!$J$74,0)+IF(C11=(13-'Assumptions'!$J$74)-1,'Revenue and costs'!V52+'Revenue and costs'!AE52,0)+IF(AND(C11&gt;=(13-'Assumptions'!$J$75),C11&lt;=12),SUM('Revenue and costs'!O53:U53)/'Assumptions'!$J$75,0)+IF(C11=(13-'Assumptions'!$J$75)-1,'Revenue and costs'!V53+'Revenue and costs'!AE53,0)+IF(AND(C11&gt;=(13-'Assumptions'!$J$76),C11&lt;=12),SUM('Revenue and costs'!O54:U54)/'Assumptions'!$J$76,0)+IF(C11=(13-'Assumptions'!$J$76)-1,'Revenue and costs'!V54+'Revenue and costs'!AE54,0)+IF(AND(C11&gt;=(13-'Assumptions'!$J$77),C11&lt;=12),SUM('Revenue and costs'!O55:U55)/'Assumptions'!$J$77,0)+IF(C11=(13-'Assumptions'!$J$77)-1,'Revenue and costs'!V55+'Revenue and costs'!AE55,0)+IF(AND(C11&gt;=(13-'Assumptions'!$J$78),C11&lt;=12),SUM('Revenue and costs'!O56:U56)/'Assumptions'!$J$78,0)+IF(C11=(13-'Assumptions'!$J$78)-1,'Revenue and costs'!V56+'Revenue and costs'!AE56,0)+IF(AND(C11&gt;=(13-'Assumptions'!$J$79),C11&lt;=12),SUM('Revenue and costs'!O57:U57)/'Assumptions'!$J$79,0)+IF(C11=(13-'Assumptions'!$J$79)-1,'Revenue and costs'!V57+'Revenue and costs'!AE57,0)+IF(AND(C11&gt;=(13-'Assumptions'!$J$80),C11&lt;=12),SUM('Revenue and costs'!O58:U58)/'Assumptions'!$J$80,0)+IF(C11=(13-'Assumptions'!$J$80)-1,'Revenue and costs'!V58+'Revenue and costs'!AE58,0)+IF(AND(C11&gt;=(13-'Assumptions'!$J$81),C11&lt;=12),SUM('Revenue and costs'!O59:U59)/'Assumptions'!$J$81,0)+IF(C11=(13-'Assumptions'!$J$81)-1,'Revenue and costs'!V59+'Revenue and costs'!AE59,0)+IF(AND(C11&gt;=(13-'Assumptions'!$J$82),C11&lt;=12),SUM('Revenue and costs'!O60:U60)/'Assumptions'!$J$82,0)+IF(C11=(13-'Assumptions'!$J$82)-1,'Revenue and costs'!V60+'Revenue and costs'!AE60,0)+IF(AND(C11&gt;=(13-'Assumptions'!$J$83),C11&lt;=12),SUM('Revenue and costs'!O61:U61)/'Assumptions'!$J$83,0)+IF(C11=(13-'Assumptions'!$J$83)-1,'Revenue and costs'!V61+'Revenue and costs'!AE61,0)+IF(AND(C11&gt;=(13-'Assumptions'!$J$84),C11&lt;=12),SUM('Revenue and costs'!O62:U62)/'Assumptions'!$J$84,0)+IF(C11=(13-'Assumptions'!$J$84)-1,'Revenue and costs'!V62+'Revenue and costs'!AE62,0)+IF(AND(C11&gt;=(13-'Assumptions'!$J$85),C11&lt;=12),SUM('Revenue and costs'!O63:U63)/'Assumptions'!$J$85,0)+IF(C11=(13-'Assumptions'!$J$85)-1,'Revenue and costs'!V63+'Revenue and costs'!AE63,0)+IF(AND(C11&gt;=(13-'Assumptions'!$J$86),C11&lt;=12),SUM('Revenue and costs'!O64:U64)/'Assumptions'!$J$86,0)+IF(C11=(13-'Assumptions'!$J$86)-1,'Revenue and costs'!V64+'Revenue and costs'!AE64,0)+IF(AND(C11&gt;=(13-'Assumptions'!$J$87),C11&lt;=12),SUM('Revenue and costs'!O65:U65)/'Assumptions'!$J$87,0)+IF(C11=(13-'Assumptions'!$J$87)-1,'Revenue and costs'!V65+'Revenue and costs'!AE65,0)+IF(AND(C11&gt;=(13-'Assumptions'!$J$88),C11&lt;=12),SUM('Revenue and costs'!O66:U66)/'Assumptions'!$J$88,0)+IF(C11=(13-'Assumptions'!$J$88)-1,'Revenue and costs'!V66+'Revenue and costs'!AE66,0)+IF(AND(C11&gt;=(13-'Assumptions'!$J$89),C11&lt;=12),SUM('Revenue and costs'!O67:U67)/'Assumptions'!$J$89,0)+IF(C11=(13-'Assumptions'!$J$89)-1,'Revenue and costs'!V67+'Revenue and costs'!AE67,0)+IF(AND(C11&gt;=(13-'Assumptions'!$J$90),C11&lt;=12),SUM('Revenue and costs'!O68:U68)/'Assumptions'!$J$90,0)+IF(C11=(13-'Assumptions'!$J$90)-1,'Revenue and costs'!V68+'Revenue and costs'!AE68,0)+IF(AND(C11&gt;=(13-'Assumptions'!$J$91),C11&lt;=12),SUM('Revenue and costs'!O69:U69)/'Assumptions'!$J$91,0)+IF(C11=(13-'Assumptions'!$J$91)-1,'Revenue and costs'!V69+'Revenue and costs'!AE69,0)+IF(AND(C11&gt;=(13-'Assumptions'!$J$92),C11&lt;=12),SUM('Revenue and costs'!O70:U70)/'Assumptions'!$J$92,0)+IF(C11=(13-'Assumptions'!$J$92)-1,'Revenue and costs'!V70+'Revenue and costs'!AE70,0)+IF(AND(C11&gt;=(13-'Assumptions'!$J$93),C11&lt;=12),SUM('Revenue and costs'!O71:U71)/'Assumptions'!$J$93,0)+IF(C11=(13-'Assumptions'!$J$93)-1,'Revenue and costs'!V71+'Revenue and costs'!AE71,0)+IF(AND(C11&gt;=(13-'Assumptions'!$J$94),C11&lt;=12),SUM('Revenue and costs'!O72:U72)/'Assumptions'!$J$94,0)+IF(C11=(13-'Assumptions'!$J$94)-1,'Revenue and costs'!V72+'Revenue and costs'!AE72,0)+IF(AND(C11&gt;=(13-'Assumptions'!$J$95),C11&lt;=12),SUM('Revenue and costs'!O73:U73)/'Assumptions'!$J$95,0)+IF(C11=(13-'Assumptions'!$J$95)-1,'Revenue and costs'!V73+'Revenue and costs'!AE73,0)+IF(AND(C11&gt;=(13-'Assumptions'!$J$96),C11&lt;=12),SUM('Revenue and costs'!O74:U74)/'Assumptions'!$J$96,0)+IF(C11=(13-'Assumptions'!$J$96)-1,'Revenue and costs'!V74+'Revenue and costs'!AE74,0)+IF(AND(C11&gt;=(13-'Assumptions'!$J$97),C11&lt;=12),SUM('Revenue and costs'!O75:U75)/'Assumptions'!$J$97,0)+IF(C11=(13-'Assumptions'!$J$97)-1,'Revenue and costs'!V75+'Revenue and costs'!AE75,0)+IF(AND(C11&gt;=(13-'Assumptions'!$J$98),C11&lt;=12),SUM('Revenue and costs'!O76:U76)/'Assumptions'!$J$98,0)+IF(C11=(13-'Assumptions'!$J$98)-1,'Revenue and costs'!V76+'Revenue and costs'!AE76,0)+IF(AND(C11&gt;=(13-'Assumptions'!$J$99),C11&lt;=12),SUM('Revenue and costs'!O77:U77)/'Assumptions'!$J$99,0)+IF(C11=(13-'Assumptions'!$J$99)-1,'Revenue and costs'!V77+'Revenue and costs'!AE77,0)+IF(AND(C11&gt;=(13-'Assumptions'!$J$100),C11&lt;=12),SUM('Revenue and costs'!O78:U78)/'Assumptions'!$J$100,0)+IF(C11=(13-'Assumptions'!$J$100)-1,'Revenue and costs'!V78+'Revenue and costs'!AE78,0)+IF(AND(C11&gt;=(13-'Assumptions'!$J$101),C11&lt;=12),SUM('Revenue and costs'!O79:U79)/'Assumptions'!$J$101,0)+IF(C11=(13-'Assumptions'!$J$101)-1,'Revenue and costs'!V79+'Revenue and costs'!AE79,0)+IF(AND(C11&gt;=(13-'Assumptions'!$J$102),C11&lt;=12),SUM('Revenue and costs'!O80:U80)/'Assumptions'!$J$102,0)+IF(C11=(13-'Assumptions'!$J$102)-1,'Revenue and costs'!V80+'Revenue and costs'!AE80,0)+IF(AND(C11&gt;=(13-'Assumptions'!$J$103),C11&lt;=12),SUM('Revenue and costs'!O81:U81)/'Assumptions'!$J$103,0)+IF(C11=(13-'Assumptions'!$J$103)-1,'Revenue and costs'!V81+'Revenue and costs'!AE81,0)+IF(AND(C11&gt;=(13-'Assumptions'!$J$104),C11&lt;=12),SUM('Revenue and costs'!O82:U82)/'Assumptions'!$J$104,0)+IF(C11=(13-'Assumptions'!$J$104)-1,'Revenue and costs'!V82+'Revenue and costs'!AE82,0)+IF(AND(C11&gt;=(13-'Assumptions'!$J$105),C11&lt;=12),SUM('Revenue and costs'!O83:U83)/'Assumptions'!$J$105,0)+IF(C11=(13-'Assumptions'!$J$105)-1,'Revenue and costs'!V83+'Revenue and costs'!AE83,0)+IF(AND(C11&gt;=(13-'Assumptions'!$J$106),C11&lt;=12),SUM('Revenue and costs'!O84:U84)/'Assumptions'!$J$106,0)+IF(C11=(13-'Assumptions'!$J$106)-1,'Revenue and costs'!V84+'Revenue and costs'!AE84,0)+IF(AND(C11&gt;=(13-'Assumptions'!$J$107),C11&lt;=12),SUM('Revenue and costs'!O85:U85)/'Assumptions'!$J$107,0)+IF(C11=(13-'Assumptions'!$J$107)-1,'Revenue and costs'!V85+'Revenue and costs'!AE85,0)+IF(AND(C11&gt;=(13-'Assumptions'!$J$108),C11&lt;=12),SUM('Revenue and costs'!O86:U86)/'Assumptions'!$J$108,0)+IF(C11=(13-'Assumptions'!$J$108)-1,'Revenue and costs'!V86+'Revenue and costs'!AE86,0)+IF(AND(C11&gt;=(13-'Assumptions'!$J$109),C11&lt;=12),SUM('Revenue and costs'!O87:U87)/'Assumptions'!$J$109,0)+IF(C11=(13-'Assumptions'!$J$109)-1,'Revenue and costs'!V87+'Revenue and costs'!AE87,0)+IF(AND(C11&gt;=(13-'Assumptions'!$J$110),C11&lt;=12),SUM('Revenue and costs'!O88:U88)/'Assumptions'!$J$110,0)+IF(C11=(13-'Assumptions'!$J$110)-1,'Revenue and costs'!V88+'Revenue and costs'!AE88,0)+IF(AND(C11&gt;=(13-'Assumptions'!$J$111),C11&lt;=12),SUM('Revenue and costs'!O89:U89)/'Assumptions'!$J$111,0)+IF(C11=(13-'Assumptions'!$J$111)-1,'Revenue and costs'!V89+'Revenue and costs'!AE89,0)+IF(AND(C11&gt;=(13-'Assumptions'!$J$112),C11&lt;=12),SUM('Revenue and costs'!O90:U90)/'Assumptions'!$J$112,0)+IF(C11=(13-'Assumptions'!$J$112)-1,'Revenue and costs'!V90+'Revenue and costs'!AE90,0)+IF(AND(C11&gt;=(13-'Assumptions'!$J$113),C11&lt;=12),SUM('Revenue and costs'!O91:U91)/'Assumptions'!$J$113,0)+IF(C11=(13-'Assumptions'!$J$113)-1,'Revenue and costs'!V91+'Revenue and costs'!AE91,0)+IF(AND(C11&gt;=(13-'Assumptions'!$J$114),C11&lt;=12),SUM('Revenue and costs'!O92:U92)/'Assumptions'!$J$114,0)+IF(C11=(13-'Assumptions'!$J$114)-1,'Revenue and costs'!V92+'Revenue and costs'!AE92,0)+IF(AND(C11&gt;=(13-'Assumptions'!$J$115),C11&lt;=12),SUM('Revenue and costs'!O93:U93)/'Assumptions'!$J$115,0)+IF(C11=(13-'Assumptions'!$J$115)-1,'Revenue and costs'!V93+'Revenue and costs'!AE93,0)+IF(AND(C11&gt;=(13-'Assumptions'!$J$116),C11&lt;=12),SUM('Revenue and costs'!O94:U94)/'Assumptions'!$J$116,0)+IF(C11=(13-'Assumptions'!$J$116)-1,'Revenue and costs'!V94+'Revenue and costs'!AE94,0)+IF(AND(C11&gt;=(13-'Assumptions'!$J$117),C11&lt;=12),SUM('Revenue and costs'!O95:U95)/'Assumptions'!$J$117,0)+IF(C11=(13-'Assumptions'!$J$117)-1,'Revenue and costs'!V95+'Revenue and costs'!AE95,0)+IF(AND(C11&gt;=(13-'Assumptions'!$J$118),C11&lt;=12),SUM('Revenue and costs'!O96:U96)/'Assumptions'!$J$118,0)+IF(C11=(13-'Assumptions'!$J$118)-1,'Revenue and costs'!V96+'Revenue and costs'!AE96,0)+IF(AND(C11&gt;=(13-'Assumptions'!$J$119),C11&lt;=12),SUM('Revenue and costs'!O97:U97)/'Assumptions'!$J$119,0)+IF(C11=(13-'Assumptions'!$J$119)-1,'Revenue and costs'!V97+'Revenue and costs'!AE97,0)+IF(AND(C11&gt;=(13-'Assumptions'!$J$120),C11&lt;=12),SUM('Revenue and costs'!O98:U98)/'Assumptions'!$J$120,0)+IF(C11=(13-'Assumptions'!$J$120)-1,'Revenue and costs'!V98+'Revenue and costs'!AE98,0)+IF(AND(C11&gt;=(13-'Assumptions'!$J$121),C11&lt;=12),SUM('Revenue and costs'!O99:U99)/'Assumptions'!$J$121,0)+IF(C11=(13-'Assumptions'!$J$121)-1,'Revenue and costs'!V99+'Revenue and costs'!AE99,0)+IF(AND(C11&gt;=(13-'Assumptions'!$J$122),C11&lt;=12),SUM('Revenue and costs'!O100:U100)/'Assumptions'!$J$122,0)+IF(C11=(13-'Assumptions'!$J$122)-1,'Revenue and costs'!V100+'Revenue and costs'!AE100,0)+IF(AND(C11&gt;=(13-'Assumptions'!$J$123),C11&lt;=12),SUM('Revenue and costs'!O101:U101)/'Assumptions'!$J$123,0)+IF(C11=(13-'Assumptions'!$J$123)-1,'Revenue and costs'!V101+'Revenue and costs'!AE101,0)+IF(AND(C11&gt;=(13-'Assumptions'!$J$124),C11&lt;=12),SUM('Revenue and costs'!O102:U102)/'Assumptions'!$J$124,0)+IF(C11=(13-'Assumptions'!$J$124)-1,'Revenue and costs'!V102+'Revenue and costs'!AE102,0)+IF(AND(C11&gt;=(13-'Assumptions'!$J$125),C11&lt;=12),SUM('Revenue and costs'!O103:U103)/'Assumptions'!$J$125,0)+IF(C11=(13-'Assumptions'!$J$125)-1,'Revenue and costs'!V103+'Revenue and costs'!AE103,0)+IF(AND(C11&gt;=(13-'Assumptions'!$J$126),C11&lt;=12),SUM('Revenue and costs'!O104:U104)/'Assumptions'!$J$126,0)+IF(C11=(13-'Assumptions'!$J$126)-1,'Revenue and costs'!V104+'Revenue and costs'!AE104,0)+IF(AND(C11&gt;=(13-'Assumptions'!$J$127),C11&lt;=12),SUM('Revenue and costs'!O105:U105)/'Assumptions'!$J$127,0)+IF(C11=(13-'Assumptions'!$J$127)-1,'Revenue and costs'!V105+'Revenue and costs'!AE105,0)+IF(AND(C11&gt;=(13-'Assumptions'!$J$128),C11&lt;=12),SUM('Revenue and costs'!O106:U106)/'Assumptions'!$J$128,0)+IF(C11=(13-'Assumptions'!$J$128)-1,'Revenue and costs'!V106+'Revenue and costs'!AE106,0)+IF(AND(C11&gt;=(13-'Assumptions'!$J$129),C11&lt;=12),SUM('Revenue and costs'!O107:U107)/'Assumptions'!$J$129,0)+IF(C11=(13-'Assumptions'!$J$129)-1,'Revenue and costs'!V107+'Revenue and costs'!AE107,0)+IF(AND(C11&gt;=(13-'Assumptions'!$J$130),C11&lt;=12),SUM('Revenue and costs'!O108:U108)/'Assumptions'!$J$130,0)+IF(C11=(13-'Assumptions'!$J$130)-1,'Revenue and costs'!V108+'Revenue and costs'!AE108,0)+IF(AND(C11&gt;=(13-'Assumptions'!$J$131),C11&lt;=12),SUM('Revenue and costs'!O109:U109)/'Assumptions'!$J$131,0)+IF(C11=(13-'Assumptions'!$J$131)-1,'Revenue and costs'!V109+'Revenue and costs'!AE109,0)+IF(AND(C11&gt;=(13-'Assumptions'!$J$132),C11&lt;=12),SUM('Revenue and costs'!O110:U110)/'Assumptions'!$J$132,0)+IF(C11=(13-'Assumptions'!$J$132)-1,'Revenue and costs'!V110+'Revenue and costs'!AE110,0)+IF(AND(C11&gt;=(13-'Assumptions'!$J$133),C11&lt;=12),SUM('Revenue and costs'!O111:U111)/'Assumptions'!$J$133,0)+IF(C11=(13-'Assumptions'!$J$133)-1,'Revenue and costs'!V111+'Revenue and costs'!AE111,0)+IF(AND(C11&gt;=(13-'Assumptions'!$J$134),C11&lt;=12),SUM('Revenue and costs'!O112:U112)/'Assumptions'!$J$134,0)+IF(C11=(13-'Assumptions'!$J$134)-1,'Revenue and costs'!V112+'Revenue and costs'!AE112,0)+IF(AND(C11&gt;=(13-'Assumptions'!$J$135),C11&lt;=12),SUM('Revenue and costs'!O113:U113)/'Assumptions'!$J$135,0)+IF(C11=(13-'Assumptions'!$J$135)-1,'Revenue and costs'!V113+'Revenue and costs'!AE113,0)+IF(AND(C11&gt;=(13-'Assumptions'!$J$136),C11&lt;=12),SUM('Revenue and costs'!O114:U114)/'Assumptions'!$J$136,0)+IF(C11=(13-'Assumptions'!$J$136)-1,'Revenue and costs'!V114+'Revenue and costs'!AE114,0)+IF(AND(C11&gt;=(13-'Assumptions'!$J$137),C11&lt;=12),SUM('Revenue and costs'!O115:U115)/'Assumptions'!$J$137,0)+IF(C11=(13-'Assumptions'!$J$137)-1,'Revenue and costs'!V115+'Revenue and costs'!AE115,0)+IF(AND(C11&gt;=(13-'Assumptions'!$J$138),C11&lt;=12),SUM('Revenue and costs'!O116:U116)/'Assumptions'!$J$138,0)+IF(C11=(13-'Assumptions'!$J$138)-1,'Revenue and costs'!V116+'Revenue and costs'!AE116,0)+IF(AND(C11&gt;=(13-'Assumptions'!$J$139),C11&lt;=12),SUM('Revenue and costs'!O117:U117)/'Assumptions'!$J$139,0)+IF(C11=(13-'Assumptions'!$J$139)-1,'Revenue and costs'!V117+'Revenue and costs'!AE117,0)+IF(AND(C11&gt;=(13-'Assumptions'!$J$140),C11&lt;=12),SUM('Revenue and costs'!O118:U118)/'Assumptions'!$J$140,0)+IF(C11=(13-'Assumptions'!$J$140)-1,'Revenue and costs'!V118+'Revenue and costs'!AE118,0)+IF(AND(C11&gt;=(13-'Assumptions'!$J$141),C11&lt;=12),SUM('Revenue and costs'!O119:U119)/'Assumptions'!$J$141,0)+IF(C11=(13-'Assumptions'!$J$141)-1,'Revenue and costs'!V119+'Revenue and costs'!AE119,0)+IF(AND(C11&gt;=(13-'Assumptions'!$J$142),C11&lt;=12),SUM('Revenue and costs'!O120:U120)/'Assumptions'!$J$142,0)+IF(C11=(13-'Assumptions'!$J$142)-1,'Revenue and costs'!V120+'Revenue and costs'!AE120,0)+IF(AND(C11&gt;=(13-'Assumptions'!$J$143),C11&lt;=12),SUM('Revenue and costs'!O121:U121)/'Assumptions'!$J$143,0)+IF(C11=(13-'Assumptions'!$J$143)-1,'Revenue and costs'!V121+'Revenue and costs'!AE121,0)+IF(AND(C11&gt;=(13-'Assumptions'!$J$144),C11&lt;=12),SUM('Revenue and costs'!O122:U122)/'Assumptions'!$J$144,0)+IF(C11=(13-'Assumptions'!$J$144)-1,'Revenue and costs'!V122+'Revenue and costs'!AE122,0)+IF(AND(C11&gt;=(13-'Assumptions'!$J$145),C11&lt;=12),SUM('Revenue and costs'!O123:U123)/'Assumptions'!$J$145,0)+IF(C11=(13-'Assumptions'!$J$145)-1,'Revenue and costs'!V123+'Revenue and costs'!AE123,0)+IF(AND(C11&gt;=(13-'Assumptions'!$J$146),C11&lt;=12),SUM('Revenue and costs'!O124:U124)/'Assumptions'!$J$146,0)+IF(C11=(13-'Assumptions'!$J$146)-1,'Revenue and costs'!V124+'Revenue and costs'!AE124,0)+IF(AND(C11&gt;=(13-'Assumptions'!$J$147),C11&lt;=12),SUM('Revenue and costs'!O125:U125)/'Assumptions'!$J$147,0)+IF(C11=(13-'Assumptions'!$J$147)-1,'Revenue and costs'!V125+'Revenue and costs'!AE125,0)+IF(AND(C11&gt;=(13-'Assumptions'!$J$148),C11&lt;=12),SUM('Revenue and costs'!O126:U126)/'Assumptions'!$J$148,0)+IF(C11=(13-'Assumptions'!$J$148)-1,'Revenue and costs'!V126+'Revenue and costs'!AE126,0)+IF(AND(C11&gt;=(13-'Assumptions'!$J$149),C11&lt;=12),SUM('Revenue and costs'!O127:U127)/'Assumptions'!$J$149,0)+IF(C11=(13-'Assumptions'!$J$149)-1,'Revenue and costs'!V127+'Revenue and costs'!AE127,0)+IF(AND(C11&gt;=(13-'Assumptions'!$J$150),C11&lt;=12),SUM('Revenue and costs'!O128:U128)/'Assumptions'!$J$150,0)+IF(C11=(13-'Assumptions'!$J$150)-1,'Revenue and costs'!V128+'Revenue and costs'!AE128,0)+IF(AND(C11&gt;=(13-'Assumptions'!$J$151),C11&lt;=12),SUM('Revenue and costs'!O129:U129)/'Assumptions'!$J$151,0)+IF(C11=(13-'Assumptions'!$J$151)-1,'Revenue and costs'!V129+'Revenue and costs'!AE129,0)+IF(AND(C11&gt;=(13-'Assumptions'!$J$152),C11&lt;=12),SUM('Revenue and costs'!O130:U130)/'Assumptions'!$J$152,0)+IF(C11=(13-'Assumptions'!$J$152)-1,'Revenue and costs'!V130+'Revenue and costs'!AE130,0)+IF(AND(C11&gt;=(13-'Assumptions'!$J$153),C11&lt;=12),SUM('Revenue and costs'!O131:U131)/'Assumptions'!$J$153,0)+IF(C11=(13-'Assumptions'!$J$153)-1,'Revenue and costs'!V131+'Revenue and costs'!AE131,0)+IF(AND(C11&gt;=(13-'Assumptions'!$J$154),C11&lt;=12),SUM('Revenue and costs'!O132:U132)/'Assumptions'!$J$154,0)+IF(C11=(13-'Assumptions'!$J$154)-1,'Revenue and costs'!V132+'Revenue and costs'!AE132,0)+IF(AND(C11&gt;=(13-'Assumptions'!$J$155),C11&lt;=12),SUM('Revenue and costs'!O133:U133)/'Assumptions'!$J$155,0)+IF(C11=(13-'Assumptions'!$J$155)-1,'Revenue and costs'!V133+'Revenue and costs'!AE133,0)+IF(AND(C11&gt;=(13-'Assumptions'!$J$156),C11&lt;=12),SUM('Revenue and costs'!O134:U134)/'Assumptions'!$J$156,0)+IF(C11=(13-'Assumptions'!$J$156)-1,'Revenue and costs'!V134+'Revenue and costs'!AE134,0)+IF(AND(C11&gt;=(13-'Assumptions'!$J$157),C11&lt;=12),SUM('Revenue and costs'!O135:U135)/'Assumptions'!$J$157,0)+IF(C11=(13-'Assumptions'!$J$157)-1,'Revenue and costs'!V135+'Revenue and costs'!AE135,0)+IF(C11&gt;0,'Shared costs'!H21/12+'Assumptions'!$D$18*'Assumptions'!$D$19*'Assumptions'!$D$21,0)</x:f>
        <x:v>10560.608333333334</x:v>
      </x:c>
      <x:c r="F11" s="10" t="n">
        <x:f>IF(C11=12,'Income statement'!D85,0)</x:f>
        <x:v>0</x:v>
      </x:c>
      <x:c r="G11" s="10" t="n">
        <x:f>IF(C11=(13-'Assumptions'!$J$30)-1,'Revenue and costs'!Y8,0)+IF(C11=(13-'Assumptions'!$J$31)-1,'Revenue and costs'!Y9,0)+IF(C11=(13-'Assumptions'!$J$32)-1,'Revenue and costs'!Y10,0)+IF(C11=(13-'Assumptions'!$J$33)-1,'Revenue and costs'!Y11,0)+IF(C11=(13-'Assumptions'!$J$34)-1,'Revenue and costs'!Y12,0)+IF(C11=(13-'Assumptions'!$J$35)-1,'Revenue and costs'!Y13,0)+IF(C11=(13-'Assumptions'!$J$36)-1,'Revenue and costs'!Y14,0)+IF(C11=(13-'Assumptions'!$J$37)-1,'Revenue and costs'!Y15,0)+IF(C11=(13-'Assumptions'!$J$38)-1,'Revenue and costs'!Y16,0)+IF(C11=(13-'Assumptions'!$J$39)-1,'Revenue and costs'!Y17,0)+IF(C11=(13-'Assumptions'!$J$40)-1,'Revenue and costs'!Y18,0)+IF(C11=(13-'Assumptions'!$J$41)-1,'Revenue and costs'!Y19,0)+IF(C11=(13-'Assumptions'!$J$42)-1,'Revenue and costs'!Y20,0)+IF(C11=(13-'Assumptions'!$J$43)-1,'Revenue and costs'!Y21,0)+IF(C11=(13-'Assumptions'!$J$44)-1,'Revenue and costs'!Y22,0)+IF(C11=(13-'Assumptions'!$J$45)-1,'Revenue and costs'!Y23,0)+IF(C11=(13-'Assumptions'!$J$46)-1,'Revenue and costs'!Y24,0)+IF(C11=(13-'Assumptions'!$J$47)-1,'Revenue and costs'!Y25,0)+IF(C11=(13-'Assumptions'!$J$48)-1,'Revenue and costs'!Y26,0)+IF(C11=(13-'Assumptions'!$J$49)-1,'Revenue and costs'!Y27,0)+IF(C11=(13-'Assumptions'!$J$50)-1,'Revenue and costs'!Y28,0)+IF(C11=(13-'Assumptions'!$J$51)-1,'Revenue and costs'!Y29,0)+IF(C11=(13-'Assumptions'!$J$52)-1,'Revenue and costs'!Y30,0)+IF(C11=(13-'Assumptions'!$J$53)-1,'Revenue and costs'!Y31,0)+IF(C11=(13-'Assumptions'!$J$54)-1,'Revenue and costs'!Y32,0)+IF(C11=(13-'Assumptions'!$J$55)-1,'Revenue and costs'!Y33,0)+IF(C11=(13-'Assumptions'!$J$56)-1,'Revenue and costs'!Y34,0)+IF(C11=(13-'Assumptions'!$J$57)-1,'Revenue and costs'!Y35,0)+IF(C11=(13-'Assumptions'!$J$58)-1,'Revenue and costs'!Y36,0)+IF(C11=(13-'Assumptions'!$J$59)-1,'Revenue and costs'!Y37,0)+IF(C11=(13-'Assumptions'!$J$60)-1,'Revenue and costs'!Y38,0)+IF(C11=(13-'Assumptions'!$J$61)-1,'Revenue and costs'!Y39,0)+IF(C11=(13-'Assumptions'!$J$62)-1,'Revenue and costs'!Y40,0)+IF(C11=(13-'Assumptions'!$J$63)-1,'Revenue and costs'!Y41,0)+IF(C11=(13-'Assumptions'!$J$64)-1,'Revenue and costs'!Y42,0)+IF(C11=(13-'Assumptions'!$J$65)-1,'Revenue and costs'!Y43,0)+IF(C11=(13-'Assumptions'!$J$66)-1,'Revenue and costs'!Y44,0)+IF(C11=(13-'Assumptions'!$J$67)-1,'Revenue and costs'!Y45,0)+IF(C11=(13-'Assumptions'!$J$68)-1,'Revenue and costs'!Y46,0)+IF(C11=(13-'Assumptions'!$J$69)-1,'Revenue and costs'!Y47,0)+IF(C11=(13-'Assumptions'!$J$70)-1,'Revenue and costs'!Y48,0)+IF(C11=(13-'Assumptions'!$J$71)-1,'Revenue and costs'!Y49,0)+IF(C11=(13-'Assumptions'!$J$72)-1,'Revenue and costs'!Y50,0)+IF(C11=(13-'Assumptions'!$J$73)-1,'Revenue and costs'!Y51,0)+IF(C11=(13-'Assumptions'!$J$74)-1,'Revenue and costs'!Y52,0)+IF(C11=(13-'Assumptions'!$J$75)-1,'Revenue and costs'!Y53,0)+IF(C11=(13-'Assumptions'!$J$76)-1,'Revenue and costs'!Y54,0)+IF(C11=(13-'Assumptions'!$J$77)-1,'Revenue and costs'!Y55,0)+IF(C11=(13-'Assumptions'!$J$78)-1,'Revenue and costs'!Y56,0)+IF(C11=(13-'Assumptions'!$J$79)-1,'Revenue and costs'!Y57,0)+IF(C11=(13-'Assumptions'!$J$80)-1,'Revenue and costs'!Y58,0)+IF(C11=(13-'Assumptions'!$J$81)-1,'Revenue and costs'!Y59,0)+IF(C11=(13-'Assumptions'!$J$82)-1,'Revenue and costs'!Y60,0)+IF(C11=(13-'Assumptions'!$J$83)-1,'Revenue and costs'!Y61,0)+IF(C11=(13-'Assumptions'!$J$84)-1,'Revenue and costs'!Y62,0)+IF(C11=(13-'Assumptions'!$J$85)-1,'Revenue and costs'!Y63,0)+IF(C11=(13-'Assumptions'!$J$86)-1,'Revenue and costs'!Y64,0)+IF(C11=(13-'Assumptions'!$J$87)-1,'Revenue and costs'!Y65,0)+IF(C11=(13-'Assumptions'!$J$88)-1,'Revenue and costs'!Y66,0)+IF(C11=(13-'Assumptions'!$J$89)-1,'Revenue and costs'!Y67,0)+IF(C11=(13-'Assumptions'!$J$90)-1,'Revenue and costs'!Y68,0)+IF(C11=(13-'Assumptions'!$J$91)-1,'Revenue and costs'!Y69,0)+IF(C11=(13-'Assumptions'!$J$92)-1,'Revenue and costs'!Y70,0)+IF(C11=(13-'Assumptions'!$J$93)-1,'Revenue and costs'!Y71,0)+IF(C11=(13-'Assumptions'!$J$94)-1,'Revenue and costs'!Y72,0)+IF(C11=(13-'Assumptions'!$J$95)-1,'Revenue and costs'!Y73,0)+IF(C11=(13-'Assumptions'!$J$96)-1,'Revenue and costs'!Y74,0)+IF(C11=(13-'Assumptions'!$J$97)-1,'Revenue and costs'!Y75,0)+IF(C11=(13-'Assumptions'!$J$98)-1,'Revenue and costs'!Y76,0)+IF(C11=(13-'Assumptions'!$J$99)-1,'Revenue and costs'!Y77,0)+IF(C11=(13-'Assumptions'!$J$100)-1,'Revenue and costs'!Y78,0)+IF(C11=(13-'Assumptions'!$J$101)-1,'Revenue and costs'!Y79,0)+IF(C11=(13-'Assumptions'!$J$102)-1,'Revenue and costs'!Y80,0)+IF(C11=(13-'Assumptions'!$J$103)-1,'Revenue and costs'!Y81,0)+IF(C11=(13-'Assumptions'!$J$104)-1,'Revenue and costs'!Y82,0)+IF(C11=(13-'Assumptions'!$J$105)-1,'Revenue and costs'!Y83,0)+IF(C11=(13-'Assumptions'!$J$106)-1,'Revenue and costs'!Y84,0)+IF(C11=(13-'Assumptions'!$J$107)-1,'Revenue and costs'!Y85,0)+IF(C11=(13-'Assumptions'!$J$108)-1,'Revenue and costs'!Y86,0)+IF(C11=(13-'Assumptions'!$J$109)-1,'Revenue and costs'!Y87,0)+IF(C11=(13-'Assumptions'!$J$110)-1,'Revenue and costs'!Y88,0)+IF(C11=(13-'Assumptions'!$J$111)-1,'Revenue and costs'!Y89,0)+IF(C11=(13-'Assumptions'!$J$112)-1,'Revenue and costs'!Y90,0)+IF(C11=(13-'Assumptions'!$J$113)-1,'Revenue and costs'!Y91,0)+IF(C11=(13-'Assumptions'!$J$114)-1,'Revenue and costs'!Y92,0)+IF(C11=(13-'Assumptions'!$J$115)-1,'Revenue and costs'!Y93,0)+IF(C11=(13-'Assumptions'!$J$116)-1,'Revenue and costs'!Y94,0)+IF(C11=(13-'Assumptions'!$J$117)-1,'Revenue and costs'!Y95,0)+IF(C11=(13-'Assumptions'!$J$118)-1,'Revenue and costs'!Y96,0)+IF(C11=(13-'Assumptions'!$J$119)-1,'Revenue and costs'!Y97,0)+IF(C11=(13-'Assumptions'!$J$120)-1,'Revenue and costs'!Y98,0)+IF(C11=(13-'Assumptions'!$J$121)-1,'Revenue and costs'!Y99,0)+IF(C11=(13-'Assumptions'!$J$122)-1,'Revenue and costs'!Y100,0)+IF(C11=(13-'Assumptions'!$J$123)-1,'Revenue and costs'!Y101,0)+IF(C11=(13-'Assumptions'!$J$124)-1,'Revenue and costs'!Y102,0)+IF(C11=(13-'Assumptions'!$J$125)-1,'Revenue and costs'!Y103,0)+IF(C11=(13-'Assumptions'!$J$126)-1,'Revenue and costs'!Y104,0)+IF(C11=(13-'Assumptions'!$J$127)-1,'Revenue and costs'!Y105,0)+IF(C11=(13-'Assumptions'!$J$128)-1,'Revenue and costs'!Y106,0)+IF(C11=(13-'Assumptions'!$J$129)-1,'Revenue and costs'!Y107,0)+IF(C11=(13-'Assumptions'!$J$130)-1,'Revenue and costs'!Y108,0)+IF(C11=(13-'Assumptions'!$J$131)-1,'Revenue and costs'!Y109,0)+IF(C11=(13-'Assumptions'!$J$132)-1,'Revenue and costs'!Y110,0)+IF(C11=(13-'Assumptions'!$J$133)-1,'Revenue and costs'!Y111,0)+IF(C11=(13-'Assumptions'!$J$134)-1,'Revenue and costs'!Y112,0)+IF(C11=(13-'Assumptions'!$J$135)-1,'Revenue and costs'!Y113,0)+IF(C11=(13-'Assumptions'!$J$136)-1,'Revenue and costs'!Y114,0)+IF(C11=(13-'Assumptions'!$J$137)-1,'Revenue and costs'!Y115,0)+IF(C11=(13-'Assumptions'!$J$138)-1,'Revenue and costs'!Y116,0)+IF(C11=(13-'Assumptions'!$J$139)-1,'Revenue and costs'!Y117,0)+IF(C11=(13-'Assumptions'!$J$140)-1,'Revenue and costs'!Y118,0)+IF(C11=(13-'Assumptions'!$J$141)-1,'Revenue and costs'!Y119,0)+IF(C11=(13-'Assumptions'!$J$142)-1,'Revenue and costs'!Y120,0)+IF(C11=(13-'Assumptions'!$J$143)-1,'Revenue and costs'!Y121,0)+IF(C11=(13-'Assumptions'!$J$144)-1,'Revenue and costs'!Y122,0)+IF(C11=(13-'Assumptions'!$J$145)-1,'Revenue and costs'!Y123,0)+IF(C11=(13-'Assumptions'!$J$146)-1,'Revenue and costs'!Y124,0)+IF(C11=(13-'Assumptions'!$J$147)-1,'Revenue and costs'!Y125,0)+IF(C11=(13-'Assumptions'!$J$148)-1,'Revenue and costs'!Y126,0)+IF(C11=(13-'Assumptions'!$J$149)-1,'Revenue and costs'!Y127,0)+IF(C11=(13-'Assumptions'!$J$150)-1,'Revenue and costs'!Y128,0)+IF(C11=(13-'Assumptions'!$J$151)-1,'Revenue and costs'!Y129,0)+IF(C11=(13-'Assumptions'!$J$152)-1,'Revenue and costs'!Y130,0)+IF(C11=(13-'Assumptions'!$J$153)-1,'Revenue and costs'!Y131,0)+IF(C11=(13-'Assumptions'!$J$154)-1,'Revenue and costs'!Y132,0)+IF(C11=(13-'Assumptions'!$J$155)-1,'Revenue and costs'!Y133,0)+IF(C11=(13-'Assumptions'!$J$156)-1,'Revenue and costs'!Y134,0)+IF(C11=(13-'Assumptions'!$J$157)-1,'Revenue and costs'!Y135,0)</x:f>
        <x:v>2518.3333333333335</x:v>
      </x:c>
      <x:c r="H11" s="10" t="n">
        <x:f>IF(C11=0,'Cash and capital'!D13,0)</x:f>
        <x:v>0</x:v>
      </x:c>
      <x:c r="I11" s="10" t="n">
        <x:f>D11-E11-F11-G11-H11</x:f>
        <x:v>-1771.975</x:v>
      </x:c>
      <x:c r="J11" s="10" t="n">
        <x:f>J10+I11</x:f>
        <x:v>-13936.633333333333</x:v>
      </x:c>
      <x:c r="K11" s="10" t="n">
        <x:f>MAX(0,-MIN($J$8:J11))</x:f>
        <x:v>13936.633333333333</x:v>
      </x:c>
      <x:c r="L11" s="10"/>
      <x:c r="M11" s="10"/>
      <x:c r="N11" s="10"/>
      <x:c r="O11" s="10"/>
      <x:c r="P11" s="10"/>
      <x:c r="Q11" s="10"/>
    </x:row>
    <x:row r="12" ht="16" customHeight="1">
      <x:c r="A12" s="1"/>
      <x:c r="B12" s="1"/>
      <x:c r="C12" s="1" t="n">
        <x:v>4</x:v>
      </x:c>
      <x:c r="D12" s="10" t="n">
        <x:f>IF(AND(C12&gt;=(13-'Assumptions'!$J$30)+'Assumptions'!$AF$30,C12&lt;=12),'Revenue and costs'!N8/'Assumptions'!$J$30,0)+IF(AND(C12&gt;=(13-'Assumptions'!$J$31)+'Assumptions'!$AF$31,C12&lt;=12),'Revenue and costs'!N9/'Assumptions'!$J$31,0)+IF(AND(C12&gt;=(13-'Assumptions'!$J$32)+'Assumptions'!$AF$32,C12&lt;=12),'Revenue and costs'!N10/'Assumptions'!$J$32,0)+IF(AND(C12&gt;=(13-'Assumptions'!$J$33)+'Assumptions'!$AF$33,C12&lt;=12),'Revenue and costs'!N11/'Assumptions'!$J$33,0)+IF(AND(C12&gt;=(13-'Assumptions'!$J$34)+'Assumptions'!$AF$34,C12&lt;=12),'Revenue and costs'!N12/'Assumptions'!$J$34,0)+IF(AND(C12&gt;=(13-'Assumptions'!$J$35)+'Assumptions'!$AF$35,C12&lt;=12),'Revenue and costs'!N13/'Assumptions'!$J$35,0)+IF(AND(C12&gt;=(13-'Assumptions'!$J$36)+'Assumptions'!$AF$36,C12&lt;=12),'Revenue and costs'!N14/'Assumptions'!$J$36,0)+IF(AND(C12&gt;=(13-'Assumptions'!$J$37)+'Assumptions'!$AF$37,C12&lt;=12),'Revenue and costs'!N15/'Assumptions'!$J$37,0)+IF(AND(C12&gt;=(13-'Assumptions'!$J$38)+'Assumptions'!$AF$38,C12&lt;=12),'Revenue and costs'!N16/'Assumptions'!$J$38,0)+IF(AND(C12&gt;=(13-'Assumptions'!$J$39)+'Assumptions'!$AF$39,C12&lt;=12),'Revenue and costs'!N17/'Assumptions'!$J$39,0)+IF(AND(C12&gt;=(13-'Assumptions'!$J$40)+'Assumptions'!$AF$40,C12&lt;=12),'Revenue and costs'!N18/'Assumptions'!$J$40,0)+IF(AND(C12&gt;=(13-'Assumptions'!$J$41)+'Assumptions'!$AF$41,C12&lt;=12),'Revenue and costs'!N19/'Assumptions'!$J$41,0)+IF(AND(C12&gt;=(13-'Assumptions'!$J$42)+'Assumptions'!$AF$42,C12&lt;=12),'Revenue and costs'!N20/'Assumptions'!$J$42,0)+IF(AND(C12&gt;=(13-'Assumptions'!$J$43)+'Assumptions'!$AF$43,C12&lt;=12),'Revenue and costs'!N21/'Assumptions'!$J$43,0)+IF(AND(C12&gt;=(13-'Assumptions'!$J$44)+'Assumptions'!$AF$44,C12&lt;=12),'Revenue and costs'!N22/'Assumptions'!$J$44,0)+IF(AND(C12&gt;=(13-'Assumptions'!$J$45)+'Assumptions'!$AF$45,C12&lt;=12),'Revenue and costs'!N23/'Assumptions'!$J$45,0)+IF(AND(C12&gt;=(13-'Assumptions'!$J$46)+'Assumptions'!$AF$46,C12&lt;=12),'Revenue and costs'!N24/'Assumptions'!$J$46,0)+IF(AND(C12&gt;=(13-'Assumptions'!$J$47)+'Assumptions'!$AF$47,C12&lt;=12),'Revenue and costs'!N25/'Assumptions'!$J$47,0)+IF(AND(C12&gt;=(13-'Assumptions'!$J$48)+'Assumptions'!$AF$48,C12&lt;=12),'Revenue and costs'!N26/'Assumptions'!$J$48,0)+IF(AND(C12&gt;=(13-'Assumptions'!$J$49)+'Assumptions'!$AF$49,C12&lt;=12),'Revenue and costs'!N27/'Assumptions'!$J$49,0)+IF(AND(C12&gt;=(13-'Assumptions'!$J$50)+'Assumptions'!$AF$50,C12&lt;=12),'Revenue and costs'!N28/'Assumptions'!$J$50,0)+IF(AND(C12&gt;=(13-'Assumptions'!$J$51)+'Assumptions'!$AF$51,C12&lt;=12),'Revenue and costs'!N29/'Assumptions'!$J$51,0)+IF(AND(C12&gt;=(13-'Assumptions'!$J$52)+'Assumptions'!$AF$52,C12&lt;=12),'Revenue and costs'!N30/'Assumptions'!$J$52,0)+IF(AND(C12&gt;=(13-'Assumptions'!$J$53)+'Assumptions'!$AF$53,C12&lt;=12),'Revenue and costs'!N31/'Assumptions'!$J$53,0)+IF(AND(C12&gt;=(13-'Assumptions'!$J$54)+'Assumptions'!$AF$54,C12&lt;=12),'Revenue and costs'!N32/'Assumptions'!$J$54,0)+IF(AND(C12&gt;=(13-'Assumptions'!$J$55)+'Assumptions'!$AF$55,C12&lt;=12),'Revenue and costs'!N33/'Assumptions'!$J$55,0)+IF(AND(C12&gt;=(13-'Assumptions'!$J$56)+'Assumptions'!$AF$56,C12&lt;=12),'Revenue and costs'!N34/'Assumptions'!$J$56,0)+IF(AND(C12&gt;=(13-'Assumptions'!$J$57)+'Assumptions'!$AF$57,C12&lt;=12),'Revenue and costs'!N35/'Assumptions'!$J$57,0)+IF(AND(C12&gt;=(13-'Assumptions'!$J$58)+'Assumptions'!$AF$58,C12&lt;=12),'Revenue and costs'!N36/'Assumptions'!$J$58,0)+IF(AND(C12&gt;=(13-'Assumptions'!$J$59)+'Assumptions'!$AF$59,C12&lt;=12),'Revenue and costs'!N37/'Assumptions'!$J$59,0)+IF(AND(C12&gt;=(13-'Assumptions'!$J$60)+'Assumptions'!$AF$60,C12&lt;=12),'Revenue and costs'!N38/'Assumptions'!$J$60,0)+IF(AND(C12&gt;=(13-'Assumptions'!$J$61)+'Assumptions'!$AF$61,C12&lt;=12),'Revenue and costs'!N39/'Assumptions'!$J$61,0)+IF(AND(C12&gt;=(13-'Assumptions'!$J$62)+'Assumptions'!$AF$62,C12&lt;=12),'Revenue and costs'!N40/'Assumptions'!$J$62,0)+IF(AND(C12&gt;=(13-'Assumptions'!$J$63)+'Assumptions'!$AF$63,C12&lt;=12),'Revenue and costs'!N41/'Assumptions'!$J$63,0)+IF(AND(C12&gt;=(13-'Assumptions'!$J$64)+'Assumptions'!$AF$64,C12&lt;=12),'Revenue and costs'!N42/'Assumptions'!$J$64,0)+IF(AND(C12&gt;=(13-'Assumptions'!$J$65)+'Assumptions'!$AF$65,C12&lt;=12),'Revenue and costs'!N43/'Assumptions'!$J$65,0)+IF(AND(C12&gt;=(13-'Assumptions'!$J$66)+'Assumptions'!$AF$66,C12&lt;=12),'Revenue and costs'!N44/'Assumptions'!$J$66,0)+IF(AND(C12&gt;=(13-'Assumptions'!$J$67)+'Assumptions'!$AF$67,C12&lt;=12),'Revenue and costs'!N45/'Assumptions'!$J$67,0)+IF(AND(C12&gt;=(13-'Assumptions'!$J$68)+'Assumptions'!$AF$68,C12&lt;=12),'Revenue and costs'!N46/'Assumptions'!$J$68,0)+IF(AND(C12&gt;=(13-'Assumptions'!$J$69)+'Assumptions'!$AF$69,C12&lt;=12),'Revenue and costs'!N47/'Assumptions'!$J$69,0)+IF(AND(C12&gt;=(13-'Assumptions'!$J$70)+'Assumptions'!$AF$70,C12&lt;=12),'Revenue and costs'!N48/'Assumptions'!$J$70,0)+IF(AND(C12&gt;=(13-'Assumptions'!$J$71)+'Assumptions'!$AF$71,C12&lt;=12),'Revenue and costs'!N49/'Assumptions'!$J$71,0)+IF(AND(C12&gt;=(13-'Assumptions'!$J$72)+'Assumptions'!$AF$72,C12&lt;=12),'Revenue and costs'!N50/'Assumptions'!$J$72,0)+IF(AND(C12&gt;=(13-'Assumptions'!$J$73)+'Assumptions'!$AF$73,C12&lt;=12),'Revenue and costs'!N51/'Assumptions'!$J$73,0)+IF(AND(C12&gt;=(13-'Assumptions'!$J$74)+'Assumptions'!$AF$74,C12&lt;=12),'Revenue and costs'!N52/'Assumptions'!$J$74,0)+IF(AND(C12&gt;=(13-'Assumptions'!$J$75)+'Assumptions'!$AF$75,C12&lt;=12),'Revenue and costs'!N53/'Assumptions'!$J$75,0)+IF(AND(C12&gt;=(13-'Assumptions'!$J$76)+'Assumptions'!$AF$76,C12&lt;=12),'Revenue and costs'!N54/'Assumptions'!$J$76,0)+IF(AND(C12&gt;=(13-'Assumptions'!$J$77)+'Assumptions'!$AF$77,C12&lt;=12),'Revenue and costs'!N55/'Assumptions'!$J$77,0)+IF(AND(C12&gt;=(13-'Assumptions'!$J$78)+'Assumptions'!$AF$78,C12&lt;=12),'Revenue and costs'!N56/'Assumptions'!$J$78,0)+IF(AND(C12&gt;=(13-'Assumptions'!$J$79)+'Assumptions'!$AF$79,C12&lt;=12),'Revenue and costs'!N57/'Assumptions'!$J$79,0)+IF(AND(C12&gt;=(13-'Assumptions'!$J$80)+'Assumptions'!$AF$80,C12&lt;=12),'Revenue and costs'!N58/'Assumptions'!$J$80,0)+IF(AND(C12&gt;=(13-'Assumptions'!$J$81)+'Assumptions'!$AF$81,C12&lt;=12),'Revenue and costs'!N59/'Assumptions'!$J$81,0)+IF(AND(C12&gt;=(13-'Assumptions'!$J$82)+'Assumptions'!$AF$82,C12&lt;=12),'Revenue and costs'!N60/'Assumptions'!$J$82,0)+IF(AND(C12&gt;=(13-'Assumptions'!$J$83)+'Assumptions'!$AF$83,C12&lt;=12),'Revenue and costs'!N61/'Assumptions'!$J$83,0)+IF(AND(C12&gt;=(13-'Assumptions'!$J$84)+'Assumptions'!$AF$84,C12&lt;=12),'Revenue and costs'!N62/'Assumptions'!$J$84,0)+IF(AND(C12&gt;=(13-'Assumptions'!$J$85)+'Assumptions'!$AF$85,C12&lt;=12),'Revenue and costs'!N63/'Assumptions'!$J$85,0)+IF(AND(C12&gt;=(13-'Assumptions'!$J$86)+'Assumptions'!$AF$86,C12&lt;=12),'Revenue and costs'!N64/'Assumptions'!$J$86,0)+IF(AND(C12&gt;=(13-'Assumptions'!$J$87)+'Assumptions'!$AF$87,C12&lt;=12),'Revenue and costs'!N65/'Assumptions'!$J$87,0)+IF(AND(C12&gt;=(13-'Assumptions'!$J$88)+'Assumptions'!$AF$88,C12&lt;=12),'Revenue and costs'!N66/'Assumptions'!$J$88,0)+IF(AND(C12&gt;=(13-'Assumptions'!$J$89)+'Assumptions'!$AF$89,C12&lt;=12),'Revenue and costs'!N67/'Assumptions'!$J$89,0)+IF(AND(C12&gt;=(13-'Assumptions'!$J$90)+'Assumptions'!$AF$90,C12&lt;=12),'Revenue and costs'!N68/'Assumptions'!$J$90,0)+IF(AND(C12&gt;=(13-'Assumptions'!$J$91)+'Assumptions'!$AF$91,C12&lt;=12),'Revenue and costs'!N69/'Assumptions'!$J$91,0)+IF(AND(C12&gt;=(13-'Assumptions'!$J$92)+'Assumptions'!$AF$92,C12&lt;=12),'Revenue and costs'!N70/'Assumptions'!$J$92,0)+IF(AND(C12&gt;=(13-'Assumptions'!$J$93)+'Assumptions'!$AF$93,C12&lt;=12),'Revenue and costs'!N71/'Assumptions'!$J$93,0)+IF(AND(C12&gt;=(13-'Assumptions'!$J$94)+'Assumptions'!$AF$94,C12&lt;=12),'Revenue and costs'!N72/'Assumptions'!$J$94,0)+IF(AND(C12&gt;=(13-'Assumptions'!$J$95)+'Assumptions'!$AF$95,C12&lt;=12),'Revenue and costs'!N73/'Assumptions'!$J$95,0)+IF(AND(C12&gt;=(13-'Assumptions'!$J$96)+'Assumptions'!$AF$96,C12&lt;=12),'Revenue and costs'!N74/'Assumptions'!$J$96,0)+IF(AND(C12&gt;=(13-'Assumptions'!$J$97)+'Assumptions'!$AF$97,C12&lt;=12),'Revenue and costs'!N75/'Assumptions'!$J$97,0)+IF(AND(C12&gt;=(13-'Assumptions'!$J$98)+'Assumptions'!$AF$98,C12&lt;=12),'Revenue and costs'!N76/'Assumptions'!$J$98,0)+IF(AND(C12&gt;=(13-'Assumptions'!$J$99)+'Assumptions'!$AF$99,C12&lt;=12),'Revenue and costs'!N77/'Assumptions'!$J$99,0)+IF(AND(C12&gt;=(13-'Assumptions'!$J$100)+'Assumptions'!$AF$100,C12&lt;=12),'Revenue and costs'!N78/'Assumptions'!$J$100,0)+IF(AND(C12&gt;=(13-'Assumptions'!$J$101)+'Assumptions'!$AF$101,C12&lt;=12),'Revenue and costs'!N79/'Assumptions'!$J$101,0)+IF(AND(C12&gt;=(13-'Assumptions'!$J$102)+'Assumptions'!$AF$102,C12&lt;=12),'Revenue and costs'!N80/'Assumptions'!$J$102,0)+IF(AND(C12&gt;=(13-'Assumptions'!$J$103)+'Assumptions'!$AF$103,C12&lt;=12),'Revenue and costs'!N81/'Assumptions'!$J$103,0)+IF(AND(C12&gt;=(13-'Assumptions'!$J$104)+'Assumptions'!$AF$104,C12&lt;=12),'Revenue and costs'!N82/'Assumptions'!$J$104,0)+IF(AND(C12&gt;=(13-'Assumptions'!$J$105)+'Assumptions'!$AF$105,C12&lt;=12),'Revenue and costs'!N83/'Assumptions'!$J$105,0)+IF(AND(C12&gt;=(13-'Assumptions'!$J$106)+'Assumptions'!$AF$106,C12&lt;=12),'Revenue and costs'!N84/'Assumptions'!$J$106,0)+IF(AND(C12&gt;=(13-'Assumptions'!$J$107)+'Assumptions'!$AF$107,C12&lt;=12),'Revenue and costs'!N85/'Assumptions'!$J$107,0)+IF(AND(C12&gt;=(13-'Assumptions'!$J$108)+'Assumptions'!$AF$108,C12&lt;=12),'Revenue and costs'!N86/'Assumptions'!$J$108,0)+IF(AND(C12&gt;=(13-'Assumptions'!$J$109)+'Assumptions'!$AF$109,C12&lt;=12),'Revenue and costs'!N87/'Assumptions'!$J$109,0)+IF(AND(C12&gt;=(13-'Assumptions'!$J$110)+'Assumptions'!$AF$110,C12&lt;=12),'Revenue and costs'!N88/'Assumptions'!$J$110,0)+IF(AND(C12&gt;=(13-'Assumptions'!$J$111)+'Assumptions'!$AF$111,C12&lt;=12),'Revenue and costs'!N89/'Assumptions'!$J$111,0)+IF(AND(C12&gt;=(13-'Assumptions'!$J$112)+'Assumptions'!$AF$112,C12&lt;=12),'Revenue and costs'!N90/'Assumptions'!$J$112,0)+IF(AND(C12&gt;=(13-'Assumptions'!$J$113)+'Assumptions'!$AF$113,C12&lt;=12),'Revenue and costs'!N91/'Assumptions'!$J$113,0)+IF(AND(C12&gt;=(13-'Assumptions'!$J$114)+'Assumptions'!$AF$114,C12&lt;=12),'Revenue and costs'!N92/'Assumptions'!$J$114,0)+IF(AND(C12&gt;=(13-'Assumptions'!$J$115)+'Assumptions'!$AF$115,C12&lt;=12),'Revenue and costs'!N93/'Assumptions'!$J$115,0)+IF(AND(C12&gt;=(13-'Assumptions'!$J$116)+'Assumptions'!$AF$116,C12&lt;=12),'Revenue and costs'!N94/'Assumptions'!$J$116,0)+IF(AND(C12&gt;=(13-'Assumptions'!$J$117)+'Assumptions'!$AF$117,C12&lt;=12),'Revenue and costs'!N95/'Assumptions'!$J$117,0)+IF(AND(C12&gt;=(13-'Assumptions'!$J$118)+'Assumptions'!$AF$118,C12&lt;=12),'Revenue and costs'!N96/'Assumptions'!$J$118,0)+IF(AND(C12&gt;=(13-'Assumptions'!$J$119)+'Assumptions'!$AF$119,C12&lt;=12),'Revenue and costs'!N97/'Assumptions'!$J$119,0)+IF(AND(C12&gt;=(13-'Assumptions'!$J$120)+'Assumptions'!$AF$120,C12&lt;=12),'Revenue and costs'!N98/'Assumptions'!$J$120,0)+IF(AND(C12&gt;=(13-'Assumptions'!$J$121)+'Assumptions'!$AF$121,C12&lt;=12),'Revenue and costs'!N99/'Assumptions'!$J$121,0)+IF(AND(C12&gt;=(13-'Assumptions'!$J$122)+'Assumptions'!$AF$122,C12&lt;=12),'Revenue and costs'!N100/'Assumptions'!$J$122,0)+IF(AND(C12&gt;=(13-'Assumptions'!$J$123)+'Assumptions'!$AF$123,C12&lt;=12),'Revenue and costs'!N101/'Assumptions'!$J$123,0)+IF(AND(C12&gt;=(13-'Assumptions'!$J$124)+'Assumptions'!$AF$124,C12&lt;=12),'Revenue and costs'!N102/'Assumptions'!$J$124,0)+IF(AND(C12&gt;=(13-'Assumptions'!$J$125)+'Assumptions'!$AF$125,C12&lt;=12),'Revenue and costs'!N103/'Assumptions'!$J$125,0)+IF(AND(C12&gt;=(13-'Assumptions'!$J$126)+'Assumptions'!$AF$126,C12&lt;=12),'Revenue and costs'!N104/'Assumptions'!$J$126,0)+IF(AND(C12&gt;=(13-'Assumptions'!$J$127)+'Assumptions'!$AF$127,C12&lt;=12),'Revenue and costs'!N105/'Assumptions'!$J$127,0)+IF(AND(C12&gt;=(13-'Assumptions'!$J$128)+'Assumptions'!$AF$128,C12&lt;=12),'Revenue and costs'!N106/'Assumptions'!$J$128,0)+IF(AND(C12&gt;=(13-'Assumptions'!$J$129)+'Assumptions'!$AF$129,C12&lt;=12),'Revenue and costs'!N107/'Assumptions'!$J$129,0)+IF(AND(C12&gt;=(13-'Assumptions'!$J$130)+'Assumptions'!$AF$130,C12&lt;=12),'Revenue and costs'!N108/'Assumptions'!$J$130,0)+IF(AND(C12&gt;=(13-'Assumptions'!$J$131)+'Assumptions'!$AF$131,C12&lt;=12),'Revenue and costs'!N109/'Assumptions'!$J$131,0)+IF(AND(C12&gt;=(13-'Assumptions'!$J$132)+'Assumptions'!$AF$132,C12&lt;=12),'Revenue and costs'!N110/'Assumptions'!$J$132,0)+IF(AND(C12&gt;=(13-'Assumptions'!$J$133)+'Assumptions'!$AF$133,C12&lt;=12),'Revenue and costs'!N111/'Assumptions'!$J$133,0)+IF(AND(C12&gt;=(13-'Assumptions'!$J$134)+'Assumptions'!$AF$134,C12&lt;=12),'Revenue and costs'!N112/'Assumptions'!$J$134,0)+IF(AND(C12&gt;=(13-'Assumptions'!$J$135)+'Assumptions'!$AF$135,C12&lt;=12),'Revenue and costs'!N113/'Assumptions'!$J$135,0)+IF(AND(C12&gt;=(13-'Assumptions'!$J$136)+'Assumptions'!$AF$136,C12&lt;=12),'Revenue and costs'!N114/'Assumptions'!$J$136,0)+IF(AND(C12&gt;=(13-'Assumptions'!$J$137)+'Assumptions'!$AF$137,C12&lt;=12),'Revenue and costs'!N115/'Assumptions'!$J$137,0)+IF(AND(C12&gt;=(13-'Assumptions'!$J$138)+'Assumptions'!$AF$138,C12&lt;=12),'Revenue and costs'!N116/'Assumptions'!$J$138,0)+IF(AND(C12&gt;=(13-'Assumptions'!$J$139)+'Assumptions'!$AF$139,C12&lt;=12),'Revenue and costs'!N117/'Assumptions'!$J$139,0)+IF(AND(C12&gt;=(13-'Assumptions'!$J$140)+'Assumptions'!$AF$140,C12&lt;=12),'Revenue and costs'!N118/'Assumptions'!$J$140,0)+IF(AND(C12&gt;=(13-'Assumptions'!$J$141)+'Assumptions'!$AF$141,C12&lt;=12),'Revenue and costs'!N119/'Assumptions'!$J$141,0)+IF(AND(C12&gt;=(13-'Assumptions'!$J$142)+'Assumptions'!$AF$142,C12&lt;=12),'Revenue and costs'!N120/'Assumptions'!$J$142,0)+IF(AND(C12&gt;=(13-'Assumptions'!$J$143)+'Assumptions'!$AF$143,C12&lt;=12),'Revenue and costs'!N121/'Assumptions'!$J$143,0)+IF(AND(C12&gt;=(13-'Assumptions'!$J$144)+'Assumptions'!$AF$144,C12&lt;=12),'Revenue and costs'!N122/'Assumptions'!$J$144,0)+IF(AND(C12&gt;=(13-'Assumptions'!$J$145)+'Assumptions'!$AF$145,C12&lt;=12),'Revenue and costs'!N123/'Assumptions'!$J$145,0)+IF(AND(C12&gt;=(13-'Assumptions'!$J$146)+'Assumptions'!$AF$146,C12&lt;=12),'Revenue and costs'!N124/'Assumptions'!$J$146,0)+IF(AND(C12&gt;=(13-'Assumptions'!$J$147)+'Assumptions'!$AF$147,C12&lt;=12),'Revenue and costs'!N125/'Assumptions'!$J$147,0)+IF(AND(C12&gt;=(13-'Assumptions'!$J$148)+'Assumptions'!$AF$148,C12&lt;=12),'Revenue and costs'!N126/'Assumptions'!$J$148,0)+IF(AND(C12&gt;=(13-'Assumptions'!$J$149)+'Assumptions'!$AF$149,C12&lt;=12),'Revenue and costs'!N127/'Assumptions'!$J$149,0)+IF(AND(C12&gt;=(13-'Assumptions'!$J$150)+'Assumptions'!$AF$150,C12&lt;=12),'Revenue and costs'!N128/'Assumptions'!$J$150,0)+IF(AND(C12&gt;=(13-'Assumptions'!$J$151)+'Assumptions'!$AF$151,C12&lt;=12),'Revenue and costs'!N129/'Assumptions'!$J$151,0)+IF(AND(C12&gt;=(13-'Assumptions'!$J$152)+'Assumptions'!$AF$152,C12&lt;=12),'Revenue and costs'!N130/'Assumptions'!$J$152,0)+IF(AND(C12&gt;=(13-'Assumptions'!$J$153)+'Assumptions'!$AF$153,C12&lt;=12),'Revenue and costs'!N131/'Assumptions'!$J$153,0)+IF(AND(C12&gt;=(13-'Assumptions'!$J$154)+'Assumptions'!$AF$154,C12&lt;=12),'Revenue and costs'!N132/'Assumptions'!$J$154,0)+IF(AND(C12&gt;=(13-'Assumptions'!$J$155)+'Assumptions'!$AF$155,C12&lt;=12),'Revenue and costs'!N133/'Assumptions'!$J$155,0)+IF(AND(C12&gt;=(13-'Assumptions'!$J$156)+'Assumptions'!$AF$156,C12&lt;=12),'Revenue and costs'!N134/'Assumptions'!$J$156,0)+IF(AND(C12&gt;=(13-'Assumptions'!$J$157)+'Assumptions'!$AF$157,C12&lt;=12),'Revenue and costs'!N135/'Assumptions'!$J$157,0)</x:f>
        <x:v>37304.346666666665</x:v>
      </x:c>
      <x:c r="E12" s="10" t="n">
        <x:f>IF(AND(C12&gt;=(13-'Assumptions'!$J$30),C12&lt;=12),SUM('Revenue and costs'!O8:U8)/'Assumptions'!$J$30,0)+IF(C12=(13-'Assumptions'!$J$30)-1,'Revenue and costs'!V8+'Revenue and costs'!AE8,0)+IF(AND(C12&gt;=(13-'Assumptions'!$J$31),C12&lt;=12),SUM('Revenue and costs'!O9:U9)/'Assumptions'!$J$31,0)+IF(C12=(13-'Assumptions'!$J$31)-1,'Revenue and costs'!V9+'Revenue and costs'!AE9,0)+IF(AND(C12&gt;=(13-'Assumptions'!$J$32),C12&lt;=12),SUM('Revenue and costs'!O10:U10)/'Assumptions'!$J$32,0)+IF(C12=(13-'Assumptions'!$J$32)-1,'Revenue and costs'!V10+'Revenue and costs'!AE10,0)+IF(AND(C12&gt;=(13-'Assumptions'!$J$33),C12&lt;=12),SUM('Revenue and costs'!O11:U11)/'Assumptions'!$J$33,0)+IF(C12=(13-'Assumptions'!$J$33)-1,'Revenue and costs'!V11+'Revenue and costs'!AE11,0)+IF(AND(C12&gt;=(13-'Assumptions'!$J$34),C12&lt;=12),SUM('Revenue and costs'!O12:U12)/'Assumptions'!$J$34,0)+IF(C12=(13-'Assumptions'!$J$34)-1,'Revenue and costs'!V12+'Revenue and costs'!AE12,0)+IF(AND(C12&gt;=(13-'Assumptions'!$J$35),C12&lt;=12),SUM('Revenue and costs'!O13:U13)/'Assumptions'!$J$35,0)+IF(C12=(13-'Assumptions'!$J$35)-1,'Revenue and costs'!V13+'Revenue and costs'!AE13,0)+IF(AND(C12&gt;=(13-'Assumptions'!$J$36),C12&lt;=12),SUM('Revenue and costs'!O14:U14)/'Assumptions'!$J$36,0)+IF(C12=(13-'Assumptions'!$J$36)-1,'Revenue and costs'!V14+'Revenue and costs'!AE14,0)+IF(AND(C12&gt;=(13-'Assumptions'!$J$37),C12&lt;=12),SUM('Revenue and costs'!O15:U15)/'Assumptions'!$J$37,0)+IF(C12=(13-'Assumptions'!$J$37)-1,'Revenue and costs'!V15+'Revenue and costs'!AE15,0)+IF(AND(C12&gt;=(13-'Assumptions'!$J$38),C12&lt;=12),SUM('Revenue and costs'!O16:U16)/'Assumptions'!$J$38,0)+IF(C12=(13-'Assumptions'!$J$38)-1,'Revenue and costs'!V16+'Revenue and costs'!AE16,0)+IF(AND(C12&gt;=(13-'Assumptions'!$J$39),C12&lt;=12),SUM('Revenue and costs'!O17:U17)/'Assumptions'!$J$39,0)+IF(C12=(13-'Assumptions'!$J$39)-1,'Revenue and costs'!V17+'Revenue and costs'!AE17,0)+IF(AND(C12&gt;=(13-'Assumptions'!$J$40),C12&lt;=12),SUM('Revenue and costs'!O18:U18)/'Assumptions'!$J$40,0)+IF(C12=(13-'Assumptions'!$J$40)-1,'Revenue and costs'!V18+'Revenue and costs'!AE18,0)+IF(AND(C12&gt;=(13-'Assumptions'!$J$41),C12&lt;=12),SUM('Revenue and costs'!O19:U19)/'Assumptions'!$J$41,0)+IF(C12=(13-'Assumptions'!$J$41)-1,'Revenue and costs'!V19+'Revenue and costs'!AE19,0)+IF(AND(C12&gt;=(13-'Assumptions'!$J$42),C12&lt;=12),SUM('Revenue and costs'!O20:U20)/'Assumptions'!$J$42,0)+IF(C12=(13-'Assumptions'!$J$42)-1,'Revenue and costs'!V20+'Revenue and costs'!AE20,0)+IF(AND(C12&gt;=(13-'Assumptions'!$J$43),C12&lt;=12),SUM('Revenue and costs'!O21:U21)/'Assumptions'!$J$43,0)+IF(C12=(13-'Assumptions'!$J$43)-1,'Revenue and costs'!V21+'Revenue and costs'!AE21,0)+IF(AND(C12&gt;=(13-'Assumptions'!$J$44),C12&lt;=12),SUM('Revenue and costs'!O22:U22)/'Assumptions'!$J$44,0)+IF(C12=(13-'Assumptions'!$J$44)-1,'Revenue and costs'!V22+'Revenue and costs'!AE22,0)+IF(AND(C12&gt;=(13-'Assumptions'!$J$45),C12&lt;=12),SUM('Revenue and costs'!O23:U23)/'Assumptions'!$J$45,0)+IF(C12=(13-'Assumptions'!$J$45)-1,'Revenue and costs'!V23+'Revenue and costs'!AE23,0)+IF(AND(C12&gt;=(13-'Assumptions'!$J$46),C12&lt;=12),SUM('Revenue and costs'!O24:U24)/'Assumptions'!$J$46,0)+IF(C12=(13-'Assumptions'!$J$46)-1,'Revenue and costs'!V24+'Revenue and costs'!AE24,0)+IF(AND(C12&gt;=(13-'Assumptions'!$J$47),C12&lt;=12),SUM('Revenue and costs'!O25:U25)/'Assumptions'!$J$47,0)+IF(C12=(13-'Assumptions'!$J$47)-1,'Revenue and costs'!V25+'Revenue and costs'!AE25,0)+IF(AND(C12&gt;=(13-'Assumptions'!$J$48),C12&lt;=12),SUM('Revenue and costs'!O26:U26)/'Assumptions'!$J$48,0)+IF(C12=(13-'Assumptions'!$J$48)-1,'Revenue and costs'!V26+'Revenue and costs'!AE26,0)+IF(AND(C12&gt;=(13-'Assumptions'!$J$49),C12&lt;=12),SUM('Revenue and costs'!O27:U27)/'Assumptions'!$J$49,0)+IF(C12=(13-'Assumptions'!$J$49)-1,'Revenue and costs'!V27+'Revenue and costs'!AE27,0)+IF(AND(C12&gt;=(13-'Assumptions'!$J$50),C12&lt;=12),SUM('Revenue and costs'!O28:U28)/'Assumptions'!$J$50,0)+IF(C12=(13-'Assumptions'!$J$50)-1,'Revenue and costs'!V28+'Revenue and costs'!AE28,0)+IF(AND(C12&gt;=(13-'Assumptions'!$J$51),C12&lt;=12),SUM('Revenue and costs'!O29:U29)/'Assumptions'!$J$51,0)+IF(C12=(13-'Assumptions'!$J$51)-1,'Revenue and costs'!V29+'Revenue and costs'!AE29,0)+IF(AND(C12&gt;=(13-'Assumptions'!$J$52),C12&lt;=12),SUM('Revenue and costs'!O30:U30)/'Assumptions'!$J$52,0)+IF(C12=(13-'Assumptions'!$J$52)-1,'Revenue and costs'!V30+'Revenue and costs'!AE30,0)+IF(AND(C12&gt;=(13-'Assumptions'!$J$53),C12&lt;=12),SUM('Revenue and costs'!O31:U31)/'Assumptions'!$J$53,0)+IF(C12=(13-'Assumptions'!$J$53)-1,'Revenue and costs'!V31+'Revenue and costs'!AE31,0)+IF(AND(C12&gt;=(13-'Assumptions'!$J$54),C12&lt;=12),SUM('Revenue and costs'!O32:U32)/'Assumptions'!$J$54,0)+IF(C12=(13-'Assumptions'!$J$54)-1,'Revenue and costs'!V32+'Revenue and costs'!AE32,0)+IF(AND(C12&gt;=(13-'Assumptions'!$J$55),C12&lt;=12),SUM('Revenue and costs'!O33:U33)/'Assumptions'!$J$55,0)+IF(C12=(13-'Assumptions'!$J$55)-1,'Revenue and costs'!V33+'Revenue and costs'!AE33,0)+IF(AND(C12&gt;=(13-'Assumptions'!$J$56),C12&lt;=12),SUM('Revenue and costs'!O34:U34)/'Assumptions'!$J$56,0)+IF(C12=(13-'Assumptions'!$J$56)-1,'Revenue and costs'!V34+'Revenue and costs'!AE34,0)+IF(AND(C12&gt;=(13-'Assumptions'!$J$57),C12&lt;=12),SUM('Revenue and costs'!O35:U35)/'Assumptions'!$J$57,0)+IF(C12=(13-'Assumptions'!$J$57)-1,'Revenue and costs'!V35+'Revenue and costs'!AE35,0)+IF(AND(C12&gt;=(13-'Assumptions'!$J$58),C12&lt;=12),SUM('Revenue and costs'!O36:U36)/'Assumptions'!$J$58,0)+IF(C12=(13-'Assumptions'!$J$58)-1,'Revenue and costs'!V36+'Revenue and costs'!AE36,0)+IF(AND(C12&gt;=(13-'Assumptions'!$J$59),C12&lt;=12),SUM('Revenue and costs'!O37:U37)/'Assumptions'!$J$59,0)+IF(C12=(13-'Assumptions'!$J$59)-1,'Revenue and costs'!V37+'Revenue and costs'!AE37,0)+IF(AND(C12&gt;=(13-'Assumptions'!$J$60),C12&lt;=12),SUM('Revenue and costs'!O38:U38)/'Assumptions'!$J$60,0)+IF(C12=(13-'Assumptions'!$J$60)-1,'Revenue and costs'!V38+'Revenue and costs'!AE38,0)+IF(AND(C12&gt;=(13-'Assumptions'!$J$61),C12&lt;=12),SUM('Revenue and costs'!O39:U39)/'Assumptions'!$J$61,0)+IF(C12=(13-'Assumptions'!$J$61)-1,'Revenue and costs'!V39+'Revenue and costs'!AE39,0)+IF(AND(C12&gt;=(13-'Assumptions'!$J$62),C12&lt;=12),SUM('Revenue and costs'!O40:U40)/'Assumptions'!$J$62,0)+IF(C12=(13-'Assumptions'!$J$62)-1,'Revenue and costs'!V40+'Revenue and costs'!AE40,0)+IF(AND(C12&gt;=(13-'Assumptions'!$J$63),C12&lt;=12),SUM('Revenue and costs'!O41:U41)/'Assumptions'!$J$63,0)+IF(C12=(13-'Assumptions'!$J$63)-1,'Revenue and costs'!V41+'Revenue and costs'!AE41,0)+IF(AND(C12&gt;=(13-'Assumptions'!$J$64),C12&lt;=12),SUM('Revenue and costs'!O42:U42)/'Assumptions'!$J$64,0)+IF(C12=(13-'Assumptions'!$J$64)-1,'Revenue and costs'!V42+'Revenue and costs'!AE42,0)+IF(AND(C12&gt;=(13-'Assumptions'!$J$65),C12&lt;=12),SUM('Revenue and costs'!O43:U43)/'Assumptions'!$J$65,0)+IF(C12=(13-'Assumptions'!$J$65)-1,'Revenue and costs'!V43+'Revenue and costs'!AE43,0)+IF(AND(C12&gt;=(13-'Assumptions'!$J$66),C12&lt;=12),SUM('Revenue and costs'!O44:U44)/'Assumptions'!$J$66,0)+IF(C12=(13-'Assumptions'!$J$66)-1,'Revenue and costs'!V44+'Revenue and costs'!AE44,0)+IF(AND(C12&gt;=(13-'Assumptions'!$J$67),C12&lt;=12),SUM('Revenue and costs'!O45:U45)/'Assumptions'!$J$67,0)+IF(C12=(13-'Assumptions'!$J$67)-1,'Revenue and costs'!V45+'Revenue and costs'!AE45,0)+IF(AND(C12&gt;=(13-'Assumptions'!$J$68),C12&lt;=12),SUM('Revenue and costs'!O46:U46)/'Assumptions'!$J$68,0)+IF(C12=(13-'Assumptions'!$J$68)-1,'Revenue and costs'!V46+'Revenue and costs'!AE46,0)+IF(AND(C12&gt;=(13-'Assumptions'!$J$69),C12&lt;=12),SUM('Revenue and costs'!O47:U47)/'Assumptions'!$J$69,0)+IF(C12=(13-'Assumptions'!$J$69)-1,'Revenue and costs'!V47+'Revenue and costs'!AE47,0)+IF(AND(C12&gt;=(13-'Assumptions'!$J$70),C12&lt;=12),SUM('Revenue and costs'!O48:U48)/'Assumptions'!$J$70,0)+IF(C12=(13-'Assumptions'!$J$70)-1,'Revenue and costs'!V48+'Revenue and costs'!AE48,0)+IF(AND(C12&gt;=(13-'Assumptions'!$J$71),C12&lt;=12),SUM('Revenue and costs'!O49:U49)/'Assumptions'!$J$71,0)+IF(C12=(13-'Assumptions'!$J$71)-1,'Revenue and costs'!V49+'Revenue and costs'!AE49,0)+IF(AND(C12&gt;=(13-'Assumptions'!$J$72),C12&lt;=12),SUM('Revenue and costs'!O50:U50)/'Assumptions'!$J$72,0)+IF(C12=(13-'Assumptions'!$J$72)-1,'Revenue and costs'!V50+'Revenue and costs'!AE50,0)+IF(AND(C12&gt;=(13-'Assumptions'!$J$73),C12&lt;=12),SUM('Revenue and costs'!O51:U51)/'Assumptions'!$J$73,0)+IF(C12=(13-'Assumptions'!$J$73)-1,'Revenue and costs'!V51+'Revenue and costs'!AE51,0)+IF(AND(C12&gt;=(13-'Assumptions'!$J$74),C12&lt;=12),SUM('Revenue and costs'!O52:U52)/'Assumptions'!$J$74,0)+IF(C12=(13-'Assumptions'!$J$74)-1,'Revenue and costs'!V52+'Revenue and costs'!AE52,0)+IF(AND(C12&gt;=(13-'Assumptions'!$J$75),C12&lt;=12),SUM('Revenue and costs'!O53:U53)/'Assumptions'!$J$75,0)+IF(C12=(13-'Assumptions'!$J$75)-1,'Revenue and costs'!V53+'Revenue and costs'!AE53,0)+IF(AND(C12&gt;=(13-'Assumptions'!$J$76),C12&lt;=12),SUM('Revenue and costs'!O54:U54)/'Assumptions'!$J$76,0)+IF(C12=(13-'Assumptions'!$J$76)-1,'Revenue and costs'!V54+'Revenue and costs'!AE54,0)+IF(AND(C12&gt;=(13-'Assumptions'!$J$77),C12&lt;=12),SUM('Revenue and costs'!O55:U55)/'Assumptions'!$J$77,0)+IF(C12=(13-'Assumptions'!$J$77)-1,'Revenue and costs'!V55+'Revenue and costs'!AE55,0)+IF(AND(C12&gt;=(13-'Assumptions'!$J$78),C12&lt;=12),SUM('Revenue and costs'!O56:U56)/'Assumptions'!$J$78,0)+IF(C12=(13-'Assumptions'!$J$78)-1,'Revenue and costs'!V56+'Revenue and costs'!AE56,0)+IF(AND(C12&gt;=(13-'Assumptions'!$J$79),C12&lt;=12),SUM('Revenue and costs'!O57:U57)/'Assumptions'!$J$79,0)+IF(C12=(13-'Assumptions'!$J$79)-1,'Revenue and costs'!V57+'Revenue and costs'!AE57,0)+IF(AND(C12&gt;=(13-'Assumptions'!$J$80),C12&lt;=12),SUM('Revenue and costs'!O58:U58)/'Assumptions'!$J$80,0)+IF(C12=(13-'Assumptions'!$J$80)-1,'Revenue and costs'!V58+'Revenue and costs'!AE58,0)+IF(AND(C12&gt;=(13-'Assumptions'!$J$81),C12&lt;=12),SUM('Revenue and costs'!O59:U59)/'Assumptions'!$J$81,0)+IF(C12=(13-'Assumptions'!$J$81)-1,'Revenue and costs'!V59+'Revenue and costs'!AE59,0)+IF(AND(C12&gt;=(13-'Assumptions'!$J$82),C12&lt;=12),SUM('Revenue and costs'!O60:U60)/'Assumptions'!$J$82,0)+IF(C12=(13-'Assumptions'!$J$82)-1,'Revenue and costs'!V60+'Revenue and costs'!AE60,0)+IF(AND(C12&gt;=(13-'Assumptions'!$J$83),C12&lt;=12),SUM('Revenue and costs'!O61:U61)/'Assumptions'!$J$83,0)+IF(C12=(13-'Assumptions'!$J$83)-1,'Revenue and costs'!V61+'Revenue and costs'!AE61,0)+IF(AND(C12&gt;=(13-'Assumptions'!$J$84),C12&lt;=12),SUM('Revenue and costs'!O62:U62)/'Assumptions'!$J$84,0)+IF(C12=(13-'Assumptions'!$J$84)-1,'Revenue and costs'!V62+'Revenue and costs'!AE62,0)+IF(AND(C12&gt;=(13-'Assumptions'!$J$85),C12&lt;=12),SUM('Revenue and costs'!O63:U63)/'Assumptions'!$J$85,0)+IF(C12=(13-'Assumptions'!$J$85)-1,'Revenue and costs'!V63+'Revenue and costs'!AE63,0)+IF(AND(C12&gt;=(13-'Assumptions'!$J$86),C12&lt;=12),SUM('Revenue and costs'!O64:U64)/'Assumptions'!$J$86,0)+IF(C12=(13-'Assumptions'!$J$86)-1,'Revenue and costs'!V64+'Revenue and costs'!AE64,0)+IF(AND(C12&gt;=(13-'Assumptions'!$J$87),C12&lt;=12),SUM('Revenue and costs'!O65:U65)/'Assumptions'!$J$87,0)+IF(C12=(13-'Assumptions'!$J$87)-1,'Revenue and costs'!V65+'Revenue and costs'!AE65,0)+IF(AND(C12&gt;=(13-'Assumptions'!$J$88),C12&lt;=12),SUM('Revenue and costs'!O66:U66)/'Assumptions'!$J$88,0)+IF(C12=(13-'Assumptions'!$J$88)-1,'Revenue and costs'!V66+'Revenue and costs'!AE66,0)+IF(AND(C12&gt;=(13-'Assumptions'!$J$89),C12&lt;=12),SUM('Revenue and costs'!O67:U67)/'Assumptions'!$J$89,0)+IF(C12=(13-'Assumptions'!$J$89)-1,'Revenue and costs'!V67+'Revenue and costs'!AE67,0)+IF(AND(C12&gt;=(13-'Assumptions'!$J$90),C12&lt;=12),SUM('Revenue and costs'!O68:U68)/'Assumptions'!$J$90,0)+IF(C12=(13-'Assumptions'!$J$90)-1,'Revenue and costs'!V68+'Revenue and costs'!AE68,0)+IF(AND(C12&gt;=(13-'Assumptions'!$J$91),C12&lt;=12),SUM('Revenue and costs'!O69:U69)/'Assumptions'!$J$91,0)+IF(C12=(13-'Assumptions'!$J$91)-1,'Revenue and costs'!V69+'Revenue and costs'!AE69,0)+IF(AND(C12&gt;=(13-'Assumptions'!$J$92),C12&lt;=12),SUM('Revenue and costs'!O70:U70)/'Assumptions'!$J$92,0)+IF(C12=(13-'Assumptions'!$J$92)-1,'Revenue and costs'!V70+'Revenue and costs'!AE70,0)+IF(AND(C12&gt;=(13-'Assumptions'!$J$93),C12&lt;=12),SUM('Revenue and costs'!O71:U71)/'Assumptions'!$J$93,0)+IF(C12=(13-'Assumptions'!$J$93)-1,'Revenue and costs'!V71+'Revenue and costs'!AE71,0)+IF(AND(C12&gt;=(13-'Assumptions'!$J$94),C12&lt;=12),SUM('Revenue and costs'!O72:U72)/'Assumptions'!$J$94,0)+IF(C12=(13-'Assumptions'!$J$94)-1,'Revenue and costs'!V72+'Revenue and costs'!AE72,0)+IF(AND(C12&gt;=(13-'Assumptions'!$J$95),C12&lt;=12),SUM('Revenue and costs'!O73:U73)/'Assumptions'!$J$95,0)+IF(C12=(13-'Assumptions'!$J$95)-1,'Revenue and costs'!V73+'Revenue and costs'!AE73,0)+IF(AND(C12&gt;=(13-'Assumptions'!$J$96),C12&lt;=12),SUM('Revenue and costs'!O74:U74)/'Assumptions'!$J$96,0)+IF(C12=(13-'Assumptions'!$J$96)-1,'Revenue and costs'!V74+'Revenue and costs'!AE74,0)+IF(AND(C12&gt;=(13-'Assumptions'!$J$97),C12&lt;=12),SUM('Revenue and costs'!O75:U75)/'Assumptions'!$J$97,0)+IF(C12=(13-'Assumptions'!$J$97)-1,'Revenue and costs'!V75+'Revenue and costs'!AE75,0)+IF(AND(C12&gt;=(13-'Assumptions'!$J$98),C12&lt;=12),SUM('Revenue and costs'!O76:U76)/'Assumptions'!$J$98,0)+IF(C12=(13-'Assumptions'!$J$98)-1,'Revenue and costs'!V76+'Revenue and costs'!AE76,0)+IF(AND(C12&gt;=(13-'Assumptions'!$J$99),C12&lt;=12),SUM('Revenue and costs'!O77:U77)/'Assumptions'!$J$99,0)+IF(C12=(13-'Assumptions'!$J$99)-1,'Revenue and costs'!V77+'Revenue and costs'!AE77,0)+IF(AND(C12&gt;=(13-'Assumptions'!$J$100),C12&lt;=12),SUM('Revenue and costs'!O78:U78)/'Assumptions'!$J$100,0)+IF(C12=(13-'Assumptions'!$J$100)-1,'Revenue and costs'!V78+'Revenue and costs'!AE78,0)+IF(AND(C12&gt;=(13-'Assumptions'!$J$101),C12&lt;=12),SUM('Revenue and costs'!O79:U79)/'Assumptions'!$J$101,0)+IF(C12=(13-'Assumptions'!$J$101)-1,'Revenue and costs'!V79+'Revenue and costs'!AE79,0)+IF(AND(C12&gt;=(13-'Assumptions'!$J$102),C12&lt;=12),SUM('Revenue and costs'!O80:U80)/'Assumptions'!$J$102,0)+IF(C12=(13-'Assumptions'!$J$102)-1,'Revenue and costs'!V80+'Revenue and costs'!AE80,0)+IF(AND(C12&gt;=(13-'Assumptions'!$J$103),C12&lt;=12),SUM('Revenue and costs'!O81:U81)/'Assumptions'!$J$103,0)+IF(C12=(13-'Assumptions'!$J$103)-1,'Revenue and costs'!V81+'Revenue and costs'!AE81,0)+IF(AND(C12&gt;=(13-'Assumptions'!$J$104),C12&lt;=12),SUM('Revenue and costs'!O82:U82)/'Assumptions'!$J$104,0)+IF(C12=(13-'Assumptions'!$J$104)-1,'Revenue and costs'!V82+'Revenue and costs'!AE82,0)+IF(AND(C12&gt;=(13-'Assumptions'!$J$105),C12&lt;=12),SUM('Revenue and costs'!O83:U83)/'Assumptions'!$J$105,0)+IF(C12=(13-'Assumptions'!$J$105)-1,'Revenue and costs'!V83+'Revenue and costs'!AE83,0)+IF(AND(C12&gt;=(13-'Assumptions'!$J$106),C12&lt;=12),SUM('Revenue and costs'!O84:U84)/'Assumptions'!$J$106,0)+IF(C12=(13-'Assumptions'!$J$106)-1,'Revenue and costs'!V84+'Revenue and costs'!AE84,0)+IF(AND(C12&gt;=(13-'Assumptions'!$J$107),C12&lt;=12),SUM('Revenue and costs'!O85:U85)/'Assumptions'!$J$107,0)+IF(C12=(13-'Assumptions'!$J$107)-1,'Revenue and costs'!V85+'Revenue and costs'!AE85,0)+IF(AND(C12&gt;=(13-'Assumptions'!$J$108),C12&lt;=12),SUM('Revenue and costs'!O86:U86)/'Assumptions'!$J$108,0)+IF(C12=(13-'Assumptions'!$J$108)-1,'Revenue and costs'!V86+'Revenue and costs'!AE86,0)+IF(AND(C12&gt;=(13-'Assumptions'!$J$109),C12&lt;=12),SUM('Revenue and costs'!O87:U87)/'Assumptions'!$J$109,0)+IF(C12=(13-'Assumptions'!$J$109)-1,'Revenue and costs'!V87+'Revenue and costs'!AE87,0)+IF(AND(C12&gt;=(13-'Assumptions'!$J$110),C12&lt;=12),SUM('Revenue and costs'!O88:U88)/'Assumptions'!$J$110,0)+IF(C12=(13-'Assumptions'!$J$110)-1,'Revenue and costs'!V88+'Revenue and costs'!AE88,0)+IF(AND(C12&gt;=(13-'Assumptions'!$J$111),C12&lt;=12),SUM('Revenue and costs'!O89:U89)/'Assumptions'!$J$111,0)+IF(C12=(13-'Assumptions'!$J$111)-1,'Revenue and costs'!V89+'Revenue and costs'!AE89,0)+IF(AND(C12&gt;=(13-'Assumptions'!$J$112),C12&lt;=12),SUM('Revenue and costs'!O90:U90)/'Assumptions'!$J$112,0)+IF(C12=(13-'Assumptions'!$J$112)-1,'Revenue and costs'!V90+'Revenue and costs'!AE90,0)+IF(AND(C12&gt;=(13-'Assumptions'!$J$113),C12&lt;=12),SUM('Revenue and costs'!O91:U91)/'Assumptions'!$J$113,0)+IF(C12=(13-'Assumptions'!$J$113)-1,'Revenue and costs'!V91+'Revenue and costs'!AE91,0)+IF(AND(C12&gt;=(13-'Assumptions'!$J$114),C12&lt;=12),SUM('Revenue and costs'!O92:U92)/'Assumptions'!$J$114,0)+IF(C12=(13-'Assumptions'!$J$114)-1,'Revenue and costs'!V92+'Revenue and costs'!AE92,0)+IF(AND(C12&gt;=(13-'Assumptions'!$J$115),C12&lt;=12),SUM('Revenue and costs'!O93:U93)/'Assumptions'!$J$115,0)+IF(C12=(13-'Assumptions'!$J$115)-1,'Revenue and costs'!V93+'Revenue and costs'!AE93,0)+IF(AND(C12&gt;=(13-'Assumptions'!$J$116),C12&lt;=12),SUM('Revenue and costs'!O94:U94)/'Assumptions'!$J$116,0)+IF(C12=(13-'Assumptions'!$J$116)-1,'Revenue and costs'!V94+'Revenue and costs'!AE94,0)+IF(AND(C12&gt;=(13-'Assumptions'!$J$117),C12&lt;=12),SUM('Revenue and costs'!O95:U95)/'Assumptions'!$J$117,0)+IF(C12=(13-'Assumptions'!$J$117)-1,'Revenue and costs'!V95+'Revenue and costs'!AE95,0)+IF(AND(C12&gt;=(13-'Assumptions'!$J$118),C12&lt;=12),SUM('Revenue and costs'!O96:U96)/'Assumptions'!$J$118,0)+IF(C12=(13-'Assumptions'!$J$118)-1,'Revenue and costs'!V96+'Revenue and costs'!AE96,0)+IF(AND(C12&gt;=(13-'Assumptions'!$J$119),C12&lt;=12),SUM('Revenue and costs'!O97:U97)/'Assumptions'!$J$119,0)+IF(C12=(13-'Assumptions'!$J$119)-1,'Revenue and costs'!V97+'Revenue and costs'!AE97,0)+IF(AND(C12&gt;=(13-'Assumptions'!$J$120),C12&lt;=12),SUM('Revenue and costs'!O98:U98)/'Assumptions'!$J$120,0)+IF(C12=(13-'Assumptions'!$J$120)-1,'Revenue and costs'!V98+'Revenue and costs'!AE98,0)+IF(AND(C12&gt;=(13-'Assumptions'!$J$121),C12&lt;=12),SUM('Revenue and costs'!O99:U99)/'Assumptions'!$J$121,0)+IF(C12=(13-'Assumptions'!$J$121)-1,'Revenue and costs'!V99+'Revenue and costs'!AE99,0)+IF(AND(C12&gt;=(13-'Assumptions'!$J$122),C12&lt;=12),SUM('Revenue and costs'!O100:U100)/'Assumptions'!$J$122,0)+IF(C12=(13-'Assumptions'!$J$122)-1,'Revenue and costs'!V100+'Revenue and costs'!AE100,0)+IF(AND(C12&gt;=(13-'Assumptions'!$J$123),C12&lt;=12),SUM('Revenue and costs'!O101:U101)/'Assumptions'!$J$123,0)+IF(C12=(13-'Assumptions'!$J$123)-1,'Revenue and costs'!V101+'Revenue and costs'!AE101,0)+IF(AND(C12&gt;=(13-'Assumptions'!$J$124),C12&lt;=12),SUM('Revenue and costs'!O102:U102)/'Assumptions'!$J$124,0)+IF(C12=(13-'Assumptions'!$J$124)-1,'Revenue and costs'!V102+'Revenue and costs'!AE102,0)+IF(AND(C12&gt;=(13-'Assumptions'!$J$125),C12&lt;=12),SUM('Revenue and costs'!O103:U103)/'Assumptions'!$J$125,0)+IF(C12=(13-'Assumptions'!$J$125)-1,'Revenue and costs'!V103+'Revenue and costs'!AE103,0)+IF(AND(C12&gt;=(13-'Assumptions'!$J$126),C12&lt;=12),SUM('Revenue and costs'!O104:U104)/'Assumptions'!$J$126,0)+IF(C12=(13-'Assumptions'!$J$126)-1,'Revenue and costs'!V104+'Revenue and costs'!AE104,0)+IF(AND(C12&gt;=(13-'Assumptions'!$J$127),C12&lt;=12),SUM('Revenue and costs'!O105:U105)/'Assumptions'!$J$127,0)+IF(C12=(13-'Assumptions'!$J$127)-1,'Revenue and costs'!V105+'Revenue and costs'!AE105,0)+IF(AND(C12&gt;=(13-'Assumptions'!$J$128),C12&lt;=12),SUM('Revenue and costs'!O106:U106)/'Assumptions'!$J$128,0)+IF(C12=(13-'Assumptions'!$J$128)-1,'Revenue and costs'!V106+'Revenue and costs'!AE106,0)+IF(AND(C12&gt;=(13-'Assumptions'!$J$129),C12&lt;=12),SUM('Revenue and costs'!O107:U107)/'Assumptions'!$J$129,0)+IF(C12=(13-'Assumptions'!$J$129)-1,'Revenue and costs'!V107+'Revenue and costs'!AE107,0)+IF(AND(C12&gt;=(13-'Assumptions'!$J$130),C12&lt;=12),SUM('Revenue and costs'!O108:U108)/'Assumptions'!$J$130,0)+IF(C12=(13-'Assumptions'!$J$130)-1,'Revenue and costs'!V108+'Revenue and costs'!AE108,0)+IF(AND(C12&gt;=(13-'Assumptions'!$J$131),C12&lt;=12),SUM('Revenue and costs'!O109:U109)/'Assumptions'!$J$131,0)+IF(C12=(13-'Assumptions'!$J$131)-1,'Revenue and costs'!V109+'Revenue and costs'!AE109,0)+IF(AND(C12&gt;=(13-'Assumptions'!$J$132),C12&lt;=12),SUM('Revenue and costs'!O110:U110)/'Assumptions'!$J$132,0)+IF(C12=(13-'Assumptions'!$J$132)-1,'Revenue and costs'!V110+'Revenue and costs'!AE110,0)+IF(AND(C12&gt;=(13-'Assumptions'!$J$133),C12&lt;=12),SUM('Revenue and costs'!O111:U111)/'Assumptions'!$J$133,0)+IF(C12=(13-'Assumptions'!$J$133)-1,'Revenue and costs'!V111+'Revenue and costs'!AE111,0)+IF(AND(C12&gt;=(13-'Assumptions'!$J$134),C12&lt;=12),SUM('Revenue and costs'!O112:U112)/'Assumptions'!$J$134,0)+IF(C12=(13-'Assumptions'!$J$134)-1,'Revenue and costs'!V112+'Revenue and costs'!AE112,0)+IF(AND(C12&gt;=(13-'Assumptions'!$J$135),C12&lt;=12),SUM('Revenue and costs'!O113:U113)/'Assumptions'!$J$135,0)+IF(C12=(13-'Assumptions'!$J$135)-1,'Revenue and costs'!V113+'Revenue and costs'!AE113,0)+IF(AND(C12&gt;=(13-'Assumptions'!$J$136),C12&lt;=12),SUM('Revenue and costs'!O114:U114)/'Assumptions'!$J$136,0)+IF(C12=(13-'Assumptions'!$J$136)-1,'Revenue and costs'!V114+'Revenue and costs'!AE114,0)+IF(AND(C12&gt;=(13-'Assumptions'!$J$137),C12&lt;=12),SUM('Revenue and costs'!O115:U115)/'Assumptions'!$J$137,0)+IF(C12=(13-'Assumptions'!$J$137)-1,'Revenue and costs'!V115+'Revenue and costs'!AE115,0)+IF(AND(C12&gt;=(13-'Assumptions'!$J$138),C12&lt;=12),SUM('Revenue and costs'!O116:U116)/'Assumptions'!$J$138,0)+IF(C12=(13-'Assumptions'!$J$138)-1,'Revenue and costs'!V116+'Revenue and costs'!AE116,0)+IF(AND(C12&gt;=(13-'Assumptions'!$J$139),C12&lt;=12),SUM('Revenue and costs'!O117:U117)/'Assumptions'!$J$139,0)+IF(C12=(13-'Assumptions'!$J$139)-1,'Revenue and costs'!V117+'Revenue and costs'!AE117,0)+IF(AND(C12&gt;=(13-'Assumptions'!$J$140),C12&lt;=12),SUM('Revenue and costs'!O118:U118)/'Assumptions'!$J$140,0)+IF(C12=(13-'Assumptions'!$J$140)-1,'Revenue and costs'!V118+'Revenue and costs'!AE118,0)+IF(AND(C12&gt;=(13-'Assumptions'!$J$141),C12&lt;=12),SUM('Revenue and costs'!O119:U119)/'Assumptions'!$J$141,0)+IF(C12=(13-'Assumptions'!$J$141)-1,'Revenue and costs'!V119+'Revenue and costs'!AE119,0)+IF(AND(C12&gt;=(13-'Assumptions'!$J$142),C12&lt;=12),SUM('Revenue and costs'!O120:U120)/'Assumptions'!$J$142,0)+IF(C12=(13-'Assumptions'!$J$142)-1,'Revenue and costs'!V120+'Revenue and costs'!AE120,0)+IF(AND(C12&gt;=(13-'Assumptions'!$J$143),C12&lt;=12),SUM('Revenue and costs'!O121:U121)/'Assumptions'!$J$143,0)+IF(C12=(13-'Assumptions'!$J$143)-1,'Revenue and costs'!V121+'Revenue and costs'!AE121,0)+IF(AND(C12&gt;=(13-'Assumptions'!$J$144),C12&lt;=12),SUM('Revenue and costs'!O122:U122)/'Assumptions'!$J$144,0)+IF(C12=(13-'Assumptions'!$J$144)-1,'Revenue and costs'!V122+'Revenue and costs'!AE122,0)+IF(AND(C12&gt;=(13-'Assumptions'!$J$145),C12&lt;=12),SUM('Revenue and costs'!O123:U123)/'Assumptions'!$J$145,0)+IF(C12=(13-'Assumptions'!$J$145)-1,'Revenue and costs'!V123+'Revenue and costs'!AE123,0)+IF(AND(C12&gt;=(13-'Assumptions'!$J$146),C12&lt;=12),SUM('Revenue and costs'!O124:U124)/'Assumptions'!$J$146,0)+IF(C12=(13-'Assumptions'!$J$146)-1,'Revenue and costs'!V124+'Revenue and costs'!AE124,0)+IF(AND(C12&gt;=(13-'Assumptions'!$J$147),C12&lt;=12),SUM('Revenue and costs'!O125:U125)/'Assumptions'!$J$147,0)+IF(C12=(13-'Assumptions'!$J$147)-1,'Revenue and costs'!V125+'Revenue and costs'!AE125,0)+IF(AND(C12&gt;=(13-'Assumptions'!$J$148),C12&lt;=12),SUM('Revenue and costs'!O126:U126)/'Assumptions'!$J$148,0)+IF(C12=(13-'Assumptions'!$J$148)-1,'Revenue and costs'!V126+'Revenue and costs'!AE126,0)+IF(AND(C12&gt;=(13-'Assumptions'!$J$149),C12&lt;=12),SUM('Revenue and costs'!O127:U127)/'Assumptions'!$J$149,0)+IF(C12=(13-'Assumptions'!$J$149)-1,'Revenue and costs'!V127+'Revenue and costs'!AE127,0)+IF(AND(C12&gt;=(13-'Assumptions'!$J$150),C12&lt;=12),SUM('Revenue and costs'!O128:U128)/'Assumptions'!$J$150,0)+IF(C12=(13-'Assumptions'!$J$150)-1,'Revenue and costs'!V128+'Revenue and costs'!AE128,0)+IF(AND(C12&gt;=(13-'Assumptions'!$J$151),C12&lt;=12),SUM('Revenue and costs'!O129:U129)/'Assumptions'!$J$151,0)+IF(C12=(13-'Assumptions'!$J$151)-1,'Revenue and costs'!V129+'Revenue and costs'!AE129,0)+IF(AND(C12&gt;=(13-'Assumptions'!$J$152),C12&lt;=12),SUM('Revenue and costs'!O130:U130)/'Assumptions'!$J$152,0)+IF(C12=(13-'Assumptions'!$J$152)-1,'Revenue and costs'!V130+'Revenue and costs'!AE130,0)+IF(AND(C12&gt;=(13-'Assumptions'!$J$153),C12&lt;=12),SUM('Revenue and costs'!O131:U131)/'Assumptions'!$J$153,0)+IF(C12=(13-'Assumptions'!$J$153)-1,'Revenue and costs'!V131+'Revenue and costs'!AE131,0)+IF(AND(C12&gt;=(13-'Assumptions'!$J$154),C12&lt;=12),SUM('Revenue and costs'!O132:U132)/'Assumptions'!$J$154,0)+IF(C12=(13-'Assumptions'!$J$154)-1,'Revenue and costs'!V132+'Revenue and costs'!AE132,0)+IF(AND(C12&gt;=(13-'Assumptions'!$J$155),C12&lt;=12),SUM('Revenue and costs'!O133:U133)/'Assumptions'!$J$155,0)+IF(C12=(13-'Assumptions'!$J$155)-1,'Revenue and costs'!V133+'Revenue and costs'!AE133,0)+IF(AND(C12&gt;=(13-'Assumptions'!$J$156),C12&lt;=12),SUM('Revenue and costs'!O134:U134)/'Assumptions'!$J$156,0)+IF(C12=(13-'Assumptions'!$J$156)-1,'Revenue and costs'!V134+'Revenue and costs'!AE134,0)+IF(AND(C12&gt;=(13-'Assumptions'!$J$157),C12&lt;=12),SUM('Revenue and costs'!O135:U135)/'Assumptions'!$J$157,0)+IF(C12=(13-'Assumptions'!$J$157)-1,'Revenue and costs'!V135+'Revenue and costs'!AE135,0)+IF(C12&gt;0,'Shared costs'!H21/12+'Assumptions'!$D$18*'Assumptions'!$D$19*'Assumptions'!$D$21,0)</x:f>
        <x:v>48584.58593333333</x:v>
      </x:c>
      <x:c r="F12" s="10" t="n">
        <x:f>IF(C12=12,'Income statement'!D85,0)</x:f>
        <x:v>0</x:v>
      </x:c>
      <x:c r="G12" s="10" t="n">
        <x:f>IF(C12=(13-'Assumptions'!$J$30)-1,'Revenue and costs'!Y8,0)+IF(C12=(13-'Assumptions'!$J$31)-1,'Revenue and costs'!Y9,0)+IF(C12=(13-'Assumptions'!$J$32)-1,'Revenue and costs'!Y10,0)+IF(C12=(13-'Assumptions'!$J$33)-1,'Revenue and costs'!Y11,0)+IF(C12=(13-'Assumptions'!$J$34)-1,'Revenue and costs'!Y12,0)+IF(C12=(13-'Assumptions'!$J$35)-1,'Revenue and costs'!Y13,0)+IF(C12=(13-'Assumptions'!$J$36)-1,'Revenue and costs'!Y14,0)+IF(C12=(13-'Assumptions'!$J$37)-1,'Revenue and costs'!Y15,0)+IF(C12=(13-'Assumptions'!$J$38)-1,'Revenue and costs'!Y16,0)+IF(C12=(13-'Assumptions'!$J$39)-1,'Revenue and costs'!Y17,0)+IF(C12=(13-'Assumptions'!$J$40)-1,'Revenue and costs'!Y18,0)+IF(C12=(13-'Assumptions'!$J$41)-1,'Revenue and costs'!Y19,0)+IF(C12=(13-'Assumptions'!$J$42)-1,'Revenue and costs'!Y20,0)+IF(C12=(13-'Assumptions'!$J$43)-1,'Revenue and costs'!Y21,0)+IF(C12=(13-'Assumptions'!$J$44)-1,'Revenue and costs'!Y22,0)+IF(C12=(13-'Assumptions'!$J$45)-1,'Revenue and costs'!Y23,0)+IF(C12=(13-'Assumptions'!$J$46)-1,'Revenue and costs'!Y24,0)+IF(C12=(13-'Assumptions'!$J$47)-1,'Revenue and costs'!Y25,0)+IF(C12=(13-'Assumptions'!$J$48)-1,'Revenue and costs'!Y26,0)+IF(C12=(13-'Assumptions'!$J$49)-1,'Revenue and costs'!Y27,0)+IF(C12=(13-'Assumptions'!$J$50)-1,'Revenue and costs'!Y28,0)+IF(C12=(13-'Assumptions'!$J$51)-1,'Revenue and costs'!Y29,0)+IF(C12=(13-'Assumptions'!$J$52)-1,'Revenue and costs'!Y30,0)+IF(C12=(13-'Assumptions'!$J$53)-1,'Revenue and costs'!Y31,0)+IF(C12=(13-'Assumptions'!$J$54)-1,'Revenue and costs'!Y32,0)+IF(C12=(13-'Assumptions'!$J$55)-1,'Revenue and costs'!Y33,0)+IF(C12=(13-'Assumptions'!$J$56)-1,'Revenue and costs'!Y34,0)+IF(C12=(13-'Assumptions'!$J$57)-1,'Revenue and costs'!Y35,0)+IF(C12=(13-'Assumptions'!$J$58)-1,'Revenue and costs'!Y36,0)+IF(C12=(13-'Assumptions'!$J$59)-1,'Revenue and costs'!Y37,0)+IF(C12=(13-'Assumptions'!$J$60)-1,'Revenue and costs'!Y38,0)+IF(C12=(13-'Assumptions'!$J$61)-1,'Revenue and costs'!Y39,0)+IF(C12=(13-'Assumptions'!$J$62)-1,'Revenue and costs'!Y40,0)+IF(C12=(13-'Assumptions'!$J$63)-1,'Revenue and costs'!Y41,0)+IF(C12=(13-'Assumptions'!$J$64)-1,'Revenue and costs'!Y42,0)+IF(C12=(13-'Assumptions'!$J$65)-1,'Revenue and costs'!Y43,0)+IF(C12=(13-'Assumptions'!$J$66)-1,'Revenue and costs'!Y44,0)+IF(C12=(13-'Assumptions'!$J$67)-1,'Revenue and costs'!Y45,0)+IF(C12=(13-'Assumptions'!$J$68)-1,'Revenue and costs'!Y46,0)+IF(C12=(13-'Assumptions'!$J$69)-1,'Revenue and costs'!Y47,0)+IF(C12=(13-'Assumptions'!$J$70)-1,'Revenue and costs'!Y48,0)+IF(C12=(13-'Assumptions'!$J$71)-1,'Revenue and costs'!Y49,0)+IF(C12=(13-'Assumptions'!$J$72)-1,'Revenue and costs'!Y50,0)+IF(C12=(13-'Assumptions'!$J$73)-1,'Revenue and costs'!Y51,0)+IF(C12=(13-'Assumptions'!$J$74)-1,'Revenue and costs'!Y52,0)+IF(C12=(13-'Assumptions'!$J$75)-1,'Revenue and costs'!Y53,0)+IF(C12=(13-'Assumptions'!$J$76)-1,'Revenue and costs'!Y54,0)+IF(C12=(13-'Assumptions'!$J$77)-1,'Revenue and costs'!Y55,0)+IF(C12=(13-'Assumptions'!$J$78)-1,'Revenue and costs'!Y56,0)+IF(C12=(13-'Assumptions'!$J$79)-1,'Revenue and costs'!Y57,0)+IF(C12=(13-'Assumptions'!$J$80)-1,'Revenue and costs'!Y58,0)+IF(C12=(13-'Assumptions'!$J$81)-1,'Revenue and costs'!Y59,0)+IF(C12=(13-'Assumptions'!$J$82)-1,'Revenue and costs'!Y60,0)+IF(C12=(13-'Assumptions'!$J$83)-1,'Revenue and costs'!Y61,0)+IF(C12=(13-'Assumptions'!$J$84)-1,'Revenue and costs'!Y62,0)+IF(C12=(13-'Assumptions'!$J$85)-1,'Revenue and costs'!Y63,0)+IF(C12=(13-'Assumptions'!$J$86)-1,'Revenue and costs'!Y64,0)+IF(C12=(13-'Assumptions'!$J$87)-1,'Revenue and costs'!Y65,0)+IF(C12=(13-'Assumptions'!$J$88)-1,'Revenue and costs'!Y66,0)+IF(C12=(13-'Assumptions'!$J$89)-1,'Revenue and costs'!Y67,0)+IF(C12=(13-'Assumptions'!$J$90)-1,'Revenue and costs'!Y68,0)+IF(C12=(13-'Assumptions'!$J$91)-1,'Revenue and costs'!Y69,0)+IF(C12=(13-'Assumptions'!$J$92)-1,'Revenue and costs'!Y70,0)+IF(C12=(13-'Assumptions'!$J$93)-1,'Revenue and costs'!Y71,0)+IF(C12=(13-'Assumptions'!$J$94)-1,'Revenue and costs'!Y72,0)+IF(C12=(13-'Assumptions'!$J$95)-1,'Revenue and costs'!Y73,0)+IF(C12=(13-'Assumptions'!$J$96)-1,'Revenue and costs'!Y74,0)+IF(C12=(13-'Assumptions'!$J$97)-1,'Revenue and costs'!Y75,0)+IF(C12=(13-'Assumptions'!$J$98)-1,'Revenue and costs'!Y76,0)+IF(C12=(13-'Assumptions'!$J$99)-1,'Revenue and costs'!Y77,0)+IF(C12=(13-'Assumptions'!$J$100)-1,'Revenue and costs'!Y78,0)+IF(C12=(13-'Assumptions'!$J$101)-1,'Revenue and costs'!Y79,0)+IF(C12=(13-'Assumptions'!$J$102)-1,'Revenue and costs'!Y80,0)+IF(C12=(13-'Assumptions'!$J$103)-1,'Revenue and costs'!Y81,0)+IF(C12=(13-'Assumptions'!$J$104)-1,'Revenue and costs'!Y82,0)+IF(C12=(13-'Assumptions'!$J$105)-1,'Revenue and costs'!Y83,0)+IF(C12=(13-'Assumptions'!$J$106)-1,'Revenue and costs'!Y84,0)+IF(C12=(13-'Assumptions'!$J$107)-1,'Revenue and costs'!Y85,0)+IF(C12=(13-'Assumptions'!$J$108)-1,'Revenue and costs'!Y86,0)+IF(C12=(13-'Assumptions'!$J$109)-1,'Revenue and costs'!Y87,0)+IF(C12=(13-'Assumptions'!$J$110)-1,'Revenue and costs'!Y88,0)+IF(C12=(13-'Assumptions'!$J$111)-1,'Revenue and costs'!Y89,0)+IF(C12=(13-'Assumptions'!$J$112)-1,'Revenue and costs'!Y90,0)+IF(C12=(13-'Assumptions'!$J$113)-1,'Revenue and costs'!Y91,0)+IF(C12=(13-'Assumptions'!$J$114)-1,'Revenue and costs'!Y92,0)+IF(C12=(13-'Assumptions'!$J$115)-1,'Revenue and costs'!Y93,0)+IF(C12=(13-'Assumptions'!$J$116)-1,'Revenue and costs'!Y94,0)+IF(C12=(13-'Assumptions'!$J$117)-1,'Revenue and costs'!Y95,0)+IF(C12=(13-'Assumptions'!$J$118)-1,'Revenue and costs'!Y96,0)+IF(C12=(13-'Assumptions'!$J$119)-1,'Revenue and costs'!Y97,0)+IF(C12=(13-'Assumptions'!$J$120)-1,'Revenue and costs'!Y98,0)+IF(C12=(13-'Assumptions'!$J$121)-1,'Revenue and costs'!Y99,0)+IF(C12=(13-'Assumptions'!$J$122)-1,'Revenue and costs'!Y100,0)+IF(C12=(13-'Assumptions'!$J$123)-1,'Revenue and costs'!Y101,0)+IF(C12=(13-'Assumptions'!$J$124)-1,'Revenue and costs'!Y102,0)+IF(C12=(13-'Assumptions'!$J$125)-1,'Revenue and costs'!Y103,0)+IF(C12=(13-'Assumptions'!$J$126)-1,'Revenue and costs'!Y104,0)+IF(C12=(13-'Assumptions'!$J$127)-1,'Revenue and costs'!Y105,0)+IF(C12=(13-'Assumptions'!$J$128)-1,'Revenue and costs'!Y106,0)+IF(C12=(13-'Assumptions'!$J$129)-1,'Revenue and costs'!Y107,0)+IF(C12=(13-'Assumptions'!$J$130)-1,'Revenue and costs'!Y108,0)+IF(C12=(13-'Assumptions'!$J$131)-1,'Revenue and costs'!Y109,0)+IF(C12=(13-'Assumptions'!$J$132)-1,'Revenue and costs'!Y110,0)+IF(C12=(13-'Assumptions'!$J$133)-1,'Revenue and costs'!Y111,0)+IF(C12=(13-'Assumptions'!$J$134)-1,'Revenue and costs'!Y112,0)+IF(C12=(13-'Assumptions'!$J$135)-1,'Revenue and costs'!Y113,0)+IF(C12=(13-'Assumptions'!$J$136)-1,'Revenue and costs'!Y114,0)+IF(C12=(13-'Assumptions'!$J$137)-1,'Revenue and costs'!Y115,0)+IF(C12=(13-'Assumptions'!$J$138)-1,'Revenue and costs'!Y116,0)+IF(C12=(13-'Assumptions'!$J$139)-1,'Revenue and costs'!Y117,0)+IF(C12=(13-'Assumptions'!$J$140)-1,'Revenue and costs'!Y118,0)+IF(C12=(13-'Assumptions'!$J$141)-1,'Revenue and costs'!Y119,0)+IF(C12=(13-'Assumptions'!$J$142)-1,'Revenue and costs'!Y120,0)+IF(C12=(13-'Assumptions'!$J$143)-1,'Revenue and costs'!Y121,0)+IF(C12=(13-'Assumptions'!$J$144)-1,'Revenue and costs'!Y122,0)+IF(C12=(13-'Assumptions'!$J$145)-1,'Revenue and costs'!Y123,0)+IF(C12=(13-'Assumptions'!$J$146)-1,'Revenue and costs'!Y124,0)+IF(C12=(13-'Assumptions'!$J$147)-1,'Revenue and costs'!Y125,0)+IF(C12=(13-'Assumptions'!$J$148)-1,'Revenue and costs'!Y126,0)+IF(C12=(13-'Assumptions'!$J$149)-1,'Revenue and costs'!Y127,0)+IF(C12=(13-'Assumptions'!$J$150)-1,'Revenue and costs'!Y128,0)+IF(C12=(13-'Assumptions'!$J$151)-1,'Revenue and costs'!Y129,0)+IF(C12=(13-'Assumptions'!$J$152)-1,'Revenue and costs'!Y130,0)+IF(C12=(13-'Assumptions'!$J$153)-1,'Revenue and costs'!Y131,0)+IF(C12=(13-'Assumptions'!$J$154)-1,'Revenue and costs'!Y132,0)+IF(C12=(13-'Assumptions'!$J$155)-1,'Revenue and costs'!Y133,0)+IF(C12=(13-'Assumptions'!$J$156)-1,'Revenue and costs'!Y134,0)+IF(C12=(13-'Assumptions'!$J$157)-1,'Revenue and costs'!Y135,0)</x:f>
        <x:v>0</x:v>
      </x:c>
      <x:c r="H12" s="10" t="n">
        <x:f>IF(C12=0,'Cash and capital'!D13,0)</x:f>
        <x:v>0</x:v>
      </x:c>
      <x:c r="I12" s="10" t="n">
        <x:f>D12-E12-F12-G12-H12</x:f>
        <x:v>-11280.239266666664</x:v>
      </x:c>
      <x:c r="J12" s="10" t="n">
        <x:f>J11+I12</x:f>
        <x:v>-25216.872599999995</x:v>
      </x:c>
      <x:c r="K12" s="10" t="n">
        <x:f>MAX(0,-MIN($J$8:J12))</x:f>
        <x:v>25216.872599999995</x:v>
      </x:c>
      <x:c r="L12" s="10"/>
      <x:c r="M12" s="10"/>
      <x:c r="N12" s="10"/>
      <x:c r="O12" s="10"/>
      <x:c r="P12" s="10"/>
      <x:c r="Q12" s="10"/>
    </x:row>
    <x:row r="13" ht="16" customHeight="1">
      <x:c r="A13" s="1"/>
      <x:c r="B13" s="1"/>
      <x:c r="C13" s="1" t="n">
        <x:v>5</x:v>
      </x:c>
      <x:c r="D13" s="10" t="n">
        <x:f>IF(AND(C13&gt;=(13-'Assumptions'!$J$30)+'Assumptions'!$AF$30,C13&lt;=12),'Revenue and costs'!N8/'Assumptions'!$J$30,0)+IF(AND(C13&gt;=(13-'Assumptions'!$J$31)+'Assumptions'!$AF$31,C13&lt;=12),'Revenue and costs'!N9/'Assumptions'!$J$31,0)+IF(AND(C13&gt;=(13-'Assumptions'!$J$32)+'Assumptions'!$AF$32,C13&lt;=12),'Revenue and costs'!N10/'Assumptions'!$J$32,0)+IF(AND(C13&gt;=(13-'Assumptions'!$J$33)+'Assumptions'!$AF$33,C13&lt;=12),'Revenue and costs'!N11/'Assumptions'!$J$33,0)+IF(AND(C13&gt;=(13-'Assumptions'!$J$34)+'Assumptions'!$AF$34,C13&lt;=12),'Revenue and costs'!N12/'Assumptions'!$J$34,0)+IF(AND(C13&gt;=(13-'Assumptions'!$J$35)+'Assumptions'!$AF$35,C13&lt;=12),'Revenue and costs'!N13/'Assumptions'!$J$35,0)+IF(AND(C13&gt;=(13-'Assumptions'!$J$36)+'Assumptions'!$AF$36,C13&lt;=12),'Revenue and costs'!N14/'Assumptions'!$J$36,0)+IF(AND(C13&gt;=(13-'Assumptions'!$J$37)+'Assumptions'!$AF$37,C13&lt;=12),'Revenue and costs'!N15/'Assumptions'!$J$37,0)+IF(AND(C13&gt;=(13-'Assumptions'!$J$38)+'Assumptions'!$AF$38,C13&lt;=12),'Revenue and costs'!N16/'Assumptions'!$J$38,0)+IF(AND(C13&gt;=(13-'Assumptions'!$J$39)+'Assumptions'!$AF$39,C13&lt;=12),'Revenue and costs'!N17/'Assumptions'!$J$39,0)+IF(AND(C13&gt;=(13-'Assumptions'!$J$40)+'Assumptions'!$AF$40,C13&lt;=12),'Revenue and costs'!N18/'Assumptions'!$J$40,0)+IF(AND(C13&gt;=(13-'Assumptions'!$J$41)+'Assumptions'!$AF$41,C13&lt;=12),'Revenue and costs'!N19/'Assumptions'!$J$41,0)+IF(AND(C13&gt;=(13-'Assumptions'!$J$42)+'Assumptions'!$AF$42,C13&lt;=12),'Revenue and costs'!N20/'Assumptions'!$J$42,0)+IF(AND(C13&gt;=(13-'Assumptions'!$J$43)+'Assumptions'!$AF$43,C13&lt;=12),'Revenue and costs'!N21/'Assumptions'!$J$43,0)+IF(AND(C13&gt;=(13-'Assumptions'!$J$44)+'Assumptions'!$AF$44,C13&lt;=12),'Revenue and costs'!N22/'Assumptions'!$J$44,0)+IF(AND(C13&gt;=(13-'Assumptions'!$J$45)+'Assumptions'!$AF$45,C13&lt;=12),'Revenue and costs'!N23/'Assumptions'!$J$45,0)+IF(AND(C13&gt;=(13-'Assumptions'!$J$46)+'Assumptions'!$AF$46,C13&lt;=12),'Revenue and costs'!N24/'Assumptions'!$J$46,0)+IF(AND(C13&gt;=(13-'Assumptions'!$J$47)+'Assumptions'!$AF$47,C13&lt;=12),'Revenue and costs'!N25/'Assumptions'!$J$47,0)+IF(AND(C13&gt;=(13-'Assumptions'!$J$48)+'Assumptions'!$AF$48,C13&lt;=12),'Revenue and costs'!N26/'Assumptions'!$J$48,0)+IF(AND(C13&gt;=(13-'Assumptions'!$J$49)+'Assumptions'!$AF$49,C13&lt;=12),'Revenue and costs'!N27/'Assumptions'!$J$49,0)+IF(AND(C13&gt;=(13-'Assumptions'!$J$50)+'Assumptions'!$AF$50,C13&lt;=12),'Revenue and costs'!N28/'Assumptions'!$J$50,0)+IF(AND(C13&gt;=(13-'Assumptions'!$J$51)+'Assumptions'!$AF$51,C13&lt;=12),'Revenue and costs'!N29/'Assumptions'!$J$51,0)+IF(AND(C13&gt;=(13-'Assumptions'!$J$52)+'Assumptions'!$AF$52,C13&lt;=12),'Revenue and costs'!N30/'Assumptions'!$J$52,0)+IF(AND(C13&gt;=(13-'Assumptions'!$J$53)+'Assumptions'!$AF$53,C13&lt;=12),'Revenue and costs'!N31/'Assumptions'!$J$53,0)+IF(AND(C13&gt;=(13-'Assumptions'!$J$54)+'Assumptions'!$AF$54,C13&lt;=12),'Revenue and costs'!N32/'Assumptions'!$J$54,0)+IF(AND(C13&gt;=(13-'Assumptions'!$J$55)+'Assumptions'!$AF$55,C13&lt;=12),'Revenue and costs'!N33/'Assumptions'!$J$55,0)+IF(AND(C13&gt;=(13-'Assumptions'!$J$56)+'Assumptions'!$AF$56,C13&lt;=12),'Revenue and costs'!N34/'Assumptions'!$J$56,0)+IF(AND(C13&gt;=(13-'Assumptions'!$J$57)+'Assumptions'!$AF$57,C13&lt;=12),'Revenue and costs'!N35/'Assumptions'!$J$57,0)+IF(AND(C13&gt;=(13-'Assumptions'!$J$58)+'Assumptions'!$AF$58,C13&lt;=12),'Revenue and costs'!N36/'Assumptions'!$J$58,0)+IF(AND(C13&gt;=(13-'Assumptions'!$J$59)+'Assumptions'!$AF$59,C13&lt;=12),'Revenue and costs'!N37/'Assumptions'!$J$59,0)+IF(AND(C13&gt;=(13-'Assumptions'!$J$60)+'Assumptions'!$AF$60,C13&lt;=12),'Revenue and costs'!N38/'Assumptions'!$J$60,0)+IF(AND(C13&gt;=(13-'Assumptions'!$J$61)+'Assumptions'!$AF$61,C13&lt;=12),'Revenue and costs'!N39/'Assumptions'!$J$61,0)+IF(AND(C13&gt;=(13-'Assumptions'!$J$62)+'Assumptions'!$AF$62,C13&lt;=12),'Revenue and costs'!N40/'Assumptions'!$J$62,0)+IF(AND(C13&gt;=(13-'Assumptions'!$J$63)+'Assumptions'!$AF$63,C13&lt;=12),'Revenue and costs'!N41/'Assumptions'!$J$63,0)+IF(AND(C13&gt;=(13-'Assumptions'!$J$64)+'Assumptions'!$AF$64,C13&lt;=12),'Revenue and costs'!N42/'Assumptions'!$J$64,0)+IF(AND(C13&gt;=(13-'Assumptions'!$J$65)+'Assumptions'!$AF$65,C13&lt;=12),'Revenue and costs'!N43/'Assumptions'!$J$65,0)+IF(AND(C13&gt;=(13-'Assumptions'!$J$66)+'Assumptions'!$AF$66,C13&lt;=12),'Revenue and costs'!N44/'Assumptions'!$J$66,0)+IF(AND(C13&gt;=(13-'Assumptions'!$J$67)+'Assumptions'!$AF$67,C13&lt;=12),'Revenue and costs'!N45/'Assumptions'!$J$67,0)+IF(AND(C13&gt;=(13-'Assumptions'!$J$68)+'Assumptions'!$AF$68,C13&lt;=12),'Revenue and costs'!N46/'Assumptions'!$J$68,0)+IF(AND(C13&gt;=(13-'Assumptions'!$J$69)+'Assumptions'!$AF$69,C13&lt;=12),'Revenue and costs'!N47/'Assumptions'!$J$69,0)+IF(AND(C13&gt;=(13-'Assumptions'!$J$70)+'Assumptions'!$AF$70,C13&lt;=12),'Revenue and costs'!N48/'Assumptions'!$J$70,0)+IF(AND(C13&gt;=(13-'Assumptions'!$J$71)+'Assumptions'!$AF$71,C13&lt;=12),'Revenue and costs'!N49/'Assumptions'!$J$71,0)+IF(AND(C13&gt;=(13-'Assumptions'!$J$72)+'Assumptions'!$AF$72,C13&lt;=12),'Revenue and costs'!N50/'Assumptions'!$J$72,0)+IF(AND(C13&gt;=(13-'Assumptions'!$J$73)+'Assumptions'!$AF$73,C13&lt;=12),'Revenue and costs'!N51/'Assumptions'!$J$73,0)+IF(AND(C13&gt;=(13-'Assumptions'!$J$74)+'Assumptions'!$AF$74,C13&lt;=12),'Revenue and costs'!N52/'Assumptions'!$J$74,0)+IF(AND(C13&gt;=(13-'Assumptions'!$J$75)+'Assumptions'!$AF$75,C13&lt;=12),'Revenue and costs'!N53/'Assumptions'!$J$75,0)+IF(AND(C13&gt;=(13-'Assumptions'!$J$76)+'Assumptions'!$AF$76,C13&lt;=12),'Revenue and costs'!N54/'Assumptions'!$J$76,0)+IF(AND(C13&gt;=(13-'Assumptions'!$J$77)+'Assumptions'!$AF$77,C13&lt;=12),'Revenue and costs'!N55/'Assumptions'!$J$77,0)+IF(AND(C13&gt;=(13-'Assumptions'!$J$78)+'Assumptions'!$AF$78,C13&lt;=12),'Revenue and costs'!N56/'Assumptions'!$J$78,0)+IF(AND(C13&gt;=(13-'Assumptions'!$J$79)+'Assumptions'!$AF$79,C13&lt;=12),'Revenue and costs'!N57/'Assumptions'!$J$79,0)+IF(AND(C13&gt;=(13-'Assumptions'!$J$80)+'Assumptions'!$AF$80,C13&lt;=12),'Revenue and costs'!N58/'Assumptions'!$J$80,0)+IF(AND(C13&gt;=(13-'Assumptions'!$J$81)+'Assumptions'!$AF$81,C13&lt;=12),'Revenue and costs'!N59/'Assumptions'!$J$81,0)+IF(AND(C13&gt;=(13-'Assumptions'!$J$82)+'Assumptions'!$AF$82,C13&lt;=12),'Revenue and costs'!N60/'Assumptions'!$J$82,0)+IF(AND(C13&gt;=(13-'Assumptions'!$J$83)+'Assumptions'!$AF$83,C13&lt;=12),'Revenue and costs'!N61/'Assumptions'!$J$83,0)+IF(AND(C13&gt;=(13-'Assumptions'!$J$84)+'Assumptions'!$AF$84,C13&lt;=12),'Revenue and costs'!N62/'Assumptions'!$J$84,0)+IF(AND(C13&gt;=(13-'Assumptions'!$J$85)+'Assumptions'!$AF$85,C13&lt;=12),'Revenue and costs'!N63/'Assumptions'!$J$85,0)+IF(AND(C13&gt;=(13-'Assumptions'!$J$86)+'Assumptions'!$AF$86,C13&lt;=12),'Revenue and costs'!N64/'Assumptions'!$J$86,0)+IF(AND(C13&gt;=(13-'Assumptions'!$J$87)+'Assumptions'!$AF$87,C13&lt;=12),'Revenue and costs'!N65/'Assumptions'!$J$87,0)+IF(AND(C13&gt;=(13-'Assumptions'!$J$88)+'Assumptions'!$AF$88,C13&lt;=12),'Revenue and costs'!N66/'Assumptions'!$J$88,0)+IF(AND(C13&gt;=(13-'Assumptions'!$J$89)+'Assumptions'!$AF$89,C13&lt;=12),'Revenue and costs'!N67/'Assumptions'!$J$89,0)+IF(AND(C13&gt;=(13-'Assumptions'!$J$90)+'Assumptions'!$AF$90,C13&lt;=12),'Revenue and costs'!N68/'Assumptions'!$J$90,0)+IF(AND(C13&gt;=(13-'Assumptions'!$J$91)+'Assumptions'!$AF$91,C13&lt;=12),'Revenue and costs'!N69/'Assumptions'!$J$91,0)+IF(AND(C13&gt;=(13-'Assumptions'!$J$92)+'Assumptions'!$AF$92,C13&lt;=12),'Revenue and costs'!N70/'Assumptions'!$J$92,0)+IF(AND(C13&gt;=(13-'Assumptions'!$J$93)+'Assumptions'!$AF$93,C13&lt;=12),'Revenue and costs'!N71/'Assumptions'!$J$93,0)+IF(AND(C13&gt;=(13-'Assumptions'!$J$94)+'Assumptions'!$AF$94,C13&lt;=12),'Revenue and costs'!N72/'Assumptions'!$J$94,0)+IF(AND(C13&gt;=(13-'Assumptions'!$J$95)+'Assumptions'!$AF$95,C13&lt;=12),'Revenue and costs'!N73/'Assumptions'!$J$95,0)+IF(AND(C13&gt;=(13-'Assumptions'!$J$96)+'Assumptions'!$AF$96,C13&lt;=12),'Revenue and costs'!N74/'Assumptions'!$J$96,0)+IF(AND(C13&gt;=(13-'Assumptions'!$J$97)+'Assumptions'!$AF$97,C13&lt;=12),'Revenue and costs'!N75/'Assumptions'!$J$97,0)+IF(AND(C13&gt;=(13-'Assumptions'!$J$98)+'Assumptions'!$AF$98,C13&lt;=12),'Revenue and costs'!N76/'Assumptions'!$J$98,0)+IF(AND(C13&gt;=(13-'Assumptions'!$J$99)+'Assumptions'!$AF$99,C13&lt;=12),'Revenue and costs'!N77/'Assumptions'!$J$99,0)+IF(AND(C13&gt;=(13-'Assumptions'!$J$100)+'Assumptions'!$AF$100,C13&lt;=12),'Revenue and costs'!N78/'Assumptions'!$J$100,0)+IF(AND(C13&gt;=(13-'Assumptions'!$J$101)+'Assumptions'!$AF$101,C13&lt;=12),'Revenue and costs'!N79/'Assumptions'!$J$101,0)+IF(AND(C13&gt;=(13-'Assumptions'!$J$102)+'Assumptions'!$AF$102,C13&lt;=12),'Revenue and costs'!N80/'Assumptions'!$J$102,0)+IF(AND(C13&gt;=(13-'Assumptions'!$J$103)+'Assumptions'!$AF$103,C13&lt;=12),'Revenue and costs'!N81/'Assumptions'!$J$103,0)+IF(AND(C13&gt;=(13-'Assumptions'!$J$104)+'Assumptions'!$AF$104,C13&lt;=12),'Revenue and costs'!N82/'Assumptions'!$J$104,0)+IF(AND(C13&gt;=(13-'Assumptions'!$J$105)+'Assumptions'!$AF$105,C13&lt;=12),'Revenue and costs'!N83/'Assumptions'!$J$105,0)+IF(AND(C13&gt;=(13-'Assumptions'!$J$106)+'Assumptions'!$AF$106,C13&lt;=12),'Revenue and costs'!N84/'Assumptions'!$J$106,0)+IF(AND(C13&gt;=(13-'Assumptions'!$J$107)+'Assumptions'!$AF$107,C13&lt;=12),'Revenue and costs'!N85/'Assumptions'!$J$107,0)+IF(AND(C13&gt;=(13-'Assumptions'!$J$108)+'Assumptions'!$AF$108,C13&lt;=12),'Revenue and costs'!N86/'Assumptions'!$J$108,0)+IF(AND(C13&gt;=(13-'Assumptions'!$J$109)+'Assumptions'!$AF$109,C13&lt;=12),'Revenue and costs'!N87/'Assumptions'!$J$109,0)+IF(AND(C13&gt;=(13-'Assumptions'!$J$110)+'Assumptions'!$AF$110,C13&lt;=12),'Revenue and costs'!N88/'Assumptions'!$J$110,0)+IF(AND(C13&gt;=(13-'Assumptions'!$J$111)+'Assumptions'!$AF$111,C13&lt;=12),'Revenue and costs'!N89/'Assumptions'!$J$111,0)+IF(AND(C13&gt;=(13-'Assumptions'!$J$112)+'Assumptions'!$AF$112,C13&lt;=12),'Revenue and costs'!N90/'Assumptions'!$J$112,0)+IF(AND(C13&gt;=(13-'Assumptions'!$J$113)+'Assumptions'!$AF$113,C13&lt;=12),'Revenue and costs'!N91/'Assumptions'!$J$113,0)+IF(AND(C13&gt;=(13-'Assumptions'!$J$114)+'Assumptions'!$AF$114,C13&lt;=12),'Revenue and costs'!N92/'Assumptions'!$J$114,0)+IF(AND(C13&gt;=(13-'Assumptions'!$J$115)+'Assumptions'!$AF$115,C13&lt;=12),'Revenue and costs'!N93/'Assumptions'!$J$115,0)+IF(AND(C13&gt;=(13-'Assumptions'!$J$116)+'Assumptions'!$AF$116,C13&lt;=12),'Revenue and costs'!N94/'Assumptions'!$J$116,0)+IF(AND(C13&gt;=(13-'Assumptions'!$J$117)+'Assumptions'!$AF$117,C13&lt;=12),'Revenue and costs'!N95/'Assumptions'!$J$117,0)+IF(AND(C13&gt;=(13-'Assumptions'!$J$118)+'Assumptions'!$AF$118,C13&lt;=12),'Revenue and costs'!N96/'Assumptions'!$J$118,0)+IF(AND(C13&gt;=(13-'Assumptions'!$J$119)+'Assumptions'!$AF$119,C13&lt;=12),'Revenue and costs'!N97/'Assumptions'!$J$119,0)+IF(AND(C13&gt;=(13-'Assumptions'!$J$120)+'Assumptions'!$AF$120,C13&lt;=12),'Revenue and costs'!N98/'Assumptions'!$J$120,0)+IF(AND(C13&gt;=(13-'Assumptions'!$J$121)+'Assumptions'!$AF$121,C13&lt;=12),'Revenue and costs'!N99/'Assumptions'!$J$121,0)+IF(AND(C13&gt;=(13-'Assumptions'!$J$122)+'Assumptions'!$AF$122,C13&lt;=12),'Revenue and costs'!N100/'Assumptions'!$J$122,0)+IF(AND(C13&gt;=(13-'Assumptions'!$J$123)+'Assumptions'!$AF$123,C13&lt;=12),'Revenue and costs'!N101/'Assumptions'!$J$123,0)+IF(AND(C13&gt;=(13-'Assumptions'!$J$124)+'Assumptions'!$AF$124,C13&lt;=12),'Revenue and costs'!N102/'Assumptions'!$J$124,0)+IF(AND(C13&gt;=(13-'Assumptions'!$J$125)+'Assumptions'!$AF$125,C13&lt;=12),'Revenue and costs'!N103/'Assumptions'!$J$125,0)+IF(AND(C13&gt;=(13-'Assumptions'!$J$126)+'Assumptions'!$AF$126,C13&lt;=12),'Revenue and costs'!N104/'Assumptions'!$J$126,0)+IF(AND(C13&gt;=(13-'Assumptions'!$J$127)+'Assumptions'!$AF$127,C13&lt;=12),'Revenue and costs'!N105/'Assumptions'!$J$127,0)+IF(AND(C13&gt;=(13-'Assumptions'!$J$128)+'Assumptions'!$AF$128,C13&lt;=12),'Revenue and costs'!N106/'Assumptions'!$J$128,0)+IF(AND(C13&gt;=(13-'Assumptions'!$J$129)+'Assumptions'!$AF$129,C13&lt;=12),'Revenue and costs'!N107/'Assumptions'!$J$129,0)+IF(AND(C13&gt;=(13-'Assumptions'!$J$130)+'Assumptions'!$AF$130,C13&lt;=12),'Revenue and costs'!N108/'Assumptions'!$J$130,0)+IF(AND(C13&gt;=(13-'Assumptions'!$J$131)+'Assumptions'!$AF$131,C13&lt;=12),'Revenue and costs'!N109/'Assumptions'!$J$131,0)+IF(AND(C13&gt;=(13-'Assumptions'!$J$132)+'Assumptions'!$AF$132,C13&lt;=12),'Revenue and costs'!N110/'Assumptions'!$J$132,0)+IF(AND(C13&gt;=(13-'Assumptions'!$J$133)+'Assumptions'!$AF$133,C13&lt;=12),'Revenue and costs'!N111/'Assumptions'!$J$133,0)+IF(AND(C13&gt;=(13-'Assumptions'!$J$134)+'Assumptions'!$AF$134,C13&lt;=12),'Revenue and costs'!N112/'Assumptions'!$J$134,0)+IF(AND(C13&gt;=(13-'Assumptions'!$J$135)+'Assumptions'!$AF$135,C13&lt;=12),'Revenue and costs'!N113/'Assumptions'!$J$135,0)+IF(AND(C13&gt;=(13-'Assumptions'!$J$136)+'Assumptions'!$AF$136,C13&lt;=12),'Revenue and costs'!N114/'Assumptions'!$J$136,0)+IF(AND(C13&gt;=(13-'Assumptions'!$J$137)+'Assumptions'!$AF$137,C13&lt;=12),'Revenue and costs'!N115/'Assumptions'!$J$137,0)+IF(AND(C13&gt;=(13-'Assumptions'!$J$138)+'Assumptions'!$AF$138,C13&lt;=12),'Revenue and costs'!N116/'Assumptions'!$J$138,0)+IF(AND(C13&gt;=(13-'Assumptions'!$J$139)+'Assumptions'!$AF$139,C13&lt;=12),'Revenue and costs'!N117/'Assumptions'!$J$139,0)+IF(AND(C13&gt;=(13-'Assumptions'!$J$140)+'Assumptions'!$AF$140,C13&lt;=12),'Revenue and costs'!N118/'Assumptions'!$J$140,0)+IF(AND(C13&gt;=(13-'Assumptions'!$J$141)+'Assumptions'!$AF$141,C13&lt;=12),'Revenue and costs'!N119/'Assumptions'!$J$141,0)+IF(AND(C13&gt;=(13-'Assumptions'!$J$142)+'Assumptions'!$AF$142,C13&lt;=12),'Revenue and costs'!N120/'Assumptions'!$J$142,0)+IF(AND(C13&gt;=(13-'Assumptions'!$J$143)+'Assumptions'!$AF$143,C13&lt;=12),'Revenue and costs'!N121/'Assumptions'!$J$143,0)+IF(AND(C13&gt;=(13-'Assumptions'!$J$144)+'Assumptions'!$AF$144,C13&lt;=12),'Revenue and costs'!N122/'Assumptions'!$J$144,0)+IF(AND(C13&gt;=(13-'Assumptions'!$J$145)+'Assumptions'!$AF$145,C13&lt;=12),'Revenue and costs'!N123/'Assumptions'!$J$145,0)+IF(AND(C13&gt;=(13-'Assumptions'!$J$146)+'Assumptions'!$AF$146,C13&lt;=12),'Revenue and costs'!N124/'Assumptions'!$J$146,0)+IF(AND(C13&gt;=(13-'Assumptions'!$J$147)+'Assumptions'!$AF$147,C13&lt;=12),'Revenue and costs'!N125/'Assumptions'!$J$147,0)+IF(AND(C13&gt;=(13-'Assumptions'!$J$148)+'Assumptions'!$AF$148,C13&lt;=12),'Revenue and costs'!N126/'Assumptions'!$J$148,0)+IF(AND(C13&gt;=(13-'Assumptions'!$J$149)+'Assumptions'!$AF$149,C13&lt;=12),'Revenue and costs'!N127/'Assumptions'!$J$149,0)+IF(AND(C13&gt;=(13-'Assumptions'!$J$150)+'Assumptions'!$AF$150,C13&lt;=12),'Revenue and costs'!N128/'Assumptions'!$J$150,0)+IF(AND(C13&gt;=(13-'Assumptions'!$J$151)+'Assumptions'!$AF$151,C13&lt;=12),'Revenue and costs'!N129/'Assumptions'!$J$151,0)+IF(AND(C13&gt;=(13-'Assumptions'!$J$152)+'Assumptions'!$AF$152,C13&lt;=12),'Revenue and costs'!N130/'Assumptions'!$J$152,0)+IF(AND(C13&gt;=(13-'Assumptions'!$J$153)+'Assumptions'!$AF$153,C13&lt;=12),'Revenue and costs'!N131/'Assumptions'!$J$153,0)+IF(AND(C13&gt;=(13-'Assumptions'!$J$154)+'Assumptions'!$AF$154,C13&lt;=12),'Revenue and costs'!N132/'Assumptions'!$J$154,0)+IF(AND(C13&gt;=(13-'Assumptions'!$J$155)+'Assumptions'!$AF$155,C13&lt;=12),'Revenue and costs'!N133/'Assumptions'!$J$155,0)+IF(AND(C13&gt;=(13-'Assumptions'!$J$156)+'Assumptions'!$AF$156,C13&lt;=12),'Revenue and costs'!N134/'Assumptions'!$J$156,0)+IF(AND(C13&gt;=(13-'Assumptions'!$J$157)+'Assumptions'!$AF$157,C13&lt;=12),'Revenue and costs'!N135/'Assumptions'!$J$157,0)</x:f>
        <x:v>77086.63333333335</x:v>
      </x:c>
      <x:c r="E13" s="10" t="n">
        <x:f>IF(AND(C13&gt;=(13-'Assumptions'!$J$30),C13&lt;=12),SUM('Revenue and costs'!O8:U8)/'Assumptions'!$J$30,0)+IF(C13=(13-'Assumptions'!$J$30)-1,'Revenue and costs'!V8+'Revenue and costs'!AE8,0)+IF(AND(C13&gt;=(13-'Assumptions'!$J$31),C13&lt;=12),SUM('Revenue and costs'!O9:U9)/'Assumptions'!$J$31,0)+IF(C13=(13-'Assumptions'!$J$31)-1,'Revenue and costs'!V9+'Revenue and costs'!AE9,0)+IF(AND(C13&gt;=(13-'Assumptions'!$J$32),C13&lt;=12),SUM('Revenue and costs'!O10:U10)/'Assumptions'!$J$32,0)+IF(C13=(13-'Assumptions'!$J$32)-1,'Revenue and costs'!V10+'Revenue and costs'!AE10,0)+IF(AND(C13&gt;=(13-'Assumptions'!$J$33),C13&lt;=12),SUM('Revenue and costs'!O11:U11)/'Assumptions'!$J$33,0)+IF(C13=(13-'Assumptions'!$J$33)-1,'Revenue and costs'!V11+'Revenue and costs'!AE11,0)+IF(AND(C13&gt;=(13-'Assumptions'!$J$34),C13&lt;=12),SUM('Revenue and costs'!O12:U12)/'Assumptions'!$J$34,0)+IF(C13=(13-'Assumptions'!$J$34)-1,'Revenue and costs'!V12+'Revenue and costs'!AE12,0)+IF(AND(C13&gt;=(13-'Assumptions'!$J$35),C13&lt;=12),SUM('Revenue and costs'!O13:U13)/'Assumptions'!$J$35,0)+IF(C13=(13-'Assumptions'!$J$35)-1,'Revenue and costs'!V13+'Revenue and costs'!AE13,0)+IF(AND(C13&gt;=(13-'Assumptions'!$J$36),C13&lt;=12),SUM('Revenue and costs'!O14:U14)/'Assumptions'!$J$36,0)+IF(C13=(13-'Assumptions'!$J$36)-1,'Revenue and costs'!V14+'Revenue and costs'!AE14,0)+IF(AND(C13&gt;=(13-'Assumptions'!$J$37),C13&lt;=12),SUM('Revenue and costs'!O15:U15)/'Assumptions'!$J$37,0)+IF(C13=(13-'Assumptions'!$J$37)-1,'Revenue and costs'!V15+'Revenue and costs'!AE15,0)+IF(AND(C13&gt;=(13-'Assumptions'!$J$38),C13&lt;=12),SUM('Revenue and costs'!O16:U16)/'Assumptions'!$J$38,0)+IF(C13=(13-'Assumptions'!$J$38)-1,'Revenue and costs'!V16+'Revenue and costs'!AE16,0)+IF(AND(C13&gt;=(13-'Assumptions'!$J$39),C13&lt;=12),SUM('Revenue and costs'!O17:U17)/'Assumptions'!$J$39,0)+IF(C13=(13-'Assumptions'!$J$39)-1,'Revenue and costs'!V17+'Revenue and costs'!AE17,0)+IF(AND(C13&gt;=(13-'Assumptions'!$J$40),C13&lt;=12),SUM('Revenue and costs'!O18:U18)/'Assumptions'!$J$40,0)+IF(C13=(13-'Assumptions'!$J$40)-1,'Revenue and costs'!V18+'Revenue and costs'!AE18,0)+IF(AND(C13&gt;=(13-'Assumptions'!$J$41),C13&lt;=12),SUM('Revenue and costs'!O19:U19)/'Assumptions'!$J$41,0)+IF(C13=(13-'Assumptions'!$J$41)-1,'Revenue and costs'!V19+'Revenue and costs'!AE19,0)+IF(AND(C13&gt;=(13-'Assumptions'!$J$42),C13&lt;=12),SUM('Revenue and costs'!O20:U20)/'Assumptions'!$J$42,0)+IF(C13=(13-'Assumptions'!$J$42)-1,'Revenue and costs'!V20+'Revenue and costs'!AE20,0)+IF(AND(C13&gt;=(13-'Assumptions'!$J$43),C13&lt;=12),SUM('Revenue and costs'!O21:U21)/'Assumptions'!$J$43,0)+IF(C13=(13-'Assumptions'!$J$43)-1,'Revenue and costs'!V21+'Revenue and costs'!AE21,0)+IF(AND(C13&gt;=(13-'Assumptions'!$J$44),C13&lt;=12),SUM('Revenue and costs'!O22:U22)/'Assumptions'!$J$44,0)+IF(C13=(13-'Assumptions'!$J$44)-1,'Revenue and costs'!V22+'Revenue and costs'!AE22,0)+IF(AND(C13&gt;=(13-'Assumptions'!$J$45),C13&lt;=12),SUM('Revenue and costs'!O23:U23)/'Assumptions'!$J$45,0)+IF(C13=(13-'Assumptions'!$J$45)-1,'Revenue and costs'!V23+'Revenue and costs'!AE23,0)+IF(AND(C13&gt;=(13-'Assumptions'!$J$46),C13&lt;=12),SUM('Revenue and costs'!O24:U24)/'Assumptions'!$J$46,0)+IF(C13=(13-'Assumptions'!$J$46)-1,'Revenue and costs'!V24+'Revenue and costs'!AE24,0)+IF(AND(C13&gt;=(13-'Assumptions'!$J$47),C13&lt;=12),SUM('Revenue and costs'!O25:U25)/'Assumptions'!$J$47,0)+IF(C13=(13-'Assumptions'!$J$47)-1,'Revenue and costs'!V25+'Revenue and costs'!AE25,0)+IF(AND(C13&gt;=(13-'Assumptions'!$J$48),C13&lt;=12),SUM('Revenue and costs'!O26:U26)/'Assumptions'!$J$48,0)+IF(C13=(13-'Assumptions'!$J$48)-1,'Revenue and costs'!V26+'Revenue and costs'!AE26,0)+IF(AND(C13&gt;=(13-'Assumptions'!$J$49),C13&lt;=12),SUM('Revenue and costs'!O27:U27)/'Assumptions'!$J$49,0)+IF(C13=(13-'Assumptions'!$J$49)-1,'Revenue and costs'!V27+'Revenue and costs'!AE27,0)+IF(AND(C13&gt;=(13-'Assumptions'!$J$50),C13&lt;=12),SUM('Revenue and costs'!O28:U28)/'Assumptions'!$J$50,0)+IF(C13=(13-'Assumptions'!$J$50)-1,'Revenue and costs'!V28+'Revenue and costs'!AE28,0)+IF(AND(C13&gt;=(13-'Assumptions'!$J$51),C13&lt;=12),SUM('Revenue and costs'!O29:U29)/'Assumptions'!$J$51,0)+IF(C13=(13-'Assumptions'!$J$51)-1,'Revenue and costs'!V29+'Revenue and costs'!AE29,0)+IF(AND(C13&gt;=(13-'Assumptions'!$J$52),C13&lt;=12),SUM('Revenue and costs'!O30:U30)/'Assumptions'!$J$52,0)+IF(C13=(13-'Assumptions'!$J$52)-1,'Revenue and costs'!V30+'Revenue and costs'!AE30,0)+IF(AND(C13&gt;=(13-'Assumptions'!$J$53),C13&lt;=12),SUM('Revenue and costs'!O31:U31)/'Assumptions'!$J$53,0)+IF(C13=(13-'Assumptions'!$J$53)-1,'Revenue and costs'!V31+'Revenue and costs'!AE31,0)+IF(AND(C13&gt;=(13-'Assumptions'!$J$54),C13&lt;=12),SUM('Revenue and costs'!O32:U32)/'Assumptions'!$J$54,0)+IF(C13=(13-'Assumptions'!$J$54)-1,'Revenue and costs'!V32+'Revenue and costs'!AE32,0)+IF(AND(C13&gt;=(13-'Assumptions'!$J$55),C13&lt;=12),SUM('Revenue and costs'!O33:U33)/'Assumptions'!$J$55,0)+IF(C13=(13-'Assumptions'!$J$55)-1,'Revenue and costs'!V33+'Revenue and costs'!AE33,0)+IF(AND(C13&gt;=(13-'Assumptions'!$J$56),C13&lt;=12),SUM('Revenue and costs'!O34:U34)/'Assumptions'!$J$56,0)+IF(C13=(13-'Assumptions'!$J$56)-1,'Revenue and costs'!V34+'Revenue and costs'!AE34,0)+IF(AND(C13&gt;=(13-'Assumptions'!$J$57),C13&lt;=12),SUM('Revenue and costs'!O35:U35)/'Assumptions'!$J$57,0)+IF(C13=(13-'Assumptions'!$J$57)-1,'Revenue and costs'!V35+'Revenue and costs'!AE35,0)+IF(AND(C13&gt;=(13-'Assumptions'!$J$58),C13&lt;=12),SUM('Revenue and costs'!O36:U36)/'Assumptions'!$J$58,0)+IF(C13=(13-'Assumptions'!$J$58)-1,'Revenue and costs'!V36+'Revenue and costs'!AE36,0)+IF(AND(C13&gt;=(13-'Assumptions'!$J$59),C13&lt;=12),SUM('Revenue and costs'!O37:U37)/'Assumptions'!$J$59,0)+IF(C13=(13-'Assumptions'!$J$59)-1,'Revenue and costs'!V37+'Revenue and costs'!AE37,0)+IF(AND(C13&gt;=(13-'Assumptions'!$J$60),C13&lt;=12),SUM('Revenue and costs'!O38:U38)/'Assumptions'!$J$60,0)+IF(C13=(13-'Assumptions'!$J$60)-1,'Revenue and costs'!V38+'Revenue and costs'!AE38,0)+IF(AND(C13&gt;=(13-'Assumptions'!$J$61),C13&lt;=12),SUM('Revenue and costs'!O39:U39)/'Assumptions'!$J$61,0)+IF(C13=(13-'Assumptions'!$J$61)-1,'Revenue and costs'!V39+'Revenue and costs'!AE39,0)+IF(AND(C13&gt;=(13-'Assumptions'!$J$62),C13&lt;=12),SUM('Revenue and costs'!O40:U40)/'Assumptions'!$J$62,0)+IF(C13=(13-'Assumptions'!$J$62)-1,'Revenue and costs'!V40+'Revenue and costs'!AE40,0)+IF(AND(C13&gt;=(13-'Assumptions'!$J$63),C13&lt;=12),SUM('Revenue and costs'!O41:U41)/'Assumptions'!$J$63,0)+IF(C13=(13-'Assumptions'!$J$63)-1,'Revenue and costs'!V41+'Revenue and costs'!AE41,0)+IF(AND(C13&gt;=(13-'Assumptions'!$J$64),C13&lt;=12),SUM('Revenue and costs'!O42:U42)/'Assumptions'!$J$64,0)+IF(C13=(13-'Assumptions'!$J$64)-1,'Revenue and costs'!V42+'Revenue and costs'!AE42,0)+IF(AND(C13&gt;=(13-'Assumptions'!$J$65),C13&lt;=12),SUM('Revenue and costs'!O43:U43)/'Assumptions'!$J$65,0)+IF(C13=(13-'Assumptions'!$J$65)-1,'Revenue and costs'!V43+'Revenue and costs'!AE43,0)+IF(AND(C13&gt;=(13-'Assumptions'!$J$66),C13&lt;=12),SUM('Revenue and costs'!O44:U44)/'Assumptions'!$J$66,0)+IF(C13=(13-'Assumptions'!$J$66)-1,'Revenue and costs'!V44+'Revenue and costs'!AE44,0)+IF(AND(C13&gt;=(13-'Assumptions'!$J$67),C13&lt;=12),SUM('Revenue and costs'!O45:U45)/'Assumptions'!$J$67,0)+IF(C13=(13-'Assumptions'!$J$67)-1,'Revenue and costs'!V45+'Revenue and costs'!AE45,0)+IF(AND(C13&gt;=(13-'Assumptions'!$J$68),C13&lt;=12),SUM('Revenue and costs'!O46:U46)/'Assumptions'!$J$68,0)+IF(C13=(13-'Assumptions'!$J$68)-1,'Revenue and costs'!V46+'Revenue and costs'!AE46,0)+IF(AND(C13&gt;=(13-'Assumptions'!$J$69),C13&lt;=12),SUM('Revenue and costs'!O47:U47)/'Assumptions'!$J$69,0)+IF(C13=(13-'Assumptions'!$J$69)-1,'Revenue and costs'!V47+'Revenue and costs'!AE47,0)+IF(AND(C13&gt;=(13-'Assumptions'!$J$70),C13&lt;=12),SUM('Revenue and costs'!O48:U48)/'Assumptions'!$J$70,0)+IF(C13=(13-'Assumptions'!$J$70)-1,'Revenue and costs'!V48+'Revenue and costs'!AE48,0)+IF(AND(C13&gt;=(13-'Assumptions'!$J$71),C13&lt;=12),SUM('Revenue and costs'!O49:U49)/'Assumptions'!$J$71,0)+IF(C13=(13-'Assumptions'!$J$71)-1,'Revenue and costs'!V49+'Revenue and costs'!AE49,0)+IF(AND(C13&gt;=(13-'Assumptions'!$J$72),C13&lt;=12),SUM('Revenue and costs'!O50:U50)/'Assumptions'!$J$72,0)+IF(C13=(13-'Assumptions'!$J$72)-1,'Revenue and costs'!V50+'Revenue and costs'!AE50,0)+IF(AND(C13&gt;=(13-'Assumptions'!$J$73),C13&lt;=12),SUM('Revenue and costs'!O51:U51)/'Assumptions'!$J$73,0)+IF(C13=(13-'Assumptions'!$J$73)-1,'Revenue and costs'!V51+'Revenue and costs'!AE51,0)+IF(AND(C13&gt;=(13-'Assumptions'!$J$74),C13&lt;=12),SUM('Revenue and costs'!O52:U52)/'Assumptions'!$J$74,0)+IF(C13=(13-'Assumptions'!$J$74)-1,'Revenue and costs'!V52+'Revenue and costs'!AE52,0)+IF(AND(C13&gt;=(13-'Assumptions'!$J$75),C13&lt;=12),SUM('Revenue and costs'!O53:U53)/'Assumptions'!$J$75,0)+IF(C13=(13-'Assumptions'!$J$75)-1,'Revenue and costs'!V53+'Revenue and costs'!AE53,0)+IF(AND(C13&gt;=(13-'Assumptions'!$J$76),C13&lt;=12),SUM('Revenue and costs'!O54:U54)/'Assumptions'!$J$76,0)+IF(C13=(13-'Assumptions'!$J$76)-1,'Revenue and costs'!V54+'Revenue and costs'!AE54,0)+IF(AND(C13&gt;=(13-'Assumptions'!$J$77),C13&lt;=12),SUM('Revenue and costs'!O55:U55)/'Assumptions'!$J$77,0)+IF(C13=(13-'Assumptions'!$J$77)-1,'Revenue and costs'!V55+'Revenue and costs'!AE55,0)+IF(AND(C13&gt;=(13-'Assumptions'!$J$78),C13&lt;=12),SUM('Revenue and costs'!O56:U56)/'Assumptions'!$J$78,0)+IF(C13=(13-'Assumptions'!$J$78)-1,'Revenue and costs'!V56+'Revenue and costs'!AE56,0)+IF(AND(C13&gt;=(13-'Assumptions'!$J$79),C13&lt;=12),SUM('Revenue and costs'!O57:U57)/'Assumptions'!$J$79,0)+IF(C13=(13-'Assumptions'!$J$79)-1,'Revenue and costs'!V57+'Revenue and costs'!AE57,0)+IF(AND(C13&gt;=(13-'Assumptions'!$J$80),C13&lt;=12),SUM('Revenue and costs'!O58:U58)/'Assumptions'!$J$80,0)+IF(C13=(13-'Assumptions'!$J$80)-1,'Revenue and costs'!V58+'Revenue and costs'!AE58,0)+IF(AND(C13&gt;=(13-'Assumptions'!$J$81),C13&lt;=12),SUM('Revenue and costs'!O59:U59)/'Assumptions'!$J$81,0)+IF(C13=(13-'Assumptions'!$J$81)-1,'Revenue and costs'!V59+'Revenue and costs'!AE59,0)+IF(AND(C13&gt;=(13-'Assumptions'!$J$82),C13&lt;=12),SUM('Revenue and costs'!O60:U60)/'Assumptions'!$J$82,0)+IF(C13=(13-'Assumptions'!$J$82)-1,'Revenue and costs'!V60+'Revenue and costs'!AE60,0)+IF(AND(C13&gt;=(13-'Assumptions'!$J$83),C13&lt;=12),SUM('Revenue and costs'!O61:U61)/'Assumptions'!$J$83,0)+IF(C13=(13-'Assumptions'!$J$83)-1,'Revenue and costs'!V61+'Revenue and costs'!AE61,0)+IF(AND(C13&gt;=(13-'Assumptions'!$J$84),C13&lt;=12),SUM('Revenue and costs'!O62:U62)/'Assumptions'!$J$84,0)+IF(C13=(13-'Assumptions'!$J$84)-1,'Revenue and costs'!V62+'Revenue and costs'!AE62,0)+IF(AND(C13&gt;=(13-'Assumptions'!$J$85),C13&lt;=12),SUM('Revenue and costs'!O63:U63)/'Assumptions'!$J$85,0)+IF(C13=(13-'Assumptions'!$J$85)-1,'Revenue and costs'!V63+'Revenue and costs'!AE63,0)+IF(AND(C13&gt;=(13-'Assumptions'!$J$86),C13&lt;=12),SUM('Revenue and costs'!O64:U64)/'Assumptions'!$J$86,0)+IF(C13=(13-'Assumptions'!$J$86)-1,'Revenue and costs'!V64+'Revenue and costs'!AE64,0)+IF(AND(C13&gt;=(13-'Assumptions'!$J$87),C13&lt;=12),SUM('Revenue and costs'!O65:U65)/'Assumptions'!$J$87,0)+IF(C13=(13-'Assumptions'!$J$87)-1,'Revenue and costs'!V65+'Revenue and costs'!AE65,0)+IF(AND(C13&gt;=(13-'Assumptions'!$J$88),C13&lt;=12),SUM('Revenue and costs'!O66:U66)/'Assumptions'!$J$88,0)+IF(C13=(13-'Assumptions'!$J$88)-1,'Revenue and costs'!V66+'Revenue and costs'!AE66,0)+IF(AND(C13&gt;=(13-'Assumptions'!$J$89),C13&lt;=12),SUM('Revenue and costs'!O67:U67)/'Assumptions'!$J$89,0)+IF(C13=(13-'Assumptions'!$J$89)-1,'Revenue and costs'!V67+'Revenue and costs'!AE67,0)+IF(AND(C13&gt;=(13-'Assumptions'!$J$90),C13&lt;=12),SUM('Revenue and costs'!O68:U68)/'Assumptions'!$J$90,0)+IF(C13=(13-'Assumptions'!$J$90)-1,'Revenue and costs'!V68+'Revenue and costs'!AE68,0)+IF(AND(C13&gt;=(13-'Assumptions'!$J$91),C13&lt;=12),SUM('Revenue and costs'!O69:U69)/'Assumptions'!$J$91,0)+IF(C13=(13-'Assumptions'!$J$91)-1,'Revenue and costs'!V69+'Revenue and costs'!AE69,0)+IF(AND(C13&gt;=(13-'Assumptions'!$J$92),C13&lt;=12),SUM('Revenue and costs'!O70:U70)/'Assumptions'!$J$92,0)+IF(C13=(13-'Assumptions'!$J$92)-1,'Revenue and costs'!V70+'Revenue and costs'!AE70,0)+IF(AND(C13&gt;=(13-'Assumptions'!$J$93),C13&lt;=12),SUM('Revenue and costs'!O71:U71)/'Assumptions'!$J$93,0)+IF(C13=(13-'Assumptions'!$J$93)-1,'Revenue and costs'!V71+'Revenue and costs'!AE71,0)+IF(AND(C13&gt;=(13-'Assumptions'!$J$94),C13&lt;=12),SUM('Revenue and costs'!O72:U72)/'Assumptions'!$J$94,0)+IF(C13=(13-'Assumptions'!$J$94)-1,'Revenue and costs'!V72+'Revenue and costs'!AE72,0)+IF(AND(C13&gt;=(13-'Assumptions'!$J$95),C13&lt;=12),SUM('Revenue and costs'!O73:U73)/'Assumptions'!$J$95,0)+IF(C13=(13-'Assumptions'!$J$95)-1,'Revenue and costs'!V73+'Revenue and costs'!AE73,0)+IF(AND(C13&gt;=(13-'Assumptions'!$J$96),C13&lt;=12),SUM('Revenue and costs'!O74:U74)/'Assumptions'!$J$96,0)+IF(C13=(13-'Assumptions'!$J$96)-1,'Revenue and costs'!V74+'Revenue and costs'!AE74,0)+IF(AND(C13&gt;=(13-'Assumptions'!$J$97),C13&lt;=12),SUM('Revenue and costs'!O75:U75)/'Assumptions'!$J$97,0)+IF(C13=(13-'Assumptions'!$J$97)-1,'Revenue and costs'!V75+'Revenue and costs'!AE75,0)+IF(AND(C13&gt;=(13-'Assumptions'!$J$98),C13&lt;=12),SUM('Revenue and costs'!O76:U76)/'Assumptions'!$J$98,0)+IF(C13=(13-'Assumptions'!$J$98)-1,'Revenue and costs'!V76+'Revenue and costs'!AE76,0)+IF(AND(C13&gt;=(13-'Assumptions'!$J$99),C13&lt;=12),SUM('Revenue and costs'!O77:U77)/'Assumptions'!$J$99,0)+IF(C13=(13-'Assumptions'!$J$99)-1,'Revenue and costs'!V77+'Revenue and costs'!AE77,0)+IF(AND(C13&gt;=(13-'Assumptions'!$J$100),C13&lt;=12),SUM('Revenue and costs'!O78:U78)/'Assumptions'!$J$100,0)+IF(C13=(13-'Assumptions'!$J$100)-1,'Revenue and costs'!V78+'Revenue and costs'!AE78,0)+IF(AND(C13&gt;=(13-'Assumptions'!$J$101),C13&lt;=12),SUM('Revenue and costs'!O79:U79)/'Assumptions'!$J$101,0)+IF(C13=(13-'Assumptions'!$J$101)-1,'Revenue and costs'!V79+'Revenue and costs'!AE79,0)+IF(AND(C13&gt;=(13-'Assumptions'!$J$102),C13&lt;=12),SUM('Revenue and costs'!O80:U80)/'Assumptions'!$J$102,0)+IF(C13=(13-'Assumptions'!$J$102)-1,'Revenue and costs'!V80+'Revenue and costs'!AE80,0)+IF(AND(C13&gt;=(13-'Assumptions'!$J$103),C13&lt;=12),SUM('Revenue and costs'!O81:U81)/'Assumptions'!$J$103,0)+IF(C13=(13-'Assumptions'!$J$103)-1,'Revenue and costs'!V81+'Revenue and costs'!AE81,0)+IF(AND(C13&gt;=(13-'Assumptions'!$J$104),C13&lt;=12),SUM('Revenue and costs'!O82:U82)/'Assumptions'!$J$104,0)+IF(C13=(13-'Assumptions'!$J$104)-1,'Revenue and costs'!V82+'Revenue and costs'!AE82,0)+IF(AND(C13&gt;=(13-'Assumptions'!$J$105),C13&lt;=12),SUM('Revenue and costs'!O83:U83)/'Assumptions'!$J$105,0)+IF(C13=(13-'Assumptions'!$J$105)-1,'Revenue and costs'!V83+'Revenue and costs'!AE83,0)+IF(AND(C13&gt;=(13-'Assumptions'!$J$106),C13&lt;=12),SUM('Revenue and costs'!O84:U84)/'Assumptions'!$J$106,0)+IF(C13=(13-'Assumptions'!$J$106)-1,'Revenue and costs'!V84+'Revenue and costs'!AE84,0)+IF(AND(C13&gt;=(13-'Assumptions'!$J$107),C13&lt;=12),SUM('Revenue and costs'!O85:U85)/'Assumptions'!$J$107,0)+IF(C13=(13-'Assumptions'!$J$107)-1,'Revenue and costs'!V85+'Revenue and costs'!AE85,0)+IF(AND(C13&gt;=(13-'Assumptions'!$J$108),C13&lt;=12),SUM('Revenue and costs'!O86:U86)/'Assumptions'!$J$108,0)+IF(C13=(13-'Assumptions'!$J$108)-1,'Revenue and costs'!V86+'Revenue and costs'!AE86,0)+IF(AND(C13&gt;=(13-'Assumptions'!$J$109),C13&lt;=12),SUM('Revenue and costs'!O87:U87)/'Assumptions'!$J$109,0)+IF(C13=(13-'Assumptions'!$J$109)-1,'Revenue and costs'!V87+'Revenue and costs'!AE87,0)+IF(AND(C13&gt;=(13-'Assumptions'!$J$110),C13&lt;=12),SUM('Revenue and costs'!O88:U88)/'Assumptions'!$J$110,0)+IF(C13=(13-'Assumptions'!$J$110)-1,'Revenue and costs'!V88+'Revenue and costs'!AE88,0)+IF(AND(C13&gt;=(13-'Assumptions'!$J$111),C13&lt;=12),SUM('Revenue and costs'!O89:U89)/'Assumptions'!$J$111,0)+IF(C13=(13-'Assumptions'!$J$111)-1,'Revenue and costs'!V89+'Revenue and costs'!AE89,0)+IF(AND(C13&gt;=(13-'Assumptions'!$J$112),C13&lt;=12),SUM('Revenue and costs'!O90:U90)/'Assumptions'!$J$112,0)+IF(C13=(13-'Assumptions'!$J$112)-1,'Revenue and costs'!V90+'Revenue and costs'!AE90,0)+IF(AND(C13&gt;=(13-'Assumptions'!$J$113),C13&lt;=12),SUM('Revenue and costs'!O91:U91)/'Assumptions'!$J$113,0)+IF(C13=(13-'Assumptions'!$J$113)-1,'Revenue and costs'!V91+'Revenue and costs'!AE91,0)+IF(AND(C13&gt;=(13-'Assumptions'!$J$114),C13&lt;=12),SUM('Revenue and costs'!O92:U92)/'Assumptions'!$J$114,0)+IF(C13=(13-'Assumptions'!$J$114)-1,'Revenue and costs'!V92+'Revenue and costs'!AE92,0)+IF(AND(C13&gt;=(13-'Assumptions'!$J$115),C13&lt;=12),SUM('Revenue and costs'!O93:U93)/'Assumptions'!$J$115,0)+IF(C13=(13-'Assumptions'!$J$115)-1,'Revenue and costs'!V93+'Revenue and costs'!AE93,0)+IF(AND(C13&gt;=(13-'Assumptions'!$J$116),C13&lt;=12),SUM('Revenue and costs'!O94:U94)/'Assumptions'!$J$116,0)+IF(C13=(13-'Assumptions'!$J$116)-1,'Revenue and costs'!V94+'Revenue and costs'!AE94,0)+IF(AND(C13&gt;=(13-'Assumptions'!$J$117),C13&lt;=12),SUM('Revenue and costs'!O95:U95)/'Assumptions'!$J$117,0)+IF(C13=(13-'Assumptions'!$J$117)-1,'Revenue and costs'!V95+'Revenue and costs'!AE95,0)+IF(AND(C13&gt;=(13-'Assumptions'!$J$118),C13&lt;=12),SUM('Revenue and costs'!O96:U96)/'Assumptions'!$J$118,0)+IF(C13=(13-'Assumptions'!$J$118)-1,'Revenue and costs'!V96+'Revenue and costs'!AE96,0)+IF(AND(C13&gt;=(13-'Assumptions'!$J$119),C13&lt;=12),SUM('Revenue and costs'!O97:U97)/'Assumptions'!$J$119,0)+IF(C13=(13-'Assumptions'!$J$119)-1,'Revenue and costs'!V97+'Revenue and costs'!AE97,0)+IF(AND(C13&gt;=(13-'Assumptions'!$J$120),C13&lt;=12),SUM('Revenue and costs'!O98:U98)/'Assumptions'!$J$120,0)+IF(C13=(13-'Assumptions'!$J$120)-1,'Revenue and costs'!V98+'Revenue and costs'!AE98,0)+IF(AND(C13&gt;=(13-'Assumptions'!$J$121),C13&lt;=12),SUM('Revenue and costs'!O99:U99)/'Assumptions'!$J$121,0)+IF(C13=(13-'Assumptions'!$J$121)-1,'Revenue and costs'!V99+'Revenue and costs'!AE99,0)+IF(AND(C13&gt;=(13-'Assumptions'!$J$122),C13&lt;=12),SUM('Revenue and costs'!O100:U100)/'Assumptions'!$J$122,0)+IF(C13=(13-'Assumptions'!$J$122)-1,'Revenue and costs'!V100+'Revenue and costs'!AE100,0)+IF(AND(C13&gt;=(13-'Assumptions'!$J$123),C13&lt;=12),SUM('Revenue and costs'!O101:U101)/'Assumptions'!$J$123,0)+IF(C13=(13-'Assumptions'!$J$123)-1,'Revenue and costs'!V101+'Revenue and costs'!AE101,0)+IF(AND(C13&gt;=(13-'Assumptions'!$J$124),C13&lt;=12),SUM('Revenue and costs'!O102:U102)/'Assumptions'!$J$124,0)+IF(C13=(13-'Assumptions'!$J$124)-1,'Revenue and costs'!V102+'Revenue and costs'!AE102,0)+IF(AND(C13&gt;=(13-'Assumptions'!$J$125),C13&lt;=12),SUM('Revenue and costs'!O103:U103)/'Assumptions'!$J$125,0)+IF(C13=(13-'Assumptions'!$J$125)-1,'Revenue and costs'!V103+'Revenue and costs'!AE103,0)+IF(AND(C13&gt;=(13-'Assumptions'!$J$126),C13&lt;=12),SUM('Revenue and costs'!O104:U104)/'Assumptions'!$J$126,0)+IF(C13=(13-'Assumptions'!$J$126)-1,'Revenue and costs'!V104+'Revenue and costs'!AE104,0)+IF(AND(C13&gt;=(13-'Assumptions'!$J$127),C13&lt;=12),SUM('Revenue and costs'!O105:U105)/'Assumptions'!$J$127,0)+IF(C13=(13-'Assumptions'!$J$127)-1,'Revenue and costs'!V105+'Revenue and costs'!AE105,0)+IF(AND(C13&gt;=(13-'Assumptions'!$J$128),C13&lt;=12),SUM('Revenue and costs'!O106:U106)/'Assumptions'!$J$128,0)+IF(C13=(13-'Assumptions'!$J$128)-1,'Revenue and costs'!V106+'Revenue and costs'!AE106,0)+IF(AND(C13&gt;=(13-'Assumptions'!$J$129),C13&lt;=12),SUM('Revenue and costs'!O107:U107)/'Assumptions'!$J$129,0)+IF(C13=(13-'Assumptions'!$J$129)-1,'Revenue and costs'!V107+'Revenue and costs'!AE107,0)+IF(AND(C13&gt;=(13-'Assumptions'!$J$130),C13&lt;=12),SUM('Revenue and costs'!O108:U108)/'Assumptions'!$J$130,0)+IF(C13=(13-'Assumptions'!$J$130)-1,'Revenue and costs'!V108+'Revenue and costs'!AE108,0)+IF(AND(C13&gt;=(13-'Assumptions'!$J$131),C13&lt;=12),SUM('Revenue and costs'!O109:U109)/'Assumptions'!$J$131,0)+IF(C13=(13-'Assumptions'!$J$131)-1,'Revenue and costs'!V109+'Revenue and costs'!AE109,0)+IF(AND(C13&gt;=(13-'Assumptions'!$J$132),C13&lt;=12),SUM('Revenue and costs'!O110:U110)/'Assumptions'!$J$132,0)+IF(C13=(13-'Assumptions'!$J$132)-1,'Revenue and costs'!V110+'Revenue and costs'!AE110,0)+IF(AND(C13&gt;=(13-'Assumptions'!$J$133),C13&lt;=12),SUM('Revenue and costs'!O111:U111)/'Assumptions'!$J$133,0)+IF(C13=(13-'Assumptions'!$J$133)-1,'Revenue and costs'!V111+'Revenue and costs'!AE111,0)+IF(AND(C13&gt;=(13-'Assumptions'!$J$134),C13&lt;=12),SUM('Revenue and costs'!O112:U112)/'Assumptions'!$J$134,0)+IF(C13=(13-'Assumptions'!$J$134)-1,'Revenue and costs'!V112+'Revenue and costs'!AE112,0)+IF(AND(C13&gt;=(13-'Assumptions'!$J$135),C13&lt;=12),SUM('Revenue and costs'!O113:U113)/'Assumptions'!$J$135,0)+IF(C13=(13-'Assumptions'!$J$135)-1,'Revenue and costs'!V113+'Revenue and costs'!AE113,0)+IF(AND(C13&gt;=(13-'Assumptions'!$J$136),C13&lt;=12),SUM('Revenue and costs'!O114:U114)/'Assumptions'!$J$136,0)+IF(C13=(13-'Assumptions'!$J$136)-1,'Revenue and costs'!V114+'Revenue and costs'!AE114,0)+IF(AND(C13&gt;=(13-'Assumptions'!$J$137),C13&lt;=12),SUM('Revenue and costs'!O115:U115)/'Assumptions'!$J$137,0)+IF(C13=(13-'Assumptions'!$J$137)-1,'Revenue and costs'!V115+'Revenue and costs'!AE115,0)+IF(AND(C13&gt;=(13-'Assumptions'!$J$138),C13&lt;=12),SUM('Revenue and costs'!O116:U116)/'Assumptions'!$J$138,0)+IF(C13=(13-'Assumptions'!$J$138)-1,'Revenue and costs'!V116+'Revenue and costs'!AE116,0)+IF(AND(C13&gt;=(13-'Assumptions'!$J$139),C13&lt;=12),SUM('Revenue and costs'!O117:U117)/'Assumptions'!$J$139,0)+IF(C13=(13-'Assumptions'!$J$139)-1,'Revenue and costs'!V117+'Revenue and costs'!AE117,0)+IF(AND(C13&gt;=(13-'Assumptions'!$J$140),C13&lt;=12),SUM('Revenue and costs'!O118:U118)/'Assumptions'!$J$140,0)+IF(C13=(13-'Assumptions'!$J$140)-1,'Revenue and costs'!V118+'Revenue and costs'!AE118,0)+IF(AND(C13&gt;=(13-'Assumptions'!$J$141),C13&lt;=12),SUM('Revenue and costs'!O119:U119)/'Assumptions'!$J$141,0)+IF(C13=(13-'Assumptions'!$J$141)-1,'Revenue and costs'!V119+'Revenue and costs'!AE119,0)+IF(AND(C13&gt;=(13-'Assumptions'!$J$142),C13&lt;=12),SUM('Revenue and costs'!O120:U120)/'Assumptions'!$J$142,0)+IF(C13=(13-'Assumptions'!$J$142)-1,'Revenue and costs'!V120+'Revenue and costs'!AE120,0)+IF(AND(C13&gt;=(13-'Assumptions'!$J$143),C13&lt;=12),SUM('Revenue and costs'!O121:U121)/'Assumptions'!$J$143,0)+IF(C13=(13-'Assumptions'!$J$143)-1,'Revenue and costs'!V121+'Revenue and costs'!AE121,0)+IF(AND(C13&gt;=(13-'Assumptions'!$J$144),C13&lt;=12),SUM('Revenue and costs'!O122:U122)/'Assumptions'!$J$144,0)+IF(C13=(13-'Assumptions'!$J$144)-1,'Revenue and costs'!V122+'Revenue and costs'!AE122,0)+IF(AND(C13&gt;=(13-'Assumptions'!$J$145),C13&lt;=12),SUM('Revenue and costs'!O123:U123)/'Assumptions'!$J$145,0)+IF(C13=(13-'Assumptions'!$J$145)-1,'Revenue and costs'!V123+'Revenue and costs'!AE123,0)+IF(AND(C13&gt;=(13-'Assumptions'!$J$146),C13&lt;=12),SUM('Revenue and costs'!O124:U124)/'Assumptions'!$J$146,0)+IF(C13=(13-'Assumptions'!$J$146)-1,'Revenue and costs'!V124+'Revenue and costs'!AE124,0)+IF(AND(C13&gt;=(13-'Assumptions'!$J$147),C13&lt;=12),SUM('Revenue and costs'!O125:U125)/'Assumptions'!$J$147,0)+IF(C13=(13-'Assumptions'!$J$147)-1,'Revenue and costs'!V125+'Revenue and costs'!AE125,0)+IF(AND(C13&gt;=(13-'Assumptions'!$J$148),C13&lt;=12),SUM('Revenue and costs'!O126:U126)/'Assumptions'!$J$148,0)+IF(C13=(13-'Assumptions'!$J$148)-1,'Revenue and costs'!V126+'Revenue and costs'!AE126,0)+IF(AND(C13&gt;=(13-'Assumptions'!$J$149),C13&lt;=12),SUM('Revenue and costs'!O127:U127)/'Assumptions'!$J$149,0)+IF(C13=(13-'Assumptions'!$J$149)-1,'Revenue and costs'!V127+'Revenue and costs'!AE127,0)+IF(AND(C13&gt;=(13-'Assumptions'!$J$150),C13&lt;=12),SUM('Revenue and costs'!O128:U128)/'Assumptions'!$J$150,0)+IF(C13=(13-'Assumptions'!$J$150)-1,'Revenue and costs'!V128+'Revenue and costs'!AE128,0)+IF(AND(C13&gt;=(13-'Assumptions'!$J$151),C13&lt;=12),SUM('Revenue and costs'!O129:U129)/'Assumptions'!$J$151,0)+IF(C13=(13-'Assumptions'!$J$151)-1,'Revenue and costs'!V129+'Revenue and costs'!AE129,0)+IF(AND(C13&gt;=(13-'Assumptions'!$J$152),C13&lt;=12),SUM('Revenue and costs'!O130:U130)/'Assumptions'!$J$152,0)+IF(C13=(13-'Assumptions'!$J$152)-1,'Revenue and costs'!V130+'Revenue and costs'!AE130,0)+IF(AND(C13&gt;=(13-'Assumptions'!$J$153),C13&lt;=12),SUM('Revenue and costs'!O131:U131)/'Assumptions'!$J$153,0)+IF(C13=(13-'Assumptions'!$J$153)-1,'Revenue and costs'!V131+'Revenue and costs'!AE131,0)+IF(AND(C13&gt;=(13-'Assumptions'!$J$154),C13&lt;=12),SUM('Revenue and costs'!O132:U132)/'Assumptions'!$J$154,0)+IF(C13=(13-'Assumptions'!$J$154)-1,'Revenue and costs'!V132+'Revenue and costs'!AE132,0)+IF(AND(C13&gt;=(13-'Assumptions'!$J$155),C13&lt;=12),SUM('Revenue and costs'!O133:U133)/'Assumptions'!$J$155,0)+IF(C13=(13-'Assumptions'!$J$155)-1,'Revenue and costs'!V133+'Revenue and costs'!AE133,0)+IF(AND(C13&gt;=(13-'Assumptions'!$J$156),C13&lt;=12),SUM('Revenue and costs'!O134:U134)/'Assumptions'!$J$156,0)+IF(C13=(13-'Assumptions'!$J$156)-1,'Revenue and costs'!V134+'Revenue and costs'!AE134,0)+IF(AND(C13&gt;=(13-'Assumptions'!$J$157),C13&lt;=12),SUM('Revenue and costs'!O135:U135)/'Assumptions'!$J$157,0)+IF(C13=(13-'Assumptions'!$J$157)-1,'Revenue and costs'!V135+'Revenue and costs'!AE135,0)+IF(C13&gt;0,'Shared costs'!H21/12+'Assumptions'!$D$18*'Assumptions'!$D$19*'Assumptions'!$D$21,0)</x:f>
        <x:v>48584.58593333333</x:v>
      </x:c>
      <x:c r="F13" s="10" t="n">
        <x:f>IF(C13=12,'Income statement'!D85,0)</x:f>
        <x:v>0</x:v>
      </x:c>
      <x:c r="G13" s="10" t="n">
        <x:f>IF(C13=(13-'Assumptions'!$J$30)-1,'Revenue and costs'!Y8,0)+IF(C13=(13-'Assumptions'!$J$31)-1,'Revenue and costs'!Y9,0)+IF(C13=(13-'Assumptions'!$J$32)-1,'Revenue and costs'!Y10,0)+IF(C13=(13-'Assumptions'!$J$33)-1,'Revenue and costs'!Y11,0)+IF(C13=(13-'Assumptions'!$J$34)-1,'Revenue and costs'!Y12,0)+IF(C13=(13-'Assumptions'!$J$35)-1,'Revenue and costs'!Y13,0)+IF(C13=(13-'Assumptions'!$J$36)-1,'Revenue and costs'!Y14,0)+IF(C13=(13-'Assumptions'!$J$37)-1,'Revenue and costs'!Y15,0)+IF(C13=(13-'Assumptions'!$J$38)-1,'Revenue and costs'!Y16,0)+IF(C13=(13-'Assumptions'!$J$39)-1,'Revenue and costs'!Y17,0)+IF(C13=(13-'Assumptions'!$J$40)-1,'Revenue and costs'!Y18,0)+IF(C13=(13-'Assumptions'!$J$41)-1,'Revenue and costs'!Y19,0)+IF(C13=(13-'Assumptions'!$J$42)-1,'Revenue and costs'!Y20,0)+IF(C13=(13-'Assumptions'!$J$43)-1,'Revenue and costs'!Y21,0)+IF(C13=(13-'Assumptions'!$J$44)-1,'Revenue and costs'!Y22,0)+IF(C13=(13-'Assumptions'!$J$45)-1,'Revenue and costs'!Y23,0)+IF(C13=(13-'Assumptions'!$J$46)-1,'Revenue and costs'!Y24,0)+IF(C13=(13-'Assumptions'!$J$47)-1,'Revenue and costs'!Y25,0)+IF(C13=(13-'Assumptions'!$J$48)-1,'Revenue and costs'!Y26,0)+IF(C13=(13-'Assumptions'!$J$49)-1,'Revenue and costs'!Y27,0)+IF(C13=(13-'Assumptions'!$J$50)-1,'Revenue and costs'!Y28,0)+IF(C13=(13-'Assumptions'!$J$51)-1,'Revenue and costs'!Y29,0)+IF(C13=(13-'Assumptions'!$J$52)-1,'Revenue and costs'!Y30,0)+IF(C13=(13-'Assumptions'!$J$53)-1,'Revenue and costs'!Y31,0)+IF(C13=(13-'Assumptions'!$J$54)-1,'Revenue and costs'!Y32,0)+IF(C13=(13-'Assumptions'!$J$55)-1,'Revenue and costs'!Y33,0)+IF(C13=(13-'Assumptions'!$J$56)-1,'Revenue and costs'!Y34,0)+IF(C13=(13-'Assumptions'!$J$57)-1,'Revenue and costs'!Y35,0)+IF(C13=(13-'Assumptions'!$J$58)-1,'Revenue and costs'!Y36,0)+IF(C13=(13-'Assumptions'!$J$59)-1,'Revenue and costs'!Y37,0)+IF(C13=(13-'Assumptions'!$J$60)-1,'Revenue and costs'!Y38,0)+IF(C13=(13-'Assumptions'!$J$61)-1,'Revenue and costs'!Y39,0)+IF(C13=(13-'Assumptions'!$J$62)-1,'Revenue and costs'!Y40,0)+IF(C13=(13-'Assumptions'!$J$63)-1,'Revenue and costs'!Y41,0)+IF(C13=(13-'Assumptions'!$J$64)-1,'Revenue and costs'!Y42,0)+IF(C13=(13-'Assumptions'!$J$65)-1,'Revenue and costs'!Y43,0)+IF(C13=(13-'Assumptions'!$J$66)-1,'Revenue and costs'!Y44,0)+IF(C13=(13-'Assumptions'!$J$67)-1,'Revenue and costs'!Y45,0)+IF(C13=(13-'Assumptions'!$J$68)-1,'Revenue and costs'!Y46,0)+IF(C13=(13-'Assumptions'!$J$69)-1,'Revenue and costs'!Y47,0)+IF(C13=(13-'Assumptions'!$J$70)-1,'Revenue and costs'!Y48,0)+IF(C13=(13-'Assumptions'!$J$71)-1,'Revenue and costs'!Y49,0)+IF(C13=(13-'Assumptions'!$J$72)-1,'Revenue and costs'!Y50,0)+IF(C13=(13-'Assumptions'!$J$73)-1,'Revenue and costs'!Y51,0)+IF(C13=(13-'Assumptions'!$J$74)-1,'Revenue and costs'!Y52,0)+IF(C13=(13-'Assumptions'!$J$75)-1,'Revenue and costs'!Y53,0)+IF(C13=(13-'Assumptions'!$J$76)-1,'Revenue and costs'!Y54,0)+IF(C13=(13-'Assumptions'!$J$77)-1,'Revenue and costs'!Y55,0)+IF(C13=(13-'Assumptions'!$J$78)-1,'Revenue and costs'!Y56,0)+IF(C13=(13-'Assumptions'!$J$79)-1,'Revenue and costs'!Y57,0)+IF(C13=(13-'Assumptions'!$J$80)-1,'Revenue and costs'!Y58,0)+IF(C13=(13-'Assumptions'!$J$81)-1,'Revenue and costs'!Y59,0)+IF(C13=(13-'Assumptions'!$J$82)-1,'Revenue and costs'!Y60,0)+IF(C13=(13-'Assumptions'!$J$83)-1,'Revenue and costs'!Y61,0)+IF(C13=(13-'Assumptions'!$J$84)-1,'Revenue and costs'!Y62,0)+IF(C13=(13-'Assumptions'!$J$85)-1,'Revenue and costs'!Y63,0)+IF(C13=(13-'Assumptions'!$J$86)-1,'Revenue and costs'!Y64,0)+IF(C13=(13-'Assumptions'!$J$87)-1,'Revenue and costs'!Y65,0)+IF(C13=(13-'Assumptions'!$J$88)-1,'Revenue and costs'!Y66,0)+IF(C13=(13-'Assumptions'!$J$89)-1,'Revenue and costs'!Y67,0)+IF(C13=(13-'Assumptions'!$J$90)-1,'Revenue and costs'!Y68,0)+IF(C13=(13-'Assumptions'!$J$91)-1,'Revenue and costs'!Y69,0)+IF(C13=(13-'Assumptions'!$J$92)-1,'Revenue and costs'!Y70,0)+IF(C13=(13-'Assumptions'!$J$93)-1,'Revenue and costs'!Y71,0)+IF(C13=(13-'Assumptions'!$J$94)-1,'Revenue and costs'!Y72,0)+IF(C13=(13-'Assumptions'!$J$95)-1,'Revenue and costs'!Y73,0)+IF(C13=(13-'Assumptions'!$J$96)-1,'Revenue and costs'!Y74,0)+IF(C13=(13-'Assumptions'!$J$97)-1,'Revenue and costs'!Y75,0)+IF(C13=(13-'Assumptions'!$J$98)-1,'Revenue and costs'!Y76,0)+IF(C13=(13-'Assumptions'!$J$99)-1,'Revenue and costs'!Y77,0)+IF(C13=(13-'Assumptions'!$J$100)-1,'Revenue and costs'!Y78,0)+IF(C13=(13-'Assumptions'!$J$101)-1,'Revenue and costs'!Y79,0)+IF(C13=(13-'Assumptions'!$J$102)-1,'Revenue and costs'!Y80,0)+IF(C13=(13-'Assumptions'!$J$103)-1,'Revenue and costs'!Y81,0)+IF(C13=(13-'Assumptions'!$J$104)-1,'Revenue and costs'!Y82,0)+IF(C13=(13-'Assumptions'!$J$105)-1,'Revenue and costs'!Y83,0)+IF(C13=(13-'Assumptions'!$J$106)-1,'Revenue and costs'!Y84,0)+IF(C13=(13-'Assumptions'!$J$107)-1,'Revenue and costs'!Y85,0)+IF(C13=(13-'Assumptions'!$J$108)-1,'Revenue and costs'!Y86,0)+IF(C13=(13-'Assumptions'!$J$109)-1,'Revenue and costs'!Y87,0)+IF(C13=(13-'Assumptions'!$J$110)-1,'Revenue and costs'!Y88,0)+IF(C13=(13-'Assumptions'!$J$111)-1,'Revenue and costs'!Y89,0)+IF(C13=(13-'Assumptions'!$J$112)-1,'Revenue and costs'!Y90,0)+IF(C13=(13-'Assumptions'!$J$113)-1,'Revenue and costs'!Y91,0)+IF(C13=(13-'Assumptions'!$J$114)-1,'Revenue and costs'!Y92,0)+IF(C13=(13-'Assumptions'!$J$115)-1,'Revenue and costs'!Y93,0)+IF(C13=(13-'Assumptions'!$J$116)-1,'Revenue and costs'!Y94,0)+IF(C13=(13-'Assumptions'!$J$117)-1,'Revenue and costs'!Y95,0)+IF(C13=(13-'Assumptions'!$J$118)-1,'Revenue and costs'!Y96,0)+IF(C13=(13-'Assumptions'!$J$119)-1,'Revenue and costs'!Y97,0)+IF(C13=(13-'Assumptions'!$J$120)-1,'Revenue and costs'!Y98,0)+IF(C13=(13-'Assumptions'!$J$121)-1,'Revenue and costs'!Y99,0)+IF(C13=(13-'Assumptions'!$J$122)-1,'Revenue and costs'!Y100,0)+IF(C13=(13-'Assumptions'!$J$123)-1,'Revenue and costs'!Y101,0)+IF(C13=(13-'Assumptions'!$J$124)-1,'Revenue and costs'!Y102,0)+IF(C13=(13-'Assumptions'!$J$125)-1,'Revenue and costs'!Y103,0)+IF(C13=(13-'Assumptions'!$J$126)-1,'Revenue and costs'!Y104,0)+IF(C13=(13-'Assumptions'!$J$127)-1,'Revenue and costs'!Y105,0)+IF(C13=(13-'Assumptions'!$J$128)-1,'Revenue and costs'!Y106,0)+IF(C13=(13-'Assumptions'!$J$129)-1,'Revenue and costs'!Y107,0)+IF(C13=(13-'Assumptions'!$J$130)-1,'Revenue and costs'!Y108,0)+IF(C13=(13-'Assumptions'!$J$131)-1,'Revenue and costs'!Y109,0)+IF(C13=(13-'Assumptions'!$J$132)-1,'Revenue and costs'!Y110,0)+IF(C13=(13-'Assumptions'!$J$133)-1,'Revenue and costs'!Y111,0)+IF(C13=(13-'Assumptions'!$J$134)-1,'Revenue and costs'!Y112,0)+IF(C13=(13-'Assumptions'!$J$135)-1,'Revenue and costs'!Y113,0)+IF(C13=(13-'Assumptions'!$J$136)-1,'Revenue and costs'!Y114,0)+IF(C13=(13-'Assumptions'!$J$137)-1,'Revenue and costs'!Y115,0)+IF(C13=(13-'Assumptions'!$J$138)-1,'Revenue and costs'!Y116,0)+IF(C13=(13-'Assumptions'!$J$139)-1,'Revenue and costs'!Y117,0)+IF(C13=(13-'Assumptions'!$J$140)-1,'Revenue and costs'!Y118,0)+IF(C13=(13-'Assumptions'!$J$141)-1,'Revenue and costs'!Y119,0)+IF(C13=(13-'Assumptions'!$J$142)-1,'Revenue and costs'!Y120,0)+IF(C13=(13-'Assumptions'!$J$143)-1,'Revenue and costs'!Y121,0)+IF(C13=(13-'Assumptions'!$J$144)-1,'Revenue and costs'!Y122,0)+IF(C13=(13-'Assumptions'!$J$145)-1,'Revenue and costs'!Y123,0)+IF(C13=(13-'Assumptions'!$J$146)-1,'Revenue and costs'!Y124,0)+IF(C13=(13-'Assumptions'!$J$147)-1,'Revenue and costs'!Y125,0)+IF(C13=(13-'Assumptions'!$J$148)-1,'Revenue and costs'!Y126,0)+IF(C13=(13-'Assumptions'!$J$149)-1,'Revenue and costs'!Y127,0)+IF(C13=(13-'Assumptions'!$J$150)-1,'Revenue and costs'!Y128,0)+IF(C13=(13-'Assumptions'!$J$151)-1,'Revenue and costs'!Y129,0)+IF(C13=(13-'Assumptions'!$J$152)-1,'Revenue and costs'!Y130,0)+IF(C13=(13-'Assumptions'!$J$153)-1,'Revenue and costs'!Y131,0)+IF(C13=(13-'Assumptions'!$J$154)-1,'Revenue and costs'!Y132,0)+IF(C13=(13-'Assumptions'!$J$155)-1,'Revenue and costs'!Y133,0)+IF(C13=(13-'Assumptions'!$J$156)-1,'Revenue and costs'!Y134,0)+IF(C13=(13-'Assumptions'!$J$157)-1,'Revenue and costs'!Y135,0)</x:f>
        <x:v>0</x:v>
      </x:c>
      <x:c r="H13" s="10" t="n">
        <x:f>IF(C13=0,'Cash and capital'!D13,0)</x:f>
        <x:v>0</x:v>
      </x:c>
      <x:c r="I13" s="10" t="n">
        <x:f>D13-E13-F13-G13-H13</x:f>
        <x:v>28502.047400000018</x:v>
      </x:c>
      <x:c r="J13" s="10" t="n">
        <x:f>J12+I13</x:f>
        <x:v>3285.1748000000225</x:v>
      </x:c>
      <x:c r="K13" s="10" t="n">
        <x:f>MAX(0,-MIN($J$8:J13))</x:f>
        <x:v>25216.872599999995</x:v>
      </x:c>
      <x:c r="L13" s="10"/>
      <x:c r="M13" s="10"/>
      <x:c r="N13" s="10"/>
      <x:c r="O13" s="10"/>
      <x:c r="P13" s="10"/>
      <x:c r="Q13" s="10"/>
    </x:row>
    <x:row r="14" ht="16" customHeight="1">
      <x:c r="A14" s="1"/>
      <x:c r="B14" s="1"/>
      <x:c r="C14" s="1" t="n">
        <x:v>6</x:v>
      </x:c>
      <x:c r="D14" s="10" t="n">
        <x:f>IF(AND(C14&gt;=(13-'Assumptions'!$J$30)+'Assumptions'!$AF$30,C14&lt;=12),'Revenue and costs'!N8/'Assumptions'!$J$30,0)+IF(AND(C14&gt;=(13-'Assumptions'!$J$31)+'Assumptions'!$AF$31,C14&lt;=12),'Revenue and costs'!N9/'Assumptions'!$J$31,0)+IF(AND(C14&gt;=(13-'Assumptions'!$J$32)+'Assumptions'!$AF$32,C14&lt;=12),'Revenue and costs'!N10/'Assumptions'!$J$32,0)+IF(AND(C14&gt;=(13-'Assumptions'!$J$33)+'Assumptions'!$AF$33,C14&lt;=12),'Revenue and costs'!N11/'Assumptions'!$J$33,0)+IF(AND(C14&gt;=(13-'Assumptions'!$J$34)+'Assumptions'!$AF$34,C14&lt;=12),'Revenue and costs'!N12/'Assumptions'!$J$34,0)+IF(AND(C14&gt;=(13-'Assumptions'!$J$35)+'Assumptions'!$AF$35,C14&lt;=12),'Revenue and costs'!N13/'Assumptions'!$J$35,0)+IF(AND(C14&gt;=(13-'Assumptions'!$J$36)+'Assumptions'!$AF$36,C14&lt;=12),'Revenue and costs'!N14/'Assumptions'!$J$36,0)+IF(AND(C14&gt;=(13-'Assumptions'!$J$37)+'Assumptions'!$AF$37,C14&lt;=12),'Revenue and costs'!N15/'Assumptions'!$J$37,0)+IF(AND(C14&gt;=(13-'Assumptions'!$J$38)+'Assumptions'!$AF$38,C14&lt;=12),'Revenue and costs'!N16/'Assumptions'!$J$38,0)+IF(AND(C14&gt;=(13-'Assumptions'!$J$39)+'Assumptions'!$AF$39,C14&lt;=12),'Revenue and costs'!N17/'Assumptions'!$J$39,0)+IF(AND(C14&gt;=(13-'Assumptions'!$J$40)+'Assumptions'!$AF$40,C14&lt;=12),'Revenue and costs'!N18/'Assumptions'!$J$40,0)+IF(AND(C14&gt;=(13-'Assumptions'!$J$41)+'Assumptions'!$AF$41,C14&lt;=12),'Revenue and costs'!N19/'Assumptions'!$J$41,0)+IF(AND(C14&gt;=(13-'Assumptions'!$J$42)+'Assumptions'!$AF$42,C14&lt;=12),'Revenue and costs'!N20/'Assumptions'!$J$42,0)+IF(AND(C14&gt;=(13-'Assumptions'!$J$43)+'Assumptions'!$AF$43,C14&lt;=12),'Revenue and costs'!N21/'Assumptions'!$J$43,0)+IF(AND(C14&gt;=(13-'Assumptions'!$J$44)+'Assumptions'!$AF$44,C14&lt;=12),'Revenue and costs'!N22/'Assumptions'!$J$44,0)+IF(AND(C14&gt;=(13-'Assumptions'!$J$45)+'Assumptions'!$AF$45,C14&lt;=12),'Revenue and costs'!N23/'Assumptions'!$J$45,0)+IF(AND(C14&gt;=(13-'Assumptions'!$J$46)+'Assumptions'!$AF$46,C14&lt;=12),'Revenue and costs'!N24/'Assumptions'!$J$46,0)+IF(AND(C14&gt;=(13-'Assumptions'!$J$47)+'Assumptions'!$AF$47,C14&lt;=12),'Revenue and costs'!N25/'Assumptions'!$J$47,0)+IF(AND(C14&gt;=(13-'Assumptions'!$J$48)+'Assumptions'!$AF$48,C14&lt;=12),'Revenue and costs'!N26/'Assumptions'!$J$48,0)+IF(AND(C14&gt;=(13-'Assumptions'!$J$49)+'Assumptions'!$AF$49,C14&lt;=12),'Revenue and costs'!N27/'Assumptions'!$J$49,0)+IF(AND(C14&gt;=(13-'Assumptions'!$J$50)+'Assumptions'!$AF$50,C14&lt;=12),'Revenue and costs'!N28/'Assumptions'!$J$50,0)+IF(AND(C14&gt;=(13-'Assumptions'!$J$51)+'Assumptions'!$AF$51,C14&lt;=12),'Revenue and costs'!N29/'Assumptions'!$J$51,0)+IF(AND(C14&gt;=(13-'Assumptions'!$J$52)+'Assumptions'!$AF$52,C14&lt;=12),'Revenue and costs'!N30/'Assumptions'!$J$52,0)+IF(AND(C14&gt;=(13-'Assumptions'!$J$53)+'Assumptions'!$AF$53,C14&lt;=12),'Revenue and costs'!N31/'Assumptions'!$J$53,0)+IF(AND(C14&gt;=(13-'Assumptions'!$J$54)+'Assumptions'!$AF$54,C14&lt;=12),'Revenue and costs'!N32/'Assumptions'!$J$54,0)+IF(AND(C14&gt;=(13-'Assumptions'!$J$55)+'Assumptions'!$AF$55,C14&lt;=12),'Revenue and costs'!N33/'Assumptions'!$J$55,0)+IF(AND(C14&gt;=(13-'Assumptions'!$J$56)+'Assumptions'!$AF$56,C14&lt;=12),'Revenue and costs'!N34/'Assumptions'!$J$56,0)+IF(AND(C14&gt;=(13-'Assumptions'!$J$57)+'Assumptions'!$AF$57,C14&lt;=12),'Revenue and costs'!N35/'Assumptions'!$J$57,0)+IF(AND(C14&gt;=(13-'Assumptions'!$J$58)+'Assumptions'!$AF$58,C14&lt;=12),'Revenue and costs'!N36/'Assumptions'!$J$58,0)+IF(AND(C14&gt;=(13-'Assumptions'!$J$59)+'Assumptions'!$AF$59,C14&lt;=12),'Revenue and costs'!N37/'Assumptions'!$J$59,0)+IF(AND(C14&gt;=(13-'Assumptions'!$J$60)+'Assumptions'!$AF$60,C14&lt;=12),'Revenue and costs'!N38/'Assumptions'!$J$60,0)+IF(AND(C14&gt;=(13-'Assumptions'!$J$61)+'Assumptions'!$AF$61,C14&lt;=12),'Revenue and costs'!N39/'Assumptions'!$J$61,0)+IF(AND(C14&gt;=(13-'Assumptions'!$J$62)+'Assumptions'!$AF$62,C14&lt;=12),'Revenue and costs'!N40/'Assumptions'!$J$62,0)+IF(AND(C14&gt;=(13-'Assumptions'!$J$63)+'Assumptions'!$AF$63,C14&lt;=12),'Revenue and costs'!N41/'Assumptions'!$J$63,0)+IF(AND(C14&gt;=(13-'Assumptions'!$J$64)+'Assumptions'!$AF$64,C14&lt;=12),'Revenue and costs'!N42/'Assumptions'!$J$64,0)+IF(AND(C14&gt;=(13-'Assumptions'!$J$65)+'Assumptions'!$AF$65,C14&lt;=12),'Revenue and costs'!N43/'Assumptions'!$J$65,0)+IF(AND(C14&gt;=(13-'Assumptions'!$J$66)+'Assumptions'!$AF$66,C14&lt;=12),'Revenue and costs'!N44/'Assumptions'!$J$66,0)+IF(AND(C14&gt;=(13-'Assumptions'!$J$67)+'Assumptions'!$AF$67,C14&lt;=12),'Revenue and costs'!N45/'Assumptions'!$J$67,0)+IF(AND(C14&gt;=(13-'Assumptions'!$J$68)+'Assumptions'!$AF$68,C14&lt;=12),'Revenue and costs'!N46/'Assumptions'!$J$68,0)+IF(AND(C14&gt;=(13-'Assumptions'!$J$69)+'Assumptions'!$AF$69,C14&lt;=12),'Revenue and costs'!N47/'Assumptions'!$J$69,0)+IF(AND(C14&gt;=(13-'Assumptions'!$J$70)+'Assumptions'!$AF$70,C14&lt;=12),'Revenue and costs'!N48/'Assumptions'!$J$70,0)+IF(AND(C14&gt;=(13-'Assumptions'!$J$71)+'Assumptions'!$AF$71,C14&lt;=12),'Revenue and costs'!N49/'Assumptions'!$J$71,0)+IF(AND(C14&gt;=(13-'Assumptions'!$J$72)+'Assumptions'!$AF$72,C14&lt;=12),'Revenue and costs'!N50/'Assumptions'!$J$72,0)+IF(AND(C14&gt;=(13-'Assumptions'!$J$73)+'Assumptions'!$AF$73,C14&lt;=12),'Revenue and costs'!N51/'Assumptions'!$J$73,0)+IF(AND(C14&gt;=(13-'Assumptions'!$J$74)+'Assumptions'!$AF$74,C14&lt;=12),'Revenue and costs'!N52/'Assumptions'!$J$74,0)+IF(AND(C14&gt;=(13-'Assumptions'!$J$75)+'Assumptions'!$AF$75,C14&lt;=12),'Revenue and costs'!N53/'Assumptions'!$J$75,0)+IF(AND(C14&gt;=(13-'Assumptions'!$J$76)+'Assumptions'!$AF$76,C14&lt;=12),'Revenue and costs'!N54/'Assumptions'!$J$76,0)+IF(AND(C14&gt;=(13-'Assumptions'!$J$77)+'Assumptions'!$AF$77,C14&lt;=12),'Revenue and costs'!N55/'Assumptions'!$J$77,0)+IF(AND(C14&gt;=(13-'Assumptions'!$J$78)+'Assumptions'!$AF$78,C14&lt;=12),'Revenue and costs'!N56/'Assumptions'!$J$78,0)+IF(AND(C14&gt;=(13-'Assumptions'!$J$79)+'Assumptions'!$AF$79,C14&lt;=12),'Revenue and costs'!N57/'Assumptions'!$J$79,0)+IF(AND(C14&gt;=(13-'Assumptions'!$J$80)+'Assumptions'!$AF$80,C14&lt;=12),'Revenue and costs'!N58/'Assumptions'!$J$80,0)+IF(AND(C14&gt;=(13-'Assumptions'!$J$81)+'Assumptions'!$AF$81,C14&lt;=12),'Revenue and costs'!N59/'Assumptions'!$J$81,0)+IF(AND(C14&gt;=(13-'Assumptions'!$J$82)+'Assumptions'!$AF$82,C14&lt;=12),'Revenue and costs'!N60/'Assumptions'!$J$82,0)+IF(AND(C14&gt;=(13-'Assumptions'!$J$83)+'Assumptions'!$AF$83,C14&lt;=12),'Revenue and costs'!N61/'Assumptions'!$J$83,0)+IF(AND(C14&gt;=(13-'Assumptions'!$J$84)+'Assumptions'!$AF$84,C14&lt;=12),'Revenue and costs'!N62/'Assumptions'!$J$84,0)+IF(AND(C14&gt;=(13-'Assumptions'!$J$85)+'Assumptions'!$AF$85,C14&lt;=12),'Revenue and costs'!N63/'Assumptions'!$J$85,0)+IF(AND(C14&gt;=(13-'Assumptions'!$J$86)+'Assumptions'!$AF$86,C14&lt;=12),'Revenue and costs'!N64/'Assumptions'!$J$86,0)+IF(AND(C14&gt;=(13-'Assumptions'!$J$87)+'Assumptions'!$AF$87,C14&lt;=12),'Revenue and costs'!N65/'Assumptions'!$J$87,0)+IF(AND(C14&gt;=(13-'Assumptions'!$J$88)+'Assumptions'!$AF$88,C14&lt;=12),'Revenue and costs'!N66/'Assumptions'!$J$88,0)+IF(AND(C14&gt;=(13-'Assumptions'!$J$89)+'Assumptions'!$AF$89,C14&lt;=12),'Revenue and costs'!N67/'Assumptions'!$J$89,0)+IF(AND(C14&gt;=(13-'Assumptions'!$J$90)+'Assumptions'!$AF$90,C14&lt;=12),'Revenue and costs'!N68/'Assumptions'!$J$90,0)+IF(AND(C14&gt;=(13-'Assumptions'!$J$91)+'Assumptions'!$AF$91,C14&lt;=12),'Revenue and costs'!N69/'Assumptions'!$J$91,0)+IF(AND(C14&gt;=(13-'Assumptions'!$J$92)+'Assumptions'!$AF$92,C14&lt;=12),'Revenue and costs'!N70/'Assumptions'!$J$92,0)+IF(AND(C14&gt;=(13-'Assumptions'!$J$93)+'Assumptions'!$AF$93,C14&lt;=12),'Revenue and costs'!N71/'Assumptions'!$J$93,0)+IF(AND(C14&gt;=(13-'Assumptions'!$J$94)+'Assumptions'!$AF$94,C14&lt;=12),'Revenue and costs'!N72/'Assumptions'!$J$94,0)+IF(AND(C14&gt;=(13-'Assumptions'!$J$95)+'Assumptions'!$AF$95,C14&lt;=12),'Revenue and costs'!N73/'Assumptions'!$J$95,0)+IF(AND(C14&gt;=(13-'Assumptions'!$J$96)+'Assumptions'!$AF$96,C14&lt;=12),'Revenue and costs'!N74/'Assumptions'!$J$96,0)+IF(AND(C14&gt;=(13-'Assumptions'!$J$97)+'Assumptions'!$AF$97,C14&lt;=12),'Revenue and costs'!N75/'Assumptions'!$J$97,0)+IF(AND(C14&gt;=(13-'Assumptions'!$J$98)+'Assumptions'!$AF$98,C14&lt;=12),'Revenue and costs'!N76/'Assumptions'!$J$98,0)+IF(AND(C14&gt;=(13-'Assumptions'!$J$99)+'Assumptions'!$AF$99,C14&lt;=12),'Revenue and costs'!N77/'Assumptions'!$J$99,0)+IF(AND(C14&gt;=(13-'Assumptions'!$J$100)+'Assumptions'!$AF$100,C14&lt;=12),'Revenue and costs'!N78/'Assumptions'!$J$100,0)+IF(AND(C14&gt;=(13-'Assumptions'!$J$101)+'Assumptions'!$AF$101,C14&lt;=12),'Revenue and costs'!N79/'Assumptions'!$J$101,0)+IF(AND(C14&gt;=(13-'Assumptions'!$J$102)+'Assumptions'!$AF$102,C14&lt;=12),'Revenue and costs'!N80/'Assumptions'!$J$102,0)+IF(AND(C14&gt;=(13-'Assumptions'!$J$103)+'Assumptions'!$AF$103,C14&lt;=12),'Revenue and costs'!N81/'Assumptions'!$J$103,0)+IF(AND(C14&gt;=(13-'Assumptions'!$J$104)+'Assumptions'!$AF$104,C14&lt;=12),'Revenue and costs'!N82/'Assumptions'!$J$104,0)+IF(AND(C14&gt;=(13-'Assumptions'!$J$105)+'Assumptions'!$AF$105,C14&lt;=12),'Revenue and costs'!N83/'Assumptions'!$J$105,0)+IF(AND(C14&gt;=(13-'Assumptions'!$J$106)+'Assumptions'!$AF$106,C14&lt;=12),'Revenue and costs'!N84/'Assumptions'!$J$106,0)+IF(AND(C14&gt;=(13-'Assumptions'!$J$107)+'Assumptions'!$AF$107,C14&lt;=12),'Revenue and costs'!N85/'Assumptions'!$J$107,0)+IF(AND(C14&gt;=(13-'Assumptions'!$J$108)+'Assumptions'!$AF$108,C14&lt;=12),'Revenue and costs'!N86/'Assumptions'!$J$108,0)+IF(AND(C14&gt;=(13-'Assumptions'!$J$109)+'Assumptions'!$AF$109,C14&lt;=12),'Revenue and costs'!N87/'Assumptions'!$J$109,0)+IF(AND(C14&gt;=(13-'Assumptions'!$J$110)+'Assumptions'!$AF$110,C14&lt;=12),'Revenue and costs'!N88/'Assumptions'!$J$110,0)+IF(AND(C14&gt;=(13-'Assumptions'!$J$111)+'Assumptions'!$AF$111,C14&lt;=12),'Revenue and costs'!N89/'Assumptions'!$J$111,0)+IF(AND(C14&gt;=(13-'Assumptions'!$J$112)+'Assumptions'!$AF$112,C14&lt;=12),'Revenue and costs'!N90/'Assumptions'!$J$112,0)+IF(AND(C14&gt;=(13-'Assumptions'!$J$113)+'Assumptions'!$AF$113,C14&lt;=12),'Revenue and costs'!N91/'Assumptions'!$J$113,0)+IF(AND(C14&gt;=(13-'Assumptions'!$J$114)+'Assumptions'!$AF$114,C14&lt;=12),'Revenue and costs'!N92/'Assumptions'!$J$114,0)+IF(AND(C14&gt;=(13-'Assumptions'!$J$115)+'Assumptions'!$AF$115,C14&lt;=12),'Revenue and costs'!N93/'Assumptions'!$J$115,0)+IF(AND(C14&gt;=(13-'Assumptions'!$J$116)+'Assumptions'!$AF$116,C14&lt;=12),'Revenue and costs'!N94/'Assumptions'!$J$116,0)+IF(AND(C14&gt;=(13-'Assumptions'!$J$117)+'Assumptions'!$AF$117,C14&lt;=12),'Revenue and costs'!N95/'Assumptions'!$J$117,0)+IF(AND(C14&gt;=(13-'Assumptions'!$J$118)+'Assumptions'!$AF$118,C14&lt;=12),'Revenue and costs'!N96/'Assumptions'!$J$118,0)+IF(AND(C14&gt;=(13-'Assumptions'!$J$119)+'Assumptions'!$AF$119,C14&lt;=12),'Revenue and costs'!N97/'Assumptions'!$J$119,0)+IF(AND(C14&gt;=(13-'Assumptions'!$J$120)+'Assumptions'!$AF$120,C14&lt;=12),'Revenue and costs'!N98/'Assumptions'!$J$120,0)+IF(AND(C14&gt;=(13-'Assumptions'!$J$121)+'Assumptions'!$AF$121,C14&lt;=12),'Revenue and costs'!N99/'Assumptions'!$J$121,0)+IF(AND(C14&gt;=(13-'Assumptions'!$J$122)+'Assumptions'!$AF$122,C14&lt;=12),'Revenue and costs'!N100/'Assumptions'!$J$122,0)+IF(AND(C14&gt;=(13-'Assumptions'!$J$123)+'Assumptions'!$AF$123,C14&lt;=12),'Revenue and costs'!N101/'Assumptions'!$J$123,0)+IF(AND(C14&gt;=(13-'Assumptions'!$J$124)+'Assumptions'!$AF$124,C14&lt;=12),'Revenue and costs'!N102/'Assumptions'!$J$124,0)+IF(AND(C14&gt;=(13-'Assumptions'!$J$125)+'Assumptions'!$AF$125,C14&lt;=12),'Revenue and costs'!N103/'Assumptions'!$J$125,0)+IF(AND(C14&gt;=(13-'Assumptions'!$J$126)+'Assumptions'!$AF$126,C14&lt;=12),'Revenue and costs'!N104/'Assumptions'!$J$126,0)+IF(AND(C14&gt;=(13-'Assumptions'!$J$127)+'Assumptions'!$AF$127,C14&lt;=12),'Revenue and costs'!N105/'Assumptions'!$J$127,0)+IF(AND(C14&gt;=(13-'Assumptions'!$J$128)+'Assumptions'!$AF$128,C14&lt;=12),'Revenue and costs'!N106/'Assumptions'!$J$128,0)+IF(AND(C14&gt;=(13-'Assumptions'!$J$129)+'Assumptions'!$AF$129,C14&lt;=12),'Revenue and costs'!N107/'Assumptions'!$J$129,0)+IF(AND(C14&gt;=(13-'Assumptions'!$J$130)+'Assumptions'!$AF$130,C14&lt;=12),'Revenue and costs'!N108/'Assumptions'!$J$130,0)+IF(AND(C14&gt;=(13-'Assumptions'!$J$131)+'Assumptions'!$AF$131,C14&lt;=12),'Revenue and costs'!N109/'Assumptions'!$J$131,0)+IF(AND(C14&gt;=(13-'Assumptions'!$J$132)+'Assumptions'!$AF$132,C14&lt;=12),'Revenue and costs'!N110/'Assumptions'!$J$132,0)+IF(AND(C14&gt;=(13-'Assumptions'!$J$133)+'Assumptions'!$AF$133,C14&lt;=12),'Revenue and costs'!N111/'Assumptions'!$J$133,0)+IF(AND(C14&gt;=(13-'Assumptions'!$J$134)+'Assumptions'!$AF$134,C14&lt;=12),'Revenue and costs'!N112/'Assumptions'!$J$134,0)+IF(AND(C14&gt;=(13-'Assumptions'!$J$135)+'Assumptions'!$AF$135,C14&lt;=12),'Revenue and costs'!N113/'Assumptions'!$J$135,0)+IF(AND(C14&gt;=(13-'Assumptions'!$J$136)+'Assumptions'!$AF$136,C14&lt;=12),'Revenue and costs'!N114/'Assumptions'!$J$136,0)+IF(AND(C14&gt;=(13-'Assumptions'!$J$137)+'Assumptions'!$AF$137,C14&lt;=12),'Revenue and costs'!N115/'Assumptions'!$J$137,0)+IF(AND(C14&gt;=(13-'Assumptions'!$J$138)+'Assumptions'!$AF$138,C14&lt;=12),'Revenue and costs'!N116/'Assumptions'!$J$138,0)+IF(AND(C14&gt;=(13-'Assumptions'!$J$139)+'Assumptions'!$AF$139,C14&lt;=12),'Revenue and costs'!N117/'Assumptions'!$J$139,0)+IF(AND(C14&gt;=(13-'Assumptions'!$J$140)+'Assumptions'!$AF$140,C14&lt;=12),'Revenue and costs'!N118/'Assumptions'!$J$140,0)+IF(AND(C14&gt;=(13-'Assumptions'!$J$141)+'Assumptions'!$AF$141,C14&lt;=12),'Revenue and costs'!N119/'Assumptions'!$J$141,0)+IF(AND(C14&gt;=(13-'Assumptions'!$J$142)+'Assumptions'!$AF$142,C14&lt;=12),'Revenue and costs'!N120/'Assumptions'!$J$142,0)+IF(AND(C14&gt;=(13-'Assumptions'!$J$143)+'Assumptions'!$AF$143,C14&lt;=12),'Revenue and costs'!N121/'Assumptions'!$J$143,0)+IF(AND(C14&gt;=(13-'Assumptions'!$J$144)+'Assumptions'!$AF$144,C14&lt;=12),'Revenue and costs'!N122/'Assumptions'!$J$144,0)+IF(AND(C14&gt;=(13-'Assumptions'!$J$145)+'Assumptions'!$AF$145,C14&lt;=12),'Revenue and costs'!N123/'Assumptions'!$J$145,0)+IF(AND(C14&gt;=(13-'Assumptions'!$J$146)+'Assumptions'!$AF$146,C14&lt;=12),'Revenue and costs'!N124/'Assumptions'!$J$146,0)+IF(AND(C14&gt;=(13-'Assumptions'!$J$147)+'Assumptions'!$AF$147,C14&lt;=12),'Revenue and costs'!N125/'Assumptions'!$J$147,0)+IF(AND(C14&gt;=(13-'Assumptions'!$J$148)+'Assumptions'!$AF$148,C14&lt;=12),'Revenue and costs'!N126/'Assumptions'!$J$148,0)+IF(AND(C14&gt;=(13-'Assumptions'!$J$149)+'Assumptions'!$AF$149,C14&lt;=12),'Revenue and costs'!N127/'Assumptions'!$J$149,0)+IF(AND(C14&gt;=(13-'Assumptions'!$J$150)+'Assumptions'!$AF$150,C14&lt;=12),'Revenue and costs'!N128/'Assumptions'!$J$150,0)+IF(AND(C14&gt;=(13-'Assumptions'!$J$151)+'Assumptions'!$AF$151,C14&lt;=12),'Revenue and costs'!N129/'Assumptions'!$J$151,0)+IF(AND(C14&gt;=(13-'Assumptions'!$J$152)+'Assumptions'!$AF$152,C14&lt;=12),'Revenue and costs'!N130/'Assumptions'!$J$152,0)+IF(AND(C14&gt;=(13-'Assumptions'!$J$153)+'Assumptions'!$AF$153,C14&lt;=12),'Revenue and costs'!N131/'Assumptions'!$J$153,0)+IF(AND(C14&gt;=(13-'Assumptions'!$J$154)+'Assumptions'!$AF$154,C14&lt;=12),'Revenue and costs'!N132/'Assumptions'!$J$154,0)+IF(AND(C14&gt;=(13-'Assumptions'!$J$155)+'Assumptions'!$AF$155,C14&lt;=12),'Revenue and costs'!N133/'Assumptions'!$J$155,0)+IF(AND(C14&gt;=(13-'Assumptions'!$J$156)+'Assumptions'!$AF$156,C14&lt;=12),'Revenue and costs'!N134/'Assumptions'!$J$156,0)+IF(AND(C14&gt;=(13-'Assumptions'!$J$157)+'Assumptions'!$AF$157,C14&lt;=12),'Revenue and costs'!N135/'Assumptions'!$J$157,0)</x:f>
        <x:v>77086.63333333335</x:v>
      </x:c>
      <x:c r="E14" s="10" t="n">
        <x:f>IF(AND(C14&gt;=(13-'Assumptions'!$J$30),C14&lt;=12),SUM('Revenue and costs'!O8:U8)/'Assumptions'!$J$30,0)+IF(C14=(13-'Assumptions'!$J$30)-1,'Revenue and costs'!V8+'Revenue and costs'!AE8,0)+IF(AND(C14&gt;=(13-'Assumptions'!$J$31),C14&lt;=12),SUM('Revenue and costs'!O9:U9)/'Assumptions'!$J$31,0)+IF(C14=(13-'Assumptions'!$J$31)-1,'Revenue and costs'!V9+'Revenue and costs'!AE9,0)+IF(AND(C14&gt;=(13-'Assumptions'!$J$32),C14&lt;=12),SUM('Revenue and costs'!O10:U10)/'Assumptions'!$J$32,0)+IF(C14=(13-'Assumptions'!$J$32)-1,'Revenue and costs'!V10+'Revenue and costs'!AE10,0)+IF(AND(C14&gt;=(13-'Assumptions'!$J$33),C14&lt;=12),SUM('Revenue and costs'!O11:U11)/'Assumptions'!$J$33,0)+IF(C14=(13-'Assumptions'!$J$33)-1,'Revenue and costs'!V11+'Revenue and costs'!AE11,0)+IF(AND(C14&gt;=(13-'Assumptions'!$J$34),C14&lt;=12),SUM('Revenue and costs'!O12:U12)/'Assumptions'!$J$34,0)+IF(C14=(13-'Assumptions'!$J$34)-1,'Revenue and costs'!V12+'Revenue and costs'!AE12,0)+IF(AND(C14&gt;=(13-'Assumptions'!$J$35),C14&lt;=12),SUM('Revenue and costs'!O13:U13)/'Assumptions'!$J$35,0)+IF(C14=(13-'Assumptions'!$J$35)-1,'Revenue and costs'!V13+'Revenue and costs'!AE13,0)+IF(AND(C14&gt;=(13-'Assumptions'!$J$36),C14&lt;=12),SUM('Revenue and costs'!O14:U14)/'Assumptions'!$J$36,0)+IF(C14=(13-'Assumptions'!$J$36)-1,'Revenue and costs'!V14+'Revenue and costs'!AE14,0)+IF(AND(C14&gt;=(13-'Assumptions'!$J$37),C14&lt;=12),SUM('Revenue and costs'!O15:U15)/'Assumptions'!$J$37,0)+IF(C14=(13-'Assumptions'!$J$37)-1,'Revenue and costs'!V15+'Revenue and costs'!AE15,0)+IF(AND(C14&gt;=(13-'Assumptions'!$J$38),C14&lt;=12),SUM('Revenue and costs'!O16:U16)/'Assumptions'!$J$38,0)+IF(C14=(13-'Assumptions'!$J$38)-1,'Revenue and costs'!V16+'Revenue and costs'!AE16,0)+IF(AND(C14&gt;=(13-'Assumptions'!$J$39),C14&lt;=12),SUM('Revenue and costs'!O17:U17)/'Assumptions'!$J$39,0)+IF(C14=(13-'Assumptions'!$J$39)-1,'Revenue and costs'!V17+'Revenue and costs'!AE17,0)+IF(AND(C14&gt;=(13-'Assumptions'!$J$40),C14&lt;=12),SUM('Revenue and costs'!O18:U18)/'Assumptions'!$J$40,0)+IF(C14=(13-'Assumptions'!$J$40)-1,'Revenue and costs'!V18+'Revenue and costs'!AE18,0)+IF(AND(C14&gt;=(13-'Assumptions'!$J$41),C14&lt;=12),SUM('Revenue and costs'!O19:U19)/'Assumptions'!$J$41,0)+IF(C14=(13-'Assumptions'!$J$41)-1,'Revenue and costs'!V19+'Revenue and costs'!AE19,0)+IF(AND(C14&gt;=(13-'Assumptions'!$J$42),C14&lt;=12),SUM('Revenue and costs'!O20:U20)/'Assumptions'!$J$42,0)+IF(C14=(13-'Assumptions'!$J$42)-1,'Revenue and costs'!V20+'Revenue and costs'!AE20,0)+IF(AND(C14&gt;=(13-'Assumptions'!$J$43),C14&lt;=12),SUM('Revenue and costs'!O21:U21)/'Assumptions'!$J$43,0)+IF(C14=(13-'Assumptions'!$J$43)-1,'Revenue and costs'!V21+'Revenue and costs'!AE21,0)+IF(AND(C14&gt;=(13-'Assumptions'!$J$44),C14&lt;=12),SUM('Revenue and costs'!O22:U22)/'Assumptions'!$J$44,0)+IF(C14=(13-'Assumptions'!$J$44)-1,'Revenue and costs'!V22+'Revenue and costs'!AE22,0)+IF(AND(C14&gt;=(13-'Assumptions'!$J$45),C14&lt;=12),SUM('Revenue and costs'!O23:U23)/'Assumptions'!$J$45,0)+IF(C14=(13-'Assumptions'!$J$45)-1,'Revenue and costs'!V23+'Revenue and costs'!AE23,0)+IF(AND(C14&gt;=(13-'Assumptions'!$J$46),C14&lt;=12),SUM('Revenue and costs'!O24:U24)/'Assumptions'!$J$46,0)+IF(C14=(13-'Assumptions'!$J$46)-1,'Revenue and costs'!V24+'Revenue and costs'!AE24,0)+IF(AND(C14&gt;=(13-'Assumptions'!$J$47),C14&lt;=12),SUM('Revenue and costs'!O25:U25)/'Assumptions'!$J$47,0)+IF(C14=(13-'Assumptions'!$J$47)-1,'Revenue and costs'!V25+'Revenue and costs'!AE25,0)+IF(AND(C14&gt;=(13-'Assumptions'!$J$48),C14&lt;=12),SUM('Revenue and costs'!O26:U26)/'Assumptions'!$J$48,0)+IF(C14=(13-'Assumptions'!$J$48)-1,'Revenue and costs'!V26+'Revenue and costs'!AE26,0)+IF(AND(C14&gt;=(13-'Assumptions'!$J$49),C14&lt;=12),SUM('Revenue and costs'!O27:U27)/'Assumptions'!$J$49,0)+IF(C14=(13-'Assumptions'!$J$49)-1,'Revenue and costs'!V27+'Revenue and costs'!AE27,0)+IF(AND(C14&gt;=(13-'Assumptions'!$J$50),C14&lt;=12),SUM('Revenue and costs'!O28:U28)/'Assumptions'!$J$50,0)+IF(C14=(13-'Assumptions'!$J$50)-1,'Revenue and costs'!V28+'Revenue and costs'!AE28,0)+IF(AND(C14&gt;=(13-'Assumptions'!$J$51),C14&lt;=12),SUM('Revenue and costs'!O29:U29)/'Assumptions'!$J$51,0)+IF(C14=(13-'Assumptions'!$J$51)-1,'Revenue and costs'!V29+'Revenue and costs'!AE29,0)+IF(AND(C14&gt;=(13-'Assumptions'!$J$52),C14&lt;=12),SUM('Revenue and costs'!O30:U30)/'Assumptions'!$J$52,0)+IF(C14=(13-'Assumptions'!$J$52)-1,'Revenue and costs'!V30+'Revenue and costs'!AE30,0)+IF(AND(C14&gt;=(13-'Assumptions'!$J$53),C14&lt;=12),SUM('Revenue and costs'!O31:U31)/'Assumptions'!$J$53,0)+IF(C14=(13-'Assumptions'!$J$53)-1,'Revenue and costs'!V31+'Revenue and costs'!AE31,0)+IF(AND(C14&gt;=(13-'Assumptions'!$J$54),C14&lt;=12),SUM('Revenue and costs'!O32:U32)/'Assumptions'!$J$54,0)+IF(C14=(13-'Assumptions'!$J$54)-1,'Revenue and costs'!V32+'Revenue and costs'!AE32,0)+IF(AND(C14&gt;=(13-'Assumptions'!$J$55),C14&lt;=12),SUM('Revenue and costs'!O33:U33)/'Assumptions'!$J$55,0)+IF(C14=(13-'Assumptions'!$J$55)-1,'Revenue and costs'!V33+'Revenue and costs'!AE33,0)+IF(AND(C14&gt;=(13-'Assumptions'!$J$56),C14&lt;=12),SUM('Revenue and costs'!O34:U34)/'Assumptions'!$J$56,0)+IF(C14=(13-'Assumptions'!$J$56)-1,'Revenue and costs'!V34+'Revenue and costs'!AE34,0)+IF(AND(C14&gt;=(13-'Assumptions'!$J$57),C14&lt;=12),SUM('Revenue and costs'!O35:U35)/'Assumptions'!$J$57,0)+IF(C14=(13-'Assumptions'!$J$57)-1,'Revenue and costs'!V35+'Revenue and costs'!AE35,0)+IF(AND(C14&gt;=(13-'Assumptions'!$J$58),C14&lt;=12),SUM('Revenue and costs'!O36:U36)/'Assumptions'!$J$58,0)+IF(C14=(13-'Assumptions'!$J$58)-1,'Revenue and costs'!V36+'Revenue and costs'!AE36,0)+IF(AND(C14&gt;=(13-'Assumptions'!$J$59),C14&lt;=12),SUM('Revenue and costs'!O37:U37)/'Assumptions'!$J$59,0)+IF(C14=(13-'Assumptions'!$J$59)-1,'Revenue and costs'!V37+'Revenue and costs'!AE37,0)+IF(AND(C14&gt;=(13-'Assumptions'!$J$60),C14&lt;=12),SUM('Revenue and costs'!O38:U38)/'Assumptions'!$J$60,0)+IF(C14=(13-'Assumptions'!$J$60)-1,'Revenue and costs'!V38+'Revenue and costs'!AE38,0)+IF(AND(C14&gt;=(13-'Assumptions'!$J$61),C14&lt;=12),SUM('Revenue and costs'!O39:U39)/'Assumptions'!$J$61,0)+IF(C14=(13-'Assumptions'!$J$61)-1,'Revenue and costs'!V39+'Revenue and costs'!AE39,0)+IF(AND(C14&gt;=(13-'Assumptions'!$J$62),C14&lt;=12),SUM('Revenue and costs'!O40:U40)/'Assumptions'!$J$62,0)+IF(C14=(13-'Assumptions'!$J$62)-1,'Revenue and costs'!V40+'Revenue and costs'!AE40,0)+IF(AND(C14&gt;=(13-'Assumptions'!$J$63),C14&lt;=12),SUM('Revenue and costs'!O41:U41)/'Assumptions'!$J$63,0)+IF(C14=(13-'Assumptions'!$J$63)-1,'Revenue and costs'!V41+'Revenue and costs'!AE41,0)+IF(AND(C14&gt;=(13-'Assumptions'!$J$64),C14&lt;=12),SUM('Revenue and costs'!O42:U42)/'Assumptions'!$J$64,0)+IF(C14=(13-'Assumptions'!$J$64)-1,'Revenue and costs'!V42+'Revenue and costs'!AE42,0)+IF(AND(C14&gt;=(13-'Assumptions'!$J$65),C14&lt;=12),SUM('Revenue and costs'!O43:U43)/'Assumptions'!$J$65,0)+IF(C14=(13-'Assumptions'!$J$65)-1,'Revenue and costs'!V43+'Revenue and costs'!AE43,0)+IF(AND(C14&gt;=(13-'Assumptions'!$J$66),C14&lt;=12),SUM('Revenue and costs'!O44:U44)/'Assumptions'!$J$66,0)+IF(C14=(13-'Assumptions'!$J$66)-1,'Revenue and costs'!V44+'Revenue and costs'!AE44,0)+IF(AND(C14&gt;=(13-'Assumptions'!$J$67),C14&lt;=12),SUM('Revenue and costs'!O45:U45)/'Assumptions'!$J$67,0)+IF(C14=(13-'Assumptions'!$J$67)-1,'Revenue and costs'!V45+'Revenue and costs'!AE45,0)+IF(AND(C14&gt;=(13-'Assumptions'!$J$68),C14&lt;=12),SUM('Revenue and costs'!O46:U46)/'Assumptions'!$J$68,0)+IF(C14=(13-'Assumptions'!$J$68)-1,'Revenue and costs'!V46+'Revenue and costs'!AE46,0)+IF(AND(C14&gt;=(13-'Assumptions'!$J$69),C14&lt;=12),SUM('Revenue and costs'!O47:U47)/'Assumptions'!$J$69,0)+IF(C14=(13-'Assumptions'!$J$69)-1,'Revenue and costs'!V47+'Revenue and costs'!AE47,0)+IF(AND(C14&gt;=(13-'Assumptions'!$J$70),C14&lt;=12),SUM('Revenue and costs'!O48:U48)/'Assumptions'!$J$70,0)+IF(C14=(13-'Assumptions'!$J$70)-1,'Revenue and costs'!V48+'Revenue and costs'!AE48,0)+IF(AND(C14&gt;=(13-'Assumptions'!$J$71),C14&lt;=12),SUM('Revenue and costs'!O49:U49)/'Assumptions'!$J$71,0)+IF(C14=(13-'Assumptions'!$J$71)-1,'Revenue and costs'!V49+'Revenue and costs'!AE49,0)+IF(AND(C14&gt;=(13-'Assumptions'!$J$72),C14&lt;=12),SUM('Revenue and costs'!O50:U50)/'Assumptions'!$J$72,0)+IF(C14=(13-'Assumptions'!$J$72)-1,'Revenue and costs'!V50+'Revenue and costs'!AE50,0)+IF(AND(C14&gt;=(13-'Assumptions'!$J$73),C14&lt;=12),SUM('Revenue and costs'!O51:U51)/'Assumptions'!$J$73,0)+IF(C14=(13-'Assumptions'!$J$73)-1,'Revenue and costs'!V51+'Revenue and costs'!AE51,0)+IF(AND(C14&gt;=(13-'Assumptions'!$J$74),C14&lt;=12),SUM('Revenue and costs'!O52:U52)/'Assumptions'!$J$74,0)+IF(C14=(13-'Assumptions'!$J$74)-1,'Revenue and costs'!V52+'Revenue and costs'!AE52,0)+IF(AND(C14&gt;=(13-'Assumptions'!$J$75),C14&lt;=12),SUM('Revenue and costs'!O53:U53)/'Assumptions'!$J$75,0)+IF(C14=(13-'Assumptions'!$J$75)-1,'Revenue and costs'!V53+'Revenue and costs'!AE53,0)+IF(AND(C14&gt;=(13-'Assumptions'!$J$76),C14&lt;=12),SUM('Revenue and costs'!O54:U54)/'Assumptions'!$J$76,0)+IF(C14=(13-'Assumptions'!$J$76)-1,'Revenue and costs'!V54+'Revenue and costs'!AE54,0)+IF(AND(C14&gt;=(13-'Assumptions'!$J$77),C14&lt;=12),SUM('Revenue and costs'!O55:U55)/'Assumptions'!$J$77,0)+IF(C14=(13-'Assumptions'!$J$77)-1,'Revenue and costs'!V55+'Revenue and costs'!AE55,0)+IF(AND(C14&gt;=(13-'Assumptions'!$J$78),C14&lt;=12),SUM('Revenue and costs'!O56:U56)/'Assumptions'!$J$78,0)+IF(C14=(13-'Assumptions'!$J$78)-1,'Revenue and costs'!V56+'Revenue and costs'!AE56,0)+IF(AND(C14&gt;=(13-'Assumptions'!$J$79),C14&lt;=12),SUM('Revenue and costs'!O57:U57)/'Assumptions'!$J$79,0)+IF(C14=(13-'Assumptions'!$J$79)-1,'Revenue and costs'!V57+'Revenue and costs'!AE57,0)+IF(AND(C14&gt;=(13-'Assumptions'!$J$80),C14&lt;=12),SUM('Revenue and costs'!O58:U58)/'Assumptions'!$J$80,0)+IF(C14=(13-'Assumptions'!$J$80)-1,'Revenue and costs'!V58+'Revenue and costs'!AE58,0)+IF(AND(C14&gt;=(13-'Assumptions'!$J$81),C14&lt;=12),SUM('Revenue and costs'!O59:U59)/'Assumptions'!$J$81,0)+IF(C14=(13-'Assumptions'!$J$81)-1,'Revenue and costs'!V59+'Revenue and costs'!AE59,0)+IF(AND(C14&gt;=(13-'Assumptions'!$J$82),C14&lt;=12),SUM('Revenue and costs'!O60:U60)/'Assumptions'!$J$82,0)+IF(C14=(13-'Assumptions'!$J$82)-1,'Revenue and costs'!V60+'Revenue and costs'!AE60,0)+IF(AND(C14&gt;=(13-'Assumptions'!$J$83),C14&lt;=12),SUM('Revenue and costs'!O61:U61)/'Assumptions'!$J$83,0)+IF(C14=(13-'Assumptions'!$J$83)-1,'Revenue and costs'!V61+'Revenue and costs'!AE61,0)+IF(AND(C14&gt;=(13-'Assumptions'!$J$84),C14&lt;=12),SUM('Revenue and costs'!O62:U62)/'Assumptions'!$J$84,0)+IF(C14=(13-'Assumptions'!$J$84)-1,'Revenue and costs'!V62+'Revenue and costs'!AE62,0)+IF(AND(C14&gt;=(13-'Assumptions'!$J$85),C14&lt;=12),SUM('Revenue and costs'!O63:U63)/'Assumptions'!$J$85,0)+IF(C14=(13-'Assumptions'!$J$85)-1,'Revenue and costs'!V63+'Revenue and costs'!AE63,0)+IF(AND(C14&gt;=(13-'Assumptions'!$J$86),C14&lt;=12),SUM('Revenue and costs'!O64:U64)/'Assumptions'!$J$86,0)+IF(C14=(13-'Assumptions'!$J$86)-1,'Revenue and costs'!V64+'Revenue and costs'!AE64,0)+IF(AND(C14&gt;=(13-'Assumptions'!$J$87),C14&lt;=12),SUM('Revenue and costs'!O65:U65)/'Assumptions'!$J$87,0)+IF(C14=(13-'Assumptions'!$J$87)-1,'Revenue and costs'!V65+'Revenue and costs'!AE65,0)+IF(AND(C14&gt;=(13-'Assumptions'!$J$88),C14&lt;=12),SUM('Revenue and costs'!O66:U66)/'Assumptions'!$J$88,0)+IF(C14=(13-'Assumptions'!$J$88)-1,'Revenue and costs'!V66+'Revenue and costs'!AE66,0)+IF(AND(C14&gt;=(13-'Assumptions'!$J$89),C14&lt;=12),SUM('Revenue and costs'!O67:U67)/'Assumptions'!$J$89,0)+IF(C14=(13-'Assumptions'!$J$89)-1,'Revenue and costs'!V67+'Revenue and costs'!AE67,0)+IF(AND(C14&gt;=(13-'Assumptions'!$J$90),C14&lt;=12),SUM('Revenue and costs'!O68:U68)/'Assumptions'!$J$90,0)+IF(C14=(13-'Assumptions'!$J$90)-1,'Revenue and costs'!V68+'Revenue and costs'!AE68,0)+IF(AND(C14&gt;=(13-'Assumptions'!$J$91),C14&lt;=12),SUM('Revenue and costs'!O69:U69)/'Assumptions'!$J$91,0)+IF(C14=(13-'Assumptions'!$J$91)-1,'Revenue and costs'!V69+'Revenue and costs'!AE69,0)+IF(AND(C14&gt;=(13-'Assumptions'!$J$92),C14&lt;=12),SUM('Revenue and costs'!O70:U70)/'Assumptions'!$J$92,0)+IF(C14=(13-'Assumptions'!$J$92)-1,'Revenue and costs'!V70+'Revenue and costs'!AE70,0)+IF(AND(C14&gt;=(13-'Assumptions'!$J$93),C14&lt;=12),SUM('Revenue and costs'!O71:U71)/'Assumptions'!$J$93,0)+IF(C14=(13-'Assumptions'!$J$93)-1,'Revenue and costs'!V71+'Revenue and costs'!AE71,0)+IF(AND(C14&gt;=(13-'Assumptions'!$J$94),C14&lt;=12),SUM('Revenue and costs'!O72:U72)/'Assumptions'!$J$94,0)+IF(C14=(13-'Assumptions'!$J$94)-1,'Revenue and costs'!V72+'Revenue and costs'!AE72,0)+IF(AND(C14&gt;=(13-'Assumptions'!$J$95),C14&lt;=12),SUM('Revenue and costs'!O73:U73)/'Assumptions'!$J$95,0)+IF(C14=(13-'Assumptions'!$J$95)-1,'Revenue and costs'!V73+'Revenue and costs'!AE73,0)+IF(AND(C14&gt;=(13-'Assumptions'!$J$96),C14&lt;=12),SUM('Revenue and costs'!O74:U74)/'Assumptions'!$J$96,0)+IF(C14=(13-'Assumptions'!$J$96)-1,'Revenue and costs'!V74+'Revenue and costs'!AE74,0)+IF(AND(C14&gt;=(13-'Assumptions'!$J$97),C14&lt;=12),SUM('Revenue and costs'!O75:U75)/'Assumptions'!$J$97,0)+IF(C14=(13-'Assumptions'!$J$97)-1,'Revenue and costs'!V75+'Revenue and costs'!AE75,0)+IF(AND(C14&gt;=(13-'Assumptions'!$J$98),C14&lt;=12),SUM('Revenue and costs'!O76:U76)/'Assumptions'!$J$98,0)+IF(C14=(13-'Assumptions'!$J$98)-1,'Revenue and costs'!V76+'Revenue and costs'!AE76,0)+IF(AND(C14&gt;=(13-'Assumptions'!$J$99),C14&lt;=12),SUM('Revenue and costs'!O77:U77)/'Assumptions'!$J$99,0)+IF(C14=(13-'Assumptions'!$J$99)-1,'Revenue and costs'!V77+'Revenue and costs'!AE77,0)+IF(AND(C14&gt;=(13-'Assumptions'!$J$100),C14&lt;=12),SUM('Revenue and costs'!O78:U78)/'Assumptions'!$J$100,0)+IF(C14=(13-'Assumptions'!$J$100)-1,'Revenue and costs'!V78+'Revenue and costs'!AE78,0)+IF(AND(C14&gt;=(13-'Assumptions'!$J$101),C14&lt;=12),SUM('Revenue and costs'!O79:U79)/'Assumptions'!$J$101,0)+IF(C14=(13-'Assumptions'!$J$101)-1,'Revenue and costs'!V79+'Revenue and costs'!AE79,0)+IF(AND(C14&gt;=(13-'Assumptions'!$J$102),C14&lt;=12),SUM('Revenue and costs'!O80:U80)/'Assumptions'!$J$102,0)+IF(C14=(13-'Assumptions'!$J$102)-1,'Revenue and costs'!V80+'Revenue and costs'!AE80,0)+IF(AND(C14&gt;=(13-'Assumptions'!$J$103),C14&lt;=12),SUM('Revenue and costs'!O81:U81)/'Assumptions'!$J$103,0)+IF(C14=(13-'Assumptions'!$J$103)-1,'Revenue and costs'!V81+'Revenue and costs'!AE81,0)+IF(AND(C14&gt;=(13-'Assumptions'!$J$104),C14&lt;=12),SUM('Revenue and costs'!O82:U82)/'Assumptions'!$J$104,0)+IF(C14=(13-'Assumptions'!$J$104)-1,'Revenue and costs'!V82+'Revenue and costs'!AE82,0)+IF(AND(C14&gt;=(13-'Assumptions'!$J$105),C14&lt;=12),SUM('Revenue and costs'!O83:U83)/'Assumptions'!$J$105,0)+IF(C14=(13-'Assumptions'!$J$105)-1,'Revenue and costs'!V83+'Revenue and costs'!AE83,0)+IF(AND(C14&gt;=(13-'Assumptions'!$J$106),C14&lt;=12),SUM('Revenue and costs'!O84:U84)/'Assumptions'!$J$106,0)+IF(C14=(13-'Assumptions'!$J$106)-1,'Revenue and costs'!V84+'Revenue and costs'!AE84,0)+IF(AND(C14&gt;=(13-'Assumptions'!$J$107),C14&lt;=12),SUM('Revenue and costs'!O85:U85)/'Assumptions'!$J$107,0)+IF(C14=(13-'Assumptions'!$J$107)-1,'Revenue and costs'!V85+'Revenue and costs'!AE85,0)+IF(AND(C14&gt;=(13-'Assumptions'!$J$108),C14&lt;=12),SUM('Revenue and costs'!O86:U86)/'Assumptions'!$J$108,0)+IF(C14=(13-'Assumptions'!$J$108)-1,'Revenue and costs'!V86+'Revenue and costs'!AE86,0)+IF(AND(C14&gt;=(13-'Assumptions'!$J$109),C14&lt;=12),SUM('Revenue and costs'!O87:U87)/'Assumptions'!$J$109,0)+IF(C14=(13-'Assumptions'!$J$109)-1,'Revenue and costs'!V87+'Revenue and costs'!AE87,0)+IF(AND(C14&gt;=(13-'Assumptions'!$J$110),C14&lt;=12),SUM('Revenue and costs'!O88:U88)/'Assumptions'!$J$110,0)+IF(C14=(13-'Assumptions'!$J$110)-1,'Revenue and costs'!V88+'Revenue and costs'!AE88,0)+IF(AND(C14&gt;=(13-'Assumptions'!$J$111),C14&lt;=12),SUM('Revenue and costs'!O89:U89)/'Assumptions'!$J$111,0)+IF(C14=(13-'Assumptions'!$J$111)-1,'Revenue and costs'!V89+'Revenue and costs'!AE89,0)+IF(AND(C14&gt;=(13-'Assumptions'!$J$112),C14&lt;=12),SUM('Revenue and costs'!O90:U90)/'Assumptions'!$J$112,0)+IF(C14=(13-'Assumptions'!$J$112)-1,'Revenue and costs'!V90+'Revenue and costs'!AE90,0)+IF(AND(C14&gt;=(13-'Assumptions'!$J$113),C14&lt;=12),SUM('Revenue and costs'!O91:U91)/'Assumptions'!$J$113,0)+IF(C14=(13-'Assumptions'!$J$113)-1,'Revenue and costs'!V91+'Revenue and costs'!AE91,0)+IF(AND(C14&gt;=(13-'Assumptions'!$J$114),C14&lt;=12),SUM('Revenue and costs'!O92:U92)/'Assumptions'!$J$114,0)+IF(C14=(13-'Assumptions'!$J$114)-1,'Revenue and costs'!V92+'Revenue and costs'!AE92,0)+IF(AND(C14&gt;=(13-'Assumptions'!$J$115),C14&lt;=12),SUM('Revenue and costs'!O93:U93)/'Assumptions'!$J$115,0)+IF(C14=(13-'Assumptions'!$J$115)-1,'Revenue and costs'!V93+'Revenue and costs'!AE93,0)+IF(AND(C14&gt;=(13-'Assumptions'!$J$116),C14&lt;=12),SUM('Revenue and costs'!O94:U94)/'Assumptions'!$J$116,0)+IF(C14=(13-'Assumptions'!$J$116)-1,'Revenue and costs'!V94+'Revenue and costs'!AE94,0)+IF(AND(C14&gt;=(13-'Assumptions'!$J$117),C14&lt;=12),SUM('Revenue and costs'!O95:U95)/'Assumptions'!$J$117,0)+IF(C14=(13-'Assumptions'!$J$117)-1,'Revenue and costs'!V95+'Revenue and costs'!AE95,0)+IF(AND(C14&gt;=(13-'Assumptions'!$J$118),C14&lt;=12),SUM('Revenue and costs'!O96:U96)/'Assumptions'!$J$118,0)+IF(C14=(13-'Assumptions'!$J$118)-1,'Revenue and costs'!V96+'Revenue and costs'!AE96,0)+IF(AND(C14&gt;=(13-'Assumptions'!$J$119),C14&lt;=12),SUM('Revenue and costs'!O97:U97)/'Assumptions'!$J$119,0)+IF(C14=(13-'Assumptions'!$J$119)-1,'Revenue and costs'!V97+'Revenue and costs'!AE97,0)+IF(AND(C14&gt;=(13-'Assumptions'!$J$120),C14&lt;=12),SUM('Revenue and costs'!O98:U98)/'Assumptions'!$J$120,0)+IF(C14=(13-'Assumptions'!$J$120)-1,'Revenue and costs'!V98+'Revenue and costs'!AE98,0)+IF(AND(C14&gt;=(13-'Assumptions'!$J$121),C14&lt;=12),SUM('Revenue and costs'!O99:U99)/'Assumptions'!$J$121,0)+IF(C14=(13-'Assumptions'!$J$121)-1,'Revenue and costs'!V99+'Revenue and costs'!AE99,0)+IF(AND(C14&gt;=(13-'Assumptions'!$J$122),C14&lt;=12),SUM('Revenue and costs'!O100:U100)/'Assumptions'!$J$122,0)+IF(C14=(13-'Assumptions'!$J$122)-1,'Revenue and costs'!V100+'Revenue and costs'!AE100,0)+IF(AND(C14&gt;=(13-'Assumptions'!$J$123),C14&lt;=12),SUM('Revenue and costs'!O101:U101)/'Assumptions'!$J$123,0)+IF(C14=(13-'Assumptions'!$J$123)-1,'Revenue and costs'!V101+'Revenue and costs'!AE101,0)+IF(AND(C14&gt;=(13-'Assumptions'!$J$124),C14&lt;=12),SUM('Revenue and costs'!O102:U102)/'Assumptions'!$J$124,0)+IF(C14=(13-'Assumptions'!$J$124)-1,'Revenue and costs'!V102+'Revenue and costs'!AE102,0)+IF(AND(C14&gt;=(13-'Assumptions'!$J$125),C14&lt;=12),SUM('Revenue and costs'!O103:U103)/'Assumptions'!$J$125,0)+IF(C14=(13-'Assumptions'!$J$125)-1,'Revenue and costs'!V103+'Revenue and costs'!AE103,0)+IF(AND(C14&gt;=(13-'Assumptions'!$J$126),C14&lt;=12),SUM('Revenue and costs'!O104:U104)/'Assumptions'!$J$126,0)+IF(C14=(13-'Assumptions'!$J$126)-1,'Revenue and costs'!V104+'Revenue and costs'!AE104,0)+IF(AND(C14&gt;=(13-'Assumptions'!$J$127),C14&lt;=12),SUM('Revenue and costs'!O105:U105)/'Assumptions'!$J$127,0)+IF(C14=(13-'Assumptions'!$J$127)-1,'Revenue and costs'!V105+'Revenue and costs'!AE105,0)+IF(AND(C14&gt;=(13-'Assumptions'!$J$128),C14&lt;=12),SUM('Revenue and costs'!O106:U106)/'Assumptions'!$J$128,0)+IF(C14=(13-'Assumptions'!$J$128)-1,'Revenue and costs'!V106+'Revenue and costs'!AE106,0)+IF(AND(C14&gt;=(13-'Assumptions'!$J$129),C14&lt;=12),SUM('Revenue and costs'!O107:U107)/'Assumptions'!$J$129,0)+IF(C14=(13-'Assumptions'!$J$129)-1,'Revenue and costs'!V107+'Revenue and costs'!AE107,0)+IF(AND(C14&gt;=(13-'Assumptions'!$J$130),C14&lt;=12),SUM('Revenue and costs'!O108:U108)/'Assumptions'!$J$130,0)+IF(C14=(13-'Assumptions'!$J$130)-1,'Revenue and costs'!V108+'Revenue and costs'!AE108,0)+IF(AND(C14&gt;=(13-'Assumptions'!$J$131),C14&lt;=12),SUM('Revenue and costs'!O109:U109)/'Assumptions'!$J$131,0)+IF(C14=(13-'Assumptions'!$J$131)-1,'Revenue and costs'!V109+'Revenue and costs'!AE109,0)+IF(AND(C14&gt;=(13-'Assumptions'!$J$132),C14&lt;=12),SUM('Revenue and costs'!O110:U110)/'Assumptions'!$J$132,0)+IF(C14=(13-'Assumptions'!$J$132)-1,'Revenue and costs'!V110+'Revenue and costs'!AE110,0)+IF(AND(C14&gt;=(13-'Assumptions'!$J$133),C14&lt;=12),SUM('Revenue and costs'!O111:U111)/'Assumptions'!$J$133,0)+IF(C14=(13-'Assumptions'!$J$133)-1,'Revenue and costs'!V111+'Revenue and costs'!AE111,0)+IF(AND(C14&gt;=(13-'Assumptions'!$J$134),C14&lt;=12),SUM('Revenue and costs'!O112:U112)/'Assumptions'!$J$134,0)+IF(C14=(13-'Assumptions'!$J$134)-1,'Revenue and costs'!V112+'Revenue and costs'!AE112,0)+IF(AND(C14&gt;=(13-'Assumptions'!$J$135),C14&lt;=12),SUM('Revenue and costs'!O113:U113)/'Assumptions'!$J$135,0)+IF(C14=(13-'Assumptions'!$J$135)-1,'Revenue and costs'!V113+'Revenue and costs'!AE113,0)+IF(AND(C14&gt;=(13-'Assumptions'!$J$136),C14&lt;=12),SUM('Revenue and costs'!O114:U114)/'Assumptions'!$J$136,0)+IF(C14=(13-'Assumptions'!$J$136)-1,'Revenue and costs'!V114+'Revenue and costs'!AE114,0)+IF(AND(C14&gt;=(13-'Assumptions'!$J$137),C14&lt;=12),SUM('Revenue and costs'!O115:U115)/'Assumptions'!$J$137,0)+IF(C14=(13-'Assumptions'!$J$137)-1,'Revenue and costs'!V115+'Revenue and costs'!AE115,0)+IF(AND(C14&gt;=(13-'Assumptions'!$J$138),C14&lt;=12),SUM('Revenue and costs'!O116:U116)/'Assumptions'!$J$138,0)+IF(C14=(13-'Assumptions'!$J$138)-1,'Revenue and costs'!V116+'Revenue and costs'!AE116,0)+IF(AND(C14&gt;=(13-'Assumptions'!$J$139),C14&lt;=12),SUM('Revenue and costs'!O117:U117)/'Assumptions'!$J$139,0)+IF(C14=(13-'Assumptions'!$J$139)-1,'Revenue and costs'!V117+'Revenue and costs'!AE117,0)+IF(AND(C14&gt;=(13-'Assumptions'!$J$140),C14&lt;=12),SUM('Revenue and costs'!O118:U118)/'Assumptions'!$J$140,0)+IF(C14=(13-'Assumptions'!$J$140)-1,'Revenue and costs'!V118+'Revenue and costs'!AE118,0)+IF(AND(C14&gt;=(13-'Assumptions'!$J$141),C14&lt;=12),SUM('Revenue and costs'!O119:U119)/'Assumptions'!$J$141,0)+IF(C14=(13-'Assumptions'!$J$141)-1,'Revenue and costs'!V119+'Revenue and costs'!AE119,0)+IF(AND(C14&gt;=(13-'Assumptions'!$J$142),C14&lt;=12),SUM('Revenue and costs'!O120:U120)/'Assumptions'!$J$142,0)+IF(C14=(13-'Assumptions'!$J$142)-1,'Revenue and costs'!V120+'Revenue and costs'!AE120,0)+IF(AND(C14&gt;=(13-'Assumptions'!$J$143),C14&lt;=12),SUM('Revenue and costs'!O121:U121)/'Assumptions'!$J$143,0)+IF(C14=(13-'Assumptions'!$J$143)-1,'Revenue and costs'!V121+'Revenue and costs'!AE121,0)+IF(AND(C14&gt;=(13-'Assumptions'!$J$144),C14&lt;=12),SUM('Revenue and costs'!O122:U122)/'Assumptions'!$J$144,0)+IF(C14=(13-'Assumptions'!$J$144)-1,'Revenue and costs'!V122+'Revenue and costs'!AE122,0)+IF(AND(C14&gt;=(13-'Assumptions'!$J$145),C14&lt;=12),SUM('Revenue and costs'!O123:U123)/'Assumptions'!$J$145,0)+IF(C14=(13-'Assumptions'!$J$145)-1,'Revenue and costs'!V123+'Revenue and costs'!AE123,0)+IF(AND(C14&gt;=(13-'Assumptions'!$J$146),C14&lt;=12),SUM('Revenue and costs'!O124:U124)/'Assumptions'!$J$146,0)+IF(C14=(13-'Assumptions'!$J$146)-1,'Revenue and costs'!V124+'Revenue and costs'!AE124,0)+IF(AND(C14&gt;=(13-'Assumptions'!$J$147),C14&lt;=12),SUM('Revenue and costs'!O125:U125)/'Assumptions'!$J$147,0)+IF(C14=(13-'Assumptions'!$J$147)-1,'Revenue and costs'!V125+'Revenue and costs'!AE125,0)+IF(AND(C14&gt;=(13-'Assumptions'!$J$148),C14&lt;=12),SUM('Revenue and costs'!O126:U126)/'Assumptions'!$J$148,0)+IF(C14=(13-'Assumptions'!$J$148)-1,'Revenue and costs'!V126+'Revenue and costs'!AE126,0)+IF(AND(C14&gt;=(13-'Assumptions'!$J$149),C14&lt;=12),SUM('Revenue and costs'!O127:U127)/'Assumptions'!$J$149,0)+IF(C14=(13-'Assumptions'!$J$149)-1,'Revenue and costs'!V127+'Revenue and costs'!AE127,0)+IF(AND(C14&gt;=(13-'Assumptions'!$J$150),C14&lt;=12),SUM('Revenue and costs'!O128:U128)/'Assumptions'!$J$150,0)+IF(C14=(13-'Assumptions'!$J$150)-1,'Revenue and costs'!V128+'Revenue and costs'!AE128,0)+IF(AND(C14&gt;=(13-'Assumptions'!$J$151),C14&lt;=12),SUM('Revenue and costs'!O129:U129)/'Assumptions'!$J$151,0)+IF(C14=(13-'Assumptions'!$J$151)-1,'Revenue and costs'!V129+'Revenue and costs'!AE129,0)+IF(AND(C14&gt;=(13-'Assumptions'!$J$152),C14&lt;=12),SUM('Revenue and costs'!O130:U130)/'Assumptions'!$J$152,0)+IF(C14=(13-'Assumptions'!$J$152)-1,'Revenue and costs'!V130+'Revenue and costs'!AE130,0)+IF(AND(C14&gt;=(13-'Assumptions'!$J$153),C14&lt;=12),SUM('Revenue and costs'!O131:U131)/'Assumptions'!$J$153,0)+IF(C14=(13-'Assumptions'!$J$153)-1,'Revenue and costs'!V131+'Revenue and costs'!AE131,0)+IF(AND(C14&gt;=(13-'Assumptions'!$J$154),C14&lt;=12),SUM('Revenue and costs'!O132:U132)/'Assumptions'!$J$154,0)+IF(C14=(13-'Assumptions'!$J$154)-1,'Revenue and costs'!V132+'Revenue and costs'!AE132,0)+IF(AND(C14&gt;=(13-'Assumptions'!$J$155),C14&lt;=12),SUM('Revenue and costs'!O133:U133)/'Assumptions'!$J$155,0)+IF(C14=(13-'Assumptions'!$J$155)-1,'Revenue and costs'!V133+'Revenue and costs'!AE133,0)+IF(AND(C14&gt;=(13-'Assumptions'!$J$156),C14&lt;=12),SUM('Revenue and costs'!O134:U134)/'Assumptions'!$J$156,0)+IF(C14=(13-'Assumptions'!$J$156)-1,'Revenue and costs'!V134+'Revenue and costs'!AE134,0)+IF(AND(C14&gt;=(13-'Assumptions'!$J$157),C14&lt;=12),SUM('Revenue and costs'!O135:U135)/'Assumptions'!$J$157,0)+IF(C14=(13-'Assumptions'!$J$157)-1,'Revenue and costs'!V135+'Revenue and costs'!AE135,0)+IF(C14&gt;0,'Shared costs'!H21/12+'Assumptions'!$D$18*'Assumptions'!$D$19*'Assumptions'!$D$21,0)</x:f>
        <x:v>51134.58593333333</x:v>
      </x:c>
      <x:c r="F14" s="10" t="n">
        <x:f>IF(C14=12,'Income statement'!D85,0)</x:f>
        <x:v>0</x:v>
      </x:c>
      <x:c r="G14" s="10" t="n">
        <x:f>IF(C14=(13-'Assumptions'!$J$30)-1,'Revenue and costs'!Y8,0)+IF(C14=(13-'Assumptions'!$J$31)-1,'Revenue and costs'!Y9,0)+IF(C14=(13-'Assumptions'!$J$32)-1,'Revenue and costs'!Y10,0)+IF(C14=(13-'Assumptions'!$J$33)-1,'Revenue and costs'!Y11,0)+IF(C14=(13-'Assumptions'!$J$34)-1,'Revenue and costs'!Y12,0)+IF(C14=(13-'Assumptions'!$J$35)-1,'Revenue and costs'!Y13,0)+IF(C14=(13-'Assumptions'!$J$36)-1,'Revenue and costs'!Y14,0)+IF(C14=(13-'Assumptions'!$J$37)-1,'Revenue and costs'!Y15,0)+IF(C14=(13-'Assumptions'!$J$38)-1,'Revenue and costs'!Y16,0)+IF(C14=(13-'Assumptions'!$J$39)-1,'Revenue and costs'!Y17,0)+IF(C14=(13-'Assumptions'!$J$40)-1,'Revenue and costs'!Y18,0)+IF(C14=(13-'Assumptions'!$J$41)-1,'Revenue and costs'!Y19,0)+IF(C14=(13-'Assumptions'!$J$42)-1,'Revenue and costs'!Y20,0)+IF(C14=(13-'Assumptions'!$J$43)-1,'Revenue and costs'!Y21,0)+IF(C14=(13-'Assumptions'!$J$44)-1,'Revenue and costs'!Y22,0)+IF(C14=(13-'Assumptions'!$J$45)-1,'Revenue and costs'!Y23,0)+IF(C14=(13-'Assumptions'!$J$46)-1,'Revenue and costs'!Y24,0)+IF(C14=(13-'Assumptions'!$J$47)-1,'Revenue and costs'!Y25,0)+IF(C14=(13-'Assumptions'!$J$48)-1,'Revenue and costs'!Y26,0)+IF(C14=(13-'Assumptions'!$J$49)-1,'Revenue and costs'!Y27,0)+IF(C14=(13-'Assumptions'!$J$50)-1,'Revenue and costs'!Y28,0)+IF(C14=(13-'Assumptions'!$J$51)-1,'Revenue and costs'!Y29,0)+IF(C14=(13-'Assumptions'!$J$52)-1,'Revenue and costs'!Y30,0)+IF(C14=(13-'Assumptions'!$J$53)-1,'Revenue and costs'!Y31,0)+IF(C14=(13-'Assumptions'!$J$54)-1,'Revenue and costs'!Y32,0)+IF(C14=(13-'Assumptions'!$J$55)-1,'Revenue and costs'!Y33,0)+IF(C14=(13-'Assumptions'!$J$56)-1,'Revenue and costs'!Y34,0)+IF(C14=(13-'Assumptions'!$J$57)-1,'Revenue and costs'!Y35,0)+IF(C14=(13-'Assumptions'!$J$58)-1,'Revenue and costs'!Y36,0)+IF(C14=(13-'Assumptions'!$J$59)-1,'Revenue and costs'!Y37,0)+IF(C14=(13-'Assumptions'!$J$60)-1,'Revenue and costs'!Y38,0)+IF(C14=(13-'Assumptions'!$J$61)-1,'Revenue and costs'!Y39,0)+IF(C14=(13-'Assumptions'!$J$62)-1,'Revenue and costs'!Y40,0)+IF(C14=(13-'Assumptions'!$J$63)-1,'Revenue and costs'!Y41,0)+IF(C14=(13-'Assumptions'!$J$64)-1,'Revenue and costs'!Y42,0)+IF(C14=(13-'Assumptions'!$J$65)-1,'Revenue and costs'!Y43,0)+IF(C14=(13-'Assumptions'!$J$66)-1,'Revenue and costs'!Y44,0)+IF(C14=(13-'Assumptions'!$J$67)-1,'Revenue and costs'!Y45,0)+IF(C14=(13-'Assumptions'!$J$68)-1,'Revenue and costs'!Y46,0)+IF(C14=(13-'Assumptions'!$J$69)-1,'Revenue and costs'!Y47,0)+IF(C14=(13-'Assumptions'!$J$70)-1,'Revenue and costs'!Y48,0)+IF(C14=(13-'Assumptions'!$J$71)-1,'Revenue and costs'!Y49,0)+IF(C14=(13-'Assumptions'!$J$72)-1,'Revenue and costs'!Y50,0)+IF(C14=(13-'Assumptions'!$J$73)-1,'Revenue and costs'!Y51,0)+IF(C14=(13-'Assumptions'!$J$74)-1,'Revenue and costs'!Y52,0)+IF(C14=(13-'Assumptions'!$J$75)-1,'Revenue and costs'!Y53,0)+IF(C14=(13-'Assumptions'!$J$76)-1,'Revenue and costs'!Y54,0)+IF(C14=(13-'Assumptions'!$J$77)-1,'Revenue and costs'!Y55,0)+IF(C14=(13-'Assumptions'!$J$78)-1,'Revenue and costs'!Y56,0)+IF(C14=(13-'Assumptions'!$J$79)-1,'Revenue and costs'!Y57,0)+IF(C14=(13-'Assumptions'!$J$80)-1,'Revenue and costs'!Y58,0)+IF(C14=(13-'Assumptions'!$J$81)-1,'Revenue and costs'!Y59,0)+IF(C14=(13-'Assumptions'!$J$82)-1,'Revenue and costs'!Y60,0)+IF(C14=(13-'Assumptions'!$J$83)-1,'Revenue and costs'!Y61,0)+IF(C14=(13-'Assumptions'!$J$84)-1,'Revenue and costs'!Y62,0)+IF(C14=(13-'Assumptions'!$J$85)-1,'Revenue and costs'!Y63,0)+IF(C14=(13-'Assumptions'!$J$86)-1,'Revenue and costs'!Y64,0)+IF(C14=(13-'Assumptions'!$J$87)-1,'Revenue and costs'!Y65,0)+IF(C14=(13-'Assumptions'!$J$88)-1,'Revenue and costs'!Y66,0)+IF(C14=(13-'Assumptions'!$J$89)-1,'Revenue and costs'!Y67,0)+IF(C14=(13-'Assumptions'!$J$90)-1,'Revenue and costs'!Y68,0)+IF(C14=(13-'Assumptions'!$J$91)-1,'Revenue and costs'!Y69,0)+IF(C14=(13-'Assumptions'!$J$92)-1,'Revenue and costs'!Y70,0)+IF(C14=(13-'Assumptions'!$J$93)-1,'Revenue and costs'!Y71,0)+IF(C14=(13-'Assumptions'!$J$94)-1,'Revenue and costs'!Y72,0)+IF(C14=(13-'Assumptions'!$J$95)-1,'Revenue and costs'!Y73,0)+IF(C14=(13-'Assumptions'!$J$96)-1,'Revenue and costs'!Y74,0)+IF(C14=(13-'Assumptions'!$J$97)-1,'Revenue and costs'!Y75,0)+IF(C14=(13-'Assumptions'!$J$98)-1,'Revenue and costs'!Y76,0)+IF(C14=(13-'Assumptions'!$J$99)-1,'Revenue and costs'!Y77,0)+IF(C14=(13-'Assumptions'!$J$100)-1,'Revenue and costs'!Y78,0)+IF(C14=(13-'Assumptions'!$J$101)-1,'Revenue and costs'!Y79,0)+IF(C14=(13-'Assumptions'!$J$102)-1,'Revenue and costs'!Y80,0)+IF(C14=(13-'Assumptions'!$J$103)-1,'Revenue and costs'!Y81,0)+IF(C14=(13-'Assumptions'!$J$104)-1,'Revenue and costs'!Y82,0)+IF(C14=(13-'Assumptions'!$J$105)-1,'Revenue and costs'!Y83,0)+IF(C14=(13-'Assumptions'!$J$106)-1,'Revenue and costs'!Y84,0)+IF(C14=(13-'Assumptions'!$J$107)-1,'Revenue and costs'!Y85,0)+IF(C14=(13-'Assumptions'!$J$108)-1,'Revenue and costs'!Y86,0)+IF(C14=(13-'Assumptions'!$J$109)-1,'Revenue and costs'!Y87,0)+IF(C14=(13-'Assumptions'!$J$110)-1,'Revenue and costs'!Y88,0)+IF(C14=(13-'Assumptions'!$J$111)-1,'Revenue and costs'!Y89,0)+IF(C14=(13-'Assumptions'!$J$112)-1,'Revenue and costs'!Y90,0)+IF(C14=(13-'Assumptions'!$J$113)-1,'Revenue and costs'!Y91,0)+IF(C14=(13-'Assumptions'!$J$114)-1,'Revenue and costs'!Y92,0)+IF(C14=(13-'Assumptions'!$J$115)-1,'Revenue and costs'!Y93,0)+IF(C14=(13-'Assumptions'!$J$116)-1,'Revenue and costs'!Y94,0)+IF(C14=(13-'Assumptions'!$J$117)-1,'Revenue and costs'!Y95,0)+IF(C14=(13-'Assumptions'!$J$118)-1,'Revenue and costs'!Y96,0)+IF(C14=(13-'Assumptions'!$J$119)-1,'Revenue and costs'!Y97,0)+IF(C14=(13-'Assumptions'!$J$120)-1,'Revenue and costs'!Y98,0)+IF(C14=(13-'Assumptions'!$J$121)-1,'Revenue and costs'!Y99,0)+IF(C14=(13-'Assumptions'!$J$122)-1,'Revenue and costs'!Y100,0)+IF(C14=(13-'Assumptions'!$J$123)-1,'Revenue and costs'!Y101,0)+IF(C14=(13-'Assumptions'!$J$124)-1,'Revenue and costs'!Y102,0)+IF(C14=(13-'Assumptions'!$J$125)-1,'Revenue and costs'!Y103,0)+IF(C14=(13-'Assumptions'!$J$126)-1,'Revenue and costs'!Y104,0)+IF(C14=(13-'Assumptions'!$J$127)-1,'Revenue and costs'!Y105,0)+IF(C14=(13-'Assumptions'!$J$128)-1,'Revenue and costs'!Y106,0)+IF(C14=(13-'Assumptions'!$J$129)-1,'Revenue and costs'!Y107,0)+IF(C14=(13-'Assumptions'!$J$130)-1,'Revenue and costs'!Y108,0)+IF(C14=(13-'Assumptions'!$J$131)-1,'Revenue and costs'!Y109,0)+IF(C14=(13-'Assumptions'!$J$132)-1,'Revenue and costs'!Y110,0)+IF(C14=(13-'Assumptions'!$J$133)-1,'Revenue and costs'!Y111,0)+IF(C14=(13-'Assumptions'!$J$134)-1,'Revenue and costs'!Y112,0)+IF(C14=(13-'Assumptions'!$J$135)-1,'Revenue and costs'!Y113,0)+IF(C14=(13-'Assumptions'!$J$136)-1,'Revenue and costs'!Y114,0)+IF(C14=(13-'Assumptions'!$J$137)-1,'Revenue and costs'!Y115,0)+IF(C14=(13-'Assumptions'!$J$138)-1,'Revenue and costs'!Y116,0)+IF(C14=(13-'Assumptions'!$J$139)-1,'Revenue and costs'!Y117,0)+IF(C14=(13-'Assumptions'!$J$140)-1,'Revenue and costs'!Y118,0)+IF(C14=(13-'Assumptions'!$J$141)-1,'Revenue and costs'!Y119,0)+IF(C14=(13-'Assumptions'!$J$142)-1,'Revenue and costs'!Y120,0)+IF(C14=(13-'Assumptions'!$J$143)-1,'Revenue and costs'!Y121,0)+IF(C14=(13-'Assumptions'!$J$144)-1,'Revenue and costs'!Y122,0)+IF(C14=(13-'Assumptions'!$J$145)-1,'Revenue and costs'!Y123,0)+IF(C14=(13-'Assumptions'!$J$146)-1,'Revenue and costs'!Y124,0)+IF(C14=(13-'Assumptions'!$J$147)-1,'Revenue and costs'!Y125,0)+IF(C14=(13-'Assumptions'!$J$148)-1,'Revenue and costs'!Y126,0)+IF(C14=(13-'Assumptions'!$J$149)-1,'Revenue and costs'!Y127,0)+IF(C14=(13-'Assumptions'!$J$150)-1,'Revenue and costs'!Y128,0)+IF(C14=(13-'Assumptions'!$J$151)-1,'Revenue and costs'!Y129,0)+IF(C14=(13-'Assumptions'!$J$152)-1,'Revenue and costs'!Y130,0)+IF(C14=(13-'Assumptions'!$J$153)-1,'Revenue and costs'!Y131,0)+IF(C14=(13-'Assumptions'!$J$154)-1,'Revenue and costs'!Y132,0)+IF(C14=(13-'Assumptions'!$J$155)-1,'Revenue and costs'!Y133,0)+IF(C14=(13-'Assumptions'!$J$156)-1,'Revenue and costs'!Y134,0)+IF(C14=(13-'Assumptions'!$J$157)-1,'Revenue and costs'!Y135,0)</x:f>
        <x:v>7931.666666666666</x:v>
      </x:c>
      <x:c r="H14" s="10" t="n">
        <x:f>IF(C14=0,'Cash and capital'!D13,0)</x:f>
        <x:v>0</x:v>
      </x:c>
      <x:c r="I14" s="10" t="n">
        <x:f>D14-E14-F14-G14-H14</x:f>
        <x:v>18020.380733333353</x:v>
      </x:c>
      <x:c r="J14" s="10" t="n">
        <x:f>J13+I14</x:f>
        <x:v>21305.555533333376</x:v>
      </x:c>
      <x:c r="K14" s="10" t="n">
        <x:f>MAX(0,-MIN($J$8:J14))</x:f>
        <x:v>25216.872599999995</x:v>
      </x:c>
      <x:c r="L14" s="10"/>
      <x:c r="M14" s="10"/>
      <x:c r="N14" s="10"/>
      <x:c r="O14" s="10"/>
      <x:c r="P14" s="10"/>
      <x:c r="Q14" s="10"/>
    </x:row>
    <x:row r="15" ht="16" customHeight="1">
      <x:c r="A15" s="1"/>
      <x:c r="B15" s="1"/>
      <x:c r="C15" s="1" t="n">
        <x:v>7</x:v>
      </x:c>
      <x:c r="D15" s="10" t="n">
        <x:f>IF(AND(C15&gt;=(13-'Assumptions'!$J$30)+'Assumptions'!$AF$30,C15&lt;=12),'Revenue and costs'!N8/'Assumptions'!$J$30,0)+IF(AND(C15&gt;=(13-'Assumptions'!$J$31)+'Assumptions'!$AF$31,C15&lt;=12),'Revenue and costs'!N9/'Assumptions'!$J$31,0)+IF(AND(C15&gt;=(13-'Assumptions'!$J$32)+'Assumptions'!$AF$32,C15&lt;=12),'Revenue and costs'!N10/'Assumptions'!$J$32,0)+IF(AND(C15&gt;=(13-'Assumptions'!$J$33)+'Assumptions'!$AF$33,C15&lt;=12),'Revenue and costs'!N11/'Assumptions'!$J$33,0)+IF(AND(C15&gt;=(13-'Assumptions'!$J$34)+'Assumptions'!$AF$34,C15&lt;=12),'Revenue and costs'!N12/'Assumptions'!$J$34,0)+IF(AND(C15&gt;=(13-'Assumptions'!$J$35)+'Assumptions'!$AF$35,C15&lt;=12),'Revenue and costs'!N13/'Assumptions'!$J$35,0)+IF(AND(C15&gt;=(13-'Assumptions'!$J$36)+'Assumptions'!$AF$36,C15&lt;=12),'Revenue and costs'!N14/'Assumptions'!$J$36,0)+IF(AND(C15&gt;=(13-'Assumptions'!$J$37)+'Assumptions'!$AF$37,C15&lt;=12),'Revenue and costs'!N15/'Assumptions'!$J$37,0)+IF(AND(C15&gt;=(13-'Assumptions'!$J$38)+'Assumptions'!$AF$38,C15&lt;=12),'Revenue and costs'!N16/'Assumptions'!$J$38,0)+IF(AND(C15&gt;=(13-'Assumptions'!$J$39)+'Assumptions'!$AF$39,C15&lt;=12),'Revenue and costs'!N17/'Assumptions'!$J$39,0)+IF(AND(C15&gt;=(13-'Assumptions'!$J$40)+'Assumptions'!$AF$40,C15&lt;=12),'Revenue and costs'!N18/'Assumptions'!$J$40,0)+IF(AND(C15&gt;=(13-'Assumptions'!$J$41)+'Assumptions'!$AF$41,C15&lt;=12),'Revenue and costs'!N19/'Assumptions'!$J$41,0)+IF(AND(C15&gt;=(13-'Assumptions'!$J$42)+'Assumptions'!$AF$42,C15&lt;=12),'Revenue and costs'!N20/'Assumptions'!$J$42,0)+IF(AND(C15&gt;=(13-'Assumptions'!$J$43)+'Assumptions'!$AF$43,C15&lt;=12),'Revenue and costs'!N21/'Assumptions'!$J$43,0)+IF(AND(C15&gt;=(13-'Assumptions'!$J$44)+'Assumptions'!$AF$44,C15&lt;=12),'Revenue and costs'!N22/'Assumptions'!$J$44,0)+IF(AND(C15&gt;=(13-'Assumptions'!$J$45)+'Assumptions'!$AF$45,C15&lt;=12),'Revenue and costs'!N23/'Assumptions'!$J$45,0)+IF(AND(C15&gt;=(13-'Assumptions'!$J$46)+'Assumptions'!$AF$46,C15&lt;=12),'Revenue and costs'!N24/'Assumptions'!$J$46,0)+IF(AND(C15&gt;=(13-'Assumptions'!$J$47)+'Assumptions'!$AF$47,C15&lt;=12),'Revenue and costs'!N25/'Assumptions'!$J$47,0)+IF(AND(C15&gt;=(13-'Assumptions'!$J$48)+'Assumptions'!$AF$48,C15&lt;=12),'Revenue and costs'!N26/'Assumptions'!$J$48,0)+IF(AND(C15&gt;=(13-'Assumptions'!$J$49)+'Assumptions'!$AF$49,C15&lt;=12),'Revenue and costs'!N27/'Assumptions'!$J$49,0)+IF(AND(C15&gt;=(13-'Assumptions'!$J$50)+'Assumptions'!$AF$50,C15&lt;=12),'Revenue and costs'!N28/'Assumptions'!$J$50,0)+IF(AND(C15&gt;=(13-'Assumptions'!$J$51)+'Assumptions'!$AF$51,C15&lt;=12),'Revenue and costs'!N29/'Assumptions'!$J$51,0)+IF(AND(C15&gt;=(13-'Assumptions'!$J$52)+'Assumptions'!$AF$52,C15&lt;=12),'Revenue and costs'!N30/'Assumptions'!$J$52,0)+IF(AND(C15&gt;=(13-'Assumptions'!$J$53)+'Assumptions'!$AF$53,C15&lt;=12),'Revenue and costs'!N31/'Assumptions'!$J$53,0)+IF(AND(C15&gt;=(13-'Assumptions'!$J$54)+'Assumptions'!$AF$54,C15&lt;=12),'Revenue and costs'!N32/'Assumptions'!$J$54,0)+IF(AND(C15&gt;=(13-'Assumptions'!$J$55)+'Assumptions'!$AF$55,C15&lt;=12),'Revenue and costs'!N33/'Assumptions'!$J$55,0)+IF(AND(C15&gt;=(13-'Assumptions'!$J$56)+'Assumptions'!$AF$56,C15&lt;=12),'Revenue and costs'!N34/'Assumptions'!$J$56,0)+IF(AND(C15&gt;=(13-'Assumptions'!$J$57)+'Assumptions'!$AF$57,C15&lt;=12),'Revenue and costs'!N35/'Assumptions'!$J$57,0)+IF(AND(C15&gt;=(13-'Assumptions'!$J$58)+'Assumptions'!$AF$58,C15&lt;=12),'Revenue and costs'!N36/'Assumptions'!$J$58,0)+IF(AND(C15&gt;=(13-'Assumptions'!$J$59)+'Assumptions'!$AF$59,C15&lt;=12),'Revenue and costs'!N37/'Assumptions'!$J$59,0)+IF(AND(C15&gt;=(13-'Assumptions'!$J$60)+'Assumptions'!$AF$60,C15&lt;=12),'Revenue and costs'!N38/'Assumptions'!$J$60,0)+IF(AND(C15&gt;=(13-'Assumptions'!$J$61)+'Assumptions'!$AF$61,C15&lt;=12),'Revenue and costs'!N39/'Assumptions'!$J$61,0)+IF(AND(C15&gt;=(13-'Assumptions'!$J$62)+'Assumptions'!$AF$62,C15&lt;=12),'Revenue and costs'!N40/'Assumptions'!$J$62,0)+IF(AND(C15&gt;=(13-'Assumptions'!$J$63)+'Assumptions'!$AF$63,C15&lt;=12),'Revenue and costs'!N41/'Assumptions'!$J$63,0)+IF(AND(C15&gt;=(13-'Assumptions'!$J$64)+'Assumptions'!$AF$64,C15&lt;=12),'Revenue and costs'!N42/'Assumptions'!$J$64,0)+IF(AND(C15&gt;=(13-'Assumptions'!$J$65)+'Assumptions'!$AF$65,C15&lt;=12),'Revenue and costs'!N43/'Assumptions'!$J$65,0)+IF(AND(C15&gt;=(13-'Assumptions'!$J$66)+'Assumptions'!$AF$66,C15&lt;=12),'Revenue and costs'!N44/'Assumptions'!$J$66,0)+IF(AND(C15&gt;=(13-'Assumptions'!$J$67)+'Assumptions'!$AF$67,C15&lt;=12),'Revenue and costs'!N45/'Assumptions'!$J$67,0)+IF(AND(C15&gt;=(13-'Assumptions'!$J$68)+'Assumptions'!$AF$68,C15&lt;=12),'Revenue and costs'!N46/'Assumptions'!$J$68,0)+IF(AND(C15&gt;=(13-'Assumptions'!$J$69)+'Assumptions'!$AF$69,C15&lt;=12),'Revenue and costs'!N47/'Assumptions'!$J$69,0)+IF(AND(C15&gt;=(13-'Assumptions'!$J$70)+'Assumptions'!$AF$70,C15&lt;=12),'Revenue and costs'!N48/'Assumptions'!$J$70,0)+IF(AND(C15&gt;=(13-'Assumptions'!$J$71)+'Assumptions'!$AF$71,C15&lt;=12),'Revenue and costs'!N49/'Assumptions'!$J$71,0)+IF(AND(C15&gt;=(13-'Assumptions'!$J$72)+'Assumptions'!$AF$72,C15&lt;=12),'Revenue and costs'!N50/'Assumptions'!$J$72,0)+IF(AND(C15&gt;=(13-'Assumptions'!$J$73)+'Assumptions'!$AF$73,C15&lt;=12),'Revenue and costs'!N51/'Assumptions'!$J$73,0)+IF(AND(C15&gt;=(13-'Assumptions'!$J$74)+'Assumptions'!$AF$74,C15&lt;=12),'Revenue and costs'!N52/'Assumptions'!$J$74,0)+IF(AND(C15&gt;=(13-'Assumptions'!$J$75)+'Assumptions'!$AF$75,C15&lt;=12),'Revenue and costs'!N53/'Assumptions'!$J$75,0)+IF(AND(C15&gt;=(13-'Assumptions'!$J$76)+'Assumptions'!$AF$76,C15&lt;=12),'Revenue and costs'!N54/'Assumptions'!$J$76,0)+IF(AND(C15&gt;=(13-'Assumptions'!$J$77)+'Assumptions'!$AF$77,C15&lt;=12),'Revenue and costs'!N55/'Assumptions'!$J$77,0)+IF(AND(C15&gt;=(13-'Assumptions'!$J$78)+'Assumptions'!$AF$78,C15&lt;=12),'Revenue and costs'!N56/'Assumptions'!$J$78,0)+IF(AND(C15&gt;=(13-'Assumptions'!$J$79)+'Assumptions'!$AF$79,C15&lt;=12),'Revenue and costs'!N57/'Assumptions'!$J$79,0)+IF(AND(C15&gt;=(13-'Assumptions'!$J$80)+'Assumptions'!$AF$80,C15&lt;=12),'Revenue and costs'!N58/'Assumptions'!$J$80,0)+IF(AND(C15&gt;=(13-'Assumptions'!$J$81)+'Assumptions'!$AF$81,C15&lt;=12),'Revenue and costs'!N59/'Assumptions'!$J$81,0)+IF(AND(C15&gt;=(13-'Assumptions'!$J$82)+'Assumptions'!$AF$82,C15&lt;=12),'Revenue and costs'!N60/'Assumptions'!$J$82,0)+IF(AND(C15&gt;=(13-'Assumptions'!$J$83)+'Assumptions'!$AF$83,C15&lt;=12),'Revenue and costs'!N61/'Assumptions'!$J$83,0)+IF(AND(C15&gt;=(13-'Assumptions'!$J$84)+'Assumptions'!$AF$84,C15&lt;=12),'Revenue and costs'!N62/'Assumptions'!$J$84,0)+IF(AND(C15&gt;=(13-'Assumptions'!$J$85)+'Assumptions'!$AF$85,C15&lt;=12),'Revenue and costs'!N63/'Assumptions'!$J$85,0)+IF(AND(C15&gt;=(13-'Assumptions'!$J$86)+'Assumptions'!$AF$86,C15&lt;=12),'Revenue and costs'!N64/'Assumptions'!$J$86,0)+IF(AND(C15&gt;=(13-'Assumptions'!$J$87)+'Assumptions'!$AF$87,C15&lt;=12),'Revenue and costs'!N65/'Assumptions'!$J$87,0)+IF(AND(C15&gt;=(13-'Assumptions'!$J$88)+'Assumptions'!$AF$88,C15&lt;=12),'Revenue and costs'!N66/'Assumptions'!$J$88,0)+IF(AND(C15&gt;=(13-'Assumptions'!$J$89)+'Assumptions'!$AF$89,C15&lt;=12),'Revenue and costs'!N67/'Assumptions'!$J$89,0)+IF(AND(C15&gt;=(13-'Assumptions'!$J$90)+'Assumptions'!$AF$90,C15&lt;=12),'Revenue and costs'!N68/'Assumptions'!$J$90,0)+IF(AND(C15&gt;=(13-'Assumptions'!$J$91)+'Assumptions'!$AF$91,C15&lt;=12),'Revenue and costs'!N69/'Assumptions'!$J$91,0)+IF(AND(C15&gt;=(13-'Assumptions'!$J$92)+'Assumptions'!$AF$92,C15&lt;=12),'Revenue and costs'!N70/'Assumptions'!$J$92,0)+IF(AND(C15&gt;=(13-'Assumptions'!$J$93)+'Assumptions'!$AF$93,C15&lt;=12),'Revenue and costs'!N71/'Assumptions'!$J$93,0)+IF(AND(C15&gt;=(13-'Assumptions'!$J$94)+'Assumptions'!$AF$94,C15&lt;=12),'Revenue and costs'!N72/'Assumptions'!$J$94,0)+IF(AND(C15&gt;=(13-'Assumptions'!$J$95)+'Assumptions'!$AF$95,C15&lt;=12),'Revenue and costs'!N73/'Assumptions'!$J$95,0)+IF(AND(C15&gt;=(13-'Assumptions'!$J$96)+'Assumptions'!$AF$96,C15&lt;=12),'Revenue and costs'!N74/'Assumptions'!$J$96,0)+IF(AND(C15&gt;=(13-'Assumptions'!$J$97)+'Assumptions'!$AF$97,C15&lt;=12),'Revenue and costs'!N75/'Assumptions'!$J$97,0)+IF(AND(C15&gt;=(13-'Assumptions'!$J$98)+'Assumptions'!$AF$98,C15&lt;=12),'Revenue and costs'!N76/'Assumptions'!$J$98,0)+IF(AND(C15&gt;=(13-'Assumptions'!$J$99)+'Assumptions'!$AF$99,C15&lt;=12),'Revenue and costs'!N77/'Assumptions'!$J$99,0)+IF(AND(C15&gt;=(13-'Assumptions'!$J$100)+'Assumptions'!$AF$100,C15&lt;=12),'Revenue and costs'!N78/'Assumptions'!$J$100,0)+IF(AND(C15&gt;=(13-'Assumptions'!$J$101)+'Assumptions'!$AF$101,C15&lt;=12),'Revenue and costs'!N79/'Assumptions'!$J$101,0)+IF(AND(C15&gt;=(13-'Assumptions'!$J$102)+'Assumptions'!$AF$102,C15&lt;=12),'Revenue and costs'!N80/'Assumptions'!$J$102,0)+IF(AND(C15&gt;=(13-'Assumptions'!$J$103)+'Assumptions'!$AF$103,C15&lt;=12),'Revenue and costs'!N81/'Assumptions'!$J$103,0)+IF(AND(C15&gt;=(13-'Assumptions'!$J$104)+'Assumptions'!$AF$104,C15&lt;=12),'Revenue and costs'!N82/'Assumptions'!$J$104,0)+IF(AND(C15&gt;=(13-'Assumptions'!$J$105)+'Assumptions'!$AF$105,C15&lt;=12),'Revenue and costs'!N83/'Assumptions'!$J$105,0)+IF(AND(C15&gt;=(13-'Assumptions'!$J$106)+'Assumptions'!$AF$106,C15&lt;=12),'Revenue and costs'!N84/'Assumptions'!$J$106,0)+IF(AND(C15&gt;=(13-'Assumptions'!$J$107)+'Assumptions'!$AF$107,C15&lt;=12),'Revenue and costs'!N85/'Assumptions'!$J$107,0)+IF(AND(C15&gt;=(13-'Assumptions'!$J$108)+'Assumptions'!$AF$108,C15&lt;=12),'Revenue and costs'!N86/'Assumptions'!$J$108,0)+IF(AND(C15&gt;=(13-'Assumptions'!$J$109)+'Assumptions'!$AF$109,C15&lt;=12),'Revenue and costs'!N87/'Assumptions'!$J$109,0)+IF(AND(C15&gt;=(13-'Assumptions'!$J$110)+'Assumptions'!$AF$110,C15&lt;=12),'Revenue and costs'!N88/'Assumptions'!$J$110,0)+IF(AND(C15&gt;=(13-'Assumptions'!$J$111)+'Assumptions'!$AF$111,C15&lt;=12),'Revenue and costs'!N89/'Assumptions'!$J$111,0)+IF(AND(C15&gt;=(13-'Assumptions'!$J$112)+'Assumptions'!$AF$112,C15&lt;=12),'Revenue and costs'!N90/'Assumptions'!$J$112,0)+IF(AND(C15&gt;=(13-'Assumptions'!$J$113)+'Assumptions'!$AF$113,C15&lt;=12),'Revenue and costs'!N91/'Assumptions'!$J$113,0)+IF(AND(C15&gt;=(13-'Assumptions'!$J$114)+'Assumptions'!$AF$114,C15&lt;=12),'Revenue and costs'!N92/'Assumptions'!$J$114,0)+IF(AND(C15&gt;=(13-'Assumptions'!$J$115)+'Assumptions'!$AF$115,C15&lt;=12),'Revenue and costs'!N93/'Assumptions'!$J$115,0)+IF(AND(C15&gt;=(13-'Assumptions'!$J$116)+'Assumptions'!$AF$116,C15&lt;=12),'Revenue and costs'!N94/'Assumptions'!$J$116,0)+IF(AND(C15&gt;=(13-'Assumptions'!$J$117)+'Assumptions'!$AF$117,C15&lt;=12),'Revenue and costs'!N95/'Assumptions'!$J$117,0)+IF(AND(C15&gt;=(13-'Assumptions'!$J$118)+'Assumptions'!$AF$118,C15&lt;=12),'Revenue and costs'!N96/'Assumptions'!$J$118,0)+IF(AND(C15&gt;=(13-'Assumptions'!$J$119)+'Assumptions'!$AF$119,C15&lt;=12),'Revenue and costs'!N97/'Assumptions'!$J$119,0)+IF(AND(C15&gt;=(13-'Assumptions'!$J$120)+'Assumptions'!$AF$120,C15&lt;=12),'Revenue and costs'!N98/'Assumptions'!$J$120,0)+IF(AND(C15&gt;=(13-'Assumptions'!$J$121)+'Assumptions'!$AF$121,C15&lt;=12),'Revenue and costs'!N99/'Assumptions'!$J$121,0)+IF(AND(C15&gt;=(13-'Assumptions'!$J$122)+'Assumptions'!$AF$122,C15&lt;=12),'Revenue and costs'!N100/'Assumptions'!$J$122,0)+IF(AND(C15&gt;=(13-'Assumptions'!$J$123)+'Assumptions'!$AF$123,C15&lt;=12),'Revenue and costs'!N101/'Assumptions'!$J$123,0)+IF(AND(C15&gt;=(13-'Assumptions'!$J$124)+'Assumptions'!$AF$124,C15&lt;=12),'Revenue and costs'!N102/'Assumptions'!$J$124,0)+IF(AND(C15&gt;=(13-'Assumptions'!$J$125)+'Assumptions'!$AF$125,C15&lt;=12),'Revenue and costs'!N103/'Assumptions'!$J$125,0)+IF(AND(C15&gt;=(13-'Assumptions'!$J$126)+'Assumptions'!$AF$126,C15&lt;=12),'Revenue and costs'!N104/'Assumptions'!$J$126,0)+IF(AND(C15&gt;=(13-'Assumptions'!$J$127)+'Assumptions'!$AF$127,C15&lt;=12),'Revenue and costs'!N105/'Assumptions'!$J$127,0)+IF(AND(C15&gt;=(13-'Assumptions'!$J$128)+'Assumptions'!$AF$128,C15&lt;=12),'Revenue and costs'!N106/'Assumptions'!$J$128,0)+IF(AND(C15&gt;=(13-'Assumptions'!$J$129)+'Assumptions'!$AF$129,C15&lt;=12),'Revenue and costs'!N107/'Assumptions'!$J$129,0)+IF(AND(C15&gt;=(13-'Assumptions'!$J$130)+'Assumptions'!$AF$130,C15&lt;=12),'Revenue and costs'!N108/'Assumptions'!$J$130,0)+IF(AND(C15&gt;=(13-'Assumptions'!$J$131)+'Assumptions'!$AF$131,C15&lt;=12),'Revenue and costs'!N109/'Assumptions'!$J$131,0)+IF(AND(C15&gt;=(13-'Assumptions'!$J$132)+'Assumptions'!$AF$132,C15&lt;=12),'Revenue and costs'!N110/'Assumptions'!$J$132,0)+IF(AND(C15&gt;=(13-'Assumptions'!$J$133)+'Assumptions'!$AF$133,C15&lt;=12),'Revenue and costs'!N111/'Assumptions'!$J$133,0)+IF(AND(C15&gt;=(13-'Assumptions'!$J$134)+'Assumptions'!$AF$134,C15&lt;=12),'Revenue and costs'!N112/'Assumptions'!$J$134,0)+IF(AND(C15&gt;=(13-'Assumptions'!$J$135)+'Assumptions'!$AF$135,C15&lt;=12),'Revenue and costs'!N113/'Assumptions'!$J$135,0)+IF(AND(C15&gt;=(13-'Assumptions'!$J$136)+'Assumptions'!$AF$136,C15&lt;=12),'Revenue and costs'!N114/'Assumptions'!$J$136,0)+IF(AND(C15&gt;=(13-'Assumptions'!$J$137)+'Assumptions'!$AF$137,C15&lt;=12),'Revenue and costs'!N115/'Assumptions'!$J$137,0)+IF(AND(C15&gt;=(13-'Assumptions'!$J$138)+'Assumptions'!$AF$138,C15&lt;=12),'Revenue and costs'!N116/'Assumptions'!$J$138,0)+IF(AND(C15&gt;=(13-'Assumptions'!$J$139)+'Assumptions'!$AF$139,C15&lt;=12),'Revenue and costs'!N117/'Assumptions'!$J$139,0)+IF(AND(C15&gt;=(13-'Assumptions'!$J$140)+'Assumptions'!$AF$140,C15&lt;=12),'Revenue and costs'!N118/'Assumptions'!$J$140,0)+IF(AND(C15&gt;=(13-'Assumptions'!$J$141)+'Assumptions'!$AF$141,C15&lt;=12),'Revenue and costs'!N119/'Assumptions'!$J$141,0)+IF(AND(C15&gt;=(13-'Assumptions'!$J$142)+'Assumptions'!$AF$142,C15&lt;=12),'Revenue and costs'!N120/'Assumptions'!$J$142,0)+IF(AND(C15&gt;=(13-'Assumptions'!$J$143)+'Assumptions'!$AF$143,C15&lt;=12),'Revenue and costs'!N121/'Assumptions'!$J$143,0)+IF(AND(C15&gt;=(13-'Assumptions'!$J$144)+'Assumptions'!$AF$144,C15&lt;=12),'Revenue and costs'!N122/'Assumptions'!$J$144,0)+IF(AND(C15&gt;=(13-'Assumptions'!$J$145)+'Assumptions'!$AF$145,C15&lt;=12),'Revenue and costs'!N123/'Assumptions'!$J$145,0)+IF(AND(C15&gt;=(13-'Assumptions'!$J$146)+'Assumptions'!$AF$146,C15&lt;=12),'Revenue and costs'!N124/'Assumptions'!$J$146,0)+IF(AND(C15&gt;=(13-'Assumptions'!$J$147)+'Assumptions'!$AF$147,C15&lt;=12),'Revenue and costs'!N125/'Assumptions'!$J$147,0)+IF(AND(C15&gt;=(13-'Assumptions'!$J$148)+'Assumptions'!$AF$148,C15&lt;=12),'Revenue and costs'!N126/'Assumptions'!$J$148,0)+IF(AND(C15&gt;=(13-'Assumptions'!$J$149)+'Assumptions'!$AF$149,C15&lt;=12),'Revenue and costs'!N127/'Assumptions'!$J$149,0)+IF(AND(C15&gt;=(13-'Assumptions'!$J$150)+'Assumptions'!$AF$150,C15&lt;=12),'Revenue and costs'!N128/'Assumptions'!$J$150,0)+IF(AND(C15&gt;=(13-'Assumptions'!$J$151)+'Assumptions'!$AF$151,C15&lt;=12),'Revenue and costs'!N129/'Assumptions'!$J$151,0)+IF(AND(C15&gt;=(13-'Assumptions'!$J$152)+'Assumptions'!$AF$152,C15&lt;=12),'Revenue and costs'!N130/'Assumptions'!$J$152,0)+IF(AND(C15&gt;=(13-'Assumptions'!$J$153)+'Assumptions'!$AF$153,C15&lt;=12),'Revenue and costs'!N131/'Assumptions'!$J$153,0)+IF(AND(C15&gt;=(13-'Assumptions'!$J$154)+'Assumptions'!$AF$154,C15&lt;=12),'Revenue and costs'!N132/'Assumptions'!$J$154,0)+IF(AND(C15&gt;=(13-'Assumptions'!$J$155)+'Assumptions'!$AF$155,C15&lt;=12),'Revenue and costs'!N133/'Assumptions'!$J$155,0)+IF(AND(C15&gt;=(13-'Assumptions'!$J$156)+'Assumptions'!$AF$156,C15&lt;=12),'Revenue and costs'!N134/'Assumptions'!$J$156,0)+IF(AND(C15&gt;=(13-'Assumptions'!$J$157)+'Assumptions'!$AF$157,C15&lt;=12),'Revenue and costs'!N135/'Assumptions'!$J$157,0)</x:f>
        <x:v>109424.33333333336</x:v>
      </x:c>
      <x:c r="E15" s="10" t="n">
        <x:f>IF(AND(C15&gt;=(13-'Assumptions'!$J$30),C15&lt;=12),SUM('Revenue and costs'!O8:U8)/'Assumptions'!$J$30,0)+IF(C15=(13-'Assumptions'!$J$30)-1,'Revenue and costs'!V8+'Revenue and costs'!AE8,0)+IF(AND(C15&gt;=(13-'Assumptions'!$J$31),C15&lt;=12),SUM('Revenue and costs'!O9:U9)/'Assumptions'!$J$31,0)+IF(C15=(13-'Assumptions'!$J$31)-1,'Revenue and costs'!V9+'Revenue and costs'!AE9,0)+IF(AND(C15&gt;=(13-'Assumptions'!$J$32),C15&lt;=12),SUM('Revenue and costs'!O10:U10)/'Assumptions'!$J$32,0)+IF(C15=(13-'Assumptions'!$J$32)-1,'Revenue and costs'!V10+'Revenue and costs'!AE10,0)+IF(AND(C15&gt;=(13-'Assumptions'!$J$33),C15&lt;=12),SUM('Revenue and costs'!O11:U11)/'Assumptions'!$J$33,0)+IF(C15=(13-'Assumptions'!$J$33)-1,'Revenue and costs'!V11+'Revenue and costs'!AE11,0)+IF(AND(C15&gt;=(13-'Assumptions'!$J$34),C15&lt;=12),SUM('Revenue and costs'!O12:U12)/'Assumptions'!$J$34,0)+IF(C15=(13-'Assumptions'!$J$34)-1,'Revenue and costs'!V12+'Revenue and costs'!AE12,0)+IF(AND(C15&gt;=(13-'Assumptions'!$J$35),C15&lt;=12),SUM('Revenue and costs'!O13:U13)/'Assumptions'!$J$35,0)+IF(C15=(13-'Assumptions'!$J$35)-1,'Revenue and costs'!V13+'Revenue and costs'!AE13,0)+IF(AND(C15&gt;=(13-'Assumptions'!$J$36),C15&lt;=12),SUM('Revenue and costs'!O14:U14)/'Assumptions'!$J$36,0)+IF(C15=(13-'Assumptions'!$J$36)-1,'Revenue and costs'!V14+'Revenue and costs'!AE14,0)+IF(AND(C15&gt;=(13-'Assumptions'!$J$37),C15&lt;=12),SUM('Revenue and costs'!O15:U15)/'Assumptions'!$J$37,0)+IF(C15=(13-'Assumptions'!$J$37)-1,'Revenue and costs'!V15+'Revenue and costs'!AE15,0)+IF(AND(C15&gt;=(13-'Assumptions'!$J$38),C15&lt;=12),SUM('Revenue and costs'!O16:U16)/'Assumptions'!$J$38,0)+IF(C15=(13-'Assumptions'!$J$38)-1,'Revenue and costs'!V16+'Revenue and costs'!AE16,0)+IF(AND(C15&gt;=(13-'Assumptions'!$J$39),C15&lt;=12),SUM('Revenue and costs'!O17:U17)/'Assumptions'!$J$39,0)+IF(C15=(13-'Assumptions'!$J$39)-1,'Revenue and costs'!V17+'Revenue and costs'!AE17,0)+IF(AND(C15&gt;=(13-'Assumptions'!$J$40),C15&lt;=12),SUM('Revenue and costs'!O18:U18)/'Assumptions'!$J$40,0)+IF(C15=(13-'Assumptions'!$J$40)-1,'Revenue and costs'!V18+'Revenue and costs'!AE18,0)+IF(AND(C15&gt;=(13-'Assumptions'!$J$41),C15&lt;=12),SUM('Revenue and costs'!O19:U19)/'Assumptions'!$J$41,0)+IF(C15=(13-'Assumptions'!$J$41)-1,'Revenue and costs'!V19+'Revenue and costs'!AE19,0)+IF(AND(C15&gt;=(13-'Assumptions'!$J$42),C15&lt;=12),SUM('Revenue and costs'!O20:U20)/'Assumptions'!$J$42,0)+IF(C15=(13-'Assumptions'!$J$42)-1,'Revenue and costs'!V20+'Revenue and costs'!AE20,0)+IF(AND(C15&gt;=(13-'Assumptions'!$J$43),C15&lt;=12),SUM('Revenue and costs'!O21:U21)/'Assumptions'!$J$43,0)+IF(C15=(13-'Assumptions'!$J$43)-1,'Revenue and costs'!V21+'Revenue and costs'!AE21,0)+IF(AND(C15&gt;=(13-'Assumptions'!$J$44),C15&lt;=12),SUM('Revenue and costs'!O22:U22)/'Assumptions'!$J$44,0)+IF(C15=(13-'Assumptions'!$J$44)-1,'Revenue and costs'!V22+'Revenue and costs'!AE22,0)+IF(AND(C15&gt;=(13-'Assumptions'!$J$45),C15&lt;=12),SUM('Revenue and costs'!O23:U23)/'Assumptions'!$J$45,0)+IF(C15=(13-'Assumptions'!$J$45)-1,'Revenue and costs'!V23+'Revenue and costs'!AE23,0)+IF(AND(C15&gt;=(13-'Assumptions'!$J$46),C15&lt;=12),SUM('Revenue and costs'!O24:U24)/'Assumptions'!$J$46,0)+IF(C15=(13-'Assumptions'!$J$46)-1,'Revenue and costs'!V24+'Revenue and costs'!AE24,0)+IF(AND(C15&gt;=(13-'Assumptions'!$J$47),C15&lt;=12),SUM('Revenue and costs'!O25:U25)/'Assumptions'!$J$47,0)+IF(C15=(13-'Assumptions'!$J$47)-1,'Revenue and costs'!V25+'Revenue and costs'!AE25,0)+IF(AND(C15&gt;=(13-'Assumptions'!$J$48),C15&lt;=12),SUM('Revenue and costs'!O26:U26)/'Assumptions'!$J$48,0)+IF(C15=(13-'Assumptions'!$J$48)-1,'Revenue and costs'!V26+'Revenue and costs'!AE26,0)+IF(AND(C15&gt;=(13-'Assumptions'!$J$49),C15&lt;=12),SUM('Revenue and costs'!O27:U27)/'Assumptions'!$J$49,0)+IF(C15=(13-'Assumptions'!$J$49)-1,'Revenue and costs'!V27+'Revenue and costs'!AE27,0)+IF(AND(C15&gt;=(13-'Assumptions'!$J$50),C15&lt;=12),SUM('Revenue and costs'!O28:U28)/'Assumptions'!$J$50,0)+IF(C15=(13-'Assumptions'!$J$50)-1,'Revenue and costs'!V28+'Revenue and costs'!AE28,0)+IF(AND(C15&gt;=(13-'Assumptions'!$J$51),C15&lt;=12),SUM('Revenue and costs'!O29:U29)/'Assumptions'!$J$51,0)+IF(C15=(13-'Assumptions'!$J$51)-1,'Revenue and costs'!V29+'Revenue and costs'!AE29,0)+IF(AND(C15&gt;=(13-'Assumptions'!$J$52),C15&lt;=12),SUM('Revenue and costs'!O30:U30)/'Assumptions'!$J$52,0)+IF(C15=(13-'Assumptions'!$J$52)-1,'Revenue and costs'!V30+'Revenue and costs'!AE30,0)+IF(AND(C15&gt;=(13-'Assumptions'!$J$53),C15&lt;=12),SUM('Revenue and costs'!O31:U31)/'Assumptions'!$J$53,0)+IF(C15=(13-'Assumptions'!$J$53)-1,'Revenue and costs'!V31+'Revenue and costs'!AE31,0)+IF(AND(C15&gt;=(13-'Assumptions'!$J$54),C15&lt;=12),SUM('Revenue and costs'!O32:U32)/'Assumptions'!$J$54,0)+IF(C15=(13-'Assumptions'!$J$54)-1,'Revenue and costs'!V32+'Revenue and costs'!AE32,0)+IF(AND(C15&gt;=(13-'Assumptions'!$J$55),C15&lt;=12),SUM('Revenue and costs'!O33:U33)/'Assumptions'!$J$55,0)+IF(C15=(13-'Assumptions'!$J$55)-1,'Revenue and costs'!V33+'Revenue and costs'!AE33,0)+IF(AND(C15&gt;=(13-'Assumptions'!$J$56),C15&lt;=12),SUM('Revenue and costs'!O34:U34)/'Assumptions'!$J$56,0)+IF(C15=(13-'Assumptions'!$J$56)-1,'Revenue and costs'!V34+'Revenue and costs'!AE34,0)+IF(AND(C15&gt;=(13-'Assumptions'!$J$57),C15&lt;=12),SUM('Revenue and costs'!O35:U35)/'Assumptions'!$J$57,0)+IF(C15=(13-'Assumptions'!$J$57)-1,'Revenue and costs'!V35+'Revenue and costs'!AE35,0)+IF(AND(C15&gt;=(13-'Assumptions'!$J$58),C15&lt;=12),SUM('Revenue and costs'!O36:U36)/'Assumptions'!$J$58,0)+IF(C15=(13-'Assumptions'!$J$58)-1,'Revenue and costs'!V36+'Revenue and costs'!AE36,0)+IF(AND(C15&gt;=(13-'Assumptions'!$J$59),C15&lt;=12),SUM('Revenue and costs'!O37:U37)/'Assumptions'!$J$59,0)+IF(C15=(13-'Assumptions'!$J$59)-1,'Revenue and costs'!V37+'Revenue and costs'!AE37,0)+IF(AND(C15&gt;=(13-'Assumptions'!$J$60),C15&lt;=12),SUM('Revenue and costs'!O38:U38)/'Assumptions'!$J$60,0)+IF(C15=(13-'Assumptions'!$J$60)-1,'Revenue and costs'!V38+'Revenue and costs'!AE38,0)+IF(AND(C15&gt;=(13-'Assumptions'!$J$61),C15&lt;=12),SUM('Revenue and costs'!O39:U39)/'Assumptions'!$J$61,0)+IF(C15=(13-'Assumptions'!$J$61)-1,'Revenue and costs'!V39+'Revenue and costs'!AE39,0)+IF(AND(C15&gt;=(13-'Assumptions'!$J$62),C15&lt;=12),SUM('Revenue and costs'!O40:U40)/'Assumptions'!$J$62,0)+IF(C15=(13-'Assumptions'!$J$62)-1,'Revenue and costs'!V40+'Revenue and costs'!AE40,0)+IF(AND(C15&gt;=(13-'Assumptions'!$J$63),C15&lt;=12),SUM('Revenue and costs'!O41:U41)/'Assumptions'!$J$63,0)+IF(C15=(13-'Assumptions'!$J$63)-1,'Revenue and costs'!V41+'Revenue and costs'!AE41,0)+IF(AND(C15&gt;=(13-'Assumptions'!$J$64),C15&lt;=12),SUM('Revenue and costs'!O42:U42)/'Assumptions'!$J$64,0)+IF(C15=(13-'Assumptions'!$J$64)-1,'Revenue and costs'!V42+'Revenue and costs'!AE42,0)+IF(AND(C15&gt;=(13-'Assumptions'!$J$65),C15&lt;=12),SUM('Revenue and costs'!O43:U43)/'Assumptions'!$J$65,0)+IF(C15=(13-'Assumptions'!$J$65)-1,'Revenue and costs'!V43+'Revenue and costs'!AE43,0)+IF(AND(C15&gt;=(13-'Assumptions'!$J$66),C15&lt;=12),SUM('Revenue and costs'!O44:U44)/'Assumptions'!$J$66,0)+IF(C15=(13-'Assumptions'!$J$66)-1,'Revenue and costs'!V44+'Revenue and costs'!AE44,0)+IF(AND(C15&gt;=(13-'Assumptions'!$J$67),C15&lt;=12),SUM('Revenue and costs'!O45:U45)/'Assumptions'!$J$67,0)+IF(C15=(13-'Assumptions'!$J$67)-1,'Revenue and costs'!V45+'Revenue and costs'!AE45,0)+IF(AND(C15&gt;=(13-'Assumptions'!$J$68),C15&lt;=12),SUM('Revenue and costs'!O46:U46)/'Assumptions'!$J$68,0)+IF(C15=(13-'Assumptions'!$J$68)-1,'Revenue and costs'!V46+'Revenue and costs'!AE46,0)+IF(AND(C15&gt;=(13-'Assumptions'!$J$69),C15&lt;=12),SUM('Revenue and costs'!O47:U47)/'Assumptions'!$J$69,0)+IF(C15=(13-'Assumptions'!$J$69)-1,'Revenue and costs'!V47+'Revenue and costs'!AE47,0)+IF(AND(C15&gt;=(13-'Assumptions'!$J$70),C15&lt;=12),SUM('Revenue and costs'!O48:U48)/'Assumptions'!$J$70,0)+IF(C15=(13-'Assumptions'!$J$70)-1,'Revenue and costs'!V48+'Revenue and costs'!AE48,0)+IF(AND(C15&gt;=(13-'Assumptions'!$J$71),C15&lt;=12),SUM('Revenue and costs'!O49:U49)/'Assumptions'!$J$71,0)+IF(C15=(13-'Assumptions'!$J$71)-1,'Revenue and costs'!V49+'Revenue and costs'!AE49,0)+IF(AND(C15&gt;=(13-'Assumptions'!$J$72),C15&lt;=12),SUM('Revenue and costs'!O50:U50)/'Assumptions'!$J$72,0)+IF(C15=(13-'Assumptions'!$J$72)-1,'Revenue and costs'!V50+'Revenue and costs'!AE50,0)+IF(AND(C15&gt;=(13-'Assumptions'!$J$73),C15&lt;=12),SUM('Revenue and costs'!O51:U51)/'Assumptions'!$J$73,0)+IF(C15=(13-'Assumptions'!$J$73)-1,'Revenue and costs'!V51+'Revenue and costs'!AE51,0)+IF(AND(C15&gt;=(13-'Assumptions'!$J$74),C15&lt;=12),SUM('Revenue and costs'!O52:U52)/'Assumptions'!$J$74,0)+IF(C15=(13-'Assumptions'!$J$74)-1,'Revenue and costs'!V52+'Revenue and costs'!AE52,0)+IF(AND(C15&gt;=(13-'Assumptions'!$J$75),C15&lt;=12),SUM('Revenue and costs'!O53:U53)/'Assumptions'!$J$75,0)+IF(C15=(13-'Assumptions'!$J$75)-1,'Revenue and costs'!V53+'Revenue and costs'!AE53,0)+IF(AND(C15&gt;=(13-'Assumptions'!$J$76),C15&lt;=12),SUM('Revenue and costs'!O54:U54)/'Assumptions'!$J$76,0)+IF(C15=(13-'Assumptions'!$J$76)-1,'Revenue and costs'!V54+'Revenue and costs'!AE54,0)+IF(AND(C15&gt;=(13-'Assumptions'!$J$77),C15&lt;=12),SUM('Revenue and costs'!O55:U55)/'Assumptions'!$J$77,0)+IF(C15=(13-'Assumptions'!$J$77)-1,'Revenue and costs'!V55+'Revenue and costs'!AE55,0)+IF(AND(C15&gt;=(13-'Assumptions'!$J$78),C15&lt;=12),SUM('Revenue and costs'!O56:U56)/'Assumptions'!$J$78,0)+IF(C15=(13-'Assumptions'!$J$78)-1,'Revenue and costs'!V56+'Revenue and costs'!AE56,0)+IF(AND(C15&gt;=(13-'Assumptions'!$J$79),C15&lt;=12),SUM('Revenue and costs'!O57:U57)/'Assumptions'!$J$79,0)+IF(C15=(13-'Assumptions'!$J$79)-1,'Revenue and costs'!V57+'Revenue and costs'!AE57,0)+IF(AND(C15&gt;=(13-'Assumptions'!$J$80),C15&lt;=12),SUM('Revenue and costs'!O58:U58)/'Assumptions'!$J$80,0)+IF(C15=(13-'Assumptions'!$J$80)-1,'Revenue and costs'!V58+'Revenue and costs'!AE58,0)+IF(AND(C15&gt;=(13-'Assumptions'!$J$81),C15&lt;=12),SUM('Revenue and costs'!O59:U59)/'Assumptions'!$J$81,0)+IF(C15=(13-'Assumptions'!$J$81)-1,'Revenue and costs'!V59+'Revenue and costs'!AE59,0)+IF(AND(C15&gt;=(13-'Assumptions'!$J$82),C15&lt;=12),SUM('Revenue and costs'!O60:U60)/'Assumptions'!$J$82,0)+IF(C15=(13-'Assumptions'!$J$82)-1,'Revenue and costs'!V60+'Revenue and costs'!AE60,0)+IF(AND(C15&gt;=(13-'Assumptions'!$J$83),C15&lt;=12),SUM('Revenue and costs'!O61:U61)/'Assumptions'!$J$83,0)+IF(C15=(13-'Assumptions'!$J$83)-1,'Revenue and costs'!V61+'Revenue and costs'!AE61,0)+IF(AND(C15&gt;=(13-'Assumptions'!$J$84),C15&lt;=12),SUM('Revenue and costs'!O62:U62)/'Assumptions'!$J$84,0)+IF(C15=(13-'Assumptions'!$J$84)-1,'Revenue and costs'!V62+'Revenue and costs'!AE62,0)+IF(AND(C15&gt;=(13-'Assumptions'!$J$85),C15&lt;=12),SUM('Revenue and costs'!O63:U63)/'Assumptions'!$J$85,0)+IF(C15=(13-'Assumptions'!$J$85)-1,'Revenue and costs'!V63+'Revenue and costs'!AE63,0)+IF(AND(C15&gt;=(13-'Assumptions'!$J$86),C15&lt;=12),SUM('Revenue and costs'!O64:U64)/'Assumptions'!$J$86,0)+IF(C15=(13-'Assumptions'!$J$86)-1,'Revenue and costs'!V64+'Revenue and costs'!AE64,0)+IF(AND(C15&gt;=(13-'Assumptions'!$J$87),C15&lt;=12),SUM('Revenue and costs'!O65:U65)/'Assumptions'!$J$87,0)+IF(C15=(13-'Assumptions'!$J$87)-1,'Revenue and costs'!V65+'Revenue and costs'!AE65,0)+IF(AND(C15&gt;=(13-'Assumptions'!$J$88),C15&lt;=12),SUM('Revenue and costs'!O66:U66)/'Assumptions'!$J$88,0)+IF(C15=(13-'Assumptions'!$J$88)-1,'Revenue and costs'!V66+'Revenue and costs'!AE66,0)+IF(AND(C15&gt;=(13-'Assumptions'!$J$89),C15&lt;=12),SUM('Revenue and costs'!O67:U67)/'Assumptions'!$J$89,0)+IF(C15=(13-'Assumptions'!$J$89)-1,'Revenue and costs'!V67+'Revenue and costs'!AE67,0)+IF(AND(C15&gt;=(13-'Assumptions'!$J$90),C15&lt;=12),SUM('Revenue and costs'!O68:U68)/'Assumptions'!$J$90,0)+IF(C15=(13-'Assumptions'!$J$90)-1,'Revenue and costs'!V68+'Revenue and costs'!AE68,0)+IF(AND(C15&gt;=(13-'Assumptions'!$J$91),C15&lt;=12),SUM('Revenue and costs'!O69:U69)/'Assumptions'!$J$91,0)+IF(C15=(13-'Assumptions'!$J$91)-1,'Revenue and costs'!V69+'Revenue and costs'!AE69,0)+IF(AND(C15&gt;=(13-'Assumptions'!$J$92),C15&lt;=12),SUM('Revenue and costs'!O70:U70)/'Assumptions'!$J$92,0)+IF(C15=(13-'Assumptions'!$J$92)-1,'Revenue and costs'!V70+'Revenue and costs'!AE70,0)+IF(AND(C15&gt;=(13-'Assumptions'!$J$93),C15&lt;=12),SUM('Revenue and costs'!O71:U71)/'Assumptions'!$J$93,0)+IF(C15=(13-'Assumptions'!$J$93)-1,'Revenue and costs'!V71+'Revenue and costs'!AE71,0)+IF(AND(C15&gt;=(13-'Assumptions'!$J$94),C15&lt;=12),SUM('Revenue and costs'!O72:U72)/'Assumptions'!$J$94,0)+IF(C15=(13-'Assumptions'!$J$94)-1,'Revenue and costs'!V72+'Revenue and costs'!AE72,0)+IF(AND(C15&gt;=(13-'Assumptions'!$J$95),C15&lt;=12),SUM('Revenue and costs'!O73:U73)/'Assumptions'!$J$95,0)+IF(C15=(13-'Assumptions'!$J$95)-1,'Revenue and costs'!V73+'Revenue and costs'!AE73,0)+IF(AND(C15&gt;=(13-'Assumptions'!$J$96),C15&lt;=12),SUM('Revenue and costs'!O74:U74)/'Assumptions'!$J$96,0)+IF(C15=(13-'Assumptions'!$J$96)-1,'Revenue and costs'!V74+'Revenue and costs'!AE74,0)+IF(AND(C15&gt;=(13-'Assumptions'!$J$97),C15&lt;=12),SUM('Revenue and costs'!O75:U75)/'Assumptions'!$J$97,0)+IF(C15=(13-'Assumptions'!$J$97)-1,'Revenue and costs'!V75+'Revenue and costs'!AE75,0)+IF(AND(C15&gt;=(13-'Assumptions'!$J$98),C15&lt;=12),SUM('Revenue and costs'!O76:U76)/'Assumptions'!$J$98,0)+IF(C15=(13-'Assumptions'!$J$98)-1,'Revenue and costs'!V76+'Revenue and costs'!AE76,0)+IF(AND(C15&gt;=(13-'Assumptions'!$J$99),C15&lt;=12),SUM('Revenue and costs'!O77:U77)/'Assumptions'!$J$99,0)+IF(C15=(13-'Assumptions'!$J$99)-1,'Revenue and costs'!V77+'Revenue and costs'!AE77,0)+IF(AND(C15&gt;=(13-'Assumptions'!$J$100),C15&lt;=12),SUM('Revenue and costs'!O78:U78)/'Assumptions'!$J$100,0)+IF(C15=(13-'Assumptions'!$J$100)-1,'Revenue and costs'!V78+'Revenue and costs'!AE78,0)+IF(AND(C15&gt;=(13-'Assumptions'!$J$101),C15&lt;=12),SUM('Revenue and costs'!O79:U79)/'Assumptions'!$J$101,0)+IF(C15=(13-'Assumptions'!$J$101)-1,'Revenue and costs'!V79+'Revenue and costs'!AE79,0)+IF(AND(C15&gt;=(13-'Assumptions'!$J$102),C15&lt;=12),SUM('Revenue and costs'!O80:U80)/'Assumptions'!$J$102,0)+IF(C15=(13-'Assumptions'!$J$102)-1,'Revenue and costs'!V80+'Revenue and costs'!AE80,0)+IF(AND(C15&gt;=(13-'Assumptions'!$J$103),C15&lt;=12),SUM('Revenue and costs'!O81:U81)/'Assumptions'!$J$103,0)+IF(C15=(13-'Assumptions'!$J$103)-1,'Revenue and costs'!V81+'Revenue and costs'!AE81,0)+IF(AND(C15&gt;=(13-'Assumptions'!$J$104),C15&lt;=12),SUM('Revenue and costs'!O82:U82)/'Assumptions'!$J$104,0)+IF(C15=(13-'Assumptions'!$J$104)-1,'Revenue and costs'!V82+'Revenue and costs'!AE82,0)+IF(AND(C15&gt;=(13-'Assumptions'!$J$105),C15&lt;=12),SUM('Revenue and costs'!O83:U83)/'Assumptions'!$J$105,0)+IF(C15=(13-'Assumptions'!$J$105)-1,'Revenue and costs'!V83+'Revenue and costs'!AE83,0)+IF(AND(C15&gt;=(13-'Assumptions'!$J$106),C15&lt;=12),SUM('Revenue and costs'!O84:U84)/'Assumptions'!$J$106,0)+IF(C15=(13-'Assumptions'!$J$106)-1,'Revenue and costs'!V84+'Revenue and costs'!AE84,0)+IF(AND(C15&gt;=(13-'Assumptions'!$J$107),C15&lt;=12),SUM('Revenue and costs'!O85:U85)/'Assumptions'!$J$107,0)+IF(C15=(13-'Assumptions'!$J$107)-1,'Revenue and costs'!V85+'Revenue and costs'!AE85,0)+IF(AND(C15&gt;=(13-'Assumptions'!$J$108),C15&lt;=12),SUM('Revenue and costs'!O86:U86)/'Assumptions'!$J$108,0)+IF(C15=(13-'Assumptions'!$J$108)-1,'Revenue and costs'!V86+'Revenue and costs'!AE86,0)+IF(AND(C15&gt;=(13-'Assumptions'!$J$109),C15&lt;=12),SUM('Revenue and costs'!O87:U87)/'Assumptions'!$J$109,0)+IF(C15=(13-'Assumptions'!$J$109)-1,'Revenue and costs'!V87+'Revenue and costs'!AE87,0)+IF(AND(C15&gt;=(13-'Assumptions'!$J$110),C15&lt;=12),SUM('Revenue and costs'!O88:U88)/'Assumptions'!$J$110,0)+IF(C15=(13-'Assumptions'!$J$110)-1,'Revenue and costs'!V88+'Revenue and costs'!AE88,0)+IF(AND(C15&gt;=(13-'Assumptions'!$J$111),C15&lt;=12),SUM('Revenue and costs'!O89:U89)/'Assumptions'!$J$111,0)+IF(C15=(13-'Assumptions'!$J$111)-1,'Revenue and costs'!V89+'Revenue and costs'!AE89,0)+IF(AND(C15&gt;=(13-'Assumptions'!$J$112),C15&lt;=12),SUM('Revenue and costs'!O90:U90)/'Assumptions'!$J$112,0)+IF(C15=(13-'Assumptions'!$J$112)-1,'Revenue and costs'!V90+'Revenue and costs'!AE90,0)+IF(AND(C15&gt;=(13-'Assumptions'!$J$113),C15&lt;=12),SUM('Revenue and costs'!O91:U91)/'Assumptions'!$J$113,0)+IF(C15=(13-'Assumptions'!$J$113)-1,'Revenue and costs'!V91+'Revenue and costs'!AE91,0)+IF(AND(C15&gt;=(13-'Assumptions'!$J$114),C15&lt;=12),SUM('Revenue and costs'!O92:U92)/'Assumptions'!$J$114,0)+IF(C15=(13-'Assumptions'!$J$114)-1,'Revenue and costs'!V92+'Revenue and costs'!AE92,0)+IF(AND(C15&gt;=(13-'Assumptions'!$J$115),C15&lt;=12),SUM('Revenue and costs'!O93:U93)/'Assumptions'!$J$115,0)+IF(C15=(13-'Assumptions'!$J$115)-1,'Revenue and costs'!V93+'Revenue and costs'!AE93,0)+IF(AND(C15&gt;=(13-'Assumptions'!$J$116),C15&lt;=12),SUM('Revenue and costs'!O94:U94)/'Assumptions'!$J$116,0)+IF(C15=(13-'Assumptions'!$J$116)-1,'Revenue and costs'!V94+'Revenue and costs'!AE94,0)+IF(AND(C15&gt;=(13-'Assumptions'!$J$117),C15&lt;=12),SUM('Revenue and costs'!O95:U95)/'Assumptions'!$J$117,0)+IF(C15=(13-'Assumptions'!$J$117)-1,'Revenue and costs'!V95+'Revenue and costs'!AE95,0)+IF(AND(C15&gt;=(13-'Assumptions'!$J$118),C15&lt;=12),SUM('Revenue and costs'!O96:U96)/'Assumptions'!$J$118,0)+IF(C15=(13-'Assumptions'!$J$118)-1,'Revenue and costs'!V96+'Revenue and costs'!AE96,0)+IF(AND(C15&gt;=(13-'Assumptions'!$J$119),C15&lt;=12),SUM('Revenue and costs'!O97:U97)/'Assumptions'!$J$119,0)+IF(C15=(13-'Assumptions'!$J$119)-1,'Revenue and costs'!V97+'Revenue and costs'!AE97,0)+IF(AND(C15&gt;=(13-'Assumptions'!$J$120),C15&lt;=12),SUM('Revenue and costs'!O98:U98)/'Assumptions'!$J$120,0)+IF(C15=(13-'Assumptions'!$J$120)-1,'Revenue and costs'!V98+'Revenue and costs'!AE98,0)+IF(AND(C15&gt;=(13-'Assumptions'!$J$121),C15&lt;=12),SUM('Revenue and costs'!O99:U99)/'Assumptions'!$J$121,0)+IF(C15=(13-'Assumptions'!$J$121)-1,'Revenue and costs'!V99+'Revenue and costs'!AE99,0)+IF(AND(C15&gt;=(13-'Assumptions'!$J$122),C15&lt;=12),SUM('Revenue and costs'!O100:U100)/'Assumptions'!$J$122,0)+IF(C15=(13-'Assumptions'!$J$122)-1,'Revenue and costs'!V100+'Revenue and costs'!AE100,0)+IF(AND(C15&gt;=(13-'Assumptions'!$J$123),C15&lt;=12),SUM('Revenue and costs'!O101:U101)/'Assumptions'!$J$123,0)+IF(C15=(13-'Assumptions'!$J$123)-1,'Revenue and costs'!V101+'Revenue and costs'!AE101,0)+IF(AND(C15&gt;=(13-'Assumptions'!$J$124),C15&lt;=12),SUM('Revenue and costs'!O102:U102)/'Assumptions'!$J$124,0)+IF(C15=(13-'Assumptions'!$J$124)-1,'Revenue and costs'!V102+'Revenue and costs'!AE102,0)+IF(AND(C15&gt;=(13-'Assumptions'!$J$125),C15&lt;=12),SUM('Revenue and costs'!O103:U103)/'Assumptions'!$J$125,0)+IF(C15=(13-'Assumptions'!$J$125)-1,'Revenue and costs'!V103+'Revenue and costs'!AE103,0)+IF(AND(C15&gt;=(13-'Assumptions'!$J$126),C15&lt;=12),SUM('Revenue and costs'!O104:U104)/'Assumptions'!$J$126,0)+IF(C15=(13-'Assumptions'!$J$126)-1,'Revenue and costs'!V104+'Revenue and costs'!AE104,0)+IF(AND(C15&gt;=(13-'Assumptions'!$J$127),C15&lt;=12),SUM('Revenue and costs'!O105:U105)/'Assumptions'!$J$127,0)+IF(C15=(13-'Assumptions'!$J$127)-1,'Revenue and costs'!V105+'Revenue and costs'!AE105,0)+IF(AND(C15&gt;=(13-'Assumptions'!$J$128),C15&lt;=12),SUM('Revenue and costs'!O106:U106)/'Assumptions'!$J$128,0)+IF(C15=(13-'Assumptions'!$J$128)-1,'Revenue and costs'!V106+'Revenue and costs'!AE106,0)+IF(AND(C15&gt;=(13-'Assumptions'!$J$129),C15&lt;=12),SUM('Revenue and costs'!O107:U107)/'Assumptions'!$J$129,0)+IF(C15=(13-'Assumptions'!$J$129)-1,'Revenue and costs'!V107+'Revenue and costs'!AE107,0)+IF(AND(C15&gt;=(13-'Assumptions'!$J$130),C15&lt;=12),SUM('Revenue and costs'!O108:U108)/'Assumptions'!$J$130,0)+IF(C15=(13-'Assumptions'!$J$130)-1,'Revenue and costs'!V108+'Revenue and costs'!AE108,0)+IF(AND(C15&gt;=(13-'Assumptions'!$J$131),C15&lt;=12),SUM('Revenue and costs'!O109:U109)/'Assumptions'!$J$131,0)+IF(C15=(13-'Assumptions'!$J$131)-1,'Revenue and costs'!V109+'Revenue and costs'!AE109,0)+IF(AND(C15&gt;=(13-'Assumptions'!$J$132),C15&lt;=12),SUM('Revenue and costs'!O110:U110)/'Assumptions'!$J$132,0)+IF(C15=(13-'Assumptions'!$J$132)-1,'Revenue and costs'!V110+'Revenue and costs'!AE110,0)+IF(AND(C15&gt;=(13-'Assumptions'!$J$133),C15&lt;=12),SUM('Revenue and costs'!O111:U111)/'Assumptions'!$J$133,0)+IF(C15=(13-'Assumptions'!$J$133)-1,'Revenue and costs'!V111+'Revenue and costs'!AE111,0)+IF(AND(C15&gt;=(13-'Assumptions'!$J$134),C15&lt;=12),SUM('Revenue and costs'!O112:U112)/'Assumptions'!$J$134,0)+IF(C15=(13-'Assumptions'!$J$134)-1,'Revenue and costs'!V112+'Revenue and costs'!AE112,0)+IF(AND(C15&gt;=(13-'Assumptions'!$J$135),C15&lt;=12),SUM('Revenue and costs'!O113:U113)/'Assumptions'!$J$135,0)+IF(C15=(13-'Assumptions'!$J$135)-1,'Revenue and costs'!V113+'Revenue and costs'!AE113,0)+IF(AND(C15&gt;=(13-'Assumptions'!$J$136),C15&lt;=12),SUM('Revenue and costs'!O114:U114)/'Assumptions'!$J$136,0)+IF(C15=(13-'Assumptions'!$J$136)-1,'Revenue and costs'!V114+'Revenue and costs'!AE114,0)+IF(AND(C15&gt;=(13-'Assumptions'!$J$137),C15&lt;=12),SUM('Revenue and costs'!O115:U115)/'Assumptions'!$J$137,0)+IF(C15=(13-'Assumptions'!$J$137)-1,'Revenue and costs'!V115+'Revenue and costs'!AE115,0)+IF(AND(C15&gt;=(13-'Assumptions'!$J$138),C15&lt;=12),SUM('Revenue and costs'!O116:U116)/'Assumptions'!$J$138,0)+IF(C15=(13-'Assumptions'!$J$138)-1,'Revenue and costs'!V116+'Revenue and costs'!AE116,0)+IF(AND(C15&gt;=(13-'Assumptions'!$J$139),C15&lt;=12),SUM('Revenue and costs'!O117:U117)/'Assumptions'!$J$139,0)+IF(C15=(13-'Assumptions'!$J$139)-1,'Revenue and costs'!V117+'Revenue and costs'!AE117,0)+IF(AND(C15&gt;=(13-'Assumptions'!$J$140),C15&lt;=12),SUM('Revenue and costs'!O118:U118)/'Assumptions'!$J$140,0)+IF(C15=(13-'Assumptions'!$J$140)-1,'Revenue and costs'!V118+'Revenue and costs'!AE118,0)+IF(AND(C15&gt;=(13-'Assumptions'!$J$141),C15&lt;=12),SUM('Revenue and costs'!O119:U119)/'Assumptions'!$J$141,0)+IF(C15=(13-'Assumptions'!$J$141)-1,'Revenue and costs'!V119+'Revenue and costs'!AE119,0)+IF(AND(C15&gt;=(13-'Assumptions'!$J$142),C15&lt;=12),SUM('Revenue and costs'!O120:U120)/'Assumptions'!$J$142,0)+IF(C15=(13-'Assumptions'!$J$142)-1,'Revenue and costs'!V120+'Revenue and costs'!AE120,0)+IF(AND(C15&gt;=(13-'Assumptions'!$J$143),C15&lt;=12),SUM('Revenue and costs'!O121:U121)/'Assumptions'!$J$143,0)+IF(C15=(13-'Assumptions'!$J$143)-1,'Revenue and costs'!V121+'Revenue and costs'!AE121,0)+IF(AND(C15&gt;=(13-'Assumptions'!$J$144),C15&lt;=12),SUM('Revenue and costs'!O122:U122)/'Assumptions'!$J$144,0)+IF(C15=(13-'Assumptions'!$J$144)-1,'Revenue and costs'!V122+'Revenue and costs'!AE122,0)+IF(AND(C15&gt;=(13-'Assumptions'!$J$145),C15&lt;=12),SUM('Revenue and costs'!O123:U123)/'Assumptions'!$J$145,0)+IF(C15=(13-'Assumptions'!$J$145)-1,'Revenue and costs'!V123+'Revenue and costs'!AE123,0)+IF(AND(C15&gt;=(13-'Assumptions'!$J$146),C15&lt;=12),SUM('Revenue and costs'!O124:U124)/'Assumptions'!$J$146,0)+IF(C15=(13-'Assumptions'!$J$146)-1,'Revenue and costs'!V124+'Revenue and costs'!AE124,0)+IF(AND(C15&gt;=(13-'Assumptions'!$J$147),C15&lt;=12),SUM('Revenue and costs'!O125:U125)/'Assumptions'!$J$147,0)+IF(C15=(13-'Assumptions'!$J$147)-1,'Revenue and costs'!V125+'Revenue and costs'!AE125,0)+IF(AND(C15&gt;=(13-'Assumptions'!$J$148),C15&lt;=12),SUM('Revenue and costs'!O126:U126)/'Assumptions'!$J$148,0)+IF(C15=(13-'Assumptions'!$J$148)-1,'Revenue and costs'!V126+'Revenue and costs'!AE126,0)+IF(AND(C15&gt;=(13-'Assumptions'!$J$149),C15&lt;=12),SUM('Revenue and costs'!O127:U127)/'Assumptions'!$J$149,0)+IF(C15=(13-'Assumptions'!$J$149)-1,'Revenue and costs'!V127+'Revenue and costs'!AE127,0)+IF(AND(C15&gt;=(13-'Assumptions'!$J$150),C15&lt;=12),SUM('Revenue and costs'!O128:U128)/'Assumptions'!$J$150,0)+IF(C15=(13-'Assumptions'!$J$150)-1,'Revenue and costs'!V128+'Revenue and costs'!AE128,0)+IF(AND(C15&gt;=(13-'Assumptions'!$J$151),C15&lt;=12),SUM('Revenue and costs'!O129:U129)/'Assumptions'!$J$151,0)+IF(C15=(13-'Assumptions'!$J$151)-1,'Revenue and costs'!V129+'Revenue and costs'!AE129,0)+IF(AND(C15&gt;=(13-'Assumptions'!$J$152),C15&lt;=12),SUM('Revenue and costs'!O130:U130)/'Assumptions'!$J$152,0)+IF(C15=(13-'Assumptions'!$J$152)-1,'Revenue and costs'!V130+'Revenue and costs'!AE130,0)+IF(AND(C15&gt;=(13-'Assumptions'!$J$153),C15&lt;=12),SUM('Revenue and costs'!O131:U131)/'Assumptions'!$J$153,0)+IF(C15=(13-'Assumptions'!$J$153)-1,'Revenue and costs'!V131+'Revenue and costs'!AE131,0)+IF(AND(C15&gt;=(13-'Assumptions'!$J$154),C15&lt;=12),SUM('Revenue and costs'!O132:U132)/'Assumptions'!$J$154,0)+IF(C15=(13-'Assumptions'!$J$154)-1,'Revenue and costs'!V132+'Revenue and costs'!AE132,0)+IF(AND(C15&gt;=(13-'Assumptions'!$J$155),C15&lt;=12),SUM('Revenue and costs'!O133:U133)/'Assumptions'!$J$155,0)+IF(C15=(13-'Assumptions'!$J$155)-1,'Revenue and costs'!V133+'Revenue and costs'!AE133,0)+IF(AND(C15&gt;=(13-'Assumptions'!$J$156),C15&lt;=12),SUM('Revenue and costs'!O134:U134)/'Assumptions'!$J$156,0)+IF(C15=(13-'Assumptions'!$J$156)-1,'Revenue and costs'!V134+'Revenue and costs'!AE134,0)+IF(AND(C15&gt;=(13-'Assumptions'!$J$157),C15&lt;=12),SUM('Revenue and costs'!O135:U135)/'Assumptions'!$J$157,0)+IF(C15=(13-'Assumptions'!$J$157)-1,'Revenue and costs'!V135+'Revenue and costs'!AE135,0)+IF(C15&gt;0,'Shared costs'!H21/12+'Assumptions'!$D$18*'Assumptions'!$D$19*'Assumptions'!$D$21,0)</x:f>
        <x:v>76433.69269999999</x:v>
      </x:c>
      <x:c r="F15" s="10" t="n">
        <x:f>IF(C15=12,'Income statement'!D85,0)</x:f>
        <x:v>0</x:v>
      </x:c>
      <x:c r="G15" s="10" t="n">
        <x:f>IF(C15=(13-'Assumptions'!$J$30)-1,'Revenue and costs'!Y8,0)+IF(C15=(13-'Assumptions'!$J$31)-1,'Revenue and costs'!Y9,0)+IF(C15=(13-'Assumptions'!$J$32)-1,'Revenue and costs'!Y10,0)+IF(C15=(13-'Assumptions'!$J$33)-1,'Revenue and costs'!Y11,0)+IF(C15=(13-'Assumptions'!$J$34)-1,'Revenue and costs'!Y12,0)+IF(C15=(13-'Assumptions'!$J$35)-1,'Revenue and costs'!Y13,0)+IF(C15=(13-'Assumptions'!$J$36)-1,'Revenue and costs'!Y14,0)+IF(C15=(13-'Assumptions'!$J$37)-1,'Revenue and costs'!Y15,0)+IF(C15=(13-'Assumptions'!$J$38)-1,'Revenue and costs'!Y16,0)+IF(C15=(13-'Assumptions'!$J$39)-1,'Revenue and costs'!Y17,0)+IF(C15=(13-'Assumptions'!$J$40)-1,'Revenue and costs'!Y18,0)+IF(C15=(13-'Assumptions'!$J$41)-1,'Revenue and costs'!Y19,0)+IF(C15=(13-'Assumptions'!$J$42)-1,'Revenue and costs'!Y20,0)+IF(C15=(13-'Assumptions'!$J$43)-1,'Revenue and costs'!Y21,0)+IF(C15=(13-'Assumptions'!$J$44)-1,'Revenue and costs'!Y22,0)+IF(C15=(13-'Assumptions'!$J$45)-1,'Revenue and costs'!Y23,0)+IF(C15=(13-'Assumptions'!$J$46)-1,'Revenue and costs'!Y24,0)+IF(C15=(13-'Assumptions'!$J$47)-1,'Revenue and costs'!Y25,0)+IF(C15=(13-'Assumptions'!$J$48)-1,'Revenue and costs'!Y26,0)+IF(C15=(13-'Assumptions'!$J$49)-1,'Revenue and costs'!Y27,0)+IF(C15=(13-'Assumptions'!$J$50)-1,'Revenue and costs'!Y28,0)+IF(C15=(13-'Assumptions'!$J$51)-1,'Revenue and costs'!Y29,0)+IF(C15=(13-'Assumptions'!$J$52)-1,'Revenue and costs'!Y30,0)+IF(C15=(13-'Assumptions'!$J$53)-1,'Revenue and costs'!Y31,0)+IF(C15=(13-'Assumptions'!$J$54)-1,'Revenue and costs'!Y32,0)+IF(C15=(13-'Assumptions'!$J$55)-1,'Revenue and costs'!Y33,0)+IF(C15=(13-'Assumptions'!$J$56)-1,'Revenue and costs'!Y34,0)+IF(C15=(13-'Assumptions'!$J$57)-1,'Revenue and costs'!Y35,0)+IF(C15=(13-'Assumptions'!$J$58)-1,'Revenue and costs'!Y36,0)+IF(C15=(13-'Assumptions'!$J$59)-1,'Revenue and costs'!Y37,0)+IF(C15=(13-'Assumptions'!$J$60)-1,'Revenue and costs'!Y38,0)+IF(C15=(13-'Assumptions'!$J$61)-1,'Revenue and costs'!Y39,0)+IF(C15=(13-'Assumptions'!$J$62)-1,'Revenue and costs'!Y40,0)+IF(C15=(13-'Assumptions'!$J$63)-1,'Revenue and costs'!Y41,0)+IF(C15=(13-'Assumptions'!$J$64)-1,'Revenue and costs'!Y42,0)+IF(C15=(13-'Assumptions'!$J$65)-1,'Revenue and costs'!Y43,0)+IF(C15=(13-'Assumptions'!$J$66)-1,'Revenue and costs'!Y44,0)+IF(C15=(13-'Assumptions'!$J$67)-1,'Revenue and costs'!Y45,0)+IF(C15=(13-'Assumptions'!$J$68)-1,'Revenue and costs'!Y46,0)+IF(C15=(13-'Assumptions'!$J$69)-1,'Revenue and costs'!Y47,0)+IF(C15=(13-'Assumptions'!$J$70)-1,'Revenue and costs'!Y48,0)+IF(C15=(13-'Assumptions'!$J$71)-1,'Revenue and costs'!Y49,0)+IF(C15=(13-'Assumptions'!$J$72)-1,'Revenue and costs'!Y50,0)+IF(C15=(13-'Assumptions'!$J$73)-1,'Revenue and costs'!Y51,0)+IF(C15=(13-'Assumptions'!$J$74)-1,'Revenue and costs'!Y52,0)+IF(C15=(13-'Assumptions'!$J$75)-1,'Revenue and costs'!Y53,0)+IF(C15=(13-'Assumptions'!$J$76)-1,'Revenue and costs'!Y54,0)+IF(C15=(13-'Assumptions'!$J$77)-1,'Revenue and costs'!Y55,0)+IF(C15=(13-'Assumptions'!$J$78)-1,'Revenue and costs'!Y56,0)+IF(C15=(13-'Assumptions'!$J$79)-1,'Revenue and costs'!Y57,0)+IF(C15=(13-'Assumptions'!$J$80)-1,'Revenue and costs'!Y58,0)+IF(C15=(13-'Assumptions'!$J$81)-1,'Revenue and costs'!Y59,0)+IF(C15=(13-'Assumptions'!$J$82)-1,'Revenue and costs'!Y60,0)+IF(C15=(13-'Assumptions'!$J$83)-1,'Revenue and costs'!Y61,0)+IF(C15=(13-'Assumptions'!$J$84)-1,'Revenue and costs'!Y62,0)+IF(C15=(13-'Assumptions'!$J$85)-1,'Revenue and costs'!Y63,0)+IF(C15=(13-'Assumptions'!$J$86)-1,'Revenue and costs'!Y64,0)+IF(C15=(13-'Assumptions'!$J$87)-1,'Revenue and costs'!Y65,0)+IF(C15=(13-'Assumptions'!$J$88)-1,'Revenue and costs'!Y66,0)+IF(C15=(13-'Assumptions'!$J$89)-1,'Revenue and costs'!Y67,0)+IF(C15=(13-'Assumptions'!$J$90)-1,'Revenue and costs'!Y68,0)+IF(C15=(13-'Assumptions'!$J$91)-1,'Revenue and costs'!Y69,0)+IF(C15=(13-'Assumptions'!$J$92)-1,'Revenue and costs'!Y70,0)+IF(C15=(13-'Assumptions'!$J$93)-1,'Revenue and costs'!Y71,0)+IF(C15=(13-'Assumptions'!$J$94)-1,'Revenue and costs'!Y72,0)+IF(C15=(13-'Assumptions'!$J$95)-1,'Revenue and costs'!Y73,0)+IF(C15=(13-'Assumptions'!$J$96)-1,'Revenue and costs'!Y74,0)+IF(C15=(13-'Assumptions'!$J$97)-1,'Revenue and costs'!Y75,0)+IF(C15=(13-'Assumptions'!$J$98)-1,'Revenue and costs'!Y76,0)+IF(C15=(13-'Assumptions'!$J$99)-1,'Revenue and costs'!Y77,0)+IF(C15=(13-'Assumptions'!$J$100)-1,'Revenue and costs'!Y78,0)+IF(C15=(13-'Assumptions'!$J$101)-1,'Revenue and costs'!Y79,0)+IF(C15=(13-'Assumptions'!$J$102)-1,'Revenue and costs'!Y80,0)+IF(C15=(13-'Assumptions'!$J$103)-1,'Revenue and costs'!Y81,0)+IF(C15=(13-'Assumptions'!$J$104)-1,'Revenue and costs'!Y82,0)+IF(C15=(13-'Assumptions'!$J$105)-1,'Revenue and costs'!Y83,0)+IF(C15=(13-'Assumptions'!$J$106)-1,'Revenue and costs'!Y84,0)+IF(C15=(13-'Assumptions'!$J$107)-1,'Revenue and costs'!Y85,0)+IF(C15=(13-'Assumptions'!$J$108)-1,'Revenue and costs'!Y86,0)+IF(C15=(13-'Assumptions'!$J$109)-1,'Revenue and costs'!Y87,0)+IF(C15=(13-'Assumptions'!$J$110)-1,'Revenue and costs'!Y88,0)+IF(C15=(13-'Assumptions'!$J$111)-1,'Revenue and costs'!Y89,0)+IF(C15=(13-'Assumptions'!$J$112)-1,'Revenue and costs'!Y90,0)+IF(C15=(13-'Assumptions'!$J$113)-1,'Revenue and costs'!Y91,0)+IF(C15=(13-'Assumptions'!$J$114)-1,'Revenue and costs'!Y92,0)+IF(C15=(13-'Assumptions'!$J$115)-1,'Revenue and costs'!Y93,0)+IF(C15=(13-'Assumptions'!$J$116)-1,'Revenue and costs'!Y94,0)+IF(C15=(13-'Assumptions'!$J$117)-1,'Revenue and costs'!Y95,0)+IF(C15=(13-'Assumptions'!$J$118)-1,'Revenue and costs'!Y96,0)+IF(C15=(13-'Assumptions'!$J$119)-1,'Revenue and costs'!Y97,0)+IF(C15=(13-'Assumptions'!$J$120)-1,'Revenue and costs'!Y98,0)+IF(C15=(13-'Assumptions'!$J$121)-1,'Revenue and costs'!Y99,0)+IF(C15=(13-'Assumptions'!$J$122)-1,'Revenue and costs'!Y100,0)+IF(C15=(13-'Assumptions'!$J$123)-1,'Revenue and costs'!Y101,0)+IF(C15=(13-'Assumptions'!$J$124)-1,'Revenue and costs'!Y102,0)+IF(C15=(13-'Assumptions'!$J$125)-1,'Revenue and costs'!Y103,0)+IF(C15=(13-'Assumptions'!$J$126)-1,'Revenue and costs'!Y104,0)+IF(C15=(13-'Assumptions'!$J$127)-1,'Revenue and costs'!Y105,0)+IF(C15=(13-'Assumptions'!$J$128)-1,'Revenue and costs'!Y106,0)+IF(C15=(13-'Assumptions'!$J$129)-1,'Revenue and costs'!Y107,0)+IF(C15=(13-'Assumptions'!$J$130)-1,'Revenue and costs'!Y108,0)+IF(C15=(13-'Assumptions'!$J$131)-1,'Revenue and costs'!Y109,0)+IF(C15=(13-'Assumptions'!$J$132)-1,'Revenue and costs'!Y110,0)+IF(C15=(13-'Assumptions'!$J$133)-1,'Revenue and costs'!Y111,0)+IF(C15=(13-'Assumptions'!$J$134)-1,'Revenue and costs'!Y112,0)+IF(C15=(13-'Assumptions'!$J$135)-1,'Revenue and costs'!Y113,0)+IF(C15=(13-'Assumptions'!$J$136)-1,'Revenue and costs'!Y114,0)+IF(C15=(13-'Assumptions'!$J$137)-1,'Revenue and costs'!Y115,0)+IF(C15=(13-'Assumptions'!$J$138)-1,'Revenue and costs'!Y116,0)+IF(C15=(13-'Assumptions'!$J$139)-1,'Revenue and costs'!Y117,0)+IF(C15=(13-'Assumptions'!$J$140)-1,'Revenue and costs'!Y118,0)+IF(C15=(13-'Assumptions'!$J$141)-1,'Revenue and costs'!Y119,0)+IF(C15=(13-'Assumptions'!$J$142)-1,'Revenue and costs'!Y120,0)+IF(C15=(13-'Assumptions'!$J$143)-1,'Revenue and costs'!Y121,0)+IF(C15=(13-'Assumptions'!$J$144)-1,'Revenue and costs'!Y122,0)+IF(C15=(13-'Assumptions'!$J$145)-1,'Revenue and costs'!Y123,0)+IF(C15=(13-'Assumptions'!$J$146)-1,'Revenue and costs'!Y124,0)+IF(C15=(13-'Assumptions'!$J$147)-1,'Revenue and costs'!Y125,0)+IF(C15=(13-'Assumptions'!$J$148)-1,'Revenue and costs'!Y126,0)+IF(C15=(13-'Assumptions'!$J$149)-1,'Revenue and costs'!Y127,0)+IF(C15=(13-'Assumptions'!$J$150)-1,'Revenue and costs'!Y128,0)+IF(C15=(13-'Assumptions'!$J$151)-1,'Revenue and costs'!Y129,0)+IF(C15=(13-'Assumptions'!$J$152)-1,'Revenue and costs'!Y130,0)+IF(C15=(13-'Assumptions'!$J$153)-1,'Revenue and costs'!Y131,0)+IF(C15=(13-'Assumptions'!$J$154)-1,'Revenue and costs'!Y132,0)+IF(C15=(13-'Assumptions'!$J$155)-1,'Revenue and costs'!Y133,0)+IF(C15=(13-'Assumptions'!$J$156)-1,'Revenue and costs'!Y134,0)+IF(C15=(13-'Assumptions'!$J$157)-1,'Revenue and costs'!Y135,0)</x:f>
        <x:v>0</x:v>
      </x:c>
      <x:c r="H15" s="10" t="n">
        <x:f>IF(C15=0,'Cash and capital'!D13,0)</x:f>
        <x:v>0</x:v>
      </x:c>
      <x:c r="I15" s="10" t="n">
        <x:f>D15-E15-F15-G15-H15</x:f>
        <x:v>32990.64063333337</x:v>
      </x:c>
      <x:c r="J15" s="10" t="n">
        <x:f>J14+I15</x:f>
        <x:v>54296.19616666675</x:v>
      </x:c>
      <x:c r="K15" s="10" t="n">
        <x:f>MAX(0,-MIN($J$8:J15))</x:f>
        <x:v>25216.872599999995</x:v>
      </x:c>
      <x:c r="L15" s="10"/>
      <x:c r="M15" s="10"/>
      <x:c r="N15" s="10"/>
      <x:c r="O15" s="10"/>
      <x:c r="P15" s="10"/>
      <x:c r="Q15" s="10"/>
    </x:row>
    <x:row r="16" ht="16" customHeight="1">
      <x:c r="A16" s="1"/>
      <x:c r="B16" s="1"/>
      <x:c r="C16" s="1" t="n">
        <x:v>8</x:v>
      </x:c>
      <x:c r="D16" s="10" t="n">
        <x:f>IF(AND(C16&gt;=(13-'Assumptions'!$J$30)+'Assumptions'!$AF$30,C16&lt;=12),'Revenue and costs'!N8/'Assumptions'!$J$30,0)+IF(AND(C16&gt;=(13-'Assumptions'!$J$31)+'Assumptions'!$AF$31,C16&lt;=12),'Revenue and costs'!N9/'Assumptions'!$J$31,0)+IF(AND(C16&gt;=(13-'Assumptions'!$J$32)+'Assumptions'!$AF$32,C16&lt;=12),'Revenue and costs'!N10/'Assumptions'!$J$32,0)+IF(AND(C16&gt;=(13-'Assumptions'!$J$33)+'Assumptions'!$AF$33,C16&lt;=12),'Revenue and costs'!N11/'Assumptions'!$J$33,0)+IF(AND(C16&gt;=(13-'Assumptions'!$J$34)+'Assumptions'!$AF$34,C16&lt;=12),'Revenue and costs'!N12/'Assumptions'!$J$34,0)+IF(AND(C16&gt;=(13-'Assumptions'!$J$35)+'Assumptions'!$AF$35,C16&lt;=12),'Revenue and costs'!N13/'Assumptions'!$J$35,0)+IF(AND(C16&gt;=(13-'Assumptions'!$J$36)+'Assumptions'!$AF$36,C16&lt;=12),'Revenue and costs'!N14/'Assumptions'!$J$36,0)+IF(AND(C16&gt;=(13-'Assumptions'!$J$37)+'Assumptions'!$AF$37,C16&lt;=12),'Revenue and costs'!N15/'Assumptions'!$J$37,0)+IF(AND(C16&gt;=(13-'Assumptions'!$J$38)+'Assumptions'!$AF$38,C16&lt;=12),'Revenue and costs'!N16/'Assumptions'!$J$38,0)+IF(AND(C16&gt;=(13-'Assumptions'!$J$39)+'Assumptions'!$AF$39,C16&lt;=12),'Revenue and costs'!N17/'Assumptions'!$J$39,0)+IF(AND(C16&gt;=(13-'Assumptions'!$J$40)+'Assumptions'!$AF$40,C16&lt;=12),'Revenue and costs'!N18/'Assumptions'!$J$40,0)+IF(AND(C16&gt;=(13-'Assumptions'!$J$41)+'Assumptions'!$AF$41,C16&lt;=12),'Revenue and costs'!N19/'Assumptions'!$J$41,0)+IF(AND(C16&gt;=(13-'Assumptions'!$J$42)+'Assumptions'!$AF$42,C16&lt;=12),'Revenue and costs'!N20/'Assumptions'!$J$42,0)+IF(AND(C16&gt;=(13-'Assumptions'!$J$43)+'Assumptions'!$AF$43,C16&lt;=12),'Revenue and costs'!N21/'Assumptions'!$J$43,0)+IF(AND(C16&gt;=(13-'Assumptions'!$J$44)+'Assumptions'!$AF$44,C16&lt;=12),'Revenue and costs'!N22/'Assumptions'!$J$44,0)+IF(AND(C16&gt;=(13-'Assumptions'!$J$45)+'Assumptions'!$AF$45,C16&lt;=12),'Revenue and costs'!N23/'Assumptions'!$J$45,0)+IF(AND(C16&gt;=(13-'Assumptions'!$J$46)+'Assumptions'!$AF$46,C16&lt;=12),'Revenue and costs'!N24/'Assumptions'!$J$46,0)+IF(AND(C16&gt;=(13-'Assumptions'!$J$47)+'Assumptions'!$AF$47,C16&lt;=12),'Revenue and costs'!N25/'Assumptions'!$J$47,0)+IF(AND(C16&gt;=(13-'Assumptions'!$J$48)+'Assumptions'!$AF$48,C16&lt;=12),'Revenue and costs'!N26/'Assumptions'!$J$48,0)+IF(AND(C16&gt;=(13-'Assumptions'!$J$49)+'Assumptions'!$AF$49,C16&lt;=12),'Revenue and costs'!N27/'Assumptions'!$J$49,0)+IF(AND(C16&gt;=(13-'Assumptions'!$J$50)+'Assumptions'!$AF$50,C16&lt;=12),'Revenue and costs'!N28/'Assumptions'!$J$50,0)+IF(AND(C16&gt;=(13-'Assumptions'!$J$51)+'Assumptions'!$AF$51,C16&lt;=12),'Revenue and costs'!N29/'Assumptions'!$J$51,0)+IF(AND(C16&gt;=(13-'Assumptions'!$J$52)+'Assumptions'!$AF$52,C16&lt;=12),'Revenue and costs'!N30/'Assumptions'!$J$52,0)+IF(AND(C16&gt;=(13-'Assumptions'!$J$53)+'Assumptions'!$AF$53,C16&lt;=12),'Revenue and costs'!N31/'Assumptions'!$J$53,0)+IF(AND(C16&gt;=(13-'Assumptions'!$J$54)+'Assumptions'!$AF$54,C16&lt;=12),'Revenue and costs'!N32/'Assumptions'!$J$54,0)+IF(AND(C16&gt;=(13-'Assumptions'!$J$55)+'Assumptions'!$AF$55,C16&lt;=12),'Revenue and costs'!N33/'Assumptions'!$J$55,0)+IF(AND(C16&gt;=(13-'Assumptions'!$J$56)+'Assumptions'!$AF$56,C16&lt;=12),'Revenue and costs'!N34/'Assumptions'!$J$56,0)+IF(AND(C16&gt;=(13-'Assumptions'!$J$57)+'Assumptions'!$AF$57,C16&lt;=12),'Revenue and costs'!N35/'Assumptions'!$J$57,0)+IF(AND(C16&gt;=(13-'Assumptions'!$J$58)+'Assumptions'!$AF$58,C16&lt;=12),'Revenue and costs'!N36/'Assumptions'!$J$58,0)+IF(AND(C16&gt;=(13-'Assumptions'!$J$59)+'Assumptions'!$AF$59,C16&lt;=12),'Revenue and costs'!N37/'Assumptions'!$J$59,0)+IF(AND(C16&gt;=(13-'Assumptions'!$J$60)+'Assumptions'!$AF$60,C16&lt;=12),'Revenue and costs'!N38/'Assumptions'!$J$60,0)+IF(AND(C16&gt;=(13-'Assumptions'!$J$61)+'Assumptions'!$AF$61,C16&lt;=12),'Revenue and costs'!N39/'Assumptions'!$J$61,0)+IF(AND(C16&gt;=(13-'Assumptions'!$J$62)+'Assumptions'!$AF$62,C16&lt;=12),'Revenue and costs'!N40/'Assumptions'!$J$62,0)+IF(AND(C16&gt;=(13-'Assumptions'!$J$63)+'Assumptions'!$AF$63,C16&lt;=12),'Revenue and costs'!N41/'Assumptions'!$J$63,0)+IF(AND(C16&gt;=(13-'Assumptions'!$J$64)+'Assumptions'!$AF$64,C16&lt;=12),'Revenue and costs'!N42/'Assumptions'!$J$64,0)+IF(AND(C16&gt;=(13-'Assumptions'!$J$65)+'Assumptions'!$AF$65,C16&lt;=12),'Revenue and costs'!N43/'Assumptions'!$J$65,0)+IF(AND(C16&gt;=(13-'Assumptions'!$J$66)+'Assumptions'!$AF$66,C16&lt;=12),'Revenue and costs'!N44/'Assumptions'!$J$66,0)+IF(AND(C16&gt;=(13-'Assumptions'!$J$67)+'Assumptions'!$AF$67,C16&lt;=12),'Revenue and costs'!N45/'Assumptions'!$J$67,0)+IF(AND(C16&gt;=(13-'Assumptions'!$J$68)+'Assumptions'!$AF$68,C16&lt;=12),'Revenue and costs'!N46/'Assumptions'!$J$68,0)+IF(AND(C16&gt;=(13-'Assumptions'!$J$69)+'Assumptions'!$AF$69,C16&lt;=12),'Revenue and costs'!N47/'Assumptions'!$J$69,0)+IF(AND(C16&gt;=(13-'Assumptions'!$J$70)+'Assumptions'!$AF$70,C16&lt;=12),'Revenue and costs'!N48/'Assumptions'!$J$70,0)+IF(AND(C16&gt;=(13-'Assumptions'!$J$71)+'Assumptions'!$AF$71,C16&lt;=12),'Revenue and costs'!N49/'Assumptions'!$J$71,0)+IF(AND(C16&gt;=(13-'Assumptions'!$J$72)+'Assumptions'!$AF$72,C16&lt;=12),'Revenue and costs'!N50/'Assumptions'!$J$72,0)+IF(AND(C16&gt;=(13-'Assumptions'!$J$73)+'Assumptions'!$AF$73,C16&lt;=12),'Revenue and costs'!N51/'Assumptions'!$J$73,0)+IF(AND(C16&gt;=(13-'Assumptions'!$J$74)+'Assumptions'!$AF$74,C16&lt;=12),'Revenue and costs'!N52/'Assumptions'!$J$74,0)+IF(AND(C16&gt;=(13-'Assumptions'!$J$75)+'Assumptions'!$AF$75,C16&lt;=12),'Revenue and costs'!N53/'Assumptions'!$J$75,0)+IF(AND(C16&gt;=(13-'Assumptions'!$J$76)+'Assumptions'!$AF$76,C16&lt;=12),'Revenue and costs'!N54/'Assumptions'!$J$76,0)+IF(AND(C16&gt;=(13-'Assumptions'!$J$77)+'Assumptions'!$AF$77,C16&lt;=12),'Revenue and costs'!N55/'Assumptions'!$J$77,0)+IF(AND(C16&gt;=(13-'Assumptions'!$J$78)+'Assumptions'!$AF$78,C16&lt;=12),'Revenue and costs'!N56/'Assumptions'!$J$78,0)+IF(AND(C16&gt;=(13-'Assumptions'!$J$79)+'Assumptions'!$AF$79,C16&lt;=12),'Revenue and costs'!N57/'Assumptions'!$J$79,0)+IF(AND(C16&gt;=(13-'Assumptions'!$J$80)+'Assumptions'!$AF$80,C16&lt;=12),'Revenue and costs'!N58/'Assumptions'!$J$80,0)+IF(AND(C16&gt;=(13-'Assumptions'!$J$81)+'Assumptions'!$AF$81,C16&lt;=12),'Revenue and costs'!N59/'Assumptions'!$J$81,0)+IF(AND(C16&gt;=(13-'Assumptions'!$J$82)+'Assumptions'!$AF$82,C16&lt;=12),'Revenue and costs'!N60/'Assumptions'!$J$82,0)+IF(AND(C16&gt;=(13-'Assumptions'!$J$83)+'Assumptions'!$AF$83,C16&lt;=12),'Revenue and costs'!N61/'Assumptions'!$J$83,0)+IF(AND(C16&gt;=(13-'Assumptions'!$J$84)+'Assumptions'!$AF$84,C16&lt;=12),'Revenue and costs'!N62/'Assumptions'!$J$84,0)+IF(AND(C16&gt;=(13-'Assumptions'!$J$85)+'Assumptions'!$AF$85,C16&lt;=12),'Revenue and costs'!N63/'Assumptions'!$J$85,0)+IF(AND(C16&gt;=(13-'Assumptions'!$J$86)+'Assumptions'!$AF$86,C16&lt;=12),'Revenue and costs'!N64/'Assumptions'!$J$86,0)+IF(AND(C16&gt;=(13-'Assumptions'!$J$87)+'Assumptions'!$AF$87,C16&lt;=12),'Revenue and costs'!N65/'Assumptions'!$J$87,0)+IF(AND(C16&gt;=(13-'Assumptions'!$J$88)+'Assumptions'!$AF$88,C16&lt;=12),'Revenue and costs'!N66/'Assumptions'!$J$88,0)+IF(AND(C16&gt;=(13-'Assumptions'!$J$89)+'Assumptions'!$AF$89,C16&lt;=12),'Revenue and costs'!N67/'Assumptions'!$J$89,0)+IF(AND(C16&gt;=(13-'Assumptions'!$J$90)+'Assumptions'!$AF$90,C16&lt;=12),'Revenue and costs'!N68/'Assumptions'!$J$90,0)+IF(AND(C16&gt;=(13-'Assumptions'!$J$91)+'Assumptions'!$AF$91,C16&lt;=12),'Revenue and costs'!N69/'Assumptions'!$J$91,0)+IF(AND(C16&gt;=(13-'Assumptions'!$J$92)+'Assumptions'!$AF$92,C16&lt;=12),'Revenue and costs'!N70/'Assumptions'!$J$92,0)+IF(AND(C16&gt;=(13-'Assumptions'!$J$93)+'Assumptions'!$AF$93,C16&lt;=12),'Revenue and costs'!N71/'Assumptions'!$J$93,0)+IF(AND(C16&gt;=(13-'Assumptions'!$J$94)+'Assumptions'!$AF$94,C16&lt;=12),'Revenue and costs'!N72/'Assumptions'!$J$94,0)+IF(AND(C16&gt;=(13-'Assumptions'!$J$95)+'Assumptions'!$AF$95,C16&lt;=12),'Revenue and costs'!N73/'Assumptions'!$J$95,0)+IF(AND(C16&gt;=(13-'Assumptions'!$J$96)+'Assumptions'!$AF$96,C16&lt;=12),'Revenue and costs'!N74/'Assumptions'!$J$96,0)+IF(AND(C16&gt;=(13-'Assumptions'!$J$97)+'Assumptions'!$AF$97,C16&lt;=12),'Revenue and costs'!N75/'Assumptions'!$J$97,0)+IF(AND(C16&gt;=(13-'Assumptions'!$J$98)+'Assumptions'!$AF$98,C16&lt;=12),'Revenue and costs'!N76/'Assumptions'!$J$98,0)+IF(AND(C16&gt;=(13-'Assumptions'!$J$99)+'Assumptions'!$AF$99,C16&lt;=12),'Revenue and costs'!N77/'Assumptions'!$J$99,0)+IF(AND(C16&gt;=(13-'Assumptions'!$J$100)+'Assumptions'!$AF$100,C16&lt;=12),'Revenue and costs'!N78/'Assumptions'!$J$100,0)+IF(AND(C16&gt;=(13-'Assumptions'!$J$101)+'Assumptions'!$AF$101,C16&lt;=12),'Revenue and costs'!N79/'Assumptions'!$J$101,0)+IF(AND(C16&gt;=(13-'Assumptions'!$J$102)+'Assumptions'!$AF$102,C16&lt;=12),'Revenue and costs'!N80/'Assumptions'!$J$102,0)+IF(AND(C16&gt;=(13-'Assumptions'!$J$103)+'Assumptions'!$AF$103,C16&lt;=12),'Revenue and costs'!N81/'Assumptions'!$J$103,0)+IF(AND(C16&gt;=(13-'Assumptions'!$J$104)+'Assumptions'!$AF$104,C16&lt;=12),'Revenue and costs'!N82/'Assumptions'!$J$104,0)+IF(AND(C16&gt;=(13-'Assumptions'!$J$105)+'Assumptions'!$AF$105,C16&lt;=12),'Revenue and costs'!N83/'Assumptions'!$J$105,0)+IF(AND(C16&gt;=(13-'Assumptions'!$J$106)+'Assumptions'!$AF$106,C16&lt;=12),'Revenue and costs'!N84/'Assumptions'!$J$106,0)+IF(AND(C16&gt;=(13-'Assumptions'!$J$107)+'Assumptions'!$AF$107,C16&lt;=12),'Revenue and costs'!N85/'Assumptions'!$J$107,0)+IF(AND(C16&gt;=(13-'Assumptions'!$J$108)+'Assumptions'!$AF$108,C16&lt;=12),'Revenue and costs'!N86/'Assumptions'!$J$108,0)+IF(AND(C16&gt;=(13-'Assumptions'!$J$109)+'Assumptions'!$AF$109,C16&lt;=12),'Revenue and costs'!N87/'Assumptions'!$J$109,0)+IF(AND(C16&gt;=(13-'Assumptions'!$J$110)+'Assumptions'!$AF$110,C16&lt;=12),'Revenue and costs'!N88/'Assumptions'!$J$110,0)+IF(AND(C16&gt;=(13-'Assumptions'!$J$111)+'Assumptions'!$AF$111,C16&lt;=12),'Revenue and costs'!N89/'Assumptions'!$J$111,0)+IF(AND(C16&gt;=(13-'Assumptions'!$J$112)+'Assumptions'!$AF$112,C16&lt;=12),'Revenue and costs'!N90/'Assumptions'!$J$112,0)+IF(AND(C16&gt;=(13-'Assumptions'!$J$113)+'Assumptions'!$AF$113,C16&lt;=12),'Revenue and costs'!N91/'Assumptions'!$J$113,0)+IF(AND(C16&gt;=(13-'Assumptions'!$J$114)+'Assumptions'!$AF$114,C16&lt;=12),'Revenue and costs'!N92/'Assumptions'!$J$114,0)+IF(AND(C16&gt;=(13-'Assumptions'!$J$115)+'Assumptions'!$AF$115,C16&lt;=12),'Revenue and costs'!N93/'Assumptions'!$J$115,0)+IF(AND(C16&gt;=(13-'Assumptions'!$J$116)+'Assumptions'!$AF$116,C16&lt;=12),'Revenue and costs'!N94/'Assumptions'!$J$116,0)+IF(AND(C16&gt;=(13-'Assumptions'!$J$117)+'Assumptions'!$AF$117,C16&lt;=12),'Revenue and costs'!N95/'Assumptions'!$J$117,0)+IF(AND(C16&gt;=(13-'Assumptions'!$J$118)+'Assumptions'!$AF$118,C16&lt;=12),'Revenue and costs'!N96/'Assumptions'!$J$118,0)+IF(AND(C16&gt;=(13-'Assumptions'!$J$119)+'Assumptions'!$AF$119,C16&lt;=12),'Revenue and costs'!N97/'Assumptions'!$J$119,0)+IF(AND(C16&gt;=(13-'Assumptions'!$J$120)+'Assumptions'!$AF$120,C16&lt;=12),'Revenue and costs'!N98/'Assumptions'!$J$120,0)+IF(AND(C16&gt;=(13-'Assumptions'!$J$121)+'Assumptions'!$AF$121,C16&lt;=12),'Revenue and costs'!N99/'Assumptions'!$J$121,0)+IF(AND(C16&gt;=(13-'Assumptions'!$J$122)+'Assumptions'!$AF$122,C16&lt;=12),'Revenue and costs'!N100/'Assumptions'!$J$122,0)+IF(AND(C16&gt;=(13-'Assumptions'!$J$123)+'Assumptions'!$AF$123,C16&lt;=12),'Revenue and costs'!N101/'Assumptions'!$J$123,0)+IF(AND(C16&gt;=(13-'Assumptions'!$J$124)+'Assumptions'!$AF$124,C16&lt;=12),'Revenue and costs'!N102/'Assumptions'!$J$124,0)+IF(AND(C16&gt;=(13-'Assumptions'!$J$125)+'Assumptions'!$AF$125,C16&lt;=12),'Revenue and costs'!N103/'Assumptions'!$J$125,0)+IF(AND(C16&gt;=(13-'Assumptions'!$J$126)+'Assumptions'!$AF$126,C16&lt;=12),'Revenue and costs'!N104/'Assumptions'!$J$126,0)+IF(AND(C16&gt;=(13-'Assumptions'!$J$127)+'Assumptions'!$AF$127,C16&lt;=12),'Revenue and costs'!N105/'Assumptions'!$J$127,0)+IF(AND(C16&gt;=(13-'Assumptions'!$J$128)+'Assumptions'!$AF$128,C16&lt;=12),'Revenue and costs'!N106/'Assumptions'!$J$128,0)+IF(AND(C16&gt;=(13-'Assumptions'!$J$129)+'Assumptions'!$AF$129,C16&lt;=12),'Revenue and costs'!N107/'Assumptions'!$J$129,0)+IF(AND(C16&gt;=(13-'Assumptions'!$J$130)+'Assumptions'!$AF$130,C16&lt;=12),'Revenue and costs'!N108/'Assumptions'!$J$130,0)+IF(AND(C16&gt;=(13-'Assumptions'!$J$131)+'Assumptions'!$AF$131,C16&lt;=12),'Revenue and costs'!N109/'Assumptions'!$J$131,0)+IF(AND(C16&gt;=(13-'Assumptions'!$J$132)+'Assumptions'!$AF$132,C16&lt;=12),'Revenue and costs'!N110/'Assumptions'!$J$132,0)+IF(AND(C16&gt;=(13-'Assumptions'!$J$133)+'Assumptions'!$AF$133,C16&lt;=12),'Revenue and costs'!N111/'Assumptions'!$J$133,0)+IF(AND(C16&gt;=(13-'Assumptions'!$J$134)+'Assumptions'!$AF$134,C16&lt;=12),'Revenue and costs'!N112/'Assumptions'!$J$134,0)+IF(AND(C16&gt;=(13-'Assumptions'!$J$135)+'Assumptions'!$AF$135,C16&lt;=12),'Revenue and costs'!N113/'Assumptions'!$J$135,0)+IF(AND(C16&gt;=(13-'Assumptions'!$J$136)+'Assumptions'!$AF$136,C16&lt;=12),'Revenue and costs'!N114/'Assumptions'!$J$136,0)+IF(AND(C16&gt;=(13-'Assumptions'!$J$137)+'Assumptions'!$AF$137,C16&lt;=12),'Revenue and costs'!N115/'Assumptions'!$J$137,0)+IF(AND(C16&gt;=(13-'Assumptions'!$J$138)+'Assumptions'!$AF$138,C16&lt;=12),'Revenue and costs'!N116/'Assumptions'!$J$138,0)+IF(AND(C16&gt;=(13-'Assumptions'!$J$139)+'Assumptions'!$AF$139,C16&lt;=12),'Revenue and costs'!N117/'Assumptions'!$J$139,0)+IF(AND(C16&gt;=(13-'Assumptions'!$J$140)+'Assumptions'!$AF$140,C16&lt;=12),'Revenue and costs'!N118/'Assumptions'!$J$140,0)+IF(AND(C16&gt;=(13-'Assumptions'!$J$141)+'Assumptions'!$AF$141,C16&lt;=12),'Revenue and costs'!N119/'Assumptions'!$J$141,0)+IF(AND(C16&gt;=(13-'Assumptions'!$J$142)+'Assumptions'!$AF$142,C16&lt;=12),'Revenue and costs'!N120/'Assumptions'!$J$142,0)+IF(AND(C16&gt;=(13-'Assumptions'!$J$143)+'Assumptions'!$AF$143,C16&lt;=12),'Revenue and costs'!N121/'Assumptions'!$J$143,0)+IF(AND(C16&gt;=(13-'Assumptions'!$J$144)+'Assumptions'!$AF$144,C16&lt;=12),'Revenue and costs'!N122/'Assumptions'!$J$144,0)+IF(AND(C16&gt;=(13-'Assumptions'!$J$145)+'Assumptions'!$AF$145,C16&lt;=12),'Revenue and costs'!N123/'Assumptions'!$J$145,0)+IF(AND(C16&gt;=(13-'Assumptions'!$J$146)+'Assumptions'!$AF$146,C16&lt;=12),'Revenue and costs'!N124/'Assumptions'!$J$146,0)+IF(AND(C16&gt;=(13-'Assumptions'!$J$147)+'Assumptions'!$AF$147,C16&lt;=12),'Revenue and costs'!N125/'Assumptions'!$J$147,0)+IF(AND(C16&gt;=(13-'Assumptions'!$J$148)+'Assumptions'!$AF$148,C16&lt;=12),'Revenue and costs'!N126/'Assumptions'!$J$148,0)+IF(AND(C16&gt;=(13-'Assumptions'!$J$149)+'Assumptions'!$AF$149,C16&lt;=12),'Revenue and costs'!N127/'Assumptions'!$J$149,0)+IF(AND(C16&gt;=(13-'Assumptions'!$J$150)+'Assumptions'!$AF$150,C16&lt;=12),'Revenue and costs'!N128/'Assumptions'!$J$150,0)+IF(AND(C16&gt;=(13-'Assumptions'!$J$151)+'Assumptions'!$AF$151,C16&lt;=12),'Revenue and costs'!N129/'Assumptions'!$J$151,0)+IF(AND(C16&gt;=(13-'Assumptions'!$J$152)+'Assumptions'!$AF$152,C16&lt;=12),'Revenue and costs'!N130/'Assumptions'!$J$152,0)+IF(AND(C16&gt;=(13-'Assumptions'!$J$153)+'Assumptions'!$AF$153,C16&lt;=12),'Revenue and costs'!N131/'Assumptions'!$J$153,0)+IF(AND(C16&gt;=(13-'Assumptions'!$J$154)+'Assumptions'!$AF$154,C16&lt;=12),'Revenue and costs'!N132/'Assumptions'!$J$154,0)+IF(AND(C16&gt;=(13-'Assumptions'!$J$155)+'Assumptions'!$AF$155,C16&lt;=12),'Revenue and costs'!N133/'Assumptions'!$J$155,0)+IF(AND(C16&gt;=(13-'Assumptions'!$J$156)+'Assumptions'!$AF$156,C16&lt;=12),'Revenue and costs'!N134/'Assumptions'!$J$156,0)+IF(AND(C16&gt;=(13-'Assumptions'!$J$157)+'Assumptions'!$AF$157,C16&lt;=12),'Revenue and costs'!N135/'Assumptions'!$J$157,0)</x:f>
        <x:v>126973.57333333335</x:v>
      </x:c>
      <x:c r="E16" s="10" t="n">
        <x:f>IF(AND(C16&gt;=(13-'Assumptions'!$J$30),C16&lt;=12),SUM('Revenue and costs'!O8:U8)/'Assumptions'!$J$30,0)+IF(C16=(13-'Assumptions'!$J$30)-1,'Revenue and costs'!V8+'Revenue and costs'!AE8,0)+IF(AND(C16&gt;=(13-'Assumptions'!$J$31),C16&lt;=12),SUM('Revenue and costs'!O9:U9)/'Assumptions'!$J$31,0)+IF(C16=(13-'Assumptions'!$J$31)-1,'Revenue and costs'!V9+'Revenue and costs'!AE9,0)+IF(AND(C16&gt;=(13-'Assumptions'!$J$32),C16&lt;=12),SUM('Revenue and costs'!O10:U10)/'Assumptions'!$J$32,0)+IF(C16=(13-'Assumptions'!$J$32)-1,'Revenue and costs'!V10+'Revenue and costs'!AE10,0)+IF(AND(C16&gt;=(13-'Assumptions'!$J$33),C16&lt;=12),SUM('Revenue and costs'!O11:U11)/'Assumptions'!$J$33,0)+IF(C16=(13-'Assumptions'!$J$33)-1,'Revenue and costs'!V11+'Revenue and costs'!AE11,0)+IF(AND(C16&gt;=(13-'Assumptions'!$J$34),C16&lt;=12),SUM('Revenue and costs'!O12:U12)/'Assumptions'!$J$34,0)+IF(C16=(13-'Assumptions'!$J$34)-1,'Revenue and costs'!V12+'Revenue and costs'!AE12,0)+IF(AND(C16&gt;=(13-'Assumptions'!$J$35),C16&lt;=12),SUM('Revenue and costs'!O13:U13)/'Assumptions'!$J$35,0)+IF(C16=(13-'Assumptions'!$J$35)-1,'Revenue and costs'!V13+'Revenue and costs'!AE13,0)+IF(AND(C16&gt;=(13-'Assumptions'!$J$36),C16&lt;=12),SUM('Revenue and costs'!O14:U14)/'Assumptions'!$J$36,0)+IF(C16=(13-'Assumptions'!$J$36)-1,'Revenue and costs'!V14+'Revenue and costs'!AE14,0)+IF(AND(C16&gt;=(13-'Assumptions'!$J$37),C16&lt;=12),SUM('Revenue and costs'!O15:U15)/'Assumptions'!$J$37,0)+IF(C16=(13-'Assumptions'!$J$37)-1,'Revenue and costs'!V15+'Revenue and costs'!AE15,0)+IF(AND(C16&gt;=(13-'Assumptions'!$J$38),C16&lt;=12),SUM('Revenue and costs'!O16:U16)/'Assumptions'!$J$38,0)+IF(C16=(13-'Assumptions'!$J$38)-1,'Revenue and costs'!V16+'Revenue and costs'!AE16,0)+IF(AND(C16&gt;=(13-'Assumptions'!$J$39),C16&lt;=12),SUM('Revenue and costs'!O17:U17)/'Assumptions'!$J$39,0)+IF(C16=(13-'Assumptions'!$J$39)-1,'Revenue and costs'!V17+'Revenue and costs'!AE17,0)+IF(AND(C16&gt;=(13-'Assumptions'!$J$40),C16&lt;=12),SUM('Revenue and costs'!O18:U18)/'Assumptions'!$J$40,0)+IF(C16=(13-'Assumptions'!$J$40)-1,'Revenue and costs'!V18+'Revenue and costs'!AE18,0)+IF(AND(C16&gt;=(13-'Assumptions'!$J$41),C16&lt;=12),SUM('Revenue and costs'!O19:U19)/'Assumptions'!$J$41,0)+IF(C16=(13-'Assumptions'!$J$41)-1,'Revenue and costs'!V19+'Revenue and costs'!AE19,0)+IF(AND(C16&gt;=(13-'Assumptions'!$J$42),C16&lt;=12),SUM('Revenue and costs'!O20:U20)/'Assumptions'!$J$42,0)+IF(C16=(13-'Assumptions'!$J$42)-1,'Revenue and costs'!V20+'Revenue and costs'!AE20,0)+IF(AND(C16&gt;=(13-'Assumptions'!$J$43),C16&lt;=12),SUM('Revenue and costs'!O21:U21)/'Assumptions'!$J$43,0)+IF(C16=(13-'Assumptions'!$J$43)-1,'Revenue and costs'!V21+'Revenue and costs'!AE21,0)+IF(AND(C16&gt;=(13-'Assumptions'!$J$44),C16&lt;=12),SUM('Revenue and costs'!O22:U22)/'Assumptions'!$J$44,0)+IF(C16=(13-'Assumptions'!$J$44)-1,'Revenue and costs'!V22+'Revenue and costs'!AE22,0)+IF(AND(C16&gt;=(13-'Assumptions'!$J$45),C16&lt;=12),SUM('Revenue and costs'!O23:U23)/'Assumptions'!$J$45,0)+IF(C16=(13-'Assumptions'!$J$45)-1,'Revenue and costs'!V23+'Revenue and costs'!AE23,0)+IF(AND(C16&gt;=(13-'Assumptions'!$J$46),C16&lt;=12),SUM('Revenue and costs'!O24:U24)/'Assumptions'!$J$46,0)+IF(C16=(13-'Assumptions'!$J$46)-1,'Revenue and costs'!V24+'Revenue and costs'!AE24,0)+IF(AND(C16&gt;=(13-'Assumptions'!$J$47),C16&lt;=12),SUM('Revenue and costs'!O25:U25)/'Assumptions'!$J$47,0)+IF(C16=(13-'Assumptions'!$J$47)-1,'Revenue and costs'!V25+'Revenue and costs'!AE25,0)+IF(AND(C16&gt;=(13-'Assumptions'!$J$48),C16&lt;=12),SUM('Revenue and costs'!O26:U26)/'Assumptions'!$J$48,0)+IF(C16=(13-'Assumptions'!$J$48)-1,'Revenue and costs'!V26+'Revenue and costs'!AE26,0)+IF(AND(C16&gt;=(13-'Assumptions'!$J$49),C16&lt;=12),SUM('Revenue and costs'!O27:U27)/'Assumptions'!$J$49,0)+IF(C16=(13-'Assumptions'!$J$49)-1,'Revenue and costs'!V27+'Revenue and costs'!AE27,0)+IF(AND(C16&gt;=(13-'Assumptions'!$J$50),C16&lt;=12),SUM('Revenue and costs'!O28:U28)/'Assumptions'!$J$50,0)+IF(C16=(13-'Assumptions'!$J$50)-1,'Revenue and costs'!V28+'Revenue and costs'!AE28,0)+IF(AND(C16&gt;=(13-'Assumptions'!$J$51),C16&lt;=12),SUM('Revenue and costs'!O29:U29)/'Assumptions'!$J$51,0)+IF(C16=(13-'Assumptions'!$J$51)-1,'Revenue and costs'!V29+'Revenue and costs'!AE29,0)+IF(AND(C16&gt;=(13-'Assumptions'!$J$52),C16&lt;=12),SUM('Revenue and costs'!O30:U30)/'Assumptions'!$J$52,0)+IF(C16=(13-'Assumptions'!$J$52)-1,'Revenue and costs'!V30+'Revenue and costs'!AE30,0)+IF(AND(C16&gt;=(13-'Assumptions'!$J$53),C16&lt;=12),SUM('Revenue and costs'!O31:U31)/'Assumptions'!$J$53,0)+IF(C16=(13-'Assumptions'!$J$53)-1,'Revenue and costs'!V31+'Revenue and costs'!AE31,0)+IF(AND(C16&gt;=(13-'Assumptions'!$J$54),C16&lt;=12),SUM('Revenue and costs'!O32:U32)/'Assumptions'!$J$54,0)+IF(C16=(13-'Assumptions'!$J$54)-1,'Revenue and costs'!V32+'Revenue and costs'!AE32,0)+IF(AND(C16&gt;=(13-'Assumptions'!$J$55),C16&lt;=12),SUM('Revenue and costs'!O33:U33)/'Assumptions'!$J$55,0)+IF(C16=(13-'Assumptions'!$J$55)-1,'Revenue and costs'!V33+'Revenue and costs'!AE33,0)+IF(AND(C16&gt;=(13-'Assumptions'!$J$56),C16&lt;=12),SUM('Revenue and costs'!O34:U34)/'Assumptions'!$J$56,0)+IF(C16=(13-'Assumptions'!$J$56)-1,'Revenue and costs'!V34+'Revenue and costs'!AE34,0)+IF(AND(C16&gt;=(13-'Assumptions'!$J$57),C16&lt;=12),SUM('Revenue and costs'!O35:U35)/'Assumptions'!$J$57,0)+IF(C16=(13-'Assumptions'!$J$57)-1,'Revenue and costs'!V35+'Revenue and costs'!AE35,0)+IF(AND(C16&gt;=(13-'Assumptions'!$J$58),C16&lt;=12),SUM('Revenue and costs'!O36:U36)/'Assumptions'!$J$58,0)+IF(C16=(13-'Assumptions'!$J$58)-1,'Revenue and costs'!V36+'Revenue and costs'!AE36,0)+IF(AND(C16&gt;=(13-'Assumptions'!$J$59),C16&lt;=12),SUM('Revenue and costs'!O37:U37)/'Assumptions'!$J$59,0)+IF(C16=(13-'Assumptions'!$J$59)-1,'Revenue and costs'!V37+'Revenue and costs'!AE37,0)+IF(AND(C16&gt;=(13-'Assumptions'!$J$60),C16&lt;=12),SUM('Revenue and costs'!O38:U38)/'Assumptions'!$J$60,0)+IF(C16=(13-'Assumptions'!$J$60)-1,'Revenue and costs'!V38+'Revenue and costs'!AE38,0)+IF(AND(C16&gt;=(13-'Assumptions'!$J$61),C16&lt;=12),SUM('Revenue and costs'!O39:U39)/'Assumptions'!$J$61,0)+IF(C16=(13-'Assumptions'!$J$61)-1,'Revenue and costs'!V39+'Revenue and costs'!AE39,0)+IF(AND(C16&gt;=(13-'Assumptions'!$J$62),C16&lt;=12),SUM('Revenue and costs'!O40:U40)/'Assumptions'!$J$62,0)+IF(C16=(13-'Assumptions'!$J$62)-1,'Revenue and costs'!V40+'Revenue and costs'!AE40,0)+IF(AND(C16&gt;=(13-'Assumptions'!$J$63),C16&lt;=12),SUM('Revenue and costs'!O41:U41)/'Assumptions'!$J$63,0)+IF(C16=(13-'Assumptions'!$J$63)-1,'Revenue and costs'!V41+'Revenue and costs'!AE41,0)+IF(AND(C16&gt;=(13-'Assumptions'!$J$64),C16&lt;=12),SUM('Revenue and costs'!O42:U42)/'Assumptions'!$J$64,0)+IF(C16=(13-'Assumptions'!$J$64)-1,'Revenue and costs'!V42+'Revenue and costs'!AE42,0)+IF(AND(C16&gt;=(13-'Assumptions'!$J$65),C16&lt;=12),SUM('Revenue and costs'!O43:U43)/'Assumptions'!$J$65,0)+IF(C16=(13-'Assumptions'!$J$65)-1,'Revenue and costs'!V43+'Revenue and costs'!AE43,0)+IF(AND(C16&gt;=(13-'Assumptions'!$J$66),C16&lt;=12),SUM('Revenue and costs'!O44:U44)/'Assumptions'!$J$66,0)+IF(C16=(13-'Assumptions'!$J$66)-1,'Revenue and costs'!V44+'Revenue and costs'!AE44,0)+IF(AND(C16&gt;=(13-'Assumptions'!$J$67),C16&lt;=12),SUM('Revenue and costs'!O45:U45)/'Assumptions'!$J$67,0)+IF(C16=(13-'Assumptions'!$J$67)-1,'Revenue and costs'!V45+'Revenue and costs'!AE45,0)+IF(AND(C16&gt;=(13-'Assumptions'!$J$68),C16&lt;=12),SUM('Revenue and costs'!O46:U46)/'Assumptions'!$J$68,0)+IF(C16=(13-'Assumptions'!$J$68)-1,'Revenue and costs'!V46+'Revenue and costs'!AE46,0)+IF(AND(C16&gt;=(13-'Assumptions'!$J$69),C16&lt;=12),SUM('Revenue and costs'!O47:U47)/'Assumptions'!$J$69,0)+IF(C16=(13-'Assumptions'!$J$69)-1,'Revenue and costs'!V47+'Revenue and costs'!AE47,0)+IF(AND(C16&gt;=(13-'Assumptions'!$J$70),C16&lt;=12),SUM('Revenue and costs'!O48:U48)/'Assumptions'!$J$70,0)+IF(C16=(13-'Assumptions'!$J$70)-1,'Revenue and costs'!V48+'Revenue and costs'!AE48,0)+IF(AND(C16&gt;=(13-'Assumptions'!$J$71),C16&lt;=12),SUM('Revenue and costs'!O49:U49)/'Assumptions'!$J$71,0)+IF(C16=(13-'Assumptions'!$J$71)-1,'Revenue and costs'!V49+'Revenue and costs'!AE49,0)+IF(AND(C16&gt;=(13-'Assumptions'!$J$72),C16&lt;=12),SUM('Revenue and costs'!O50:U50)/'Assumptions'!$J$72,0)+IF(C16=(13-'Assumptions'!$J$72)-1,'Revenue and costs'!V50+'Revenue and costs'!AE50,0)+IF(AND(C16&gt;=(13-'Assumptions'!$J$73),C16&lt;=12),SUM('Revenue and costs'!O51:U51)/'Assumptions'!$J$73,0)+IF(C16=(13-'Assumptions'!$J$73)-1,'Revenue and costs'!V51+'Revenue and costs'!AE51,0)+IF(AND(C16&gt;=(13-'Assumptions'!$J$74),C16&lt;=12),SUM('Revenue and costs'!O52:U52)/'Assumptions'!$J$74,0)+IF(C16=(13-'Assumptions'!$J$74)-1,'Revenue and costs'!V52+'Revenue and costs'!AE52,0)+IF(AND(C16&gt;=(13-'Assumptions'!$J$75),C16&lt;=12),SUM('Revenue and costs'!O53:U53)/'Assumptions'!$J$75,0)+IF(C16=(13-'Assumptions'!$J$75)-1,'Revenue and costs'!V53+'Revenue and costs'!AE53,0)+IF(AND(C16&gt;=(13-'Assumptions'!$J$76),C16&lt;=12),SUM('Revenue and costs'!O54:U54)/'Assumptions'!$J$76,0)+IF(C16=(13-'Assumptions'!$J$76)-1,'Revenue and costs'!V54+'Revenue and costs'!AE54,0)+IF(AND(C16&gt;=(13-'Assumptions'!$J$77),C16&lt;=12),SUM('Revenue and costs'!O55:U55)/'Assumptions'!$J$77,0)+IF(C16=(13-'Assumptions'!$J$77)-1,'Revenue and costs'!V55+'Revenue and costs'!AE55,0)+IF(AND(C16&gt;=(13-'Assumptions'!$J$78),C16&lt;=12),SUM('Revenue and costs'!O56:U56)/'Assumptions'!$J$78,0)+IF(C16=(13-'Assumptions'!$J$78)-1,'Revenue and costs'!V56+'Revenue and costs'!AE56,0)+IF(AND(C16&gt;=(13-'Assumptions'!$J$79),C16&lt;=12),SUM('Revenue and costs'!O57:U57)/'Assumptions'!$J$79,0)+IF(C16=(13-'Assumptions'!$J$79)-1,'Revenue and costs'!V57+'Revenue and costs'!AE57,0)+IF(AND(C16&gt;=(13-'Assumptions'!$J$80),C16&lt;=12),SUM('Revenue and costs'!O58:U58)/'Assumptions'!$J$80,0)+IF(C16=(13-'Assumptions'!$J$80)-1,'Revenue and costs'!V58+'Revenue and costs'!AE58,0)+IF(AND(C16&gt;=(13-'Assumptions'!$J$81),C16&lt;=12),SUM('Revenue and costs'!O59:U59)/'Assumptions'!$J$81,0)+IF(C16=(13-'Assumptions'!$J$81)-1,'Revenue and costs'!V59+'Revenue and costs'!AE59,0)+IF(AND(C16&gt;=(13-'Assumptions'!$J$82),C16&lt;=12),SUM('Revenue and costs'!O60:U60)/'Assumptions'!$J$82,0)+IF(C16=(13-'Assumptions'!$J$82)-1,'Revenue and costs'!V60+'Revenue and costs'!AE60,0)+IF(AND(C16&gt;=(13-'Assumptions'!$J$83),C16&lt;=12),SUM('Revenue and costs'!O61:U61)/'Assumptions'!$J$83,0)+IF(C16=(13-'Assumptions'!$J$83)-1,'Revenue and costs'!V61+'Revenue and costs'!AE61,0)+IF(AND(C16&gt;=(13-'Assumptions'!$J$84),C16&lt;=12),SUM('Revenue and costs'!O62:U62)/'Assumptions'!$J$84,0)+IF(C16=(13-'Assumptions'!$J$84)-1,'Revenue and costs'!V62+'Revenue and costs'!AE62,0)+IF(AND(C16&gt;=(13-'Assumptions'!$J$85),C16&lt;=12),SUM('Revenue and costs'!O63:U63)/'Assumptions'!$J$85,0)+IF(C16=(13-'Assumptions'!$J$85)-1,'Revenue and costs'!V63+'Revenue and costs'!AE63,0)+IF(AND(C16&gt;=(13-'Assumptions'!$J$86),C16&lt;=12),SUM('Revenue and costs'!O64:U64)/'Assumptions'!$J$86,0)+IF(C16=(13-'Assumptions'!$J$86)-1,'Revenue and costs'!V64+'Revenue and costs'!AE64,0)+IF(AND(C16&gt;=(13-'Assumptions'!$J$87),C16&lt;=12),SUM('Revenue and costs'!O65:U65)/'Assumptions'!$J$87,0)+IF(C16=(13-'Assumptions'!$J$87)-1,'Revenue and costs'!V65+'Revenue and costs'!AE65,0)+IF(AND(C16&gt;=(13-'Assumptions'!$J$88),C16&lt;=12),SUM('Revenue and costs'!O66:U66)/'Assumptions'!$J$88,0)+IF(C16=(13-'Assumptions'!$J$88)-1,'Revenue and costs'!V66+'Revenue and costs'!AE66,0)+IF(AND(C16&gt;=(13-'Assumptions'!$J$89),C16&lt;=12),SUM('Revenue and costs'!O67:U67)/'Assumptions'!$J$89,0)+IF(C16=(13-'Assumptions'!$J$89)-1,'Revenue and costs'!V67+'Revenue and costs'!AE67,0)+IF(AND(C16&gt;=(13-'Assumptions'!$J$90),C16&lt;=12),SUM('Revenue and costs'!O68:U68)/'Assumptions'!$J$90,0)+IF(C16=(13-'Assumptions'!$J$90)-1,'Revenue and costs'!V68+'Revenue and costs'!AE68,0)+IF(AND(C16&gt;=(13-'Assumptions'!$J$91),C16&lt;=12),SUM('Revenue and costs'!O69:U69)/'Assumptions'!$J$91,0)+IF(C16=(13-'Assumptions'!$J$91)-1,'Revenue and costs'!V69+'Revenue and costs'!AE69,0)+IF(AND(C16&gt;=(13-'Assumptions'!$J$92),C16&lt;=12),SUM('Revenue and costs'!O70:U70)/'Assumptions'!$J$92,0)+IF(C16=(13-'Assumptions'!$J$92)-1,'Revenue and costs'!V70+'Revenue and costs'!AE70,0)+IF(AND(C16&gt;=(13-'Assumptions'!$J$93),C16&lt;=12),SUM('Revenue and costs'!O71:U71)/'Assumptions'!$J$93,0)+IF(C16=(13-'Assumptions'!$J$93)-1,'Revenue and costs'!V71+'Revenue and costs'!AE71,0)+IF(AND(C16&gt;=(13-'Assumptions'!$J$94),C16&lt;=12),SUM('Revenue and costs'!O72:U72)/'Assumptions'!$J$94,0)+IF(C16=(13-'Assumptions'!$J$94)-1,'Revenue and costs'!V72+'Revenue and costs'!AE72,0)+IF(AND(C16&gt;=(13-'Assumptions'!$J$95),C16&lt;=12),SUM('Revenue and costs'!O73:U73)/'Assumptions'!$J$95,0)+IF(C16=(13-'Assumptions'!$J$95)-1,'Revenue and costs'!V73+'Revenue and costs'!AE73,0)+IF(AND(C16&gt;=(13-'Assumptions'!$J$96),C16&lt;=12),SUM('Revenue and costs'!O74:U74)/'Assumptions'!$J$96,0)+IF(C16=(13-'Assumptions'!$J$96)-1,'Revenue and costs'!V74+'Revenue and costs'!AE74,0)+IF(AND(C16&gt;=(13-'Assumptions'!$J$97),C16&lt;=12),SUM('Revenue and costs'!O75:U75)/'Assumptions'!$J$97,0)+IF(C16=(13-'Assumptions'!$J$97)-1,'Revenue and costs'!V75+'Revenue and costs'!AE75,0)+IF(AND(C16&gt;=(13-'Assumptions'!$J$98),C16&lt;=12),SUM('Revenue and costs'!O76:U76)/'Assumptions'!$J$98,0)+IF(C16=(13-'Assumptions'!$J$98)-1,'Revenue and costs'!V76+'Revenue and costs'!AE76,0)+IF(AND(C16&gt;=(13-'Assumptions'!$J$99),C16&lt;=12),SUM('Revenue and costs'!O77:U77)/'Assumptions'!$J$99,0)+IF(C16=(13-'Assumptions'!$J$99)-1,'Revenue and costs'!V77+'Revenue and costs'!AE77,0)+IF(AND(C16&gt;=(13-'Assumptions'!$J$100),C16&lt;=12),SUM('Revenue and costs'!O78:U78)/'Assumptions'!$J$100,0)+IF(C16=(13-'Assumptions'!$J$100)-1,'Revenue and costs'!V78+'Revenue and costs'!AE78,0)+IF(AND(C16&gt;=(13-'Assumptions'!$J$101),C16&lt;=12),SUM('Revenue and costs'!O79:U79)/'Assumptions'!$J$101,0)+IF(C16=(13-'Assumptions'!$J$101)-1,'Revenue and costs'!V79+'Revenue and costs'!AE79,0)+IF(AND(C16&gt;=(13-'Assumptions'!$J$102),C16&lt;=12),SUM('Revenue and costs'!O80:U80)/'Assumptions'!$J$102,0)+IF(C16=(13-'Assumptions'!$J$102)-1,'Revenue and costs'!V80+'Revenue and costs'!AE80,0)+IF(AND(C16&gt;=(13-'Assumptions'!$J$103),C16&lt;=12),SUM('Revenue and costs'!O81:U81)/'Assumptions'!$J$103,0)+IF(C16=(13-'Assumptions'!$J$103)-1,'Revenue and costs'!V81+'Revenue and costs'!AE81,0)+IF(AND(C16&gt;=(13-'Assumptions'!$J$104),C16&lt;=12),SUM('Revenue and costs'!O82:U82)/'Assumptions'!$J$104,0)+IF(C16=(13-'Assumptions'!$J$104)-1,'Revenue and costs'!V82+'Revenue and costs'!AE82,0)+IF(AND(C16&gt;=(13-'Assumptions'!$J$105),C16&lt;=12),SUM('Revenue and costs'!O83:U83)/'Assumptions'!$J$105,0)+IF(C16=(13-'Assumptions'!$J$105)-1,'Revenue and costs'!V83+'Revenue and costs'!AE83,0)+IF(AND(C16&gt;=(13-'Assumptions'!$J$106),C16&lt;=12),SUM('Revenue and costs'!O84:U84)/'Assumptions'!$J$106,0)+IF(C16=(13-'Assumptions'!$J$106)-1,'Revenue and costs'!V84+'Revenue and costs'!AE84,0)+IF(AND(C16&gt;=(13-'Assumptions'!$J$107),C16&lt;=12),SUM('Revenue and costs'!O85:U85)/'Assumptions'!$J$107,0)+IF(C16=(13-'Assumptions'!$J$107)-1,'Revenue and costs'!V85+'Revenue and costs'!AE85,0)+IF(AND(C16&gt;=(13-'Assumptions'!$J$108),C16&lt;=12),SUM('Revenue and costs'!O86:U86)/'Assumptions'!$J$108,0)+IF(C16=(13-'Assumptions'!$J$108)-1,'Revenue and costs'!V86+'Revenue and costs'!AE86,0)+IF(AND(C16&gt;=(13-'Assumptions'!$J$109),C16&lt;=12),SUM('Revenue and costs'!O87:U87)/'Assumptions'!$J$109,0)+IF(C16=(13-'Assumptions'!$J$109)-1,'Revenue and costs'!V87+'Revenue and costs'!AE87,0)+IF(AND(C16&gt;=(13-'Assumptions'!$J$110),C16&lt;=12),SUM('Revenue and costs'!O88:U88)/'Assumptions'!$J$110,0)+IF(C16=(13-'Assumptions'!$J$110)-1,'Revenue and costs'!V88+'Revenue and costs'!AE88,0)+IF(AND(C16&gt;=(13-'Assumptions'!$J$111),C16&lt;=12),SUM('Revenue and costs'!O89:U89)/'Assumptions'!$J$111,0)+IF(C16=(13-'Assumptions'!$J$111)-1,'Revenue and costs'!V89+'Revenue and costs'!AE89,0)+IF(AND(C16&gt;=(13-'Assumptions'!$J$112),C16&lt;=12),SUM('Revenue and costs'!O90:U90)/'Assumptions'!$J$112,0)+IF(C16=(13-'Assumptions'!$J$112)-1,'Revenue and costs'!V90+'Revenue and costs'!AE90,0)+IF(AND(C16&gt;=(13-'Assumptions'!$J$113),C16&lt;=12),SUM('Revenue and costs'!O91:U91)/'Assumptions'!$J$113,0)+IF(C16=(13-'Assumptions'!$J$113)-1,'Revenue and costs'!V91+'Revenue and costs'!AE91,0)+IF(AND(C16&gt;=(13-'Assumptions'!$J$114),C16&lt;=12),SUM('Revenue and costs'!O92:U92)/'Assumptions'!$J$114,0)+IF(C16=(13-'Assumptions'!$J$114)-1,'Revenue and costs'!V92+'Revenue and costs'!AE92,0)+IF(AND(C16&gt;=(13-'Assumptions'!$J$115),C16&lt;=12),SUM('Revenue and costs'!O93:U93)/'Assumptions'!$J$115,0)+IF(C16=(13-'Assumptions'!$J$115)-1,'Revenue and costs'!V93+'Revenue and costs'!AE93,0)+IF(AND(C16&gt;=(13-'Assumptions'!$J$116),C16&lt;=12),SUM('Revenue and costs'!O94:U94)/'Assumptions'!$J$116,0)+IF(C16=(13-'Assumptions'!$J$116)-1,'Revenue and costs'!V94+'Revenue and costs'!AE94,0)+IF(AND(C16&gt;=(13-'Assumptions'!$J$117),C16&lt;=12),SUM('Revenue and costs'!O95:U95)/'Assumptions'!$J$117,0)+IF(C16=(13-'Assumptions'!$J$117)-1,'Revenue and costs'!V95+'Revenue and costs'!AE95,0)+IF(AND(C16&gt;=(13-'Assumptions'!$J$118),C16&lt;=12),SUM('Revenue and costs'!O96:U96)/'Assumptions'!$J$118,0)+IF(C16=(13-'Assumptions'!$J$118)-1,'Revenue and costs'!V96+'Revenue and costs'!AE96,0)+IF(AND(C16&gt;=(13-'Assumptions'!$J$119),C16&lt;=12),SUM('Revenue and costs'!O97:U97)/'Assumptions'!$J$119,0)+IF(C16=(13-'Assumptions'!$J$119)-1,'Revenue and costs'!V97+'Revenue and costs'!AE97,0)+IF(AND(C16&gt;=(13-'Assumptions'!$J$120),C16&lt;=12),SUM('Revenue and costs'!O98:U98)/'Assumptions'!$J$120,0)+IF(C16=(13-'Assumptions'!$J$120)-1,'Revenue and costs'!V98+'Revenue and costs'!AE98,0)+IF(AND(C16&gt;=(13-'Assumptions'!$J$121),C16&lt;=12),SUM('Revenue and costs'!O99:U99)/'Assumptions'!$J$121,0)+IF(C16=(13-'Assumptions'!$J$121)-1,'Revenue and costs'!V99+'Revenue and costs'!AE99,0)+IF(AND(C16&gt;=(13-'Assumptions'!$J$122),C16&lt;=12),SUM('Revenue and costs'!O100:U100)/'Assumptions'!$J$122,0)+IF(C16=(13-'Assumptions'!$J$122)-1,'Revenue and costs'!V100+'Revenue and costs'!AE100,0)+IF(AND(C16&gt;=(13-'Assumptions'!$J$123),C16&lt;=12),SUM('Revenue and costs'!O101:U101)/'Assumptions'!$J$123,0)+IF(C16=(13-'Assumptions'!$J$123)-1,'Revenue and costs'!V101+'Revenue and costs'!AE101,0)+IF(AND(C16&gt;=(13-'Assumptions'!$J$124),C16&lt;=12),SUM('Revenue and costs'!O102:U102)/'Assumptions'!$J$124,0)+IF(C16=(13-'Assumptions'!$J$124)-1,'Revenue and costs'!V102+'Revenue and costs'!AE102,0)+IF(AND(C16&gt;=(13-'Assumptions'!$J$125),C16&lt;=12),SUM('Revenue and costs'!O103:U103)/'Assumptions'!$J$125,0)+IF(C16=(13-'Assumptions'!$J$125)-1,'Revenue and costs'!V103+'Revenue and costs'!AE103,0)+IF(AND(C16&gt;=(13-'Assumptions'!$J$126),C16&lt;=12),SUM('Revenue and costs'!O104:U104)/'Assumptions'!$J$126,0)+IF(C16=(13-'Assumptions'!$J$126)-1,'Revenue and costs'!V104+'Revenue and costs'!AE104,0)+IF(AND(C16&gt;=(13-'Assumptions'!$J$127),C16&lt;=12),SUM('Revenue and costs'!O105:U105)/'Assumptions'!$J$127,0)+IF(C16=(13-'Assumptions'!$J$127)-1,'Revenue and costs'!V105+'Revenue and costs'!AE105,0)+IF(AND(C16&gt;=(13-'Assumptions'!$J$128),C16&lt;=12),SUM('Revenue and costs'!O106:U106)/'Assumptions'!$J$128,0)+IF(C16=(13-'Assumptions'!$J$128)-1,'Revenue and costs'!V106+'Revenue and costs'!AE106,0)+IF(AND(C16&gt;=(13-'Assumptions'!$J$129),C16&lt;=12),SUM('Revenue and costs'!O107:U107)/'Assumptions'!$J$129,0)+IF(C16=(13-'Assumptions'!$J$129)-1,'Revenue and costs'!V107+'Revenue and costs'!AE107,0)+IF(AND(C16&gt;=(13-'Assumptions'!$J$130),C16&lt;=12),SUM('Revenue and costs'!O108:U108)/'Assumptions'!$J$130,0)+IF(C16=(13-'Assumptions'!$J$130)-1,'Revenue and costs'!V108+'Revenue and costs'!AE108,0)+IF(AND(C16&gt;=(13-'Assumptions'!$J$131),C16&lt;=12),SUM('Revenue and costs'!O109:U109)/'Assumptions'!$J$131,0)+IF(C16=(13-'Assumptions'!$J$131)-1,'Revenue and costs'!V109+'Revenue and costs'!AE109,0)+IF(AND(C16&gt;=(13-'Assumptions'!$J$132),C16&lt;=12),SUM('Revenue and costs'!O110:U110)/'Assumptions'!$J$132,0)+IF(C16=(13-'Assumptions'!$J$132)-1,'Revenue and costs'!V110+'Revenue and costs'!AE110,0)+IF(AND(C16&gt;=(13-'Assumptions'!$J$133),C16&lt;=12),SUM('Revenue and costs'!O111:U111)/'Assumptions'!$J$133,0)+IF(C16=(13-'Assumptions'!$J$133)-1,'Revenue and costs'!V111+'Revenue and costs'!AE111,0)+IF(AND(C16&gt;=(13-'Assumptions'!$J$134),C16&lt;=12),SUM('Revenue and costs'!O112:U112)/'Assumptions'!$J$134,0)+IF(C16=(13-'Assumptions'!$J$134)-1,'Revenue and costs'!V112+'Revenue and costs'!AE112,0)+IF(AND(C16&gt;=(13-'Assumptions'!$J$135),C16&lt;=12),SUM('Revenue and costs'!O113:U113)/'Assumptions'!$J$135,0)+IF(C16=(13-'Assumptions'!$J$135)-1,'Revenue and costs'!V113+'Revenue and costs'!AE113,0)+IF(AND(C16&gt;=(13-'Assumptions'!$J$136),C16&lt;=12),SUM('Revenue and costs'!O114:U114)/'Assumptions'!$J$136,0)+IF(C16=(13-'Assumptions'!$J$136)-1,'Revenue and costs'!V114+'Revenue and costs'!AE114,0)+IF(AND(C16&gt;=(13-'Assumptions'!$J$137),C16&lt;=12),SUM('Revenue and costs'!O115:U115)/'Assumptions'!$J$137,0)+IF(C16=(13-'Assumptions'!$J$137)-1,'Revenue and costs'!V115+'Revenue and costs'!AE115,0)+IF(AND(C16&gt;=(13-'Assumptions'!$J$138),C16&lt;=12),SUM('Revenue and costs'!O116:U116)/'Assumptions'!$J$138,0)+IF(C16=(13-'Assumptions'!$J$138)-1,'Revenue and costs'!V116+'Revenue and costs'!AE116,0)+IF(AND(C16&gt;=(13-'Assumptions'!$J$139),C16&lt;=12),SUM('Revenue and costs'!O117:U117)/'Assumptions'!$J$139,0)+IF(C16=(13-'Assumptions'!$J$139)-1,'Revenue and costs'!V117+'Revenue and costs'!AE117,0)+IF(AND(C16&gt;=(13-'Assumptions'!$J$140),C16&lt;=12),SUM('Revenue and costs'!O118:U118)/'Assumptions'!$J$140,0)+IF(C16=(13-'Assumptions'!$J$140)-1,'Revenue and costs'!V118+'Revenue and costs'!AE118,0)+IF(AND(C16&gt;=(13-'Assumptions'!$J$141),C16&lt;=12),SUM('Revenue and costs'!O119:U119)/'Assumptions'!$J$141,0)+IF(C16=(13-'Assumptions'!$J$141)-1,'Revenue and costs'!V119+'Revenue and costs'!AE119,0)+IF(AND(C16&gt;=(13-'Assumptions'!$J$142),C16&lt;=12),SUM('Revenue and costs'!O120:U120)/'Assumptions'!$J$142,0)+IF(C16=(13-'Assumptions'!$J$142)-1,'Revenue and costs'!V120+'Revenue and costs'!AE120,0)+IF(AND(C16&gt;=(13-'Assumptions'!$J$143),C16&lt;=12),SUM('Revenue and costs'!O121:U121)/'Assumptions'!$J$143,0)+IF(C16=(13-'Assumptions'!$J$143)-1,'Revenue and costs'!V121+'Revenue and costs'!AE121,0)+IF(AND(C16&gt;=(13-'Assumptions'!$J$144),C16&lt;=12),SUM('Revenue and costs'!O122:U122)/'Assumptions'!$J$144,0)+IF(C16=(13-'Assumptions'!$J$144)-1,'Revenue and costs'!V122+'Revenue and costs'!AE122,0)+IF(AND(C16&gt;=(13-'Assumptions'!$J$145),C16&lt;=12),SUM('Revenue and costs'!O123:U123)/'Assumptions'!$J$145,0)+IF(C16=(13-'Assumptions'!$J$145)-1,'Revenue and costs'!V123+'Revenue and costs'!AE123,0)+IF(AND(C16&gt;=(13-'Assumptions'!$J$146),C16&lt;=12),SUM('Revenue and costs'!O124:U124)/'Assumptions'!$J$146,0)+IF(C16=(13-'Assumptions'!$J$146)-1,'Revenue and costs'!V124+'Revenue and costs'!AE124,0)+IF(AND(C16&gt;=(13-'Assumptions'!$J$147),C16&lt;=12),SUM('Revenue and costs'!O125:U125)/'Assumptions'!$J$147,0)+IF(C16=(13-'Assumptions'!$J$147)-1,'Revenue and costs'!V125+'Revenue and costs'!AE125,0)+IF(AND(C16&gt;=(13-'Assumptions'!$J$148),C16&lt;=12),SUM('Revenue and costs'!O126:U126)/'Assumptions'!$J$148,0)+IF(C16=(13-'Assumptions'!$J$148)-1,'Revenue and costs'!V126+'Revenue and costs'!AE126,0)+IF(AND(C16&gt;=(13-'Assumptions'!$J$149),C16&lt;=12),SUM('Revenue and costs'!O127:U127)/'Assumptions'!$J$149,0)+IF(C16=(13-'Assumptions'!$J$149)-1,'Revenue and costs'!V127+'Revenue and costs'!AE127,0)+IF(AND(C16&gt;=(13-'Assumptions'!$J$150),C16&lt;=12),SUM('Revenue and costs'!O128:U128)/'Assumptions'!$J$150,0)+IF(C16=(13-'Assumptions'!$J$150)-1,'Revenue and costs'!V128+'Revenue and costs'!AE128,0)+IF(AND(C16&gt;=(13-'Assumptions'!$J$151),C16&lt;=12),SUM('Revenue and costs'!O129:U129)/'Assumptions'!$J$151,0)+IF(C16=(13-'Assumptions'!$J$151)-1,'Revenue and costs'!V129+'Revenue and costs'!AE129,0)+IF(AND(C16&gt;=(13-'Assumptions'!$J$152),C16&lt;=12),SUM('Revenue and costs'!O130:U130)/'Assumptions'!$J$152,0)+IF(C16=(13-'Assumptions'!$J$152)-1,'Revenue and costs'!V130+'Revenue and costs'!AE130,0)+IF(AND(C16&gt;=(13-'Assumptions'!$J$153),C16&lt;=12),SUM('Revenue and costs'!O131:U131)/'Assumptions'!$J$153,0)+IF(C16=(13-'Assumptions'!$J$153)-1,'Revenue and costs'!V131+'Revenue and costs'!AE131,0)+IF(AND(C16&gt;=(13-'Assumptions'!$J$154),C16&lt;=12),SUM('Revenue and costs'!O132:U132)/'Assumptions'!$J$154,0)+IF(C16=(13-'Assumptions'!$J$154)-1,'Revenue and costs'!V132+'Revenue and costs'!AE132,0)+IF(AND(C16&gt;=(13-'Assumptions'!$J$155),C16&lt;=12),SUM('Revenue and costs'!O133:U133)/'Assumptions'!$J$155,0)+IF(C16=(13-'Assumptions'!$J$155)-1,'Revenue and costs'!V133+'Revenue and costs'!AE133,0)+IF(AND(C16&gt;=(13-'Assumptions'!$J$156),C16&lt;=12),SUM('Revenue and costs'!O134:U134)/'Assumptions'!$J$156,0)+IF(C16=(13-'Assumptions'!$J$156)-1,'Revenue and costs'!V134+'Revenue and costs'!AE134,0)+IF(AND(C16&gt;=(13-'Assumptions'!$J$157),C16&lt;=12),SUM('Revenue and costs'!O135:U135)/'Assumptions'!$J$157,0)+IF(C16=(13-'Assumptions'!$J$157)-1,'Revenue and costs'!V135+'Revenue and costs'!AE135,0)+IF(C16&gt;0,'Shared costs'!H21/12+'Assumptions'!$D$18*'Assumptions'!$D$19*'Assumptions'!$D$21,0)</x:f>
        <x:v>76433.69269999999</x:v>
      </x:c>
      <x:c r="F16" s="10" t="n">
        <x:f>IF(C16=12,'Income statement'!D85,0)</x:f>
        <x:v>0</x:v>
      </x:c>
      <x:c r="G16" s="10" t="n">
        <x:f>IF(C16=(13-'Assumptions'!$J$30)-1,'Revenue and costs'!Y8,0)+IF(C16=(13-'Assumptions'!$J$31)-1,'Revenue and costs'!Y9,0)+IF(C16=(13-'Assumptions'!$J$32)-1,'Revenue and costs'!Y10,0)+IF(C16=(13-'Assumptions'!$J$33)-1,'Revenue and costs'!Y11,0)+IF(C16=(13-'Assumptions'!$J$34)-1,'Revenue and costs'!Y12,0)+IF(C16=(13-'Assumptions'!$J$35)-1,'Revenue and costs'!Y13,0)+IF(C16=(13-'Assumptions'!$J$36)-1,'Revenue and costs'!Y14,0)+IF(C16=(13-'Assumptions'!$J$37)-1,'Revenue and costs'!Y15,0)+IF(C16=(13-'Assumptions'!$J$38)-1,'Revenue and costs'!Y16,0)+IF(C16=(13-'Assumptions'!$J$39)-1,'Revenue and costs'!Y17,0)+IF(C16=(13-'Assumptions'!$J$40)-1,'Revenue and costs'!Y18,0)+IF(C16=(13-'Assumptions'!$J$41)-1,'Revenue and costs'!Y19,0)+IF(C16=(13-'Assumptions'!$J$42)-1,'Revenue and costs'!Y20,0)+IF(C16=(13-'Assumptions'!$J$43)-1,'Revenue and costs'!Y21,0)+IF(C16=(13-'Assumptions'!$J$44)-1,'Revenue and costs'!Y22,0)+IF(C16=(13-'Assumptions'!$J$45)-1,'Revenue and costs'!Y23,0)+IF(C16=(13-'Assumptions'!$J$46)-1,'Revenue and costs'!Y24,0)+IF(C16=(13-'Assumptions'!$J$47)-1,'Revenue and costs'!Y25,0)+IF(C16=(13-'Assumptions'!$J$48)-1,'Revenue and costs'!Y26,0)+IF(C16=(13-'Assumptions'!$J$49)-1,'Revenue and costs'!Y27,0)+IF(C16=(13-'Assumptions'!$J$50)-1,'Revenue and costs'!Y28,0)+IF(C16=(13-'Assumptions'!$J$51)-1,'Revenue and costs'!Y29,0)+IF(C16=(13-'Assumptions'!$J$52)-1,'Revenue and costs'!Y30,0)+IF(C16=(13-'Assumptions'!$J$53)-1,'Revenue and costs'!Y31,0)+IF(C16=(13-'Assumptions'!$J$54)-1,'Revenue and costs'!Y32,0)+IF(C16=(13-'Assumptions'!$J$55)-1,'Revenue and costs'!Y33,0)+IF(C16=(13-'Assumptions'!$J$56)-1,'Revenue and costs'!Y34,0)+IF(C16=(13-'Assumptions'!$J$57)-1,'Revenue and costs'!Y35,0)+IF(C16=(13-'Assumptions'!$J$58)-1,'Revenue and costs'!Y36,0)+IF(C16=(13-'Assumptions'!$J$59)-1,'Revenue and costs'!Y37,0)+IF(C16=(13-'Assumptions'!$J$60)-1,'Revenue and costs'!Y38,0)+IF(C16=(13-'Assumptions'!$J$61)-1,'Revenue and costs'!Y39,0)+IF(C16=(13-'Assumptions'!$J$62)-1,'Revenue and costs'!Y40,0)+IF(C16=(13-'Assumptions'!$J$63)-1,'Revenue and costs'!Y41,0)+IF(C16=(13-'Assumptions'!$J$64)-1,'Revenue and costs'!Y42,0)+IF(C16=(13-'Assumptions'!$J$65)-1,'Revenue and costs'!Y43,0)+IF(C16=(13-'Assumptions'!$J$66)-1,'Revenue and costs'!Y44,0)+IF(C16=(13-'Assumptions'!$J$67)-1,'Revenue and costs'!Y45,0)+IF(C16=(13-'Assumptions'!$J$68)-1,'Revenue and costs'!Y46,0)+IF(C16=(13-'Assumptions'!$J$69)-1,'Revenue and costs'!Y47,0)+IF(C16=(13-'Assumptions'!$J$70)-1,'Revenue and costs'!Y48,0)+IF(C16=(13-'Assumptions'!$J$71)-1,'Revenue and costs'!Y49,0)+IF(C16=(13-'Assumptions'!$J$72)-1,'Revenue and costs'!Y50,0)+IF(C16=(13-'Assumptions'!$J$73)-1,'Revenue and costs'!Y51,0)+IF(C16=(13-'Assumptions'!$J$74)-1,'Revenue and costs'!Y52,0)+IF(C16=(13-'Assumptions'!$J$75)-1,'Revenue and costs'!Y53,0)+IF(C16=(13-'Assumptions'!$J$76)-1,'Revenue and costs'!Y54,0)+IF(C16=(13-'Assumptions'!$J$77)-1,'Revenue and costs'!Y55,0)+IF(C16=(13-'Assumptions'!$J$78)-1,'Revenue and costs'!Y56,0)+IF(C16=(13-'Assumptions'!$J$79)-1,'Revenue and costs'!Y57,0)+IF(C16=(13-'Assumptions'!$J$80)-1,'Revenue and costs'!Y58,0)+IF(C16=(13-'Assumptions'!$J$81)-1,'Revenue and costs'!Y59,0)+IF(C16=(13-'Assumptions'!$J$82)-1,'Revenue and costs'!Y60,0)+IF(C16=(13-'Assumptions'!$J$83)-1,'Revenue and costs'!Y61,0)+IF(C16=(13-'Assumptions'!$J$84)-1,'Revenue and costs'!Y62,0)+IF(C16=(13-'Assumptions'!$J$85)-1,'Revenue and costs'!Y63,0)+IF(C16=(13-'Assumptions'!$J$86)-1,'Revenue and costs'!Y64,0)+IF(C16=(13-'Assumptions'!$J$87)-1,'Revenue and costs'!Y65,0)+IF(C16=(13-'Assumptions'!$J$88)-1,'Revenue and costs'!Y66,0)+IF(C16=(13-'Assumptions'!$J$89)-1,'Revenue and costs'!Y67,0)+IF(C16=(13-'Assumptions'!$J$90)-1,'Revenue and costs'!Y68,0)+IF(C16=(13-'Assumptions'!$J$91)-1,'Revenue and costs'!Y69,0)+IF(C16=(13-'Assumptions'!$J$92)-1,'Revenue and costs'!Y70,0)+IF(C16=(13-'Assumptions'!$J$93)-1,'Revenue and costs'!Y71,0)+IF(C16=(13-'Assumptions'!$J$94)-1,'Revenue and costs'!Y72,0)+IF(C16=(13-'Assumptions'!$J$95)-1,'Revenue and costs'!Y73,0)+IF(C16=(13-'Assumptions'!$J$96)-1,'Revenue and costs'!Y74,0)+IF(C16=(13-'Assumptions'!$J$97)-1,'Revenue and costs'!Y75,0)+IF(C16=(13-'Assumptions'!$J$98)-1,'Revenue and costs'!Y76,0)+IF(C16=(13-'Assumptions'!$J$99)-1,'Revenue and costs'!Y77,0)+IF(C16=(13-'Assumptions'!$J$100)-1,'Revenue and costs'!Y78,0)+IF(C16=(13-'Assumptions'!$J$101)-1,'Revenue and costs'!Y79,0)+IF(C16=(13-'Assumptions'!$J$102)-1,'Revenue and costs'!Y80,0)+IF(C16=(13-'Assumptions'!$J$103)-1,'Revenue and costs'!Y81,0)+IF(C16=(13-'Assumptions'!$J$104)-1,'Revenue and costs'!Y82,0)+IF(C16=(13-'Assumptions'!$J$105)-1,'Revenue and costs'!Y83,0)+IF(C16=(13-'Assumptions'!$J$106)-1,'Revenue and costs'!Y84,0)+IF(C16=(13-'Assumptions'!$J$107)-1,'Revenue and costs'!Y85,0)+IF(C16=(13-'Assumptions'!$J$108)-1,'Revenue and costs'!Y86,0)+IF(C16=(13-'Assumptions'!$J$109)-1,'Revenue and costs'!Y87,0)+IF(C16=(13-'Assumptions'!$J$110)-1,'Revenue and costs'!Y88,0)+IF(C16=(13-'Assumptions'!$J$111)-1,'Revenue and costs'!Y89,0)+IF(C16=(13-'Assumptions'!$J$112)-1,'Revenue and costs'!Y90,0)+IF(C16=(13-'Assumptions'!$J$113)-1,'Revenue and costs'!Y91,0)+IF(C16=(13-'Assumptions'!$J$114)-1,'Revenue and costs'!Y92,0)+IF(C16=(13-'Assumptions'!$J$115)-1,'Revenue and costs'!Y93,0)+IF(C16=(13-'Assumptions'!$J$116)-1,'Revenue and costs'!Y94,0)+IF(C16=(13-'Assumptions'!$J$117)-1,'Revenue and costs'!Y95,0)+IF(C16=(13-'Assumptions'!$J$118)-1,'Revenue and costs'!Y96,0)+IF(C16=(13-'Assumptions'!$J$119)-1,'Revenue and costs'!Y97,0)+IF(C16=(13-'Assumptions'!$J$120)-1,'Revenue and costs'!Y98,0)+IF(C16=(13-'Assumptions'!$J$121)-1,'Revenue and costs'!Y99,0)+IF(C16=(13-'Assumptions'!$J$122)-1,'Revenue and costs'!Y100,0)+IF(C16=(13-'Assumptions'!$J$123)-1,'Revenue and costs'!Y101,0)+IF(C16=(13-'Assumptions'!$J$124)-1,'Revenue and costs'!Y102,0)+IF(C16=(13-'Assumptions'!$J$125)-1,'Revenue and costs'!Y103,0)+IF(C16=(13-'Assumptions'!$J$126)-1,'Revenue and costs'!Y104,0)+IF(C16=(13-'Assumptions'!$J$127)-1,'Revenue and costs'!Y105,0)+IF(C16=(13-'Assumptions'!$J$128)-1,'Revenue and costs'!Y106,0)+IF(C16=(13-'Assumptions'!$J$129)-1,'Revenue and costs'!Y107,0)+IF(C16=(13-'Assumptions'!$J$130)-1,'Revenue and costs'!Y108,0)+IF(C16=(13-'Assumptions'!$J$131)-1,'Revenue and costs'!Y109,0)+IF(C16=(13-'Assumptions'!$J$132)-1,'Revenue and costs'!Y110,0)+IF(C16=(13-'Assumptions'!$J$133)-1,'Revenue and costs'!Y111,0)+IF(C16=(13-'Assumptions'!$J$134)-1,'Revenue and costs'!Y112,0)+IF(C16=(13-'Assumptions'!$J$135)-1,'Revenue and costs'!Y113,0)+IF(C16=(13-'Assumptions'!$J$136)-1,'Revenue and costs'!Y114,0)+IF(C16=(13-'Assumptions'!$J$137)-1,'Revenue and costs'!Y115,0)+IF(C16=(13-'Assumptions'!$J$138)-1,'Revenue and costs'!Y116,0)+IF(C16=(13-'Assumptions'!$J$139)-1,'Revenue and costs'!Y117,0)+IF(C16=(13-'Assumptions'!$J$140)-1,'Revenue and costs'!Y118,0)+IF(C16=(13-'Assumptions'!$J$141)-1,'Revenue and costs'!Y119,0)+IF(C16=(13-'Assumptions'!$J$142)-1,'Revenue and costs'!Y120,0)+IF(C16=(13-'Assumptions'!$J$143)-1,'Revenue and costs'!Y121,0)+IF(C16=(13-'Assumptions'!$J$144)-1,'Revenue and costs'!Y122,0)+IF(C16=(13-'Assumptions'!$J$145)-1,'Revenue and costs'!Y123,0)+IF(C16=(13-'Assumptions'!$J$146)-1,'Revenue and costs'!Y124,0)+IF(C16=(13-'Assumptions'!$J$147)-1,'Revenue and costs'!Y125,0)+IF(C16=(13-'Assumptions'!$J$148)-1,'Revenue and costs'!Y126,0)+IF(C16=(13-'Assumptions'!$J$149)-1,'Revenue and costs'!Y127,0)+IF(C16=(13-'Assumptions'!$J$150)-1,'Revenue and costs'!Y128,0)+IF(C16=(13-'Assumptions'!$J$151)-1,'Revenue and costs'!Y129,0)+IF(C16=(13-'Assumptions'!$J$152)-1,'Revenue and costs'!Y130,0)+IF(C16=(13-'Assumptions'!$J$153)-1,'Revenue and costs'!Y131,0)+IF(C16=(13-'Assumptions'!$J$154)-1,'Revenue and costs'!Y132,0)+IF(C16=(13-'Assumptions'!$J$155)-1,'Revenue and costs'!Y133,0)+IF(C16=(13-'Assumptions'!$J$156)-1,'Revenue and costs'!Y134,0)+IF(C16=(13-'Assumptions'!$J$157)-1,'Revenue and costs'!Y135,0)</x:f>
        <x:v>0</x:v>
      </x:c>
      <x:c r="H16" s="10" t="n">
        <x:f>IF(C16=0,'Cash and capital'!D13,0)</x:f>
        <x:v>0</x:v>
      </x:c>
      <x:c r="I16" s="10" t="n">
        <x:f>D16-E16-F16-G16-H16</x:f>
        <x:v>50539.88063333336</x:v>
      </x:c>
      <x:c r="J16" s="10" t="n">
        <x:f>J15+I16</x:f>
        <x:v>104836.07680000011</x:v>
      </x:c>
      <x:c r="K16" s="10" t="n">
        <x:f>MAX(0,-MIN($J$8:J16))</x:f>
        <x:v>25216.872599999995</x:v>
      </x:c>
      <x:c r="L16" s="10"/>
      <x:c r="M16" s="10"/>
      <x:c r="N16" s="10"/>
      <x:c r="O16" s="10"/>
      <x:c r="P16" s="10"/>
      <x:c r="Q16" s="10"/>
    </x:row>
    <x:row r="17" ht="16" customHeight="1">
      <x:c r="A17" s="1"/>
      <x:c r="B17" s="1"/>
      <x:c r="C17" s="1" t="n">
        <x:v>9</x:v>
      </x:c>
      <x:c r="D17" s="10" t="n">
        <x:f>IF(AND(C17&gt;=(13-'Assumptions'!$J$30)+'Assumptions'!$AF$30,C17&lt;=12),'Revenue and costs'!N8/'Assumptions'!$J$30,0)+IF(AND(C17&gt;=(13-'Assumptions'!$J$31)+'Assumptions'!$AF$31,C17&lt;=12),'Revenue and costs'!N9/'Assumptions'!$J$31,0)+IF(AND(C17&gt;=(13-'Assumptions'!$J$32)+'Assumptions'!$AF$32,C17&lt;=12),'Revenue and costs'!N10/'Assumptions'!$J$32,0)+IF(AND(C17&gt;=(13-'Assumptions'!$J$33)+'Assumptions'!$AF$33,C17&lt;=12),'Revenue and costs'!N11/'Assumptions'!$J$33,0)+IF(AND(C17&gt;=(13-'Assumptions'!$J$34)+'Assumptions'!$AF$34,C17&lt;=12),'Revenue and costs'!N12/'Assumptions'!$J$34,0)+IF(AND(C17&gt;=(13-'Assumptions'!$J$35)+'Assumptions'!$AF$35,C17&lt;=12),'Revenue and costs'!N13/'Assumptions'!$J$35,0)+IF(AND(C17&gt;=(13-'Assumptions'!$J$36)+'Assumptions'!$AF$36,C17&lt;=12),'Revenue and costs'!N14/'Assumptions'!$J$36,0)+IF(AND(C17&gt;=(13-'Assumptions'!$J$37)+'Assumptions'!$AF$37,C17&lt;=12),'Revenue and costs'!N15/'Assumptions'!$J$37,0)+IF(AND(C17&gt;=(13-'Assumptions'!$J$38)+'Assumptions'!$AF$38,C17&lt;=12),'Revenue and costs'!N16/'Assumptions'!$J$38,0)+IF(AND(C17&gt;=(13-'Assumptions'!$J$39)+'Assumptions'!$AF$39,C17&lt;=12),'Revenue and costs'!N17/'Assumptions'!$J$39,0)+IF(AND(C17&gt;=(13-'Assumptions'!$J$40)+'Assumptions'!$AF$40,C17&lt;=12),'Revenue and costs'!N18/'Assumptions'!$J$40,0)+IF(AND(C17&gt;=(13-'Assumptions'!$J$41)+'Assumptions'!$AF$41,C17&lt;=12),'Revenue and costs'!N19/'Assumptions'!$J$41,0)+IF(AND(C17&gt;=(13-'Assumptions'!$J$42)+'Assumptions'!$AF$42,C17&lt;=12),'Revenue and costs'!N20/'Assumptions'!$J$42,0)+IF(AND(C17&gt;=(13-'Assumptions'!$J$43)+'Assumptions'!$AF$43,C17&lt;=12),'Revenue and costs'!N21/'Assumptions'!$J$43,0)+IF(AND(C17&gt;=(13-'Assumptions'!$J$44)+'Assumptions'!$AF$44,C17&lt;=12),'Revenue and costs'!N22/'Assumptions'!$J$44,0)+IF(AND(C17&gt;=(13-'Assumptions'!$J$45)+'Assumptions'!$AF$45,C17&lt;=12),'Revenue and costs'!N23/'Assumptions'!$J$45,0)+IF(AND(C17&gt;=(13-'Assumptions'!$J$46)+'Assumptions'!$AF$46,C17&lt;=12),'Revenue and costs'!N24/'Assumptions'!$J$46,0)+IF(AND(C17&gt;=(13-'Assumptions'!$J$47)+'Assumptions'!$AF$47,C17&lt;=12),'Revenue and costs'!N25/'Assumptions'!$J$47,0)+IF(AND(C17&gt;=(13-'Assumptions'!$J$48)+'Assumptions'!$AF$48,C17&lt;=12),'Revenue and costs'!N26/'Assumptions'!$J$48,0)+IF(AND(C17&gt;=(13-'Assumptions'!$J$49)+'Assumptions'!$AF$49,C17&lt;=12),'Revenue and costs'!N27/'Assumptions'!$J$49,0)+IF(AND(C17&gt;=(13-'Assumptions'!$J$50)+'Assumptions'!$AF$50,C17&lt;=12),'Revenue and costs'!N28/'Assumptions'!$J$50,0)+IF(AND(C17&gt;=(13-'Assumptions'!$J$51)+'Assumptions'!$AF$51,C17&lt;=12),'Revenue and costs'!N29/'Assumptions'!$J$51,0)+IF(AND(C17&gt;=(13-'Assumptions'!$J$52)+'Assumptions'!$AF$52,C17&lt;=12),'Revenue and costs'!N30/'Assumptions'!$J$52,0)+IF(AND(C17&gt;=(13-'Assumptions'!$J$53)+'Assumptions'!$AF$53,C17&lt;=12),'Revenue and costs'!N31/'Assumptions'!$J$53,0)+IF(AND(C17&gt;=(13-'Assumptions'!$J$54)+'Assumptions'!$AF$54,C17&lt;=12),'Revenue and costs'!N32/'Assumptions'!$J$54,0)+IF(AND(C17&gt;=(13-'Assumptions'!$J$55)+'Assumptions'!$AF$55,C17&lt;=12),'Revenue and costs'!N33/'Assumptions'!$J$55,0)+IF(AND(C17&gt;=(13-'Assumptions'!$J$56)+'Assumptions'!$AF$56,C17&lt;=12),'Revenue and costs'!N34/'Assumptions'!$J$56,0)+IF(AND(C17&gt;=(13-'Assumptions'!$J$57)+'Assumptions'!$AF$57,C17&lt;=12),'Revenue and costs'!N35/'Assumptions'!$J$57,0)+IF(AND(C17&gt;=(13-'Assumptions'!$J$58)+'Assumptions'!$AF$58,C17&lt;=12),'Revenue and costs'!N36/'Assumptions'!$J$58,0)+IF(AND(C17&gt;=(13-'Assumptions'!$J$59)+'Assumptions'!$AF$59,C17&lt;=12),'Revenue and costs'!N37/'Assumptions'!$J$59,0)+IF(AND(C17&gt;=(13-'Assumptions'!$J$60)+'Assumptions'!$AF$60,C17&lt;=12),'Revenue and costs'!N38/'Assumptions'!$J$60,0)+IF(AND(C17&gt;=(13-'Assumptions'!$J$61)+'Assumptions'!$AF$61,C17&lt;=12),'Revenue and costs'!N39/'Assumptions'!$J$61,0)+IF(AND(C17&gt;=(13-'Assumptions'!$J$62)+'Assumptions'!$AF$62,C17&lt;=12),'Revenue and costs'!N40/'Assumptions'!$J$62,0)+IF(AND(C17&gt;=(13-'Assumptions'!$J$63)+'Assumptions'!$AF$63,C17&lt;=12),'Revenue and costs'!N41/'Assumptions'!$J$63,0)+IF(AND(C17&gt;=(13-'Assumptions'!$J$64)+'Assumptions'!$AF$64,C17&lt;=12),'Revenue and costs'!N42/'Assumptions'!$J$64,0)+IF(AND(C17&gt;=(13-'Assumptions'!$J$65)+'Assumptions'!$AF$65,C17&lt;=12),'Revenue and costs'!N43/'Assumptions'!$J$65,0)+IF(AND(C17&gt;=(13-'Assumptions'!$J$66)+'Assumptions'!$AF$66,C17&lt;=12),'Revenue and costs'!N44/'Assumptions'!$J$66,0)+IF(AND(C17&gt;=(13-'Assumptions'!$J$67)+'Assumptions'!$AF$67,C17&lt;=12),'Revenue and costs'!N45/'Assumptions'!$J$67,0)+IF(AND(C17&gt;=(13-'Assumptions'!$J$68)+'Assumptions'!$AF$68,C17&lt;=12),'Revenue and costs'!N46/'Assumptions'!$J$68,0)+IF(AND(C17&gt;=(13-'Assumptions'!$J$69)+'Assumptions'!$AF$69,C17&lt;=12),'Revenue and costs'!N47/'Assumptions'!$J$69,0)+IF(AND(C17&gt;=(13-'Assumptions'!$J$70)+'Assumptions'!$AF$70,C17&lt;=12),'Revenue and costs'!N48/'Assumptions'!$J$70,0)+IF(AND(C17&gt;=(13-'Assumptions'!$J$71)+'Assumptions'!$AF$71,C17&lt;=12),'Revenue and costs'!N49/'Assumptions'!$J$71,0)+IF(AND(C17&gt;=(13-'Assumptions'!$J$72)+'Assumptions'!$AF$72,C17&lt;=12),'Revenue and costs'!N50/'Assumptions'!$J$72,0)+IF(AND(C17&gt;=(13-'Assumptions'!$J$73)+'Assumptions'!$AF$73,C17&lt;=12),'Revenue and costs'!N51/'Assumptions'!$J$73,0)+IF(AND(C17&gt;=(13-'Assumptions'!$J$74)+'Assumptions'!$AF$74,C17&lt;=12),'Revenue and costs'!N52/'Assumptions'!$J$74,0)+IF(AND(C17&gt;=(13-'Assumptions'!$J$75)+'Assumptions'!$AF$75,C17&lt;=12),'Revenue and costs'!N53/'Assumptions'!$J$75,0)+IF(AND(C17&gt;=(13-'Assumptions'!$J$76)+'Assumptions'!$AF$76,C17&lt;=12),'Revenue and costs'!N54/'Assumptions'!$J$76,0)+IF(AND(C17&gt;=(13-'Assumptions'!$J$77)+'Assumptions'!$AF$77,C17&lt;=12),'Revenue and costs'!N55/'Assumptions'!$J$77,0)+IF(AND(C17&gt;=(13-'Assumptions'!$J$78)+'Assumptions'!$AF$78,C17&lt;=12),'Revenue and costs'!N56/'Assumptions'!$J$78,0)+IF(AND(C17&gt;=(13-'Assumptions'!$J$79)+'Assumptions'!$AF$79,C17&lt;=12),'Revenue and costs'!N57/'Assumptions'!$J$79,0)+IF(AND(C17&gt;=(13-'Assumptions'!$J$80)+'Assumptions'!$AF$80,C17&lt;=12),'Revenue and costs'!N58/'Assumptions'!$J$80,0)+IF(AND(C17&gt;=(13-'Assumptions'!$J$81)+'Assumptions'!$AF$81,C17&lt;=12),'Revenue and costs'!N59/'Assumptions'!$J$81,0)+IF(AND(C17&gt;=(13-'Assumptions'!$J$82)+'Assumptions'!$AF$82,C17&lt;=12),'Revenue and costs'!N60/'Assumptions'!$J$82,0)+IF(AND(C17&gt;=(13-'Assumptions'!$J$83)+'Assumptions'!$AF$83,C17&lt;=12),'Revenue and costs'!N61/'Assumptions'!$J$83,0)+IF(AND(C17&gt;=(13-'Assumptions'!$J$84)+'Assumptions'!$AF$84,C17&lt;=12),'Revenue and costs'!N62/'Assumptions'!$J$84,0)+IF(AND(C17&gt;=(13-'Assumptions'!$J$85)+'Assumptions'!$AF$85,C17&lt;=12),'Revenue and costs'!N63/'Assumptions'!$J$85,0)+IF(AND(C17&gt;=(13-'Assumptions'!$J$86)+'Assumptions'!$AF$86,C17&lt;=12),'Revenue and costs'!N64/'Assumptions'!$J$86,0)+IF(AND(C17&gt;=(13-'Assumptions'!$J$87)+'Assumptions'!$AF$87,C17&lt;=12),'Revenue and costs'!N65/'Assumptions'!$J$87,0)+IF(AND(C17&gt;=(13-'Assumptions'!$J$88)+'Assumptions'!$AF$88,C17&lt;=12),'Revenue and costs'!N66/'Assumptions'!$J$88,0)+IF(AND(C17&gt;=(13-'Assumptions'!$J$89)+'Assumptions'!$AF$89,C17&lt;=12),'Revenue and costs'!N67/'Assumptions'!$J$89,0)+IF(AND(C17&gt;=(13-'Assumptions'!$J$90)+'Assumptions'!$AF$90,C17&lt;=12),'Revenue and costs'!N68/'Assumptions'!$J$90,0)+IF(AND(C17&gt;=(13-'Assumptions'!$J$91)+'Assumptions'!$AF$91,C17&lt;=12),'Revenue and costs'!N69/'Assumptions'!$J$91,0)+IF(AND(C17&gt;=(13-'Assumptions'!$J$92)+'Assumptions'!$AF$92,C17&lt;=12),'Revenue and costs'!N70/'Assumptions'!$J$92,0)+IF(AND(C17&gt;=(13-'Assumptions'!$J$93)+'Assumptions'!$AF$93,C17&lt;=12),'Revenue and costs'!N71/'Assumptions'!$J$93,0)+IF(AND(C17&gt;=(13-'Assumptions'!$J$94)+'Assumptions'!$AF$94,C17&lt;=12),'Revenue and costs'!N72/'Assumptions'!$J$94,0)+IF(AND(C17&gt;=(13-'Assumptions'!$J$95)+'Assumptions'!$AF$95,C17&lt;=12),'Revenue and costs'!N73/'Assumptions'!$J$95,0)+IF(AND(C17&gt;=(13-'Assumptions'!$J$96)+'Assumptions'!$AF$96,C17&lt;=12),'Revenue and costs'!N74/'Assumptions'!$J$96,0)+IF(AND(C17&gt;=(13-'Assumptions'!$J$97)+'Assumptions'!$AF$97,C17&lt;=12),'Revenue and costs'!N75/'Assumptions'!$J$97,0)+IF(AND(C17&gt;=(13-'Assumptions'!$J$98)+'Assumptions'!$AF$98,C17&lt;=12),'Revenue and costs'!N76/'Assumptions'!$J$98,0)+IF(AND(C17&gt;=(13-'Assumptions'!$J$99)+'Assumptions'!$AF$99,C17&lt;=12),'Revenue and costs'!N77/'Assumptions'!$J$99,0)+IF(AND(C17&gt;=(13-'Assumptions'!$J$100)+'Assumptions'!$AF$100,C17&lt;=12),'Revenue and costs'!N78/'Assumptions'!$J$100,0)+IF(AND(C17&gt;=(13-'Assumptions'!$J$101)+'Assumptions'!$AF$101,C17&lt;=12),'Revenue and costs'!N79/'Assumptions'!$J$101,0)+IF(AND(C17&gt;=(13-'Assumptions'!$J$102)+'Assumptions'!$AF$102,C17&lt;=12),'Revenue and costs'!N80/'Assumptions'!$J$102,0)+IF(AND(C17&gt;=(13-'Assumptions'!$J$103)+'Assumptions'!$AF$103,C17&lt;=12),'Revenue and costs'!N81/'Assumptions'!$J$103,0)+IF(AND(C17&gt;=(13-'Assumptions'!$J$104)+'Assumptions'!$AF$104,C17&lt;=12),'Revenue and costs'!N82/'Assumptions'!$J$104,0)+IF(AND(C17&gt;=(13-'Assumptions'!$J$105)+'Assumptions'!$AF$105,C17&lt;=12),'Revenue and costs'!N83/'Assumptions'!$J$105,0)+IF(AND(C17&gt;=(13-'Assumptions'!$J$106)+'Assumptions'!$AF$106,C17&lt;=12),'Revenue and costs'!N84/'Assumptions'!$J$106,0)+IF(AND(C17&gt;=(13-'Assumptions'!$J$107)+'Assumptions'!$AF$107,C17&lt;=12),'Revenue and costs'!N85/'Assumptions'!$J$107,0)+IF(AND(C17&gt;=(13-'Assumptions'!$J$108)+'Assumptions'!$AF$108,C17&lt;=12),'Revenue and costs'!N86/'Assumptions'!$J$108,0)+IF(AND(C17&gt;=(13-'Assumptions'!$J$109)+'Assumptions'!$AF$109,C17&lt;=12),'Revenue and costs'!N87/'Assumptions'!$J$109,0)+IF(AND(C17&gt;=(13-'Assumptions'!$J$110)+'Assumptions'!$AF$110,C17&lt;=12),'Revenue and costs'!N88/'Assumptions'!$J$110,0)+IF(AND(C17&gt;=(13-'Assumptions'!$J$111)+'Assumptions'!$AF$111,C17&lt;=12),'Revenue and costs'!N89/'Assumptions'!$J$111,0)+IF(AND(C17&gt;=(13-'Assumptions'!$J$112)+'Assumptions'!$AF$112,C17&lt;=12),'Revenue and costs'!N90/'Assumptions'!$J$112,0)+IF(AND(C17&gt;=(13-'Assumptions'!$J$113)+'Assumptions'!$AF$113,C17&lt;=12),'Revenue and costs'!N91/'Assumptions'!$J$113,0)+IF(AND(C17&gt;=(13-'Assumptions'!$J$114)+'Assumptions'!$AF$114,C17&lt;=12),'Revenue and costs'!N92/'Assumptions'!$J$114,0)+IF(AND(C17&gt;=(13-'Assumptions'!$J$115)+'Assumptions'!$AF$115,C17&lt;=12),'Revenue and costs'!N93/'Assumptions'!$J$115,0)+IF(AND(C17&gt;=(13-'Assumptions'!$J$116)+'Assumptions'!$AF$116,C17&lt;=12),'Revenue and costs'!N94/'Assumptions'!$J$116,0)+IF(AND(C17&gt;=(13-'Assumptions'!$J$117)+'Assumptions'!$AF$117,C17&lt;=12),'Revenue and costs'!N95/'Assumptions'!$J$117,0)+IF(AND(C17&gt;=(13-'Assumptions'!$J$118)+'Assumptions'!$AF$118,C17&lt;=12),'Revenue and costs'!N96/'Assumptions'!$J$118,0)+IF(AND(C17&gt;=(13-'Assumptions'!$J$119)+'Assumptions'!$AF$119,C17&lt;=12),'Revenue and costs'!N97/'Assumptions'!$J$119,0)+IF(AND(C17&gt;=(13-'Assumptions'!$J$120)+'Assumptions'!$AF$120,C17&lt;=12),'Revenue and costs'!N98/'Assumptions'!$J$120,0)+IF(AND(C17&gt;=(13-'Assumptions'!$J$121)+'Assumptions'!$AF$121,C17&lt;=12),'Revenue and costs'!N99/'Assumptions'!$J$121,0)+IF(AND(C17&gt;=(13-'Assumptions'!$J$122)+'Assumptions'!$AF$122,C17&lt;=12),'Revenue and costs'!N100/'Assumptions'!$J$122,0)+IF(AND(C17&gt;=(13-'Assumptions'!$J$123)+'Assumptions'!$AF$123,C17&lt;=12),'Revenue and costs'!N101/'Assumptions'!$J$123,0)+IF(AND(C17&gt;=(13-'Assumptions'!$J$124)+'Assumptions'!$AF$124,C17&lt;=12),'Revenue and costs'!N102/'Assumptions'!$J$124,0)+IF(AND(C17&gt;=(13-'Assumptions'!$J$125)+'Assumptions'!$AF$125,C17&lt;=12),'Revenue and costs'!N103/'Assumptions'!$J$125,0)+IF(AND(C17&gt;=(13-'Assumptions'!$J$126)+'Assumptions'!$AF$126,C17&lt;=12),'Revenue and costs'!N104/'Assumptions'!$J$126,0)+IF(AND(C17&gt;=(13-'Assumptions'!$J$127)+'Assumptions'!$AF$127,C17&lt;=12),'Revenue and costs'!N105/'Assumptions'!$J$127,0)+IF(AND(C17&gt;=(13-'Assumptions'!$J$128)+'Assumptions'!$AF$128,C17&lt;=12),'Revenue and costs'!N106/'Assumptions'!$J$128,0)+IF(AND(C17&gt;=(13-'Assumptions'!$J$129)+'Assumptions'!$AF$129,C17&lt;=12),'Revenue and costs'!N107/'Assumptions'!$J$129,0)+IF(AND(C17&gt;=(13-'Assumptions'!$J$130)+'Assumptions'!$AF$130,C17&lt;=12),'Revenue and costs'!N108/'Assumptions'!$J$130,0)+IF(AND(C17&gt;=(13-'Assumptions'!$J$131)+'Assumptions'!$AF$131,C17&lt;=12),'Revenue and costs'!N109/'Assumptions'!$J$131,0)+IF(AND(C17&gt;=(13-'Assumptions'!$J$132)+'Assumptions'!$AF$132,C17&lt;=12),'Revenue and costs'!N110/'Assumptions'!$J$132,0)+IF(AND(C17&gt;=(13-'Assumptions'!$J$133)+'Assumptions'!$AF$133,C17&lt;=12),'Revenue and costs'!N111/'Assumptions'!$J$133,0)+IF(AND(C17&gt;=(13-'Assumptions'!$J$134)+'Assumptions'!$AF$134,C17&lt;=12),'Revenue and costs'!N112/'Assumptions'!$J$134,0)+IF(AND(C17&gt;=(13-'Assumptions'!$J$135)+'Assumptions'!$AF$135,C17&lt;=12),'Revenue and costs'!N113/'Assumptions'!$J$135,0)+IF(AND(C17&gt;=(13-'Assumptions'!$J$136)+'Assumptions'!$AF$136,C17&lt;=12),'Revenue and costs'!N114/'Assumptions'!$J$136,0)+IF(AND(C17&gt;=(13-'Assumptions'!$J$137)+'Assumptions'!$AF$137,C17&lt;=12),'Revenue and costs'!N115/'Assumptions'!$J$137,0)+IF(AND(C17&gt;=(13-'Assumptions'!$J$138)+'Assumptions'!$AF$138,C17&lt;=12),'Revenue and costs'!N116/'Assumptions'!$J$138,0)+IF(AND(C17&gt;=(13-'Assumptions'!$J$139)+'Assumptions'!$AF$139,C17&lt;=12),'Revenue and costs'!N117/'Assumptions'!$J$139,0)+IF(AND(C17&gt;=(13-'Assumptions'!$J$140)+'Assumptions'!$AF$140,C17&lt;=12),'Revenue and costs'!N118/'Assumptions'!$J$140,0)+IF(AND(C17&gt;=(13-'Assumptions'!$J$141)+'Assumptions'!$AF$141,C17&lt;=12),'Revenue and costs'!N119/'Assumptions'!$J$141,0)+IF(AND(C17&gt;=(13-'Assumptions'!$J$142)+'Assumptions'!$AF$142,C17&lt;=12),'Revenue and costs'!N120/'Assumptions'!$J$142,0)+IF(AND(C17&gt;=(13-'Assumptions'!$J$143)+'Assumptions'!$AF$143,C17&lt;=12),'Revenue and costs'!N121/'Assumptions'!$J$143,0)+IF(AND(C17&gt;=(13-'Assumptions'!$J$144)+'Assumptions'!$AF$144,C17&lt;=12),'Revenue and costs'!N122/'Assumptions'!$J$144,0)+IF(AND(C17&gt;=(13-'Assumptions'!$J$145)+'Assumptions'!$AF$145,C17&lt;=12),'Revenue and costs'!N123/'Assumptions'!$J$145,0)+IF(AND(C17&gt;=(13-'Assumptions'!$J$146)+'Assumptions'!$AF$146,C17&lt;=12),'Revenue and costs'!N124/'Assumptions'!$J$146,0)+IF(AND(C17&gt;=(13-'Assumptions'!$J$147)+'Assumptions'!$AF$147,C17&lt;=12),'Revenue and costs'!N125/'Assumptions'!$J$147,0)+IF(AND(C17&gt;=(13-'Assumptions'!$J$148)+'Assumptions'!$AF$148,C17&lt;=12),'Revenue and costs'!N126/'Assumptions'!$J$148,0)+IF(AND(C17&gt;=(13-'Assumptions'!$J$149)+'Assumptions'!$AF$149,C17&lt;=12),'Revenue and costs'!N127/'Assumptions'!$J$149,0)+IF(AND(C17&gt;=(13-'Assumptions'!$J$150)+'Assumptions'!$AF$150,C17&lt;=12),'Revenue and costs'!N128/'Assumptions'!$J$150,0)+IF(AND(C17&gt;=(13-'Assumptions'!$J$151)+'Assumptions'!$AF$151,C17&lt;=12),'Revenue and costs'!N129/'Assumptions'!$J$151,0)+IF(AND(C17&gt;=(13-'Assumptions'!$J$152)+'Assumptions'!$AF$152,C17&lt;=12),'Revenue and costs'!N130/'Assumptions'!$J$152,0)+IF(AND(C17&gt;=(13-'Assumptions'!$J$153)+'Assumptions'!$AF$153,C17&lt;=12),'Revenue and costs'!N131/'Assumptions'!$J$153,0)+IF(AND(C17&gt;=(13-'Assumptions'!$J$154)+'Assumptions'!$AF$154,C17&lt;=12),'Revenue and costs'!N132/'Assumptions'!$J$154,0)+IF(AND(C17&gt;=(13-'Assumptions'!$J$155)+'Assumptions'!$AF$155,C17&lt;=12),'Revenue and costs'!N133/'Assumptions'!$J$155,0)+IF(AND(C17&gt;=(13-'Assumptions'!$J$156)+'Assumptions'!$AF$156,C17&lt;=12),'Revenue and costs'!N134/'Assumptions'!$J$156,0)+IF(AND(C17&gt;=(13-'Assumptions'!$J$157)+'Assumptions'!$AF$157,C17&lt;=12),'Revenue and costs'!N135/'Assumptions'!$J$157,0)</x:f>
        <x:v>126973.57333333335</x:v>
      </x:c>
      <x:c r="E17" s="10" t="n">
        <x:f>IF(AND(C17&gt;=(13-'Assumptions'!$J$30),C17&lt;=12),SUM('Revenue and costs'!O8:U8)/'Assumptions'!$J$30,0)+IF(C17=(13-'Assumptions'!$J$30)-1,'Revenue and costs'!V8+'Revenue and costs'!AE8,0)+IF(AND(C17&gt;=(13-'Assumptions'!$J$31),C17&lt;=12),SUM('Revenue and costs'!O9:U9)/'Assumptions'!$J$31,0)+IF(C17=(13-'Assumptions'!$J$31)-1,'Revenue and costs'!V9+'Revenue and costs'!AE9,0)+IF(AND(C17&gt;=(13-'Assumptions'!$J$32),C17&lt;=12),SUM('Revenue and costs'!O10:U10)/'Assumptions'!$J$32,0)+IF(C17=(13-'Assumptions'!$J$32)-1,'Revenue and costs'!V10+'Revenue and costs'!AE10,0)+IF(AND(C17&gt;=(13-'Assumptions'!$J$33),C17&lt;=12),SUM('Revenue and costs'!O11:U11)/'Assumptions'!$J$33,0)+IF(C17=(13-'Assumptions'!$J$33)-1,'Revenue and costs'!V11+'Revenue and costs'!AE11,0)+IF(AND(C17&gt;=(13-'Assumptions'!$J$34),C17&lt;=12),SUM('Revenue and costs'!O12:U12)/'Assumptions'!$J$34,0)+IF(C17=(13-'Assumptions'!$J$34)-1,'Revenue and costs'!V12+'Revenue and costs'!AE12,0)+IF(AND(C17&gt;=(13-'Assumptions'!$J$35),C17&lt;=12),SUM('Revenue and costs'!O13:U13)/'Assumptions'!$J$35,0)+IF(C17=(13-'Assumptions'!$J$35)-1,'Revenue and costs'!V13+'Revenue and costs'!AE13,0)+IF(AND(C17&gt;=(13-'Assumptions'!$J$36),C17&lt;=12),SUM('Revenue and costs'!O14:U14)/'Assumptions'!$J$36,0)+IF(C17=(13-'Assumptions'!$J$36)-1,'Revenue and costs'!V14+'Revenue and costs'!AE14,0)+IF(AND(C17&gt;=(13-'Assumptions'!$J$37),C17&lt;=12),SUM('Revenue and costs'!O15:U15)/'Assumptions'!$J$37,0)+IF(C17=(13-'Assumptions'!$J$37)-1,'Revenue and costs'!V15+'Revenue and costs'!AE15,0)+IF(AND(C17&gt;=(13-'Assumptions'!$J$38),C17&lt;=12),SUM('Revenue and costs'!O16:U16)/'Assumptions'!$J$38,0)+IF(C17=(13-'Assumptions'!$J$38)-1,'Revenue and costs'!V16+'Revenue and costs'!AE16,0)+IF(AND(C17&gt;=(13-'Assumptions'!$J$39),C17&lt;=12),SUM('Revenue and costs'!O17:U17)/'Assumptions'!$J$39,0)+IF(C17=(13-'Assumptions'!$J$39)-1,'Revenue and costs'!V17+'Revenue and costs'!AE17,0)+IF(AND(C17&gt;=(13-'Assumptions'!$J$40),C17&lt;=12),SUM('Revenue and costs'!O18:U18)/'Assumptions'!$J$40,0)+IF(C17=(13-'Assumptions'!$J$40)-1,'Revenue and costs'!V18+'Revenue and costs'!AE18,0)+IF(AND(C17&gt;=(13-'Assumptions'!$J$41),C17&lt;=12),SUM('Revenue and costs'!O19:U19)/'Assumptions'!$J$41,0)+IF(C17=(13-'Assumptions'!$J$41)-1,'Revenue and costs'!V19+'Revenue and costs'!AE19,0)+IF(AND(C17&gt;=(13-'Assumptions'!$J$42),C17&lt;=12),SUM('Revenue and costs'!O20:U20)/'Assumptions'!$J$42,0)+IF(C17=(13-'Assumptions'!$J$42)-1,'Revenue and costs'!V20+'Revenue and costs'!AE20,0)+IF(AND(C17&gt;=(13-'Assumptions'!$J$43),C17&lt;=12),SUM('Revenue and costs'!O21:U21)/'Assumptions'!$J$43,0)+IF(C17=(13-'Assumptions'!$J$43)-1,'Revenue and costs'!V21+'Revenue and costs'!AE21,0)+IF(AND(C17&gt;=(13-'Assumptions'!$J$44),C17&lt;=12),SUM('Revenue and costs'!O22:U22)/'Assumptions'!$J$44,0)+IF(C17=(13-'Assumptions'!$J$44)-1,'Revenue and costs'!V22+'Revenue and costs'!AE22,0)+IF(AND(C17&gt;=(13-'Assumptions'!$J$45),C17&lt;=12),SUM('Revenue and costs'!O23:U23)/'Assumptions'!$J$45,0)+IF(C17=(13-'Assumptions'!$J$45)-1,'Revenue and costs'!V23+'Revenue and costs'!AE23,0)+IF(AND(C17&gt;=(13-'Assumptions'!$J$46),C17&lt;=12),SUM('Revenue and costs'!O24:U24)/'Assumptions'!$J$46,0)+IF(C17=(13-'Assumptions'!$J$46)-1,'Revenue and costs'!V24+'Revenue and costs'!AE24,0)+IF(AND(C17&gt;=(13-'Assumptions'!$J$47),C17&lt;=12),SUM('Revenue and costs'!O25:U25)/'Assumptions'!$J$47,0)+IF(C17=(13-'Assumptions'!$J$47)-1,'Revenue and costs'!V25+'Revenue and costs'!AE25,0)+IF(AND(C17&gt;=(13-'Assumptions'!$J$48),C17&lt;=12),SUM('Revenue and costs'!O26:U26)/'Assumptions'!$J$48,0)+IF(C17=(13-'Assumptions'!$J$48)-1,'Revenue and costs'!V26+'Revenue and costs'!AE26,0)+IF(AND(C17&gt;=(13-'Assumptions'!$J$49),C17&lt;=12),SUM('Revenue and costs'!O27:U27)/'Assumptions'!$J$49,0)+IF(C17=(13-'Assumptions'!$J$49)-1,'Revenue and costs'!V27+'Revenue and costs'!AE27,0)+IF(AND(C17&gt;=(13-'Assumptions'!$J$50),C17&lt;=12),SUM('Revenue and costs'!O28:U28)/'Assumptions'!$J$50,0)+IF(C17=(13-'Assumptions'!$J$50)-1,'Revenue and costs'!V28+'Revenue and costs'!AE28,0)+IF(AND(C17&gt;=(13-'Assumptions'!$J$51),C17&lt;=12),SUM('Revenue and costs'!O29:U29)/'Assumptions'!$J$51,0)+IF(C17=(13-'Assumptions'!$J$51)-1,'Revenue and costs'!V29+'Revenue and costs'!AE29,0)+IF(AND(C17&gt;=(13-'Assumptions'!$J$52),C17&lt;=12),SUM('Revenue and costs'!O30:U30)/'Assumptions'!$J$52,0)+IF(C17=(13-'Assumptions'!$J$52)-1,'Revenue and costs'!V30+'Revenue and costs'!AE30,0)+IF(AND(C17&gt;=(13-'Assumptions'!$J$53),C17&lt;=12),SUM('Revenue and costs'!O31:U31)/'Assumptions'!$J$53,0)+IF(C17=(13-'Assumptions'!$J$53)-1,'Revenue and costs'!V31+'Revenue and costs'!AE31,0)+IF(AND(C17&gt;=(13-'Assumptions'!$J$54),C17&lt;=12),SUM('Revenue and costs'!O32:U32)/'Assumptions'!$J$54,0)+IF(C17=(13-'Assumptions'!$J$54)-1,'Revenue and costs'!V32+'Revenue and costs'!AE32,0)+IF(AND(C17&gt;=(13-'Assumptions'!$J$55),C17&lt;=12),SUM('Revenue and costs'!O33:U33)/'Assumptions'!$J$55,0)+IF(C17=(13-'Assumptions'!$J$55)-1,'Revenue and costs'!V33+'Revenue and costs'!AE33,0)+IF(AND(C17&gt;=(13-'Assumptions'!$J$56),C17&lt;=12),SUM('Revenue and costs'!O34:U34)/'Assumptions'!$J$56,0)+IF(C17=(13-'Assumptions'!$J$56)-1,'Revenue and costs'!V34+'Revenue and costs'!AE34,0)+IF(AND(C17&gt;=(13-'Assumptions'!$J$57),C17&lt;=12),SUM('Revenue and costs'!O35:U35)/'Assumptions'!$J$57,0)+IF(C17=(13-'Assumptions'!$J$57)-1,'Revenue and costs'!V35+'Revenue and costs'!AE35,0)+IF(AND(C17&gt;=(13-'Assumptions'!$J$58),C17&lt;=12),SUM('Revenue and costs'!O36:U36)/'Assumptions'!$J$58,0)+IF(C17=(13-'Assumptions'!$J$58)-1,'Revenue and costs'!V36+'Revenue and costs'!AE36,0)+IF(AND(C17&gt;=(13-'Assumptions'!$J$59),C17&lt;=12),SUM('Revenue and costs'!O37:U37)/'Assumptions'!$J$59,0)+IF(C17=(13-'Assumptions'!$J$59)-1,'Revenue and costs'!V37+'Revenue and costs'!AE37,0)+IF(AND(C17&gt;=(13-'Assumptions'!$J$60),C17&lt;=12),SUM('Revenue and costs'!O38:U38)/'Assumptions'!$J$60,0)+IF(C17=(13-'Assumptions'!$J$60)-1,'Revenue and costs'!V38+'Revenue and costs'!AE38,0)+IF(AND(C17&gt;=(13-'Assumptions'!$J$61),C17&lt;=12),SUM('Revenue and costs'!O39:U39)/'Assumptions'!$J$61,0)+IF(C17=(13-'Assumptions'!$J$61)-1,'Revenue and costs'!V39+'Revenue and costs'!AE39,0)+IF(AND(C17&gt;=(13-'Assumptions'!$J$62),C17&lt;=12),SUM('Revenue and costs'!O40:U40)/'Assumptions'!$J$62,0)+IF(C17=(13-'Assumptions'!$J$62)-1,'Revenue and costs'!V40+'Revenue and costs'!AE40,0)+IF(AND(C17&gt;=(13-'Assumptions'!$J$63),C17&lt;=12),SUM('Revenue and costs'!O41:U41)/'Assumptions'!$J$63,0)+IF(C17=(13-'Assumptions'!$J$63)-1,'Revenue and costs'!V41+'Revenue and costs'!AE41,0)+IF(AND(C17&gt;=(13-'Assumptions'!$J$64),C17&lt;=12),SUM('Revenue and costs'!O42:U42)/'Assumptions'!$J$64,0)+IF(C17=(13-'Assumptions'!$J$64)-1,'Revenue and costs'!V42+'Revenue and costs'!AE42,0)+IF(AND(C17&gt;=(13-'Assumptions'!$J$65),C17&lt;=12),SUM('Revenue and costs'!O43:U43)/'Assumptions'!$J$65,0)+IF(C17=(13-'Assumptions'!$J$65)-1,'Revenue and costs'!V43+'Revenue and costs'!AE43,0)+IF(AND(C17&gt;=(13-'Assumptions'!$J$66),C17&lt;=12),SUM('Revenue and costs'!O44:U44)/'Assumptions'!$J$66,0)+IF(C17=(13-'Assumptions'!$J$66)-1,'Revenue and costs'!V44+'Revenue and costs'!AE44,0)+IF(AND(C17&gt;=(13-'Assumptions'!$J$67),C17&lt;=12),SUM('Revenue and costs'!O45:U45)/'Assumptions'!$J$67,0)+IF(C17=(13-'Assumptions'!$J$67)-1,'Revenue and costs'!V45+'Revenue and costs'!AE45,0)+IF(AND(C17&gt;=(13-'Assumptions'!$J$68),C17&lt;=12),SUM('Revenue and costs'!O46:U46)/'Assumptions'!$J$68,0)+IF(C17=(13-'Assumptions'!$J$68)-1,'Revenue and costs'!V46+'Revenue and costs'!AE46,0)+IF(AND(C17&gt;=(13-'Assumptions'!$J$69),C17&lt;=12),SUM('Revenue and costs'!O47:U47)/'Assumptions'!$J$69,0)+IF(C17=(13-'Assumptions'!$J$69)-1,'Revenue and costs'!V47+'Revenue and costs'!AE47,0)+IF(AND(C17&gt;=(13-'Assumptions'!$J$70),C17&lt;=12),SUM('Revenue and costs'!O48:U48)/'Assumptions'!$J$70,0)+IF(C17=(13-'Assumptions'!$J$70)-1,'Revenue and costs'!V48+'Revenue and costs'!AE48,0)+IF(AND(C17&gt;=(13-'Assumptions'!$J$71),C17&lt;=12),SUM('Revenue and costs'!O49:U49)/'Assumptions'!$J$71,0)+IF(C17=(13-'Assumptions'!$J$71)-1,'Revenue and costs'!V49+'Revenue and costs'!AE49,0)+IF(AND(C17&gt;=(13-'Assumptions'!$J$72),C17&lt;=12),SUM('Revenue and costs'!O50:U50)/'Assumptions'!$J$72,0)+IF(C17=(13-'Assumptions'!$J$72)-1,'Revenue and costs'!V50+'Revenue and costs'!AE50,0)+IF(AND(C17&gt;=(13-'Assumptions'!$J$73),C17&lt;=12),SUM('Revenue and costs'!O51:U51)/'Assumptions'!$J$73,0)+IF(C17=(13-'Assumptions'!$J$73)-1,'Revenue and costs'!V51+'Revenue and costs'!AE51,0)+IF(AND(C17&gt;=(13-'Assumptions'!$J$74),C17&lt;=12),SUM('Revenue and costs'!O52:U52)/'Assumptions'!$J$74,0)+IF(C17=(13-'Assumptions'!$J$74)-1,'Revenue and costs'!V52+'Revenue and costs'!AE52,0)+IF(AND(C17&gt;=(13-'Assumptions'!$J$75),C17&lt;=12),SUM('Revenue and costs'!O53:U53)/'Assumptions'!$J$75,0)+IF(C17=(13-'Assumptions'!$J$75)-1,'Revenue and costs'!V53+'Revenue and costs'!AE53,0)+IF(AND(C17&gt;=(13-'Assumptions'!$J$76),C17&lt;=12),SUM('Revenue and costs'!O54:U54)/'Assumptions'!$J$76,0)+IF(C17=(13-'Assumptions'!$J$76)-1,'Revenue and costs'!V54+'Revenue and costs'!AE54,0)+IF(AND(C17&gt;=(13-'Assumptions'!$J$77),C17&lt;=12),SUM('Revenue and costs'!O55:U55)/'Assumptions'!$J$77,0)+IF(C17=(13-'Assumptions'!$J$77)-1,'Revenue and costs'!V55+'Revenue and costs'!AE55,0)+IF(AND(C17&gt;=(13-'Assumptions'!$J$78),C17&lt;=12),SUM('Revenue and costs'!O56:U56)/'Assumptions'!$J$78,0)+IF(C17=(13-'Assumptions'!$J$78)-1,'Revenue and costs'!V56+'Revenue and costs'!AE56,0)+IF(AND(C17&gt;=(13-'Assumptions'!$J$79),C17&lt;=12),SUM('Revenue and costs'!O57:U57)/'Assumptions'!$J$79,0)+IF(C17=(13-'Assumptions'!$J$79)-1,'Revenue and costs'!V57+'Revenue and costs'!AE57,0)+IF(AND(C17&gt;=(13-'Assumptions'!$J$80),C17&lt;=12),SUM('Revenue and costs'!O58:U58)/'Assumptions'!$J$80,0)+IF(C17=(13-'Assumptions'!$J$80)-1,'Revenue and costs'!V58+'Revenue and costs'!AE58,0)+IF(AND(C17&gt;=(13-'Assumptions'!$J$81),C17&lt;=12),SUM('Revenue and costs'!O59:U59)/'Assumptions'!$J$81,0)+IF(C17=(13-'Assumptions'!$J$81)-1,'Revenue and costs'!V59+'Revenue and costs'!AE59,0)+IF(AND(C17&gt;=(13-'Assumptions'!$J$82),C17&lt;=12),SUM('Revenue and costs'!O60:U60)/'Assumptions'!$J$82,0)+IF(C17=(13-'Assumptions'!$J$82)-1,'Revenue and costs'!V60+'Revenue and costs'!AE60,0)+IF(AND(C17&gt;=(13-'Assumptions'!$J$83),C17&lt;=12),SUM('Revenue and costs'!O61:U61)/'Assumptions'!$J$83,0)+IF(C17=(13-'Assumptions'!$J$83)-1,'Revenue and costs'!V61+'Revenue and costs'!AE61,0)+IF(AND(C17&gt;=(13-'Assumptions'!$J$84),C17&lt;=12),SUM('Revenue and costs'!O62:U62)/'Assumptions'!$J$84,0)+IF(C17=(13-'Assumptions'!$J$84)-1,'Revenue and costs'!V62+'Revenue and costs'!AE62,0)+IF(AND(C17&gt;=(13-'Assumptions'!$J$85),C17&lt;=12),SUM('Revenue and costs'!O63:U63)/'Assumptions'!$J$85,0)+IF(C17=(13-'Assumptions'!$J$85)-1,'Revenue and costs'!V63+'Revenue and costs'!AE63,0)+IF(AND(C17&gt;=(13-'Assumptions'!$J$86),C17&lt;=12),SUM('Revenue and costs'!O64:U64)/'Assumptions'!$J$86,0)+IF(C17=(13-'Assumptions'!$J$86)-1,'Revenue and costs'!V64+'Revenue and costs'!AE64,0)+IF(AND(C17&gt;=(13-'Assumptions'!$J$87),C17&lt;=12),SUM('Revenue and costs'!O65:U65)/'Assumptions'!$J$87,0)+IF(C17=(13-'Assumptions'!$J$87)-1,'Revenue and costs'!V65+'Revenue and costs'!AE65,0)+IF(AND(C17&gt;=(13-'Assumptions'!$J$88),C17&lt;=12),SUM('Revenue and costs'!O66:U66)/'Assumptions'!$J$88,0)+IF(C17=(13-'Assumptions'!$J$88)-1,'Revenue and costs'!V66+'Revenue and costs'!AE66,0)+IF(AND(C17&gt;=(13-'Assumptions'!$J$89),C17&lt;=12),SUM('Revenue and costs'!O67:U67)/'Assumptions'!$J$89,0)+IF(C17=(13-'Assumptions'!$J$89)-1,'Revenue and costs'!V67+'Revenue and costs'!AE67,0)+IF(AND(C17&gt;=(13-'Assumptions'!$J$90),C17&lt;=12),SUM('Revenue and costs'!O68:U68)/'Assumptions'!$J$90,0)+IF(C17=(13-'Assumptions'!$J$90)-1,'Revenue and costs'!V68+'Revenue and costs'!AE68,0)+IF(AND(C17&gt;=(13-'Assumptions'!$J$91),C17&lt;=12),SUM('Revenue and costs'!O69:U69)/'Assumptions'!$J$91,0)+IF(C17=(13-'Assumptions'!$J$91)-1,'Revenue and costs'!V69+'Revenue and costs'!AE69,0)+IF(AND(C17&gt;=(13-'Assumptions'!$J$92),C17&lt;=12),SUM('Revenue and costs'!O70:U70)/'Assumptions'!$J$92,0)+IF(C17=(13-'Assumptions'!$J$92)-1,'Revenue and costs'!V70+'Revenue and costs'!AE70,0)+IF(AND(C17&gt;=(13-'Assumptions'!$J$93),C17&lt;=12),SUM('Revenue and costs'!O71:U71)/'Assumptions'!$J$93,0)+IF(C17=(13-'Assumptions'!$J$93)-1,'Revenue and costs'!V71+'Revenue and costs'!AE71,0)+IF(AND(C17&gt;=(13-'Assumptions'!$J$94),C17&lt;=12),SUM('Revenue and costs'!O72:U72)/'Assumptions'!$J$94,0)+IF(C17=(13-'Assumptions'!$J$94)-1,'Revenue and costs'!V72+'Revenue and costs'!AE72,0)+IF(AND(C17&gt;=(13-'Assumptions'!$J$95),C17&lt;=12),SUM('Revenue and costs'!O73:U73)/'Assumptions'!$J$95,0)+IF(C17=(13-'Assumptions'!$J$95)-1,'Revenue and costs'!V73+'Revenue and costs'!AE73,0)+IF(AND(C17&gt;=(13-'Assumptions'!$J$96),C17&lt;=12),SUM('Revenue and costs'!O74:U74)/'Assumptions'!$J$96,0)+IF(C17=(13-'Assumptions'!$J$96)-1,'Revenue and costs'!V74+'Revenue and costs'!AE74,0)+IF(AND(C17&gt;=(13-'Assumptions'!$J$97),C17&lt;=12),SUM('Revenue and costs'!O75:U75)/'Assumptions'!$J$97,0)+IF(C17=(13-'Assumptions'!$J$97)-1,'Revenue and costs'!V75+'Revenue and costs'!AE75,0)+IF(AND(C17&gt;=(13-'Assumptions'!$J$98),C17&lt;=12),SUM('Revenue and costs'!O76:U76)/'Assumptions'!$J$98,0)+IF(C17=(13-'Assumptions'!$J$98)-1,'Revenue and costs'!V76+'Revenue and costs'!AE76,0)+IF(AND(C17&gt;=(13-'Assumptions'!$J$99),C17&lt;=12),SUM('Revenue and costs'!O77:U77)/'Assumptions'!$J$99,0)+IF(C17=(13-'Assumptions'!$J$99)-1,'Revenue and costs'!V77+'Revenue and costs'!AE77,0)+IF(AND(C17&gt;=(13-'Assumptions'!$J$100),C17&lt;=12),SUM('Revenue and costs'!O78:U78)/'Assumptions'!$J$100,0)+IF(C17=(13-'Assumptions'!$J$100)-1,'Revenue and costs'!V78+'Revenue and costs'!AE78,0)+IF(AND(C17&gt;=(13-'Assumptions'!$J$101),C17&lt;=12),SUM('Revenue and costs'!O79:U79)/'Assumptions'!$J$101,0)+IF(C17=(13-'Assumptions'!$J$101)-1,'Revenue and costs'!V79+'Revenue and costs'!AE79,0)+IF(AND(C17&gt;=(13-'Assumptions'!$J$102),C17&lt;=12),SUM('Revenue and costs'!O80:U80)/'Assumptions'!$J$102,0)+IF(C17=(13-'Assumptions'!$J$102)-1,'Revenue and costs'!V80+'Revenue and costs'!AE80,0)+IF(AND(C17&gt;=(13-'Assumptions'!$J$103),C17&lt;=12),SUM('Revenue and costs'!O81:U81)/'Assumptions'!$J$103,0)+IF(C17=(13-'Assumptions'!$J$103)-1,'Revenue and costs'!V81+'Revenue and costs'!AE81,0)+IF(AND(C17&gt;=(13-'Assumptions'!$J$104),C17&lt;=12),SUM('Revenue and costs'!O82:U82)/'Assumptions'!$J$104,0)+IF(C17=(13-'Assumptions'!$J$104)-1,'Revenue and costs'!V82+'Revenue and costs'!AE82,0)+IF(AND(C17&gt;=(13-'Assumptions'!$J$105),C17&lt;=12),SUM('Revenue and costs'!O83:U83)/'Assumptions'!$J$105,0)+IF(C17=(13-'Assumptions'!$J$105)-1,'Revenue and costs'!V83+'Revenue and costs'!AE83,0)+IF(AND(C17&gt;=(13-'Assumptions'!$J$106),C17&lt;=12),SUM('Revenue and costs'!O84:U84)/'Assumptions'!$J$106,0)+IF(C17=(13-'Assumptions'!$J$106)-1,'Revenue and costs'!V84+'Revenue and costs'!AE84,0)+IF(AND(C17&gt;=(13-'Assumptions'!$J$107),C17&lt;=12),SUM('Revenue and costs'!O85:U85)/'Assumptions'!$J$107,0)+IF(C17=(13-'Assumptions'!$J$107)-1,'Revenue and costs'!V85+'Revenue and costs'!AE85,0)+IF(AND(C17&gt;=(13-'Assumptions'!$J$108),C17&lt;=12),SUM('Revenue and costs'!O86:U86)/'Assumptions'!$J$108,0)+IF(C17=(13-'Assumptions'!$J$108)-1,'Revenue and costs'!V86+'Revenue and costs'!AE86,0)+IF(AND(C17&gt;=(13-'Assumptions'!$J$109),C17&lt;=12),SUM('Revenue and costs'!O87:U87)/'Assumptions'!$J$109,0)+IF(C17=(13-'Assumptions'!$J$109)-1,'Revenue and costs'!V87+'Revenue and costs'!AE87,0)+IF(AND(C17&gt;=(13-'Assumptions'!$J$110),C17&lt;=12),SUM('Revenue and costs'!O88:U88)/'Assumptions'!$J$110,0)+IF(C17=(13-'Assumptions'!$J$110)-1,'Revenue and costs'!V88+'Revenue and costs'!AE88,0)+IF(AND(C17&gt;=(13-'Assumptions'!$J$111),C17&lt;=12),SUM('Revenue and costs'!O89:U89)/'Assumptions'!$J$111,0)+IF(C17=(13-'Assumptions'!$J$111)-1,'Revenue and costs'!V89+'Revenue and costs'!AE89,0)+IF(AND(C17&gt;=(13-'Assumptions'!$J$112),C17&lt;=12),SUM('Revenue and costs'!O90:U90)/'Assumptions'!$J$112,0)+IF(C17=(13-'Assumptions'!$J$112)-1,'Revenue and costs'!V90+'Revenue and costs'!AE90,0)+IF(AND(C17&gt;=(13-'Assumptions'!$J$113),C17&lt;=12),SUM('Revenue and costs'!O91:U91)/'Assumptions'!$J$113,0)+IF(C17=(13-'Assumptions'!$J$113)-1,'Revenue and costs'!V91+'Revenue and costs'!AE91,0)+IF(AND(C17&gt;=(13-'Assumptions'!$J$114),C17&lt;=12),SUM('Revenue and costs'!O92:U92)/'Assumptions'!$J$114,0)+IF(C17=(13-'Assumptions'!$J$114)-1,'Revenue and costs'!V92+'Revenue and costs'!AE92,0)+IF(AND(C17&gt;=(13-'Assumptions'!$J$115),C17&lt;=12),SUM('Revenue and costs'!O93:U93)/'Assumptions'!$J$115,0)+IF(C17=(13-'Assumptions'!$J$115)-1,'Revenue and costs'!V93+'Revenue and costs'!AE93,0)+IF(AND(C17&gt;=(13-'Assumptions'!$J$116),C17&lt;=12),SUM('Revenue and costs'!O94:U94)/'Assumptions'!$J$116,0)+IF(C17=(13-'Assumptions'!$J$116)-1,'Revenue and costs'!V94+'Revenue and costs'!AE94,0)+IF(AND(C17&gt;=(13-'Assumptions'!$J$117),C17&lt;=12),SUM('Revenue and costs'!O95:U95)/'Assumptions'!$J$117,0)+IF(C17=(13-'Assumptions'!$J$117)-1,'Revenue and costs'!V95+'Revenue and costs'!AE95,0)+IF(AND(C17&gt;=(13-'Assumptions'!$J$118),C17&lt;=12),SUM('Revenue and costs'!O96:U96)/'Assumptions'!$J$118,0)+IF(C17=(13-'Assumptions'!$J$118)-1,'Revenue and costs'!V96+'Revenue and costs'!AE96,0)+IF(AND(C17&gt;=(13-'Assumptions'!$J$119),C17&lt;=12),SUM('Revenue and costs'!O97:U97)/'Assumptions'!$J$119,0)+IF(C17=(13-'Assumptions'!$J$119)-1,'Revenue and costs'!V97+'Revenue and costs'!AE97,0)+IF(AND(C17&gt;=(13-'Assumptions'!$J$120),C17&lt;=12),SUM('Revenue and costs'!O98:U98)/'Assumptions'!$J$120,0)+IF(C17=(13-'Assumptions'!$J$120)-1,'Revenue and costs'!V98+'Revenue and costs'!AE98,0)+IF(AND(C17&gt;=(13-'Assumptions'!$J$121),C17&lt;=12),SUM('Revenue and costs'!O99:U99)/'Assumptions'!$J$121,0)+IF(C17=(13-'Assumptions'!$J$121)-1,'Revenue and costs'!V99+'Revenue and costs'!AE99,0)+IF(AND(C17&gt;=(13-'Assumptions'!$J$122),C17&lt;=12),SUM('Revenue and costs'!O100:U100)/'Assumptions'!$J$122,0)+IF(C17=(13-'Assumptions'!$J$122)-1,'Revenue and costs'!V100+'Revenue and costs'!AE100,0)+IF(AND(C17&gt;=(13-'Assumptions'!$J$123),C17&lt;=12),SUM('Revenue and costs'!O101:U101)/'Assumptions'!$J$123,0)+IF(C17=(13-'Assumptions'!$J$123)-1,'Revenue and costs'!V101+'Revenue and costs'!AE101,0)+IF(AND(C17&gt;=(13-'Assumptions'!$J$124),C17&lt;=12),SUM('Revenue and costs'!O102:U102)/'Assumptions'!$J$124,0)+IF(C17=(13-'Assumptions'!$J$124)-1,'Revenue and costs'!V102+'Revenue and costs'!AE102,0)+IF(AND(C17&gt;=(13-'Assumptions'!$J$125),C17&lt;=12),SUM('Revenue and costs'!O103:U103)/'Assumptions'!$J$125,0)+IF(C17=(13-'Assumptions'!$J$125)-1,'Revenue and costs'!V103+'Revenue and costs'!AE103,0)+IF(AND(C17&gt;=(13-'Assumptions'!$J$126),C17&lt;=12),SUM('Revenue and costs'!O104:U104)/'Assumptions'!$J$126,0)+IF(C17=(13-'Assumptions'!$J$126)-1,'Revenue and costs'!V104+'Revenue and costs'!AE104,0)+IF(AND(C17&gt;=(13-'Assumptions'!$J$127),C17&lt;=12),SUM('Revenue and costs'!O105:U105)/'Assumptions'!$J$127,0)+IF(C17=(13-'Assumptions'!$J$127)-1,'Revenue and costs'!V105+'Revenue and costs'!AE105,0)+IF(AND(C17&gt;=(13-'Assumptions'!$J$128),C17&lt;=12),SUM('Revenue and costs'!O106:U106)/'Assumptions'!$J$128,0)+IF(C17=(13-'Assumptions'!$J$128)-1,'Revenue and costs'!V106+'Revenue and costs'!AE106,0)+IF(AND(C17&gt;=(13-'Assumptions'!$J$129),C17&lt;=12),SUM('Revenue and costs'!O107:U107)/'Assumptions'!$J$129,0)+IF(C17=(13-'Assumptions'!$J$129)-1,'Revenue and costs'!V107+'Revenue and costs'!AE107,0)+IF(AND(C17&gt;=(13-'Assumptions'!$J$130),C17&lt;=12),SUM('Revenue and costs'!O108:U108)/'Assumptions'!$J$130,0)+IF(C17=(13-'Assumptions'!$J$130)-1,'Revenue and costs'!V108+'Revenue and costs'!AE108,0)+IF(AND(C17&gt;=(13-'Assumptions'!$J$131),C17&lt;=12),SUM('Revenue and costs'!O109:U109)/'Assumptions'!$J$131,0)+IF(C17=(13-'Assumptions'!$J$131)-1,'Revenue and costs'!V109+'Revenue and costs'!AE109,0)+IF(AND(C17&gt;=(13-'Assumptions'!$J$132),C17&lt;=12),SUM('Revenue and costs'!O110:U110)/'Assumptions'!$J$132,0)+IF(C17=(13-'Assumptions'!$J$132)-1,'Revenue and costs'!V110+'Revenue and costs'!AE110,0)+IF(AND(C17&gt;=(13-'Assumptions'!$J$133),C17&lt;=12),SUM('Revenue and costs'!O111:U111)/'Assumptions'!$J$133,0)+IF(C17=(13-'Assumptions'!$J$133)-1,'Revenue and costs'!V111+'Revenue and costs'!AE111,0)+IF(AND(C17&gt;=(13-'Assumptions'!$J$134),C17&lt;=12),SUM('Revenue and costs'!O112:U112)/'Assumptions'!$J$134,0)+IF(C17=(13-'Assumptions'!$J$134)-1,'Revenue and costs'!V112+'Revenue and costs'!AE112,0)+IF(AND(C17&gt;=(13-'Assumptions'!$J$135),C17&lt;=12),SUM('Revenue and costs'!O113:U113)/'Assumptions'!$J$135,0)+IF(C17=(13-'Assumptions'!$J$135)-1,'Revenue and costs'!V113+'Revenue and costs'!AE113,0)+IF(AND(C17&gt;=(13-'Assumptions'!$J$136),C17&lt;=12),SUM('Revenue and costs'!O114:U114)/'Assumptions'!$J$136,0)+IF(C17=(13-'Assumptions'!$J$136)-1,'Revenue and costs'!V114+'Revenue and costs'!AE114,0)+IF(AND(C17&gt;=(13-'Assumptions'!$J$137),C17&lt;=12),SUM('Revenue and costs'!O115:U115)/'Assumptions'!$J$137,0)+IF(C17=(13-'Assumptions'!$J$137)-1,'Revenue and costs'!V115+'Revenue and costs'!AE115,0)+IF(AND(C17&gt;=(13-'Assumptions'!$J$138),C17&lt;=12),SUM('Revenue and costs'!O116:U116)/'Assumptions'!$J$138,0)+IF(C17=(13-'Assumptions'!$J$138)-1,'Revenue and costs'!V116+'Revenue and costs'!AE116,0)+IF(AND(C17&gt;=(13-'Assumptions'!$J$139),C17&lt;=12),SUM('Revenue and costs'!O117:U117)/'Assumptions'!$J$139,0)+IF(C17=(13-'Assumptions'!$J$139)-1,'Revenue and costs'!V117+'Revenue and costs'!AE117,0)+IF(AND(C17&gt;=(13-'Assumptions'!$J$140),C17&lt;=12),SUM('Revenue and costs'!O118:U118)/'Assumptions'!$J$140,0)+IF(C17=(13-'Assumptions'!$J$140)-1,'Revenue and costs'!V118+'Revenue and costs'!AE118,0)+IF(AND(C17&gt;=(13-'Assumptions'!$J$141),C17&lt;=12),SUM('Revenue and costs'!O119:U119)/'Assumptions'!$J$141,0)+IF(C17=(13-'Assumptions'!$J$141)-1,'Revenue and costs'!V119+'Revenue and costs'!AE119,0)+IF(AND(C17&gt;=(13-'Assumptions'!$J$142),C17&lt;=12),SUM('Revenue and costs'!O120:U120)/'Assumptions'!$J$142,0)+IF(C17=(13-'Assumptions'!$J$142)-1,'Revenue and costs'!V120+'Revenue and costs'!AE120,0)+IF(AND(C17&gt;=(13-'Assumptions'!$J$143),C17&lt;=12),SUM('Revenue and costs'!O121:U121)/'Assumptions'!$J$143,0)+IF(C17=(13-'Assumptions'!$J$143)-1,'Revenue and costs'!V121+'Revenue and costs'!AE121,0)+IF(AND(C17&gt;=(13-'Assumptions'!$J$144),C17&lt;=12),SUM('Revenue and costs'!O122:U122)/'Assumptions'!$J$144,0)+IF(C17=(13-'Assumptions'!$J$144)-1,'Revenue and costs'!V122+'Revenue and costs'!AE122,0)+IF(AND(C17&gt;=(13-'Assumptions'!$J$145),C17&lt;=12),SUM('Revenue and costs'!O123:U123)/'Assumptions'!$J$145,0)+IF(C17=(13-'Assumptions'!$J$145)-1,'Revenue and costs'!V123+'Revenue and costs'!AE123,0)+IF(AND(C17&gt;=(13-'Assumptions'!$J$146),C17&lt;=12),SUM('Revenue and costs'!O124:U124)/'Assumptions'!$J$146,0)+IF(C17=(13-'Assumptions'!$J$146)-1,'Revenue and costs'!V124+'Revenue and costs'!AE124,0)+IF(AND(C17&gt;=(13-'Assumptions'!$J$147),C17&lt;=12),SUM('Revenue and costs'!O125:U125)/'Assumptions'!$J$147,0)+IF(C17=(13-'Assumptions'!$J$147)-1,'Revenue and costs'!V125+'Revenue and costs'!AE125,0)+IF(AND(C17&gt;=(13-'Assumptions'!$J$148),C17&lt;=12),SUM('Revenue and costs'!O126:U126)/'Assumptions'!$J$148,0)+IF(C17=(13-'Assumptions'!$J$148)-1,'Revenue and costs'!V126+'Revenue and costs'!AE126,0)+IF(AND(C17&gt;=(13-'Assumptions'!$J$149),C17&lt;=12),SUM('Revenue and costs'!O127:U127)/'Assumptions'!$J$149,0)+IF(C17=(13-'Assumptions'!$J$149)-1,'Revenue and costs'!V127+'Revenue and costs'!AE127,0)+IF(AND(C17&gt;=(13-'Assumptions'!$J$150),C17&lt;=12),SUM('Revenue and costs'!O128:U128)/'Assumptions'!$J$150,0)+IF(C17=(13-'Assumptions'!$J$150)-1,'Revenue and costs'!V128+'Revenue and costs'!AE128,0)+IF(AND(C17&gt;=(13-'Assumptions'!$J$151),C17&lt;=12),SUM('Revenue and costs'!O129:U129)/'Assumptions'!$J$151,0)+IF(C17=(13-'Assumptions'!$J$151)-1,'Revenue and costs'!V129+'Revenue and costs'!AE129,0)+IF(AND(C17&gt;=(13-'Assumptions'!$J$152),C17&lt;=12),SUM('Revenue and costs'!O130:U130)/'Assumptions'!$J$152,0)+IF(C17=(13-'Assumptions'!$J$152)-1,'Revenue and costs'!V130+'Revenue and costs'!AE130,0)+IF(AND(C17&gt;=(13-'Assumptions'!$J$153),C17&lt;=12),SUM('Revenue and costs'!O131:U131)/'Assumptions'!$J$153,0)+IF(C17=(13-'Assumptions'!$J$153)-1,'Revenue and costs'!V131+'Revenue and costs'!AE131,0)+IF(AND(C17&gt;=(13-'Assumptions'!$J$154),C17&lt;=12),SUM('Revenue and costs'!O132:U132)/'Assumptions'!$J$154,0)+IF(C17=(13-'Assumptions'!$J$154)-1,'Revenue and costs'!V132+'Revenue and costs'!AE132,0)+IF(AND(C17&gt;=(13-'Assumptions'!$J$155),C17&lt;=12),SUM('Revenue and costs'!O133:U133)/'Assumptions'!$J$155,0)+IF(C17=(13-'Assumptions'!$J$155)-1,'Revenue and costs'!V133+'Revenue and costs'!AE133,0)+IF(AND(C17&gt;=(13-'Assumptions'!$J$156),C17&lt;=12),SUM('Revenue and costs'!O134:U134)/'Assumptions'!$J$156,0)+IF(C17=(13-'Assumptions'!$J$156)-1,'Revenue and costs'!V134+'Revenue and costs'!AE134,0)+IF(AND(C17&gt;=(13-'Assumptions'!$J$157),C17&lt;=12),SUM('Revenue and costs'!O135:U135)/'Assumptions'!$J$157,0)+IF(C17=(13-'Assumptions'!$J$157)-1,'Revenue and costs'!V135+'Revenue and costs'!AE135,0)+IF(C17&gt;0,'Shared costs'!H21/12+'Assumptions'!$D$18*'Assumptions'!$D$19*'Assumptions'!$D$21,0)</x:f>
        <x:v>76433.69269999999</x:v>
      </x:c>
      <x:c r="F17" s="10" t="n">
        <x:f>IF(C17=12,'Income statement'!D85,0)</x:f>
        <x:v>0</x:v>
      </x:c>
      <x:c r="G17" s="10" t="n">
        <x:f>IF(C17=(13-'Assumptions'!$J$30)-1,'Revenue and costs'!Y8,0)+IF(C17=(13-'Assumptions'!$J$31)-1,'Revenue and costs'!Y9,0)+IF(C17=(13-'Assumptions'!$J$32)-1,'Revenue and costs'!Y10,0)+IF(C17=(13-'Assumptions'!$J$33)-1,'Revenue and costs'!Y11,0)+IF(C17=(13-'Assumptions'!$J$34)-1,'Revenue and costs'!Y12,0)+IF(C17=(13-'Assumptions'!$J$35)-1,'Revenue and costs'!Y13,0)+IF(C17=(13-'Assumptions'!$J$36)-1,'Revenue and costs'!Y14,0)+IF(C17=(13-'Assumptions'!$J$37)-1,'Revenue and costs'!Y15,0)+IF(C17=(13-'Assumptions'!$J$38)-1,'Revenue and costs'!Y16,0)+IF(C17=(13-'Assumptions'!$J$39)-1,'Revenue and costs'!Y17,0)+IF(C17=(13-'Assumptions'!$J$40)-1,'Revenue and costs'!Y18,0)+IF(C17=(13-'Assumptions'!$J$41)-1,'Revenue and costs'!Y19,0)+IF(C17=(13-'Assumptions'!$J$42)-1,'Revenue and costs'!Y20,0)+IF(C17=(13-'Assumptions'!$J$43)-1,'Revenue and costs'!Y21,0)+IF(C17=(13-'Assumptions'!$J$44)-1,'Revenue and costs'!Y22,0)+IF(C17=(13-'Assumptions'!$J$45)-1,'Revenue and costs'!Y23,0)+IF(C17=(13-'Assumptions'!$J$46)-1,'Revenue and costs'!Y24,0)+IF(C17=(13-'Assumptions'!$J$47)-1,'Revenue and costs'!Y25,0)+IF(C17=(13-'Assumptions'!$J$48)-1,'Revenue and costs'!Y26,0)+IF(C17=(13-'Assumptions'!$J$49)-1,'Revenue and costs'!Y27,0)+IF(C17=(13-'Assumptions'!$J$50)-1,'Revenue and costs'!Y28,0)+IF(C17=(13-'Assumptions'!$J$51)-1,'Revenue and costs'!Y29,0)+IF(C17=(13-'Assumptions'!$J$52)-1,'Revenue and costs'!Y30,0)+IF(C17=(13-'Assumptions'!$J$53)-1,'Revenue and costs'!Y31,0)+IF(C17=(13-'Assumptions'!$J$54)-1,'Revenue and costs'!Y32,0)+IF(C17=(13-'Assumptions'!$J$55)-1,'Revenue and costs'!Y33,0)+IF(C17=(13-'Assumptions'!$J$56)-1,'Revenue and costs'!Y34,0)+IF(C17=(13-'Assumptions'!$J$57)-1,'Revenue and costs'!Y35,0)+IF(C17=(13-'Assumptions'!$J$58)-1,'Revenue and costs'!Y36,0)+IF(C17=(13-'Assumptions'!$J$59)-1,'Revenue and costs'!Y37,0)+IF(C17=(13-'Assumptions'!$J$60)-1,'Revenue and costs'!Y38,0)+IF(C17=(13-'Assumptions'!$J$61)-1,'Revenue and costs'!Y39,0)+IF(C17=(13-'Assumptions'!$J$62)-1,'Revenue and costs'!Y40,0)+IF(C17=(13-'Assumptions'!$J$63)-1,'Revenue and costs'!Y41,0)+IF(C17=(13-'Assumptions'!$J$64)-1,'Revenue and costs'!Y42,0)+IF(C17=(13-'Assumptions'!$J$65)-1,'Revenue and costs'!Y43,0)+IF(C17=(13-'Assumptions'!$J$66)-1,'Revenue and costs'!Y44,0)+IF(C17=(13-'Assumptions'!$J$67)-1,'Revenue and costs'!Y45,0)+IF(C17=(13-'Assumptions'!$J$68)-1,'Revenue and costs'!Y46,0)+IF(C17=(13-'Assumptions'!$J$69)-1,'Revenue and costs'!Y47,0)+IF(C17=(13-'Assumptions'!$J$70)-1,'Revenue and costs'!Y48,0)+IF(C17=(13-'Assumptions'!$J$71)-1,'Revenue and costs'!Y49,0)+IF(C17=(13-'Assumptions'!$J$72)-1,'Revenue and costs'!Y50,0)+IF(C17=(13-'Assumptions'!$J$73)-1,'Revenue and costs'!Y51,0)+IF(C17=(13-'Assumptions'!$J$74)-1,'Revenue and costs'!Y52,0)+IF(C17=(13-'Assumptions'!$J$75)-1,'Revenue and costs'!Y53,0)+IF(C17=(13-'Assumptions'!$J$76)-1,'Revenue and costs'!Y54,0)+IF(C17=(13-'Assumptions'!$J$77)-1,'Revenue and costs'!Y55,0)+IF(C17=(13-'Assumptions'!$J$78)-1,'Revenue and costs'!Y56,0)+IF(C17=(13-'Assumptions'!$J$79)-1,'Revenue and costs'!Y57,0)+IF(C17=(13-'Assumptions'!$J$80)-1,'Revenue and costs'!Y58,0)+IF(C17=(13-'Assumptions'!$J$81)-1,'Revenue and costs'!Y59,0)+IF(C17=(13-'Assumptions'!$J$82)-1,'Revenue and costs'!Y60,0)+IF(C17=(13-'Assumptions'!$J$83)-1,'Revenue and costs'!Y61,0)+IF(C17=(13-'Assumptions'!$J$84)-1,'Revenue and costs'!Y62,0)+IF(C17=(13-'Assumptions'!$J$85)-1,'Revenue and costs'!Y63,0)+IF(C17=(13-'Assumptions'!$J$86)-1,'Revenue and costs'!Y64,0)+IF(C17=(13-'Assumptions'!$J$87)-1,'Revenue and costs'!Y65,0)+IF(C17=(13-'Assumptions'!$J$88)-1,'Revenue and costs'!Y66,0)+IF(C17=(13-'Assumptions'!$J$89)-1,'Revenue and costs'!Y67,0)+IF(C17=(13-'Assumptions'!$J$90)-1,'Revenue and costs'!Y68,0)+IF(C17=(13-'Assumptions'!$J$91)-1,'Revenue and costs'!Y69,0)+IF(C17=(13-'Assumptions'!$J$92)-1,'Revenue and costs'!Y70,0)+IF(C17=(13-'Assumptions'!$J$93)-1,'Revenue and costs'!Y71,0)+IF(C17=(13-'Assumptions'!$J$94)-1,'Revenue and costs'!Y72,0)+IF(C17=(13-'Assumptions'!$J$95)-1,'Revenue and costs'!Y73,0)+IF(C17=(13-'Assumptions'!$J$96)-1,'Revenue and costs'!Y74,0)+IF(C17=(13-'Assumptions'!$J$97)-1,'Revenue and costs'!Y75,0)+IF(C17=(13-'Assumptions'!$J$98)-1,'Revenue and costs'!Y76,0)+IF(C17=(13-'Assumptions'!$J$99)-1,'Revenue and costs'!Y77,0)+IF(C17=(13-'Assumptions'!$J$100)-1,'Revenue and costs'!Y78,0)+IF(C17=(13-'Assumptions'!$J$101)-1,'Revenue and costs'!Y79,0)+IF(C17=(13-'Assumptions'!$J$102)-1,'Revenue and costs'!Y80,0)+IF(C17=(13-'Assumptions'!$J$103)-1,'Revenue and costs'!Y81,0)+IF(C17=(13-'Assumptions'!$J$104)-1,'Revenue and costs'!Y82,0)+IF(C17=(13-'Assumptions'!$J$105)-1,'Revenue and costs'!Y83,0)+IF(C17=(13-'Assumptions'!$J$106)-1,'Revenue and costs'!Y84,0)+IF(C17=(13-'Assumptions'!$J$107)-1,'Revenue and costs'!Y85,0)+IF(C17=(13-'Assumptions'!$J$108)-1,'Revenue and costs'!Y86,0)+IF(C17=(13-'Assumptions'!$J$109)-1,'Revenue and costs'!Y87,0)+IF(C17=(13-'Assumptions'!$J$110)-1,'Revenue and costs'!Y88,0)+IF(C17=(13-'Assumptions'!$J$111)-1,'Revenue and costs'!Y89,0)+IF(C17=(13-'Assumptions'!$J$112)-1,'Revenue and costs'!Y90,0)+IF(C17=(13-'Assumptions'!$J$113)-1,'Revenue and costs'!Y91,0)+IF(C17=(13-'Assumptions'!$J$114)-1,'Revenue and costs'!Y92,0)+IF(C17=(13-'Assumptions'!$J$115)-1,'Revenue and costs'!Y93,0)+IF(C17=(13-'Assumptions'!$J$116)-1,'Revenue and costs'!Y94,0)+IF(C17=(13-'Assumptions'!$J$117)-1,'Revenue and costs'!Y95,0)+IF(C17=(13-'Assumptions'!$J$118)-1,'Revenue and costs'!Y96,0)+IF(C17=(13-'Assumptions'!$J$119)-1,'Revenue and costs'!Y97,0)+IF(C17=(13-'Assumptions'!$J$120)-1,'Revenue and costs'!Y98,0)+IF(C17=(13-'Assumptions'!$J$121)-1,'Revenue and costs'!Y99,0)+IF(C17=(13-'Assumptions'!$J$122)-1,'Revenue and costs'!Y100,0)+IF(C17=(13-'Assumptions'!$J$123)-1,'Revenue and costs'!Y101,0)+IF(C17=(13-'Assumptions'!$J$124)-1,'Revenue and costs'!Y102,0)+IF(C17=(13-'Assumptions'!$J$125)-1,'Revenue and costs'!Y103,0)+IF(C17=(13-'Assumptions'!$J$126)-1,'Revenue and costs'!Y104,0)+IF(C17=(13-'Assumptions'!$J$127)-1,'Revenue and costs'!Y105,0)+IF(C17=(13-'Assumptions'!$J$128)-1,'Revenue and costs'!Y106,0)+IF(C17=(13-'Assumptions'!$J$129)-1,'Revenue and costs'!Y107,0)+IF(C17=(13-'Assumptions'!$J$130)-1,'Revenue and costs'!Y108,0)+IF(C17=(13-'Assumptions'!$J$131)-1,'Revenue and costs'!Y109,0)+IF(C17=(13-'Assumptions'!$J$132)-1,'Revenue and costs'!Y110,0)+IF(C17=(13-'Assumptions'!$J$133)-1,'Revenue and costs'!Y111,0)+IF(C17=(13-'Assumptions'!$J$134)-1,'Revenue and costs'!Y112,0)+IF(C17=(13-'Assumptions'!$J$135)-1,'Revenue and costs'!Y113,0)+IF(C17=(13-'Assumptions'!$J$136)-1,'Revenue and costs'!Y114,0)+IF(C17=(13-'Assumptions'!$J$137)-1,'Revenue and costs'!Y115,0)+IF(C17=(13-'Assumptions'!$J$138)-1,'Revenue and costs'!Y116,0)+IF(C17=(13-'Assumptions'!$J$139)-1,'Revenue and costs'!Y117,0)+IF(C17=(13-'Assumptions'!$J$140)-1,'Revenue and costs'!Y118,0)+IF(C17=(13-'Assumptions'!$J$141)-1,'Revenue and costs'!Y119,0)+IF(C17=(13-'Assumptions'!$J$142)-1,'Revenue and costs'!Y120,0)+IF(C17=(13-'Assumptions'!$J$143)-1,'Revenue and costs'!Y121,0)+IF(C17=(13-'Assumptions'!$J$144)-1,'Revenue and costs'!Y122,0)+IF(C17=(13-'Assumptions'!$J$145)-1,'Revenue and costs'!Y123,0)+IF(C17=(13-'Assumptions'!$J$146)-1,'Revenue and costs'!Y124,0)+IF(C17=(13-'Assumptions'!$J$147)-1,'Revenue and costs'!Y125,0)+IF(C17=(13-'Assumptions'!$J$148)-1,'Revenue and costs'!Y126,0)+IF(C17=(13-'Assumptions'!$J$149)-1,'Revenue and costs'!Y127,0)+IF(C17=(13-'Assumptions'!$J$150)-1,'Revenue and costs'!Y128,0)+IF(C17=(13-'Assumptions'!$J$151)-1,'Revenue and costs'!Y129,0)+IF(C17=(13-'Assumptions'!$J$152)-1,'Revenue and costs'!Y130,0)+IF(C17=(13-'Assumptions'!$J$153)-1,'Revenue and costs'!Y131,0)+IF(C17=(13-'Assumptions'!$J$154)-1,'Revenue and costs'!Y132,0)+IF(C17=(13-'Assumptions'!$J$155)-1,'Revenue and costs'!Y133,0)+IF(C17=(13-'Assumptions'!$J$156)-1,'Revenue and costs'!Y134,0)+IF(C17=(13-'Assumptions'!$J$157)-1,'Revenue and costs'!Y135,0)</x:f>
        <x:v>0</x:v>
      </x:c>
      <x:c r="H17" s="10" t="n">
        <x:f>IF(C17=0,'Cash and capital'!D13,0)</x:f>
        <x:v>0</x:v>
      </x:c>
      <x:c r="I17" s="10" t="n">
        <x:f>D17-E17-F17-G17-H17</x:f>
        <x:v>50539.88063333336</x:v>
      </x:c>
      <x:c r="J17" s="10" t="n">
        <x:f>J16+I17</x:f>
        <x:v>155375.95743333347</x:v>
      </x:c>
      <x:c r="K17" s="10" t="n">
        <x:f>MAX(0,-MIN($J$8:J17))</x:f>
        <x:v>25216.872599999995</x:v>
      </x:c>
      <x:c r="L17" s="10"/>
      <x:c r="M17" s="10"/>
      <x:c r="N17" s="10"/>
      <x:c r="O17" s="10"/>
      <x:c r="P17" s="10"/>
      <x:c r="Q17" s="10"/>
    </x:row>
    <x:row r="18" ht="16" customHeight="1">
      <x:c r="A18" s="1"/>
      <x:c r="B18" s="1"/>
      <x:c r="C18" s="1" t="n">
        <x:v>10</x:v>
      </x:c>
      <x:c r="D18" s="10" t="n">
        <x:f>IF(AND(C18&gt;=(13-'Assumptions'!$J$30)+'Assumptions'!$AF$30,C18&lt;=12),'Revenue and costs'!N8/'Assumptions'!$J$30,0)+IF(AND(C18&gt;=(13-'Assumptions'!$J$31)+'Assumptions'!$AF$31,C18&lt;=12),'Revenue and costs'!N9/'Assumptions'!$J$31,0)+IF(AND(C18&gt;=(13-'Assumptions'!$J$32)+'Assumptions'!$AF$32,C18&lt;=12),'Revenue and costs'!N10/'Assumptions'!$J$32,0)+IF(AND(C18&gt;=(13-'Assumptions'!$J$33)+'Assumptions'!$AF$33,C18&lt;=12),'Revenue and costs'!N11/'Assumptions'!$J$33,0)+IF(AND(C18&gt;=(13-'Assumptions'!$J$34)+'Assumptions'!$AF$34,C18&lt;=12),'Revenue and costs'!N12/'Assumptions'!$J$34,0)+IF(AND(C18&gt;=(13-'Assumptions'!$J$35)+'Assumptions'!$AF$35,C18&lt;=12),'Revenue and costs'!N13/'Assumptions'!$J$35,0)+IF(AND(C18&gt;=(13-'Assumptions'!$J$36)+'Assumptions'!$AF$36,C18&lt;=12),'Revenue and costs'!N14/'Assumptions'!$J$36,0)+IF(AND(C18&gt;=(13-'Assumptions'!$J$37)+'Assumptions'!$AF$37,C18&lt;=12),'Revenue and costs'!N15/'Assumptions'!$J$37,0)+IF(AND(C18&gt;=(13-'Assumptions'!$J$38)+'Assumptions'!$AF$38,C18&lt;=12),'Revenue and costs'!N16/'Assumptions'!$J$38,0)+IF(AND(C18&gt;=(13-'Assumptions'!$J$39)+'Assumptions'!$AF$39,C18&lt;=12),'Revenue and costs'!N17/'Assumptions'!$J$39,0)+IF(AND(C18&gt;=(13-'Assumptions'!$J$40)+'Assumptions'!$AF$40,C18&lt;=12),'Revenue and costs'!N18/'Assumptions'!$J$40,0)+IF(AND(C18&gt;=(13-'Assumptions'!$J$41)+'Assumptions'!$AF$41,C18&lt;=12),'Revenue and costs'!N19/'Assumptions'!$J$41,0)+IF(AND(C18&gt;=(13-'Assumptions'!$J$42)+'Assumptions'!$AF$42,C18&lt;=12),'Revenue and costs'!N20/'Assumptions'!$J$42,0)+IF(AND(C18&gt;=(13-'Assumptions'!$J$43)+'Assumptions'!$AF$43,C18&lt;=12),'Revenue and costs'!N21/'Assumptions'!$J$43,0)+IF(AND(C18&gt;=(13-'Assumptions'!$J$44)+'Assumptions'!$AF$44,C18&lt;=12),'Revenue and costs'!N22/'Assumptions'!$J$44,0)+IF(AND(C18&gt;=(13-'Assumptions'!$J$45)+'Assumptions'!$AF$45,C18&lt;=12),'Revenue and costs'!N23/'Assumptions'!$J$45,0)+IF(AND(C18&gt;=(13-'Assumptions'!$J$46)+'Assumptions'!$AF$46,C18&lt;=12),'Revenue and costs'!N24/'Assumptions'!$J$46,0)+IF(AND(C18&gt;=(13-'Assumptions'!$J$47)+'Assumptions'!$AF$47,C18&lt;=12),'Revenue and costs'!N25/'Assumptions'!$J$47,0)+IF(AND(C18&gt;=(13-'Assumptions'!$J$48)+'Assumptions'!$AF$48,C18&lt;=12),'Revenue and costs'!N26/'Assumptions'!$J$48,0)+IF(AND(C18&gt;=(13-'Assumptions'!$J$49)+'Assumptions'!$AF$49,C18&lt;=12),'Revenue and costs'!N27/'Assumptions'!$J$49,0)+IF(AND(C18&gt;=(13-'Assumptions'!$J$50)+'Assumptions'!$AF$50,C18&lt;=12),'Revenue and costs'!N28/'Assumptions'!$J$50,0)+IF(AND(C18&gt;=(13-'Assumptions'!$J$51)+'Assumptions'!$AF$51,C18&lt;=12),'Revenue and costs'!N29/'Assumptions'!$J$51,0)+IF(AND(C18&gt;=(13-'Assumptions'!$J$52)+'Assumptions'!$AF$52,C18&lt;=12),'Revenue and costs'!N30/'Assumptions'!$J$52,0)+IF(AND(C18&gt;=(13-'Assumptions'!$J$53)+'Assumptions'!$AF$53,C18&lt;=12),'Revenue and costs'!N31/'Assumptions'!$J$53,0)+IF(AND(C18&gt;=(13-'Assumptions'!$J$54)+'Assumptions'!$AF$54,C18&lt;=12),'Revenue and costs'!N32/'Assumptions'!$J$54,0)+IF(AND(C18&gt;=(13-'Assumptions'!$J$55)+'Assumptions'!$AF$55,C18&lt;=12),'Revenue and costs'!N33/'Assumptions'!$J$55,0)+IF(AND(C18&gt;=(13-'Assumptions'!$J$56)+'Assumptions'!$AF$56,C18&lt;=12),'Revenue and costs'!N34/'Assumptions'!$J$56,0)+IF(AND(C18&gt;=(13-'Assumptions'!$J$57)+'Assumptions'!$AF$57,C18&lt;=12),'Revenue and costs'!N35/'Assumptions'!$J$57,0)+IF(AND(C18&gt;=(13-'Assumptions'!$J$58)+'Assumptions'!$AF$58,C18&lt;=12),'Revenue and costs'!N36/'Assumptions'!$J$58,0)+IF(AND(C18&gt;=(13-'Assumptions'!$J$59)+'Assumptions'!$AF$59,C18&lt;=12),'Revenue and costs'!N37/'Assumptions'!$J$59,0)+IF(AND(C18&gt;=(13-'Assumptions'!$J$60)+'Assumptions'!$AF$60,C18&lt;=12),'Revenue and costs'!N38/'Assumptions'!$J$60,0)+IF(AND(C18&gt;=(13-'Assumptions'!$J$61)+'Assumptions'!$AF$61,C18&lt;=12),'Revenue and costs'!N39/'Assumptions'!$J$61,0)+IF(AND(C18&gt;=(13-'Assumptions'!$J$62)+'Assumptions'!$AF$62,C18&lt;=12),'Revenue and costs'!N40/'Assumptions'!$J$62,0)+IF(AND(C18&gt;=(13-'Assumptions'!$J$63)+'Assumptions'!$AF$63,C18&lt;=12),'Revenue and costs'!N41/'Assumptions'!$J$63,0)+IF(AND(C18&gt;=(13-'Assumptions'!$J$64)+'Assumptions'!$AF$64,C18&lt;=12),'Revenue and costs'!N42/'Assumptions'!$J$64,0)+IF(AND(C18&gt;=(13-'Assumptions'!$J$65)+'Assumptions'!$AF$65,C18&lt;=12),'Revenue and costs'!N43/'Assumptions'!$J$65,0)+IF(AND(C18&gt;=(13-'Assumptions'!$J$66)+'Assumptions'!$AF$66,C18&lt;=12),'Revenue and costs'!N44/'Assumptions'!$J$66,0)+IF(AND(C18&gt;=(13-'Assumptions'!$J$67)+'Assumptions'!$AF$67,C18&lt;=12),'Revenue and costs'!N45/'Assumptions'!$J$67,0)+IF(AND(C18&gt;=(13-'Assumptions'!$J$68)+'Assumptions'!$AF$68,C18&lt;=12),'Revenue and costs'!N46/'Assumptions'!$J$68,0)+IF(AND(C18&gt;=(13-'Assumptions'!$J$69)+'Assumptions'!$AF$69,C18&lt;=12),'Revenue and costs'!N47/'Assumptions'!$J$69,0)+IF(AND(C18&gt;=(13-'Assumptions'!$J$70)+'Assumptions'!$AF$70,C18&lt;=12),'Revenue and costs'!N48/'Assumptions'!$J$70,0)+IF(AND(C18&gt;=(13-'Assumptions'!$J$71)+'Assumptions'!$AF$71,C18&lt;=12),'Revenue and costs'!N49/'Assumptions'!$J$71,0)+IF(AND(C18&gt;=(13-'Assumptions'!$J$72)+'Assumptions'!$AF$72,C18&lt;=12),'Revenue and costs'!N50/'Assumptions'!$J$72,0)+IF(AND(C18&gt;=(13-'Assumptions'!$J$73)+'Assumptions'!$AF$73,C18&lt;=12),'Revenue and costs'!N51/'Assumptions'!$J$73,0)+IF(AND(C18&gt;=(13-'Assumptions'!$J$74)+'Assumptions'!$AF$74,C18&lt;=12),'Revenue and costs'!N52/'Assumptions'!$J$74,0)+IF(AND(C18&gt;=(13-'Assumptions'!$J$75)+'Assumptions'!$AF$75,C18&lt;=12),'Revenue and costs'!N53/'Assumptions'!$J$75,0)+IF(AND(C18&gt;=(13-'Assumptions'!$J$76)+'Assumptions'!$AF$76,C18&lt;=12),'Revenue and costs'!N54/'Assumptions'!$J$76,0)+IF(AND(C18&gt;=(13-'Assumptions'!$J$77)+'Assumptions'!$AF$77,C18&lt;=12),'Revenue and costs'!N55/'Assumptions'!$J$77,0)+IF(AND(C18&gt;=(13-'Assumptions'!$J$78)+'Assumptions'!$AF$78,C18&lt;=12),'Revenue and costs'!N56/'Assumptions'!$J$78,0)+IF(AND(C18&gt;=(13-'Assumptions'!$J$79)+'Assumptions'!$AF$79,C18&lt;=12),'Revenue and costs'!N57/'Assumptions'!$J$79,0)+IF(AND(C18&gt;=(13-'Assumptions'!$J$80)+'Assumptions'!$AF$80,C18&lt;=12),'Revenue and costs'!N58/'Assumptions'!$J$80,0)+IF(AND(C18&gt;=(13-'Assumptions'!$J$81)+'Assumptions'!$AF$81,C18&lt;=12),'Revenue and costs'!N59/'Assumptions'!$J$81,0)+IF(AND(C18&gt;=(13-'Assumptions'!$J$82)+'Assumptions'!$AF$82,C18&lt;=12),'Revenue and costs'!N60/'Assumptions'!$J$82,0)+IF(AND(C18&gt;=(13-'Assumptions'!$J$83)+'Assumptions'!$AF$83,C18&lt;=12),'Revenue and costs'!N61/'Assumptions'!$J$83,0)+IF(AND(C18&gt;=(13-'Assumptions'!$J$84)+'Assumptions'!$AF$84,C18&lt;=12),'Revenue and costs'!N62/'Assumptions'!$J$84,0)+IF(AND(C18&gt;=(13-'Assumptions'!$J$85)+'Assumptions'!$AF$85,C18&lt;=12),'Revenue and costs'!N63/'Assumptions'!$J$85,0)+IF(AND(C18&gt;=(13-'Assumptions'!$J$86)+'Assumptions'!$AF$86,C18&lt;=12),'Revenue and costs'!N64/'Assumptions'!$J$86,0)+IF(AND(C18&gt;=(13-'Assumptions'!$J$87)+'Assumptions'!$AF$87,C18&lt;=12),'Revenue and costs'!N65/'Assumptions'!$J$87,0)+IF(AND(C18&gt;=(13-'Assumptions'!$J$88)+'Assumptions'!$AF$88,C18&lt;=12),'Revenue and costs'!N66/'Assumptions'!$J$88,0)+IF(AND(C18&gt;=(13-'Assumptions'!$J$89)+'Assumptions'!$AF$89,C18&lt;=12),'Revenue and costs'!N67/'Assumptions'!$J$89,0)+IF(AND(C18&gt;=(13-'Assumptions'!$J$90)+'Assumptions'!$AF$90,C18&lt;=12),'Revenue and costs'!N68/'Assumptions'!$J$90,0)+IF(AND(C18&gt;=(13-'Assumptions'!$J$91)+'Assumptions'!$AF$91,C18&lt;=12),'Revenue and costs'!N69/'Assumptions'!$J$91,0)+IF(AND(C18&gt;=(13-'Assumptions'!$J$92)+'Assumptions'!$AF$92,C18&lt;=12),'Revenue and costs'!N70/'Assumptions'!$J$92,0)+IF(AND(C18&gt;=(13-'Assumptions'!$J$93)+'Assumptions'!$AF$93,C18&lt;=12),'Revenue and costs'!N71/'Assumptions'!$J$93,0)+IF(AND(C18&gt;=(13-'Assumptions'!$J$94)+'Assumptions'!$AF$94,C18&lt;=12),'Revenue and costs'!N72/'Assumptions'!$J$94,0)+IF(AND(C18&gt;=(13-'Assumptions'!$J$95)+'Assumptions'!$AF$95,C18&lt;=12),'Revenue and costs'!N73/'Assumptions'!$J$95,0)+IF(AND(C18&gt;=(13-'Assumptions'!$J$96)+'Assumptions'!$AF$96,C18&lt;=12),'Revenue and costs'!N74/'Assumptions'!$J$96,0)+IF(AND(C18&gt;=(13-'Assumptions'!$J$97)+'Assumptions'!$AF$97,C18&lt;=12),'Revenue and costs'!N75/'Assumptions'!$J$97,0)+IF(AND(C18&gt;=(13-'Assumptions'!$J$98)+'Assumptions'!$AF$98,C18&lt;=12),'Revenue and costs'!N76/'Assumptions'!$J$98,0)+IF(AND(C18&gt;=(13-'Assumptions'!$J$99)+'Assumptions'!$AF$99,C18&lt;=12),'Revenue and costs'!N77/'Assumptions'!$J$99,0)+IF(AND(C18&gt;=(13-'Assumptions'!$J$100)+'Assumptions'!$AF$100,C18&lt;=12),'Revenue and costs'!N78/'Assumptions'!$J$100,0)+IF(AND(C18&gt;=(13-'Assumptions'!$J$101)+'Assumptions'!$AF$101,C18&lt;=12),'Revenue and costs'!N79/'Assumptions'!$J$101,0)+IF(AND(C18&gt;=(13-'Assumptions'!$J$102)+'Assumptions'!$AF$102,C18&lt;=12),'Revenue and costs'!N80/'Assumptions'!$J$102,0)+IF(AND(C18&gt;=(13-'Assumptions'!$J$103)+'Assumptions'!$AF$103,C18&lt;=12),'Revenue and costs'!N81/'Assumptions'!$J$103,0)+IF(AND(C18&gt;=(13-'Assumptions'!$J$104)+'Assumptions'!$AF$104,C18&lt;=12),'Revenue and costs'!N82/'Assumptions'!$J$104,0)+IF(AND(C18&gt;=(13-'Assumptions'!$J$105)+'Assumptions'!$AF$105,C18&lt;=12),'Revenue and costs'!N83/'Assumptions'!$J$105,0)+IF(AND(C18&gt;=(13-'Assumptions'!$J$106)+'Assumptions'!$AF$106,C18&lt;=12),'Revenue and costs'!N84/'Assumptions'!$J$106,0)+IF(AND(C18&gt;=(13-'Assumptions'!$J$107)+'Assumptions'!$AF$107,C18&lt;=12),'Revenue and costs'!N85/'Assumptions'!$J$107,0)+IF(AND(C18&gt;=(13-'Assumptions'!$J$108)+'Assumptions'!$AF$108,C18&lt;=12),'Revenue and costs'!N86/'Assumptions'!$J$108,0)+IF(AND(C18&gt;=(13-'Assumptions'!$J$109)+'Assumptions'!$AF$109,C18&lt;=12),'Revenue and costs'!N87/'Assumptions'!$J$109,0)+IF(AND(C18&gt;=(13-'Assumptions'!$J$110)+'Assumptions'!$AF$110,C18&lt;=12),'Revenue and costs'!N88/'Assumptions'!$J$110,0)+IF(AND(C18&gt;=(13-'Assumptions'!$J$111)+'Assumptions'!$AF$111,C18&lt;=12),'Revenue and costs'!N89/'Assumptions'!$J$111,0)+IF(AND(C18&gt;=(13-'Assumptions'!$J$112)+'Assumptions'!$AF$112,C18&lt;=12),'Revenue and costs'!N90/'Assumptions'!$J$112,0)+IF(AND(C18&gt;=(13-'Assumptions'!$J$113)+'Assumptions'!$AF$113,C18&lt;=12),'Revenue and costs'!N91/'Assumptions'!$J$113,0)+IF(AND(C18&gt;=(13-'Assumptions'!$J$114)+'Assumptions'!$AF$114,C18&lt;=12),'Revenue and costs'!N92/'Assumptions'!$J$114,0)+IF(AND(C18&gt;=(13-'Assumptions'!$J$115)+'Assumptions'!$AF$115,C18&lt;=12),'Revenue and costs'!N93/'Assumptions'!$J$115,0)+IF(AND(C18&gt;=(13-'Assumptions'!$J$116)+'Assumptions'!$AF$116,C18&lt;=12),'Revenue and costs'!N94/'Assumptions'!$J$116,0)+IF(AND(C18&gt;=(13-'Assumptions'!$J$117)+'Assumptions'!$AF$117,C18&lt;=12),'Revenue and costs'!N95/'Assumptions'!$J$117,0)+IF(AND(C18&gt;=(13-'Assumptions'!$J$118)+'Assumptions'!$AF$118,C18&lt;=12),'Revenue and costs'!N96/'Assumptions'!$J$118,0)+IF(AND(C18&gt;=(13-'Assumptions'!$J$119)+'Assumptions'!$AF$119,C18&lt;=12),'Revenue and costs'!N97/'Assumptions'!$J$119,0)+IF(AND(C18&gt;=(13-'Assumptions'!$J$120)+'Assumptions'!$AF$120,C18&lt;=12),'Revenue and costs'!N98/'Assumptions'!$J$120,0)+IF(AND(C18&gt;=(13-'Assumptions'!$J$121)+'Assumptions'!$AF$121,C18&lt;=12),'Revenue and costs'!N99/'Assumptions'!$J$121,0)+IF(AND(C18&gt;=(13-'Assumptions'!$J$122)+'Assumptions'!$AF$122,C18&lt;=12),'Revenue and costs'!N100/'Assumptions'!$J$122,0)+IF(AND(C18&gt;=(13-'Assumptions'!$J$123)+'Assumptions'!$AF$123,C18&lt;=12),'Revenue and costs'!N101/'Assumptions'!$J$123,0)+IF(AND(C18&gt;=(13-'Assumptions'!$J$124)+'Assumptions'!$AF$124,C18&lt;=12),'Revenue and costs'!N102/'Assumptions'!$J$124,0)+IF(AND(C18&gt;=(13-'Assumptions'!$J$125)+'Assumptions'!$AF$125,C18&lt;=12),'Revenue and costs'!N103/'Assumptions'!$J$125,0)+IF(AND(C18&gt;=(13-'Assumptions'!$J$126)+'Assumptions'!$AF$126,C18&lt;=12),'Revenue and costs'!N104/'Assumptions'!$J$126,0)+IF(AND(C18&gt;=(13-'Assumptions'!$J$127)+'Assumptions'!$AF$127,C18&lt;=12),'Revenue and costs'!N105/'Assumptions'!$J$127,0)+IF(AND(C18&gt;=(13-'Assumptions'!$J$128)+'Assumptions'!$AF$128,C18&lt;=12),'Revenue and costs'!N106/'Assumptions'!$J$128,0)+IF(AND(C18&gt;=(13-'Assumptions'!$J$129)+'Assumptions'!$AF$129,C18&lt;=12),'Revenue and costs'!N107/'Assumptions'!$J$129,0)+IF(AND(C18&gt;=(13-'Assumptions'!$J$130)+'Assumptions'!$AF$130,C18&lt;=12),'Revenue and costs'!N108/'Assumptions'!$J$130,0)+IF(AND(C18&gt;=(13-'Assumptions'!$J$131)+'Assumptions'!$AF$131,C18&lt;=12),'Revenue and costs'!N109/'Assumptions'!$J$131,0)+IF(AND(C18&gt;=(13-'Assumptions'!$J$132)+'Assumptions'!$AF$132,C18&lt;=12),'Revenue and costs'!N110/'Assumptions'!$J$132,0)+IF(AND(C18&gt;=(13-'Assumptions'!$J$133)+'Assumptions'!$AF$133,C18&lt;=12),'Revenue and costs'!N111/'Assumptions'!$J$133,0)+IF(AND(C18&gt;=(13-'Assumptions'!$J$134)+'Assumptions'!$AF$134,C18&lt;=12),'Revenue and costs'!N112/'Assumptions'!$J$134,0)+IF(AND(C18&gt;=(13-'Assumptions'!$J$135)+'Assumptions'!$AF$135,C18&lt;=12),'Revenue and costs'!N113/'Assumptions'!$J$135,0)+IF(AND(C18&gt;=(13-'Assumptions'!$J$136)+'Assumptions'!$AF$136,C18&lt;=12),'Revenue and costs'!N114/'Assumptions'!$J$136,0)+IF(AND(C18&gt;=(13-'Assumptions'!$J$137)+'Assumptions'!$AF$137,C18&lt;=12),'Revenue and costs'!N115/'Assumptions'!$J$137,0)+IF(AND(C18&gt;=(13-'Assumptions'!$J$138)+'Assumptions'!$AF$138,C18&lt;=12),'Revenue and costs'!N116/'Assumptions'!$J$138,0)+IF(AND(C18&gt;=(13-'Assumptions'!$J$139)+'Assumptions'!$AF$139,C18&lt;=12),'Revenue and costs'!N117/'Assumptions'!$J$139,0)+IF(AND(C18&gt;=(13-'Assumptions'!$J$140)+'Assumptions'!$AF$140,C18&lt;=12),'Revenue and costs'!N118/'Assumptions'!$J$140,0)+IF(AND(C18&gt;=(13-'Assumptions'!$J$141)+'Assumptions'!$AF$141,C18&lt;=12),'Revenue and costs'!N119/'Assumptions'!$J$141,0)+IF(AND(C18&gt;=(13-'Assumptions'!$J$142)+'Assumptions'!$AF$142,C18&lt;=12),'Revenue and costs'!N120/'Assumptions'!$J$142,0)+IF(AND(C18&gt;=(13-'Assumptions'!$J$143)+'Assumptions'!$AF$143,C18&lt;=12),'Revenue and costs'!N121/'Assumptions'!$J$143,0)+IF(AND(C18&gt;=(13-'Assumptions'!$J$144)+'Assumptions'!$AF$144,C18&lt;=12),'Revenue and costs'!N122/'Assumptions'!$J$144,0)+IF(AND(C18&gt;=(13-'Assumptions'!$J$145)+'Assumptions'!$AF$145,C18&lt;=12),'Revenue and costs'!N123/'Assumptions'!$J$145,0)+IF(AND(C18&gt;=(13-'Assumptions'!$J$146)+'Assumptions'!$AF$146,C18&lt;=12),'Revenue and costs'!N124/'Assumptions'!$J$146,0)+IF(AND(C18&gt;=(13-'Assumptions'!$J$147)+'Assumptions'!$AF$147,C18&lt;=12),'Revenue and costs'!N125/'Assumptions'!$J$147,0)+IF(AND(C18&gt;=(13-'Assumptions'!$J$148)+'Assumptions'!$AF$148,C18&lt;=12),'Revenue and costs'!N126/'Assumptions'!$J$148,0)+IF(AND(C18&gt;=(13-'Assumptions'!$J$149)+'Assumptions'!$AF$149,C18&lt;=12),'Revenue and costs'!N127/'Assumptions'!$J$149,0)+IF(AND(C18&gt;=(13-'Assumptions'!$J$150)+'Assumptions'!$AF$150,C18&lt;=12),'Revenue and costs'!N128/'Assumptions'!$J$150,0)+IF(AND(C18&gt;=(13-'Assumptions'!$J$151)+'Assumptions'!$AF$151,C18&lt;=12),'Revenue and costs'!N129/'Assumptions'!$J$151,0)+IF(AND(C18&gt;=(13-'Assumptions'!$J$152)+'Assumptions'!$AF$152,C18&lt;=12),'Revenue and costs'!N130/'Assumptions'!$J$152,0)+IF(AND(C18&gt;=(13-'Assumptions'!$J$153)+'Assumptions'!$AF$153,C18&lt;=12),'Revenue and costs'!N131/'Assumptions'!$J$153,0)+IF(AND(C18&gt;=(13-'Assumptions'!$J$154)+'Assumptions'!$AF$154,C18&lt;=12),'Revenue and costs'!N132/'Assumptions'!$J$154,0)+IF(AND(C18&gt;=(13-'Assumptions'!$J$155)+'Assumptions'!$AF$155,C18&lt;=12),'Revenue and costs'!N133/'Assumptions'!$J$155,0)+IF(AND(C18&gt;=(13-'Assumptions'!$J$156)+'Assumptions'!$AF$156,C18&lt;=12),'Revenue and costs'!N134/'Assumptions'!$J$156,0)+IF(AND(C18&gt;=(13-'Assumptions'!$J$157)+'Assumptions'!$AF$157,C18&lt;=12),'Revenue and costs'!N135/'Assumptions'!$J$157,0)</x:f>
        <x:v>126973.57333333335</x:v>
      </x:c>
      <x:c r="E18" s="10" t="n">
        <x:f>IF(AND(C18&gt;=(13-'Assumptions'!$J$30),C18&lt;=12),SUM('Revenue and costs'!O8:U8)/'Assumptions'!$J$30,0)+IF(C18=(13-'Assumptions'!$J$30)-1,'Revenue and costs'!V8+'Revenue and costs'!AE8,0)+IF(AND(C18&gt;=(13-'Assumptions'!$J$31),C18&lt;=12),SUM('Revenue and costs'!O9:U9)/'Assumptions'!$J$31,0)+IF(C18=(13-'Assumptions'!$J$31)-1,'Revenue and costs'!V9+'Revenue and costs'!AE9,0)+IF(AND(C18&gt;=(13-'Assumptions'!$J$32),C18&lt;=12),SUM('Revenue and costs'!O10:U10)/'Assumptions'!$J$32,0)+IF(C18=(13-'Assumptions'!$J$32)-1,'Revenue and costs'!V10+'Revenue and costs'!AE10,0)+IF(AND(C18&gt;=(13-'Assumptions'!$J$33),C18&lt;=12),SUM('Revenue and costs'!O11:U11)/'Assumptions'!$J$33,0)+IF(C18=(13-'Assumptions'!$J$33)-1,'Revenue and costs'!V11+'Revenue and costs'!AE11,0)+IF(AND(C18&gt;=(13-'Assumptions'!$J$34),C18&lt;=12),SUM('Revenue and costs'!O12:U12)/'Assumptions'!$J$34,0)+IF(C18=(13-'Assumptions'!$J$34)-1,'Revenue and costs'!V12+'Revenue and costs'!AE12,0)+IF(AND(C18&gt;=(13-'Assumptions'!$J$35),C18&lt;=12),SUM('Revenue and costs'!O13:U13)/'Assumptions'!$J$35,0)+IF(C18=(13-'Assumptions'!$J$35)-1,'Revenue and costs'!V13+'Revenue and costs'!AE13,0)+IF(AND(C18&gt;=(13-'Assumptions'!$J$36),C18&lt;=12),SUM('Revenue and costs'!O14:U14)/'Assumptions'!$J$36,0)+IF(C18=(13-'Assumptions'!$J$36)-1,'Revenue and costs'!V14+'Revenue and costs'!AE14,0)+IF(AND(C18&gt;=(13-'Assumptions'!$J$37),C18&lt;=12),SUM('Revenue and costs'!O15:U15)/'Assumptions'!$J$37,0)+IF(C18=(13-'Assumptions'!$J$37)-1,'Revenue and costs'!V15+'Revenue and costs'!AE15,0)+IF(AND(C18&gt;=(13-'Assumptions'!$J$38),C18&lt;=12),SUM('Revenue and costs'!O16:U16)/'Assumptions'!$J$38,0)+IF(C18=(13-'Assumptions'!$J$38)-1,'Revenue and costs'!V16+'Revenue and costs'!AE16,0)+IF(AND(C18&gt;=(13-'Assumptions'!$J$39),C18&lt;=12),SUM('Revenue and costs'!O17:U17)/'Assumptions'!$J$39,0)+IF(C18=(13-'Assumptions'!$J$39)-1,'Revenue and costs'!V17+'Revenue and costs'!AE17,0)+IF(AND(C18&gt;=(13-'Assumptions'!$J$40),C18&lt;=12),SUM('Revenue and costs'!O18:U18)/'Assumptions'!$J$40,0)+IF(C18=(13-'Assumptions'!$J$40)-1,'Revenue and costs'!V18+'Revenue and costs'!AE18,0)+IF(AND(C18&gt;=(13-'Assumptions'!$J$41),C18&lt;=12),SUM('Revenue and costs'!O19:U19)/'Assumptions'!$J$41,0)+IF(C18=(13-'Assumptions'!$J$41)-1,'Revenue and costs'!V19+'Revenue and costs'!AE19,0)+IF(AND(C18&gt;=(13-'Assumptions'!$J$42),C18&lt;=12),SUM('Revenue and costs'!O20:U20)/'Assumptions'!$J$42,0)+IF(C18=(13-'Assumptions'!$J$42)-1,'Revenue and costs'!V20+'Revenue and costs'!AE20,0)+IF(AND(C18&gt;=(13-'Assumptions'!$J$43),C18&lt;=12),SUM('Revenue and costs'!O21:U21)/'Assumptions'!$J$43,0)+IF(C18=(13-'Assumptions'!$J$43)-1,'Revenue and costs'!V21+'Revenue and costs'!AE21,0)+IF(AND(C18&gt;=(13-'Assumptions'!$J$44),C18&lt;=12),SUM('Revenue and costs'!O22:U22)/'Assumptions'!$J$44,0)+IF(C18=(13-'Assumptions'!$J$44)-1,'Revenue and costs'!V22+'Revenue and costs'!AE22,0)+IF(AND(C18&gt;=(13-'Assumptions'!$J$45),C18&lt;=12),SUM('Revenue and costs'!O23:U23)/'Assumptions'!$J$45,0)+IF(C18=(13-'Assumptions'!$J$45)-1,'Revenue and costs'!V23+'Revenue and costs'!AE23,0)+IF(AND(C18&gt;=(13-'Assumptions'!$J$46),C18&lt;=12),SUM('Revenue and costs'!O24:U24)/'Assumptions'!$J$46,0)+IF(C18=(13-'Assumptions'!$J$46)-1,'Revenue and costs'!V24+'Revenue and costs'!AE24,0)+IF(AND(C18&gt;=(13-'Assumptions'!$J$47),C18&lt;=12),SUM('Revenue and costs'!O25:U25)/'Assumptions'!$J$47,0)+IF(C18=(13-'Assumptions'!$J$47)-1,'Revenue and costs'!V25+'Revenue and costs'!AE25,0)+IF(AND(C18&gt;=(13-'Assumptions'!$J$48),C18&lt;=12),SUM('Revenue and costs'!O26:U26)/'Assumptions'!$J$48,0)+IF(C18=(13-'Assumptions'!$J$48)-1,'Revenue and costs'!V26+'Revenue and costs'!AE26,0)+IF(AND(C18&gt;=(13-'Assumptions'!$J$49),C18&lt;=12),SUM('Revenue and costs'!O27:U27)/'Assumptions'!$J$49,0)+IF(C18=(13-'Assumptions'!$J$49)-1,'Revenue and costs'!V27+'Revenue and costs'!AE27,0)+IF(AND(C18&gt;=(13-'Assumptions'!$J$50),C18&lt;=12),SUM('Revenue and costs'!O28:U28)/'Assumptions'!$J$50,0)+IF(C18=(13-'Assumptions'!$J$50)-1,'Revenue and costs'!V28+'Revenue and costs'!AE28,0)+IF(AND(C18&gt;=(13-'Assumptions'!$J$51),C18&lt;=12),SUM('Revenue and costs'!O29:U29)/'Assumptions'!$J$51,0)+IF(C18=(13-'Assumptions'!$J$51)-1,'Revenue and costs'!V29+'Revenue and costs'!AE29,0)+IF(AND(C18&gt;=(13-'Assumptions'!$J$52),C18&lt;=12),SUM('Revenue and costs'!O30:U30)/'Assumptions'!$J$52,0)+IF(C18=(13-'Assumptions'!$J$52)-1,'Revenue and costs'!V30+'Revenue and costs'!AE30,0)+IF(AND(C18&gt;=(13-'Assumptions'!$J$53),C18&lt;=12),SUM('Revenue and costs'!O31:U31)/'Assumptions'!$J$53,0)+IF(C18=(13-'Assumptions'!$J$53)-1,'Revenue and costs'!V31+'Revenue and costs'!AE31,0)+IF(AND(C18&gt;=(13-'Assumptions'!$J$54),C18&lt;=12),SUM('Revenue and costs'!O32:U32)/'Assumptions'!$J$54,0)+IF(C18=(13-'Assumptions'!$J$54)-1,'Revenue and costs'!V32+'Revenue and costs'!AE32,0)+IF(AND(C18&gt;=(13-'Assumptions'!$J$55),C18&lt;=12),SUM('Revenue and costs'!O33:U33)/'Assumptions'!$J$55,0)+IF(C18=(13-'Assumptions'!$J$55)-1,'Revenue and costs'!V33+'Revenue and costs'!AE33,0)+IF(AND(C18&gt;=(13-'Assumptions'!$J$56),C18&lt;=12),SUM('Revenue and costs'!O34:U34)/'Assumptions'!$J$56,0)+IF(C18=(13-'Assumptions'!$J$56)-1,'Revenue and costs'!V34+'Revenue and costs'!AE34,0)+IF(AND(C18&gt;=(13-'Assumptions'!$J$57),C18&lt;=12),SUM('Revenue and costs'!O35:U35)/'Assumptions'!$J$57,0)+IF(C18=(13-'Assumptions'!$J$57)-1,'Revenue and costs'!V35+'Revenue and costs'!AE35,0)+IF(AND(C18&gt;=(13-'Assumptions'!$J$58),C18&lt;=12),SUM('Revenue and costs'!O36:U36)/'Assumptions'!$J$58,0)+IF(C18=(13-'Assumptions'!$J$58)-1,'Revenue and costs'!V36+'Revenue and costs'!AE36,0)+IF(AND(C18&gt;=(13-'Assumptions'!$J$59),C18&lt;=12),SUM('Revenue and costs'!O37:U37)/'Assumptions'!$J$59,0)+IF(C18=(13-'Assumptions'!$J$59)-1,'Revenue and costs'!V37+'Revenue and costs'!AE37,0)+IF(AND(C18&gt;=(13-'Assumptions'!$J$60),C18&lt;=12),SUM('Revenue and costs'!O38:U38)/'Assumptions'!$J$60,0)+IF(C18=(13-'Assumptions'!$J$60)-1,'Revenue and costs'!V38+'Revenue and costs'!AE38,0)+IF(AND(C18&gt;=(13-'Assumptions'!$J$61),C18&lt;=12),SUM('Revenue and costs'!O39:U39)/'Assumptions'!$J$61,0)+IF(C18=(13-'Assumptions'!$J$61)-1,'Revenue and costs'!V39+'Revenue and costs'!AE39,0)+IF(AND(C18&gt;=(13-'Assumptions'!$J$62),C18&lt;=12),SUM('Revenue and costs'!O40:U40)/'Assumptions'!$J$62,0)+IF(C18=(13-'Assumptions'!$J$62)-1,'Revenue and costs'!V40+'Revenue and costs'!AE40,0)+IF(AND(C18&gt;=(13-'Assumptions'!$J$63),C18&lt;=12),SUM('Revenue and costs'!O41:U41)/'Assumptions'!$J$63,0)+IF(C18=(13-'Assumptions'!$J$63)-1,'Revenue and costs'!V41+'Revenue and costs'!AE41,0)+IF(AND(C18&gt;=(13-'Assumptions'!$J$64),C18&lt;=12),SUM('Revenue and costs'!O42:U42)/'Assumptions'!$J$64,0)+IF(C18=(13-'Assumptions'!$J$64)-1,'Revenue and costs'!V42+'Revenue and costs'!AE42,0)+IF(AND(C18&gt;=(13-'Assumptions'!$J$65),C18&lt;=12),SUM('Revenue and costs'!O43:U43)/'Assumptions'!$J$65,0)+IF(C18=(13-'Assumptions'!$J$65)-1,'Revenue and costs'!V43+'Revenue and costs'!AE43,0)+IF(AND(C18&gt;=(13-'Assumptions'!$J$66),C18&lt;=12),SUM('Revenue and costs'!O44:U44)/'Assumptions'!$J$66,0)+IF(C18=(13-'Assumptions'!$J$66)-1,'Revenue and costs'!V44+'Revenue and costs'!AE44,0)+IF(AND(C18&gt;=(13-'Assumptions'!$J$67),C18&lt;=12),SUM('Revenue and costs'!O45:U45)/'Assumptions'!$J$67,0)+IF(C18=(13-'Assumptions'!$J$67)-1,'Revenue and costs'!V45+'Revenue and costs'!AE45,0)+IF(AND(C18&gt;=(13-'Assumptions'!$J$68),C18&lt;=12),SUM('Revenue and costs'!O46:U46)/'Assumptions'!$J$68,0)+IF(C18=(13-'Assumptions'!$J$68)-1,'Revenue and costs'!V46+'Revenue and costs'!AE46,0)+IF(AND(C18&gt;=(13-'Assumptions'!$J$69),C18&lt;=12),SUM('Revenue and costs'!O47:U47)/'Assumptions'!$J$69,0)+IF(C18=(13-'Assumptions'!$J$69)-1,'Revenue and costs'!V47+'Revenue and costs'!AE47,0)+IF(AND(C18&gt;=(13-'Assumptions'!$J$70),C18&lt;=12),SUM('Revenue and costs'!O48:U48)/'Assumptions'!$J$70,0)+IF(C18=(13-'Assumptions'!$J$70)-1,'Revenue and costs'!V48+'Revenue and costs'!AE48,0)+IF(AND(C18&gt;=(13-'Assumptions'!$J$71),C18&lt;=12),SUM('Revenue and costs'!O49:U49)/'Assumptions'!$J$71,0)+IF(C18=(13-'Assumptions'!$J$71)-1,'Revenue and costs'!V49+'Revenue and costs'!AE49,0)+IF(AND(C18&gt;=(13-'Assumptions'!$J$72),C18&lt;=12),SUM('Revenue and costs'!O50:U50)/'Assumptions'!$J$72,0)+IF(C18=(13-'Assumptions'!$J$72)-1,'Revenue and costs'!V50+'Revenue and costs'!AE50,0)+IF(AND(C18&gt;=(13-'Assumptions'!$J$73),C18&lt;=12),SUM('Revenue and costs'!O51:U51)/'Assumptions'!$J$73,0)+IF(C18=(13-'Assumptions'!$J$73)-1,'Revenue and costs'!V51+'Revenue and costs'!AE51,0)+IF(AND(C18&gt;=(13-'Assumptions'!$J$74),C18&lt;=12),SUM('Revenue and costs'!O52:U52)/'Assumptions'!$J$74,0)+IF(C18=(13-'Assumptions'!$J$74)-1,'Revenue and costs'!V52+'Revenue and costs'!AE52,0)+IF(AND(C18&gt;=(13-'Assumptions'!$J$75),C18&lt;=12),SUM('Revenue and costs'!O53:U53)/'Assumptions'!$J$75,0)+IF(C18=(13-'Assumptions'!$J$75)-1,'Revenue and costs'!V53+'Revenue and costs'!AE53,0)+IF(AND(C18&gt;=(13-'Assumptions'!$J$76),C18&lt;=12),SUM('Revenue and costs'!O54:U54)/'Assumptions'!$J$76,0)+IF(C18=(13-'Assumptions'!$J$76)-1,'Revenue and costs'!V54+'Revenue and costs'!AE54,0)+IF(AND(C18&gt;=(13-'Assumptions'!$J$77),C18&lt;=12),SUM('Revenue and costs'!O55:U55)/'Assumptions'!$J$77,0)+IF(C18=(13-'Assumptions'!$J$77)-1,'Revenue and costs'!V55+'Revenue and costs'!AE55,0)+IF(AND(C18&gt;=(13-'Assumptions'!$J$78),C18&lt;=12),SUM('Revenue and costs'!O56:U56)/'Assumptions'!$J$78,0)+IF(C18=(13-'Assumptions'!$J$78)-1,'Revenue and costs'!V56+'Revenue and costs'!AE56,0)+IF(AND(C18&gt;=(13-'Assumptions'!$J$79),C18&lt;=12),SUM('Revenue and costs'!O57:U57)/'Assumptions'!$J$79,0)+IF(C18=(13-'Assumptions'!$J$79)-1,'Revenue and costs'!V57+'Revenue and costs'!AE57,0)+IF(AND(C18&gt;=(13-'Assumptions'!$J$80),C18&lt;=12),SUM('Revenue and costs'!O58:U58)/'Assumptions'!$J$80,0)+IF(C18=(13-'Assumptions'!$J$80)-1,'Revenue and costs'!V58+'Revenue and costs'!AE58,0)+IF(AND(C18&gt;=(13-'Assumptions'!$J$81),C18&lt;=12),SUM('Revenue and costs'!O59:U59)/'Assumptions'!$J$81,0)+IF(C18=(13-'Assumptions'!$J$81)-1,'Revenue and costs'!V59+'Revenue and costs'!AE59,0)+IF(AND(C18&gt;=(13-'Assumptions'!$J$82),C18&lt;=12),SUM('Revenue and costs'!O60:U60)/'Assumptions'!$J$82,0)+IF(C18=(13-'Assumptions'!$J$82)-1,'Revenue and costs'!V60+'Revenue and costs'!AE60,0)+IF(AND(C18&gt;=(13-'Assumptions'!$J$83),C18&lt;=12),SUM('Revenue and costs'!O61:U61)/'Assumptions'!$J$83,0)+IF(C18=(13-'Assumptions'!$J$83)-1,'Revenue and costs'!V61+'Revenue and costs'!AE61,0)+IF(AND(C18&gt;=(13-'Assumptions'!$J$84),C18&lt;=12),SUM('Revenue and costs'!O62:U62)/'Assumptions'!$J$84,0)+IF(C18=(13-'Assumptions'!$J$84)-1,'Revenue and costs'!V62+'Revenue and costs'!AE62,0)+IF(AND(C18&gt;=(13-'Assumptions'!$J$85),C18&lt;=12),SUM('Revenue and costs'!O63:U63)/'Assumptions'!$J$85,0)+IF(C18=(13-'Assumptions'!$J$85)-1,'Revenue and costs'!V63+'Revenue and costs'!AE63,0)+IF(AND(C18&gt;=(13-'Assumptions'!$J$86),C18&lt;=12),SUM('Revenue and costs'!O64:U64)/'Assumptions'!$J$86,0)+IF(C18=(13-'Assumptions'!$J$86)-1,'Revenue and costs'!V64+'Revenue and costs'!AE64,0)+IF(AND(C18&gt;=(13-'Assumptions'!$J$87),C18&lt;=12),SUM('Revenue and costs'!O65:U65)/'Assumptions'!$J$87,0)+IF(C18=(13-'Assumptions'!$J$87)-1,'Revenue and costs'!V65+'Revenue and costs'!AE65,0)+IF(AND(C18&gt;=(13-'Assumptions'!$J$88),C18&lt;=12),SUM('Revenue and costs'!O66:U66)/'Assumptions'!$J$88,0)+IF(C18=(13-'Assumptions'!$J$88)-1,'Revenue and costs'!V66+'Revenue and costs'!AE66,0)+IF(AND(C18&gt;=(13-'Assumptions'!$J$89),C18&lt;=12),SUM('Revenue and costs'!O67:U67)/'Assumptions'!$J$89,0)+IF(C18=(13-'Assumptions'!$J$89)-1,'Revenue and costs'!V67+'Revenue and costs'!AE67,0)+IF(AND(C18&gt;=(13-'Assumptions'!$J$90),C18&lt;=12),SUM('Revenue and costs'!O68:U68)/'Assumptions'!$J$90,0)+IF(C18=(13-'Assumptions'!$J$90)-1,'Revenue and costs'!V68+'Revenue and costs'!AE68,0)+IF(AND(C18&gt;=(13-'Assumptions'!$J$91),C18&lt;=12),SUM('Revenue and costs'!O69:U69)/'Assumptions'!$J$91,0)+IF(C18=(13-'Assumptions'!$J$91)-1,'Revenue and costs'!V69+'Revenue and costs'!AE69,0)+IF(AND(C18&gt;=(13-'Assumptions'!$J$92),C18&lt;=12),SUM('Revenue and costs'!O70:U70)/'Assumptions'!$J$92,0)+IF(C18=(13-'Assumptions'!$J$92)-1,'Revenue and costs'!V70+'Revenue and costs'!AE70,0)+IF(AND(C18&gt;=(13-'Assumptions'!$J$93),C18&lt;=12),SUM('Revenue and costs'!O71:U71)/'Assumptions'!$J$93,0)+IF(C18=(13-'Assumptions'!$J$93)-1,'Revenue and costs'!V71+'Revenue and costs'!AE71,0)+IF(AND(C18&gt;=(13-'Assumptions'!$J$94),C18&lt;=12),SUM('Revenue and costs'!O72:U72)/'Assumptions'!$J$94,0)+IF(C18=(13-'Assumptions'!$J$94)-1,'Revenue and costs'!V72+'Revenue and costs'!AE72,0)+IF(AND(C18&gt;=(13-'Assumptions'!$J$95),C18&lt;=12),SUM('Revenue and costs'!O73:U73)/'Assumptions'!$J$95,0)+IF(C18=(13-'Assumptions'!$J$95)-1,'Revenue and costs'!V73+'Revenue and costs'!AE73,0)+IF(AND(C18&gt;=(13-'Assumptions'!$J$96),C18&lt;=12),SUM('Revenue and costs'!O74:U74)/'Assumptions'!$J$96,0)+IF(C18=(13-'Assumptions'!$J$96)-1,'Revenue and costs'!V74+'Revenue and costs'!AE74,0)+IF(AND(C18&gt;=(13-'Assumptions'!$J$97),C18&lt;=12),SUM('Revenue and costs'!O75:U75)/'Assumptions'!$J$97,0)+IF(C18=(13-'Assumptions'!$J$97)-1,'Revenue and costs'!V75+'Revenue and costs'!AE75,0)+IF(AND(C18&gt;=(13-'Assumptions'!$J$98),C18&lt;=12),SUM('Revenue and costs'!O76:U76)/'Assumptions'!$J$98,0)+IF(C18=(13-'Assumptions'!$J$98)-1,'Revenue and costs'!V76+'Revenue and costs'!AE76,0)+IF(AND(C18&gt;=(13-'Assumptions'!$J$99),C18&lt;=12),SUM('Revenue and costs'!O77:U77)/'Assumptions'!$J$99,0)+IF(C18=(13-'Assumptions'!$J$99)-1,'Revenue and costs'!V77+'Revenue and costs'!AE77,0)+IF(AND(C18&gt;=(13-'Assumptions'!$J$100),C18&lt;=12),SUM('Revenue and costs'!O78:U78)/'Assumptions'!$J$100,0)+IF(C18=(13-'Assumptions'!$J$100)-1,'Revenue and costs'!V78+'Revenue and costs'!AE78,0)+IF(AND(C18&gt;=(13-'Assumptions'!$J$101),C18&lt;=12),SUM('Revenue and costs'!O79:U79)/'Assumptions'!$J$101,0)+IF(C18=(13-'Assumptions'!$J$101)-1,'Revenue and costs'!V79+'Revenue and costs'!AE79,0)+IF(AND(C18&gt;=(13-'Assumptions'!$J$102),C18&lt;=12),SUM('Revenue and costs'!O80:U80)/'Assumptions'!$J$102,0)+IF(C18=(13-'Assumptions'!$J$102)-1,'Revenue and costs'!V80+'Revenue and costs'!AE80,0)+IF(AND(C18&gt;=(13-'Assumptions'!$J$103),C18&lt;=12),SUM('Revenue and costs'!O81:U81)/'Assumptions'!$J$103,0)+IF(C18=(13-'Assumptions'!$J$103)-1,'Revenue and costs'!V81+'Revenue and costs'!AE81,0)+IF(AND(C18&gt;=(13-'Assumptions'!$J$104),C18&lt;=12),SUM('Revenue and costs'!O82:U82)/'Assumptions'!$J$104,0)+IF(C18=(13-'Assumptions'!$J$104)-1,'Revenue and costs'!V82+'Revenue and costs'!AE82,0)+IF(AND(C18&gt;=(13-'Assumptions'!$J$105),C18&lt;=12),SUM('Revenue and costs'!O83:U83)/'Assumptions'!$J$105,0)+IF(C18=(13-'Assumptions'!$J$105)-1,'Revenue and costs'!V83+'Revenue and costs'!AE83,0)+IF(AND(C18&gt;=(13-'Assumptions'!$J$106),C18&lt;=12),SUM('Revenue and costs'!O84:U84)/'Assumptions'!$J$106,0)+IF(C18=(13-'Assumptions'!$J$106)-1,'Revenue and costs'!V84+'Revenue and costs'!AE84,0)+IF(AND(C18&gt;=(13-'Assumptions'!$J$107),C18&lt;=12),SUM('Revenue and costs'!O85:U85)/'Assumptions'!$J$107,0)+IF(C18=(13-'Assumptions'!$J$107)-1,'Revenue and costs'!V85+'Revenue and costs'!AE85,0)+IF(AND(C18&gt;=(13-'Assumptions'!$J$108),C18&lt;=12),SUM('Revenue and costs'!O86:U86)/'Assumptions'!$J$108,0)+IF(C18=(13-'Assumptions'!$J$108)-1,'Revenue and costs'!V86+'Revenue and costs'!AE86,0)+IF(AND(C18&gt;=(13-'Assumptions'!$J$109),C18&lt;=12),SUM('Revenue and costs'!O87:U87)/'Assumptions'!$J$109,0)+IF(C18=(13-'Assumptions'!$J$109)-1,'Revenue and costs'!V87+'Revenue and costs'!AE87,0)+IF(AND(C18&gt;=(13-'Assumptions'!$J$110),C18&lt;=12),SUM('Revenue and costs'!O88:U88)/'Assumptions'!$J$110,0)+IF(C18=(13-'Assumptions'!$J$110)-1,'Revenue and costs'!V88+'Revenue and costs'!AE88,0)+IF(AND(C18&gt;=(13-'Assumptions'!$J$111),C18&lt;=12),SUM('Revenue and costs'!O89:U89)/'Assumptions'!$J$111,0)+IF(C18=(13-'Assumptions'!$J$111)-1,'Revenue and costs'!V89+'Revenue and costs'!AE89,0)+IF(AND(C18&gt;=(13-'Assumptions'!$J$112),C18&lt;=12),SUM('Revenue and costs'!O90:U90)/'Assumptions'!$J$112,0)+IF(C18=(13-'Assumptions'!$J$112)-1,'Revenue and costs'!V90+'Revenue and costs'!AE90,0)+IF(AND(C18&gt;=(13-'Assumptions'!$J$113),C18&lt;=12),SUM('Revenue and costs'!O91:U91)/'Assumptions'!$J$113,0)+IF(C18=(13-'Assumptions'!$J$113)-1,'Revenue and costs'!V91+'Revenue and costs'!AE91,0)+IF(AND(C18&gt;=(13-'Assumptions'!$J$114),C18&lt;=12),SUM('Revenue and costs'!O92:U92)/'Assumptions'!$J$114,0)+IF(C18=(13-'Assumptions'!$J$114)-1,'Revenue and costs'!V92+'Revenue and costs'!AE92,0)+IF(AND(C18&gt;=(13-'Assumptions'!$J$115),C18&lt;=12),SUM('Revenue and costs'!O93:U93)/'Assumptions'!$J$115,0)+IF(C18=(13-'Assumptions'!$J$115)-1,'Revenue and costs'!V93+'Revenue and costs'!AE93,0)+IF(AND(C18&gt;=(13-'Assumptions'!$J$116),C18&lt;=12),SUM('Revenue and costs'!O94:U94)/'Assumptions'!$J$116,0)+IF(C18=(13-'Assumptions'!$J$116)-1,'Revenue and costs'!V94+'Revenue and costs'!AE94,0)+IF(AND(C18&gt;=(13-'Assumptions'!$J$117),C18&lt;=12),SUM('Revenue and costs'!O95:U95)/'Assumptions'!$J$117,0)+IF(C18=(13-'Assumptions'!$J$117)-1,'Revenue and costs'!V95+'Revenue and costs'!AE95,0)+IF(AND(C18&gt;=(13-'Assumptions'!$J$118),C18&lt;=12),SUM('Revenue and costs'!O96:U96)/'Assumptions'!$J$118,0)+IF(C18=(13-'Assumptions'!$J$118)-1,'Revenue and costs'!V96+'Revenue and costs'!AE96,0)+IF(AND(C18&gt;=(13-'Assumptions'!$J$119),C18&lt;=12),SUM('Revenue and costs'!O97:U97)/'Assumptions'!$J$119,0)+IF(C18=(13-'Assumptions'!$J$119)-1,'Revenue and costs'!V97+'Revenue and costs'!AE97,0)+IF(AND(C18&gt;=(13-'Assumptions'!$J$120),C18&lt;=12),SUM('Revenue and costs'!O98:U98)/'Assumptions'!$J$120,0)+IF(C18=(13-'Assumptions'!$J$120)-1,'Revenue and costs'!V98+'Revenue and costs'!AE98,0)+IF(AND(C18&gt;=(13-'Assumptions'!$J$121),C18&lt;=12),SUM('Revenue and costs'!O99:U99)/'Assumptions'!$J$121,0)+IF(C18=(13-'Assumptions'!$J$121)-1,'Revenue and costs'!V99+'Revenue and costs'!AE99,0)+IF(AND(C18&gt;=(13-'Assumptions'!$J$122),C18&lt;=12),SUM('Revenue and costs'!O100:U100)/'Assumptions'!$J$122,0)+IF(C18=(13-'Assumptions'!$J$122)-1,'Revenue and costs'!V100+'Revenue and costs'!AE100,0)+IF(AND(C18&gt;=(13-'Assumptions'!$J$123),C18&lt;=12),SUM('Revenue and costs'!O101:U101)/'Assumptions'!$J$123,0)+IF(C18=(13-'Assumptions'!$J$123)-1,'Revenue and costs'!V101+'Revenue and costs'!AE101,0)+IF(AND(C18&gt;=(13-'Assumptions'!$J$124),C18&lt;=12),SUM('Revenue and costs'!O102:U102)/'Assumptions'!$J$124,0)+IF(C18=(13-'Assumptions'!$J$124)-1,'Revenue and costs'!V102+'Revenue and costs'!AE102,0)+IF(AND(C18&gt;=(13-'Assumptions'!$J$125),C18&lt;=12),SUM('Revenue and costs'!O103:U103)/'Assumptions'!$J$125,0)+IF(C18=(13-'Assumptions'!$J$125)-1,'Revenue and costs'!V103+'Revenue and costs'!AE103,0)+IF(AND(C18&gt;=(13-'Assumptions'!$J$126),C18&lt;=12),SUM('Revenue and costs'!O104:U104)/'Assumptions'!$J$126,0)+IF(C18=(13-'Assumptions'!$J$126)-1,'Revenue and costs'!V104+'Revenue and costs'!AE104,0)+IF(AND(C18&gt;=(13-'Assumptions'!$J$127),C18&lt;=12),SUM('Revenue and costs'!O105:U105)/'Assumptions'!$J$127,0)+IF(C18=(13-'Assumptions'!$J$127)-1,'Revenue and costs'!V105+'Revenue and costs'!AE105,0)+IF(AND(C18&gt;=(13-'Assumptions'!$J$128),C18&lt;=12),SUM('Revenue and costs'!O106:U106)/'Assumptions'!$J$128,0)+IF(C18=(13-'Assumptions'!$J$128)-1,'Revenue and costs'!V106+'Revenue and costs'!AE106,0)+IF(AND(C18&gt;=(13-'Assumptions'!$J$129),C18&lt;=12),SUM('Revenue and costs'!O107:U107)/'Assumptions'!$J$129,0)+IF(C18=(13-'Assumptions'!$J$129)-1,'Revenue and costs'!V107+'Revenue and costs'!AE107,0)+IF(AND(C18&gt;=(13-'Assumptions'!$J$130),C18&lt;=12),SUM('Revenue and costs'!O108:U108)/'Assumptions'!$J$130,0)+IF(C18=(13-'Assumptions'!$J$130)-1,'Revenue and costs'!V108+'Revenue and costs'!AE108,0)+IF(AND(C18&gt;=(13-'Assumptions'!$J$131),C18&lt;=12),SUM('Revenue and costs'!O109:U109)/'Assumptions'!$J$131,0)+IF(C18=(13-'Assumptions'!$J$131)-1,'Revenue and costs'!V109+'Revenue and costs'!AE109,0)+IF(AND(C18&gt;=(13-'Assumptions'!$J$132),C18&lt;=12),SUM('Revenue and costs'!O110:U110)/'Assumptions'!$J$132,0)+IF(C18=(13-'Assumptions'!$J$132)-1,'Revenue and costs'!V110+'Revenue and costs'!AE110,0)+IF(AND(C18&gt;=(13-'Assumptions'!$J$133),C18&lt;=12),SUM('Revenue and costs'!O111:U111)/'Assumptions'!$J$133,0)+IF(C18=(13-'Assumptions'!$J$133)-1,'Revenue and costs'!V111+'Revenue and costs'!AE111,0)+IF(AND(C18&gt;=(13-'Assumptions'!$J$134),C18&lt;=12),SUM('Revenue and costs'!O112:U112)/'Assumptions'!$J$134,0)+IF(C18=(13-'Assumptions'!$J$134)-1,'Revenue and costs'!V112+'Revenue and costs'!AE112,0)+IF(AND(C18&gt;=(13-'Assumptions'!$J$135),C18&lt;=12),SUM('Revenue and costs'!O113:U113)/'Assumptions'!$J$135,0)+IF(C18=(13-'Assumptions'!$J$135)-1,'Revenue and costs'!V113+'Revenue and costs'!AE113,0)+IF(AND(C18&gt;=(13-'Assumptions'!$J$136),C18&lt;=12),SUM('Revenue and costs'!O114:U114)/'Assumptions'!$J$136,0)+IF(C18=(13-'Assumptions'!$J$136)-1,'Revenue and costs'!V114+'Revenue and costs'!AE114,0)+IF(AND(C18&gt;=(13-'Assumptions'!$J$137),C18&lt;=12),SUM('Revenue and costs'!O115:U115)/'Assumptions'!$J$137,0)+IF(C18=(13-'Assumptions'!$J$137)-1,'Revenue and costs'!V115+'Revenue and costs'!AE115,0)+IF(AND(C18&gt;=(13-'Assumptions'!$J$138),C18&lt;=12),SUM('Revenue and costs'!O116:U116)/'Assumptions'!$J$138,0)+IF(C18=(13-'Assumptions'!$J$138)-1,'Revenue and costs'!V116+'Revenue and costs'!AE116,0)+IF(AND(C18&gt;=(13-'Assumptions'!$J$139),C18&lt;=12),SUM('Revenue and costs'!O117:U117)/'Assumptions'!$J$139,0)+IF(C18=(13-'Assumptions'!$J$139)-1,'Revenue and costs'!V117+'Revenue and costs'!AE117,0)+IF(AND(C18&gt;=(13-'Assumptions'!$J$140),C18&lt;=12),SUM('Revenue and costs'!O118:U118)/'Assumptions'!$J$140,0)+IF(C18=(13-'Assumptions'!$J$140)-1,'Revenue and costs'!V118+'Revenue and costs'!AE118,0)+IF(AND(C18&gt;=(13-'Assumptions'!$J$141),C18&lt;=12),SUM('Revenue and costs'!O119:U119)/'Assumptions'!$J$141,0)+IF(C18=(13-'Assumptions'!$J$141)-1,'Revenue and costs'!V119+'Revenue and costs'!AE119,0)+IF(AND(C18&gt;=(13-'Assumptions'!$J$142),C18&lt;=12),SUM('Revenue and costs'!O120:U120)/'Assumptions'!$J$142,0)+IF(C18=(13-'Assumptions'!$J$142)-1,'Revenue and costs'!V120+'Revenue and costs'!AE120,0)+IF(AND(C18&gt;=(13-'Assumptions'!$J$143),C18&lt;=12),SUM('Revenue and costs'!O121:U121)/'Assumptions'!$J$143,0)+IF(C18=(13-'Assumptions'!$J$143)-1,'Revenue and costs'!V121+'Revenue and costs'!AE121,0)+IF(AND(C18&gt;=(13-'Assumptions'!$J$144),C18&lt;=12),SUM('Revenue and costs'!O122:U122)/'Assumptions'!$J$144,0)+IF(C18=(13-'Assumptions'!$J$144)-1,'Revenue and costs'!V122+'Revenue and costs'!AE122,0)+IF(AND(C18&gt;=(13-'Assumptions'!$J$145),C18&lt;=12),SUM('Revenue and costs'!O123:U123)/'Assumptions'!$J$145,0)+IF(C18=(13-'Assumptions'!$J$145)-1,'Revenue and costs'!V123+'Revenue and costs'!AE123,0)+IF(AND(C18&gt;=(13-'Assumptions'!$J$146),C18&lt;=12),SUM('Revenue and costs'!O124:U124)/'Assumptions'!$J$146,0)+IF(C18=(13-'Assumptions'!$J$146)-1,'Revenue and costs'!V124+'Revenue and costs'!AE124,0)+IF(AND(C18&gt;=(13-'Assumptions'!$J$147),C18&lt;=12),SUM('Revenue and costs'!O125:U125)/'Assumptions'!$J$147,0)+IF(C18=(13-'Assumptions'!$J$147)-1,'Revenue and costs'!V125+'Revenue and costs'!AE125,0)+IF(AND(C18&gt;=(13-'Assumptions'!$J$148),C18&lt;=12),SUM('Revenue and costs'!O126:U126)/'Assumptions'!$J$148,0)+IF(C18=(13-'Assumptions'!$J$148)-1,'Revenue and costs'!V126+'Revenue and costs'!AE126,0)+IF(AND(C18&gt;=(13-'Assumptions'!$J$149),C18&lt;=12),SUM('Revenue and costs'!O127:U127)/'Assumptions'!$J$149,0)+IF(C18=(13-'Assumptions'!$J$149)-1,'Revenue and costs'!V127+'Revenue and costs'!AE127,0)+IF(AND(C18&gt;=(13-'Assumptions'!$J$150),C18&lt;=12),SUM('Revenue and costs'!O128:U128)/'Assumptions'!$J$150,0)+IF(C18=(13-'Assumptions'!$J$150)-1,'Revenue and costs'!V128+'Revenue and costs'!AE128,0)+IF(AND(C18&gt;=(13-'Assumptions'!$J$151),C18&lt;=12),SUM('Revenue and costs'!O129:U129)/'Assumptions'!$J$151,0)+IF(C18=(13-'Assumptions'!$J$151)-1,'Revenue and costs'!V129+'Revenue and costs'!AE129,0)+IF(AND(C18&gt;=(13-'Assumptions'!$J$152),C18&lt;=12),SUM('Revenue and costs'!O130:U130)/'Assumptions'!$J$152,0)+IF(C18=(13-'Assumptions'!$J$152)-1,'Revenue and costs'!V130+'Revenue and costs'!AE130,0)+IF(AND(C18&gt;=(13-'Assumptions'!$J$153),C18&lt;=12),SUM('Revenue and costs'!O131:U131)/'Assumptions'!$J$153,0)+IF(C18=(13-'Assumptions'!$J$153)-1,'Revenue and costs'!V131+'Revenue and costs'!AE131,0)+IF(AND(C18&gt;=(13-'Assumptions'!$J$154),C18&lt;=12),SUM('Revenue and costs'!O132:U132)/'Assumptions'!$J$154,0)+IF(C18=(13-'Assumptions'!$J$154)-1,'Revenue and costs'!V132+'Revenue and costs'!AE132,0)+IF(AND(C18&gt;=(13-'Assumptions'!$J$155),C18&lt;=12),SUM('Revenue and costs'!O133:U133)/'Assumptions'!$J$155,0)+IF(C18=(13-'Assumptions'!$J$155)-1,'Revenue and costs'!V133+'Revenue and costs'!AE133,0)+IF(AND(C18&gt;=(13-'Assumptions'!$J$156),C18&lt;=12),SUM('Revenue and costs'!O134:U134)/'Assumptions'!$J$156,0)+IF(C18=(13-'Assumptions'!$J$156)-1,'Revenue and costs'!V134+'Revenue and costs'!AE134,0)+IF(AND(C18&gt;=(13-'Assumptions'!$J$157),C18&lt;=12),SUM('Revenue and costs'!O135:U135)/'Assumptions'!$J$157,0)+IF(C18=(13-'Assumptions'!$J$157)-1,'Revenue and costs'!V135+'Revenue and costs'!AE135,0)+IF(C18&gt;0,'Shared costs'!H21/12+'Assumptions'!$D$18*'Assumptions'!$D$19*'Assumptions'!$D$21,0)</x:f>
        <x:v>76433.69269999999</x:v>
      </x:c>
      <x:c r="F18" s="10" t="n">
        <x:f>IF(C18=12,'Income statement'!D85,0)</x:f>
        <x:v>0</x:v>
      </x:c>
      <x:c r="G18" s="10" t="n">
        <x:f>IF(C18=(13-'Assumptions'!$J$30)-1,'Revenue and costs'!Y8,0)+IF(C18=(13-'Assumptions'!$J$31)-1,'Revenue and costs'!Y9,0)+IF(C18=(13-'Assumptions'!$J$32)-1,'Revenue and costs'!Y10,0)+IF(C18=(13-'Assumptions'!$J$33)-1,'Revenue and costs'!Y11,0)+IF(C18=(13-'Assumptions'!$J$34)-1,'Revenue and costs'!Y12,0)+IF(C18=(13-'Assumptions'!$J$35)-1,'Revenue and costs'!Y13,0)+IF(C18=(13-'Assumptions'!$J$36)-1,'Revenue and costs'!Y14,0)+IF(C18=(13-'Assumptions'!$J$37)-1,'Revenue and costs'!Y15,0)+IF(C18=(13-'Assumptions'!$J$38)-1,'Revenue and costs'!Y16,0)+IF(C18=(13-'Assumptions'!$J$39)-1,'Revenue and costs'!Y17,0)+IF(C18=(13-'Assumptions'!$J$40)-1,'Revenue and costs'!Y18,0)+IF(C18=(13-'Assumptions'!$J$41)-1,'Revenue and costs'!Y19,0)+IF(C18=(13-'Assumptions'!$J$42)-1,'Revenue and costs'!Y20,0)+IF(C18=(13-'Assumptions'!$J$43)-1,'Revenue and costs'!Y21,0)+IF(C18=(13-'Assumptions'!$J$44)-1,'Revenue and costs'!Y22,0)+IF(C18=(13-'Assumptions'!$J$45)-1,'Revenue and costs'!Y23,0)+IF(C18=(13-'Assumptions'!$J$46)-1,'Revenue and costs'!Y24,0)+IF(C18=(13-'Assumptions'!$J$47)-1,'Revenue and costs'!Y25,0)+IF(C18=(13-'Assumptions'!$J$48)-1,'Revenue and costs'!Y26,0)+IF(C18=(13-'Assumptions'!$J$49)-1,'Revenue and costs'!Y27,0)+IF(C18=(13-'Assumptions'!$J$50)-1,'Revenue and costs'!Y28,0)+IF(C18=(13-'Assumptions'!$J$51)-1,'Revenue and costs'!Y29,0)+IF(C18=(13-'Assumptions'!$J$52)-1,'Revenue and costs'!Y30,0)+IF(C18=(13-'Assumptions'!$J$53)-1,'Revenue and costs'!Y31,0)+IF(C18=(13-'Assumptions'!$J$54)-1,'Revenue and costs'!Y32,0)+IF(C18=(13-'Assumptions'!$J$55)-1,'Revenue and costs'!Y33,0)+IF(C18=(13-'Assumptions'!$J$56)-1,'Revenue and costs'!Y34,0)+IF(C18=(13-'Assumptions'!$J$57)-1,'Revenue and costs'!Y35,0)+IF(C18=(13-'Assumptions'!$J$58)-1,'Revenue and costs'!Y36,0)+IF(C18=(13-'Assumptions'!$J$59)-1,'Revenue and costs'!Y37,0)+IF(C18=(13-'Assumptions'!$J$60)-1,'Revenue and costs'!Y38,0)+IF(C18=(13-'Assumptions'!$J$61)-1,'Revenue and costs'!Y39,0)+IF(C18=(13-'Assumptions'!$J$62)-1,'Revenue and costs'!Y40,0)+IF(C18=(13-'Assumptions'!$J$63)-1,'Revenue and costs'!Y41,0)+IF(C18=(13-'Assumptions'!$J$64)-1,'Revenue and costs'!Y42,0)+IF(C18=(13-'Assumptions'!$J$65)-1,'Revenue and costs'!Y43,0)+IF(C18=(13-'Assumptions'!$J$66)-1,'Revenue and costs'!Y44,0)+IF(C18=(13-'Assumptions'!$J$67)-1,'Revenue and costs'!Y45,0)+IF(C18=(13-'Assumptions'!$J$68)-1,'Revenue and costs'!Y46,0)+IF(C18=(13-'Assumptions'!$J$69)-1,'Revenue and costs'!Y47,0)+IF(C18=(13-'Assumptions'!$J$70)-1,'Revenue and costs'!Y48,0)+IF(C18=(13-'Assumptions'!$J$71)-1,'Revenue and costs'!Y49,0)+IF(C18=(13-'Assumptions'!$J$72)-1,'Revenue and costs'!Y50,0)+IF(C18=(13-'Assumptions'!$J$73)-1,'Revenue and costs'!Y51,0)+IF(C18=(13-'Assumptions'!$J$74)-1,'Revenue and costs'!Y52,0)+IF(C18=(13-'Assumptions'!$J$75)-1,'Revenue and costs'!Y53,0)+IF(C18=(13-'Assumptions'!$J$76)-1,'Revenue and costs'!Y54,0)+IF(C18=(13-'Assumptions'!$J$77)-1,'Revenue and costs'!Y55,0)+IF(C18=(13-'Assumptions'!$J$78)-1,'Revenue and costs'!Y56,0)+IF(C18=(13-'Assumptions'!$J$79)-1,'Revenue and costs'!Y57,0)+IF(C18=(13-'Assumptions'!$J$80)-1,'Revenue and costs'!Y58,0)+IF(C18=(13-'Assumptions'!$J$81)-1,'Revenue and costs'!Y59,0)+IF(C18=(13-'Assumptions'!$J$82)-1,'Revenue and costs'!Y60,0)+IF(C18=(13-'Assumptions'!$J$83)-1,'Revenue and costs'!Y61,0)+IF(C18=(13-'Assumptions'!$J$84)-1,'Revenue and costs'!Y62,0)+IF(C18=(13-'Assumptions'!$J$85)-1,'Revenue and costs'!Y63,0)+IF(C18=(13-'Assumptions'!$J$86)-1,'Revenue and costs'!Y64,0)+IF(C18=(13-'Assumptions'!$J$87)-1,'Revenue and costs'!Y65,0)+IF(C18=(13-'Assumptions'!$J$88)-1,'Revenue and costs'!Y66,0)+IF(C18=(13-'Assumptions'!$J$89)-1,'Revenue and costs'!Y67,0)+IF(C18=(13-'Assumptions'!$J$90)-1,'Revenue and costs'!Y68,0)+IF(C18=(13-'Assumptions'!$J$91)-1,'Revenue and costs'!Y69,0)+IF(C18=(13-'Assumptions'!$J$92)-1,'Revenue and costs'!Y70,0)+IF(C18=(13-'Assumptions'!$J$93)-1,'Revenue and costs'!Y71,0)+IF(C18=(13-'Assumptions'!$J$94)-1,'Revenue and costs'!Y72,0)+IF(C18=(13-'Assumptions'!$J$95)-1,'Revenue and costs'!Y73,0)+IF(C18=(13-'Assumptions'!$J$96)-1,'Revenue and costs'!Y74,0)+IF(C18=(13-'Assumptions'!$J$97)-1,'Revenue and costs'!Y75,0)+IF(C18=(13-'Assumptions'!$J$98)-1,'Revenue and costs'!Y76,0)+IF(C18=(13-'Assumptions'!$J$99)-1,'Revenue and costs'!Y77,0)+IF(C18=(13-'Assumptions'!$J$100)-1,'Revenue and costs'!Y78,0)+IF(C18=(13-'Assumptions'!$J$101)-1,'Revenue and costs'!Y79,0)+IF(C18=(13-'Assumptions'!$J$102)-1,'Revenue and costs'!Y80,0)+IF(C18=(13-'Assumptions'!$J$103)-1,'Revenue and costs'!Y81,0)+IF(C18=(13-'Assumptions'!$J$104)-1,'Revenue and costs'!Y82,0)+IF(C18=(13-'Assumptions'!$J$105)-1,'Revenue and costs'!Y83,0)+IF(C18=(13-'Assumptions'!$J$106)-1,'Revenue and costs'!Y84,0)+IF(C18=(13-'Assumptions'!$J$107)-1,'Revenue and costs'!Y85,0)+IF(C18=(13-'Assumptions'!$J$108)-1,'Revenue and costs'!Y86,0)+IF(C18=(13-'Assumptions'!$J$109)-1,'Revenue and costs'!Y87,0)+IF(C18=(13-'Assumptions'!$J$110)-1,'Revenue and costs'!Y88,0)+IF(C18=(13-'Assumptions'!$J$111)-1,'Revenue and costs'!Y89,0)+IF(C18=(13-'Assumptions'!$J$112)-1,'Revenue and costs'!Y90,0)+IF(C18=(13-'Assumptions'!$J$113)-1,'Revenue and costs'!Y91,0)+IF(C18=(13-'Assumptions'!$J$114)-1,'Revenue and costs'!Y92,0)+IF(C18=(13-'Assumptions'!$J$115)-1,'Revenue and costs'!Y93,0)+IF(C18=(13-'Assumptions'!$J$116)-1,'Revenue and costs'!Y94,0)+IF(C18=(13-'Assumptions'!$J$117)-1,'Revenue and costs'!Y95,0)+IF(C18=(13-'Assumptions'!$J$118)-1,'Revenue and costs'!Y96,0)+IF(C18=(13-'Assumptions'!$J$119)-1,'Revenue and costs'!Y97,0)+IF(C18=(13-'Assumptions'!$J$120)-1,'Revenue and costs'!Y98,0)+IF(C18=(13-'Assumptions'!$J$121)-1,'Revenue and costs'!Y99,0)+IF(C18=(13-'Assumptions'!$J$122)-1,'Revenue and costs'!Y100,0)+IF(C18=(13-'Assumptions'!$J$123)-1,'Revenue and costs'!Y101,0)+IF(C18=(13-'Assumptions'!$J$124)-1,'Revenue and costs'!Y102,0)+IF(C18=(13-'Assumptions'!$J$125)-1,'Revenue and costs'!Y103,0)+IF(C18=(13-'Assumptions'!$J$126)-1,'Revenue and costs'!Y104,0)+IF(C18=(13-'Assumptions'!$J$127)-1,'Revenue and costs'!Y105,0)+IF(C18=(13-'Assumptions'!$J$128)-1,'Revenue and costs'!Y106,0)+IF(C18=(13-'Assumptions'!$J$129)-1,'Revenue and costs'!Y107,0)+IF(C18=(13-'Assumptions'!$J$130)-1,'Revenue and costs'!Y108,0)+IF(C18=(13-'Assumptions'!$J$131)-1,'Revenue and costs'!Y109,0)+IF(C18=(13-'Assumptions'!$J$132)-1,'Revenue and costs'!Y110,0)+IF(C18=(13-'Assumptions'!$J$133)-1,'Revenue and costs'!Y111,0)+IF(C18=(13-'Assumptions'!$J$134)-1,'Revenue and costs'!Y112,0)+IF(C18=(13-'Assumptions'!$J$135)-1,'Revenue and costs'!Y113,0)+IF(C18=(13-'Assumptions'!$J$136)-1,'Revenue and costs'!Y114,0)+IF(C18=(13-'Assumptions'!$J$137)-1,'Revenue and costs'!Y115,0)+IF(C18=(13-'Assumptions'!$J$138)-1,'Revenue and costs'!Y116,0)+IF(C18=(13-'Assumptions'!$J$139)-1,'Revenue and costs'!Y117,0)+IF(C18=(13-'Assumptions'!$J$140)-1,'Revenue and costs'!Y118,0)+IF(C18=(13-'Assumptions'!$J$141)-1,'Revenue and costs'!Y119,0)+IF(C18=(13-'Assumptions'!$J$142)-1,'Revenue and costs'!Y120,0)+IF(C18=(13-'Assumptions'!$J$143)-1,'Revenue and costs'!Y121,0)+IF(C18=(13-'Assumptions'!$J$144)-1,'Revenue and costs'!Y122,0)+IF(C18=(13-'Assumptions'!$J$145)-1,'Revenue and costs'!Y123,0)+IF(C18=(13-'Assumptions'!$J$146)-1,'Revenue and costs'!Y124,0)+IF(C18=(13-'Assumptions'!$J$147)-1,'Revenue and costs'!Y125,0)+IF(C18=(13-'Assumptions'!$J$148)-1,'Revenue and costs'!Y126,0)+IF(C18=(13-'Assumptions'!$J$149)-1,'Revenue and costs'!Y127,0)+IF(C18=(13-'Assumptions'!$J$150)-1,'Revenue and costs'!Y128,0)+IF(C18=(13-'Assumptions'!$J$151)-1,'Revenue and costs'!Y129,0)+IF(C18=(13-'Assumptions'!$J$152)-1,'Revenue and costs'!Y130,0)+IF(C18=(13-'Assumptions'!$J$153)-1,'Revenue and costs'!Y131,0)+IF(C18=(13-'Assumptions'!$J$154)-1,'Revenue and costs'!Y132,0)+IF(C18=(13-'Assumptions'!$J$155)-1,'Revenue and costs'!Y133,0)+IF(C18=(13-'Assumptions'!$J$156)-1,'Revenue and costs'!Y134,0)+IF(C18=(13-'Assumptions'!$J$157)-1,'Revenue and costs'!Y135,0)</x:f>
        <x:v>0</x:v>
      </x:c>
      <x:c r="H18" s="10" t="n">
        <x:f>IF(C18=0,'Cash and capital'!D13,0)</x:f>
        <x:v>0</x:v>
      </x:c>
      <x:c r="I18" s="10" t="n">
        <x:f>D18-E18-F18-G18-H18</x:f>
        <x:v>50539.88063333336</x:v>
      </x:c>
      <x:c r="J18" s="10" t="n">
        <x:f>J17+I18</x:f>
        <x:v>205915.83806666685</x:v>
      </x:c>
      <x:c r="K18" s="10" t="n">
        <x:f>MAX(0,-MIN($J$8:J18))</x:f>
        <x:v>25216.872599999995</x:v>
      </x:c>
      <x:c r="L18" s="10"/>
      <x:c r="M18" s="10"/>
      <x:c r="N18" s="10"/>
      <x:c r="O18" s="10"/>
      <x:c r="P18" s="10"/>
      <x:c r="Q18" s="10"/>
    </x:row>
    <x:row r="19" ht="16" customHeight="1">
      <x:c r="A19" s="1"/>
      <x:c r="B19" s="1"/>
      <x:c r="C19" s="1" t="n">
        <x:v>11</x:v>
      </x:c>
      <x:c r="D19" s="10" t="n">
        <x:f>IF(AND(C19&gt;=(13-'Assumptions'!$J$30)+'Assumptions'!$AF$30,C19&lt;=12),'Revenue and costs'!N8/'Assumptions'!$J$30,0)+IF(AND(C19&gt;=(13-'Assumptions'!$J$31)+'Assumptions'!$AF$31,C19&lt;=12),'Revenue and costs'!N9/'Assumptions'!$J$31,0)+IF(AND(C19&gt;=(13-'Assumptions'!$J$32)+'Assumptions'!$AF$32,C19&lt;=12),'Revenue and costs'!N10/'Assumptions'!$J$32,0)+IF(AND(C19&gt;=(13-'Assumptions'!$J$33)+'Assumptions'!$AF$33,C19&lt;=12),'Revenue and costs'!N11/'Assumptions'!$J$33,0)+IF(AND(C19&gt;=(13-'Assumptions'!$J$34)+'Assumptions'!$AF$34,C19&lt;=12),'Revenue and costs'!N12/'Assumptions'!$J$34,0)+IF(AND(C19&gt;=(13-'Assumptions'!$J$35)+'Assumptions'!$AF$35,C19&lt;=12),'Revenue and costs'!N13/'Assumptions'!$J$35,0)+IF(AND(C19&gt;=(13-'Assumptions'!$J$36)+'Assumptions'!$AF$36,C19&lt;=12),'Revenue and costs'!N14/'Assumptions'!$J$36,0)+IF(AND(C19&gt;=(13-'Assumptions'!$J$37)+'Assumptions'!$AF$37,C19&lt;=12),'Revenue and costs'!N15/'Assumptions'!$J$37,0)+IF(AND(C19&gt;=(13-'Assumptions'!$J$38)+'Assumptions'!$AF$38,C19&lt;=12),'Revenue and costs'!N16/'Assumptions'!$J$38,0)+IF(AND(C19&gt;=(13-'Assumptions'!$J$39)+'Assumptions'!$AF$39,C19&lt;=12),'Revenue and costs'!N17/'Assumptions'!$J$39,0)+IF(AND(C19&gt;=(13-'Assumptions'!$J$40)+'Assumptions'!$AF$40,C19&lt;=12),'Revenue and costs'!N18/'Assumptions'!$J$40,0)+IF(AND(C19&gt;=(13-'Assumptions'!$J$41)+'Assumptions'!$AF$41,C19&lt;=12),'Revenue and costs'!N19/'Assumptions'!$J$41,0)+IF(AND(C19&gt;=(13-'Assumptions'!$J$42)+'Assumptions'!$AF$42,C19&lt;=12),'Revenue and costs'!N20/'Assumptions'!$J$42,0)+IF(AND(C19&gt;=(13-'Assumptions'!$J$43)+'Assumptions'!$AF$43,C19&lt;=12),'Revenue and costs'!N21/'Assumptions'!$J$43,0)+IF(AND(C19&gt;=(13-'Assumptions'!$J$44)+'Assumptions'!$AF$44,C19&lt;=12),'Revenue and costs'!N22/'Assumptions'!$J$44,0)+IF(AND(C19&gt;=(13-'Assumptions'!$J$45)+'Assumptions'!$AF$45,C19&lt;=12),'Revenue and costs'!N23/'Assumptions'!$J$45,0)+IF(AND(C19&gt;=(13-'Assumptions'!$J$46)+'Assumptions'!$AF$46,C19&lt;=12),'Revenue and costs'!N24/'Assumptions'!$J$46,0)+IF(AND(C19&gt;=(13-'Assumptions'!$J$47)+'Assumptions'!$AF$47,C19&lt;=12),'Revenue and costs'!N25/'Assumptions'!$J$47,0)+IF(AND(C19&gt;=(13-'Assumptions'!$J$48)+'Assumptions'!$AF$48,C19&lt;=12),'Revenue and costs'!N26/'Assumptions'!$J$48,0)+IF(AND(C19&gt;=(13-'Assumptions'!$J$49)+'Assumptions'!$AF$49,C19&lt;=12),'Revenue and costs'!N27/'Assumptions'!$J$49,0)+IF(AND(C19&gt;=(13-'Assumptions'!$J$50)+'Assumptions'!$AF$50,C19&lt;=12),'Revenue and costs'!N28/'Assumptions'!$J$50,0)+IF(AND(C19&gt;=(13-'Assumptions'!$J$51)+'Assumptions'!$AF$51,C19&lt;=12),'Revenue and costs'!N29/'Assumptions'!$J$51,0)+IF(AND(C19&gt;=(13-'Assumptions'!$J$52)+'Assumptions'!$AF$52,C19&lt;=12),'Revenue and costs'!N30/'Assumptions'!$J$52,0)+IF(AND(C19&gt;=(13-'Assumptions'!$J$53)+'Assumptions'!$AF$53,C19&lt;=12),'Revenue and costs'!N31/'Assumptions'!$J$53,0)+IF(AND(C19&gt;=(13-'Assumptions'!$J$54)+'Assumptions'!$AF$54,C19&lt;=12),'Revenue and costs'!N32/'Assumptions'!$J$54,0)+IF(AND(C19&gt;=(13-'Assumptions'!$J$55)+'Assumptions'!$AF$55,C19&lt;=12),'Revenue and costs'!N33/'Assumptions'!$J$55,0)+IF(AND(C19&gt;=(13-'Assumptions'!$J$56)+'Assumptions'!$AF$56,C19&lt;=12),'Revenue and costs'!N34/'Assumptions'!$J$56,0)+IF(AND(C19&gt;=(13-'Assumptions'!$J$57)+'Assumptions'!$AF$57,C19&lt;=12),'Revenue and costs'!N35/'Assumptions'!$J$57,0)+IF(AND(C19&gt;=(13-'Assumptions'!$J$58)+'Assumptions'!$AF$58,C19&lt;=12),'Revenue and costs'!N36/'Assumptions'!$J$58,0)+IF(AND(C19&gt;=(13-'Assumptions'!$J$59)+'Assumptions'!$AF$59,C19&lt;=12),'Revenue and costs'!N37/'Assumptions'!$J$59,0)+IF(AND(C19&gt;=(13-'Assumptions'!$J$60)+'Assumptions'!$AF$60,C19&lt;=12),'Revenue and costs'!N38/'Assumptions'!$J$60,0)+IF(AND(C19&gt;=(13-'Assumptions'!$J$61)+'Assumptions'!$AF$61,C19&lt;=12),'Revenue and costs'!N39/'Assumptions'!$J$61,0)+IF(AND(C19&gt;=(13-'Assumptions'!$J$62)+'Assumptions'!$AF$62,C19&lt;=12),'Revenue and costs'!N40/'Assumptions'!$J$62,0)+IF(AND(C19&gt;=(13-'Assumptions'!$J$63)+'Assumptions'!$AF$63,C19&lt;=12),'Revenue and costs'!N41/'Assumptions'!$J$63,0)+IF(AND(C19&gt;=(13-'Assumptions'!$J$64)+'Assumptions'!$AF$64,C19&lt;=12),'Revenue and costs'!N42/'Assumptions'!$J$64,0)+IF(AND(C19&gt;=(13-'Assumptions'!$J$65)+'Assumptions'!$AF$65,C19&lt;=12),'Revenue and costs'!N43/'Assumptions'!$J$65,0)+IF(AND(C19&gt;=(13-'Assumptions'!$J$66)+'Assumptions'!$AF$66,C19&lt;=12),'Revenue and costs'!N44/'Assumptions'!$J$66,0)+IF(AND(C19&gt;=(13-'Assumptions'!$J$67)+'Assumptions'!$AF$67,C19&lt;=12),'Revenue and costs'!N45/'Assumptions'!$J$67,0)+IF(AND(C19&gt;=(13-'Assumptions'!$J$68)+'Assumptions'!$AF$68,C19&lt;=12),'Revenue and costs'!N46/'Assumptions'!$J$68,0)+IF(AND(C19&gt;=(13-'Assumptions'!$J$69)+'Assumptions'!$AF$69,C19&lt;=12),'Revenue and costs'!N47/'Assumptions'!$J$69,0)+IF(AND(C19&gt;=(13-'Assumptions'!$J$70)+'Assumptions'!$AF$70,C19&lt;=12),'Revenue and costs'!N48/'Assumptions'!$J$70,0)+IF(AND(C19&gt;=(13-'Assumptions'!$J$71)+'Assumptions'!$AF$71,C19&lt;=12),'Revenue and costs'!N49/'Assumptions'!$J$71,0)+IF(AND(C19&gt;=(13-'Assumptions'!$J$72)+'Assumptions'!$AF$72,C19&lt;=12),'Revenue and costs'!N50/'Assumptions'!$J$72,0)+IF(AND(C19&gt;=(13-'Assumptions'!$J$73)+'Assumptions'!$AF$73,C19&lt;=12),'Revenue and costs'!N51/'Assumptions'!$J$73,0)+IF(AND(C19&gt;=(13-'Assumptions'!$J$74)+'Assumptions'!$AF$74,C19&lt;=12),'Revenue and costs'!N52/'Assumptions'!$J$74,0)+IF(AND(C19&gt;=(13-'Assumptions'!$J$75)+'Assumptions'!$AF$75,C19&lt;=12),'Revenue and costs'!N53/'Assumptions'!$J$75,0)+IF(AND(C19&gt;=(13-'Assumptions'!$J$76)+'Assumptions'!$AF$76,C19&lt;=12),'Revenue and costs'!N54/'Assumptions'!$J$76,0)+IF(AND(C19&gt;=(13-'Assumptions'!$J$77)+'Assumptions'!$AF$77,C19&lt;=12),'Revenue and costs'!N55/'Assumptions'!$J$77,0)+IF(AND(C19&gt;=(13-'Assumptions'!$J$78)+'Assumptions'!$AF$78,C19&lt;=12),'Revenue and costs'!N56/'Assumptions'!$J$78,0)+IF(AND(C19&gt;=(13-'Assumptions'!$J$79)+'Assumptions'!$AF$79,C19&lt;=12),'Revenue and costs'!N57/'Assumptions'!$J$79,0)+IF(AND(C19&gt;=(13-'Assumptions'!$J$80)+'Assumptions'!$AF$80,C19&lt;=12),'Revenue and costs'!N58/'Assumptions'!$J$80,0)+IF(AND(C19&gt;=(13-'Assumptions'!$J$81)+'Assumptions'!$AF$81,C19&lt;=12),'Revenue and costs'!N59/'Assumptions'!$J$81,0)+IF(AND(C19&gt;=(13-'Assumptions'!$J$82)+'Assumptions'!$AF$82,C19&lt;=12),'Revenue and costs'!N60/'Assumptions'!$J$82,0)+IF(AND(C19&gt;=(13-'Assumptions'!$J$83)+'Assumptions'!$AF$83,C19&lt;=12),'Revenue and costs'!N61/'Assumptions'!$J$83,0)+IF(AND(C19&gt;=(13-'Assumptions'!$J$84)+'Assumptions'!$AF$84,C19&lt;=12),'Revenue and costs'!N62/'Assumptions'!$J$84,0)+IF(AND(C19&gt;=(13-'Assumptions'!$J$85)+'Assumptions'!$AF$85,C19&lt;=12),'Revenue and costs'!N63/'Assumptions'!$J$85,0)+IF(AND(C19&gt;=(13-'Assumptions'!$J$86)+'Assumptions'!$AF$86,C19&lt;=12),'Revenue and costs'!N64/'Assumptions'!$J$86,0)+IF(AND(C19&gt;=(13-'Assumptions'!$J$87)+'Assumptions'!$AF$87,C19&lt;=12),'Revenue and costs'!N65/'Assumptions'!$J$87,0)+IF(AND(C19&gt;=(13-'Assumptions'!$J$88)+'Assumptions'!$AF$88,C19&lt;=12),'Revenue and costs'!N66/'Assumptions'!$J$88,0)+IF(AND(C19&gt;=(13-'Assumptions'!$J$89)+'Assumptions'!$AF$89,C19&lt;=12),'Revenue and costs'!N67/'Assumptions'!$J$89,0)+IF(AND(C19&gt;=(13-'Assumptions'!$J$90)+'Assumptions'!$AF$90,C19&lt;=12),'Revenue and costs'!N68/'Assumptions'!$J$90,0)+IF(AND(C19&gt;=(13-'Assumptions'!$J$91)+'Assumptions'!$AF$91,C19&lt;=12),'Revenue and costs'!N69/'Assumptions'!$J$91,0)+IF(AND(C19&gt;=(13-'Assumptions'!$J$92)+'Assumptions'!$AF$92,C19&lt;=12),'Revenue and costs'!N70/'Assumptions'!$J$92,0)+IF(AND(C19&gt;=(13-'Assumptions'!$J$93)+'Assumptions'!$AF$93,C19&lt;=12),'Revenue and costs'!N71/'Assumptions'!$J$93,0)+IF(AND(C19&gt;=(13-'Assumptions'!$J$94)+'Assumptions'!$AF$94,C19&lt;=12),'Revenue and costs'!N72/'Assumptions'!$J$94,0)+IF(AND(C19&gt;=(13-'Assumptions'!$J$95)+'Assumptions'!$AF$95,C19&lt;=12),'Revenue and costs'!N73/'Assumptions'!$J$95,0)+IF(AND(C19&gt;=(13-'Assumptions'!$J$96)+'Assumptions'!$AF$96,C19&lt;=12),'Revenue and costs'!N74/'Assumptions'!$J$96,0)+IF(AND(C19&gt;=(13-'Assumptions'!$J$97)+'Assumptions'!$AF$97,C19&lt;=12),'Revenue and costs'!N75/'Assumptions'!$J$97,0)+IF(AND(C19&gt;=(13-'Assumptions'!$J$98)+'Assumptions'!$AF$98,C19&lt;=12),'Revenue and costs'!N76/'Assumptions'!$J$98,0)+IF(AND(C19&gt;=(13-'Assumptions'!$J$99)+'Assumptions'!$AF$99,C19&lt;=12),'Revenue and costs'!N77/'Assumptions'!$J$99,0)+IF(AND(C19&gt;=(13-'Assumptions'!$J$100)+'Assumptions'!$AF$100,C19&lt;=12),'Revenue and costs'!N78/'Assumptions'!$J$100,0)+IF(AND(C19&gt;=(13-'Assumptions'!$J$101)+'Assumptions'!$AF$101,C19&lt;=12),'Revenue and costs'!N79/'Assumptions'!$J$101,0)+IF(AND(C19&gt;=(13-'Assumptions'!$J$102)+'Assumptions'!$AF$102,C19&lt;=12),'Revenue and costs'!N80/'Assumptions'!$J$102,0)+IF(AND(C19&gt;=(13-'Assumptions'!$J$103)+'Assumptions'!$AF$103,C19&lt;=12),'Revenue and costs'!N81/'Assumptions'!$J$103,0)+IF(AND(C19&gt;=(13-'Assumptions'!$J$104)+'Assumptions'!$AF$104,C19&lt;=12),'Revenue and costs'!N82/'Assumptions'!$J$104,0)+IF(AND(C19&gt;=(13-'Assumptions'!$J$105)+'Assumptions'!$AF$105,C19&lt;=12),'Revenue and costs'!N83/'Assumptions'!$J$105,0)+IF(AND(C19&gt;=(13-'Assumptions'!$J$106)+'Assumptions'!$AF$106,C19&lt;=12),'Revenue and costs'!N84/'Assumptions'!$J$106,0)+IF(AND(C19&gt;=(13-'Assumptions'!$J$107)+'Assumptions'!$AF$107,C19&lt;=12),'Revenue and costs'!N85/'Assumptions'!$J$107,0)+IF(AND(C19&gt;=(13-'Assumptions'!$J$108)+'Assumptions'!$AF$108,C19&lt;=12),'Revenue and costs'!N86/'Assumptions'!$J$108,0)+IF(AND(C19&gt;=(13-'Assumptions'!$J$109)+'Assumptions'!$AF$109,C19&lt;=12),'Revenue and costs'!N87/'Assumptions'!$J$109,0)+IF(AND(C19&gt;=(13-'Assumptions'!$J$110)+'Assumptions'!$AF$110,C19&lt;=12),'Revenue and costs'!N88/'Assumptions'!$J$110,0)+IF(AND(C19&gt;=(13-'Assumptions'!$J$111)+'Assumptions'!$AF$111,C19&lt;=12),'Revenue and costs'!N89/'Assumptions'!$J$111,0)+IF(AND(C19&gt;=(13-'Assumptions'!$J$112)+'Assumptions'!$AF$112,C19&lt;=12),'Revenue and costs'!N90/'Assumptions'!$J$112,0)+IF(AND(C19&gt;=(13-'Assumptions'!$J$113)+'Assumptions'!$AF$113,C19&lt;=12),'Revenue and costs'!N91/'Assumptions'!$J$113,0)+IF(AND(C19&gt;=(13-'Assumptions'!$J$114)+'Assumptions'!$AF$114,C19&lt;=12),'Revenue and costs'!N92/'Assumptions'!$J$114,0)+IF(AND(C19&gt;=(13-'Assumptions'!$J$115)+'Assumptions'!$AF$115,C19&lt;=12),'Revenue and costs'!N93/'Assumptions'!$J$115,0)+IF(AND(C19&gt;=(13-'Assumptions'!$J$116)+'Assumptions'!$AF$116,C19&lt;=12),'Revenue and costs'!N94/'Assumptions'!$J$116,0)+IF(AND(C19&gt;=(13-'Assumptions'!$J$117)+'Assumptions'!$AF$117,C19&lt;=12),'Revenue and costs'!N95/'Assumptions'!$J$117,0)+IF(AND(C19&gt;=(13-'Assumptions'!$J$118)+'Assumptions'!$AF$118,C19&lt;=12),'Revenue and costs'!N96/'Assumptions'!$J$118,0)+IF(AND(C19&gt;=(13-'Assumptions'!$J$119)+'Assumptions'!$AF$119,C19&lt;=12),'Revenue and costs'!N97/'Assumptions'!$J$119,0)+IF(AND(C19&gt;=(13-'Assumptions'!$J$120)+'Assumptions'!$AF$120,C19&lt;=12),'Revenue and costs'!N98/'Assumptions'!$J$120,0)+IF(AND(C19&gt;=(13-'Assumptions'!$J$121)+'Assumptions'!$AF$121,C19&lt;=12),'Revenue and costs'!N99/'Assumptions'!$J$121,0)+IF(AND(C19&gt;=(13-'Assumptions'!$J$122)+'Assumptions'!$AF$122,C19&lt;=12),'Revenue and costs'!N100/'Assumptions'!$J$122,0)+IF(AND(C19&gt;=(13-'Assumptions'!$J$123)+'Assumptions'!$AF$123,C19&lt;=12),'Revenue and costs'!N101/'Assumptions'!$J$123,0)+IF(AND(C19&gt;=(13-'Assumptions'!$J$124)+'Assumptions'!$AF$124,C19&lt;=12),'Revenue and costs'!N102/'Assumptions'!$J$124,0)+IF(AND(C19&gt;=(13-'Assumptions'!$J$125)+'Assumptions'!$AF$125,C19&lt;=12),'Revenue and costs'!N103/'Assumptions'!$J$125,0)+IF(AND(C19&gt;=(13-'Assumptions'!$J$126)+'Assumptions'!$AF$126,C19&lt;=12),'Revenue and costs'!N104/'Assumptions'!$J$126,0)+IF(AND(C19&gt;=(13-'Assumptions'!$J$127)+'Assumptions'!$AF$127,C19&lt;=12),'Revenue and costs'!N105/'Assumptions'!$J$127,0)+IF(AND(C19&gt;=(13-'Assumptions'!$J$128)+'Assumptions'!$AF$128,C19&lt;=12),'Revenue and costs'!N106/'Assumptions'!$J$128,0)+IF(AND(C19&gt;=(13-'Assumptions'!$J$129)+'Assumptions'!$AF$129,C19&lt;=12),'Revenue and costs'!N107/'Assumptions'!$J$129,0)+IF(AND(C19&gt;=(13-'Assumptions'!$J$130)+'Assumptions'!$AF$130,C19&lt;=12),'Revenue and costs'!N108/'Assumptions'!$J$130,0)+IF(AND(C19&gt;=(13-'Assumptions'!$J$131)+'Assumptions'!$AF$131,C19&lt;=12),'Revenue and costs'!N109/'Assumptions'!$J$131,0)+IF(AND(C19&gt;=(13-'Assumptions'!$J$132)+'Assumptions'!$AF$132,C19&lt;=12),'Revenue and costs'!N110/'Assumptions'!$J$132,0)+IF(AND(C19&gt;=(13-'Assumptions'!$J$133)+'Assumptions'!$AF$133,C19&lt;=12),'Revenue and costs'!N111/'Assumptions'!$J$133,0)+IF(AND(C19&gt;=(13-'Assumptions'!$J$134)+'Assumptions'!$AF$134,C19&lt;=12),'Revenue and costs'!N112/'Assumptions'!$J$134,0)+IF(AND(C19&gt;=(13-'Assumptions'!$J$135)+'Assumptions'!$AF$135,C19&lt;=12),'Revenue and costs'!N113/'Assumptions'!$J$135,0)+IF(AND(C19&gt;=(13-'Assumptions'!$J$136)+'Assumptions'!$AF$136,C19&lt;=12),'Revenue and costs'!N114/'Assumptions'!$J$136,0)+IF(AND(C19&gt;=(13-'Assumptions'!$J$137)+'Assumptions'!$AF$137,C19&lt;=12),'Revenue and costs'!N115/'Assumptions'!$J$137,0)+IF(AND(C19&gt;=(13-'Assumptions'!$J$138)+'Assumptions'!$AF$138,C19&lt;=12),'Revenue and costs'!N116/'Assumptions'!$J$138,0)+IF(AND(C19&gt;=(13-'Assumptions'!$J$139)+'Assumptions'!$AF$139,C19&lt;=12),'Revenue and costs'!N117/'Assumptions'!$J$139,0)+IF(AND(C19&gt;=(13-'Assumptions'!$J$140)+'Assumptions'!$AF$140,C19&lt;=12),'Revenue and costs'!N118/'Assumptions'!$J$140,0)+IF(AND(C19&gt;=(13-'Assumptions'!$J$141)+'Assumptions'!$AF$141,C19&lt;=12),'Revenue and costs'!N119/'Assumptions'!$J$141,0)+IF(AND(C19&gt;=(13-'Assumptions'!$J$142)+'Assumptions'!$AF$142,C19&lt;=12),'Revenue and costs'!N120/'Assumptions'!$J$142,0)+IF(AND(C19&gt;=(13-'Assumptions'!$J$143)+'Assumptions'!$AF$143,C19&lt;=12),'Revenue and costs'!N121/'Assumptions'!$J$143,0)+IF(AND(C19&gt;=(13-'Assumptions'!$J$144)+'Assumptions'!$AF$144,C19&lt;=12),'Revenue and costs'!N122/'Assumptions'!$J$144,0)+IF(AND(C19&gt;=(13-'Assumptions'!$J$145)+'Assumptions'!$AF$145,C19&lt;=12),'Revenue and costs'!N123/'Assumptions'!$J$145,0)+IF(AND(C19&gt;=(13-'Assumptions'!$J$146)+'Assumptions'!$AF$146,C19&lt;=12),'Revenue and costs'!N124/'Assumptions'!$J$146,0)+IF(AND(C19&gt;=(13-'Assumptions'!$J$147)+'Assumptions'!$AF$147,C19&lt;=12),'Revenue and costs'!N125/'Assumptions'!$J$147,0)+IF(AND(C19&gt;=(13-'Assumptions'!$J$148)+'Assumptions'!$AF$148,C19&lt;=12),'Revenue and costs'!N126/'Assumptions'!$J$148,0)+IF(AND(C19&gt;=(13-'Assumptions'!$J$149)+'Assumptions'!$AF$149,C19&lt;=12),'Revenue and costs'!N127/'Assumptions'!$J$149,0)+IF(AND(C19&gt;=(13-'Assumptions'!$J$150)+'Assumptions'!$AF$150,C19&lt;=12),'Revenue and costs'!N128/'Assumptions'!$J$150,0)+IF(AND(C19&gt;=(13-'Assumptions'!$J$151)+'Assumptions'!$AF$151,C19&lt;=12),'Revenue and costs'!N129/'Assumptions'!$J$151,0)+IF(AND(C19&gt;=(13-'Assumptions'!$J$152)+'Assumptions'!$AF$152,C19&lt;=12),'Revenue and costs'!N130/'Assumptions'!$J$152,0)+IF(AND(C19&gt;=(13-'Assumptions'!$J$153)+'Assumptions'!$AF$153,C19&lt;=12),'Revenue and costs'!N131/'Assumptions'!$J$153,0)+IF(AND(C19&gt;=(13-'Assumptions'!$J$154)+'Assumptions'!$AF$154,C19&lt;=12),'Revenue and costs'!N132/'Assumptions'!$J$154,0)+IF(AND(C19&gt;=(13-'Assumptions'!$J$155)+'Assumptions'!$AF$155,C19&lt;=12),'Revenue and costs'!N133/'Assumptions'!$J$155,0)+IF(AND(C19&gt;=(13-'Assumptions'!$J$156)+'Assumptions'!$AF$156,C19&lt;=12),'Revenue and costs'!N134/'Assumptions'!$J$156,0)+IF(AND(C19&gt;=(13-'Assumptions'!$J$157)+'Assumptions'!$AF$157,C19&lt;=12),'Revenue and costs'!N135/'Assumptions'!$J$157,0)</x:f>
        <x:v>126973.57333333335</x:v>
      </x:c>
      <x:c r="E19" s="10" t="n">
        <x:f>IF(AND(C19&gt;=(13-'Assumptions'!$J$30),C19&lt;=12),SUM('Revenue and costs'!O8:U8)/'Assumptions'!$J$30,0)+IF(C19=(13-'Assumptions'!$J$30)-1,'Revenue and costs'!V8+'Revenue and costs'!AE8,0)+IF(AND(C19&gt;=(13-'Assumptions'!$J$31),C19&lt;=12),SUM('Revenue and costs'!O9:U9)/'Assumptions'!$J$31,0)+IF(C19=(13-'Assumptions'!$J$31)-1,'Revenue and costs'!V9+'Revenue and costs'!AE9,0)+IF(AND(C19&gt;=(13-'Assumptions'!$J$32),C19&lt;=12),SUM('Revenue and costs'!O10:U10)/'Assumptions'!$J$32,0)+IF(C19=(13-'Assumptions'!$J$32)-1,'Revenue and costs'!V10+'Revenue and costs'!AE10,0)+IF(AND(C19&gt;=(13-'Assumptions'!$J$33),C19&lt;=12),SUM('Revenue and costs'!O11:U11)/'Assumptions'!$J$33,0)+IF(C19=(13-'Assumptions'!$J$33)-1,'Revenue and costs'!V11+'Revenue and costs'!AE11,0)+IF(AND(C19&gt;=(13-'Assumptions'!$J$34),C19&lt;=12),SUM('Revenue and costs'!O12:U12)/'Assumptions'!$J$34,0)+IF(C19=(13-'Assumptions'!$J$34)-1,'Revenue and costs'!V12+'Revenue and costs'!AE12,0)+IF(AND(C19&gt;=(13-'Assumptions'!$J$35),C19&lt;=12),SUM('Revenue and costs'!O13:U13)/'Assumptions'!$J$35,0)+IF(C19=(13-'Assumptions'!$J$35)-1,'Revenue and costs'!V13+'Revenue and costs'!AE13,0)+IF(AND(C19&gt;=(13-'Assumptions'!$J$36),C19&lt;=12),SUM('Revenue and costs'!O14:U14)/'Assumptions'!$J$36,0)+IF(C19=(13-'Assumptions'!$J$36)-1,'Revenue and costs'!V14+'Revenue and costs'!AE14,0)+IF(AND(C19&gt;=(13-'Assumptions'!$J$37),C19&lt;=12),SUM('Revenue and costs'!O15:U15)/'Assumptions'!$J$37,0)+IF(C19=(13-'Assumptions'!$J$37)-1,'Revenue and costs'!V15+'Revenue and costs'!AE15,0)+IF(AND(C19&gt;=(13-'Assumptions'!$J$38),C19&lt;=12),SUM('Revenue and costs'!O16:U16)/'Assumptions'!$J$38,0)+IF(C19=(13-'Assumptions'!$J$38)-1,'Revenue and costs'!V16+'Revenue and costs'!AE16,0)+IF(AND(C19&gt;=(13-'Assumptions'!$J$39),C19&lt;=12),SUM('Revenue and costs'!O17:U17)/'Assumptions'!$J$39,0)+IF(C19=(13-'Assumptions'!$J$39)-1,'Revenue and costs'!V17+'Revenue and costs'!AE17,0)+IF(AND(C19&gt;=(13-'Assumptions'!$J$40),C19&lt;=12),SUM('Revenue and costs'!O18:U18)/'Assumptions'!$J$40,0)+IF(C19=(13-'Assumptions'!$J$40)-1,'Revenue and costs'!V18+'Revenue and costs'!AE18,0)+IF(AND(C19&gt;=(13-'Assumptions'!$J$41),C19&lt;=12),SUM('Revenue and costs'!O19:U19)/'Assumptions'!$J$41,0)+IF(C19=(13-'Assumptions'!$J$41)-1,'Revenue and costs'!V19+'Revenue and costs'!AE19,0)+IF(AND(C19&gt;=(13-'Assumptions'!$J$42),C19&lt;=12),SUM('Revenue and costs'!O20:U20)/'Assumptions'!$J$42,0)+IF(C19=(13-'Assumptions'!$J$42)-1,'Revenue and costs'!V20+'Revenue and costs'!AE20,0)+IF(AND(C19&gt;=(13-'Assumptions'!$J$43),C19&lt;=12),SUM('Revenue and costs'!O21:U21)/'Assumptions'!$J$43,0)+IF(C19=(13-'Assumptions'!$J$43)-1,'Revenue and costs'!V21+'Revenue and costs'!AE21,0)+IF(AND(C19&gt;=(13-'Assumptions'!$J$44),C19&lt;=12),SUM('Revenue and costs'!O22:U22)/'Assumptions'!$J$44,0)+IF(C19=(13-'Assumptions'!$J$44)-1,'Revenue and costs'!V22+'Revenue and costs'!AE22,0)+IF(AND(C19&gt;=(13-'Assumptions'!$J$45),C19&lt;=12),SUM('Revenue and costs'!O23:U23)/'Assumptions'!$J$45,0)+IF(C19=(13-'Assumptions'!$J$45)-1,'Revenue and costs'!V23+'Revenue and costs'!AE23,0)+IF(AND(C19&gt;=(13-'Assumptions'!$J$46),C19&lt;=12),SUM('Revenue and costs'!O24:U24)/'Assumptions'!$J$46,0)+IF(C19=(13-'Assumptions'!$J$46)-1,'Revenue and costs'!V24+'Revenue and costs'!AE24,0)+IF(AND(C19&gt;=(13-'Assumptions'!$J$47),C19&lt;=12),SUM('Revenue and costs'!O25:U25)/'Assumptions'!$J$47,0)+IF(C19=(13-'Assumptions'!$J$47)-1,'Revenue and costs'!V25+'Revenue and costs'!AE25,0)+IF(AND(C19&gt;=(13-'Assumptions'!$J$48),C19&lt;=12),SUM('Revenue and costs'!O26:U26)/'Assumptions'!$J$48,0)+IF(C19=(13-'Assumptions'!$J$48)-1,'Revenue and costs'!V26+'Revenue and costs'!AE26,0)+IF(AND(C19&gt;=(13-'Assumptions'!$J$49),C19&lt;=12),SUM('Revenue and costs'!O27:U27)/'Assumptions'!$J$49,0)+IF(C19=(13-'Assumptions'!$J$49)-1,'Revenue and costs'!V27+'Revenue and costs'!AE27,0)+IF(AND(C19&gt;=(13-'Assumptions'!$J$50),C19&lt;=12),SUM('Revenue and costs'!O28:U28)/'Assumptions'!$J$50,0)+IF(C19=(13-'Assumptions'!$J$50)-1,'Revenue and costs'!V28+'Revenue and costs'!AE28,0)+IF(AND(C19&gt;=(13-'Assumptions'!$J$51),C19&lt;=12),SUM('Revenue and costs'!O29:U29)/'Assumptions'!$J$51,0)+IF(C19=(13-'Assumptions'!$J$51)-1,'Revenue and costs'!V29+'Revenue and costs'!AE29,0)+IF(AND(C19&gt;=(13-'Assumptions'!$J$52),C19&lt;=12),SUM('Revenue and costs'!O30:U30)/'Assumptions'!$J$52,0)+IF(C19=(13-'Assumptions'!$J$52)-1,'Revenue and costs'!V30+'Revenue and costs'!AE30,0)+IF(AND(C19&gt;=(13-'Assumptions'!$J$53),C19&lt;=12),SUM('Revenue and costs'!O31:U31)/'Assumptions'!$J$53,0)+IF(C19=(13-'Assumptions'!$J$53)-1,'Revenue and costs'!V31+'Revenue and costs'!AE31,0)+IF(AND(C19&gt;=(13-'Assumptions'!$J$54),C19&lt;=12),SUM('Revenue and costs'!O32:U32)/'Assumptions'!$J$54,0)+IF(C19=(13-'Assumptions'!$J$54)-1,'Revenue and costs'!V32+'Revenue and costs'!AE32,0)+IF(AND(C19&gt;=(13-'Assumptions'!$J$55),C19&lt;=12),SUM('Revenue and costs'!O33:U33)/'Assumptions'!$J$55,0)+IF(C19=(13-'Assumptions'!$J$55)-1,'Revenue and costs'!V33+'Revenue and costs'!AE33,0)+IF(AND(C19&gt;=(13-'Assumptions'!$J$56),C19&lt;=12),SUM('Revenue and costs'!O34:U34)/'Assumptions'!$J$56,0)+IF(C19=(13-'Assumptions'!$J$56)-1,'Revenue and costs'!V34+'Revenue and costs'!AE34,0)+IF(AND(C19&gt;=(13-'Assumptions'!$J$57),C19&lt;=12),SUM('Revenue and costs'!O35:U35)/'Assumptions'!$J$57,0)+IF(C19=(13-'Assumptions'!$J$57)-1,'Revenue and costs'!V35+'Revenue and costs'!AE35,0)+IF(AND(C19&gt;=(13-'Assumptions'!$J$58),C19&lt;=12),SUM('Revenue and costs'!O36:U36)/'Assumptions'!$J$58,0)+IF(C19=(13-'Assumptions'!$J$58)-1,'Revenue and costs'!V36+'Revenue and costs'!AE36,0)+IF(AND(C19&gt;=(13-'Assumptions'!$J$59),C19&lt;=12),SUM('Revenue and costs'!O37:U37)/'Assumptions'!$J$59,0)+IF(C19=(13-'Assumptions'!$J$59)-1,'Revenue and costs'!V37+'Revenue and costs'!AE37,0)+IF(AND(C19&gt;=(13-'Assumptions'!$J$60),C19&lt;=12),SUM('Revenue and costs'!O38:U38)/'Assumptions'!$J$60,0)+IF(C19=(13-'Assumptions'!$J$60)-1,'Revenue and costs'!V38+'Revenue and costs'!AE38,0)+IF(AND(C19&gt;=(13-'Assumptions'!$J$61),C19&lt;=12),SUM('Revenue and costs'!O39:U39)/'Assumptions'!$J$61,0)+IF(C19=(13-'Assumptions'!$J$61)-1,'Revenue and costs'!V39+'Revenue and costs'!AE39,0)+IF(AND(C19&gt;=(13-'Assumptions'!$J$62),C19&lt;=12),SUM('Revenue and costs'!O40:U40)/'Assumptions'!$J$62,0)+IF(C19=(13-'Assumptions'!$J$62)-1,'Revenue and costs'!V40+'Revenue and costs'!AE40,0)+IF(AND(C19&gt;=(13-'Assumptions'!$J$63),C19&lt;=12),SUM('Revenue and costs'!O41:U41)/'Assumptions'!$J$63,0)+IF(C19=(13-'Assumptions'!$J$63)-1,'Revenue and costs'!V41+'Revenue and costs'!AE41,0)+IF(AND(C19&gt;=(13-'Assumptions'!$J$64),C19&lt;=12),SUM('Revenue and costs'!O42:U42)/'Assumptions'!$J$64,0)+IF(C19=(13-'Assumptions'!$J$64)-1,'Revenue and costs'!V42+'Revenue and costs'!AE42,0)+IF(AND(C19&gt;=(13-'Assumptions'!$J$65),C19&lt;=12),SUM('Revenue and costs'!O43:U43)/'Assumptions'!$J$65,0)+IF(C19=(13-'Assumptions'!$J$65)-1,'Revenue and costs'!V43+'Revenue and costs'!AE43,0)+IF(AND(C19&gt;=(13-'Assumptions'!$J$66),C19&lt;=12),SUM('Revenue and costs'!O44:U44)/'Assumptions'!$J$66,0)+IF(C19=(13-'Assumptions'!$J$66)-1,'Revenue and costs'!V44+'Revenue and costs'!AE44,0)+IF(AND(C19&gt;=(13-'Assumptions'!$J$67),C19&lt;=12),SUM('Revenue and costs'!O45:U45)/'Assumptions'!$J$67,0)+IF(C19=(13-'Assumptions'!$J$67)-1,'Revenue and costs'!V45+'Revenue and costs'!AE45,0)+IF(AND(C19&gt;=(13-'Assumptions'!$J$68),C19&lt;=12),SUM('Revenue and costs'!O46:U46)/'Assumptions'!$J$68,0)+IF(C19=(13-'Assumptions'!$J$68)-1,'Revenue and costs'!V46+'Revenue and costs'!AE46,0)+IF(AND(C19&gt;=(13-'Assumptions'!$J$69),C19&lt;=12),SUM('Revenue and costs'!O47:U47)/'Assumptions'!$J$69,0)+IF(C19=(13-'Assumptions'!$J$69)-1,'Revenue and costs'!V47+'Revenue and costs'!AE47,0)+IF(AND(C19&gt;=(13-'Assumptions'!$J$70),C19&lt;=12),SUM('Revenue and costs'!O48:U48)/'Assumptions'!$J$70,0)+IF(C19=(13-'Assumptions'!$J$70)-1,'Revenue and costs'!V48+'Revenue and costs'!AE48,0)+IF(AND(C19&gt;=(13-'Assumptions'!$J$71),C19&lt;=12),SUM('Revenue and costs'!O49:U49)/'Assumptions'!$J$71,0)+IF(C19=(13-'Assumptions'!$J$71)-1,'Revenue and costs'!V49+'Revenue and costs'!AE49,0)+IF(AND(C19&gt;=(13-'Assumptions'!$J$72),C19&lt;=12),SUM('Revenue and costs'!O50:U50)/'Assumptions'!$J$72,0)+IF(C19=(13-'Assumptions'!$J$72)-1,'Revenue and costs'!V50+'Revenue and costs'!AE50,0)+IF(AND(C19&gt;=(13-'Assumptions'!$J$73),C19&lt;=12),SUM('Revenue and costs'!O51:U51)/'Assumptions'!$J$73,0)+IF(C19=(13-'Assumptions'!$J$73)-1,'Revenue and costs'!V51+'Revenue and costs'!AE51,0)+IF(AND(C19&gt;=(13-'Assumptions'!$J$74),C19&lt;=12),SUM('Revenue and costs'!O52:U52)/'Assumptions'!$J$74,0)+IF(C19=(13-'Assumptions'!$J$74)-1,'Revenue and costs'!V52+'Revenue and costs'!AE52,0)+IF(AND(C19&gt;=(13-'Assumptions'!$J$75),C19&lt;=12),SUM('Revenue and costs'!O53:U53)/'Assumptions'!$J$75,0)+IF(C19=(13-'Assumptions'!$J$75)-1,'Revenue and costs'!V53+'Revenue and costs'!AE53,0)+IF(AND(C19&gt;=(13-'Assumptions'!$J$76),C19&lt;=12),SUM('Revenue and costs'!O54:U54)/'Assumptions'!$J$76,0)+IF(C19=(13-'Assumptions'!$J$76)-1,'Revenue and costs'!V54+'Revenue and costs'!AE54,0)+IF(AND(C19&gt;=(13-'Assumptions'!$J$77),C19&lt;=12),SUM('Revenue and costs'!O55:U55)/'Assumptions'!$J$77,0)+IF(C19=(13-'Assumptions'!$J$77)-1,'Revenue and costs'!V55+'Revenue and costs'!AE55,0)+IF(AND(C19&gt;=(13-'Assumptions'!$J$78),C19&lt;=12),SUM('Revenue and costs'!O56:U56)/'Assumptions'!$J$78,0)+IF(C19=(13-'Assumptions'!$J$78)-1,'Revenue and costs'!V56+'Revenue and costs'!AE56,0)+IF(AND(C19&gt;=(13-'Assumptions'!$J$79),C19&lt;=12),SUM('Revenue and costs'!O57:U57)/'Assumptions'!$J$79,0)+IF(C19=(13-'Assumptions'!$J$79)-1,'Revenue and costs'!V57+'Revenue and costs'!AE57,0)+IF(AND(C19&gt;=(13-'Assumptions'!$J$80),C19&lt;=12),SUM('Revenue and costs'!O58:U58)/'Assumptions'!$J$80,0)+IF(C19=(13-'Assumptions'!$J$80)-1,'Revenue and costs'!V58+'Revenue and costs'!AE58,0)+IF(AND(C19&gt;=(13-'Assumptions'!$J$81),C19&lt;=12),SUM('Revenue and costs'!O59:U59)/'Assumptions'!$J$81,0)+IF(C19=(13-'Assumptions'!$J$81)-1,'Revenue and costs'!V59+'Revenue and costs'!AE59,0)+IF(AND(C19&gt;=(13-'Assumptions'!$J$82),C19&lt;=12),SUM('Revenue and costs'!O60:U60)/'Assumptions'!$J$82,0)+IF(C19=(13-'Assumptions'!$J$82)-1,'Revenue and costs'!V60+'Revenue and costs'!AE60,0)+IF(AND(C19&gt;=(13-'Assumptions'!$J$83),C19&lt;=12),SUM('Revenue and costs'!O61:U61)/'Assumptions'!$J$83,0)+IF(C19=(13-'Assumptions'!$J$83)-1,'Revenue and costs'!V61+'Revenue and costs'!AE61,0)+IF(AND(C19&gt;=(13-'Assumptions'!$J$84),C19&lt;=12),SUM('Revenue and costs'!O62:U62)/'Assumptions'!$J$84,0)+IF(C19=(13-'Assumptions'!$J$84)-1,'Revenue and costs'!V62+'Revenue and costs'!AE62,0)+IF(AND(C19&gt;=(13-'Assumptions'!$J$85),C19&lt;=12),SUM('Revenue and costs'!O63:U63)/'Assumptions'!$J$85,0)+IF(C19=(13-'Assumptions'!$J$85)-1,'Revenue and costs'!V63+'Revenue and costs'!AE63,0)+IF(AND(C19&gt;=(13-'Assumptions'!$J$86),C19&lt;=12),SUM('Revenue and costs'!O64:U64)/'Assumptions'!$J$86,0)+IF(C19=(13-'Assumptions'!$J$86)-1,'Revenue and costs'!V64+'Revenue and costs'!AE64,0)+IF(AND(C19&gt;=(13-'Assumptions'!$J$87),C19&lt;=12),SUM('Revenue and costs'!O65:U65)/'Assumptions'!$J$87,0)+IF(C19=(13-'Assumptions'!$J$87)-1,'Revenue and costs'!V65+'Revenue and costs'!AE65,0)+IF(AND(C19&gt;=(13-'Assumptions'!$J$88),C19&lt;=12),SUM('Revenue and costs'!O66:U66)/'Assumptions'!$J$88,0)+IF(C19=(13-'Assumptions'!$J$88)-1,'Revenue and costs'!V66+'Revenue and costs'!AE66,0)+IF(AND(C19&gt;=(13-'Assumptions'!$J$89),C19&lt;=12),SUM('Revenue and costs'!O67:U67)/'Assumptions'!$J$89,0)+IF(C19=(13-'Assumptions'!$J$89)-1,'Revenue and costs'!V67+'Revenue and costs'!AE67,0)+IF(AND(C19&gt;=(13-'Assumptions'!$J$90),C19&lt;=12),SUM('Revenue and costs'!O68:U68)/'Assumptions'!$J$90,0)+IF(C19=(13-'Assumptions'!$J$90)-1,'Revenue and costs'!V68+'Revenue and costs'!AE68,0)+IF(AND(C19&gt;=(13-'Assumptions'!$J$91),C19&lt;=12),SUM('Revenue and costs'!O69:U69)/'Assumptions'!$J$91,0)+IF(C19=(13-'Assumptions'!$J$91)-1,'Revenue and costs'!V69+'Revenue and costs'!AE69,0)+IF(AND(C19&gt;=(13-'Assumptions'!$J$92),C19&lt;=12),SUM('Revenue and costs'!O70:U70)/'Assumptions'!$J$92,0)+IF(C19=(13-'Assumptions'!$J$92)-1,'Revenue and costs'!V70+'Revenue and costs'!AE70,0)+IF(AND(C19&gt;=(13-'Assumptions'!$J$93),C19&lt;=12),SUM('Revenue and costs'!O71:U71)/'Assumptions'!$J$93,0)+IF(C19=(13-'Assumptions'!$J$93)-1,'Revenue and costs'!V71+'Revenue and costs'!AE71,0)+IF(AND(C19&gt;=(13-'Assumptions'!$J$94),C19&lt;=12),SUM('Revenue and costs'!O72:U72)/'Assumptions'!$J$94,0)+IF(C19=(13-'Assumptions'!$J$94)-1,'Revenue and costs'!V72+'Revenue and costs'!AE72,0)+IF(AND(C19&gt;=(13-'Assumptions'!$J$95),C19&lt;=12),SUM('Revenue and costs'!O73:U73)/'Assumptions'!$J$95,0)+IF(C19=(13-'Assumptions'!$J$95)-1,'Revenue and costs'!V73+'Revenue and costs'!AE73,0)+IF(AND(C19&gt;=(13-'Assumptions'!$J$96),C19&lt;=12),SUM('Revenue and costs'!O74:U74)/'Assumptions'!$J$96,0)+IF(C19=(13-'Assumptions'!$J$96)-1,'Revenue and costs'!V74+'Revenue and costs'!AE74,0)+IF(AND(C19&gt;=(13-'Assumptions'!$J$97),C19&lt;=12),SUM('Revenue and costs'!O75:U75)/'Assumptions'!$J$97,0)+IF(C19=(13-'Assumptions'!$J$97)-1,'Revenue and costs'!V75+'Revenue and costs'!AE75,0)+IF(AND(C19&gt;=(13-'Assumptions'!$J$98),C19&lt;=12),SUM('Revenue and costs'!O76:U76)/'Assumptions'!$J$98,0)+IF(C19=(13-'Assumptions'!$J$98)-1,'Revenue and costs'!V76+'Revenue and costs'!AE76,0)+IF(AND(C19&gt;=(13-'Assumptions'!$J$99),C19&lt;=12),SUM('Revenue and costs'!O77:U77)/'Assumptions'!$J$99,0)+IF(C19=(13-'Assumptions'!$J$99)-1,'Revenue and costs'!V77+'Revenue and costs'!AE77,0)+IF(AND(C19&gt;=(13-'Assumptions'!$J$100),C19&lt;=12),SUM('Revenue and costs'!O78:U78)/'Assumptions'!$J$100,0)+IF(C19=(13-'Assumptions'!$J$100)-1,'Revenue and costs'!V78+'Revenue and costs'!AE78,0)+IF(AND(C19&gt;=(13-'Assumptions'!$J$101),C19&lt;=12),SUM('Revenue and costs'!O79:U79)/'Assumptions'!$J$101,0)+IF(C19=(13-'Assumptions'!$J$101)-1,'Revenue and costs'!V79+'Revenue and costs'!AE79,0)+IF(AND(C19&gt;=(13-'Assumptions'!$J$102),C19&lt;=12),SUM('Revenue and costs'!O80:U80)/'Assumptions'!$J$102,0)+IF(C19=(13-'Assumptions'!$J$102)-1,'Revenue and costs'!V80+'Revenue and costs'!AE80,0)+IF(AND(C19&gt;=(13-'Assumptions'!$J$103),C19&lt;=12),SUM('Revenue and costs'!O81:U81)/'Assumptions'!$J$103,0)+IF(C19=(13-'Assumptions'!$J$103)-1,'Revenue and costs'!V81+'Revenue and costs'!AE81,0)+IF(AND(C19&gt;=(13-'Assumptions'!$J$104),C19&lt;=12),SUM('Revenue and costs'!O82:U82)/'Assumptions'!$J$104,0)+IF(C19=(13-'Assumptions'!$J$104)-1,'Revenue and costs'!V82+'Revenue and costs'!AE82,0)+IF(AND(C19&gt;=(13-'Assumptions'!$J$105),C19&lt;=12),SUM('Revenue and costs'!O83:U83)/'Assumptions'!$J$105,0)+IF(C19=(13-'Assumptions'!$J$105)-1,'Revenue and costs'!V83+'Revenue and costs'!AE83,0)+IF(AND(C19&gt;=(13-'Assumptions'!$J$106),C19&lt;=12),SUM('Revenue and costs'!O84:U84)/'Assumptions'!$J$106,0)+IF(C19=(13-'Assumptions'!$J$106)-1,'Revenue and costs'!V84+'Revenue and costs'!AE84,0)+IF(AND(C19&gt;=(13-'Assumptions'!$J$107),C19&lt;=12),SUM('Revenue and costs'!O85:U85)/'Assumptions'!$J$107,0)+IF(C19=(13-'Assumptions'!$J$107)-1,'Revenue and costs'!V85+'Revenue and costs'!AE85,0)+IF(AND(C19&gt;=(13-'Assumptions'!$J$108),C19&lt;=12),SUM('Revenue and costs'!O86:U86)/'Assumptions'!$J$108,0)+IF(C19=(13-'Assumptions'!$J$108)-1,'Revenue and costs'!V86+'Revenue and costs'!AE86,0)+IF(AND(C19&gt;=(13-'Assumptions'!$J$109),C19&lt;=12),SUM('Revenue and costs'!O87:U87)/'Assumptions'!$J$109,0)+IF(C19=(13-'Assumptions'!$J$109)-1,'Revenue and costs'!V87+'Revenue and costs'!AE87,0)+IF(AND(C19&gt;=(13-'Assumptions'!$J$110),C19&lt;=12),SUM('Revenue and costs'!O88:U88)/'Assumptions'!$J$110,0)+IF(C19=(13-'Assumptions'!$J$110)-1,'Revenue and costs'!V88+'Revenue and costs'!AE88,0)+IF(AND(C19&gt;=(13-'Assumptions'!$J$111),C19&lt;=12),SUM('Revenue and costs'!O89:U89)/'Assumptions'!$J$111,0)+IF(C19=(13-'Assumptions'!$J$111)-1,'Revenue and costs'!V89+'Revenue and costs'!AE89,0)+IF(AND(C19&gt;=(13-'Assumptions'!$J$112),C19&lt;=12),SUM('Revenue and costs'!O90:U90)/'Assumptions'!$J$112,0)+IF(C19=(13-'Assumptions'!$J$112)-1,'Revenue and costs'!V90+'Revenue and costs'!AE90,0)+IF(AND(C19&gt;=(13-'Assumptions'!$J$113),C19&lt;=12),SUM('Revenue and costs'!O91:U91)/'Assumptions'!$J$113,0)+IF(C19=(13-'Assumptions'!$J$113)-1,'Revenue and costs'!V91+'Revenue and costs'!AE91,0)+IF(AND(C19&gt;=(13-'Assumptions'!$J$114),C19&lt;=12),SUM('Revenue and costs'!O92:U92)/'Assumptions'!$J$114,0)+IF(C19=(13-'Assumptions'!$J$114)-1,'Revenue and costs'!V92+'Revenue and costs'!AE92,0)+IF(AND(C19&gt;=(13-'Assumptions'!$J$115),C19&lt;=12),SUM('Revenue and costs'!O93:U93)/'Assumptions'!$J$115,0)+IF(C19=(13-'Assumptions'!$J$115)-1,'Revenue and costs'!V93+'Revenue and costs'!AE93,0)+IF(AND(C19&gt;=(13-'Assumptions'!$J$116),C19&lt;=12),SUM('Revenue and costs'!O94:U94)/'Assumptions'!$J$116,0)+IF(C19=(13-'Assumptions'!$J$116)-1,'Revenue and costs'!V94+'Revenue and costs'!AE94,0)+IF(AND(C19&gt;=(13-'Assumptions'!$J$117),C19&lt;=12),SUM('Revenue and costs'!O95:U95)/'Assumptions'!$J$117,0)+IF(C19=(13-'Assumptions'!$J$117)-1,'Revenue and costs'!V95+'Revenue and costs'!AE95,0)+IF(AND(C19&gt;=(13-'Assumptions'!$J$118),C19&lt;=12),SUM('Revenue and costs'!O96:U96)/'Assumptions'!$J$118,0)+IF(C19=(13-'Assumptions'!$J$118)-1,'Revenue and costs'!V96+'Revenue and costs'!AE96,0)+IF(AND(C19&gt;=(13-'Assumptions'!$J$119),C19&lt;=12),SUM('Revenue and costs'!O97:U97)/'Assumptions'!$J$119,0)+IF(C19=(13-'Assumptions'!$J$119)-1,'Revenue and costs'!V97+'Revenue and costs'!AE97,0)+IF(AND(C19&gt;=(13-'Assumptions'!$J$120),C19&lt;=12),SUM('Revenue and costs'!O98:U98)/'Assumptions'!$J$120,0)+IF(C19=(13-'Assumptions'!$J$120)-1,'Revenue and costs'!V98+'Revenue and costs'!AE98,0)+IF(AND(C19&gt;=(13-'Assumptions'!$J$121),C19&lt;=12),SUM('Revenue and costs'!O99:U99)/'Assumptions'!$J$121,0)+IF(C19=(13-'Assumptions'!$J$121)-1,'Revenue and costs'!V99+'Revenue and costs'!AE99,0)+IF(AND(C19&gt;=(13-'Assumptions'!$J$122),C19&lt;=12),SUM('Revenue and costs'!O100:U100)/'Assumptions'!$J$122,0)+IF(C19=(13-'Assumptions'!$J$122)-1,'Revenue and costs'!V100+'Revenue and costs'!AE100,0)+IF(AND(C19&gt;=(13-'Assumptions'!$J$123),C19&lt;=12),SUM('Revenue and costs'!O101:U101)/'Assumptions'!$J$123,0)+IF(C19=(13-'Assumptions'!$J$123)-1,'Revenue and costs'!V101+'Revenue and costs'!AE101,0)+IF(AND(C19&gt;=(13-'Assumptions'!$J$124),C19&lt;=12),SUM('Revenue and costs'!O102:U102)/'Assumptions'!$J$124,0)+IF(C19=(13-'Assumptions'!$J$124)-1,'Revenue and costs'!V102+'Revenue and costs'!AE102,0)+IF(AND(C19&gt;=(13-'Assumptions'!$J$125),C19&lt;=12),SUM('Revenue and costs'!O103:U103)/'Assumptions'!$J$125,0)+IF(C19=(13-'Assumptions'!$J$125)-1,'Revenue and costs'!V103+'Revenue and costs'!AE103,0)+IF(AND(C19&gt;=(13-'Assumptions'!$J$126),C19&lt;=12),SUM('Revenue and costs'!O104:U104)/'Assumptions'!$J$126,0)+IF(C19=(13-'Assumptions'!$J$126)-1,'Revenue and costs'!V104+'Revenue and costs'!AE104,0)+IF(AND(C19&gt;=(13-'Assumptions'!$J$127),C19&lt;=12),SUM('Revenue and costs'!O105:U105)/'Assumptions'!$J$127,0)+IF(C19=(13-'Assumptions'!$J$127)-1,'Revenue and costs'!V105+'Revenue and costs'!AE105,0)+IF(AND(C19&gt;=(13-'Assumptions'!$J$128),C19&lt;=12),SUM('Revenue and costs'!O106:U106)/'Assumptions'!$J$128,0)+IF(C19=(13-'Assumptions'!$J$128)-1,'Revenue and costs'!V106+'Revenue and costs'!AE106,0)+IF(AND(C19&gt;=(13-'Assumptions'!$J$129),C19&lt;=12),SUM('Revenue and costs'!O107:U107)/'Assumptions'!$J$129,0)+IF(C19=(13-'Assumptions'!$J$129)-1,'Revenue and costs'!V107+'Revenue and costs'!AE107,0)+IF(AND(C19&gt;=(13-'Assumptions'!$J$130),C19&lt;=12),SUM('Revenue and costs'!O108:U108)/'Assumptions'!$J$130,0)+IF(C19=(13-'Assumptions'!$J$130)-1,'Revenue and costs'!V108+'Revenue and costs'!AE108,0)+IF(AND(C19&gt;=(13-'Assumptions'!$J$131),C19&lt;=12),SUM('Revenue and costs'!O109:U109)/'Assumptions'!$J$131,0)+IF(C19=(13-'Assumptions'!$J$131)-1,'Revenue and costs'!V109+'Revenue and costs'!AE109,0)+IF(AND(C19&gt;=(13-'Assumptions'!$J$132),C19&lt;=12),SUM('Revenue and costs'!O110:U110)/'Assumptions'!$J$132,0)+IF(C19=(13-'Assumptions'!$J$132)-1,'Revenue and costs'!V110+'Revenue and costs'!AE110,0)+IF(AND(C19&gt;=(13-'Assumptions'!$J$133),C19&lt;=12),SUM('Revenue and costs'!O111:U111)/'Assumptions'!$J$133,0)+IF(C19=(13-'Assumptions'!$J$133)-1,'Revenue and costs'!V111+'Revenue and costs'!AE111,0)+IF(AND(C19&gt;=(13-'Assumptions'!$J$134),C19&lt;=12),SUM('Revenue and costs'!O112:U112)/'Assumptions'!$J$134,0)+IF(C19=(13-'Assumptions'!$J$134)-1,'Revenue and costs'!V112+'Revenue and costs'!AE112,0)+IF(AND(C19&gt;=(13-'Assumptions'!$J$135),C19&lt;=12),SUM('Revenue and costs'!O113:U113)/'Assumptions'!$J$135,0)+IF(C19=(13-'Assumptions'!$J$135)-1,'Revenue and costs'!V113+'Revenue and costs'!AE113,0)+IF(AND(C19&gt;=(13-'Assumptions'!$J$136),C19&lt;=12),SUM('Revenue and costs'!O114:U114)/'Assumptions'!$J$136,0)+IF(C19=(13-'Assumptions'!$J$136)-1,'Revenue and costs'!V114+'Revenue and costs'!AE114,0)+IF(AND(C19&gt;=(13-'Assumptions'!$J$137),C19&lt;=12),SUM('Revenue and costs'!O115:U115)/'Assumptions'!$J$137,0)+IF(C19=(13-'Assumptions'!$J$137)-1,'Revenue and costs'!V115+'Revenue and costs'!AE115,0)+IF(AND(C19&gt;=(13-'Assumptions'!$J$138),C19&lt;=12),SUM('Revenue and costs'!O116:U116)/'Assumptions'!$J$138,0)+IF(C19=(13-'Assumptions'!$J$138)-1,'Revenue and costs'!V116+'Revenue and costs'!AE116,0)+IF(AND(C19&gt;=(13-'Assumptions'!$J$139),C19&lt;=12),SUM('Revenue and costs'!O117:U117)/'Assumptions'!$J$139,0)+IF(C19=(13-'Assumptions'!$J$139)-1,'Revenue and costs'!V117+'Revenue and costs'!AE117,0)+IF(AND(C19&gt;=(13-'Assumptions'!$J$140),C19&lt;=12),SUM('Revenue and costs'!O118:U118)/'Assumptions'!$J$140,0)+IF(C19=(13-'Assumptions'!$J$140)-1,'Revenue and costs'!V118+'Revenue and costs'!AE118,0)+IF(AND(C19&gt;=(13-'Assumptions'!$J$141),C19&lt;=12),SUM('Revenue and costs'!O119:U119)/'Assumptions'!$J$141,0)+IF(C19=(13-'Assumptions'!$J$141)-1,'Revenue and costs'!V119+'Revenue and costs'!AE119,0)+IF(AND(C19&gt;=(13-'Assumptions'!$J$142),C19&lt;=12),SUM('Revenue and costs'!O120:U120)/'Assumptions'!$J$142,0)+IF(C19=(13-'Assumptions'!$J$142)-1,'Revenue and costs'!V120+'Revenue and costs'!AE120,0)+IF(AND(C19&gt;=(13-'Assumptions'!$J$143),C19&lt;=12),SUM('Revenue and costs'!O121:U121)/'Assumptions'!$J$143,0)+IF(C19=(13-'Assumptions'!$J$143)-1,'Revenue and costs'!V121+'Revenue and costs'!AE121,0)+IF(AND(C19&gt;=(13-'Assumptions'!$J$144),C19&lt;=12),SUM('Revenue and costs'!O122:U122)/'Assumptions'!$J$144,0)+IF(C19=(13-'Assumptions'!$J$144)-1,'Revenue and costs'!V122+'Revenue and costs'!AE122,0)+IF(AND(C19&gt;=(13-'Assumptions'!$J$145),C19&lt;=12),SUM('Revenue and costs'!O123:U123)/'Assumptions'!$J$145,0)+IF(C19=(13-'Assumptions'!$J$145)-1,'Revenue and costs'!V123+'Revenue and costs'!AE123,0)+IF(AND(C19&gt;=(13-'Assumptions'!$J$146),C19&lt;=12),SUM('Revenue and costs'!O124:U124)/'Assumptions'!$J$146,0)+IF(C19=(13-'Assumptions'!$J$146)-1,'Revenue and costs'!V124+'Revenue and costs'!AE124,0)+IF(AND(C19&gt;=(13-'Assumptions'!$J$147),C19&lt;=12),SUM('Revenue and costs'!O125:U125)/'Assumptions'!$J$147,0)+IF(C19=(13-'Assumptions'!$J$147)-1,'Revenue and costs'!V125+'Revenue and costs'!AE125,0)+IF(AND(C19&gt;=(13-'Assumptions'!$J$148),C19&lt;=12),SUM('Revenue and costs'!O126:U126)/'Assumptions'!$J$148,0)+IF(C19=(13-'Assumptions'!$J$148)-1,'Revenue and costs'!V126+'Revenue and costs'!AE126,0)+IF(AND(C19&gt;=(13-'Assumptions'!$J$149),C19&lt;=12),SUM('Revenue and costs'!O127:U127)/'Assumptions'!$J$149,0)+IF(C19=(13-'Assumptions'!$J$149)-1,'Revenue and costs'!V127+'Revenue and costs'!AE127,0)+IF(AND(C19&gt;=(13-'Assumptions'!$J$150),C19&lt;=12),SUM('Revenue and costs'!O128:U128)/'Assumptions'!$J$150,0)+IF(C19=(13-'Assumptions'!$J$150)-1,'Revenue and costs'!V128+'Revenue and costs'!AE128,0)+IF(AND(C19&gt;=(13-'Assumptions'!$J$151),C19&lt;=12),SUM('Revenue and costs'!O129:U129)/'Assumptions'!$J$151,0)+IF(C19=(13-'Assumptions'!$J$151)-1,'Revenue and costs'!V129+'Revenue and costs'!AE129,0)+IF(AND(C19&gt;=(13-'Assumptions'!$J$152),C19&lt;=12),SUM('Revenue and costs'!O130:U130)/'Assumptions'!$J$152,0)+IF(C19=(13-'Assumptions'!$J$152)-1,'Revenue and costs'!V130+'Revenue and costs'!AE130,0)+IF(AND(C19&gt;=(13-'Assumptions'!$J$153),C19&lt;=12),SUM('Revenue and costs'!O131:U131)/'Assumptions'!$J$153,0)+IF(C19=(13-'Assumptions'!$J$153)-1,'Revenue and costs'!V131+'Revenue and costs'!AE131,0)+IF(AND(C19&gt;=(13-'Assumptions'!$J$154),C19&lt;=12),SUM('Revenue and costs'!O132:U132)/'Assumptions'!$J$154,0)+IF(C19=(13-'Assumptions'!$J$154)-1,'Revenue and costs'!V132+'Revenue and costs'!AE132,0)+IF(AND(C19&gt;=(13-'Assumptions'!$J$155),C19&lt;=12),SUM('Revenue and costs'!O133:U133)/'Assumptions'!$J$155,0)+IF(C19=(13-'Assumptions'!$J$155)-1,'Revenue and costs'!V133+'Revenue and costs'!AE133,0)+IF(AND(C19&gt;=(13-'Assumptions'!$J$156),C19&lt;=12),SUM('Revenue and costs'!O134:U134)/'Assumptions'!$J$156,0)+IF(C19=(13-'Assumptions'!$J$156)-1,'Revenue and costs'!V134+'Revenue and costs'!AE134,0)+IF(AND(C19&gt;=(13-'Assumptions'!$J$157),C19&lt;=12),SUM('Revenue and costs'!O135:U135)/'Assumptions'!$J$157,0)+IF(C19=(13-'Assumptions'!$J$157)-1,'Revenue and costs'!V135+'Revenue and costs'!AE135,0)+IF(C19&gt;0,'Shared costs'!H21/12+'Assumptions'!$D$18*'Assumptions'!$D$19*'Assumptions'!$D$21,0)</x:f>
        <x:v>76433.69269999999</x:v>
      </x:c>
      <x:c r="F19" s="10" t="n">
        <x:f>IF(C19=12,'Income statement'!D85,0)</x:f>
        <x:v>0</x:v>
      </x:c>
      <x:c r="G19" s="10" t="n">
        <x:f>IF(C19=(13-'Assumptions'!$J$30)-1,'Revenue and costs'!Y8,0)+IF(C19=(13-'Assumptions'!$J$31)-1,'Revenue and costs'!Y9,0)+IF(C19=(13-'Assumptions'!$J$32)-1,'Revenue and costs'!Y10,0)+IF(C19=(13-'Assumptions'!$J$33)-1,'Revenue and costs'!Y11,0)+IF(C19=(13-'Assumptions'!$J$34)-1,'Revenue and costs'!Y12,0)+IF(C19=(13-'Assumptions'!$J$35)-1,'Revenue and costs'!Y13,0)+IF(C19=(13-'Assumptions'!$J$36)-1,'Revenue and costs'!Y14,0)+IF(C19=(13-'Assumptions'!$J$37)-1,'Revenue and costs'!Y15,0)+IF(C19=(13-'Assumptions'!$J$38)-1,'Revenue and costs'!Y16,0)+IF(C19=(13-'Assumptions'!$J$39)-1,'Revenue and costs'!Y17,0)+IF(C19=(13-'Assumptions'!$J$40)-1,'Revenue and costs'!Y18,0)+IF(C19=(13-'Assumptions'!$J$41)-1,'Revenue and costs'!Y19,0)+IF(C19=(13-'Assumptions'!$J$42)-1,'Revenue and costs'!Y20,0)+IF(C19=(13-'Assumptions'!$J$43)-1,'Revenue and costs'!Y21,0)+IF(C19=(13-'Assumptions'!$J$44)-1,'Revenue and costs'!Y22,0)+IF(C19=(13-'Assumptions'!$J$45)-1,'Revenue and costs'!Y23,0)+IF(C19=(13-'Assumptions'!$J$46)-1,'Revenue and costs'!Y24,0)+IF(C19=(13-'Assumptions'!$J$47)-1,'Revenue and costs'!Y25,0)+IF(C19=(13-'Assumptions'!$J$48)-1,'Revenue and costs'!Y26,0)+IF(C19=(13-'Assumptions'!$J$49)-1,'Revenue and costs'!Y27,0)+IF(C19=(13-'Assumptions'!$J$50)-1,'Revenue and costs'!Y28,0)+IF(C19=(13-'Assumptions'!$J$51)-1,'Revenue and costs'!Y29,0)+IF(C19=(13-'Assumptions'!$J$52)-1,'Revenue and costs'!Y30,0)+IF(C19=(13-'Assumptions'!$J$53)-1,'Revenue and costs'!Y31,0)+IF(C19=(13-'Assumptions'!$J$54)-1,'Revenue and costs'!Y32,0)+IF(C19=(13-'Assumptions'!$J$55)-1,'Revenue and costs'!Y33,0)+IF(C19=(13-'Assumptions'!$J$56)-1,'Revenue and costs'!Y34,0)+IF(C19=(13-'Assumptions'!$J$57)-1,'Revenue and costs'!Y35,0)+IF(C19=(13-'Assumptions'!$J$58)-1,'Revenue and costs'!Y36,0)+IF(C19=(13-'Assumptions'!$J$59)-1,'Revenue and costs'!Y37,0)+IF(C19=(13-'Assumptions'!$J$60)-1,'Revenue and costs'!Y38,0)+IF(C19=(13-'Assumptions'!$J$61)-1,'Revenue and costs'!Y39,0)+IF(C19=(13-'Assumptions'!$J$62)-1,'Revenue and costs'!Y40,0)+IF(C19=(13-'Assumptions'!$J$63)-1,'Revenue and costs'!Y41,0)+IF(C19=(13-'Assumptions'!$J$64)-1,'Revenue and costs'!Y42,0)+IF(C19=(13-'Assumptions'!$J$65)-1,'Revenue and costs'!Y43,0)+IF(C19=(13-'Assumptions'!$J$66)-1,'Revenue and costs'!Y44,0)+IF(C19=(13-'Assumptions'!$J$67)-1,'Revenue and costs'!Y45,0)+IF(C19=(13-'Assumptions'!$J$68)-1,'Revenue and costs'!Y46,0)+IF(C19=(13-'Assumptions'!$J$69)-1,'Revenue and costs'!Y47,0)+IF(C19=(13-'Assumptions'!$J$70)-1,'Revenue and costs'!Y48,0)+IF(C19=(13-'Assumptions'!$J$71)-1,'Revenue and costs'!Y49,0)+IF(C19=(13-'Assumptions'!$J$72)-1,'Revenue and costs'!Y50,0)+IF(C19=(13-'Assumptions'!$J$73)-1,'Revenue and costs'!Y51,0)+IF(C19=(13-'Assumptions'!$J$74)-1,'Revenue and costs'!Y52,0)+IF(C19=(13-'Assumptions'!$J$75)-1,'Revenue and costs'!Y53,0)+IF(C19=(13-'Assumptions'!$J$76)-1,'Revenue and costs'!Y54,0)+IF(C19=(13-'Assumptions'!$J$77)-1,'Revenue and costs'!Y55,0)+IF(C19=(13-'Assumptions'!$J$78)-1,'Revenue and costs'!Y56,0)+IF(C19=(13-'Assumptions'!$J$79)-1,'Revenue and costs'!Y57,0)+IF(C19=(13-'Assumptions'!$J$80)-1,'Revenue and costs'!Y58,0)+IF(C19=(13-'Assumptions'!$J$81)-1,'Revenue and costs'!Y59,0)+IF(C19=(13-'Assumptions'!$J$82)-1,'Revenue and costs'!Y60,0)+IF(C19=(13-'Assumptions'!$J$83)-1,'Revenue and costs'!Y61,0)+IF(C19=(13-'Assumptions'!$J$84)-1,'Revenue and costs'!Y62,0)+IF(C19=(13-'Assumptions'!$J$85)-1,'Revenue and costs'!Y63,0)+IF(C19=(13-'Assumptions'!$J$86)-1,'Revenue and costs'!Y64,0)+IF(C19=(13-'Assumptions'!$J$87)-1,'Revenue and costs'!Y65,0)+IF(C19=(13-'Assumptions'!$J$88)-1,'Revenue and costs'!Y66,0)+IF(C19=(13-'Assumptions'!$J$89)-1,'Revenue and costs'!Y67,0)+IF(C19=(13-'Assumptions'!$J$90)-1,'Revenue and costs'!Y68,0)+IF(C19=(13-'Assumptions'!$J$91)-1,'Revenue and costs'!Y69,0)+IF(C19=(13-'Assumptions'!$J$92)-1,'Revenue and costs'!Y70,0)+IF(C19=(13-'Assumptions'!$J$93)-1,'Revenue and costs'!Y71,0)+IF(C19=(13-'Assumptions'!$J$94)-1,'Revenue and costs'!Y72,0)+IF(C19=(13-'Assumptions'!$J$95)-1,'Revenue and costs'!Y73,0)+IF(C19=(13-'Assumptions'!$J$96)-1,'Revenue and costs'!Y74,0)+IF(C19=(13-'Assumptions'!$J$97)-1,'Revenue and costs'!Y75,0)+IF(C19=(13-'Assumptions'!$J$98)-1,'Revenue and costs'!Y76,0)+IF(C19=(13-'Assumptions'!$J$99)-1,'Revenue and costs'!Y77,0)+IF(C19=(13-'Assumptions'!$J$100)-1,'Revenue and costs'!Y78,0)+IF(C19=(13-'Assumptions'!$J$101)-1,'Revenue and costs'!Y79,0)+IF(C19=(13-'Assumptions'!$J$102)-1,'Revenue and costs'!Y80,0)+IF(C19=(13-'Assumptions'!$J$103)-1,'Revenue and costs'!Y81,0)+IF(C19=(13-'Assumptions'!$J$104)-1,'Revenue and costs'!Y82,0)+IF(C19=(13-'Assumptions'!$J$105)-1,'Revenue and costs'!Y83,0)+IF(C19=(13-'Assumptions'!$J$106)-1,'Revenue and costs'!Y84,0)+IF(C19=(13-'Assumptions'!$J$107)-1,'Revenue and costs'!Y85,0)+IF(C19=(13-'Assumptions'!$J$108)-1,'Revenue and costs'!Y86,0)+IF(C19=(13-'Assumptions'!$J$109)-1,'Revenue and costs'!Y87,0)+IF(C19=(13-'Assumptions'!$J$110)-1,'Revenue and costs'!Y88,0)+IF(C19=(13-'Assumptions'!$J$111)-1,'Revenue and costs'!Y89,0)+IF(C19=(13-'Assumptions'!$J$112)-1,'Revenue and costs'!Y90,0)+IF(C19=(13-'Assumptions'!$J$113)-1,'Revenue and costs'!Y91,0)+IF(C19=(13-'Assumptions'!$J$114)-1,'Revenue and costs'!Y92,0)+IF(C19=(13-'Assumptions'!$J$115)-1,'Revenue and costs'!Y93,0)+IF(C19=(13-'Assumptions'!$J$116)-1,'Revenue and costs'!Y94,0)+IF(C19=(13-'Assumptions'!$J$117)-1,'Revenue and costs'!Y95,0)+IF(C19=(13-'Assumptions'!$J$118)-1,'Revenue and costs'!Y96,0)+IF(C19=(13-'Assumptions'!$J$119)-1,'Revenue and costs'!Y97,0)+IF(C19=(13-'Assumptions'!$J$120)-1,'Revenue and costs'!Y98,0)+IF(C19=(13-'Assumptions'!$J$121)-1,'Revenue and costs'!Y99,0)+IF(C19=(13-'Assumptions'!$J$122)-1,'Revenue and costs'!Y100,0)+IF(C19=(13-'Assumptions'!$J$123)-1,'Revenue and costs'!Y101,0)+IF(C19=(13-'Assumptions'!$J$124)-1,'Revenue and costs'!Y102,0)+IF(C19=(13-'Assumptions'!$J$125)-1,'Revenue and costs'!Y103,0)+IF(C19=(13-'Assumptions'!$J$126)-1,'Revenue and costs'!Y104,0)+IF(C19=(13-'Assumptions'!$J$127)-1,'Revenue and costs'!Y105,0)+IF(C19=(13-'Assumptions'!$J$128)-1,'Revenue and costs'!Y106,0)+IF(C19=(13-'Assumptions'!$J$129)-1,'Revenue and costs'!Y107,0)+IF(C19=(13-'Assumptions'!$J$130)-1,'Revenue and costs'!Y108,0)+IF(C19=(13-'Assumptions'!$J$131)-1,'Revenue and costs'!Y109,0)+IF(C19=(13-'Assumptions'!$J$132)-1,'Revenue and costs'!Y110,0)+IF(C19=(13-'Assumptions'!$J$133)-1,'Revenue and costs'!Y111,0)+IF(C19=(13-'Assumptions'!$J$134)-1,'Revenue and costs'!Y112,0)+IF(C19=(13-'Assumptions'!$J$135)-1,'Revenue and costs'!Y113,0)+IF(C19=(13-'Assumptions'!$J$136)-1,'Revenue and costs'!Y114,0)+IF(C19=(13-'Assumptions'!$J$137)-1,'Revenue and costs'!Y115,0)+IF(C19=(13-'Assumptions'!$J$138)-1,'Revenue and costs'!Y116,0)+IF(C19=(13-'Assumptions'!$J$139)-1,'Revenue and costs'!Y117,0)+IF(C19=(13-'Assumptions'!$J$140)-1,'Revenue and costs'!Y118,0)+IF(C19=(13-'Assumptions'!$J$141)-1,'Revenue and costs'!Y119,0)+IF(C19=(13-'Assumptions'!$J$142)-1,'Revenue and costs'!Y120,0)+IF(C19=(13-'Assumptions'!$J$143)-1,'Revenue and costs'!Y121,0)+IF(C19=(13-'Assumptions'!$J$144)-1,'Revenue and costs'!Y122,0)+IF(C19=(13-'Assumptions'!$J$145)-1,'Revenue and costs'!Y123,0)+IF(C19=(13-'Assumptions'!$J$146)-1,'Revenue and costs'!Y124,0)+IF(C19=(13-'Assumptions'!$J$147)-1,'Revenue and costs'!Y125,0)+IF(C19=(13-'Assumptions'!$J$148)-1,'Revenue and costs'!Y126,0)+IF(C19=(13-'Assumptions'!$J$149)-1,'Revenue and costs'!Y127,0)+IF(C19=(13-'Assumptions'!$J$150)-1,'Revenue and costs'!Y128,0)+IF(C19=(13-'Assumptions'!$J$151)-1,'Revenue and costs'!Y129,0)+IF(C19=(13-'Assumptions'!$J$152)-1,'Revenue and costs'!Y130,0)+IF(C19=(13-'Assumptions'!$J$153)-1,'Revenue and costs'!Y131,0)+IF(C19=(13-'Assumptions'!$J$154)-1,'Revenue and costs'!Y132,0)+IF(C19=(13-'Assumptions'!$J$155)-1,'Revenue and costs'!Y133,0)+IF(C19=(13-'Assumptions'!$J$156)-1,'Revenue and costs'!Y134,0)+IF(C19=(13-'Assumptions'!$J$157)-1,'Revenue and costs'!Y135,0)</x:f>
        <x:v>0</x:v>
      </x:c>
      <x:c r="H19" s="10" t="n">
        <x:f>IF(C19=0,'Cash and capital'!D13,0)</x:f>
        <x:v>0</x:v>
      </x:c>
      <x:c r="I19" s="10" t="n">
        <x:f>D19-E19-F19-G19-H19</x:f>
        <x:v>50539.88063333336</x:v>
      </x:c>
      <x:c r="J19" s="10" t="n">
        <x:f>J18+I19</x:f>
        <x:v>256455.7187000002</x:v>
      </x:c>
      <x:c r="K19" s="10" t="n">
        <x:f>MAX(0,-MIN($J$8:J19))</x:f>
        <x:v>25216.872599999995</x:v>
      </x:c>
      <x:c r="L19" s="10"/>
      <x:c r="M19" s="10"/>
      <x:c r="N19" s="10"/>
      <x:c r="O19" s="10"/>
      <x:c r="P19" s="10"/>
      <x:c r="Q19" s="10"/>
    </x:row>
    <x:row r="20" ht="16" customHeight="1">
      <x:c r="A20" s="1"/>
      <x:c r="B20" s="1"/>
      <x:c r="C20" s="1" t="n">
        <x:v>12</x:v>
      </x:c>
      <x:c r="D20" s="10" t="n">
        <x:f>IF(AND(C20&gt;=(13-'Assumptions'!$J$30)+'Assumptions'!$AF$30,C20&lt;=12),'Revenue and costs'!N8/'Assumptions'!$J$30,0)+IF(AND(C20&gt;=(13-'Assumptions'!$J$31)+'Assumptions'!$AF$31,C20&lt;=12),'Revenue and costs'!N9/'Assumptions'!$J$31,0)+IF(AND(C20&gt;=(13-'Assumptions'!$J$32)+'Assumptions'!$AF$32,C20&lt;=12),'Revenue and costs'!N10/'Assumptions'!$J$32,0)+IF(AND(C20&gt;=(13-'Assumptions'!$J$33)+'Assumptions'!$AF$33,C20&lt;=12),'Revenue and costs'!N11/'Assumptions'!$J$33,0)+IF(AND(C20&gt;=(13-'Assumptions'!$J$34)+'Assumptions'!$AF$34,C20&lt;=12),'Revenue and costs'!N12/'Assumptions'!$J$34,0)+IF(AND(C20&gt;=(13-'Assumptions'!$J$35)+'Assumptions'!$AF$35,C20&lt;=12),'Revenue and costs'!N13/'Assumptions'!$J$35,0)+IF(AND(C20&gt;=(13-'Assumptions'!$J$36)+'Assumptions'!$AF$36,C20&lt;=12),'Revenue and costs'!N14/'Assumptions'!$J$36,0)+IF(AND(C20&gt;=(13-'Assumptions'!$J$37)+'Assumptions'!$AF$37,C20&lt;=12),'Revenue and costs'!N15/'Assumptions'!$J$37,0)+IF(AND(C20&gt;=(13-'Assumptions'!$J$38)+'Assumptions'!$AF$38,C20&lt;=12),'Revenue and costs'!N16/'Assumptions'!$J$38,0)+IF(AND(C20&gt;=(13-'Assumptions'!$J$39)+'Assumptions'!$AF$39,C20&lt;=12),'Revenue and costs'!N17/'Assumptions'!$J$39,0)+IF(AND(C20&gt;=(13-'Assumptions'!$J$40)+'Assumptions'!$AF$40,C20&lt;=12),'Revenue and costs'!N18/'Assumptions'!$J$40,0)+IF(AND(C20&gt;=(13-'Assumptions'!$J$41)+'Assumptions'!$AF$41,C20&lt;=12),'Revenue and costs'!N19/'Assumptions'!$J$41,0)+IF(AND(C20&gt;=(13-'Assumptions'!$J$42)+'Assumptions'!$AF$42,C20&lt;=12),'Revenue and costs'!N20/'Assumptions'!$J$42,0)+IF(AND(C20&gt;=(13-'Assumptions'!$J$43)+'Assumptions'!$AF$43,C20&lt;=12),'Revenue and costs'!N21/'Assumptions'!$J$43,0)+IF(AND(C20&gt;=(13-'Assumptions'!$J$44)+'Assumptions'!$AF$44,C20&lt;=12),'Revenue and costs'!N22/'Assumptions'!$J$44,0)+IF(AND(C20&gt;=(13-'Assumptions'!$J$45)+'Assumptions'!$AF$45,C20&lt;=12),'Revenue and costs'!N23/'Assumptions'!$J$45,0)+IF(AND(C20&gt;=(13-'Assumptions'!$J$46)+'Assumptions'!$AF$46,C20&lt;=12),'Revenue and costs'!N24/'Assumptions'!$J$46,0)+IF(AND(C20&gt;=(13-'Assumptions'!$J$47)+'Assumptions'!$AF$47,C20&lt;=12),'Revenue and costs'!N25/'Assumptions'!$J$47,0)+IF(AND(C20&gt;=(13-'Assumptions'!$J$48)+'Assumptions'!$AF$48,C20&lt;=12),'Revenue and costs'!N26/'Assumptions'!$J$48,0)+IF(AND(C20&gt;=(13-'Assumptions'!$J$49)+'Assumptions'!$AF$49,C20&lt;=12),'Revenue and costs'!N27/'Assumptions'!$J$49,0)+IF(AND(C20&gt;=(13-'Assumptions'!$J$50)+'Assumptions'!$AF$50,C20&lt;=12),'Revenue and costs'!N28/'Assumptions'!$J$50,0)+IF(AND(C20&gt;=(13-'Assumptions'!$J$51)+'Assumptions'!$AF$51,C20&lt;=12),'Revenue and costs'!N29/'Assumptions'!$J$51,0)+IF(AND(C20&gt;=(13-'Assumptions'!$J$52)+'Assumptions'!$AF$52,C20&lt;=12),'Revenue and costs'!N30/'Assumptions'!$J$52,0)+IF(AND(C20&gt;=(13-'Assumptions'!$J$53)+'Assumptions'!$AF$53,C20&lt;=12),'Revenue and costs'!N31/'Assumptions'!$J$53,0)+IF(AND(C20&gt;=(13-'Assumptions'!$J$54)+'Assumptions'!$AF$54,C20&lt;=12),'Revenue and costs'!N32/'Assumptions'!$J$54,0)+IF(AND(C20&gt;=(13-'Assumptions'!$J$55)+'Assumptions'!$AF$55,C20&lt;=12),'Revenue and costs'!N33/'Assumptions'!$J$55,0)+IF(AND(C20&gt;=(13-'Assumptions'!$J$56)+'Assumptions'!$AF$56,C20&lt;=12),'Revenue and costs'!N34/'Assumptions'!$J$56,0)+IF(AND(C20&gt;=(13-'Assumptions'!$J$57)+'Assumptions'!$AF$57,C20&lt;=12),'Revenue and costs'!N35/'Assumptions'!$J$57,0)+IF(AND(C20&gt;=(13-'Assumptions'!$J$58)+'Assumptions'!$AF$58,C20&lt;=12),'Revenue and costs'!N36/'Assumptions'!$J$58,0)+IF(AND(C20&gt;=(13-'Assumptions'!$J$59)+'Assumptions'!$AF$59,C20&lt;=12),'Revenue and costs'!N37/'Assumptions'!$J$59,0)+IF(AND(C20&gt;=(13-'Assumptions'!$J$60)+'Assumptions'!$AF$60,C20&lt;=12),'Revenue and costs'!N38/'Assumptions'!$J$60,0)+IF(AND(C20&gt;=(13-'Assumptions'!$J$61)+'Assumptions'!$AF$61,C20&lt;=12),'Revenue and costs'!N39/'Assumptions'!$J$61,0)+IF(AND(C20&gt;=(13-'Assumptions'!$J$62)+'Assumptions'!$AF$62,C20&lt;=12),'Revenue and costs'!N40/'Assumptions'!$J$62,0)+IF(AND(C20&gt;=(13-'Assumptions'!$J$63)+'Assumptions'!$AF$63,C20&lt;=12),'Revenue and costs'!N41/'Assumptions'!$J$63,0)+IF(AND(C20&gt;=(13-'Assumptions'!$J$64)+'Assumptions'!$AF$64,C20&lt;=12),'Revenue and costs'!N42/'Assumptions'!$J$64,0)+IF(AND(C20&gt;=(13-'Assumptions'!$J$65)+'Assumptions'!$AF$65,C20&lt;=12),'Revenue and costs'!N43/'Assumptions'!$J$65,0)+IF(AND(C20&gt;=(13-'Assumptions'!$J$66)+'Assumptions'!$AF$66,C20&lt;=12),'Revenue and costs'!N44/'Assumptions'!$J$66,0)+IF(AND(C20&gt;=(13-'Assumptions'!$J$67)+'Assumptions'!$AF$67,C20&lt;=12),'Revenue and costs'!N45/'Assumptions'!$J$67,0)+IF(AND(C20&gt;=(13-'Assumptions'!$J$68)+'Assumptions'!$AF$68,C20&lt;=12),'Revenue and costs'!N46/'Assumptions'!$J$68,0)+IF(AND(C20&gt;=(13-'Assumptions'!$J$69)+'Assumptions'!$AF$69,C20&lt;=12),'Revenue and costs'!N47/'Assumptions'!$J$69,0)+IF(AND(C20&gt;=(13-'Assumptions'!$J$70)+'Assumptions'!$AF$70,C20&lt;=12),'Revenue and costs'!N48/'Assumptions'!$J$70,0)+IF(AND(C20&gt;=(13-'Assumptions'!$J$71)+'Assumptions'!$AF$71,C20&lt;=12),'Revenue and costs'!N49/'Assumptions'!$J$71,0)+IF(AND(C20&gt;=(13-'Assumptions'!$J$72)+'Assumptions'!$AF$72,C20&lt;=12),'Revenue and costs'!N50/'Assumptions'!$J$72,0)+IF(AND(C20&gt;=(13-'Assumptions'!$J$73)+'Assumptions'!$AF$73,C20&lt;=12),'Revenue and costs'!N51/'Assumptions'!$J$73,0)+IF(AND(C20&gt;=(13-'Assumptions'!$J$74)+'Assumptions'!$AF$74,C20&lt;=12),'Revenue and costs'!N52/'Assumptions'!$J$74,0)+IF(AND(C20&gt;=(13-'Assumptions'!$J$75)+'Assumptions'!$AF$75,C20&lt;=12),'Revenue and costs'!N53/'Assumptions'!$J$75,0)+IF(AND(C20&gt;=(13-'Assumptions'!$J$76)+'Assumptions'!$AF$76,C20&lt;=12),'Revenue and costs'!N54/'Assumptions'!$J$76,0)+IF(AND(C20&gt;=(13-'Assumptions'!$J$77)+'Assumptions'!$AF$77,C20&lt;=12),'Revenue and costs'!N55/'Assumptions'!$J$77,0)+IF(AND(C20&gt;=(13-'Assumptions'!$J$78)+'Assumptions'!$AF$78,C20&lt;=12),'Revenue and costs'!N56/'Assumptions'!$J$78,0)+IF(AND(C20&gt;=(13-'Assumptions'!$J$79)+'Assumptions'!$AF$79,C20&lt;=12),'Revenue and costs'!N57/'Assumptions'!$J$79,0)+IF(AND(C20&gt;=(13-'Assumptions'!$J$80)+'Assumptions'!$AF$80,C20&lt;=12),'Revenue and costs'!N58/'Assumptions'!$J$80,0)+IF(AND(C20&gt;=(13-'Assumptions'!$J$81)+'Assumptions'!$AF$81,C20&lt;=12),'Revenue and costs'!N59/'Assumptions'!$J$81,0)+IF(AND(C20&gt;=(13-'Assumptions'!$J$82)+'Assumptions'!$AF$82,C20&lt;=12),'Revenue and costs'!N60/'Assumptions'!$J$82,0)+IF(AND(C20&gt;=(13-'Assumptions'!$J$83)+'Assumptions'!$AF$83,C20&lt;=12),'Revenue and costs'!N61/'Assumptions'!$J$83,0)+IF(AND(C20&gt;=(13-'Assumptions'!$J$84)+'Assumptions'!$AF$84,C20&lt;=12),'Revenue and costs'!N62/'Assumptions'!$J$84,0)+IF(AND(C20&gt;=(13-'Assumptions'!$J$85)+'Assumptions'!$AF$85,C20&lt;=12),'Revenue and costs'!N63/'Assumptions'!$J$85,0)+IF(AND(C20&gt;=(13-'Assumptions'!$J$86)+'Assumptions'!$AF$86,C20&lt;=12),'Revenue and costs'!N64/'Assumptions'!$J$86,0)+IF(AND(C20&gt;=(13-'Assumptions'!$J$87)+'Assumptions'!$AF$87,C20&lt;=12),'Revenue and costs'!N65/'Assumptions'!$J$87,0)+IF(AND(C20&gt;=(13-'Assumptions'!$J$88)+'Assumptions'!$AF$88,C20&lt;=12),'Revenue and costs'!N66/'Assumptions'!$J$88,0)+IF(AND(C20&gt;=(13-'Assumptions'!$J$89)+'Assumptions'!$AF$89,C20&lt;=12),'Revenue and costs'!N67/'Assumptions'!$J$89,0)+IF(AND(C20&gt;=(13-'Assumptions'!$J$90)+'Assumptions'!$AF$90,C20&lt;=12),'Revenue and costs'!N68/'Assumptions'!$J$90,0)+IF(AND(C20&gt;=(13-'Assumptions'!$J$91)+'Assumptions'!$AF$91,C20&lt;=12),'Revenue and costs'!N69/'Assumptions'!$J$91,0)+IF(AND(C20&gt;=(13-'Assumptions'!$J$92)+'Assumptions'!$AF$92,C20&lt;=12),'Revenue and costs'!N70/'Assumptions'!$J$92,0)+IF(AND(C20&gt;=(13-'Assumptions'!$J$93)+'Assumptions'!$AF$93,C20&lt;=12),'Revenue and costs'!N71/'Assumptions'!$J$93,0)+IF(AND(C20&gt;=(13-'Assumptions'!$J$94)+'Assumptions'!$AF$94,C20&lt;=12),'Revenue and costs'!N72/'Assumptions'!$J$94,0)+IF(AND(C20&gt;=(13-'Assumptions'!$J$95)+'Assumptions'!$AF$95,C20&lt;=12),'Revenue and costs'!N73/'Assumptions'!$J$95,0)+IF(AND(C20&gt;=(13-'Assumptions'!$J$96)+'Assumptions'!$AF$96,C20&lt;=12),'Revenue and costs'!N74/'Assumptions'!$J$96,0)+IF(AND(C20&gt;=(13-'Assumptions'!$J$97)+'Assumptions'!$AF$97,C20&lt;=12),'Revenue and costs'!N75/'Assumptions'!$J$97,0)+IF(AND(C20&gt;=(13-'Assumptions'!$J$98)+'Assumptions'!$AF$98,C20&lt;=12),'Revenue and costs'!N76/'Assumptions'!$J$98,0)+IF(AND(C20&gt;=(13-'Assumptions'!$J$99)+'Assumptions'!$AF$99,C20&lt;=12),'Revenue and costs'!N77/'Assumptions'!$J$99,0)+IF(AND(C20&gt;=(13-'Assumptions'!$J$100)+'Assumptions'!$AF$100,C20&lt;=12),'Revenue and costs'!N78/'Assumptions'!$J$100,0)+IF(AND(C20&gt;=(13-'Assumptions'!$J$101)+'Assumptions'!$AF$101,C20&lt;=12),'Revenue and costs'!N79/'Assumptions'!$J$101,0)+IF(AND(C20&gt;=(13-'Assumptions'!$J$102)+'Assumptions'!$AF$102,C20&lt;=12),'Revenue and costs'!N80/'Assumptions'!$J$102,0)+IF(AND(C20&gt;=(13-'Assumptions'!$J$103)+'Assumptions'!$AF$103,C20&lt;=12),'Revenue and costs'!N81/'Assumptions'!$J$103,0)+IF(AND(C20&gt;=(13-'Assumptions'!$J$104)+'Assumptions'!$AF$104,C20&lt;=12),'Revenue and costs'!N82/'Assumptions'!$J$104,0)+IF(AND(C20&gt;=(13-'Assumptions'!$J$105)+'Assumptions'!$AF$105,C20&lt;=12),'Revenue and costs'!N83/'Assumptions'!$J$105,0)+IF(AND(C20&gt;=(13-'Assumptions'!$J$106)+'Assumptions'!$AF$106,C20&lt;=12),'Revenue and costs'!N84/'Assumptions'!$J$106,0)+IF(AND(C20&gt;=(13-'Assumptions'!$J$107)+'Assumptions'!$AF$107,C20&lt;=12),'Revenue and costs'!N85/'Assumptions'!$J$107,0)+IF(AND(C20&gt;=(13-'Assumptions'!$J$108)+'Assumptions'!$AF$108,C20&lt;=12),'Revenue and costs'!N86/'Assumptions'!$J$108,0)+IF(AND(C20&gt;=(13-'Assumptions'!$J$109)+'Assumptions'!$AF$109,C20&lt;=12),'Revenue and costs'!N87/'Assumptions'!$J$109,0)+IF(AND(C20&gt;=(13-'Assumptions'!$J$110)+'Assumptions'!$AF$110,C20&lt;=12),'Revenue and costs'!N88/'Assumptions'!$J$110,0)+IF(AND(C20&gt;=(13-'Assumptions'!$J$111)+'Assumptions'!$AF$111,C20&lt;=12),'Revenue and costs'!N89/'Assumptions'!$J$111,0)+IF(AND(C20&gt;=(13-'Assumptions'!$J$112)+'Assumptions'!$AF$112,C20&lt;=12),'Revenue and costs'!N90/'Assumptions'!$J$112,0)+IF(AND(C20&gt;=(13-'Assumptions'!$J$113)+'Assumptions'!$AF$113,C20&lt;=12),'Revenue and costs'!N91/'Assumptions'!$J$113,0)+IF(AND(C20&gt;=(13-'Assumptions'!$J$114)+'Assumptions'!$AF$114,C20&lt;=12),'Revenue and costs'!N92/'Assumptions'!$J$114,0)+IF(AND(C20&gt;=(13-'Assumptions'!$J$115)+'Assumptions'!$AF$115,C20&lt;=12),'Revenue and costs'!N93/'Assumptions'!$J$115,0)+IF(AND(C20&gt;=(13-'Assumptions'!$J$116)+'Assumptions'!$AF$116,C20&lt;=12),'Revenue and costs'!N94/'Assumptions'!$J$116,0)+IF(AND(C20&gt;=(13-'Assumptions'!$J$117)+'Assumptions'!$AF$117,C20&lt;=12),'Revenue and costs'!N95/'Assumptions'!$J$117,0)+IF(AND(C20&gt;=(13-'Assumptions'!$J$118)+'Assumptions'!$AF$118,C20&lt;=12),'Revenue and costs'!N96/'Assumptions'!$J$118,0)+IF(AND(C20&gt;=(13-'Assumptions'!$J$119)+'Assumptions'!$AF$119,C20&lt;=12),'Revenue and costs'!N97/'Assumptions'!$J$119,0)+IF(AND(C20&gt;=(13-'Assumptions'!$J$120)+'Assumptions'!$AF$120,C20&lt;=12),'Revenue and costs'!N98/'Assumptions'!$J$120,0)+IF(AND(C20&gt;=(13-'Assumptions'!$J$121)+'Assumptions'!$AF$121,C20&lt;=12),'Revenue and costs'!N99/'Assumptions'!$J$121,0)+IF(AND(C20&gt;=(13-'Assumptions'!$J$122)+'Assumptions'!$AF$122,C20&lt;=12),'Revenue and costs'!N100/'Assumptions'!$J$122,0)+IF(AND(C20&gt;=(13-'Assumptions'!$J$123)+'Assumptions'!$AF$123,C20&lt;=12),'Revenue and costs'!N101/'Assumptions'!$J$123,0)+IF(AND(C20&gt;=(13-'Assumptions'!$J$124)+'Assumptions'!$AF$124,C20&lt;=12),'Revenue and costs'!N102/'Assumptions'!$J$124,0)+IF(AND(C20&gt;=(13-'Assumptions'!$J$125)+'Assumptions'!$AF$125,C20&lt;=12),'Revenue and costs'!N103/'Assumptions'!$J$125,0)+IF(AND(C20&gt;=(13-'Assumptions'!$J$126)+'Assumptions'!$AF$126,C20&lt;=12),'Revenue and costs'!N104/'Assumptions'!$J$126,0)+IF(AND(C20&gt;=(13-'Assumptions'!$J$127)+'Assumptions'!$AF$127,C20&lt;=12),'Revenue and costs'!N105/'Assumptions'!$J$127,0)+IF(AND(C20&gt;=(13-'Assumptions'!$J$128)+'Assumptions'!$AF$128,C20&lt;=12),'Revenue and costs'!N106/'Assumptions'!$J$128,0)+IF(AND(C20&gt;=(13-'Assumptions'!$J$129)+'Assumptions'!$AF$129,C20&lt;=12),'Revenue and costs'!N107/'Assumptions'!$J$129,0)+IF(AND(C20&gt;=(13-'Assumptions'!$J$130)+'Assumptions'!$AF$130,C20&lt;=12),'Revenue and costs'!N108/'Assumptions'!$J$130,0)+IF(AND(C20&gt;=(13-'Assumptions'!$J$131)+'Assumptions'!$AF$131,C20&lt;=12),'Revenue and costs'!N109/'Assumptions'!$J$131,0)+IF(AND(C20&gt;=(13-'Assumptions'!$J$132)+'Assumptions'!$AF$132,C20&lt;=12),'Revenue and costs'!N110/'Assumptions'!$J$132,0)+IF(AND(C20&gt;=(13-'Assumptions'!$J$133)+'Assumptions'!$AF$133,C20&lt;=12),'Revenue and costs'!N111/'Assumptions'!$J$133,0)+IF(AND(C20&gt;=(13-'Assumptions'!$J$134)+'Assumptions'!$AF$134,C20&lt;=12),'Revenue and costs'!N112/'Assumptions'!$J$134,0)+IF(AND(C20&gt;=(13-'Assumptions'!$J$135)+'Assumptions'!$AF$135,C20&lt;=12),'Revenue and costs'!N113/'Assumptions'!$J$135,0)+IF(AND(C20&gt;=(13-'Assumptions'!$J$136)+'Assumptions'!$AF$136,C20&lt;=12),'Revenue and costs'!N114/'Assumptions'!$J$136,0)+IF(AND(C20&gt;=(13-'Assumptions'!$J$137)+'Assumptions'!$AF$137,C20&lt;=12),'Revenue and costs'!N115/'Assumptions'!$J$137,0)+IF(AND(C20&gt;=(13-'Assumptions'!$J$138)+'Assumptions'!$AF$138,C20&lt;=12),'Revenue and costs'!N116/'Assumptions'!$J$138,0)+IF(AND(C20&gt;=(13-'Assumptions'!$J$139)+'Assumptions'!$AF$139,C20&lt;=12),'Revenue and costs'!N117/'Assumptions'!$J$139,0)+IF(AND(C20&gt;=(13-'Assumptions'!$J$140)+'Assumptions'!$AF$140,C20&lt;=12),'Revenue and costs'!N118/'Assumptions'!$J$140,0)+IF(AND(C20&gt;=(13-'Assumptions'!$J$141)+'Assumptions'!$AF$141,C20&lt;=12),'Revenue and costs'!N119/'Assumptions'!$J$141,0)+IF(AND(C20&gt;=(13-'Assumptions'!$J$142)+'Assumptions'!$AF$142,C20&lt;=12),'Revenue and costs'!N120/'Assumptions'!$J$142,0)+IF(AND(C20&gt;=(13-'Assumptions'!$J$143)+'Assumptions'!$AF$143,C20&lt;=12),'Revenue and costs'!N121/'Assumptions'!$J$143,0)+IF(AND(C20&gt;=(13-'Assumptions'!$J$144)+'Assumptions'!$AF$144,C20&lt;=12),'Revenue and costs'!N122/'Assumptions'!$J$144,0)+IF(AND(C20&gt;=(13-'Assumptions'!$J$145)+'Assumptions'!$AF$145,C20&lt;=12),'Revenue and costs'!N123/'Assumptions'!$J$145,0)+IF(AND(C20&gt;=(13-'Assumptions'!$J$146)+'Assumptions'!$AF$146,C20&lt;=12),'Revenue and costs'!N124/'Assumptions'!$J$146,0)+IF(AND(C20&gt;=(13-'Assumptions'!$J$147)+'Assumptions'!$AF$147,C20&lt;=12),'Revenue and costs'!N125/'Assumptions'!$J$147,0)+IF(AND(C20&gt;=(13-'Assumptions'!$J$148)+'Assumptions'!$AF$148,C20&lt;=12),'Revenue and costs'!N126/'Assumptions'!$J$148,0)+IF(AND(C20&gt;=(13-'Assumptions'!$J$149)+'Assumptions'!$AF$149,C20&lt;=12),'Revenue and costs'!N127/'Assumptions'!$J$149,0)+IF(AND(C20&gt;=(13-'Assumptions'!$J$150)+'Assumptions'!$AF$150,C20&lt;=12),'Revenue and costs'!N128/'Assumptions'!$J$150,0)+IF(AND(C20&gt;=(13-'Assumptions'!$J$151)+'Assumptions'!$AF$151,C20&lt;=12),'Revenue and costs'!N129/'Assumptions'!$J$151,0)+IF(AND(C20&gt;=(13-'Assumptions'!$J$152)+'Assumptions'!$AF$152,C20&lt;=12),'Revenue and costs'!N130/'Assumptions'!$J$152,0)+IF(AND(C20&gt;=(13-'Assumptions'!$J$153)+'Assumptions'!$AF$153,C20&lt;=12),'Revenue and costs'!N131/'Assumptions'!$J$153,0)+IF(AND(C20&gt;=(13-'Assumptions'!$J$154)+'Assumptions'!$AF$154,C20&lt;=12),'Revenue and costs'!N132/'Assumptions'!$J$154,0)+IF(AND(C20&gt;=(13-'Assumptions'!$J$155)+'Assumptions'!$AF$155,C20&lt;=12),'Revenue and costs'!N133/'Assumptions'!$J$155,0)+IF(AND(C20&gt;=(13-'Assumptions'!$J$156)+'Assumptions'!$AF$156,C20&lt;=12),'Revenue and costs'!N134/'Assumptions'!$J$156,0)+IF(AND(C20&gt;=(13-'Assumptions'!$J$157)+'Assumptions'!$AF$157,C20&lt;=12),'Revenue and costs'!N135/'Assumptions'!$J$157,0)</x:f>
        <x:v>126973.57333333335</x:v>
      </x:c>
      <x:c r="E20" s="10" t="n">
        <x:f>IF(AND(C20&gt;=(13-'Assumptions'!$J$30),C20&lt;=12),SUM('Revenue and costs'!O8:U8)/'Assumptions'!$J$30,0)+IF(C20=(13-'Assumptions'!$J$30)-1,'Revenue and costs'!V8+'Revenue and costs'!AE8,0)+IF(AND(C20&gt;=(13-'Assumptions'!$J$31),C20&lt;=12),SUM('Revenue and costs'!O9:U9)/'Assumptions'!$J$31,0)+IF(C20=(13-'Assumptions'!$J$31)-1,'Revenue and costs'!V9+'Revenue and costs'!AE9,0)+IF(AND(C20&gt;=(13-'Assumptions'!$J$32),C20&lt;=12),SUM('Revenue and costs'!O10:U10)/'Assumptions'!$J$32,0)+IF(C20=(13-'Assumptions'!$J$32)-1,'Revenue and costs'!V10+'Revenue and costs'!AE10,0)+IF(AND(C20&gt;=(13-'Assumptions'!$J$33),C20&lt;=12),SUM('Revenue and costs'!O11:U11)/'Assumptions'!$J$33,0)+IF(C20=(13-'Assumptions'!$J$33)-1,'Revenue and costs'!V11+'Revenue and costs'!AE11,0)+IF(AND(C20&gt;=(13-'Assumptions'!$J$34),C20&lt;=12),SUM('Revenue and costs'!O12:U12)/'Assumptions'!$J$34,0)+IF(C20=(13-'Assumptions'!$J$34)-1,'Revenue and costs'!V12+'Revenue and costs'!AE12,0)+IF(AND(C20&gt;=(13-'Assumptions'!$J$35),C20&lt;=12),SUM('Revenue and costs'!O13:U13)/'Assumptions'!$J$35,0)+IF(C20=(13-'Assumptions'!$J$35)-1,'Revenue and costs'!V13+'Revenue and costs'!AE13,0)+IF(AND(C20&gt;=(13-'Assumptions'!$J$36),C20&lt;=12),SUM('Revenue and costs'!O14:U14)/'Assumptions'!$J$36,0)+IF(C20=(13-'Assumptions'!$J$36)-1,'Revenue and costs'!V14+'Revenue and costs'!AE14,0)+IF(AND(C20&gt;=(13-'Assumptions'!$J$37),C20&lt;=12),SUM('Revenue and costs'!O15:U15)/'Assumptions'!$J$37,0)+IF(C20=(13-'Assumptions'!$J$37)-1,'Revenue and costs'!V15+'Revenue and costs'!AE15,0)+IF(AND(C20&gt;=(13-'Assumptions'!$J$38),C20&lt;=12),SUM('Revenue and costs'!O16:U16)/'Assumptions'!$J$38,0)+IF(C20=(13-'Assumptions'!$J$38)-1,'Revenue and costs'!V16+'Revenue and costs'!AE16,0)+IF(AND(C20&gt;=(13-'Assumptions'!$J$39),C20&lt;=12),SUM('Revenue and costs'!O17:U17)/'Assumptions'!$J$39,0)+IF(C20=(13-'Assumptions'!$J$39)-1,'Revenue and costs'!V17+'Revenue and costs'!AE17,0)+IF(AND(C20&gt;=(13-'Assumptions'!$J$40),C20&lt;=12),SUM('Revenue and costs'!O18:U18)/'Assumptions'!$J$40,0)+IF(C20=(13-'Assumptions'!$J$40)-1,'Revenue and costs'!V18+'Revenue and costs'!AE18,0)+IF(AND(C20&gt;=(13-'Assumptions'!$J$41),C20&lt;=12),SUM('Revenue and costs'!O19:U19)/'Assumptions'!$J$41,0)+IF(C20=(13-'Assumptions'!$J$41)-1,'Revenue and costs'!V19+'Revenue and costs'!AE19,0)+IF(AND(C20&gt;=(13-'Assumptions'!$J$42),C20&lt;=12),SUM('Revenue and costs'!O20:U20)/'Assumptions'!$J$42,0)+IF(C20=(13-'Assumptions'!$J$42)-1,'Revenue and costs'!V20+'Revenue and costs'!AE20,0)+IF(AND(C20&gt;=(13-'Assumptions'!$J$43),C20&lt;=12),SUM('Revenue and costs'!O21:U21)/'Assumptions'!$J$43,0)+IF(C20=(13-'Assumptions'!$J$43)-1,'Revenue and costs'!V21+'Revenue and costs'!AE21,0)+IF(AND(C20&gt;=(13-'Assumptions'!$J$44),C20&lt;=12),SUM('Revenue and costs'!O22:U22)/'Assumptions'!$J$44,0)+IF(C20=(13-'Assumptions'!$J$44)-1,'Revenue and costs'!V22+'Revenue and costs'!AE22,0)+IF(AND(C20&gt;=(13-'Assumptions'!$J$45),C20&lt;=12),SUM('Revenue and costs'!O23:U23)/'Assumptions'!$J$45,0)+IF(C20=(13-'Assumptions'!$J$45)-1,'Revenue and costs'!V23+'Revenue and costs'!AE23,0)+IF(AND(C20&gt;=(13-'Assumptions'!$J$46),C20&lt;=12),SUM('Revenue and costs'!O24:U24)/'Assumptions'!$J$46,0)+IF(C20=(13-'Assumptions'!$J$46)-1,'Revenue and costs'!V24+'Revenue and costs'!AE24,0)+IF(AND(C20&gt;=(13-'Assumptions'!$J$47),C20&lt;=12),SUM('Revenue and costs'!O25:U25)/'Assumptions'!$J$47,0)+IF(C20=(13-'Assumptions'!$J$47)-1,'Revenue and costs'!V25+'Revenue and costs'!AE25,0)+IF(AND(C20&gt;=(13-'Assumptions'!$J$48),C20&lt;=12),SUM('Revenue and costs'!O26:U26)/'Assumptions'!$J$48,0)+IF(C20=(13-'Assumptions'!$J$48)-1,'Revenue and costs'!V26+'Revenue and costs'!AE26,0)+IF(AND(C20&gt;=(13-'Assumptions'!$J$49),C20&lt;=12),SUM('Revenue and costs'!O27:U27)/'Assumptions'!$J$49,0)+IF(C20=(13-'Assumptions'!$J$49)-1,'Revenue and costs'!V27+'Revenue and costs'!AE27,0)+IF(AND(C20&gt;=(13-'Assumptions'!$J$50),C20&lt;=12),SUM('Revenue and costs'!O28:U28)/'Assumptions'!$J$50,0)+IF(C20=(13-'Assumptions'!$J$50)-1,'Revenue and costs'!V28+'Revenue and costs'!AE28,0)+IF(AND(C20&gt;=(13-'Assumptions'!$J$51),C20&lt;=12),SUM('Revenue and costs'!O29:U29)/'Assumptions'!$J$51,0)+IF(C20=(13-'Assumptions'!$J$51)-1,'Revenue and costs'!V29+'Revenue and costs'!AE29,0)+IF(AND(C20&gt;=(13-'Assumptions'!$J$52),C20&lt;=12),SUM('Revenue and costs'!O30:U30)/'Assumptions'!$J$52,0)+IF(C20=(13-'Assumptions'!$J$52)-1,'Revenue and costs'!V30+'Revenue and costs'!AE30,0)+IF(AND(C20&gt;=(13-'Assumptions'!$J$53),C20&lt;=12),SUM('Revenue and costs'!O31:U31)/'Assumptions'!$J$53,0)+IF(C20=(13-'Assumptions'!$J$53)-1,'Revenue and costs'!V31+'Revenue and costs'!AE31,0)+IF(AND(C20&gt;=(13-'Assumptions'!$J$54),C20&lt;=12),SUM('Revenue and costs'!O32:U32)/'Assumptions'!$J$54,0)+IF(C20=(13-'Assumptions'!$J$54)-1,'Revenue and costs'!V32+'Revenue and costs'!AE32,0)+IF(AND(C20&gt;=(13-'Assumptions'!$J$55),C20&lt;=12),SUM('Revenue and costs'!O33:U33)/'Assumptions'!$J$55,0)+IF(C20=(13-'Assumptions'!$J$55)-1,'Revenue and costs'!V33+'Revenue and costs'!AE33,0)+IF(AND(C20&gt;=(13-'Assumptions'!$J$56),C20&lt;=12),SUM('Revenue and costs'!O34:U34)/'Assumptions'!$J$56,0)+IF(C20=(13-'Assumptions'!$J$56)-1,'Revenue and costs'!V34+'Revenue and costs'!AE34,0)+IF(AND(C20&gt;=(13-'Assumptions'!$J$57),C20&lt;=12),SUM('Revenue and costs'!O35:U35)/'Assumptions'!$J$57,0)+IF(C20=(13-'Assumptions'!$J$57)-1,'Revenue and costs'!V35+'Revenue and costs'!AE35,0)+IF(AND(C20&gt;=(13-'Assumptions'!$J$58),C20&lt;=12),SUM('Revenue and costs'!O36:U36)/'Assumptions'!$J$58,0)+IF(C20=(13-'Assumptions'!$J$58)-1,'Revenue and costs'!V36+'Revenue and costs'!AE36,0)+IF(AND(C20&gt;=(13-'Assumptions'!$J$59),C20&lt;=12),SUM('Revenue and costs'!O37:U37)/'Assumptions'!$J$59,0)+IF(C20=(13-'Assumptions'!$J$59)-1,'Revenue and costs'!V37+'Revenue and costs'!AE37,0)+IF(AND(C20&gt;=(13-'Assumptions'!$J$60),C20&lt;=12),SUM('Revenue and costs'!O38:U38)/'Assumptions'!$J$60,0)+IF(C20=(13-'Assumptions'!$J$60)-1,'Revenue and costs'!V38+'Revenue and costs'!AE38,0)+IF(AND(C20&gt;=(13-'Assumptions'!$J$61),C20&lt;=12),SUM('Revenue and costs'!O39:U39)/'Assumptions'!$J$61,0)+IF(C20=(13-'Assumptions'!$J$61)-1,'Revenue and costs'!V39+'Revenue and costs'!AE39,0)+IF(AND(C20&gt;=(13-'Assumptions'!$J$62),C20&lt;=12),SUM('Revenue and costs'!O40:U40)/'Assumptions'!$J$62,0)+IF(C20=(13-'Assumptions'!$J$62)-1,'Revenue and costs'!V40+'Revenue and costs'!AE40,0)+IF(AND(C20&gt;=(13-'Assumptions'!$J$63),C20&lt;=12),SUM('Revenue and costs'!O41:U41)/'Assumptions'!$J$63,0)+IF(C20=(13-'Assumptions'!$J$63)-1,'Revenue and costs'!V41+'Revenue and costs'!AE41,0)+IF(AND(C20&gt;=(13-'Assumptions'!$J$64),C20&lt;=12),SUM('Revenue and costs'!O42:U42)/'Assumptions'!$J$64,0)+IF(C20=(13-'Assumptions'!$J$64)-1,'Revenue and costs'!V42+'Revenue and costs'!AE42,0)+IF(AND(C20&gt;=(13-'Assumptions'!$J$65),C20&lt;=12),SUM('Revenue and costs'!O43:U43)/'Assumptions'!$J$65,0)+IF(C20=(13-'Assumptions'!$J$65)-1,'Revenue and costs'!V43+'Revenue and costs'!AE43,0)+IF(AND(C20&gt;=(13-'Assumptions'!$J$66),C20&lt;=12),SUM('Revenue and costs'!O44:U44)/'Assumptions'!$J$66,0)+IF(C20=(13-'Assumptions'!$J$66)-1,'Revenue and costs'!V44+'Revenue and costs'!AE44,0)+IF(AND(C20&gt;=(13-'Assumptions'!$J$67),C20&lt;=12),SUM('Revenue and costs'!O45:U45)/'Assumptions'!$J$67,0)+IF(C20=(13-'Assumptions'!$J$67)-1,'Revenue and costs'!V45+'Revenue and costs'!AE45,0)+IF(AND(C20&gt;=(13-'Assumptions'!$J$68),C20&lt;=12),SUM('Revenue and costs'!O46:U46)/'Assumptions'!$J$68,0)+IF(C20=(13-'Assumptions'!$J$68)-1,'Revenue and costs'!V46+'Revenue and costs'!AE46,0)+IF(AND(C20&gt;=(13-'Assumptions'!$J$69),C20&lt;=12),SUM('Revenue and costs'!O47:U47)/'Assumptions'!$J$69,0)+IF(C20=(13-'Assumptions'!$J$69)-1,'Revenue and costs'!V47+'Revenue and costs'!AE47,0)+IF(AND(C20&gt;=(13-'Assumptions'!$J$70),C20&lt;=12),SUM('Revenue and costs'!O48:U48)/'Assumptions'!$J$70,0)+IF(C20=(13-'Assumptions'!$J$70)-1,'Revenue and costs'!V48+'Revenue and costs'!AE48,0)+IF(AND(C20&gt;=(13-'Assumptions'!$J$71),C20&lt;=12),SUM('Revenue and costs'!O49:U49)/'Assumptions'!$J$71,0)+IF(C20=(13-'Assumptions'!$J$71)-1,'Revenue and costs'!V49+'Revenue and costs'!AE49,0)+IF(AND(C20&gt;=(13-'Assumptions'!$J$72),C20&lt;=12),SUM('Revenue and costs'!O50:U50)/'Assumptions'!$J$72,0)+IF(C20=(13-'Assumptions'!$J$72)-1,'Revenue and costs'!V50+'Revenue and costs'!AE50,0)+IF(AND(C20&gt;=(13-'Assumptions'!$J$73),C20&lt;=12),SUM('Revenue and costs'!O51:U51)/'Assumptions'!$J$73,0)+IF(C20=(13-'Assumptions'!$J$73)-1,'Revenue and costs'!V51+'Revenue and costs'!AE51,0)+IF(AND(C20&gt;=(13-'Assumptions'!$J$74),C20&lt;=12),SUM('Revenue and costs'!O52:U52)/'Assumptions'!$J$74,0)+IF(C20=(13-'Assumptions'!$J$74)-1,'Revenue and costs'!V52+'Revenue and costs'!AE52,0)+IF(AND(C20&gt;=(13-'Assumptions'!$J$75),C20&lt;=12),SUM('Revenue and costs'!O53:U53)/'Assumptions'!$J$75,0)+IF(C20=(13-'Assumptions'!$J$75)-1,'Revenue and costs'!V53+'Revenue and costs'!AE53,0)+IF(AND(C20&gt;=(13-'Assumptions'!$J$76),C20&lt;=12),SUM('Revenue and costs'!O54:U54)/'Assumptions'!$J$76,0)+IF(C20=(13-'Assumptions'!$J$76)-1,'Revenue and costs'!V54+'Revenue and costs'!AE54,0)+IF(AND(C20&gt;=(13-'Assumptions'!$J$77),C20&lt;=12),SUM('Revenue and costs'!O55:U55)/'Assumptions'!$J$77,0)+IF(C20=(13-'Assumptions'!$J$77)-1,'Revenue and costs'!V55+'Revenue and costs'!AE55,0)+IF(AND(C20&gt;=(13-'Assumptions'!$J$78),C20&lt;=12),SUM('Revenue and costs'!O56:U56)/'Assumptions'!$J$78,0)+IF(C20=(13-'Assumptions'!$J$78)-1,'Revenue and costs'!V56+'Revenue and costs'!AE56,0)+IF(AND(C20&gt;=(13-'Assumptions'!$J$79),C20&lt;=12),SUM('Revenue and costs'!O57:U57)/'Assumptions'!$J$79,0)+IF(C20=(13-'Assumptions'!$J$79)-1,'Revenue and costs'!V57+'Revenue and costs'!AE57,0)+IF(AND(C20&gt;=(13-'Assumptions'!$J$80),C20&lt;=12),SUM('Revenue and costs'!O58:U58)/'Assumptions'!$J$80,0)+IF(C20=(13-'Assumptions'!$J$80)-1,'Revenue and costs'!V58+'Revenue and costs'!AE58,0)+IF(AND(C20&gt;=(13-'Assumptions'!$J$81),C20&lt;=12),SUM('Revenue and costs'!O59:U59)/'Assumptions'!$J$81,0)+IF(C20=(13-'Assumptions'!$J$81)-1,'Revenue and costs'!V59+'Revenue and costs'!AE59,0)+IF(AND(C20&gt;=(13-'Assumptions'!$J$82),C20&lt;=12),SUM('Revenue and costs'!O60:U60)/'Assumptions'!$J$82,0)+IF(C20=(13-'Assumptions'!$J$82)-1,'Revenue and costs'!V60+'Revenue and costs'!AE60,0)+IF(AND(C20&gt;=(13-'Assumptions'!$J$83),C20&lt;=12),SUM('Revenue and costs'!O61:U61)/'Assumptions'!$J$83,0)+IF(C20=(13-'Assumptions'!$J$83)-1,'Revenue and costs'!V61+'Revenue and costs'!AE61,0)+IF(AND(C20&gt;=(13-'Assumptions'!$J$84),C20&lt;=12),SUM('Revenue and costs'!O62:U62)/'Assumptions'!$J$84,0)+IF(C20=(13-'Assumptions'!$J$84)-1,'Revenue and costs'!V62+'Revenue and costs'!AE62,0)+IF(AND(C20&gt;=(13-'Assumptions'!$J$85),C20&lt;=12),SUM('Revenue and costs'!O63:U63)/'Assumptions'!$J$85,0)+IF(C20=(13-'Assumptions'!$J$85)-1,'Revenue and costs'!V63+'Revenue and costs'!AE63,0)+IF(AND(C20&gt;=(13-'Assumptions'!$J$86),C20&lt;=12),SUM('Revenue and costs'!O64:U64)/'Assumptions'!$J$86,0)+IF(C20=(13-'Assumptions'!$J$86)-1,'Revenue and costs'!V64+'Revenue and costs'!AE64,0)+IF(AND(C20&gt;=(13-'Assumptions'!$J$87),C20&lt;=12),SUM('Revenue and costs'!O65:U65)/'Assumptions'!$J$87,0)+IF(C20=(13-'Assumptions'!$J$87)-1,'Revenue and costs'!V65+'Revenue and costs'!AE65,0)+IF(AND(C20&gt;=(13-'Assumptions'!$J$88),C20&lt;=12),SUM('Revenue and costs'!O66:U66)/'Assumptions'!$J$88,0)+IF(C20=(13-'Assumptions'!$J$88)-1,'Revenue and costs'!V66+'Revenue and costs'!AE66,0)+IF(AND(C20&gt;=(13-'Assumptions'!$J$89),C20&lt;=12),SUM('Revenue and costs'!O67:U67)/'Assumptions'!$J$89,0)+IF(C20=(13-'Assumptions'!$J$89)-1,'Revenue and costs'!V67+'Revenue and costs'!AE67,0)+IF(AND(C20&gt;=(13-'Assumptions'!$J$90),C20&lt;=12),SUM('Revenue and costs'!O68:U68)/'Assumptions'!$J$90,0)+IF(C20=(13-'Assumptions'!$J$90)-1,'Revenue and costs'!V68+'Revenue and costs'!AE68,0)+IF(AND(C20&gt;=(13-'Assumptions'!$J$91),C20&lt;=12),SUM('Revenue and costs'!O69:U69)/'Assumptions'!$J$91,0)+IF(C20=(13-'Assumptions'!$J$91)-1,'Revenue and costs'!V69+'Revenue and costs'!AE69,0)+IF(AND(C20&gt;=(13-'Assumptions'!$J$92),C20&lt;=12),SUM('Revenue and costs'!O70:U70)/'Assumptions'!$J$92,0)+IF(C20=(13-'Assumptions'!$J$92)-1,'Revenue and costs'!V70+'Revenue and costs'!AE70,0)+IF(AND(C20&gt;=(13-'Assumptions'!$J$93),C20&lt;=12),SUM('Revenue and costs'!O71:U71)/'Assumptions'!$J$93,0)+IF(C20=(13-'Assumptions'!$J$93)-1,'Revenue and costs'!V71+'Revenue and costs'!AE71,0)+IF(AND(C20&gt;=(13-'Assumptions'!$J$94),C20&lt;=12),SUM('Revenue and costs'!O72:U72)/'Assumptions'!$J$94,0)+IF(C20=(13-'Assumptions'!$J$94)-1,'Revenue and costs'!V72+'Revenue and costs'!AE72,0)+IF(AND(C20&gt;=(13-'Assumptions'!$J$95),C20&lt;=12),SUM('Revenue and costs'!O73:U73)/'Assumptions'!$J$95,0)+IF(C20=(13-'Assumptions'!$J$95)-1,'Revenue and costs'!V73+'Revenue and costs'!AE73,0)+IF(AND(C20&gt;=(13-'Assumptions'!$J$96),C20&lt;=12),SUM('Revenue and costs'!O74:U74)/'Assumptions'!$J$96,0)+IF(C20=(13-'Assumptions'!$J$96)-1,'Revenue and costs'!V74+'Revenue and costs'!AE74,0)+IF(AND(C20&gt;=(13-'Assumptions'!$J$97),C20&lt;=12),SUM('Revenue and costs'!O75:U75)/'Assumptions'!$J$97,0)+IF(C20=(13-'Assumptions'!$J$97)-1,'Revenue and costs'!V75+'Revenue and costs'!AE75,0)+IF(AND(C20&gt;=(13-'Assumptions'!$J$98),C20&lt;=12),SUM('Revenue and costs'!O76:U76)/'Assumptions'!$J$98,0)+IF(C20=(13-'Assumptions'!$J$98)-1,'Revenue and costs'!V76+'Revenue and costs'!AE76,0)+IF(AND(C20&gt;=(13-'Assumptions'!$J$99),C20&lt;=12),SUM('Revenue and costs'!O77:U77)/'Assumptions'!$J$99,0)+IF(C20=(13-'Assumptions'!$J$99)-1,'Revenue and costs'!V77+'Revenue and costs'!AE77,0)+IF(AND(C20&gt;=(13-'Assumptions'!$J$100),C20&lt;=12),SUM('Revenue and costs'!O78:U78)/'Assumptions'!$J$100,0)+IF(C20=(13-'Assumptions'!$J$100)-1,'Revenue and costs'!V78+'Revenue and costs'!AE78,0)+IF(AND(C20&gt;=(13-'Assumptions'!$J$101),C20&lt;=12),SUM('Revenue and costs'!O79:U79)/'Assumptions'!$J$101,0)+IF(C20=(13-'Assumptions'!$J$101)-1,'Revenue and costs'!V79+'Revenue and costs'!AE79,0)+IF(AND(C20&gt;=(13-'Assumptions'!$J$102),C20&lt;=12),SUM('Revenue and costs'!O80:U80)/'Assumptions'!$J$102,0)+IF(C20=(13-'Assumptions'!$J$102)-1,'Revenue and costs'!V80+'Revenue and costs'!AE80,0)+IF(AND(C20&gt;=(13-'Assumptions'!$J$103),C20&lt;=12),SUM('Revenue and costs'!O81:U81)/'Assumptions'!$J$103,0)+IF(C20=(13-'Assumptions'!$J$103)-1,'Revenue and costs'!V81+'Revenue and costs'!AE81,0)+IF(AND(C20&gt;=(13-'Assumptions'!$J$104),C20&lt;=12),SUM('Revenue and costs'!O82:U82)/'Assumptions'!$J$104,0)+IF(C20=(13-'Assumptions'!$J$104)-1,'Revenue and costs'!V82+'Revenue and costs'!AE82,0)+IF(AND(C20&gt;=(13-'Assumptions'!$J$105),C20&lt;=12),SUM('Revenue and costs'!O83:U83)/'Assumptions'!$J$105,0)+IF(C20=(13-'Assumptions'!$J$105)-1,'Revenue and costs'!V83+'Revenue and costs'!AE83,0)+IF(AND(C20&gt;=(13-'Assumptions'!$J$106),C20&lt;=12),SUM('Revenue and costs'!O84:U84)/'Assumptions'!$J$106,0)+IF(C20=(13-'Assumptions'!$J$106)-1,'Revenue and costs'!V84+'Revenue and costs'!AE84,0)+IF(AND(C20&gt;=(13-'Assumptions'!$J$107),C20&lt;=12),SUM('Revenue and costs'!O85:U85)/'Assumptions'!$J$107,0)+IF(C20=(13-'Assumptions'!$J$107)-1,'Revenue and costs'!V85+'Revenue and costs'!AE85,0)+IF(AND(C20&gt;=(13-'Assumptions'!$J$108),C20&lt;=12),SUM('Revenue and costs'!O86:U86)/'Assumptions'!$J$108,0)+IF(C20=(13-'Assumptions'!$J$108)-1,'Revenue and costs'!V86+'Revenue and costs'!AE86,0)+IF(AND(C20&gt;=(13-'Assumptions'!$J$109),C20&lt;=12),SUM('Revenue and costs'!O87:U87)/'Assumptions'!$J$109,0)+IF(C20=(13-'Assumptions'!$J$109)-1,'Revenue and costs'!V87+'Revenue and costs'!AE87,0)+IF(AND(C20&gt;=(13-'Assumptions'!$J$110),C20&lt;=12),SUM('Revenue and costs'!O88:U88)/'Assumptions'!$J$110,0)+IF(C20=(13-'Assumptions'!$J$110)-1,'Revenue and costs'!V88+'Revenue and costs'!AE88,0)+IF(AND(C20&gt;=(13-'Assumptions'!$J$111),C20&lt;=12),SUM('Revenue and costs'!O89:U89)/'Assumptions'!$J$111,0)+IF(C20=(13-'Assumptions'!$J$111)-1,'Revenue and costs'!V89+'Revenue and costs'!AE89,0)+IF(AND(C20&gt;=(13-'Assumptions'!$J$112),C20&lt;=12),SUM('Revenue and costs'!O90:U90)/'Assumptions'!$J$112,0)+IF(C20=(13-'Assumptions'!$J$112)-1,'Revenue and costs'!V90+'Revenue and costs'!AE90,0)+IF(AND(C20&gt;=(13-'Assumptions'!$J$113),C20&lt;=12),SUM('Revenue and costs'!O91:U91)/'Assumptions'!$J$113,0)+IF(C20=(13-'Assumptions'!$J$113)-1,'Revenue and costs'!V91+'Revenue and costs'!AE91,0)+IF(AND(C20&gt;=(13-'Assumptions'!$J$114),C20&lt;=12),SUM('Revenue and costs'!O92:U92)/'Assumptions'!$J$114,0)+IF(C20=(13-'Assumptions'!$J$114)-1,'Revenue and costs'!V92+'Revenue and costs'!AE92,0)+IF(AND(C20&gt;=(13-'Assumptions'!$J$115),C20&lt;=12),SUM('Revenue and costs'!O93:U93)/'Assumptions'!$J$115,0)+IF(C20=(13-'Assumptions'!$J$115)-1,'Revenue and costs'!V93+'Revenue and costs'!AE93,0)+IF(AND(C20&gt;=(13-'Assumptions'!$J$116),C20&lt;=12),SUM('Revenue and costs'!O94:U94)/'Assumptions'!$J$116,0)+IF(C20=(13-'Assumptions'!$J$116)-1,'Revenue and costs'!V94+'Revenue and costs'!AE94,0)+IF(AND(C20&gt;=(13-'Assumptions'!$J$117),C20&lt;=12),SUM('Revenue and costs'!O95:U95)/'Assumptions'!$J$117,0)+IF(C20=(13-'Assumptions'!$J$117)-1,'Revenue and costs'!V95+'Revenue and costs'!AE95,0)+IF(AND(C20&gt;=(13-'Assumptions'!$J$118),C20&lt;=12),SUM('Revenue and costs'!O96:U96)/'Assumptions'!$J$118,0)+IF(C20=(13-'Assumptions'!$J$118)-1,'Revenue and costs'!V96+'Revenue and costs'!AE96,0)+IF(AND(C20&gt;=(13-'Assumptions'!$J$119),C20&lt;=12),SUM('Revenue and costs'!O97:U97)/'Assumptions'!$J$119,0)+IF(C20=(13-'Assumptions'!$J$119)-1,'Revenue and costs'!V97+'Revenue and costs'!AE97,0)+IF(AND(C20&gt;=(13-'Assumptions'!$J$120),C20&lt;=12),SUM('Revenue and costs'!O98:U98)/'Assumptions'!$J$120,0)+IF(C20=(13-'Assumptions'!$J$120)-1,'Revenue and costs'!V98+'Revenue and costs'!AE98,0)+IF(AND(C20&gt;=(13-'Assumptions'!$J$121),C20&lt;=12),SUM('Revenue and costs'!O99:U99)/'Assumptions'!$J$121,0)+IF(C20=(13-'Assumptions'!$J$121)-1,'Revenue and costs'!V99+'Revenue and costs'!AE99,0)+IF(AND(C20&gt;=(13-'Assumptions'!$J$122),C20&lt;=12),SUM('Revenue and costs'!O100:U100)/'Assumptions'!$J$122,0)+IF(C20=(13-'Assumptions'!$J$122)-1,'Revenue and costs'!V100+'Revenue and costs'!AE100,0)+IF(AND(C20&gt;=(13-'Assumptions'!$J$123),C20&lt;=12),SUM('Revenue and costs'!O101:U101)/'Assumptions'!$J$123,0)+IF(C20=(13-'Assumptions'!$J$123)-1,'Revenue and costs'!V101+'Revenue and costs'!AE101,0)+IF(AND(C20&gt;=(13-'Assumptions'!$J$124),C20&lt;=12),SUM('Revenue and costs'!O102:U102)/'Assumptions'!$J$124,0)+IF(C20=(13-'Assumptions'!$J$124)-1,'Revenue and costs'!V102+'Revenue and costs'!AE102,0)+IF(AND(C20&gt;=(13-'Assumptions'!$J$125),C20&lt;=12),SUM('Revenue and costs'!O103:U103)/'Assumptions'!$J$125,0)+IF(C20=(13-'Assumptions'!$J$125)-1,'Revenue and costs'!V103+'Revenue and costs'!AE103,0)+IF(AND(C20&gt;=(13-'Assumptions'!$J$126),C20&lt;=12),SUM('Revenue and costs'!O104:U104)/'Assumptions'!$J$126,0)+IF(C20=(13-'Assumptions'!$J$126)-1,'Revenue and costs'!V104+'Revenue and costs'!AE104,0)+IF(AND(C20&gt;=(13-'Assumptions'!$J$127),C20&lt;=12),SUM('Revenue and costs'!O105:U105)/'Assumptions'!$J$127,0)+IF(C20=(13-'Assumptions'!$J$127)-1,'Revenue and costs'!V105+'Revenue and costs'!AE105,0)+IF(AND(C20&gt;=(13-'Assumptions'!$J$128),C20&lt;=12),SUM('Revenue and costs'!O106:U106)/'Assumptions'!$J$128,0)+IF(C20=(13-'Assumptions'!$J$128)-1,'Revenue and costs'!V106+'Revenue and costs'!AE106,0)+IF(AND(C20&gt;=(13-'Assumptions'!$J$129),C20&lt;=12),SUM('Revenue and costs'!O107:U107)/'Assumptions'!$J$129,0)+IF(C20=(13-'Assumptions'!$J$129)-1,'Revenue and costs'!V107+'Revenue and costs'!AE107,0)+IF(AND(C20&gt;=(13-'Assumptions'!$J$130),C20&lt;=12),SUM('Revenue and costs'!O108:U108)/'Assumptions'!$J$130,0)+IF(C20=(13-'Assumptions'!$J$130)-1,'Revenue and costs'!V108+'Revenue and costs'!AE108,0)+IF(AND(C20&gt;=(13-'Assumptions'!$J$131),C20&lt;=12),SUM('Revenue and costs'!O109:U109)/'Assumptions'!$J$131,0)+IF(C20=(13-'Assumptions'!$J$131)-1,'Revenue and costs'!V109+'Revenue and costs'!AE109,0)+IF(AND(C20&gt;=(13-'Assumptions'!$J$132),C20&lt;=12),SUM('Revenue and costs'!O110:U110)/'Assumptions'!$J$132,0)+IF(C20=(13-'Assumptions'!$J$132)-1,'Revenue and costs'!V110+'Revenue and costs'!AE110,0)+IF(AND(C20&gt;=(13-'Assumptions'!$J$133),C20&lt;=12),SUM('Revenue and costs'!O111:U111)/'Assumptions'!$J$133,0)+IF(C20=(13-'Assumptions'!$J$133)-1,'Revenue and costs'!V111+'Revenue and costs'!AE111,0)+IF(AND(C20&gt;=(13-'Assumptions'!$J$134),C20&lt;=12),SUM('Revenue and costs'!O112:U112)/'Assumptions'!$J$134,0)+IF(C20=(13-'Assumptions'!$J$134)-1,'Revenue and costs'!V112+'Revenue and costs'!AE112,0)+IF(AND(C20&gt;=(13-'Assumptions'!$J$135),C20&lt;=12),SUM('Revenue and costs'!O113:U113)/'Assumptions'!$J$135,0)+IF(C20=(13-'Assumptions'!$J$135)-1,'Revenue and costs'!V113+'Revenue and costs'!AE113,0)+IF(AND(C20&gt;=(13-'Assumptions'!$J$136),C20&lt;=12),SUM('Revenue and costs'!O114:U114)/'Assumptions'!$J$136,0)+IF(C20=(13-'Assumptions'!$J$136)-1,'Revenue and costs'!V114+'Revenue and costs'!AE114,0)+IF(AND(C20&gt;=(13-'Assumptions'!$J$137),C20&lt;=12),SUM('Revenue and costs'!O115:U115)/'Assumptions'!$J$137,0)+IF(C20=(13-'Assumptions'!$J$137)-1,'Revenue and costs'!V115+'Revenue and costs'!AE115,0)+IF(AND(C20&gt;=(13-'Assumptions'!$J$138),C20&lt;=12),SUM('Revenue and costs'!O116:U116)/'Assumptions'!$J$138,0)+IF(C20=(13-'Assumptions'!$J$138)-1,'Revenue and costs'!V116+'Revenue and costs'!AE116,0)+IF(AND(C20&gt;=(13-'Assumptions'!$J$139),C20&lt;=12),SUM('Revenue and costs'!O117:U117)/'Assumptions'!$J$139,0)+IF(C20=(13-'Assumptions'!$J$139)-1,'Revenue and costs'!V117+'Revenue and costs'!AE117,0)+IF(AND(C20&gt;=(13-'Assumptions'!$J$140),C20&lt;=12),SUM('Revenue and costs'!O118:U118)/'Assumptions'!$J$140,0)+IF(C20=(13-'Assumptions'!$J$140)-1,'Revenue and costs'!V118+'Revenue and costs'!AE118,0)+IF(AND(C20&gt;=(13-'Assumptions'!$J$141),C20&lt;=12),SUM('Revenue and costs'!O119:U119)/'Assumptions'!$J$141,0)+IF(C20=(13-'Assumptions'!$J$141)-1,'Revenue and costs'!V119+'Revenue and costs'!AE119,0)+IF(AND(C20&gt;=(13-'Assumptions'!$J$142),C20&lt;=12),SUM('Revenue and costs'!O120:U120)/'Assumptions'!$J$142,0)+IF(C20=(13-'Assumptions'!$J$142)-1,'Revenue and costs'!V120+'Revenue and costs'!AE120,0)+IF(AND(C20&gt;=(13-'Assumptions'!$J$143),C20&lt;=12),SUM('Revenue and costs'!O121:U121)/'Assumptions'!$J$143,0)+IF(C20=(13-'Assumptions'!$J$143)-1,'Revenue and costs'!V121+'Revenue and costs'!AE121,0)+IF(AND(C20&gt;=(13-'Assumptions'!$J$144),C20&lt;=12),SUM('Revenue and costs'!O122:U122)/'Assumptions'!$J$144,0)+IF(C20=(13-'Assumptions'!$J$144)-1,'Revenue and costs'!V122+'Revenue and costs'!AE122,0)+IF(AND(C20&gt;=(13-'Assumptions'!$J$145),C20&lt;=12),SUM('Revenue and costs'!O123:U123)/'Assumptions'!$J$145,0)+IF(C20=(13-'Assumptions'!$J$145)-1,'Revenue and costs'!V123+'Revenue and costs'!AE123,0)+IF(AND(C20&gt;=(13-'Assumptions'!$J$146),C20&lt;=12),SUM('Revenue and costs'!O124:U124)/'Assumptions'!$J$146,0)+IF(C20=(13-'Assumptions'!$J$146)-1,'Revenue and costs'!V124+'Revenue and costs'!AE124,0)+IF(AND(C20&gt;=(13-'Assumptions'!$J$147),C20&lt;=12),SUM('Revenue and costs'!O125:U125)/'Assumptions'!$J$147,0)+IF(C20=(13-'Assumptions'!$J$147)-1,'Revenue and costs'!V125+'Revenue and costs'!AE125,0)+IF(AND(C20&gt;=(13-'Assumptions'!$J$148),C20&lt;=12),SUM('Revenue and costs'!O126:U126)/'Assumptions'!$J$148,0)+IF(C20=(13-'Assumptions'!$J$148)-1,'Revenue and costs'!V126+'Revenue and costs'!AE126,0)+IF(AND(C20&gt;=(13-'Assumptions'!$J$149),C20&lt;=12),SUM('Revenue and costs'!O127:U127)/'Assumptions'!$J$149,0)+IF(C20=(13-'Assumptions'!$J$149)-1,'Revenue and costs'!V127+'Revenue and costs'!AE127,0)+IF(AND(C20&gt;=(13-'Assumptions'!$J$150),C20&lt;=12),SUM('Revenue and costs'!O128:U128)/'Assumptions'!$J$150,0)+IF(C20=(13-'Assumptions'!$J$150)-1,'Revenue and costs'!V128+'Revenue and costs'!AE128,0)+IF(AND(C20&gt;=(13-'Assumptions'!$J$151),C20&lt;=12),SUM('Revenue and costs'!O129:U129)/'Assumptions'!$J$151,0)+IF(C20=(13-'Assumptions'!$J$151)-1,'Revenue and costs'!V129+'Revenue and costs'!AE129,0)+IF(AND(C20&gt;=(13-'Assumptions'!$J$152),C20&lt;=12),SUM('Revenue and costs'!O130:U130)/'Assumptions'!$J$152,0)+IF(C20=(13-'Assumptions'!$J$152)-1,'Revenue and costs'!V130+'Revenue and costs'!AE130,0)+IF(AND(C20&gt;=(13-'Assumptions'!$J$153),C20&lt;=12),SUM('Revenue and costs'!O131:U131)/'Assumptions'!$J$153,0)+IF(C20=(13-'Assumptions'!$J$153)-1,'Revenue and costs'!V131+'Revenue and costs'!AE131,0)+IF(AND(C20&gt;=(13-'Assumptions'!$J$154),C20&lt;=12),SUM('Revenue and costs'!O132:U132)/'Assumptions'!$J$154,0)+IF(C20=(13-'Assumptions'!$J$154)-1,'Revenue and costs'!V132+'Revenue and costs'!AE132,0)+IF(AND(C20&gt;=(13-'Assumptions'!$J$155),C20&lt;=12),SUM('Revenue and costs'!O133:U133)/'Assumptions'!$J$155,0)+IF(C20=(13-'Assumptions'!$J$155)-1,'Revenue and costs'!V133+'Revenue and costs'!AE133,0)+IF(AND(C20&gt;=(13-'Assumptions'!$J$156),C20&lt;=12),SUM('Revenue and costs'!O134:U134)/'Assumptions'!$J$156,0)+IF(C20=(13-'Assumptions'!$J$156)-1,'Revenue and costs'!V134+'Revenue and costs'!AE134,0)+IF(AND(C20&gt;=(13-'Assumptions'!$J$157),C20&lt;=12),SUM('Revenue and costs'!O135:U135)/'Assumptions'!$J$157,0)+IF(C20=(13-'Assumptions'!$J$157)-1,'Revenue and costs'!V135+'Revenue and costs'!AE135,0)+IF(C20&gt;0,'Shared costs'!H21/12+'Assumptions'!$D$18*'Assumptions'!$D$19*'Assumptions'!$D$21,0)</x:f>
        <x:v>76433.69269999999</x:v>
      </x:c>
      <x:c r="F20" s="10" t="n">
        <x:f>IF(C20=12,'Income statement'!D85,0)</x:f>
        <x:v>95446.9229758889</x:v>
      </x:c>
      <x:c r="G20" s="10" t="n">
        <x:f>IF(C20=(13-'Assumptions'!$J$30)-1,'Revenue and costs'!Y8,0)+IF(C20=(13-'Assumptions'!$J$31)-1,'Revenue and costs'!Y9,0)+IF(C20=(13-'Assumptions'!$J$32)-1,'Revenue and costs'!Y10,0)+IF(C20=(13-'Assumptions'!$J$33)-1,'Revenue and costs'!Y11,0)+IF(C20=(13-'Assumptions'!$J$34)-1,'Revenue and costs'!Y12,0)+IF(C20=(13-'Assumptions'!$J$35)-1,'Revenue and costs'!Y13,0)+IF(C20=(13-'Assumptions'!$J$36)-1,'Revenue and costs'!Y14,0)+IF(C20=(13-'Assumptions'!$J$37)-1,'Revenue and costs'!Y15,0)+IF(C20=(13-'Assumptions'!$J$38)-1,'Revenue and costs'!Y16,0)+IF(C20=(13-'Assumptions'!$J$39)-1,'Revenue and costs'!Y17,0)+IF(C20=(13-'Assumptions'!$J$40)-1,'Revenue and costs'!Y18,0)+IF(C20=(13-'Assumptions'!$J$41)-1,'Revenue and costs'!Y19,0)+IF(C20=(13-'Assumptions'!$J$42)-1,'Revenue and costs'!Y20,0)+IF(C20=(13-'Assumptions'!$J$43)-1,'Revenue and costs'!Y21,0)+IF(C20=(13-'Assumptions'!$J$44)-1,'Revenue and costs'!Y22,0)+IF(C20=(13-'Assumptions'!$J$45)-1,'Revenue and costs'!Y23,0)+IF(C20=(13-'Assumptions'!$J$46)-1,'Revenue and costs'!Y24,0)+IF(C20=(13-'Assumptions'!$J$47)-1,'Revenue and costs'!Y25,0)+IF(C20=(13-'Assumptions'!$J$48)-1,'Revenue and costs'!Y26,0)+IF(C20=(13-'Assumptions'!$J$49)-1,'Revenue and costs'!Y27,0)+IF(C20=(13-'Assumptions'!$J$50)-1,'Revenue and costs'!Y28,0)+IF(C20=(13-'Assumptions'!$J$51)-1,'Revenue and costs'!Y29,0)+IF(C20=(13-'Assumptions'!$J$52)-1,'Revenue and costs'!Y30,0)+IF(C20=(13-'Assumptions'!$J$53)-1,'Revenue and costs'!Y31,0)+IF(C20=(13-'Assumptions'!$J$54)-1,'Revenue and costs'!Y32,0)+IF(C20=(13-'Assumptions'!$J$55)-1,'Revenue and costs'!Y33,0)+IF(C20=(13-'Assumptions'!$J$56)-1,'Revenue and costs'!Y34,0)+IF(C20=(13-'Assumptions'!$J$57)-1,'Revenue and costs'!Y35,0)+IF(C20=(13-'Assumptions'!$J$58)-1,'Revenue and costs'!Y36,0)+IF(C20=(13-'Assumptions'!$J$59)-1,'Revenue and costs'!Y37,0)+IF(C20=(13-'Assumptions'!$J$60)-1,'Revenue and costs'!Y38,0)+IF(C20=(13-'Assumptions'!$J$61)-1,'Revenue and costs'!Y39,0)+IF(C20=(13-'Assumptions'!$J$62)-1,'Revenue and costs'!Y40,0)+IF(C20=(13-'Assumptions'!$J$63)-1,'Revenue and costs'!Y41,0)+IF(C20=(13-'Assumptions'!$J$64)-1,'Revenue and costs'!Y42,0)+IF(C20=(13-'Assumptions'!$J$65)-1,'Revenue and costs'!Y43,0)+IF(C20=(13-'Assumptions'!$J$66)-1,'Revenue and costs'!Y44,0)+IF(C20=(13-'Assumptions'!$J$67)-1,'Revenue and costs'!Y45,0)+IF(C20=(13-'Assumptions'!$J$68)-1,'Revenue and costs'!Y46,0)+IF(C20=(13-'Assumptions'!$J$69)-1,'Revenue and costs'!Y47,0)+IF(C20=(13-'Assumptions'!$J$70)-1,'Revenue and costs'!Y48,0)+IF(C20=(13-'Assumptions'!$J$71)-1,'Revenue and costs'!Y49,0)+IF(C20=(13-'Assumptions'!$J$72)-1,'Revenue and costs'!Y50,0)+IF(C20=(13-'Assumptions'!$J$73)-1,'Revenue and costs'!Y51,0)+IF(C20=(13-'Assumptions'!$J$74)-1,'Revenue and costs'!Y52,0)+IF(C20=(13-'Assumptions'!$J$75)-1,'Revenue and costs'!Y53,0)+IF(C20=(13-'Assumptions'!$J$76)-1,'Revenue and costs'!Y54,0)+IF(C20=(13-'Assumptions'!$J$77)-1,'Revenue and costs'!Y55,0)+IF(C20=(13-'Assumptions'!$J$78)-1,'Revenue and costs'!Y56,0)+IF(C20=(13-'Assumptions'!$J$79)-1,'Revenue and costs'!Y57,0)+IF(C20=(13-'Assumptions'!$J$80)-1,'Revenue and costs'!Y58,0)+IF(C20=(13-'Assumptions'!$J$81)-1,'Revenue and costs'!Y59,0)+IF(C20=(13-'Assumptions'!$J$82)-1,'Revenue and costs'!Y60,0)+IF(C20=(13-'Assumptions'!$J$83)-1,'Revenue and costs'!Y61,0)+IF(C20=(13-'Assumptions'!$J$84)-1,'Revenue and costs'!Y62,0)+IF(C20=(13-'Assumptions'!$J$85)-1,'Revenue and costs'!Y63,0)+IF(C20=(13-'Assumptions'!$J$86)-1,'Revenue and costs'!Y64,0)+IF(C20=(13-'Assumptions'!$J$87)-1,'Revenue and costs'!Y65,0)+IF(C20=(13-'Assumptions'!$J$88)-1,'Revenue and costs'!Y66,0)+IF(C20=(13-'Assumptions'!$J$89)-1,'Revenue and costs'!Y67,0)+IF(C20=(13-'Assumptions'!$J$90)-1,'Revenue and costs'!Y68,0)+IF(C20=(13-'Assumptions'!$J$91)-1,'Revenue and costs'!Y69,0)+IF(C20=(13-'Assumptions'!$J$92)-1,'Revenue and costs'!Y70,0)+IF(C20=(13-'Assumptions'!$J$93)-1,'Revenue and costs'!Y71,0)+IF(C20=(13-'Assumptions'!$J$94)-1,'Revenue and costs'!Y72,0)+IF(C20=(13-'Assumptions'!$J$95)-1,'Revenue and costs'!Y73,0)+IF(C20=(13-'Assumptions'!$J$96)-1,'Revenue and costs'!Y74,0)+IF(C20=(13-'Assumptions'!$J$97)-1,'Revenue and costs'!Y75,0)+IF(C20=(13-'Assumptions'!$J$98)-1,'Revenue and costs'!Y76,0)+IF(C20=(13-'Assumptions'!$J$99)-1,'Revenue and costs'!Y77,0)+IF(C20=(13-'Assumptions'!$J$100)-1,'Revenue and costs'!Y78,0)+IF(C20=(13-'Assumptions'!$J$101)-1,'Revenue and costs'!Y79,0)+IF(C20=(13-'Assumptions'!$J$102)-1,'Revenue and costs'!Y80,0)+IF(C20=(13-'Assumptions'!$J$103)-1,'Revenue and costs'!Y81,0)+IF(C20=(13-'Assumptions'!$J$104)-1,'Revenue and costs'!Y82,0)+IF(C20=(13-'Assumptions'!$J$105)-1,'Revenue and costs'!Y83,0)+IF(C20=(13-'Assumptions'!$J$106)-1,'Revenue and costs'!Y84,0)+IF(C20=(13-'Assumptions'!$J$107)-1,'Revenue and costs'!Y85,0)+IF(C20=(13-'Assumptions'!$J$108)-1,'Revenue and costs'!Y86,0)+IF(C20=(13-'Assumptions'!$J$109)-1,'Revenue and costs'!Y87,0)+IF(C20=(13-'Assumptions'!$J$110)-1,'Revenue and costs'!Y88,0)+IF(C20=(13-'Assumptions'!$J$111)-1,'Revenue and costs'!Y89,0)+IF(C20=(13-'Assumptions'!$J$112)-1,'Revenue and costs'!Y90,0)+IF(C20=(13-'Assumptions'!$J$113)-1,'Revenue and costs'!Y91,0)+IF(C20=(13-'Assumptions'!$J$114)-1,'Revenue and costs'!Y92,0)+IF(C20=(13-'Assumptions'!$J$115)-1,'Revenue and costs'!Y93,0)+IF(C20=(13-'Assumptions'!$J$116)-1,'Revenue and costs'!Y94,0)+IF(C20=(13-'Assumptions'!$J$117)-1,'Revenue and costs'!Y95,0)+IF(C20=(13-'Assumptions'!$J$118)-1,'Revenue and costs'!Y96,0)+IF(C20=(13-'Assumptions'!$J$119)-1,'Revenue and costs'!Y97,0)+IF(C20=(13-'Assumptions'!$J$120)-1,'Revenue and costs'!Y98,0)+IF(C20=(13-'Assumptions'!$J$121)-1,'Revenue and costs'!Y99,0)+IF(C20=(13-'Assumptions'!$J$122)-1,'Revenue and costs'!Y100,0)+IF(C20=(13-'Assumptions'!$J$123)-1,'Revenue and costs'!Y101,0)+IF(C20=(13-'Assumptions'!$J$124)-1,'Revenue and costs'!Y102,0)+IF(C20=(13-'Assumptions'!$J$125)-1,'Revenue and costs'!Y103,0)+IF(C20=(13-'Assumptions'!$J$126)-1,'Revenue and costs'!Y104,0)+IF(C20=(13-'Assumptions'!$J$127)-1,'Revenue and costs'!Y105,0)+IF(C20=(13-'Assumptions'!$J$128)-1,'Revenue and costs'!Y106,0)+IF(C20=(13-'Assumptions'!$J$129)-1,'Revenue and costs'!Y107,0)+IF(C20=(13-'Assumptions'!$J$130)-1,'Revenue and costs'!Y108,0)+IF(C20=(13-'Assumptions'!$J$131)-1,'Revenue and costs'!Y109,0)+IF(C20=(13-'Assumptions'!$J$132)-1,'Revenue and costs'!Y110,0)+IF(C20=(13-'Assumptions'!$J$133)-1,'Revenue and costs'!Y111,0)+IF(C20=(13-'Assumptions'!$J$134)-1,'Revenue and costs'!Y112,0)+IF(C20=(13-'Assumptions'!$J$135)-1,'Revenue and costs'!Y113,0)+IF(C20=(13-'Assumptions'!$J$136)-1,'Revenue and costs'!Y114,0)+IF(C20=(13-'Assumptions'!$J$137)-1,'Revenue and costs'!Y115,0)+IF(C20=(13-'Assumptions'!$J$138)-1,'Revenue and costs'!Y116,0)+IF(C20=(13-'Assumptions'!$J$139)-1,'Revenue and costs'!Y117,0)+IF(C20=(13-'Assumptions'!$J$140)-1,'Revenue and costs'!Y118,0)+IF(C20=(13-'Assumptions'!$J$141)-1,'Revenue and costs'!Y119,0)+IF(C20=(13-'Assumptions'!$J$142)-1,'Revenue and costs'!Y120,0)+IF(C20=(13-'Assumptions'!$J$143)-1,'Revenue and costs'!Y121,0)+IF(C20=(13-'Assumptions'!$J$144)-1,'Revenue and costs'!Y122,0)+IF(C20=(13-'Assumptions'!$J$145)-1,'Revenue and costs'!Y123,0)+IF(C20=(13-'Assumptions'!$J$146)-1,'Revenue and costs'!Y124,0)+IF(C20=(13-'Assumptions'!$J$147)-1,'Revenue and costs'!Y125,0)+IF(C20=(13-'Assumptions'!$J$148)-1,'Revenue and costs'!Y126,0)+IF(C20=(13-'Assumptions'!$J$149)-1,'Revenue and costs'!Y127,0)+IF(C20=(13-'Assumptions'!$J$150)-1,'Revenue and costs'!Y128,0)+IF(C20=(13-'Assumptions'!$J$151)-1,'Revenue and costs'!Y129,0)+IF(C20=(13-'Assumptions'!$J$152)-1,'Revenue and costs'!Y130,0)+IF(C20=(13-'Assumptions'!$J$153)-1,'Revenue and costs'!Y131,0)+IF(C20=(13-'Assumptions'!$J$154)-1,'Revenue and costs'!Y132,0)+IF(C20=(13-'Assumptions'!$J$155)-1,'Revenue and costs'!Y133,0)+IF(C20=(13-'Assumptions'!$J$156)-1,'Revenue and costs'!Y134,0)+IF(C20=(13-'Assumptions'!$J$157)-1,'Revenue and costs'!Y135,0)</x:f>
        <x:v>0</x:v>
      </x:c>
      <x:c r="H20" s="10" t="n">
        <x:f>IF(C20=0,'Cash and capital'!D13,0)</x:f>
        <x:v>0</x:v>
      </x:c>
      <x:c r="I20" s="10" t="n">
        <x:f>D20-E20-F20-G20-H20</x:f>
        <x:v>-44907.042342555535</x:v>
      </x:c>
      <x:c r="J20" s="10" t="n">
        <x:f>J19+I20</x:f>
        <x:v>211548.67635744467</x:v>
      </x:c>
      <x:c r="K20" s="10" t="n">
        <x:f>MAX(0,-MIN($J$8:J20))</x:f>
        <x:v>25216.872599999995</x:v>
      </x:c>
      <x:c r="L20" s="10"/>
      <x:c r="M20" s="10"/>
      <x:c r="N20" s="10"/>
      <x:c r="O20" s="10"/>
      <x:c r="P20" s="10"/>
      <x:c r="Q20" s="10"/>
    </x:row>
    <x:row r="21" ht="16" customHeight="1">
      <x:c r="A21" s="1"/>
      <x:c r="B21" s="1"/>
      <x:c r="C21" s="1"/>
      <x:c r="D21" s="10"/>
      <x:c r="E21" s="10"/>
      <x:c r="F21" s="10"/>
      <x:c r="G21" s="10"/>
      <x:c r="H21" s="10"/>
      <x:c r="I21" s="10"/>
      <x:c r="J21" s="10"/>
      <x:c r="K21" s="10"/>
      <x:c r="L21" s="10"/>
      <x:c r="M21" s="10"/>
      <x:c r="N21" s="10"/>
      <x:c r="O21" s="10"/>
      <x:c r="P21" s="10"/>
      <x:c r="Q21" s="10"/>
    </x:row>
    <x:row r="22" ht="16" customHeight="1">
      <x:c r="A22" s="1"/>
      <x:c r="B22" s="1"/>
      <x:c r="C22" s="1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  <x:c r="O22" s="10"/>
      <x:c r="P22" s="10"/>
      <x:c r="Q22" s="10"/>
    </x:row>
    <x:row r="23" ht="16" customHeight="1">
      <x:c r="A23" s="1"/>
      <x:c r="B23" s="1"/>
      <x:c r="C23" s="1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  <x:c r="O23" s="10"/>
      <x:c r="P23" s="10"/>
      <x:c r="Q23" s="10"/>
    </x:row>
    <x:row r="24" ht="16" customHeight="1">
      <x:c r="A24" s="1"/>
      <x:c r="B24" s="1"/>
      <x:c r="C24" s="1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</x:row>
    <x:row r="25" ht="16" customHeight="1">
      <x:c r="A25" s="1"/>
      <x:c r="B25" s="1"/>
      <x:c r="C25" s="1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</x:row>
    <x:row r="26" ht="30" customHeight="1">
      <x:c r="A26" s="1"/>
      <x:c r="B26" s="1"/>
      <x:c r="C26" s="23" t="str">
        <x:v>Family</x:v>
      </x:c>
      <x:c r="D26" s="24" t="str">
        <x:v>Month 0</x:v>
      </x:c>
      <x:c r="E26" s="24" t="str">
        <x:v>Month 1</x:v>
      </x:c>
      <x:c r="F26" s="24" t="str">
        <x:v>Month 2</x:v>
      </x:c>
      <x:c r="G26" s="24" t="str">
        <x:v>Month 3</x:v>
      </x:c>
      <x:c r="H26" s="24" t="str">
        <x:v>Month 4</x:v>
      </x:c>
      <x:c r="I26" s="24" t="str">
        <x:v>Month 5</x:v>
      </x:c>
      <x:c r="J26" s="24" t="str">
        <x:v>Month 6</x:v>
      </x:c>
      <x:c r="K26" s="24" t="str">
        <x:v>Month 7</x:v>
      </x:c>
      <x:c r="L26" s="24" t="str">
        <x:v>Month 8</x:v>
      </x:c>
      <x:c r="M26" s="24" t="str">
        <x:v>Month 9</x:v>
      </x:c>
      <x:c r="N26" s="24" t="str">
        <x:v>Month 10</x:v>
      </x:c>
      <x:c r="O26" s="24" t="str">
        <x:v>Month 11</x:v>
      </x:c>
      <x:c r="P26" s="24" t="str">
        <x:v>Month 12</x:v>
      </x:c>
      <x:c r="Q26" s="24" t="str">
        <x:v>Separate cash requirement</x:v>
      </x:c>
    </x:row>
    <x:row r="27" ht="30" customHeight="1">
      <x:c r="A27" s="1"/>
      <x:c r="B27" s="1"/>
      <x:c r="C27" s="23" t="str">
        <x:v>ETV courses</x:v>
      </x:c>
      <x:c r="D27" s="24" t="n">
        <x:f>IF(AND(0&gt;=(13-'Assumptions'!$J$30)+'Assumptions'!$AF$30,0&lt;=12),'Revenue and costs'!N8/'Assumptions'!$J$30,0)-IF(AND(0&gt;=(13-'Assumptions'!$J$30),0&lt;=12),SUM('Revenue and costs'!O8:U8)/'Assumptions'!$J$30,0)-IF(0=(13-'Assumptions'!$J$30)-1,'Revenue and costs'!V8+'Revenue and costs'!Y8+'Revenue and costs'!AE8,0)+IF(AND(0&gt;=(13-'Assumptions'!$J$31)+'Assumptions'!$AF$31,0&lt;=12),'Revenue and costs'!N9/'Assumptions'!$J$31,0)-IF(AND(0&gt;=(13-'Assumptions'!$J$31),0&lt;=12),SUM('Revenue and costs'!O9:U9)/'Assumptions'!$J$31,0)-IF(0=(13-'Assumptions'!$J$31)-1,'Revenue and costs'!V9+'Revenue and costs'!Y9+'Revenue and costs'!AE9,0)-IF('Income statement'!D50=0,1/39,'Segment tax'!E8/'Income statement'!D50)*'Cash and capital'!D13</x:f>
        <x:v>-31.13101301736267</x:v>
      </x:c>
      <x:c r="E27" s="24" t="n">
        <x:f>D27+IF(AND(1&gt;=(13-'Assumptions'!$J$30)+'Assumptions'!$AF$30,1&lt;=12),'Revenue and costs'!N8/'Assumptions'!$J$30,0)-IF(AND(1&gt;=(13-'Assumptions'!$J$30),1&lt;=12),SUM('Revenue and costs'!O8:U8)/'Assumptions'!$J$30,0)-IF(1=(13-'Assumptions'!$J$30)-1,'Revenue and costs'!V8+'Revenue and costs'!Y8+'Revenue and costs'!AE8,0)+IF(AND(1&gt;=(13-'Assumptions'!$J$31)+'Assumptions'!$AF$31,1&lt;=12),'Revenue and costs'!N9/'Assumptions'!$J$31,0)-IF(AND(1&gt;=(13-'Assumptions'!$J$31),1&lt;=12),SUM('Revenue and costs'!O9:U9)/'Assumptions'!$J$31,0)-IF(1=(13-'Assumptions'!$J$31)-1,'Revenue and costs'!V9+'Revenue and costs'!Y9+'Revenue and costs'!AE9,0)-'Segment tax'!G8/12</x:f>
        <x:v>1026.3219265186617</x:v>
      </x:c>
      <x:c r="F27" s="24" t="n">
        <x:f>E27+IF(AND(2&gt;=(13-'Assumptions'!$J$30)+'Assumptions'!$AF$30,2&lt;=12),'Revenue and costs'!N8/'Assumptions'!$J$30,0)-IF(AND(2&gt;=(13-'Assumptions'!$J$30),2&lt;=12),SUM('Revenue and costs'!O8:U8)/'Assumptions'!$J$30,0)-IF(2=(13-'Assumptions'!$J$30)-1,'Revenue and costs'!V8+'Revenue and costs'!Y8+'Revenue and costs'!AE8,0)+IF(AND(2&gt;=(13-'Assumptions'!$J$31)+'Assumptions'!$AF$31,2&lt;=12),'Revenue and costs'!N9/'Assumptions'!$J$31,0)-IF(AND(2&gt;=(13-'Assumptions'!$J$31),2&lt;=12),SUM('Revenue and costs'!O9:U9)/'Assumptions'!$J$31,0)-IF(2=(13-'Assumptions'!$J$31)-1,'Revenue and costs'!V9+'Revenue and costs'!Y9+'Revenue and costs'!AE9,0)-'Segment tax'!G8/12</x:f>
        <x:v>2083.7748660546854</x:v>
      </x:c>
      <x:c r="G27" s="24" t="n">
        <x:f>F27+IF(AND(3&gt;=(13-'Assumptions'!$J$30)+'Assumptions'!$AF$30,3&lt;=12),'Revenue and costs'!N8/'Assumptions'!$J$30,0)-IF(AND(3&gt;=(13-'Assumptions'!$J$30),3&lt;=12),SUM('Revenue and costs'!O8:U8)/'Assumptions'!$J$30,0)-IF(3=(13-'Assumptions'!$J$30)-1,'Revenue and costs'!V8+'Revenue and costs'!Y8+'Revenue and costs'!AE8,0)+IF(AND(3&gt;=(13-'Assumptions'!$J$31)+'Assumptions'!$AF$31,3&lt;=12),'Revenue and costs'!N9/'Assumptions'!$J$31,0)-IF(AND(3&gt;=(13-'Assumptions'!$J$31),3&lt;=12),SUM('Revenue and costs'!O9:U9)/'Assumptions'!$J$31,0)-IF(3=(13-'Assumptions'!$J$31)-1,'Revenue and costs'!V9+'Revenue and costs'!Y9+'Revenue and costs'!AE9,0)-'Segment tax'!G8/12</x:f>
        <x:v>3141.227805590709</x:v>
      </x:c>
      <x:c r="H27" s="24" t="n">
        <x:f>G27+IF(AND(4&gt;=(13-'Assumptions'!$J$30)+'Assumptions'!$AF$30,4&lt;=12),'Revenue and costs'!N8/'Assumptions'!$J$30,0)-IF(AND(4&gt;=(13-'Assumptions'!$J$30),4&lt;=12),SUM('Revenue and costs'!O8:U8)/'Assumptions'!$J$30,0)-IF(4=(13-'Assumptions'!$J$30)-1,'Revenue and costs'!V8+'Revenue and costs'!Y8+'Revenue and costs'!AE8,0)+IF(AND(4&gt;=(13-'Assumptions'!$J$31)+'Assumptions'!$AF$31,4&lt;=12),'Revenue and costs'!N9/'Assumptions'!$J$31,0)-IF(AND(4&gt;=(13-'Assumptions'!$J$31),4&lt;=12),SUM('Revenue and costs'!O9:U9)/'Assumptions'!$J$31,0)-IF(4=(13-'Assumptions'!$J$31)-1,'Revenue and costs'!V9+'Revenue and costs'!Y9+'Revenue and costs'!AE9,0)-'Segment tax'!G8/12</x:f>
        <x:v>4198.680745126734</x:v>
      </x:c>
      <x:c r="I27" s="24" t="n">
        <x:f>H27+IF(AND(5&gt;=(13-'Assumptions'!$J$30)+'Assumptions'!$AF$30,5&lt;=12),'Revenue and costs'!N8/'Assumptions'!$J$30,0)-IF(AND(5&gt;=(13-'Assumptions'!$J$30),5&lt;=12),SUM('Revenue and costs'!O8:U8)/'Assumptions'!$J$30,0)-IF(5=(13-'Assumptions'!$J$30)-1,'Revenue and costs'!V8+'Revenue and costs'!Y8+'Revenue and costs'!AE8,0)+IF(AND(5&gt;=(13-'Assumptions'!$J$31)+'Assumptions'!$AF$31,5&lt;=12),'Revenue and costs'!N9/'Assumptions'!$J$31,0)-IF(AND(5&gt;=(13-'Assumptions'!$J$31),5&lt;=12),SUM('Revenue and costs'!O9:U9)/'Assumptions'!$J$31,0)-IF(5=(13-'Assumptions'!$J$31)-1,'Revenue and costs'!V9+'Revenue and costs'!Y9+'Revenue and costs'!AE9,0)-'Segment tax'!G8/12</x:f>
        <x:v>5256.133684662759</x:v>
      </x:c>
      <x:c r="J27" s="24" t="n">
        <x:f>I27+IF(AND(6&gt;=(13-'Assumptions'!$J$30)+'Assumptions'!$AF$30,6&lt;=12),'Revenue and costs'!N8/'Assumptions'!$J$30,0)-IF(AND(6&gt;=(13-'Assumptions'!$J$30),6&lt;=12),SUM('Revenue and costs'!O8:U8)/'Assumptions'!$J$30,0)-IF(6=(13-'Assumptions'!$J$30)-1,'Revenue and costs'!V8+'Revenue and costs'!Y8+'Revenue and costs'!AE8,0)+IF(AND(6&gt;=(13-'Assumptions'!$J$31)+'Assumptions'!$AF$31,6&lt;=12),'Revenue and costs'!N9/'Assumptions'!$J$31,0)-IF(AND(6&gt;=(13-'Assumptions'!$J$31),6&lt;=12),SUM('Revenue and costs'!O9:U9)/'Assumptions'!$J$31,0)-IF(6=(13-'Assumptions'!$J$31)-1,'Revenue and costs'!V9+'Revenue and costs'!Y9+'Revenue and costs'!AE9,0)-'Segment tax'!G8/12</x:f>
        <x:v>6313.586624198784</x:v>
      </x:c>
      <x:c r="K27" s="24" t="n">
        <x:f>J27+IF(AND(7&gt;=(13-'Assumptions'!$J$30)+'Assumptions'!$AF$30,7&lt;=12),'Revenue and costs'!N8/'Assumptions'!$J$30,0)-IF(AND(7&gt;=(13-'Assumptions'!$J$30),7&lt;=12),SUM('Revenue and costs'!O8:U8)/'Assumptions'!$J$30,0)-IF(7=(13-'Assumptions'!$J$30)-1,'Revenue and costs'!V8+'Revenue and costs'!Y8+'Revenue and costs'!AE8,0)+IF(AND(7&gt;=(13-'Assumptions'!$J$31)+'Assumptions'!$AF$31,7&lt;=12),'Revenue and costs'!N9/'Assumptions'!$J$31,0)-IF(AND(7&gt;=(13-'Assumptions'!$J$31),7&lt;=12),SUM('Revenue and costs'!O9:U9)/'Assumptions'!$J$31,0)-IF(7=(13-'Assumptions'!$J$31)-1,'Revenue and costs'!V9+'Revenue and costs'!Y9+'Revenue and costs'!AE9,0)-'Segment tax'!G8/12</x:f>
        <x:v>7371.039563734809</x:v>
      </x:c>
      <x:c r="L27" s="24" t="n">
        <x:f>K27+IF(AND(8&gt;=(13-'Assumptions'!$J$30)+'Assumptions'!$AF$30,8&lt;=12),'Revenue and costs'!N8/'Assumptions'!$J$30,0)-IF(AND(8&gt;=(13-'Assumptions'!$J$30),8&lt;=12),SUM('Revenue and costs'!O8:U8)/'Assumptions'!$J$30,0)-IF(8=(13-'Assumptions'!$J$30)-1,'Revenue and costs'!V8+'Revenue and costs'!Y8+'Revenue and costs'!AE8,0)+IF(AND(8&gt;=(13-'Assumptions'!$J$31)+'Assumptions'!$AF$31,8&lt;=12),'Revenue and costs'!N9/'Assumptions'!$J$31,0)-IF(AND(8&gt;=(13-'Assumptions'!$J$31),8&lt;=12),SUM('Revenue and costs'!O9:U9)/'Assumptions'!$J$31,0)-IF(8=(13-'Assumptions'!$J$31)-1,'Revenue and costs'!V9+'Revenue and costs'!Y9+'Revenue and costs'!AE9,0)-'Segment tax'!G8/12</x:f>
        <x:v>8428.492503270834</x:v>
      </x:c>
      <x:c r="M27" s="24" t="n">
        <x:f>L27+IF(AND(9&gt;=(13-'Assumptions'!$J$30)+'Assumptions'!$AF$30,9&lt;=12),'Revenue and costs'!N8/'Assumptions'!$J$30,0)-IF(AND(9&gt;=(13-'Assumptions'!$J$30),9&lt;=12),SUM('Revenue and costs'!O8:U8)/'Assumptions'!$J$30,0)-IF(9=(13-'Assumptions'!$J$30)-1,'Revenue and costs'!V8+'Revenue and costs'!Y8+'Revenue and costs'!AE8,0)+IF(AND(9&gt;=(13-'Assumptions'!$J$31)+'Assumptions'!$AF$31,9&lt;=12),'Revenue and costs'!N9/'Assumptions'!$J$31,0)-IF(AND(9&gt;=(13-'Assumptions'!$J$31),9&lt;=12),SUM('Revenue and costs'!O9:U9)/'Assumptions'!$J$31,0)-IF(9=(13-'Assumptions'!$J$31)-1,'Revenue and costs'!V9+'Revenue and costs'!Y9+'Revenue and costs'!AE9,0)-'Segment tax'!G8/12</x:f>
        <x:v>9485.945442806858</x:v>
      </x:c>
      <x:c r="N27" s="24" t="n">
        <x:f>M27+IF(AND(10&gt;=(13-'Assumptions'!$J$30)+'Assumptions'!$AF$30,10&lt;=12),'Revenue and costs'!N8/'Assumptions'!$J$30,0)-IF(AND(10&gt;=(13-'Assumptions'!$J$30),10&lt;=12),SUM('Revenue and costs'!O8:U8)/'Assumptions'!$J$30,0)-IF(10=(13-'Assumptions'!$J$30)-1,'Revenue and costs'!V8+'Revenue and costs'!Y8+'Revenue and costs'!AE8,0)+IF(AND(10&gt;=(13-'Assumptions'!$J$31)+'Assumptions'!$AF$31,10&lt;=12),'Revenue and costs'!N9/'Assumptions'!$J$31,0)-IF(AND(10&gt;=(13-'Assumptions'!$J$31),10&lt;=12),SUM('Revenue and costs'!O9:U9)/'Assumptions'!$J$31,0)-IF(10=(13-'Assumptions'!$J$31)-1,'Revenue and costs'!V9+'Revenue and costs'!Y9+'Revenue and costs'!AE9,0)-'Segment tax'!G8/12</x:f>
        <x:v>10543.398382342883</x:v>
      </x:c>
      <x:c r="O27" s="24" t="n">
        <x:f>N27+IF(AND(11&gt;=(13-'Assumptions'!$J$30)+'Assumptions'!$AF$30,11&lt;=12),'Revenue and costs'!N8/'Assumptions'!$J$30,0)-IF(AND(11&gt;=(13-'Assumptions'!$J$30),11&lt;=12),SUM('Revenue and costs'!O8:U8)/'Assumptions'!$J$30,0)-IF(11=(13-'Assumptions'!$J$30)-1,'Revenue and costs'!V8+'Revenue and costs'!Y8+'Revenue and costs'!AE8,0)+IF(AND(11&gt;=(13-'Assumptions'!$J$31)+'Assumptions'!$AF$31,11&lt;=12),'Revenue and costs'!N9/'Assumptions'!$J$31,0)-IF(AND(11&gt;=(13-'Assumptions'!$J$31),11&lt;=12),SUM('Revenue and costs'!O9:U9)/'Assumptions'!$J$31,0)-IF(11=(13-'Assumptions'!$J$31)-1,'Revenue and costs'!V9+'Revenue and costs'!Y9+'Revenue and costs'!AE9,0)-'Segment tax'!G8/12</x:f>
        <x:v>11600.851321878907</x:v>
      </x:c>
      <x:c r="P27" s="24" t="n">
        <x:f>O27+IF(AND(12&gt;=(13-'Assumptions'!$J$30)+'Assumptions'!$AF$30,12&lt;=12),'Revenue and costs'!N8/'Assumptions'!$J$30,0)-IF(AND(12&gt;=(13-'Assumptions'!$J$30),12&lt;=12),SUM('Revenue and costs'!O8:U8)/'Assumptions'!$J$30,0)-IF(12=(13-'Assumptions'!$J$30)-1,'Revenue and costs'!V8+'Revenue and costs'!Y8+'Revenue and costs'!AE8,0)+IF(AND(12&gt;=(13-'Assumptions'!$J$31)+'Assumptions'!$AF$31,12&lt;=12),'Revenue and costs'!N9/'Assumptions'!$J$31,0)-IF(AND(12&gt;=(13-'Assumptions'!$J$31),12&lt;=12),SUM('Revenue and costs'!O9:U9)/'Assumptions'!$J$31,0)-IF(12=(13-'Assumptions'!$J$31)-1,'Revenue and costs'!V9+'Revenue and costs'!Y9+'Revenue and costs'!AE9,0)-'Segment tax'!G8/12-'Segment tax'!L8</x:f>
        <x:v>9488.53969389164</x:v>
      </x:c>
      <x:c r="Q27" s="24" t="n">
        <x:f>MAX(0,-MIN(D27:P27))</x:f>
        <x:v>31.13101301736267</x:v>
      </x:c>
    </x:row>
    <x:row r="28" ht="30" customHeight="1">
      <x:c r="A28" s="1"/>
      <x:c r="B28" s="1"/>
      <x:c r="C28" s="23" t="str">
        <x:v>ETV services</x:v>
      </x:c>
      <x:c r="D28" s="24" t="n">
        <x:f>IF(AND(0&gt;=(13-'Assumptions'!$J$32)+'Assumptions'!$AF$32,0&lt;=12),'Revenue and costs'!N10/'Assumptions'!$J$32,0)-IF(AND(0&gt;=(13-'Assumptions'!$J$32),0&lt;=12),SUM('Revenue and costs'!O10:U10)/'Assumptions'!$J$32,0)-IF(0=(13-'Assumptions'!$J$32)-1,'Revenue and costs'!V10+'Revenue and costs'!Y10+'Revenue and costs'!AE10,0)+IF(AND(0&gt;=(13-'Assumptions'!$J$33)+'Assumptions'!$AF$33,0&lt;=12),'Revenue and costs'!N11/'Assumptions'!$J$33,0)-IF(AND(0&gt;=(13-'Assumptions'!$J$33),0&lt;=12),SUM('Revenue and costs'!O11:U11)/'Assumptions'!$J$33,0)-IF(0=(13-'Assumptions'!$J$33)-1,'Revenue and costs'!V11+'Revenue and costs'!Y11+'Revenue and costs'!AE11,0)+IF(AND(0&gt;=(13-'Assumptions'!$J$34)+'Assumptions'!$AF$34,0&lt;=12),'Revenue and costs'!N12/'Assumptions'!$J$34,0)-IF(AND(0&gt;=(13-'Assumptions'!$J$34),0&lt;=12),SUM('Revenue and costs'!O12:U12)/'Assumptions'!$J$34,0)-IF(0=(13-'Assumptions'!$J$34)-1,'Revenue and costs'!V12+'Revenue and costs'!Y12+'Revenue and costs'!AE12,0)+IF(AND(0&gt;=(13-'Assumptions'!$J$35)+'Assumptions'!$AF$35,0&lt;=12),'Revenue and costs'!N13/'Assumptions'!$J$35,0)-IF(AND(0&gt;=(13-'Assumptions'!$J$35),0&lt;=12),SUM('Revenue and costs'!O13:U13)/'Assumptions'!$J$35,0)-IF(0=(13-'Assumptions'!$J$35)-1,'Revenue and costs'!V13+'Revenue and costs'!Y13+'Revenue and costs'!AE13,0)-IF('Income statement'!D50=0,1/39,'Segment tax'!E9/'Income statement'!D50)*'Cash and capital'!D13</x:f>
        <x:v>-171.95237865364948</x:v>
      </x:c>
      <x:c r="E28" s="24" t="n">
        <x:f>D28+IF(AND(1&gt;=(13-'Assumptions'!$J$32)+'Assumptions'!$AF$32,1&lt;=12),'Revenue and costs'!N10/'Assumptions'!$J$32,0)-IF(AND(1&gt;=(13-'Assumptions'!$J$32),1&lt;=12),SUM('Revenue and costs'!O10:U10)/'Assumptions'!$J$32,0)-IF(1=(13-'Assumptions'!$J$32)-1,'Revenue and costs'!V10+'Revenue and costs'!Y10+'Revenue and costs'!AE10,0)+IF(AND(1&gt;=(13-'Assumptions'!$J$33)+'Assumptions'!$AF$33,1&lt;=12),'Revenue and costs'!N11/'Assumptions'!$J$33,0)-IF(AND(1&gt;=(13-'Assumptions'!$J$33),1&lt;=12),SUM('Revenue and costs'!O11:U11)/'Assumptions'!$J$33,0)-IF(1=(13-'Assumptions'!$J$33)-1,'Revenue and costs'!V11+'Revenue and costs'!Y11+'Revenue and costs'!AE11,0)+IF(AND(1&gt;=(13-'Assumptions'!$J$34)+'Assumptions'!$AF$34,1&lt;=12),'Revenue and costs'!N12/'Assumptions'!$J$34,0)-IF(AND(1&gt;=(13-'Assumptions'!$J$34),1&lt;=12),SUM('Revenue and costs'!O12:U12)/'Assumptions'!$J$34,0)-IF(1=(13-'Assumptions'!$J$34)-1,'Revenue and costs'!V12+'Revenue and costs'!Y12+'Revenue and costs'!AE12,0)+IF(AND(1&gt;=(13-'Assumptions'!$J$35)+'Assumptions'!$AF$35,1&lt;=12),'Revenue and costs'!N13/'Assumptions'!$J$35,0)-IF(AND(1&gt;=(13-'Assumptions'!$J$35),1&lt;=12),SUM('Revenue and costs'!O13:U13)/'Assumptions'!$J$35,0)-IF(1=(13-'Assumptions'!$J$35)-1,'Revenue and costs'!V13+'Revenue and costs'!Y13+'Revenue and costs'!AE13,0)-'Segment tax'!G9/12</x:f>
        <x:v>-3675.1322110120745</x:v>
      </x:c>
      <x:c r="F28" s="24" t="n">
        <x:f>E28+IF(AND(2&gt;=(13-'Assumptions'!$J$32)+'Assumptions'!$AF$32,2&lt;=12),'Revenue and costs'!N10/'Assumptions'!$J$32,0)-IF(AND(2&gt;=(13-'Assumptions'!$J$32),2&lt;=12),SUM('Revenue and costs'!O10:U10)/'Assumptions'!$J$32,0)-IF(2=(13-'Assumptions'!$J$32)-1,'Revenue and costs'!V10+'Revenue and costs'!Y10+'Revenue and costs'!AE10,0)+IF(AND(2&gt;=(13-'Assumptions'!$J$33)+'Assumptions'!$AF$33,2&lt;=12),'Revenue and costs'!N11/'Assumptions'!$J$33,0)-IF(AND(2&gt;=(13-'Assumptions'!$J$33),2&lt;=12),SUM('Revenue and costs'!O11:U11)/'Assumptions'!$J$33,0)-IF(2=(13-'Assumptions'!$J$33)-1,'Revenue and costs'!V11+'Revenue and costs'!Y11+'Revenue and costs'!AE11,0)+IF(AND(2&gt;=(13-'Assumptions'!$J$34)+'Assumptions'!$AF$34,2&lt;=12),'Revenue and costs'!N12/'Assumptions'!$J$34,0)-IF(AND(2&gt;=(13-'Assumptions'!$J$34),2&lt;=12),SUM('Revenue and costs'!O12:U12)/'Assumptions'!$J$34,0)-IF(2=(13-'Assumptions'!$J$34)-1,'Revenue and costs'!V12+'Revenue and costs'!Y12+'Revenue and costs'!AE12,0)+IF(AND(2&gt;=(13-'Assumptions'!$J$35)+'Assumptions'!$AF$35,2&lt;=12),'Revenue and costs'!N13/'Assumptions'!$J$35,0)-IF(AND(2&gt;=(13-'Assumptions'!$J$35),2&lt;=12),SUM('Revenue and costs'!O13:U13)/'Assumptions'!$J$35,0)-IF(2=(13-'Assumptions'!$J$35)-1,'Revenue and costs'!V13+'Revenue and costs'!Y13+'Revenue and costs'!AE13,0)-'Segment tax'!G9/12</x:f>
        <x:v>-2166.645376703833</x:v>
      </x:c>
      <x:c r="G28" s="24" t="n">
        <x:f>F28+IF(AND(3&gt;=(13-'Assumptions'!$J$32)+'Assumptions'!$AF$32,3&lt;=12),'Revenue and costs'!N10/'Assumptions'!$J$32,0)-IF(AND(3&gt;=(13-'Assumptions'!$J$32),3&lt;=12),SUM('Revenue and costs'!O10:U10)/'Assumptions'!$J$32,0)-IF(3=(13-'Assumptions'!$J$32)-1,'Revenue and costs'!V10+'Revenue and costs'!Y10+'Revenue and costs'!AE10,0)+IF(AND(3&gt;=(13-'Assumptions'!$J$33)+'Assumptions'!$AF$33,3&lt;=12),'Revenue and costs'!N11/'Assumptions'!$J$33,0)-IF(AND(3&gt;=(13-'Assumptions'!$J$33),3&lt;=12),SUM('Revenue and costs'!O11:U11)/'Assumptions'!$J$33,0)-IF(3=(13-'Assumptions'!$J$33)-1,'Revenue and costs'!V11+'Revenue and costs'!Y11+'Revenue and costs'!AE11,0)+IF(AND(3&gt;=(13-'Assumptions'!$J$34)+'Assumptions'!$AF$34,3&lt;=12),'Revenue and costs'!N12/'Assumptions'!$J$34,0)-IF(AND(3&gt;=(13-'Assumptions'!$J$34),3&lt;=12),SUM('Revenue and costs'!O12:U12)/'Assumptions'!$J$34,0)-IF(3=(13-'Assumptions'!$J$34)-1,'Revenue and costs'!V12+'Revenue and costs'!Y12+'Revenue and costs'!AE12,0)+IF(AND(3&gt;=(13-'Assumptions'!$J$35)+'Assumptions'!$AF$35,3&lt;=12),'Revenue and costs'!N13/'Assumptions'!$J$35,0)-IF(AND(3&gt;=(13-'Assumptions'!$J$35),3&lt;=12),SUM('Revenue and costs'!O13:U13)/'Assumptions'!$J$35,0)-IF(3=(13-'Assumptions'!$J$35)-1,'Revenue and costs'!V13+'Revenue and costs'!Y13+'Revenue and costs'!AE13,0)-'Segment tax'!G9/12</x:f>
        <x:v>-658.1585423955917</x:v>
      </x:c>
      <x:c r="H28" s="24" t="n">
        <x:f>G28+IF(AND(4&gt;=(13-'Assumptions'!$J$32)+'Assumptions'!$AF$32,4&lt;=12),'Revenue and costs'!N10/'Assumptions'!$J$32,0)-IF(AND(4&gt;=(13-'Assumptions'!$J$32),4&lt;=12),SUM('Revenue and costs'!O10:U10)/'Assumptions'!$J$32,0)-IF(4=(13-'Assumptions'!$J$32)-1,'Revenue and costs'!V10+'Revenue and costs'!Y10+'Revenue and costs'!AE10,0)+IF(AND(4&gt;=(13-'Assumptions'!$J$33)+'Assumptions'!$AF$33,4&lt;=12),'Revenue and costs'!N11/'Assumptions'!$J$33,0)-IF(AND(4&gt;=(13-'Assumptions'!$J$33),4&lt;=12),SUM('Revenue and costs'!O11:U11)/'Assumptions'!$J$33,0)-IF(4=(13-'Assumptions'!$J$33)-1,'Revenue and costs'!V11+'Revenue and costs'!Y11+'Revenue and costs'!AE11,0)+IF(AND(4&gt;=(13-'Assumptions'!$J$34)+'Assumptions'!$AF$34,4&lt;=12),'Revenue and costs'!N12/'Assumptions'!$J$34,0)-IF(AND(4&gt;=(13-'Assumptions'!$J$34),4&lt;=12),SUM('Revenue and costs'!O12:U12)/'Assumptions'!$J$34,0)-IF(4=(13-'Assumptions'!$J$34)-1,'Revenue and costs'!V12+'Revenue and costs'!Y12+'Revenue and costs'!AE12,0)+IF(AND(4&gt;=(13-'Assumptions'!$J$35)+'Assumptions'!$AF$35,4&lt;=12),'Revenue and costs'!N13/'Assumptions'!$J$35,0)-IF(AND(4&gt;=(13-'Assumptions'!$J$35),4&lt;=12),SUM('Revenue and costs'!O13:U13)/'Assumptions'!$J$35,0)-IF(4=(13-'Assumptions'!$J$35)-1,'Revenue and costs'!V13+'Revenue and costs'!Y13+'Revenue and costs'!AE13,0)-'Segment tax'!G9/12</x:f>
        <x:v>850.3282919126493</x:v>
      </x:c>
      <x:c r="I28" s="24" t="n">
        <x:f>H28+IF(AND(5&gt;=(13-'Assumptions'!$J$32)+'Assumptions'!$AF$32,5&lt;=12),'Revenue and costs'!N10/'Assumptions'!$J$32,0)-IF(AND(5&gt;=(13-'Assumptions'!$J$32),5&lt;=12),SUM('Revenue and costs'!O10:U10)/'Assumptions'!$J$32,0)-IF(5=(13-'Assumptions'!$J$32)-1,'Revenue and costs'!V10+'Revenue and costs'!Y10+'Revenue and costs'!AE10,0)+IF(AND(5&gt;=(13-'Assumptions'!$J$33)+'Assumptions'!$AF$33,5&lt;=12),'Revenue and costs'!N11/'Assumptions'!$J$33,0)-IF(AND(5&gt;=(13-'Assumptions'!$J$33),5&lt;=12),SUM('Revenue and costs'!O11:U11)/'Assumptions'!$J$33,0)-IF(5=(13-'Assumptions'!$J$33)-1,'Revenue and costs'!V11+'Revenue and costs'!Y11+'Revenue and costs'!AE11,0)+IF(AND(5&gt;=(13-'Assumptions'!$J$34)+'Assumptions'!$AF$34,5&lt;=12),'Revenue and costs'!N12/'Assumptions'!$J$34,0)-IF(AND(5&gt;=(13-'Assumptions'!$J$34),5&lt;=12),SUM('Revenue and costs'!O12:U12)/'Assumptions'!$J$34,0)-IF(5=(13-'Assumptions'!$J$34)-1,'Revenue and costs'!V12+'Revenue and costs'!Y12+'Revenue and costs'!AE12,0)+IF(AND(5&gt;=(13-'Assumptions'!$J$35)+'Assumptions'!$AF$35,5&lt;=12),'Revenue and costs'!N13/'Assumptions'!$J$35,0)-IF(AND(5&gt;=(13-'Assumptions'!$J$35),5&lt;=12),SUM('Revenue and costs'!O13:U13)/'Assumptions'!$J$35,0)-IF(5=(13-'Assumptions'!$J$35)-1,'Revenue and costs'!V13+'Revenue and costs'!Y13+'Revenue and costs'!AE13,0)-'Segment tax'!G9/12</x:f>
        <x:v>2358.815126220891</x:v>
      </x:c>
      <x:c r="J28" s="24" t="n">
        <x:f>I28+IF(AND(6&gt;=(13-'Assumptions'!$J$32)+'Assumptions'!$AF$32,6&lt;=12),'Revenue and costs'!N10/'Assumptions'!$J$32,0)-IF(AND(6&gt;=(13-'Assumptions'!$J$32),6&lt;=12),SUM('Revenue and costs'!O10:U10)/'Assumptions'!$J$32,0)-IF(6=(13-'Assumptions'!$J$32)-1,'Revenue and costs'!V10+'Revenue and costs'!Y10+'Revenue and costs'!AE10,0)+IF(AND(6&gt;=(13-'Assumptions'!$J$33)+'Assumptions'!$AF$33,6&lt;=12),'Revenue and costs'!N11/'Assumptions'!$J$33,0)-IF(AND(6&gt;=(13-'Assumptions'!$J$33),6&lt;=12),SUM('Revenue and costs'!O11:U11)/'Assumptions'!$J$33,0)-IF(6=(13-'Assumptions'!$J$33)-1,'Revenue and costs'!V11+'Revenue and costs'!Y11+'Revenue and costs'!AE11,0)+IF(AND(6&gt;=(13-'Assumptions'!$J$34)+'Assumptions'!$AF$34,6&lt;=12),'Revenue and costs'!N12/'Assumptions'!$J$34,0)-IF(AND(6&gt;=(13-'Assumptions'!$J$34),6&lt;=12),SUM('Revenue and costs'!O12:U12)/'Assumptions'!$J$34,0)-IF(6=(13-'Assumptions'!$J$34)-1,'Revenue and costs'!V12+'Revenue and costs'!Y12+'Revenue and costs'!AE12,0)+IF(AND(6&gt;=(13-'Assumptions'!$J$35)+'Assumptions'!$AF$35,6&lt;=12),'Revenue and costs'!N13/'Assumptions'!$J$35,0)-IF(AND(6&gt;=(13-'Assumptions'!$J$35),6&lt;=12),SUM('Revenue and costs'!O13:U13)/'Assumptions'!$J$35,0)-IF(6=(13-'Assumptions'!$J$35)-1,'Revenue and costs'!V13+'Revenue and costs'!Y13+'Revenue and costs'!AE13,0)-'Segment tax'!G9/12</x:f>
        <x:v>3867.301960529133</x:v>
      </x:c>
      <x:c r="K28" s="24" t="n">
        <x:f>J28+IF(AND(7&gt;=(13-'Assumptions'!$J$32)+'Assumptions'!$AF$32,7&lt;=12),'Revenue and costs'!N10/'Assumptions'!$J$32,0)-IF(AND(7&gt;=(13-'Assumptions'!$J$32),7&lt;=12),SUM('Revenue and costs'!O10:U10)/'Assumptions'!$J$32,0)-IF(7=(13-'Assumptions'!$J$32)-1,'Revenue and costs'!V10+'Revenue and costs'!Y10+'Revenue and costs'!AE10,0)+IF(AND(7&gt;=(13-'Assumptions'!$J$33)+'Assumptions'!$AF$33,7&lt;=12),'Revenue and costs'!N11/'Assumptions'!$J$33,0)-IF(AND(7&gt;=(13-'Assumptions'!$J$33),7&lt;=12),SUM('Revenue and costs'!O11:U11)/'Assumptions'!$J$33,0)-IF(7=(13-'Assumptions'!$J$33)-1,'Revenue and costs'!V11+'Revenue and costs'!Y11+'Revenue and costs'!AE11,0)+IF(AND(7&gt;=(13-'Assumptions'!$J$34)+'Assumptions'!$AF$34,7&lt;=12),'Revenue and costs'!N12/'Assumptions'!$J$34,0)-IF(AND(7&gt;=(13-'Assumptions'!$J$34),7&lt;=12),SUM('Revenue and costs'!O12:U12)/'Assumptions'!$J$34,0)-IF(7=(13-'Assumptions'!$J$34)-1,'Revenue and costs'!V12+'Revenue and costs'!Y12+'Revenue and costs'!AE12,0)+IF(AND(7&gt;=(13-'Assumptions'!$J$35)+'Assumptions'!$AF$35,7&lt;=12),'Revenue and costs'!N13/'Assumptions'!$J$35,0)-IF(AND(7&gt;=(13-'Assumptions'!$J$35),7&lt;=12),SUM('Revenue and costs'!O13:U13)/'Assumptions'!$J$35,0)-IF(7=(13-'Assumptions'!$J$35)-1,'Revenue and costs'!V13+'Revenue and costs'!Y13+'Revenue and costs'!AE13,0)-'Segment tax'!G9/12</x:f>
        <x:v>5375.788794837375</x:v>
      </x:c>
      <x:c r="L28" s="24" t="n">
        <x:f>K28+IF(AND(8&gt;=(13-'Assumptions'!$J$32)+'Assumptions'!$AF$32,8&lt;=12),'Revenue and costs'!N10/'Assumptions'!$J$32,0)-IF(AND(8&gt;=(13-'Assumptions'!$J$32),8&lt;=12),SUM('Revenue and costs'!O10:U10)/'Assumptions'!$J$32,0)-IF(8=(13-'Assumptions'!$J$32)-1,'Revenue and costs'!V10+'Revenue and costs'!Y10+'Revenue and costs'!AE10,0)+IF(AND(8&gt;=(13-'Assumptions'!$J$33)+'Assumptions'!$AF$33,8&lt;=12),'Revenue and costs'!N11/'Assumptions'!$J$33,0)-IF(AND(8&gt;=(13-'Assumptions'!$J$33),8&lt;=12),SUM('Revenue and costs'!O11:U11)/'Assumptions'!$J$33,0)-IF(8=(13-'Assumptions'!$J$33)-1,'Revenue and costs'!V11+'Revenue and costs'!Y11+'Revenue and costs'!AE11,0)+IF(AND(8&gt;=(13-'Assumptions'!$J$34)+'Assumptions'!$AF$34,8&lt;=12),'Revenue and costs'!N12/'Assumptions'!$J$34,0)-IF(AND(8&gt;=(13-'Assumptions'!$J$34),8&lt;=12),SUM('Revenue and costs'!O12:U12)/'Assumptions'!$J$34,0)-IF(8=(13-'Assumptions'!$J$34)-1,'Revenue and costs'!V12+'Revenue and costs'!Y12+'Revenue and costs'!AE12,0)+IF(AND(8&gt;=(13-'Assumptions'!$J$35)+'Assumptions'!$AF$35,8&lt;=12),'Revenue and costs'!N13/'Assumptions'!$J$35,0)-IF(AND(8&gt;=(13-'Assumptions'!$J$35),8&lt;=12),SUM('Revenue and costs'!O13:U13)/'Assumptions'!$J$35,0)-IF(8=(13-'Assumptions'!$J$35)-1,'Revenue and costs'!V13+'Revenue and costs'!Y13+'Revenue and costs'!AE13,0)-'Segment tax'!G9/12</x:f>
        <x:v>6884.275629145616</x:v>
      </x:c>
      <x:c r="M28" s="24" t="n">
        <x:f>L28+IF(AND(9&gt;=(13-'Assumptions'!$J$32)+'Assumptions'!$AF$32,9&lt;=12),'Revenue and costs'!N10/'Assumptions'!$J$32,0)-IF(AND(9&gt;=(13-'Assumptions'!$J$32),9&lt;=12),SUM('Revenue and costs'!O10:U10)/'Assumptions'!$J$32,0)-IF(9=(13-'Assumptions'!$J$32)-1,'Revenue and costs'!V10+'Revenue and costs'!Y10+'Revenue and costs'!AE10,0)+IF(AND(9&gt;=(13-'Assumptions'!$J$33)+'Assumptions'!$AF$33,9&lt;=12),'Revenue and costs'!N11/'Assumptions'!$J$33,0)-IF(AND(9&gt;=(13-'Assumptions'!$J$33),9&lt;=12),SUM('Revenue and costs'!O11:U11)/'Assumptions'!$J$33,0)-IF(9=(13-'Assumptions'!$J$33)-1,'Revenue and costs'!V11+'Revenue and costs'!Y11+'Revenue and costs'!AE11,0)+IF(AND(9&gt;=(13-'Assumptions'!$J$34)+'Assumptions'!$AF$34,9&lt;=12),'Revenue and costs'!N12/'Assumptions'!$J$34,0)-IF(AND(9&gt;=(13-'Assumptions'!$J$34),9&lt;=12),SUM('Revenue and costs'!O12:U12)/'Assumptions'!$J$34,0)-IF(9=(13-'Assumptions'!$J$34)-1,'Revenue and costs'!V12+'Revenue and costs'!Y12+'Revenue and costs'!AE12,0)+IF(AND(9&gt;=(13-'Assumptions'!$J$35)+'Assumptions'!$AF$35,9&lt;=12),'Revenue and costs'!N13/'Assumptions'!$J$35,0)-IF(AND(9&gt;=(13-'Assumptions'!$J$35),9&lt;=12),SUM('Revenue and costs'!O13:U13)/'Assumptions'!$J$35,0)-IF(9=(13-'Assumptions'!$J$35)-1,'Revenue and costs'!V13+'Revenue and costs'!Y13+'Revenue and costs'!AE13,0)-'Segment tax'!G9/12</x:f>
        <x:v>8392.762463453859</x:v>
      </x:c>
      <x:c r="N28" s="24" t="n">
        <x:f>M28+IF(AND(10&gt;=(13-'Assumptions'!$J$32)+'Assumptions'!$AF$32,10&lt;=12),'Revenue and costs'!N10/'Assumptions'!$J$32,0)-IF(AND(10&gt;=(13-'Assumptions'!$J$32),10&lt;=12),SUM('Revenue and costs'!O10:U10)/'Assumptions'!$J$32,0)-IF(10=(13-'Assumptions'!$J$32)-1,'Revenue and costs'!V10+'Revenue and costs'!Y10+'Revenue and costs'!AE10,0)+IF(AND(10&gt;=(13-'Assumptions'!$J$33)+'Assumptions'!$AF$33,10&lt;=12),'Revenue and costs'!N11/'Assumptions'!$J$33,0)-IF(AND(10&gt;=(13-'Assumptions'!$J$33),10&lt;=12),SUM('Revenue and costs'!O11:U11)/'Assumptions'!$J$33,0)-IF(10=(13-'Assumptions'!$J$33)-1,'Revenue and costs'!V11+'Revenue and costs'!Y11+'Revenue and costs'!AE11,0)+IF(AND(10&gt;=(13-'Assumptions'!$J$34)+'Assumptions'!$AF$34,10&lt;=12),'Revenue and costs'!N12/'Assumptions'!$J$34,0)-IF(AND(10&gt;=(13-'Assumptions'!$J$34),10&lt;=12),SUM('Revenue and costs'!O12:U12)/'Assumptions'!$J$34,0)-IF(10=(13-'Assumptions'!$J$34)-1,'Revenue and costs'!V12+'Revenue and costs'!Y12+'Revenue and costs'!AE12,0)+IF(AND(10&gt;=(13-'Assumptions'!$J$35)+'Assumptions'!$AF$35,10&lt;=12),'Revenue and costs'!N13/'Assumptions'!$J$35,0)-IF(AND(10&gt;=(13-'Assumptions'!$J$35),10&lt;=12),SUM('Revenue and costs'!O13:U13)/'Assumptions'!$J$35,0)-IF(10=(13-'Assumptions'!$J$35)-1,'Revenue and costs'!V13+'Revenue and costs'!Y13+'Revenue and costs'!AE13,0)-'Segment tax'!G9/12</x:f>
        <x:v>9901.249297762099</x:v>
      </x:c>
      <x:c r="O28" s="24" t="n">
        <x:f>N28+IF(AND(11&gt;=(13-'Assumptions'!$J$32)+'Assumptions'!$AF$32,11&lt;=12),'Revenue and costs'!N10/'Assumptions'!$J$32,0)-IF(AND(11&gt;=(13-'Assumptions'!$J$32),11&lt;=12),SUM('Revenue and costs'!O10:U10)/'Assumptions'!$J$32,0)-IF(11=(13-'Assumptions'!$J$32)-1,'Revenue and costs'!V10+'Revenue and costs'!Y10+'Revenue and costs'!AE10,0)+IF(AND(11&gt;=(13-'Assumptions'!$J$33)+'Assumptions'!$AF$33,11&lt;=12),'Revenue and costs'!N11/'Assumptions'!$J$33,0)-IF(AND(11&gt;=(13-'Assumptions'!$J$33),11&lt;=12),SUM('Revenue and costs'!O11:U11)/'Assumptions'!$J$33,0)-IF(11=(13-'Assumptions'!$J$33)-1,'Revenue and costs'!V11+'Revenue and costs'!Y11+'Revenue and costs'!AE11,0)+IF(AND(11&gt;=(13-'Assumptions'!$J$34)+'Assumptions'!$AF$34,11&lt;=12),'Revenue and costs'!N12/'Assumptions'!$J$34,0)-IF(AND(11&gt;=(13-'Assumptions'!$J$34),11&lt;=12),SUM('Revenue and costs'!O12:U12)/'Assumptions'!$J$34,0)-IF(11=(13-'Assumptions'!$J$34)-1,'Revenue and costs'!V12+'Revenue and costs'!Y12+'Revenue and costs'!AE12,0)+IF(AND(11&gt;=(13-'Assumptions'!$J$35)+'Assumptions'!$AF$35,11&lt;=12),'Revenue and costs'!N13/'Assumptions'!$J$35,0)-IF(AND(11&gt;=(13-'Assumptions'!$J$35),11&lt;=12),SUM('Revenue and costs'!O13:U13)/'Assumptions'!$J$35,0)-IF(11=(13-'Assumptions'!$J$35)-1,'Revenue and costs'!V13+'Revenue and costs'!Y13+'Revenue and costs'!AE13,0)-'Segment tax'!G9/12</x:f>
        <x:v>11409.736132070338</x:v>
      </x:c>
      <x:c r="P28" s="24" t="n">
        <x:f>O28+IF(AND(12&gt;=(13-'Assumptions'!$J$32)+'Assumptions'!$AF$32,12&lt;=12),'Revenue and costs'!N10/'Assumptions'!$J$32,0)-IF(AND(12&gt;=(13-'Assumptions'!$J$32),12&lt;=12),SUM('Revenue and costs'!O10:U10)/'Assumptions'!$J$32,0)-IF(12=(13-'Assumptions'!$J$32)-1,'Revenue and costs'!V10+'Revenue and costs'!Y10+'Revenue and costs'!AE10,0)+IF(AND(12&gt;=(13-'Assumptions'!$J$33)+'Assumptions'!$AF$33,12&lt;=12),'Revenue and costs'!N11/'Assumptions'!$J$33,0)-IF(AND(12&gt;=(13-'Assumptions'!$J$33),12&lt;=12),SUM('Revenue and costs'!O11:U11)/'Assumptions'!$J$33,0)-IF(12=(13-'Assumptions'!$J$33)-1,'Revenue and costs'!V11+'Revenue and costs'!Y11+'Revenue and costs'!AE11,0)+IF(AND(12&gt;=(13-'Assumptions'!$J$34)+'Assumptions'!$AF$34,12&lt;=12),'Revenue and costs'!N12/'Assumptions'!$J$34,0)-IF(AND(12&gt;=(13-'Assumptions'!$J$34),12&lt;=12),SUM('Revenue and costs'!O12:U12)/'Assumptions'!$J$34,0)-IF(12=(13-'Assumptions'!$J$34)-1,'Revenue and costs'!V12+'Revenue and costs'!Y12+'Revenue and costs'!AE12,0)+IF(AND(12&gt;=(13-'Assumptions'!$J$35)+'Assumptions'!$AF$35,12&lt;=12),'Revenue and costs'!N13/'Assumptions'!$J$35,0)-IF(AND(12&gt;=(13-'Assumptions'!$J$35),12&lt;=12),SUM('Revenue and costs'!O13:U13)/'Assumptions'!$J$35,0)-IF(12=(13-'Assumptions'!$J$35)-1,'Revenue and costs'!V13+'Revenue and costs'!Y13+'Revenue and costs'!AE13,0)-'Segment tax'!G9/12-'Segment tax'!L9</x:f>
        <x:v>8400.147383897216</x:v>
      </x:c>
      <x:c r="Q28" s="24" t="n">
        <x:f>MAX(0,-MIN(D28:P28))</x:f>
        <x:v>3675.1322110120745</x:v>
      </x:c>
    </x:row>
    <x:row r="29" ht="30" customHeight="1">
      <x:c r="A29" s="1"/>
      <x:c r="B29" s="1"/>
      <x:c r="C29" s="23" t="str">
        <x:v>BPA professional services</x:v>
      </x:c>
      <x:c r="D29" s="24" t="n">
        <x:f>IF(AND(0&gt;=(13-'Assumptions'!$J$36)+'Assumptions'!$AF$36,0&lt;=12),'Revenue and costs'!N14/'Assumptions'!$J$36,0)-IF(AND(0&gt;=(13-'Assumptions'!$J$36),0&lt;=12),SUM('Revenue and costs'!O14:U14)/'Assumptions'!$J$36,0)-IF(0=(13-'Assumptions'!$J$36)-1,'Revenue and costs'!V14+'Revenue and costs'!Y14+'Revenue and costs'!AE14,0)+IF(AND(0&gt;=(13-'Assumptions'!$J$37)+'Assumptions'!$AF$37,0&lt;=12),'Revenue and costs'!N15/'Assumptions'!$J$37,0)-IF(AND(0&gt;=(13-'Assumptions'!$J$37),0&lt;=12),SUM('Revenue and costs'!O15:U15)/'Assumptions'!$J$37,0)-IF(0=(13-'Assumptions'!$J$37)-1,'Revenue and costs'!V15+'Revenue and costs'!Y15+'Revenue and costs'!AE15,0)+IF(AND(0&gt;=(13-'Assumptions'!$J$38)+'Assumptions'!$AF$38,0&lt;=12),'Revenue and costs'!N16/'Assumptions'!$J$38,0)-IF(AND(0&gt;=(13-'Assumptions'!$J$38),0&lt;=12),SUM('Revenue and costs'!O16:U16)/'Assumptions'!$J$38,0)-IF(0=(13-'Assumptions'!$J$38)-1,'Revenue and costs'!V16+'Revenue and costs'!Y16+'Revenue and costs'!AE16,0)+IF(AND(0&gt;=(13-'Assumptions'!$J$39)+'Assumptions'!$AF$39,0&lt;=12),'Revenue and costs'!N17/'Assumptions'!$J$39,0)-IF(AND(0&gt;=(13-'Assumptions'!$J$39),0&lt;=12),SUM('Revenue and costs'!O17:U17)/'Assumptions'!$J$39,0)-IF(0=(13-'Assumptions'!$J$39)-1,'Revenue and costs'!V17+'Revenue and costs'!Y17+'Revenue and costs'!AE17,0)+IF(AND(0&gt;=(13-'Assumptions'!$J$40)+'Assumptions'!$AF$40,0&lt;=12),'Revenue and costs'!N18/'Assumptions'!$J$40,0)-IF(AND(0&gt;=(13-'Assumptions'!$J$40),0&lt;=12),SUM('Revenue and costs'!O18:U18)/'Assumptions'!$J$40,0)-IF(0=(13-'Assumptions'!$J$40)-1,'Revenue and costs'!V18+'Revenue and costs'!Y18+'Revenue and costs'!AE18,0)+IF(AND(0&gt;=(13-'Assumptions'!$J$41)+'Assumptions'!$AF$41,0&lt;=12),'Revenue and costs'!N19/'Assumptions'!$J$41,0)-IF(AND(0&gt;=(13-'Assumptions'!$J$41),0&lt;=12),SUM('Revenue and costs'!O19:U19)/'Assumptions'!$J$41,0)-IF(0=(13-'Assumptions'!$J$41)-1,'Revenue and costs'!V19+'Revenue and costs'!Y19+'Revenue and costs'!AE19,0)+IF(AND(0&gt;=(13-'Assumptions'!$J$42)+'Assumptions'!$AF$42,0&lt;=12),'Revenue and costs'!N20/'Assumptions'!$J$42,0)-IF(AND(0&gt;=(13-'Assumptions'!$J$42),0&lt;=12),SUM('Revenue and costs'!O20:U20)/'Assumptions'!$J$42,0)-IF(0=(13-'Assumptions'!$J$42)-1,'Revenue and costs'!V20+'Revenue and costs'!Y20+'Revenue and costs'!AE20,0)+IF(AND(0&gt;=(13-'Assumptions'!$J$43)+'Assumptions'!$AF$43,0&lt;=12),'Revenue and costs'!N21/'Assumptions'!$J$43,0)-IF(AND(0&gt;=(13-'Assumptions'!$J$43),0&lt;=12),SUM('Revenue and costs'!O21:U21)/'Assumptions'!$J$43,0)-IF(0=(13-'Assumptions'!$J$43)-1,'Revenue and costs'!V21+'Revenue and costs'!Y21+'Revenue and costs'!AE21,0)+IF(AND(0&gt;=(13-'Assumptions'!$J$44)+'Assumptions'!$AF$44,0&lt;=12),'Revenue and costs'!N22/'Assumptions'!$J$44,0)-IF(AND(0&gt;=(13-'Assumptions'!$J$44),0&lt;=12),SUM('Revenue and costs'!O22:U22)/'Assumptions'!$J$44,0)-IF(0=(13-'Assumptions'!$J$44)-1,'Revenue and costs'!V22+'Revenue and costs'!Y22+'Revenue and costs'!AE22,0)+IF(AND(0&gt;=(13-'Assumptions'!$J$45)+'Assumptions'!$AF$45,0&lt;=12),'Revenue and costs'!N23/'Assumptions'!$J$45,0)-IF(AND(0&gt;=(13-'Assumptions'!$J$45),0&lt;=12),SUM('Revenue and costs'!O23:U23)/'Assumptions'!$J$45,0)-IF(0=(13-'Assumptions'!$J$45)-1,'Revenue and costs'!V23+'Revenue and costs'!Y23+'Revenue and costs'!AE23,0)+IF(AND(0&gt;=(13-'Assumptions'!$J$46)+'Assumptions'!$AF$46,0&lt;=12),'Revenue and costs'!N24/'Assumptions'!$J$46,0)-IF(AND(0&gt;=(13-'Assumptions'!$J$46),0&lt;=12),SUM('Revenue and costs'!O24:U24)/'Assumptions'!$J$46,0)-IF(0=(13-'Assumptions'!$J$46)-1,'Revenue and costs'!V24+'Revenue and costs'!Y24+'Revenue and costs'!AE24,0)+IF(AND(0&gt;=(13-'Assumptions'!$J$47)+'Assumptions'!$AF$47,0&lt;=12),'Revenue and costs'!N25/'Assumptions'!$J$47,0)-IF(AND(0&gt;=(13-'Assumptions'!$J$47),0&lt;=12),SUM('Revenue and costs'!O25:U25)/'Assumptions'!$J$47,0)-IF(0=(13-'Assumptions'!$J$47)-1,'Revenue and costs'!V25+'Revenue and costs'!Y25+'Revenue and costs'!AE25,0)+IF(AND(0&gt;=(13-'Assumptions'!$J$48)+'Assumptions'!$AF$48,0&lt;=12),'Revenue and costs'!N26/'Assumptions'!$J$48,0)-IF(AND(0&gt;=(13-'Assumptions'!$J$48),0&lt;=12),SUM('Revenue and costs'!O26:U26)/'Assumptions'!$J$48,0)-IF(0=(13-'Assumptions'!$J$48)-1,'Revenue and costs'!V26+'Revenue and costs'!Y26+'Revenue and costs'!AE26,0)+IF(AND(0&gt;=(13-'Assumptions'!$J$49)+'Assumptions'!$AF$49,0&lt;=12),'Revenue and costs'!N27/'Assumptions'!$J$49,0)-IF(AND(0&gt;=(13-'Assumptions'!$J$49),0&lt;=12),SUM('Revenue and costs'!O27:U27)/'Assumptions'!$J$49,0)-IF(0=(13-'Assumptions'!$J$49)-1,'Revenue and costs'!V27+'Revenue and costs'!Y27+'Revenue and costs'!AE27,0)+IF(AND(0&gt;=(13-'Assumptions'!$J$50)+'Assumptions'!$AF$50,0&lt;=12),'Revenue and costs'!N28/'Assumptions'!$J$50,0)-IF(AND(0&gt;=(13-'Assumptions'!$J$50),0&lt;=12),SUM('Revenue and costs'!O28:U28)/'Assumptions'!$J$50,0)-IF(0=(13-'Assumptions'!$J$50)-1,'Revenue and costs'!V28+'Revenue and costs'!Y28+'Revenue and costs'!AE28,0)+IF(AND(0&gt;=(13-'Assumptions'!$J$51)+'Assumptions'!$AF$51,0&lt;=12),'Revenue and costs'!N29/'Assumptions'!$J$51,0)-IF(AND(0&gt;=(13-'Assumptions'!$J$51),0&lt;=12),SUM('Revenue and costs'!O29:U29)/'Assumptions'!$J$51,0)-IF(0=(13-'Assumptions'!$J$51)-1,'Revenue and costs'!V29+'Revenue and costs'!Y29+'Revenue and costs'!AE29,0)+IF(AND(0&gt;=(13-'Assumptions'!$J$52)+'Assumptions'!$AF$52,0&lt;=12),'Revenue and costs'!N30/'Assumptions'!$J$52,0)-IF(AND(0&gt;=(13-'Assumptions'!$J$52),0&lt;=12),SUM('Revenue and costs'!O30:U30)/'Assumptions'!$J$52,0)-IF(0=(13-'Assumptions'!$J$52)-1,'Revenue and costs'!V30+'Revenue and costs'!Y30+'Revenue and costs'!AE30,0)+IF(AND(0&gt;=(13-'Assumptions'!$J$53)+'Assumptions'!$AF$53,0&lt;=12),'Revenue and costs'!N31/'Assumptions'!$J$53,0)-IF(AND(0&gt;=(13-'Assumptions'!$J$53),0&lt;=12),SUM('Revenue and costs'!O31:U31)/'Assumptions'!$J$53,0)-IF(0=(13-'Assumptions'!$J$53)-1,'Revenue and costs'!V31+'Revenue and costs'!Y31+'Revenue and costs'!AE31,0)+IF(AND(0&gt;=(13-'Assumptions'!$J$54)+'Assumptions'!$AF$54,0&lt;=12),'Revenue and costs'!N32/'Assumptions'!$J$54,0)-IF(AND(0&gt;=(13-'Assumptions'!$J$54),0&lt;=12),SUM('Revenue and costs'!O32:U32)/'Assumptions'!$J$54,0)-IF(0=(13-'Assumptions'!$J$54)-1,'Revenue and costs'!V32+'Revenue and costs'!Y32+'Revenue and costs'!AE32,0)+IF(AND(0&gt;=(13-'Assumptions'!$J$55)+'Assumptions'!$AF$55,0&lt;=12),'Revenue and costs'!N33/'Assumptions'!$J$55,0)-IF(AND(0&gt;=(13-'Assumptions'!$J$55),0&lt;=12),SUM('Revenue and costs'!O33:U33)/'Assumptions'!$J$55,0)-IF(0=(13-'Assumptions'!$J$55)-1,'Revenue and costs'!V33+'Revenue and costs'!Y33+'Revenue and costs'!AE33,0)+IF(AND(0&gt;=(13-'Assumptions'!$J$56)+'Assumptions'!$AF$56,0&lt;=12),'Revenue and costs'!N34/'Assumptions'!$J$56,0)-IF(AND(0&gt;=(13-'Assumptions'!$J$56),0&lt;=12),SUM('Revenue and costs'!O34:U34)/'Assumptions'!$J$56,0)-IF(0=(13-'Assumptions'!$J$56)-1,'Revenue and costs'!V34+'Revenue and costs'!Y34+'Revenue and costs'!AE34,0)+IF(AND(0&gt;=(13-'Assumptions'!$J$57)+'Assumptions'!$AF$57,0&lt;=12),'Revenue and costs'!N35/'Assumptions'!$J$57,0)-IF(AND(0&gt;=(13-'Assumptions'!$J$57),0&lt;=12),SUM('Revenue and costs'!O35:U35)/'Assumptions'!$J$57,0)-IF(0=(13-'Assumptions'!$J$57)-1,'Revenue and costs'!V35+'Revenue and costs'!Y35+'Revenue and costs'!AE35,0)+IF(AND(0&gt;=(13-'Assumptions'!$J$58)+'Assumptions'!$AF$58,0&lt;=12),'Revenue and costs'!N36/'Assumptions'!$J$58,0)-IF(AND(0&gt;=(13-'Assumptions'!$J$58),0&lt;=12),SUM('Revenue and costs'!O36:U36)/'Assumptions'!$J$58,0)-IF(0=(13-'Assumptions'!$J$58)-1,'Revenue and costs'!V36+'Revenue and costs'!Y36+'Revenue and costs'!AE36,0)+IF(AND(0&gt;=(13-'Assumptions'!$J$59)+'Assumptions'!$AF$59,0&lt;=12),'Revenue and costs'!N37/'Assumptions'!$J$59,0)-IF(AND(0&gt;=(13-'Assumptions'!$J$59),0&lt;=12),SUM('Revenue and costs'!O37:U37)/'Assumptions'!$J$59,0)-IF(0=(13-'Assumptions'!$J$59)-1,'Revenue and costs'!V37+'Revenue and costs'!Y37+'Revenue and costs'!AE37,0)+IF(AND(0&gt;=(13-'Assumptions'!$J$60)+'Assumptions'!$AF$60,0&lt;=12),'Revenue and costs'!N38/'Assumptions'!$J$60,0)-IF(AND(0&gt;=(13-'Assumptions'!$J$60),0&lt;=12),SUM('Revenue and costs'!O38:U38)/'Assumptions'!$J$60,0)-IF(0=(13-'Assumptions'!$J$60)-1,'Revenue and costs'!V38+'Revenue and costs'!Y38+'Revenue and costs'!AE38,0)+IF(AND(0&gt;=(13-'Assumptions'!$J$61)+'Assumptions'!$AF$61,0&lt;=12),'Revenue and costs'!N39/'Assumptions'!$J$61,0)-IF(AND(0&gt;=(13-'Assumptions'!$J$61),0&lt;=12),SUM('Revenue and costs'!O39:U39)/'Assumptions'!$J$61,0)-IF(0=(13-'Assumptions'!$J$61)-1,'Revenue and costs'!V39+'Revenue and costs'!Y39+'Revenue and costs'!AE39,0)-IF('Income statement'!D50=0,1/39,'Segment tax'!E10/'Income statement'!D50)*'Cash and capital'!D13</x:f>
        <x:v>-417.081248781746</x:v>
      </x:c>
      <x:c r="E29" s="24" t="n">
        <x:f>D29+IF(AND(1&gt;=(13-'Assumptions'!$J$36)+'Assumptions'!$AF$36,1&lt;=12),'Revenue and costs'!N14/'Assumptions'!$J$36,0)-IF(AND(1&gt;=(13-'Assumptions'!$J$36),1&lt;=12),SUM('Revenue and costs'!O14:U14)/'Assumptions'!$J$36,0)-IF(1=(13-'Assumptions'!$J$36)-1,'Revenue and costs'!V14+'Revenue and costs'!Y14+'Revenue and costs'!AE14,0)+IF(AND(1&gt;=(13-'Assumptions'!$J$37)+'Assumptions'!$AF$37,1&lt;=12),'Revenue and costs'!N15/'Assumptions'!$J$37,0)-IF(AND(1&gt;=(13-'Assumptions'!$J$37),1&lt;=12),SUM('Revenue and costs'!O15:U15)/'Assumptions'!$J$37,0)-IF(1=(13-'Assumptions'!$J$37)-1,'Revenue and costs'!V15+'Revenue and costs'!Y15+'Revenue and costs'!AE15,0)+IF(AND(1&gt;=(13-'Assumptions'!$J$38)+'Assumptions'!$AF$38,1&lt;=12),'Revenue and costs'!N16/'Assumptions'!$J$38,0)-IF(AND(1&gt;=(13-'Assumptions'!$J$38),1&lt;=12),SUM('Revenue and costs'!O16:U16)/'Assumptions'!$J$38,0)-IF(1=(13-'Assumptions'!$J$38)-1,'Revenue and costs'!V16+'Revenue and costs'!Y16+'Revenue and costs'!AE16,0)+IF(AND(1&gt;=(13-'Assumptions'!$J$39)+'Assumptions'!$AF$39,1&lt;=12),'Revenue and costs'!N17/'Assumptions'!$J$39,0)-IF(AND(1&gt;=(13-'Assumptions'!$J$39),1&lt;=12),SUM('Revenue and costs'!O17:U17)/'Assumptions'!$J$39,0)-IF(1=(13-'Assumptions'!$J$39)-1,'Revenue and costs'!V17+'Revenue and costs'!Y17+'Revenue and costs'!AE17,0)+IF(AND(1&gt;=(13-'Assumptions'!$J$40)+'Assumptions'!$AF$40,1&lt;=12),'Revenue and costs'!N18/'Assumptions'!$J$40,0)-IF(AND(1&gt;=(13-'Assumptions'!$J$40),1&lt;=12),SUM('Revenue and costs'!O18:U18)/'Assumptions'!$J$40,0)-IF(1=(13-'Assumptions'!$J$40)-1,'Revenue and costs'!V18+'Revenue and costs'!Y18+'Revenue and costs'!AE18,0)+IF(AND(1&gt;=(13-'Assumptions'!$J$41)+'Assumptions'!$AF$41,1&lt;=12),'Revenue and costs'!N19/'Assumptions'!$J$41,0)-IF(AND(1&gt;=(13-'Assumptions'!$J$41),1&lt;=12),SUM('Revenue and costs'!O19:U19)/'Assumptions'!$J$41,0)-IF(1=(13-'Assumptions'!$J$41)-1,'Revenue and costs'!V19+'Revenue and costs'!Y19+'Revenue and costs'!AE19,0)+IF(AND(1&gt;=(13-'Assumptions'!$J$42)+'Assumptions'!$AF$42,1&lt;=12),'Revenue and costs'!N20/'Assumptions'!$J$42,0)-IF(AND(1&gt;=(13-'Assumptions'!$J$42),1&lt;=12),SUM('Revenue and costs'!O20:U20)/'Assumptions'!$J$42,0)-IF(1=(13-'Assumptions'!$J$42)-1,'Revenue and costs'!V20+'Revenue and costs'!Y20+'Revenue and costs'!AE20,0)+IF(AND(1&gt;=(13-'Assumptions'!$J$43)+'Assumptions'!$AF$43,1&lt;=12),'Revenue and costs'!N21/'Assumptions'!$J$43,0)-IF(AND(1&gt;=(13-'Assumptions'!$J$43),1&lt;=12),SUM('Revenue and costs'!O21:U21)/'Assumptions'!$J$43,0)-IF(1=(13-'Assumptions'!$J$43)-1,'Revenue and costs'!V21+'Revenue and costs'!Y21+'Revenue and costs'!AE21,0)+IF(AND(1&gt;=(13-'Assumptions'!$J$44)+'Assumptions'!$AF$44,1&lt;=12),'Revenue and costs'!N22/'Assumptions'!$J$44,0)-IF(AND(1&gt;=(13-'Assumptions'!$J$44),1&lt;=12),SUM('Revenue and costs'!O22:U22)/'Assumptions'!$J$44,0)-IF(1=(13-'Assumptions'!$J$44)-1,'Revenue and costs'!V22+'Revenue and costs'!Y22+'Revenue and costs'!AE22,0)+IF(AND(1&gt;=(13-'Assumptions'!$J$45)+'Assumptions'!$AF$45,1&lt;=12),'Revenue and costs'!N23/'Assumptions'!$J$45,0)-IF(AND(1&gt;=(13-'Assumptions'!$J$45),1&lt;=12),SUM('Revenue and costs'!O23:U23)/'Assumptions'!$J$45,0)-IF(1=(13-'Assumptions'!$J$45)-1,'Revenue and costs'!V23+'Revenue and costs'!Y23+'Revenue and costs'!AE23,0)+IF(AND(1&gt;=(13-'Assumptions'!$J$46)+'Assumptions'!$AF$46,1&lt;=12),'Revenue and costs'!N24/'Assumptions'!$J$46,0)-IF(AND(1&gt;=(13-'Assumptions'!$J$46),1&lt;=12),SUM('Revenue and costs'!O24:U24)/'Assumptions'!$J$46,0)-IF(1=(13-'Assumptions'!$J$46)-1,'Revenue and costs'!V24+'Revenue and costs'!Y24+'Revenue and costs'!AE24,0)+IF(AND(1&gt;=(13-'Assumptions'!$J$47)+'Assumptions'!$AF$47,1&lt;=12),'Revenue and costs'!N25/'Assumptions'!$J$47,0)-IF(AND(1&gt;=(13-'Assumptions'!$J$47),1&lt;=12),SUM('Revenue and costs'!O25:U25)/'Assumptions'!$J$47,0)-IF(1=(13-'Assumptions'!$J$47)-1,'Revenue and costs'!V25+'Revenue and costs'!Y25+'Revenue and costs'!AE25,0)+IF(AND(1&gt;=(13-'Assumptions'!$J$48)+'Assumptions'!$AF$48,1&lt;=12),'Revenue and costs'!N26/'Assumptions'!$J$48,0)-IF(AND(1&gt;=(13-'Assumptions'!$J$48),1&lt;=12),SUM('Revenue and costs'!O26:U26)/'Assumptions'!$J$48,0)-IF(1=(13-'Assumptions'!$J$48)-1,'Revenue and costs'!V26+'Revenue and costs'!Y26+'Revenue and costs'!AE26,0)+IF(AND(1&gt;=(13-'Assumptions'!$J$49)+'Assumptions'!$AF$49,1&lt;=12),'Revenue and costs'!N27/'Assumptions'!$J$49,0)-IF(AND(1&gt;=(13-'Assumptions'!$J$49),1&lt;=12),SUM('Revenue and costs'!O27:U27)/'Assumptions'!$J$49,0)-IF(1=(13-'Assumptions'!$J$49)-1,'Revenue and costs'!V27+'Revenue and costs'!Y27+'Revenue and costs'!AE27,0)+IF(AND(1&gt;=(13-'Assumptions'!$J$50)+'Assumptions'!$AF$50,1&lt;=12),'Revenue and costs'!N28/'Assumptions'!$J$50,0)-IF(AND(1&gt;=(13-'Assumptions'!$J$50),1&lt;=12),SUM('Revenue and costs'!O28:U28)/'Assumptions'!$J$50,0)-IF(1=(13-'Assumptions'!$J$50)-1,'Revenue and costs'!V28+'Revenue and costs'!Y28+'Revenue and costs'!AE28,0)+IF(AND(1&gt;=(13-'Assumptions'!$J$51)+'Assumptions'!$AF$51,1&lt;=12),'Revenue and costs'!N29/'Assumptions'!$J$51,0)-IF(AND(1&gt;=(13-'Assumptions'!$J$51),1&lt;=12),SUM('Revenue and costs'!O29:U29)/'Assumptions'!$J$51,0)-IF(1=(13-'Assumptions'!$J$51)-1,'Revenue and costs'!V29+'Revenue and costs'!Y29+'Revenue and costs'!AE29,0)+IF(AND(1&gt;=(13-'Assumptions'!$J$52)+'Assumptions'!$AF$52,1&lt;=12),'Revenue and costs'!N30/'Assumptions'!$J$52,0)-IF(AND(1&gt;=(13-'Assumptions'!$J$52),1&lt;=12),SUM('Revenue and costs'!O30:U30)/'Assumptions'!$J$52,0)-IF(1=(13-'Assumptions'!$J$52)-1,'Revenue and costs'!V30+'Revenue and costs'!Y30+'Revenue and costs'!AE30,0)+IF(AND(1&gt;=(13-'Assumptions'!$J$53)+'Assumptions'!$AF$53,1&lt;=12),'Revenue and costs'!N31/'Assumptions'!$J$53,0)-IF(AND(1&gt;=(13-'Assumptions'!$J$53),1&lt;=12),SUM('Revenue and costs'!O31:U31)/'Assumptions'!$J$53,0)-IF(1=(13-'Assumptions'!$J$53)-1,'Revenue and costs'!V31+'Revenue and costs'!Y31+'Revenue and costs'!AE31,0)+IF(AND(1&gt;=(13-'Assumptions'!$J$54)+'Assumptions'!$AF$54,1&lt;=12),'Revenue and costs'!N32/'Assumptions'!$J$54,0)-IF(AND(1&gt;=(13-'Assumptions'!$J$54),1&lt;=12),SUM('Revenue and costs'!O32:U32)/'Assumptions'!$J$54,0)-IF(1=(13-'Assumptions'!$J$54)-1,'Revenue and costs'!V32+'Revenue and costs'!Y32+'Revenue and costs'!AE32,0)+IF(AND(1&gt;=(13-'Assumptions'!$J$55)+'Assumptions'!$AF$55,1&lt;=12),'Revenue and costs'!N33/'Assumptions'!$J$55,0)-IF(AND(1&gt;=(13-'Assumptions'!$J$55),1&lt;=12),SUM('Revenue and costs'!O33:U33)/'Assumptions'!$J$55,0)-IF(1=(13-'Assumptions'!$J$55)-1,'Revenue and costs'!V33+'Revenue and costs'!Y33+'Revenue and costs'!AE33,0)+IF(AND(1&gt;=(13-'Assumptions'!$J$56)+'Assumptions'!$AF$56,1&lt;=12),'Revenue and costs'!N34/'Assumptions'!$J$56,0)-IF(AND(1&gt;=(13-'Assumptions'!$J$56),1&lt;=12),SUM('Revenue and costs'!O34:U34)/'Assumptions'!$J$56,0)-IF(1=(13-'Assumptions'!$J$56)-1,'Revenue and costs'!V34+'Revenue and costs'!Y34+'Revenue and costs'!AE34,0)+IF(AND(1&gt;=(13-'Assumptions'!$J$57)+'Assumptions'!$AF$57,1&lt;=12),'Revenue and costs'!N35/'Assumptions'!$J$57,0)-IF(AND(1&gt;=(13-'Assumptions'!$J$57),1&lt;=12),SUM('Revenue and costs'!O35:U35)/'Assumptions'!$J$57,0)-IF(1=(13-'Assumptions'!$J$57)-1,'Revenue and costs'!V35+'Revenue and costs'!Y35+'Revenue and costs'!AE35,0)+IF(AND(1&gt;=(13-'Assumptions'!$J$58)+'Assumptions'!$AF$58,1&lt;=12),'Revenue and costs'!N36/'Assumptions'!$J$58,0)-IF(AND(1&gt;=(13-'Assumptions'!$J$58),1&lt;=12),SUM('Revenue and costs'!O36:U36)/'Assumptions'!$J$58,0)-IF(1=(13-'Assumptions'!$J$58)-1,'Revenue and costs'!V36+'Revenue and costs'!Y36+'Revenue and costs'!AE36,0)+IF(AND(1&gt;=(13-'Assumptions'!$J$59)+'Assumptions'!$AF$59,1&lt;=12),'Revenue and costs'!N37/'Assumptions'!$J$59,0)-IF(AND(1&gt;=(13-'Assumptions'!$J$59),1&lt;=12),SUM('Revenue and costs'!O37:U37)/'Assumptions'!$J$59,0)-IF(1=(13-'Assumptions'!$J$59)-1,'Revenue and costs'!V37+'Revenue and costs'!Y37+'Revenue and costs'!AE37,0)+IF(AND(1&gt;=(13-'Assumptions'!$J$60)+'Assumptions'!$AF$60,1&lt;=12),'Revenue and costs'!N38/'Assumptions'!$J$60,0)-IF(AND(1&gt;=(13-'Assumptions'!$J$60),1&lt;=12),SUM('Revenue and costs'!O38:U38)/'Assumptions'!$J$60,0)-IF(1=(13-'Assumptions'!$J$60)-1,'Revenue and costs'!V38+'Revenue and costs'!Y38+'Revenue and costs'!AE38,0)+IF(AND(1&gt;=(13-'Assumptions'!$J$61)+'Assumptions'!$AF$61,1&lt;=12),'Revenue and costs'!N39/'Assumptions'!$J$61,0)-IF(AND(1&gt;=(13-'Assumptions'!$J$61),1&lt;=12),SUM('Revenue and costs'!O39:U39)/'Assumptions'!$J$61,0)-IF(1=(13-'Assumptions'!$J$61)-1,'Revenue and costs'!V39+'Revenue and costs'!Y39+'Revenue and costs'!AE39,0)-'Segment tax'!G10/12</x:f>
        <x:v>-2033.9662232256478</x:v>
      </x:c>
      <x:c r="F29" s="24" t="n">
        <x:f>E29+IF(AND(2&gt;=(13-'Assumptions'!$J$36)+'Assumptions'!$AF$36,2&lt;=12),'Revenue and costs'!N14/'Assumptions'!$J$36,0)-IF(AND(2&gt;=(13-'Assumptions'!$J$36),2&lt;=12),SUM('Revenue and costs'!O14:U14)/'Assumptions'!$J$36,0)-IF(2=(13-'Assumptions'!$J$36)-1,'Revenue and costs'!V14+'Revenue and costs'!Y14+'Revenue and costs'!AE14,0)+IF(AND(2&gt;=(13-'Assumptions'!$J$37)+'Assumptions'!$AF$37,2&lt;=12),'Revenue and costs'!N15/'Assumptions'!$J$37,0)-IF(AND(2&gt;=(13-'Assumptions'!$J$37),2&lt;=12),SUM('Revenue and costs'!O15:U15)/'Assumptions'!$J$37,0)-IF(2=(13-'Assumptions'!$J$37)-1,'Revenue and costs'!V15+'Revenue and costs'!Y15+'Revenue and costs'!AE15,0)+IF(AND(2&gt;=(13-'Assumptions'!$J$38)+'Assumptions'!$AF$38,2&lt;=12),'Revenue and costs'!N16/'Assumptions'!$J$38,0)-IF(AND(2&gt;=(13-'Assumptions'!$J$38),2&lt;=12),SUM('Revenue and costs'!O16:U16)/'Assumptions'!$J$38,0)-IF(2=(13-'Assumptions'!$J$38)-1,'Revenue and costs'!V16+'Revenue and costs'!Y16+'Revenue and costs'!AE16,0)+IF(AND(2&gt;=(13-'Assumptions'!$J$39)+'Assumptions'!$AF$39,2&lt;=12),'Revenue and costs'!N17/'Assumptions'!$J$39,0)-IF(AND(2&gt;=(13-'Assumptions'!$J$39),2&lt;=12),SUM('Revenue and costs'!O17:U17)/'Assumptions'!$J$39,0)-IF(2=(13-'Assumptions'!$J$39)-1,'Revenue and costs'!V17+'Revenue and costs'!Y17+'Revenue and costs'!AE17,0)+IF(AND(2&gt;=(13-'Assumptions'!$J$40)+'Assumptions'!$AF$40,2&lt;=12),'Revenue and costs'!N18/'Assumptions'!$J$40,0)-IF(AND(2&gt;=(13-'Assumptions'!$J$40),2&lt;=12),SUM('Revenue and costs'!O18:U18)/'Assumptions'!$J$40,0)-IF(2=(13-'Assumptions'!$J$40)-1,'Revenue and costs'!V18+'Revenue and costs'!Y18+'Revenue and costs'!AE18,0)+IF(AND(2&gt;=(13-'Assumptions'!$J$41)+'Assumptions'!$AF$41,2&lt;=12),'Revenue and costs'!N19/'Assumptions'!$J$41,0)-IF(AND(2&gt;=(13-'Assumptions'!$J$41),2&lt;=12),SUM('Revenue and costs'!O19:U19)/'Assumptions'!$J$41,0)-IF(2=(13-'Assumptions'!$J$41)-1,'Revenue and costs'!V19+'Revenue and costs'!Y19+'Revenue and costs'!AE19,0)+IF(AND(2&gt;=(13-'Assumptions'!$J$42)+'Assumptions'!$AF$42,2&lt;=12),'Revenue and costs'!N20/'Assumptions'!$J$42,0)-IF(AND(2&gt;=(13-'Assumptions'!$J$42),2&lt;=12),SUM('Revenue and costs'!O20:U20)/'Assumptions'!$J$42,0)-IF(2=(13-'Assumptions'!$J$42)-1,'Revenue and costs'!V20+'Revenue and costs'!Y20+'Revenue and costs'!AE20,0)+IF(AND(2&gt;=(13-'Assumptions'!$J$43)+'Assumptions'!$AF$43,2&lt;=12),'Revenue and costs'!N21/'Assumptions'!$J$43,0)-IF(AND(2&gt;=(13-'Assumptions'!$J$43),2&lt;=12),SUM('Revenue and costs'!O21:U21)/'Assumptions'!$J$43,0)-IF(2=(13-'Assumptions'!$J$43)-1,'Revenue and costs'!V21+'Revenue and costs'!Y21+'Revenue and costs'!AE21,0)+IF(AND(2&gt;=(13-'Assumptions'!$J$44)+'Assumptions'!$AF$44,2&lt;=12),'Revenue and costs'!N22/'Assumptions'!$J$44,0)-IF(AND(2&gt;=(13-'Assumptions'!$J$44),2&lt;=12),SUM('Revenue and costs'!O22:U22)/'Assumptions'!$J$44,0)-IF(2=(13-'Assumptions'!$J$44)-1,'Revenue and costs'!V22+'Revenue and costs'!Y22+'Revenue and costs'!AE22,0)+IF(AND(2&gt;=(13-'Assumptions'!$J$45)+'Assumptions'!$AF$45,2&lt;=12),'Revenue and costs'!N23/'Assumptions'!$J$45,0)-IF(AND(2&gt;=(13-'Assumptions'!$J$45),2&lt;=12),SUM('Revenue and costs'!O23:U23)/'Assumptions'!$J$45,0)-IF(2=(13-'Assumptions'!$J$45)-1,'Revenue and costs'!V23+'Revenue and costs'!Y23+'Revenue and costs'!AE23,0)+IF(AND(2&gt;=(13-'Assumptions'!$J$46)+'Assumptions'!$AF$46,2&lt;=12),'Revenue and costs'!N24/'Assumptions'!$J$46,0)-IF(AND(2&gt;=(13-'Assumptions'!$J$46),2&lt;=12),SUM('Revenue and costs'!O24:U24)/'Assumptions'!$J$46,0)-IF(2=(13-'Assumptions'!$J$46)-1,'Revenue and costs'!V24+'Revenue and costs'!Y24+'Revenue and costs'!AE24,0)+IF(AND(2&gt;=(13-'Assumptions'!$J$47)+'Assumptions'!$AF$47,2&lt;=12),'Revenue and costs'!N25/'Assumptions'!$J$47,0)-IF(AND(2&gt;=(13-'Assumptions'!$J$47),2&lt;=12),SUM('Revenue and costs'!O25:U25)/'Assumptions'!$J$47,0)-IF(2=(13-'Assumptions'!$J$47)-1,'Revenue and costs'!V25+'Revenue and costs'!Y25+'Revenue and costs'!AE25,0)+IF(AND(2&gt;=(13-'Assumptions'!$J$48)+'Assumptions'!$AF$48,2&lt;=12),'Revenue and costs'!N26/'Assumptions'!$J$48,0)-IF(AND(2&gt;=(13-'Assumptions'!$J$48),2&lt;=12),SUM('Revenue and costs'!O26:U26)/'Assumptions'!$J$48,0)-IF(2=(13-'Assumptions'!$J$48)-1,'Revenue and costs'!V26+'Revenue and costs'!Y26+'Revenue and costs'!AE26,0)+IF(AND(2&gt;=(13-'Assumptions'!$J$49)+'Assumptions'!$AF$49,2&lt;=12),'Revenue and costs'!N27/'Assumptions'!$J$49,0)-IF(AND(2&gt;=(13-'Assumptions'!$J$49),2&lt;=12),SUM('Revenue and costs'!O27:U27)/'Assumptions'!$J$49,0)-IF(2=(13-'Assumptions'!$J$49)-1,'Revenue and costs'!V27+'Revenue and costs'!Y27+'Revenue and costs'!AE27,0)+IF(AND(2&gt;=(13-'Assumptions'!$J$50)+'Assumptions'!$AF$50,2&lt;=12),'Revenue and costs'!N28/'Assumptions'!$J$50,0)-IF(AND(2&gt;=(13-'Assumptions'!$J$50),2&lt;=12),SUM('Revenue and costs'!O28:U28)/'Assumptions'!$J$50,0)-IF(2=(13-'Assumptions'!$J$50)-1,'Revenue and costs'!V28+'Revenue and costs'!Y28+'Revenue and costs'!AE28,0)+IF(AND(2&gt;=(13-'Assumptions'!$J$51)+'Assumptions'!$AF$51,2&lt;=12),'Revenue and costs'!N29/'Assumptions'!$J$51,0)-IF(AND(2&gt;=(13-'Assumptions'!$J$51),2&lt;=12),SUM('Revenue and costs'!O29:U29)/'Assumptions'!$J$51,0)-IF(2=(13-'Assumptions'!$J$51)-1,'Revenue and costs'!V29+'Revenue and costs'!Y29+'Revenue and costs'!AE29,0)+IF(AND(2&gt;=(13-'Assumptions'!$J$52)+'Assumptions'!$AF$52,2&lt;=12),'Revenue and costs'!N30/'Assumptions'!$J$52,0)-IF(AND(2&gt;=(13-'Assumptions'!$J$52),2&lt;=12),SUM('Revenue and costs'!O30:U30)/'Assumptions'!$J$52,0)-IF(2=(13-'Assumptions'!$J$52)-1,'Revenue and costs'!V30+'Revenue and costs'!Y30+'Revenue and costs'!AE30,0)+IF(AND(2&gt;=(13-'Assumptions'!$J$53)+'Assumptions'!$AF$53,2&lt;=12),'Revenue and costs'!N31/'Assumptions'!$J$53,0)-IF(AND(2&gt;=(13-'Assumptions'!$J$53),2&lt;=12),SUM('Revenue and costs'!O31:U31)/'Assumptions'!$J$53,0)-IF(2=(13-'Assumptions'!$J$53)-1,'Revenue and costs'!V31+'Revenue and costs'!Y31+'Revenue and costs'!AE31,0)+IF(AND(2&gt;=(13-'Assumptions'!$J$54)+'Assumptions'!$AF$54,2&lt;=12),'Revenue and costs'!N32/'Assumptions'!$J$54,0)-IF(AND(2&gt;=(13-'Assumptions'!$J$54),2&lt;=12),SUM('Revenue and costs'!O32:U32)/'Assumptions'!$J$54,0)-IF(2=(13-'Assumptions'!$J$54)-1,'Revenue and costs'!V32+'Revenue and costs'!Y32+'Revenue and costs'!AE32,0)+IF(AND(2&gt;=(13-'Assumptions'!$J$55)+'Assumptions'!$AF$55,2&lt;=12),'Revenue and costs'!N33/'Assumptions'!$J$55,0)-IF(AND(2&gt;=(13-'Assumptions'!$J$55),2&lt;=12),SUM('Revenue and costs'!O33:U33)/'Assumptions'!$J$55,0)-IF(2=(13-'Assumptions'!$J$55)-1,'Revenue and costs'!V33+'Revenue and costs'!Y33+'Revenue and costs'!AE33,0)+IF(AND(2&gt;=(13-'Assumptions'!$J$56)+'Assumptions'!$AF$56,2&lt;=12),'Revenue and costs'!N34/'Assumptions'!$J$56,0)-IF(AND(2&gt;=(13-'Assumptions'!$J$56),2&lt;=12),SUM('Revenue and costs'!O34:U34)/'Assumptions'!$J$56,0)-IF(2=(13-'Assumptions'!$J$56)-1,'Revenue and costs'!V34+'Revenue and costs'!Y34+'Revenue and costs'!AE34,0)+IF(AND(2&gt;=(13-'Assumptions'!$J$57)+'Assumptions'!$AF$57,2&lt;=12),'Revenue and costs'!N35/'Assumptions'!$J$57,0)-IF(AND(2&gt;=(13-'Assumptions'!$J$57),2&lt;=12),SUM('Revenue and costs'!O35:U35)/'Assumptions'!$J$57,0)-IF(2=(13-'Assumptions'!$J$57)-1,'Revenue and costs'!V35+'Revenue and costs'!Y35+'Revenue and costs'!AE35,0)+IF(AND(2&gt;=(13-'Assumptions'!$J$58)+'Assumptions'!$AF$58,2&lt;=12),'Revenue and costs'!N36/'Assumptions'!$J$58,0)-IF(AND(2&gt;=(13-'Assumptions'!$J$58),2&lt;=12),SUM('Revenue and costs'!O36:U36)/'Assumptions'!$J$58,0)-IF(2=(13-'Assumptions'!$J$58)-1,'Revenue and costs'!V36+'Revenue and costs'!Y36+'Revenue and costs'!AE36,0)+IF(AND(2&gt;=(13-'Assumptions'!$J$59)+'Assumptions'!$AF$59,2&lt;=12),'Revenue and costs'!N37/'Assumptions'!$J$59,0)-IF(AND(2&gt;=(13-'Assumptions'!$J$59),2&lt;=12),SUM('Revenue and costs'!O37:U37)/'Assumptions'!$J$59,0)-IF(2=(13-'Assumptions'!$J$59)-1,'Revenue and costs'!V37+'Revenue and costs'!Y37+'Revenue and costs'!AE37,0)+IF(AND(2&gt;=(13-'Assumptions'!$J$60)+'Assumptions'!$AF$60,2&lt;=12),'Revenue and costs'!N38/'Assumptions'!$J$60,0)-IF(AND(2&gt;=(13-'Assumptions'!$J$60),2&lt;=12),SUM('Revenue and costs'!O38:U38)/'Assumptions'!$J$60,0)-IF(2=(13-'Assumptions'!$J$60)-1,'Revenue and costs'!V38+'Revenue and costs'!Y38+'Revenue and costs'!AE38,0)+IF(AND(2&gt;=(13-'Assumptions'!$J$61)+'Assumptions'!$AF$61,2&lt;=12),'Revenue and costs'!N39/'Assumptions'!$J$61,0)-IF(AND(2&gt;=(13-'Assumptions'!$J$61),2&lt;=12),SUM('Revenue and costs'!O39:U39)/'Assumptions'!$J$61,0)-IF(2=(13-'Assumptions'!$J$61)-1,'Revenue and costs'!V39+'Revenue and costs'!Y39+'Revenue and costs'!AE39,0)-'Segment tax'!G10/12</x:f>
        <x:v>-3650.85119766955</x:v>
      </x:c>
      <x:c r="G29" s="24" t="n">
        <x:f>F29+IF(AND(3&gt;=(13-'Assumptions'!$J$36)+'Assumptions'!$AF$36,3&lt;=12),'Revenue and costs'!N14/'Assumptions'!$J$36,0)-IF(AND(3&gt;=(13-'Assumptions'!$J$36),3&lt;=12),SUM('Revenue and costs'!O14:U14)/'Assumptions'!$J$36,0)-IF(3=(13-'Assumptions'!$J$36)-1,'Revenue and costs'!V14+'Revenue and costs'!Y14+'Revenue and costs'!AE14,0)+IF(AND(3&gt;=(13-'Assumptions'!$J$37)+'Assumptions'!$AF$37,3&lt;=12),'Revenue and costs'!N15/'Assumptions'!$J$37,0)-IF(AND(3&gt;=(13-'Assumptions'!$J$37),3&lt;=12),SUM('Revenue and costs'!O15:U15)/'Assumptions'!$J$37,0)-IF(3=(13-'Assumptions'!$J$37)-1,'Revenue and costs'!V15+'Revenue and costs'!Y15+'Revenue and costs'!AE15,0)+IF(AND(3&gt;=(13-'Assumptions'!$J$38)+'Assumptions'!$AF$38,3&lt;=12),'Revenue and costs'!N16/'Assumptions'!$J$38,0)-IF(AND(3&gt;=(13-'Assumptions'!$J$38),3&lt;=12),SUM('Revenue and costs'!O16:U16)/'Assumptions'!$J$38,0)-IF(3=(13-'Assumptions'!$J$38)-1,'Revenue and costs'!V16+'Revenue and costs'!Y16+'Revenue and costs'!AE16,0)+IF(AND(3&gt;=(13-'Assumptions'!$J$39)+'Assumptions'!$AF$39,3&lt;=12),'Revenue and costs'!N17/'Assumptions'!$J$39,0)-IF(AND(3&gt;=(13-'Assumptions'!$J$39),3&lt;=12),SUM('Revenue and costs'!O17:U17)/'Assumptions'!$J$39,0)-IF(3=(13-'Assumptions'!$J$39)-1,'Revenue and costs'!V17+'Revenue and costs'!Y17+'Revenue and costs'!AE17,0)+IF(AND(3&gt;=(13-'Assumptions'!$J$40)+'Assumptions'!$AF$40,3&lt;=12),'Revenue and costs'!N18/'Assumptions'!$J$40,0)-IF(AND(3&gt;=(13-'Assumptions'!$J$40),3&lt;=12),SUM('Revenue and costs'!O18:U18)/'Assumptions'!$J$40,0)-IF(3=(13-'Assumptions'!$J$40)-1,'Revenue and costs'!V18+'Revenue and costs'!Y18+'Revenue and costs'!AE18,0)+IF(AND(3&gt;=(13-'Assumptions'!$J$41)+'Assumptions'!$AF$41,3&lt;=12),'Revenue and costs'!N19/'Assumptions'!$J$41,0)-IF(AND(3&gt;=(13-'Assumptions'!$J$41),3&lt;=12),SUM('Revenue and costs'!O19:U19)/'Assumptions'!$J$41,0)-IF(3=(13-'Assumptions'!$J$41)-1,'Revenue and costs'!V19+'Revenue and costs'!Y19+'Revenue and costs'!AE19,0)+IF(AND(3&gt;=(13-'Assumptions'!$J$42)+'Assumptions'!$AF$42,3&lt;=12),'Revenue and costs'!N20/'Assumptions'!$J$42,0)-IF(AND(3&gt;=(13-'Assumptions'!$J$42),3&lt;=12),SUM('Revenue and costs'!O20:U20)/'Assumptions'!$J$42,0)-IF(3=(13-'Assumptions'!$J$42)-1,'Revenue and costs'!V20+'Revenue and costs'!Y20+'Revenue and costs'!AE20,0)+IF(AND(3&gt;=(13-'Assumptions'!$J$43)+'Assumptions'!$AF$43,3&lt;=12),'Revenue and costs'!N21/'Assumptions'!$J$43,0)-IF(AND(3&gt;=(13-'Assumptions'!$J$43),3&lt;=12),SUM('Revenue and costs'!O21:U21)/'Assumptions'!$J$43,0)-IF(3=(13-'Assumptions'!$J$43)-1,'Revenue and costs'!V21+'Revenue and costs'!Y21+'Revenue and costs'!AE21,0)+IF(AND(3&gt;=(13-'Assumptions'!$J$44)+'Assumptions'!$AF$44,3&lt;=12),'Revenue and costs'!N22/'Assumptions'!$J$44,0)-IF(AND(3&gt;=(13-'Assumptions'!$J$44),3&lt;=12),SUM('Revenue and costs'!O22:U22)/'Assumptions'!$J$44,0)-IF(3=(13-'Assumptions'!$J$44)-1,'Revenue and costs'!V22+'Revenue and costs'!Y22+'Revenue and costs'!AE22,0)+IF(AND(3&gt;=(13-'Assumptions'!$J$45)+'Assumptions'!$AF$45,3&lt;=12),'Revenue and costs'!N23/'Assumptions'!$J$45,0)-IF(AND(3&gt;=(13-'Assumptions'!$J$45),3&lt;=12),SUM('Revenue and costs'!O23:U23)/'Assumptions'!$J$45,0)-IF(3=(13-'Assumptions'!$J$45)-1,'Revenue and costs'!V23+'Revenue and costs'!Y23+'Revenue and costs'!AE23,0)+IF(AND(3&gt;=(13-'Assumptions'!$J$46)+'Assumptions'!$AF$46,3&lt;=12),'Revenue and costs'!N24/'Assumptions'!$J$46,0)-IF(AND(3&gt;=(13-'Assumptions'!$J$46),3&lt;=12),SUM('Revenue and costs'!O24:U24)/'Assumptions'!$J$46,0)-IF(3=(13-'Assumptions'!$J$46)-1,'Revenue and costs'!V24+'Revenue and costs'!Y24+'Revenue and costs'!AE24,0)+IF(AND(3&gt;=(13-'Assumptions'!$J$47)+'Assumptions'!$AF$47,3&lt;=12),'Revenue and costs'!N25/'Assumptions'!$J$47,0)-IF(AND(3&gt;=(13-'Assumptions'!$J$47),3&lt;=12),SUM('Revenue and costs'!O25:U25)/'Assumptions'!$J$47,0)-IF(3=(13-'Assumptions'!$J$47)-1,'Revenue and costs'!V25+'Revenue and costs'!Y25+'Revenue and costs'!AE25,0)+IF(AND(3&gt;=(13-'Assumptions'!$J$48)+'Assumptions'!$AF$48,3&lt;=12),'Revenue and costs'!N26/'Assumptions'!$J$48,0)-IF(AND(3&gt;=(13-'Assumptions'!$J$48),3&lt;=12),SUM('Revenue and costs'!O26:U26)/'Assumptions'!$J$48,0)-IF(3=(13-'Assumptions'!$J$48)-1,'Revenue and costs'!V26+'Revenue and costs'!Y26+'Revenue and costs'!AE26,0)+IF(AND(3&gt;=(13-'Assumptions'!$J$49)+'Assumptions'!$AF$49,3&lt;=12),'Revenue and costs'!N27/'Assumptions'!$J$49,0)-IF(AND(3&gt;=(13-'Assumptions'!$J$49),3&lt;=12),SUM('Revenue and costs'!O27:U27)/'Assumptions'!$J$49,0)-IF(3=(13-'Assumptions'!$J$49)-1,'Revenue and costs'!V27+'Revenue and costs'!Y27+'Revenue and costs'!AE27,0)+IF(AND(3&gt;=(13-'Assumptions'!$J$50)+'Assumptions'!$AF$50,3&lt;=12),'Revenue and costs'!N28/'Assumptions'!$J$50,0)-IF(AND(3&gt;=(13-'Assumptions'!$J$50),3&lt;=12),SUM('Revenue and costs'!O28:U28)/'Assumptions'!$J$50,0)-IF(3=(13-'Assumptions'!$J$50)-1,'Revenue and costs'!V28+'Revenue and costs'!Y28+'Revenue and costs'!AE28,0)+IF(AND(3&gt;=(13-'Assumptions'!$J$51)+'Assumptions'!$AF$51,3&lt;=12),'Revenue and costs'!N29/'Assumptions'!$J$51,0)-IF(AND(3&gt;=(13-'Assumptions'!$J$51),3&lt;=12),SUM('Revenue and costs'!O29:U29)/'Assumptions'!$J$51,0)-IF(3=(13-'Assumptions'!$J$51)-1,'Revenue and costs'!V29+'Revenue and costs'!Y29+'Revenue and costs'!AE29,0)+IF(AND(3&gt;=(13-'Assumptions'!$J$52)+'Assumptions'!$AF$52,3&lt;=12),'Revenue and costs'!N30/'Assumptions'!$J$52,0)-IF(AND(3&gt;=(13-'Assumptions'!$J$52),3&lt;=12),SUM('Revenue and costs'!O30:U30)/'Assumptions'!$J$52,0)-IF(3=(13-'Assumptions'!$J$52)-1,'Revenue and costs'!V30+'Revenue and costs'!Y30+'Revenue and costs'!AE30,0)+IF(AND(3&gt;=(13-'Assumptions'!$J$53)+'Assumptions'!$AF$53,3&lt;=12),'Revenue and costs'!N31/'Assumptions'!$J$53,0)-IF(AND(3&gt;=(13-'Assumptions'!$J$53),3&lt;=12),SUM('Revenue and costs'!O31:U31)/'Assumptions'!$J$53,0)-IF(3=(13-'Assumptions'!$J$53)-1,'Revenue and costs'!V31+'Revenue and costs'!Y31+'Revenue and costs'!AE31,0)+IF(AND(3&gt;=(13-'Assumptions'!$J$54)+'Assumptions'!$AF$54,3&lt;=12),'Revenue and costs'!N32/'Assumptions'!$J$54,0)-IF(AND(3&gt;=(13-'Assumptions'!$J$54),3&lt;=12),SUM('Revenue and costs'!O32:U32)/'Assumptions'!$J$54,0)-IF(3=(13-'Assumptions'!$J$54)-1,'Revenue and costs'!V32+'Revenue and costs'!Y32+'Revenue and costs'!AE32,0)+IF(AND(3&gt;=(13-'Assumptions'!$J$55)+'Assumptions'!$AF$55,3&lt;=12),'Revenue and costs'!N33/'Assumptions'!$J$55,0)-IF(AND(3&gt;=(13-'Assumptions'!$J$55),3&lt;=12),SUM('Revenue and costs'!O33:U33)/'Assumptions'!$J$55,0)-IF(3=(13-'Assumptions'!$J$55)-1,'Revenue and costs'!V33+'Revenue and costs'!Y33+'Revenue and costs'!AE33,0)+IF(AND(3&gt;=(13-'Assumptions'!$J$56)+'Assumptions'!$AF$56,3&lt;=12),'Revenue and costs'!N34/'Assumptions'!$J$56,0)-IF(AND(3&gt;=(13-'Assumptions'!$J$56),3&lt;=12),SUM('Revenue and costs'!O34:U34)/'Assumptions'!$J$56,0)-IF(3=(13-'Assumptions'!$J$56)-1,'Revenue and costs'!V34+'Revenue and costs'!Y34+'Revenue and costs'!AE34,0)+IF(AND(3&gt;=(13-'Assumptions'!$J$57)+'Assumptions'!$AF$57,3&lt;=12),'Revenue and costs'!N35/'Assumptions'!$J$57,0)-IF(AND(3&gt;=(13-'Assumptions'!$J$57),3&lt;=12),SUM('Revenue and costs'!O35:U35)/'Assumptions'!$J$57,0)-IF(3=(13-'Assumptions'!$J$57)-1,'Revenue and costs'!V35+'Revenue and costs'!Y35+'Revenue and costs'!AE35,0)+IF(AND(3&gt;=(13-'Assumptions'!$J$58)+'Assumptions'!$AF$58,3&lt;=12),'Revenue and costs'!N36/'Assumptions'!$J$58,0)-IF(AND(3&gt;=(13-'Assumptions'!$J$58),3&lt;=12),SUM('Revenue and costs'!O36:U36)/'Assumptions'!$J$58,0)-IF(3=(13-'Assumptions'!$J$58)-1,'Revenue and costs'!V36+'Revenue and costs'!Y36+'Revenue and costs'!AE36,0)+IF(AND(3&gt;=(13-'Assumptions'!$J$59)+'Assumptions'!$AF$59,3&lt;=12),'Revenue and costs'!N37/'Assumptions'!$J$59,0)-IF(AND(3&gt;=(13-'Assumptions'!$J$59),3&lt;=12),SUM('Revenue and costs'!O37:U37)/'Assumptions'!$J$59,0)-IF(3=(13-'Assumptions'!$J$59)-1,'Revenue and costs'!V37+'Revenue and costs'!Y37+'Revenue and costs'!AE37,0)+IF(AND(3&gt;=(13-'Assumptions'!$J$60)+'Assumptions'!$AF$60,3&lt;=12),'Revenue and costs'!N38/'Assumptions'!$J$60,0)-IF(AND(3&gt;=(13-'Assumptions'!$J$60),3&lt;=12),SUM('Revenue and costs'!O38:U38)/'Assumptions'!$J$60,0)-IF(3=(13-'Assumptions'!$J$60)-1,'Revenue and costs'!V38+'Revenue and costs'!Y38+'Revenue and costs'!AE38,0)+IF(AND(3&gt;=(13-'Assumptions'!$J$61)+'Assumptions'!$AF$61,3&lt;=12),'Revenue and costs'!N39/'Assumptions'!$J$61,0)-IF(AND(3&gt;=(13-'Assumptions'!$J$61),3&lt;=12),SUM('Revenue and costs'!O39:U39)/'Assumptions'!$J$61,0)-IF(3=(13-'Assumptions'!$J$61)-1,'Revenue and costs'!V39+'Revenue and costs'!Y39+'Revenue and costs'!AE39,0)-'Segment tax'!G10/12</x:f>
        <x:v>-5481.069505446786</x:v>
      </x:c>
      <x:c r="H29" s="24" t="n">
        <x:f>G29+IF(AND(4&gt;=(13-'Assumptions'!$J$36)+'Assumptions'!$AF$36,4&lt;=12),'Revenue and costs'!N14/'Assumptions'!$J$36,0)-IF(AND(4&gt;=(13-'Assumptions'!$J$36),4&lt;=12),SUM('Revenue and costs'!O14:U14)/'Assumptions'!$J$36,0)-IF(4=(13-'Assumptions'!$J$36)-1,'Revenue and costs'!V14+'Revenue and costs'!Y14+'Revenue and costs'!AE14,0)+IF(AND(4&gt;=(13-'Assumptions'!$J$37)+'Assumptions'!$AF$37,4&lt;=12),'Revenue and costs'!N15/'Assumptions'!$J$37,0)-IF(AND(4&gt;=(13-'Assumptions'!$J$37),4&lt;=12),SUM('Revenue and costs'!O15:U15)/'Assumptions'!$J$37,0)-IF(4=(13-'Assumptions'!$J$37)-1,'Revenue and costs'!V15+'Revenue and costs'!Y15+'Revenue and costs'!AE15,0)+IF(AND(4&gt;=(13-'Assumptions'!$J$38)+'Assumptions'!$AF$38,4&lt;=12),'Revenue and costs'!N16/'Assumptions'!$J$38,0)-IF(AND(4&gt;=(13-'Assumptions'!$J$38),4&lt;=12),SUM('Revenue and costs'!O16:U16)/'Assumptions'!$J$38,0)-IF(4=(13-'Assumptions'!$J$38)-1,'Revenue and costs'!V16+'Revenue and costs'!Y16+'Revenue and costs'!AE16,0)+IF(AND(4&gt;=(13-'Assumptions'!$J$39)+'Assumptions'!$AF$39,4&lt;=12),'Revenue and costs'!N17/'Assumptions'!$J$39,0)-IF(AND(4&gt;=(13-'Assumptions'!$J$39),4&lt;=12),SUM('Revenue and costs'!O17:U17)/'Assumptions'!$J$39,0)-IF(4=(13-'Assumptions'!$J$39)-1,'Revenue and costs'!V17+'Revenue and costs'!Y17+'Revenue and costs'!AE17,0)+IF(AND(4&gt;=(13-'Assumptions'!$J$40)+'Assumptions'!$AF$40,4&lt;=12),'Revenue and costs'!N18/'Assumptions'!$J$40,0)-IF(AND(4&gt;=(13-'Assumptions'!$J$40),4&lt;=12),SUM('Revenue and costs'!O18:U18)/'Assumptions'!$J$40,0)-IF(4=(13-'Assumptions'!$J$40)-1,'Revenue and costs'!V18+'Revenue and costs'!Y18+'Revenue and costs'!AE18,0)+IF(AND(4&gt;=(13-'Assumptions'!$J$41)+'Assumptions'!$AF$41,4&lt;=12),'Revenue and costs'!N19/'Assumptions'!$J$41,0)-IF(AND(4&gt;=(13-'Assumptions'!$J$41),4&lt;=12),SUM('Revenue and costs'!O19:U19)/'Assumptions'!$J$41,0)-IF(4=(13-'Assumptions'!$J$41)-1,'Revenue and costs'!V19+'Revenue and costs'!Y19+'Revenue and costs'!AE19,0)+IF(AND(4&gt;=(13-'Assumptions'!$J$42)+'Assumptions'!$AF$42,4&lt;=12),'Revenue and costs'!N20/'Assumptions'!$J$42,0)-IF(AND(4&gt;=(13-'Assumptions'!$J$42),4&lt;=12),SUM('Revenue and costs'!O20:U20)/'Assumptions'!$J$42,0)-IF(4=(13-'Assumptions'!$J$42)-1,'Revenue and costs'!V20+'Revenue and costs'!Y20+'Revenue and costs'!AE20,0)+IF(AND(4&gt;=(13-'Assumptions'!$J$43)+'Assumptions'!$AF$43,4&lt;=12),'Revenue and costs'!N21/'Assumptions'!$J$43,0)-IF(AND(4&gt;=(13-'Assumptions'!$J$43),4&lt;=12),SUM('Revenue and costs'!O21:U21)/'Assumptions'!$J$43,0)-IF(4=(13-'Assumptions'!$J$43)-1,'Revenue and costs'!V21+'Revenue and costs'!Y21+'Revenue and costs'!AE21,0)+IF(AND(4&gt;=(13-'Assumptions'!$J$44)+'Assumptions'!$AF$44,4&lt;=12),'Revenue and costs'!N22/'Assumptions'!$J$44,0)-IF(AND(4&gt;=(13-'Assumptions'!$J$44),4&lt;=12),SUM('Revenue and costs'!O22:U22)/'Assumptions'!$J$44,0)-IF(4=(13-'Assumptions'!$J$44)-1,'Revenue and costs'!V22+'Revenue and costs'!Y22+'Revenue and costs'!AE22,0)+IF(AND(4&gt;=(13-'Assumptions'!$J$45)+'Assumptions'!$AF$45,4&lt;=12),'Revenue and costs'!N23/'Assumptions'!$J$45,0)-IF(AND(4&gt;=(13-'Assumptions'!$J$45),4&lt;=12),SUM('Revenue and costs'!O23:U23)/'Assumptions'!$J$45,0)-IF(4=(13-'Assumptions'!$J$45)-1,'Revenue and costs'!V23+'Revenue and costs'!Y23+'Revenue and costs'!AE23,0)+IF(AND(4&gt;=(13-'Assumptions'!$J$46)+'Assumptions'!$AF$46,4&lt;=12),'Revenue and costs'!N24/'Assumptions'!$J$46,0)-IF(AND(4&gt;=(13-'Assumptions'!$J$46),4&lt;=12),SUM('Revenue and costs'!O24:U24)/'Assumptions'!$J$46,0)-IF(4=(13-'Assumptions'!$J$46)-1,'Revenue and costs'!V24+'Revenue and costs'!Y24+'Revenue and costs'!AE24,0)+IF(AND(4&gt;=(13-'Assumptions'!$J$47)+'Assumptions'!$AF$47,4&lt;=12),'Revenue and costs'!N25/'Assumptions'!$J$47,0)-IF(AND(4&gt;=(13-'Assumptions'!$J$47),4&lt;=12),SUM('Revenue and costs'!O25:U25)/'Assumptions'!$J$47,0)-IF(4=(13-'Assumptions'!$J$47)-1,'Revenue and costs'!V25+'Revenue and costs'!Y25+'Revenue and costs'!AE25,0)+IF(AND(4&gt;=(13-'Assumptions'!$J$48)+'Assumptions'!$AF$48,4&lt;=12),'Revenue and costs'!N26/'Assumptions'!$J$48,0)-IF(AND(4&gt;=(13-'Assumptions'!$J$48),4&lt;=12),SUM('Revenue and costs'!O26:U26)/'Assumptions'!$J$48,0)-IF(4=(13-'Assumptions'!$J$48)-1,'Revenue and costs'!V26+'Revenue and costs'!Y26+'Revenue and costs'!AE26,0)+IF(AND(4&gt;=(13-'Assumptions'!$J$49)+'Assumptions'!$AF$49,4&lt;=12),'Revenue and costs'!N27/'Assumptions'!$J$49,0)-IF(AND(4&gt;=(13-'Assumptions'!$J$49),4&lt;=12),SUM('Revenue and costs'!O27:U27)/'Assumptions'!$J$49,0)-IF(4=(13-'Assumptions'!$J$49)-1,'Revenue and costs'!V27+'Revenue and costs'!Y27+'Revenue and costs'!AE27,0)+IF(AND(4&gt;=(13-'Assumptions'!$J$50)+'Assumptions'!$AF$50,4&lt;=12),'Revenue and costs'!N28/'Assumptions'!$J$50,0)-IF(AND(4&gt;=(13-'Assumptions'!$J$50),4&lt;=12),SUM('Revenue and costs'!O28:U28)/'Assumptions'!$J$50,0)-IF(4=(13-'Assumptions'!$J$50)-1,'Revenue and costs'!V28+'Revenue and costs'!Y28+'Revenue and costs'!AE28,0)+IF(AND(4&gt;=(13-'Assumptions'!$J$51)+'Assumptions'!$AF$51,4&lt;=12),'Revenue and costs'!N29/'Assumptions'!$J$51,0)-IF(AND(4&gt;=(13-'Assumptions'!$J$51),4&lt;=12),SUM('Revenue and costs'!O29:U29)/'Assumptions'!$J$51,0)-IF(4=(13-'Assumptions'!$J$51)-1,'Revenue and costs'!V29+'Revenue and costs'!Y29+'Revenue and costs'!AE29,0)+IF(AND(4&gt;=(13-'Assumptions'!$J$52)+'Assumptions'!$AF$52,4&lt;=12),'Revenue and costs'!N30/'Assumptions'!$J$52,0)-IF(AND(4&gt;=(13-'Assumptions'!$J$52),4&lt;=12),SUM('Revenue and costs'!O30:U30)/'Assumptions'!$J$52,0)-IF(4=(13-'Assumptions'!$J$52)-1,'Revenue and costs'!V30+'Revenue and costs'!Y30+'Revenue and costs'!AE30,0)+IF(AND(4&gt;=(13-'Assumptions'!$J$53)+'Assumptions'!$AF$53,4&lt;=12),'Revenue and costs'!N31/'Assumptions'!$J$53,0)-IF(AND(4&gt;=(13-'Assumptions'!$J$53),4&lt;=12),SUM('Revenue and costs'!O31:U31)/'Assumptions'!$J$53,0)-IF(4=(13-'Assumptions'!$J$53)-1,'Revenue and costs'!V31+'Revenue and costs'!Y31+'Revenue and costs'!AE31,0)+IF(AND(4&gt;=(13-'Assumptions'!$J$54)+'Assumptions'!$AF$54,4&lt;=12),'Revenue and costs'!N32/'Assumptions'!$J$54,0)-IF(AND(4&gt;=(13-'Assumptions'!$J$54),4&lt;=12),SUM('Revenue and costs'!O32:U32)/'Assumptions'!$J$54,0)-IF(4=(13-'Assumptions'!$J$54)-1,'Revenue and costs'!V32+'Revenue and costs'!Y32+'Revenue and costs'!AE32,0)+IF(AND(4&gt;=(13-'Assumptions'!$J$55)+'Assumptions'!$AF$55,4&lt;=12),'Revenue and costs'!N33/'Assumptions'!$J$55,0)-IF(AND(4&gt;=(13-'Assumptions'!$J$55),4&lt;=12),SUM('Revenue and costs'!O33:U33)/'Assumptions'!$J$55,0)-IF(4=(13-'Assumptions'!$J$55)-1,'Revenue and costs'!V33+'Revenue and costs'!Y33+'Revenue and costs'!AE33,0)+IF(AND(4&gt;=(13-'Assumptions'!$J$56)+'Assumptions'!$AF$56,4&lt;=12),'Revenue and costs'!N34/'Assumptions'!$J$56,0)-IF(AND(4&gt;=(13-'Assumptions'!$J$56),4&lt;=12),SUM('Revenue and costs'!O34:U34)/'Assumptions'!$J$56,0)-IF(4=(13-'Assumptions'!$J$56)-1,'Revenue and costs'!V34+'Revenue and costs'!Y34+'Revenue and costs'!AE34,0)+IF(AND(4&gt;=(13-'Assumptions'!$J$57)+'Assumptions'!$AF$57,4&lt;=12),'Revenue and costs'!N35/'Assumptions'!$J$57,0)-IF(AND(4&gt;=(13-'Assumptions'!$J$57),4&lt;=12),SUM('Revenue and costs'!O35:U35)/'Assumptions'!$J$57,0)-IF(4=(13-'Assumptions'!$J$57)-1,'Revenue and costs'!V35+'Revenue and costs'!Y35+'Revenue and costs'!AE35,0)+IF(AND(4&gt;=(13-'Assumptions'!$J$58)+'Assumptions'!$AF$58,4&lt;=12),'Revenue and costs'!N36/'Assumptions'!$J$58,0)-IF(AND(4&gt;=(13-'Assumptions'!$J$58),4&lt;=12),SUM('Revenue and costs'!O36:U36)/'Assumptions'!$J$58,0)-IF(4=(13-'Assumptions'!$J$58)-1,'Revenue and costs'!V36+'Revenue and costs'!Y36+'Revenue and costs'!AE36,0)+IF(AND(4&gt;=(13-'Assumptions'!$J$59)+'Assumptions'!$AF$59,4&lt;=12),'Revenue and costs'!N37/'Assumptions'!$J$59,0)-IF(AND(4&gt;=(13-'Assumptions'!$J$59),4&lt;=12),SUM('Revenue and costs'!O37:U37)/'Assumptions'!$J$59,0)-IF(4=(13-'Assumptions'!$J$59)-1,'Revenue and costs'!V37+'Revenue and costs'!Y37+'Revenue and costs'!AE37,0)+IF(AND(4&gt;=(13-'Assumptions'!$J$60)+'Assumptions'!$AF$60,4&lt;=12),'Revenue and costs'!N38/'Assumptions'!$J$60,0)-IF(AND(4&gt;=(13-'Assumptions'!$J$60),4&lt;=12),SUM('Revenue and costs'!O38:U38)/'Assumptions'!$J$60,0)-IF(4=(13-'Assumptions'!$J$60)-1,'Revenue and costs'!V38+'Revenue and costs'!Y38+'Revenue and costs'!AE38,0)+IF(AND(4&gt;=(13-'Assumptions'!$J$61)+'Assumptions'!$AF$61,4&lt;=12),'Revenue and costs'!N39/'Assumptions'!$J$61,0)-IF(AND(4&gt;=(13-'Assumptions'!$J$61),4&lt;=12),SUM('Revenue and costs'!O39:U39)/'Assumptions'!$J$61,0)-IF(4=(13-'Assumptions'!$J$61)-1,'Revenue and costs'!V39+'Revenue and costs'!Y39+'Revenue and costs'!AE39,0)-'Segment tax'!G10/12</x:f>
        <x:v>-18869.507813224023</x:v>
      </x:c>
      <x:c r="I29" s="24" t="n">
        <x:f>H29+IF(AND(5&gt;=(13-'Assumptions'!$J$36)+'Assumptions'!$AF$36,5&lt;=12),'Revenue and costs'!N14/'Assumptions'!$J$36,0)-IF(AND(5&gt;=(13-'Assumptions'!$J$36),5&lt;=12),SUM('Revenue and costs'!O14:U14)/'Assumptions'!$J$36,0)-IF(5=(13-'Assumptions'!$J$36)-1,'Revenue and costs'!V14+'Revenue and costs'!Y14+'Revenue and costs'!AE14,0)+IF(AND(5&gt;=(13-'Assumptions'!$J$37)+'Assumptions'!$AF$37,5&lt;=12),'Revenue and costs'!N15/'Assumptions'!$J$37,0)-IF(AND(5&gt;=(13-'Assumptions'!$J$37),5&lt;=12),SUM('Revenue and costs'!O15:U15)/'Assumptions'!$J$37,0)-IF(5=(13-'Assumptions'!$J$37)-1,'Revenue and costs'!V15+'Revenue and costs'!Y15+'Revenue and costs'!AE15,0)+IF(AND(5&gt;=(13-'Assumptions'!$J$38)+'Assumptions'!$AF$38,5&lt;=12),'Revenue and costs'!N16/'Assumptions'!$J$38,0)-IF(AND(5&gt;=(13-'Assumptions'!$J$38),5&lt;=12),SUM('Revenue and costs'!O16:U16)/'Assumptions'!$J$38,0)-IF(5=(13-'Assumptions'!$J$38)-1,'Revenue and costs'!V16+'Revenue and costs'!Y16+'Revenue and costs'!AE16,0)+IF(AND(5&gt;=(13-'Assumptions'!$J$39)+'Assumptions'!$AF$39,5&lt;=12),'Revenue and costs'!N17/'Assumptions'!$J$39,0)-IF(AND(5&gt;=(13-'Assumptions'!$J$39),5&lt;=12),SUM('Revenue and costs'!O17:U17)/'Assumptions'!$J$39,0)-IF(5=(13-'Assumptions'!$J$39)-1,'Revenue and costs'!V17+'Revenue and costs'!Y17+'Revenue and costs'!AE17,0)+IF(AND(5&gt;=(13-'Assumptions'!$J$40)+'Assumptions'!$AF$40,5&lt;=12),'Revenue and costs'!N18/'Assumptions'!$J$40,0)-IF(AND(5&gt;=(13-'Assumptions'!$J$40),5&lt;=12),SUM('Revenue and costs'!O18:U18)/'Assumptions'!$J$40,0)-IF(5=(13-'Assumptions'!$J$40)-1,'Revenue and costs'!V18+'Revenue and costs'!Y18+'Revenue and costs'!AE18,0)+IF(AND(5&gt;=(13-'Assumptions'!$J$41)+'Assumptions'!$AF$41,5&lt;=12),'Revenue and costs'!N19/'Assumptions'!$J$41,0)-IF(AND(5&gt;=(13-'Assumptions'!$J$41),5&lt;=12),SUM('Revenue and costs'!O19:U19)/'Assumptions'!$J$41,0)-IF(5=(13-'Assumptions'!$J$41)-1,'Revenue and costs'!V19+'Revenue and costs'!Y19+'Revenue and costs'!AE19,0)+IF(AND(5&gt;=(13-'Assumptions'!$J$42)+'Assumptions'!$AF$42,5&lt;=12),'Revenue and costs'!N20/'Assumptions'!$J$42,0)-IF(AND(5&gt;=(13-'Assumptions'!$J$42),5&lt;=12),SUM('Revenue and costs'!O20:U20)/'Assumptions'!$J$42,0)-IF(5=(13-'Assumptions'!$J$42)-1,'Revenue and costs'!V20+'Revenue and costs'!Y20+'Revenue and costs'!AE20,0)+IF(AND(5&gt;=(13-'Assumptions'!$J$43)+'Assumptions'!$AF$43,5&lt;=12),'Revenue and costs'!N21/'Assumptions'!$J$43,0)-IF(AND(5&gt;=(13-'Assumptions'!$J$43),5&lt;=12),SUM('Revenue and costs'!O21:U21)/'Assumptions'!$J$43,0)-IF(5=(13-'Assumptions'!$J$43)-1,'Revenue and costs'!V21+'Revenue and costs'!Y21+'Revenue and costs'!AE21,0)+IF(AND(5&gt;=(13-'Assumptions'!$J$44)+'Assumptions'!$AF$44,5&lt;=12),'Revenue and costs'!N22/'Assumptions'!$J$44,0)-IF(AND(5&gt;=(13-'Assumptions'!$J$44),5&lt;=12),SUM('Revenue and costs'!O22:U22)/'Assumptions'!$J$44,0)-IF(5=(13-'Assumptions'!$J$44)-1,'Revenue and costs'!V22+'Revenue and costs'!Y22+'Revenue and costs'!AE22,0)+IF(AND(5&gt;=(13-'Assumptions'!$J$45)+'Assumptions'!$AF$45,5&lt;=12),'Revenue and costs'!N23/'Assumptions'!$J$45,0)-IF(AND(5&gt;=(13-'Assumptions'!$J$45),5&lt;=12),SUM('Revenue and costs'!O23:U23)/'Assumptions'!$J$45,0)-IF(5=(13-'Assumptions'!$J$45)-1,'Revenue and costs'!V23+'Revenue and costs'!Y23+'Revenue and costs'!AE23,0)+IF(AND(5&gt;=(13-'Assumptions'!$J$46)+'Assumptions'!$AF$46,5&lt;=12),'Revenue and costs'!N24/'Assumptions'!$J$46,0)-IF(AND(5&gt;=(13-'Assumptions'!$J$46),5&lt;=12),SUM('Revenue and costs'!O24:U24)/'Assumptions'!$J$46,0)-IF(5=(13-'Assumptions'!$J$46)-1,'Revenue and costs'!V24+'Revenue and costs'!Y24+'Revenue and costs'!AE24,0)+IF(AND(5&gt;=(13-'Assumptions'!$J$47)+'Assumptions'!$AF$47,5&lt;=12),'Revenue and costs'!N25/'Assumptions'!$J$47,0)-IF(AND(5&gt;=(13-'Assumptions'!$J$47),5&lt;=12),SUM('Revenue and costs'!O25:U25)/'Assumptions'!$J$47,0)-IF(5=(13-'Assumptions'!$J$47)-1,'Revenue and costs'!V25+'Revenue and costs'!Y25+'Revenue and costs'!AE25,0)+IF(AND(5&gt;=(13-'Assumptions'!$J$48)+'Assumptions'!$AF$48,5&lt;=12),'Revenue and costs'!N26/'Assumptions'!$J$48,0)-IF(AND(5&gt;=(13-'Assumptions'!$J$48),5&lt;=12),SUM('Revenue and costs'!O26:U26)/'Assumptions'!$J$48,0)-IF(5=(13-'Assumptions'!$J$48)-1,'Revenue and costs'!V26+'Revenue and costs'!Y26+'Revenue and costs'!AE26,0)+IF(AND(5&gt;=(13-'Assumptions'!$J$49)+'Assumptions'!$AF$49,5&lt;=12),'Revenue and costs'!N27/'Assumptions'!$J$49,0)-IF(AND(5&gt;=(13-'Assumptions'!$J$49),5&lt;=12),SUM('Revenue and costs'!O27:U27)/'Assumptions'!$J$49,0)-IF(5=(13-'Assumptions'!$J$49)-1,'Revenue and costs'!V27+'Revenue and costs'!Y27+'Revenue and costs'!AE27,0)+IF(AND(5&gt;=(13-'Assumptions'!$J$50)+'Assumptions'!$AF$50,5&lt;=12),'Revenue and costs'!N28/'Assumptions'!$J$50,0)-IF(AND(5&gt;=(13-'Assumptions'!$J$50),5&lt;=12),SUM('Revenue and costs'!O28:U28)/'Assumptions'!$J$50,0)-IF(5=(13-'Assumptions'!$J$50)-1,'Revenue and costs'!V28+'Revenue and costs'!Y28+'Revenue and costs'!AE28,0)+IF(AND(5&gt;=(13-'Assumptions'!$J$51)+'Assumptions'!$AF$51,5&lt;=12),'Revenue and costs'!N29/'Assumptions'!$J$51,0)-IF(AND(5&gt;=(13-'Assumptions'!$J$51),5&lt;=12),SUM('Revenue and costs'!O29:U29)/'Assumptions'!$J$51,0)-IF(5=(13-'Assumptions'!$J$51)-1,'Revenue and costs'!V29+'Revenue and costs'!Y29+'Revenue and costs'!AE29,0)+IF(AND(5&gt;=(13-'Assumptions'!$J$52)+'Assumptions'!$AF$52,5&lt;=12),'Revenue and costs'!N30/'Assumptions'!$J$52,0)-IF(AND(5&gt;=(13-'Assumptions'!$J$52),5&lt;=12),SUM('Revenue and costs'!O30:U30)/'Assumptions'!$J$52,0)-IF(5=(13-'Assumptions'!$J$52)-1,'Revenue and costs'!V30+'Revenue and costs'!Y30+'Revenue and costs'!AE30,0)+IF(AND(5&gt;=(13-'Assumptions'!$J$53)+'Assumptions'!$AF$53,5&lt;=12),'Revenue and costs'!N31/'Assumptions'!$J$53,0)-IF(AND(5&gt;=(13-'Assumptions'!$J$53),5&lt;=12),SUM('Revenue and costs'!O31:U31)/'Assumptions'!$J$53,0)-IF(5=(13-'Assumptions'!$J$53)-1,'Revenue and costs'!V31+'Revenue and costs'!Y31+'Revenue and costs'!AE31,0)+IF(AND(5&gt;=(13-'Assumptions'!$J$54)+'Assumptions'!$AF$54,5&lt;=12),'Revenue and costs'!N32/'Assumptions'!$J$54,0)-IF(AND(5&gt;=(13-'Assumptions'!$J$54),5&lt;=12),SUM('Revenue and costs'!O32:U32)/'Assumptions'!$J$54,0)-IF(5=(13-'Assumptions'!$J$54)-1,'Revenue and costs'!V32+'Revenue and costs'!Y32+'Revenue and costs'!AE32,0)+IF(AND(5&gt;=(13-'Assumptions'!$J$55)+'Assumptions'!$AF$55,5&lt;=12),'Revenue and costs'!N33/'Assumptions'!$J$55,0)-IF(AND(5&gt;=(13-'Assumptions'!$J$55),5&lt;=12),SUM('Revenue and costs'!O33:U33)/'Assumptions'!$J$55,0)-IF(5=(13-'Assumptions'!$J$55)-1,'Revenue and costs'!V33+'Revenue and costs'!Y33+'Revenue and costs'!AE33,0)+IF(AND(5&gt;=(13-'Assumptions'!$J$56)+'Assumptions'!$AF$56,5&lt;=12),'Revenue and costs'!N34/'Assumptions'!$J$56,0)-IF(AND(5&gt;=(13-'Assumptions'!$J$56),5&lt;=12),SUM('Revenue and costs'!O34:U34)/'Assumptions'!$J$56,0)-IF(5=(13-'Assumptions'!$J$56)-1,'Revenue and costs'!V34+'Revenue and costs'!Y34+'Revenue and costs'!AE34,0)+IF(AND(5&gt;=(13-'Assumptions'!$J$57)+'Assumptions'!$AF$57,5&lt;=12),'Revenue and costs'!N35/'Assumptions'!$J$57,0)-IF(AND(5&gt;=(13-'Assumptions'!$J$57),5&lt;=12),SUM('Revenue and costs'!O35:U35)/'Assumptions'!$J$57,0)-IF(5=(13-'Assumptions'!$J$57)-1,'Revenue and costs'!V35+'Revenue and costs'!Y35+'Revenue and costs'!AE35,0)+IF(AND(5&gt;=(13-'Assumptions'!$J$58)+'Assumptions'!$AF$58,5&lt;=12),'Revenue and costs'!N36/'Assumptions'!$J$58,0)-IF(AND(5&gt;=(13-'Assumptions'!$J$58),5&lt;=12),SUM('Revenue and costs'!O36:U36)/'Assumptions'!$J$58,0)-IF(5=(13-'Assumptions'!$J$58)-1,'Revenue and costs'!V36+'Revenue and costs'!Y36+'Revenue and costs'!AE36,0)+IF(AND(5&gt;=(13-'Assumptions'!$J$59)+'Assumptions'!$AF$59,5&lt;=12),'Revenue and costs'!N37/'Assumptions'!$J$59,0)-IF(AND(5&gt;=(13-'Assumptions'!$J$59),5&lt;=12),SUM('Revenue and costs'!O37:U37)/'Assumptions'!$J$59,0)-IF(5=(13-'Assumptions'!$J$59)-1,'Revenue and costs'!V37+'Revenue and costs'!Y37+'Revenue and costs'!AE37,0)+IF(AND(5&gt;=(13-'Assumptions'!$J$60)+'Assumptions'!$AF$60,5&lt;=12),'Revenue and costs'!N38/'Assumptions'!$J$60,0)-IF(AND(5&gt;=(13-'Assumptions'!$J$60),5&lt;=12),SUM('Revenue and costs'!O38:U38)/'Assumptions'!$J$60,0)-IF(5=(13-'Assumptions'!$J$60)-1,'Revenue and costs'!V38+'Revenue and costs'!Y38+'Revenue and costs'!AE38,0)+IF(AND(5&gt;=(13-'Assumptions'!$J$61)+'Assumptions'!$AF$61,5&lt;=12),'Revenue and costs'!N39/'Assumptions'!$J$61,0)-IF(AND(5&gt;=(13-'Assumptions'!$J$61),5&lt;=12),SUM('Revenue and costs'!O39:U39)/'Assumptions'!$J$61,0)-IF(5=(13-'Assumptions'!$J$61)-1,'Revenue and costs'!V39+'Revenue and costs'!Y39+'Revenue and costs'!AE39,0)-'Segment tax'!G10/12</x:f>
        <x:v>-5906.279454334593</x:v>
      </x:c>
      <x:c r="J29" s="24" t="n">
        <x:f>I29+IF(AND(6&gt;=(13-'Assumptions'!$J$36)+'Assumptions'!$AF$36,6&lt;=12),'Revenue and costs'!N14/'Assumptions'!$J$36,0)-IF(AND(6&gt;=(13-'Assumptions'!$J$36),6&lt;=12),SUM('Revenue and costs'!O14:U14)/'Assumptions'!$J$36,0)-IF(6=(13-'Assumptions'!$J$36)-1,'Revenue and costs'!V14+'Revenue and costs'!Y14+'Revenue and costs'!AE14,0)+IF(AND(6&gt;=(13-'Assumptions'!$J$37)+'Assumptions'!$AF$37,6&lt;=12),'Revenue and costs'!N15/'Assumptions'!$J$37,0)-IF(AND(6&gt;=(13-'Assumptions'!$J$37),6&lt;=12),SUM('Revenue and costs'!O15:U15)/'Assumptions'!$J$37,0)-IF(6=(13-'Assumptions'!$J$37)-1,'Revenue and costs'!V15+'Revenue and costs'!Y15+'Revenue and costs'!AE15,0)+IF(AND(6&gt;=(13-'Assumptions'!$J$38)+'Assumptions'!$AF$38,6&lt;=12),'Revenue and costs'!N16/'Assumptions'!$J$38,0)-IF(AND(6&gt;=(13-'Assumptions'!$J$38),6&lt;=12),SUM('Revenue and costs'!O16:U16)/'Assumptions'!$J$38,0)-IF(6=(13-'Assumptions'!$J$38)-1,'Revenue and costs'!V16+'Revenue and costs'!Y16+'Revenue and costs'!AE16,0)+IF(AND(6&gt;=(13-'Assumptions'!$J$39)+'Assumptions'!$AF$39,6&lt;=12),'Revenue and costs'!N17/'Assumptions'!$J$39,0)-IF(AND(6&gt;=(13-'Assumptions'!$J$39),6&lt;=12),SUM('Revenue and costs'!O17:U17)/'Assumptions'!$J$39,0)-IF(6=(13-'Assumptions'!$J$39)-1,'Revenue and costs'!V17+'Revenue and costs'!Y17+'Revenue and costs'!AE17,0)+IF(AND(6&gt;=(13-'Assumptions'!$J$40)+'Assumptions'!$AF$40,6&lt;=12),'Revenue and costs'!N18/'Assumptions'!$J$40,0)-IF(AND(6&gt;=(13-'Assumptions'!$J$40),6&lt;=12),SUM('Revenue and costs'!O18:U18)/'Assumptions'!$J$40,0)-IF(6=(13-'Assumptions'!$J$40)-1,'Revenue and costs'!V18+'Revenue and costs'!Y18+'Revenue and costs'!AE18,0)+IF(AND(6&gt;=(13-'Assumptions'!$J$41)+'Assumptions'!$AF$41,6&lt;=12),'Revenue and costs'!N19/'Assumptions'!$J$41,0)-IF(AND(6&gt;=(13-'Assumptions'!$J$41),6&lt;=12),SUM('Revenue and costs'!O19:U19)/'Assumptions'!$J$41,0)-IF(6=(13-'Assumptions'!$J$41)-1,'Revenue and costs'!V19+'Revenue and costs'!Y19+'Revenue and costs'!AE19,0)+IF(AND(6&gt;=(13-'Assumptions'!$J$42)+'Assumptions'!$AF$42,6&lt;=12),'Revenue and costs'!N20/'Assumptions'!$J$42,0)-IF(AND(6&gt;=(13-'Assumptions'!$J$42),6&lt;=12),SUM('Revenue and costs'!O20:U20)/'Assumptions'!$J$42,0)-IF(6=(13-'Assumptions'!$J$42)-1,'Revenue and costs'!V20+'Revenue and costs'!Y20+'Revenue and costs'!AE20,0)+IF(AND(6&gt;=(13-'Assumptions'!$J$43)+'Assumptions'!$AF$43,6&lt;=12),'Revenue and costs'!N21/'Assumptions'!$J$43,0)-IF(AND(6&gt;=(13-'Assumptions'!$J$43),6&lt;=12),SUM('Revenue and costs'!O21:U21)/'Assumptions'!$J$43,0)-IF(6=(13-'Assumptions'!$J$43)-1,'Revenue and costs'!V21+'Revenue and costs'!Y21+'Revenue and costs'!AE21,0)+IF(AND(6&gt;=(13-'Assumptions'!$J$44)+'Assumptions'!$AF$44,6&lt;=12),'Revenue and costs'!N22/'Assumptions'!$J$44,0)-IF(AND(6&gt;=(13-'Assumptions'!$J$44),6&lt;=12),SUM('Revenue and costs'!O22:U22)/'Assumptions'!$J$44,0)-IF(6=(13-'Assumptions'!$J$44)-1,'Revenue and costs'!V22+'Revenue and costs'!Y22+'Revenue and costs'!AE22,0)+IF(AND(6&gt;=(13-'Assumptions'!$J$45)+'Assumptions'!$AF$45,6&lt;=12),'Revenue and costs'!N23/'Assumptions'!$J$45,0)-IF(AND(6&gt;=(13-'Assumptions'!$J$45),6&lt;=12),SUM('Revenue and costs'!O23:U23)/'Assumptions'!$J$45,0)-IF(6=(13-'Assumptions'!$J$45)-1,'Revenue and costs'!V23+'Revenue and costs'!Y23+'Revenue and costs'!AE23,0)+IF(AND(6&gt;=(13-'Assumptions'!$J$46)+'Assumptions'!$AF$46,6&lt;=12),'Revenue and costs'!N24/'Assumptions'!$J$46,0)-IF(AND(6&gt;=(13-'Assumptions'!$J$46),6&lt;=12),SUM('Revenue and costs'!O24:U24)/'Assumptions'!$J$46,0)-IF(6=(13-'Assumptions'!$J$46)-1,'Revenue and costs'!V24+'Revenue and costs'!Y24+'Revenue and costs'!AE24,0)+IF(AND(6&gt;=(13-'Assumptions'!$J$47)+'Assumptions'!$AF$47,6&lt;=12),'Revenue and costs'!N25/'Assumptions'!$J$47,0)-IF(AND(6&gt;=(13-'Assumptions'!$J$47),6&lt;=12),SUM('Revenue and costs'!O25:U25)/'Assumptions'!$J$47,0)-IF(6=(13-'Assumptions'!$J$47)-1,'Revenue and costs'!V25+'Revenue and costs'!Y25+'Revenue and costs'!AE25,0)+IF(AND(6&gt;=(13-'Assumptions'!$J$48)+'Assumptions'!$AF$48,6&lt;=12),'Revenue and costs'!N26/'Assumptions'!$J$48,0)-IF(AND(6&gt;=(13-'Assumptions'!$J$48),6&lt;=12),SUM('Revenue and costs'!O26:U26)/'Assumptions'!$J$48,0)-IF(6=(13-'Assumptions'!$J$48)-1,'Revenue and costs'!V26+'Revenue and costs'!Y26+'Revenue and costs'!AE26,0)+IF(AND(6&gt;=(13-'Assumptions'!$J$49)+'Assumptions'!$AF$49,6&lt;=12),'Revenue and costs'!N27/'Assumptions'!$J$49,0)-IF(AND(6&gt;=(13-'Assumptions'!$J$49),6&lt;=12),SUM('Revenue and costs'!O27:U27)/'Assumptions'!$J$49,0)-IF(6=(13-'Assumptions'!$J$49)-1,'Revenue and costs'!V27+'Revenue and costs'!Y27+'Revenue and costs'!AE27,0)+IF(AND(6&gt;=(13-'Assumptions'!$J$50)+'Assumptions'!$AF$50,6&lt;=12),'Revenue and costs'!N28/'Assumptions'!$J$50,0)-IF(AND(6&gt;=(13-'Assumptions'!$J$50),6&lt;=12),SUM('Revenue and costs'!O28:U28)/'Assumptions'!$J$50,0)-IF(6=(13-'Assumptions'!$J$50)-1,'Revenue and costs'!V28+'Revenue and costs'!Y28+'Revenue and costs'!AE28,0)+IF(AND(6&gt;=(13-'Assumptions'!$J$51)+'Assumptions'!$AF$51,6&lt;=12),'Revenue and costs'!N29/'Assumptions'!$J$51,0)-IF(AND(6&gt;=(13-'Assumptions'!$J$51),6&lt;=12),SUM('Revenue and costs'!O29:U29)/'Assumptions'!$J$51,0)-IF(6=(13-'Assumptions'!$J$51)-1,'Revenue and costs'!V29+'Revenue and costs'!Y29+'Revenue and costs'!AE29,0)+IF(AND(6&gt;=(13-'Assumptions'!$J$52)+'Assumptions'!$AF$52,6&lt;=12),'Revenue and costs'!N30/'Assumptions'!$J$52,0)-IF(AND(6&gt;=(13-'Assumptions'!$J$52),6&lt;=12),SUM('Revenue and costs'!O30:U30)/'Assumptions'!$J$52,0)-IF(6=(13-'Assumptions'!$J$52)-1,'Revenue and costs'!V30+'Revenue and costs'!Y30+'Revenue and costs'!AE30,0)+IF(AND(6&gt;=(13-'Assumptions'!$J$53)+'Assumptions'!$AF$53,6&lt;=12),'Revenue and costs'!N31/'Assumptions'!$J$53,0)-IF(AND(6&gt;=(13-'Assumptions'!$J$53),6&lt;=12),SUM('Revenue and costs'!O31:U31)/'Assumptions'!$J$53,0)-IF(6=(13-'Assumptions'!$J$53)-1,'Revenue and costs'!V31+'Revenue and costs'!Y31+'Revenue and costs'!AE31,0)+IF(AND(6&gt;=(13-'Assumptions'!$J$54)+'Assumptions'!$AF$54,6&lt;=12),'Revenue and costs'!N32/'Assumptions'!$J$54,0)-IF(AND(6&gt;=(13-'Assumptions'!$J$54),6&lt;=12),SUM('Revenue and costs'!O32:U32)/'Assumptions'!$J$54,0)-IF(6=(13-'Assumptions'!$J$54)-1,'Revenue and costs'!V32+'Revenue and costs'!Y32+'Revenue and costs'!AE32,0)+IF(AND(6&gt;=(13-'Assumptions'!$J$55)+'Assumptions'!$AF$55,6&lt;=12),'Revenue and costs'!N33/'Assumptions'!$J$55,0)-IF(AND(6&gt;=(13-'Assumptions'!$J$55),6&lt;=12),SUM('Revenue and costs'!O33:U33)/'Assumptions'!$J$55,0)-IF(6=(13-'Assumptions'!$J$55)-1,'Revenue and costs'!V33+'Revenue and costs'!Y33+'Revenue and costs'!AE33,0)+IF(AND(6&gt;=(13-'Assumptions'!$J$56)+'Assumptions'!$AF$56,6&lt;=12),'Revenue and costs'!N34/'Assumptions'!$J$56,0)-IF(AND(6&gt;=(13-'Assumptions'!$J$56),6&lt;=12),SUM('Revenue and costs'!O34:U34)/'Assumptions'!$J$56,0)-IF(6=(13-'Assumptions'!$J$56)-1,'Revenue and costs'!V34+'Revenue and costs'!Y34+'Revenue and costs'!AE34,0)+IF(AND(6&gt;=(13-'Assumptions'!$J$57)+'Assumptions'!$AF$57,6&lt;=12),'Revenue and costs'!N35/'Assumptions'!$J$57,0)-IF(AND(6&gt;=(13-'Assumptions'!$J$57),6&lt;=12),SUM('Revenue and costs'!O35:U35)/'Assumptions'!$J$57,0)-IF(6=(13-'Assumptions'!$J$57)-1,'Revenue and costs'!V35+'Revenue and costs'!Y35+'Revenue and costs'!AE35,0)+IF(AND(6&gt;=(13-'Assumptions'!$J$58)+'Assumptions'!$AF$58,6&lt;=12),'Revenue and costs'!N36/'Assumptions'!$J$58,0)-IF(AND(6&gt;=(13-'Assumptions'!$J$58),6&lt;=12),SUM('Revenue and costs'!O36:U36)/'Assumptions'!$J$58,0)-IF(6=(13-'Assumptions'!$J$58)-1,'Revenue and costs'!V36+'Revenue and costs'!Y36+'Revenue and costs'!AE36,0)+IF(AND(6&gt;=(13-'Assumptions'!$J$59)+'Assumptions'!$AF$59,6&lt;=12),'Revenue and costs'!N37/'Assumptions'!$J$59,0)-IF(AND(6&gt;=(13-'Assumptions'!$J$59),6&lt;=12),SUM('Revenue and costs'!O37:U37)/'Assumptions'!$J$59,0)-IF(6=(13-'Assumptions'!$J$59)-1,'Revenue and costs'!V37+'Revenue and costs'!Y37+'Revenue and costs'!AE37,0)+IF(AND(6&gt;=(13-'Assumptions'!$J$60)+'Assumptions'!$AF$60,6&lt;=12),'Revenue and costs'!N38/'Assumptions'!$J$60,0)-IF(AND(6&gt;=(13-'Assumptions'!$J$60),6&lt;=12),SUM('Revenue and costs'!O38:U38)/'Assumptions'!$J$60,0)-IF(6=(13-'Assumptions'!$J$60)-1,'Revenue and costs'!V38+'Revenue and costs'!Y38+'Revenue and costs'!AE38,0)+IF(AND(6&gt;=(13-'Assumptions'!$J$61)+'Assumptions'!$AF$61,6&lt;=12),'Revenue and costs'!N39/'Assumptions'!$J$61,0)-IF(AND(6&gt;=(13-'Assumptions'!$J$61),6&lt;=12),SUM('Revenue and costs'!O39:U39)/'Assumptions'!$J$61,0)-IF(6=(13-'Assumptions'!$J$61)-1,'Revenue and costs'!V39+'Revenue and costs'!Y39+'Revenue and costs'!AE39,0)-'Segment tax'!G10/12</x:f>
        <x:v>6941.948904554837</x:v>
      </x:c>
      <x:c r="K29" s="24" t="n">
        <x:f>J29+IF(AND(7&gt;=(13-'Assumptions'!$J$36)+'Assumptions'!$AF$36,7&lt;=12),'Revenue and costs'!N14/'Assumptions'!$J$36,0)-IF(AND(7&gt;=(13-'Assumptions'!$J$36),7&lt;=12),SUM('Revenue and costs'!O14:U14)/'Assumptions'!$J$36,0)-IF(7=(13-'Assumptions'!$J$36)-1,'Revenue and costs'!V14+'Revenue and costs'!Y14+'Revenue and costs'!AE14,0)+IF(AND(7&gt;=(13-'Assumptions'!$J$37)+'Assumptions'!$AF$37,7&lt;=12),'Revenue and costs'!N15/'Assumptions'!$J$37,0)-IF(AND(7&gt;=(13-'Assumptions'!$J$37),7&lt;=12),SUM('Revenue and costs'!O15:U15)/'Assumptions'!$J$37,0)-IF(7=(13-'Assumptions'!$J$37)-1,'Revenue and costs'!V15+'Revenue and costs'!Y15+'Revenue and costs'!AE15,0)+IF(AND(7&gt;=(13-'Assumptions'!$J$38)+'Assumptions'!$AF$38,7&lt;=12),'Revenue and costs'!N16/'Assumptions'!$J$38,0)-IF(AND(7&gt;=(13-'Assumptions'!$J$38),7&lt;=12),SUM('Revenue and costs'!O16:U16)/'Assumptions'!$J$38,0)-IF(7=(13-'Assumptions'!$J$38)-1,'Revenue and costs'!V16+'Revenue and costs'!Y16+'Revenue and costs'!AE16,0)+IF(AND(7&gt;=(13-'Assumptions'!$J$39)+'Assumptions'!$AF$39,7&lt;=12),'Revenue and costs'!N17/'Assumptions'!$J$39,0)-IF(AND(7&gt;=(13-'Assumptions'!$J$39),7&lt;=12),SUM('Revenue and costs'!O17:U17)/'Assumptions'!$J$39,0)-IF(7=(13-'Assumptions'!$J$39)-1,'Revenue and costs'!V17+'Revenue and costs'!Y17+'Revenue and costs'!AE17,0)+IF(AND(7&gt;=(13-'Assumptions'!$J$40)+'Assumptions'!$AF$40,7&lt;=12),'Revenue and costs'!N18/'Assumptions'!$J$40,0)-IF(AND(7&gt;=(13-'Assumptions'!$J$40),7&lt;=12),SUM('Revenue and costs'!O18:U18)/'Assumptions'!$J$40,0)-IF(7=(13-'Assumptions'!$J$40)-1,'Revenue and costs'!V18+'Revenue and costs'!Y18+'Revenue and costs'!AE18,0)+IF(AND(7&gt;=(13-'Assumptions'!$J$41)+'Assumptions'!$AF$41,7&lt;=12),'Revenue and costs'!N19/'Assumptions'!$J$41,0)-IF(AND(7&gt;=(13-'Assumptions'!$J$41),7&lt;=12),SUM('Revenue and costs'!O19:U19)/'Assumptions'!$J$41,0)-IF(7=(13-'Assumptions'!$J$41)-1,'Revenue and costs'!V19+'Revenue and costs'!Y19+'Revenue and costs'!AE19,0)+IF(AND(7&gt;=(13-'Assumptions'!$J$42)+'Assumptions'!$AF$42,7&lt;=12),'Revenue and costs'!N20/'Assumptions'!$J$42,0)-IF(AND(7&gt;=(13-'Assumptions'!$J$42),7&lt;=12),SUM('Revenue and costs'!O20:U20)/'Assumptions'!$J$42,0)-IF(7=(13-'Assumptions'!$J$42)-1,'Revenue and costs'!V20+'Revenue and costs'!Y20+'Revenue and costs'!AE20,0)+IF(AND(7&gt;=(13-'Assumptions'!$J$43)+'Assumptions'!$AF$43,7&lt;=12),'Revenue and costs'!N21/'Assumptions'!$J$43,0)-IF(AND(7&gt;=(13-'Assumptions'!$J$43),7&lt;=12),SUM('Revenue and costs'!O21:U21)/'Assumptions'!$J$43,0)-IF(7=(13-'Assumptions'!$J$43)-1,'Revenue and costs'!V21+'Revenue and costs'!Y21+'Revenue and costs'!AE21,0)+IF(AND(7&gt;=(13-'Assumptions'!$J$44)+'Assumptions'!$AF$44,7&lt;=12),'Revenue and costs'!N22/'Assumptions'!$J$44,0)-IF(AND(7&gt;=(13-'Assumptions'!$J$44),7&lt;=12),SUM('Revenue and costs'!O22:U22)/'Assumptions'!$J$44,0)-IF(7=(13-'Assumptions'!$J$44)-1,'Revenue and costs'!V22+'Revenue and costs'!Y22+'Revenue and costs'!AE22,0)+IF(AND(7&gt;=(13-'Assumptions'!$J$45)+'Assumptions'!$AF$45,7&lt;=12),'Revenue and costs'!N23/'Assumptions'!$J$45,0)-IF(AND(7&gt;=(13-'Assumptions'!$J$45),7&lt;=12),SUM('Revenue and costs'!O23:U23)/'Assumptions'!$J$45,0)-IF(7=(13-'Assumptions'!$J$45)-1,'Revenue and costs'!V23+'Revenue and costs'!Y23+'Revenue and costs'!AE23,0)+IF(AND(7&gt;=(13-'Assumptions'!$J$46)+'Assumptions'!$AF$46,7&lt;=12),'Revenue and costs'!N24/'Assumptions'!$J$46,0)-IF(AND(7&gt;=(13-'Assumptions'!$J$46),7&lt;=12),SUM('Revenue and costs'!O24:U24)/'Assumptions'!$J$46,0)-IF(7=(13-'Assumptions'!$J$46)-1,'Revenue and costs'!V24+'Revenue and costs'!Y24+'Revenue and costs'!AE24,0)+IF(AND(7&gt;=(13-'Assumptions'!$J$47)+'Assumptions'!$AF$47,7&lt;=12),'Revenue and costs'!N25/'Assumptions'!$J$47,0)-IF(AND(7&gt;=(13-'Assumptions'!$J$47),7&lt;=12),SUM('Revenue and costs'!O25:U25)/'Assumptions'!$J$47,0)-IF(7=(13-'Assumptions'!$J$47)-1,'Revenue and costs'!V25+'Revenue and costs'!Y25+'Revenue and costs'!AE25,0)+IF(AND(7&gt;=(13-'Assumptions'!$J$48)+'Assumptions'!$AF$48,7&lt;=12),'Revenue and costs'!N26/'Assumptions'!$J$48,0)-IF(AND(7&gt;=(13-'Assumptions'!$J$48),7&lt;=12),SUM('Revenue and costs'!O26:U26)/'Assumptions'!$J$48,0)-IF(7=(13-'Assumptions'!$J$48)-1,'Revenue and costs'!V26+'Revenue and costs'!Y26+'Revenue and costs'!AE26,0)+IF(AND(7&gt;=(13-'Assumptions'!$J$49)+'Assumptions'!$AF$49,7&lt;=12),'Revenue and costs'!N27/'Assumptions'!$J$49,0)-IF(AND(7&gt;=(13-'Assumptions'!$J$49),7&lt;=12),SUM('Revenue and costs'!O27:U27)/'Assumptions'!$J$49,0)-IF(7=(13-'Assumptions'!$J$49)-1,'Revenue and costs'!V27+'Revenue and costs'!Y27+'Revenue and costs'!AE27,0)+IF(AND(7&gt;=(13-'Assumptions'!$J$50)+'Assumptions'!$AF$50,7&lt;=12),'Revenue and costs'!N28/'Assumptions'!$J$50,0)-IF(AND(7&gt;=(13-'Assumptions'!$J$50),7&lt;=12),SUM('Revenue and costs'!O28:U28)/'Assumptions'!$J$50,0)-IF(7=(13-'Assumptions'!$J$50)-1,'Revenue and costs'!V28+'Revenue and costs'!Y28+'Revenue and costs'!AE28,0)+IF(AND(7&gt;=(13-'Assumptions'!$J$51)+'Assumptions'!$AF$51,7&lt;=12),'Revenue and costs'!N29/'Assumptions'!$J$51,0)-IF(AND(7&gt;=(13-'Assumptions'!$J$51),7&lt;=12),SUM('Revenue and costs'!O29:U29)/'Assumptions'!$J$51,0)-IF(7=(13-'Assumptions'!$J$51)-1,'Revenue and costs'!V29+'Revenue and costs'!Y29+'Revenue and costs'!AE29,0)+IF(AND(7&gt;=(13-'Assumptions'!$J$52)+'Assumptions'!$AF$52,7&lt;=12),'Revenue and costs'!N30/'Assumptions'!$J$52,0)-IF(AND(7&gt;=(13-'Assumptions'!$J$52),7&lt;=12),SUM('Revenue and costs'!O30:U30)/'Assumptions'!$J$52,0)-IF(7=(13-'Assumptions'!$J$52)-1,'Revenue and costs'!V30+'Revenue and costs'!Y30+'Revenue and costs'!AE30,0)+IF(AND(7&gt;=(13-'Assumptions'!$J$53)+'Assumptions'!$AF$53,7&lt;=12),'Revenue and costs'!N31/'Assumptions'!$J$53,0)-IF(AND(7&gt;=(13-'Assumptions'!$J$53),7&lt;=12),SUM('Revenue and costs'!O31:U31)/'Assumptions'!$J$53,0)-IF(7=(13-'Assumptions'!$J$53)-1,'Revenue and costs'!V31+'Revenue and costs'!Y31+'Revenue and costs'!AE31,0)+IF(AND(7&gt;=(13-'Assumptions'!$J$54)+'Assumptions'!$AF$54,7&lt;=12),'Revenue and costs'!N32/'Assumptions'!$J$54,0)-IF(AND(7&gt;=(13-'Assumptions'!$J$54),7&lt;=12),SUM('Revenue and costs'!O32:U32)/'Assumptions'!$J$54,0)-IF(7=(13-'Assumptions'!$J$54)-1,'Revenue and costs'!V32+'Revenue and costs'!Y32+'Revenue and costs'!AE32,0)+IF(AND(7&gt;=(13-'Assumptions'!$J$55)+'Assumptions'!$AF$55,7&lt;=12),'Revenue and costs'!N33/'Assumptions'!$J$55,0)-IF(AND(7&gt;=(13-'Assumptions'!$J$55),7&lt;=12),SUM('Revenue and costs'!O33:U33)/'Assumptions'!$J$55,0)-IF(7=(13-'Assumptions'!$J$55)-1,'Revenue and costs'!V33+'Revenue and costs'!Y33+'Revenue and costs'!AE33,0)+IF(AND(7&gt;=(13-'Assumptions'!$J$56)+'Assumptions'!$AF$56,7&lt;=12),'Revenue and costs'!N34/'Assumptions'!$J$56,0)-IF(AND(7&gt;=(13-'Assumptions'!$J$56),7&lt;=12),SUM('Revenue and costs'!O34:U34)/'Assumptions'!$J$56,0)-IF(7=(13-'Assumptions'!$J$56)-1,'Revenue and costs'!V34+'Revenue and costs'!Y34+'Revenue and costs'!AE34,0)+IF(AND(7&gt;=(13-'Assumptions'!$J$57)+'Assumptions'!$AF$57,7&lt;=12),'Revenue and costs'!N35/'Assumptions'!$J$57,0)-IF(AND(7&gt;=(13-'Assumptions'!$J$57),7&lt;=12),SUM('Revenue and costs'!O35:U35)/'Assumptions'!$J$57,0)-IF(7=(13-'Assumptions'!$J$57)-1,'Revenue and costs'!V35+'Revenue and costs'!Y35+'Revenue and costs'!AE35,0)+IF(AND(7&gt;=(13-'Assumptions'!$J$58)+'Assumptions'!$AF$58,7&lt;=12),'Revenue and costs'!N36/'Assumptions'!$J$58,0)-IF(AND(7&gt;=(13-'Assumptions'!$J$58),7&lt;=12),SUM('Revenue and costs'!O36:U36)/'Assumptions'!$J$58,0)-IF(7=(13-'Assumptions'!$J$58)-1,'Revenue and costs'!V36+'Revenue and costs'!Y36+'Revenue and costs'!AE36,0)+IF(AND(7&gt;=(13-'Assumptions'!$J$59)+'Assumptions'!$AF$59,7&lt;=12),'Revenue and costs'!N37/'Assumptions'!$J$59,0)-IF(AND(7&gt;=(13-'Assumptions'!$J$59),7&lt;=12),SUM('Revenue and costs'!O37:U37)/'Assumptions'!$J$59,0)-IF(7=(13-'Assumptions'!$J$59)-1,'Revenue and costs'!V37+'Revenue and costs'!Y37+'Revenue and costs'!AE37,0)+IF(AND(7&gt;=(13-'Assumptions'!$J$60)+'Assumptions'!$AF$60,7&lt;=12),'Revenue and costs'!N38/'Assumptions'!$J$60,0)-IF(AND(7&gt;=(13-'Assumptions'!$J$60),7&lt;=12),SUM('Revenue and costs'!O38:U38)/'Assumptions'!$J$60,0)-IF(7=(13-'Assumptions'!$J$60)-1,'Revenue and costs'!V38+'Revenue and costs'!Y38+'Revenue and costs'!AE38,0)+IF(AND(7&gt;=(13-'Assumptions'!$J$61)+'Assumptions'!$AF$61,7&lt;=12),'Revenue and costs'!N39/'Assumptions'!$J$61,0)-IF(AND(7&gt;=(13-'Assumptions'!$J$61),7&lt;=12),SUM('Revenue and costs'!O39:U39)/'Assumptions'!$J$61,0)-IF(7=(13-'Assumptions'!$J$61)-1,'Revenue and costs'!V39+'Revenue and costs'!Y39+'Revenue and costs'!AE39,0)-'Segment tax'!G10/12</x:f>
        <x:v>16805.98726344427</x:v>
      </x:c>
      <x:c r="L29" s="24" t="n">
        <x:f>K29+IF(AND(8&gt;=(13-'Assumptions'!$J$36)+'Assumptions'!$AF$36,8&lt;=12),'Revenue and costs'!N14/'Assumptions'!$J$36,0)-IF(AND(8&gt;=(13-'Assumptions'!$J$36),8&lt;=12),SUM('Revenue and costs'!O14:U14)/'Assumptions'!$J$36,0)-IF(8=(13-'Assumptions'!$J$36)-1,'Revenue and costs'!V14+'Revenue and costs'!Y14+'Revenue and costs'!AE14,0)+IF(AND(8&gt;=(13-'Assumptions'!$J$37)+'Assumptions'!$AF$37,8&lt;=12),'Revenue and costs'!N15/'Assumptions'!$J$37,0)-IF(AND(8&gt;=(13-'Assumptions'!$J$37),8&lt;=12),SUM('Revenue and costs'!O15:U15)/'Assumptions'!$J$37,0)-IF(8=(13-'Assumptions'!$J$37)-1,'Revenue and costs'!V15+'Revenue and costs'!Y15+'Revenue and costs'!AE15,0)+IF(AND(8&gt;=(13-'Assumptions'!$J$38)+'Assumptions'!$AF$38,8&lt;=12),'Revenue and costs'!N16/'Assumptions'!$J$38,0)-IF(AND(8&gt;=(13-'Assumptions'!$J$38),8&lt;=12),SUM('Revenue and costs'!O16:U16)/'Assumptions'!$J$38,0)-IF(8=(13-'Assumptions'!$J$38)-1,'Revenue and costs'!V16+'Revenue and costs'!Y16+'Revenue and costs'!AE16,0)+IF(AND(8&gt;=(13-'Assumptions'!$J$39)+'Assumptions'!$AF$39,8&lt;=12),'Revenue and costs'!N17/'Assumptions'!$J$39,0)-IF(AND(8&gt;=(13-'Assumptions'!$J$39),8&lt;=12),SUM('Revenue and costs'!O17:U17)/'Assumptions'!$J$39,0)-IF(8=(13-'Assumptions'!$J$39)-1,'Revenue and costs'!V17+'Revenue and costs'!Y17+'Revenue and costs'!AE17,0)+IF(AND(8&gt;=(13-'Assumptions'!$J$40)+'Assumptions'!$AF$40,8&lt;=12),'Revenue and costs'!N18/'Assumptions'!$J$40,0)-IF(AND(8&gt;=(13-'Assumptions'!$J$40),8&lt;=12),SUM('Revenue and costs'!O18:U18)/'Assumptions'!$J$40,0)-IF(8=(13-'Assumptions'!$J$40)-1,'Revenue and costs'!V18+'Revenue and costs'!Y18+'Revenue and costs'!AE18,0)+IF(AND(8&gt;=(13-'Assumptions'!$J$41)+'Assumptions'!$AF$41,8&lt;=12),'Revenue and costs'!N19/'Assumptions'!$J$41,0)-IF(AND(8&gt;=(13-'Assumptions'!$J$41),8&lt;=12),SUM('Revenue and costs'!O19:U19)/'Assumptions'!$J$41,0)-IF(8=(13-'Assumptions'!$J$41)-1,'Revenue and costs'!V19+'Revenue and costs'!Y19+'Revenue and costs'!AE19,0)+IF(AND(8&gt;=(13-'Assumptions'!$J$42)+'Assumptions'!$AF$42,8&lt;=12),'Revenue and costs'!N20/'Assumptions'!$J$42,0)-IF(AND(8&gt;=(13-'Assumptions'!$J$42),8&lt;=12),SUM('Revenue and costs'!O20:U20)/'Assumptions'!$J$42,0)-IF(8=(13-'Assumptions'!$J$42)-1,'Revenue and costs'!V20+'Revenue and costs'!Y20+'Revenue and costs'!AE20,0)+IF(AND(8&gt;=(13-'Assumptions'!$J$43)+'Assumptions'!$AF$43,8&lt;=12),'Revenue and costs'!N21/'Assumptions'!$J$43,0)-IF(AND(8&gt;=(13-'Assumptions'!$J$43),8&lt;=12),SUM('Revenue and costs'!O21:U21)/'Assumptions'!$J$43,0)-IF(8=(13-'Assumptions'!$J$43)-1,'Revenue and costs'!V21+'Revenue and costs'!Y21+'Revenue and costs'!AE21,0)+IF(AND(8&gt;=(13-'Assumptions'!$J$44)+'Assumptions'!$AF$44,8&lt;=12),'Revenue and costs'!N22/'Assumptions'!$J$44,0)-IF(AND(8&gt;=(13-'Assumptions'!$J$44),8&lt;=12),SUM('Revenue and costs'!O22:U22)/'Assumptions'!$J$44,0)-IF(8=(13-'Assumptions'!$J$44)-1,'Revenue and costs'!V22+'Revenue and costs'!Y22+'Revenue and costs'!AE22,0)+IF(AND(8&gt;=(13-'Assumptions'!$J$45)+'Assumptions'!$AF$45,8&lt;=12),'Revenue and costs'!N23/'Assumptions'!$J$45,0)-IF(AND(8&gt;=(13-'Assumptions'!$J$45),8&lt;=12),SUM('Revenue and costs'!O23:U23)/'Assumptions'!$J$45,0)-IF(8=(13-'Assumptions'!$J$45)-1,'Revenue and costs'!V23+'Revenue and costs'!Y23+'Revenue and costs'!AE23,0)+IF(AND(8&gt;=(13-'Assumptions'!$J$46)+'Assumptions'!$AF$46,8&lt;=12),'Revenue and costs'!N24/'Assumptions'!$J$46,0)-IF(AND(8&gt;=(13-'Assumptions'!$J$46),8&lt;=12),SUM('Revenue and costs'!O24:U24)/'Assumptions'!$J$46,0)-IF(8=(13-'Assumptions'!$J$46)-1,'Revenue and costs'!V24+'Revenue and costs'!Y24+'Revenue and costs'!AE24,0)+IF(AND(8&gt;=(13-'Assumptions'!$J$47)+'Assumptions'!$AF$47,8&lt;=12),'Revenue and costs'!N25/'Assumptions'!$J$47,0)-IF(AND(8&gt;=(13-'Assumptions'!$J$47),8&lt;=12),SUM('Revenue and costs'!O25:U25)/'Assumptions'!$J$47,0)-IF(8=(13-'Assumptions'!$J$47)-1,'Revenue and costs'!V25+'Revenue and costs'!Y25+'Revenue and costs'!AE25,0)+IF(AND(8&gt;=(13-'Assumptions'!$J$48)+'Assumptions'!$AF$48,8&lt;=12),'Revenue and costs'!N26/'Assumptions'!$J$48,0)-IF(AND(8&gt;=(13-'Assumptions'!$J$48),8&lt;=12),SUM('Revenue and costs'!O26:U26)/'Assumptions'!$J$48,0)-IF(8=(13-'Assumptions'!$J$48)-1,'Revenue and costs'!V26+'Revenue and costs'!Y26+'Revenue and costs'!AE26,0)+IF(AND(8&gt;=(13-'Assumptions'!$J$49)+'Assumptions'!$AF$49,8&lt;=12),'Revenue and costs'!N27/'Assumptions'!$J$49,0)-IF(AND(8&gt;=(13-'Assumptions'!$J$49),8&lt;=12),SUM('Revenue and costs'!O27:U27)/'Assumptions'!$J$49,0)-IF(8=(13-'Assumptions'!$J$49)-1,'Revenue and costs'!V27+'Revenue and costs'!Y27+'Revenue and costs'!AE27,0)+IF(AND(8&gt;=(13-'Assumptions'!$J$50)+'Assumptions'!$AF$50,8&lt;=12),'Revenue and costs'!N28/'Assumptions'!$J$50,0)-IF(AND(8&gt;=(13-'Assumptions'!$J$50),8&lt;=12),SUM('Revenue and costs'!O28:U28)/'Assumptions'!$J$50,0)-IF(8=(13-'Assumptions'!$J$50)-1,'Revenue and costs'!V28+'Revenue and costs'!Y28+'Revenue and costs'!AE28,0)+IF(AND(8&gt;=(13-'Assumptions'!$J$51)+'Assumptions'!$AF$51,8&lt;=12),'Revenue and costs'!N29/'Assumptions'!$J$51,0)-IF(AND(8&gt;=(13-'Assumptions'!$J$51),8&lt;=12),SUM('Revenue and costs'!O29:U29)/'Assumptions'!$J$51,0)-IF(8=(13-'Assumptions'!$J$51)-1,'Revenue and costs'!V29+'Revenue and costs'!Y29+'Revenue and costs'!AE29,0)+IF(AND(8&gt;=(13-'Assumptions'!$J$52)+'Assumptions'!$AF$52,8&lt;=12),'Revenue and costs'!N30/'Assumptions'!$J$52,0)-IF(AND(8&gt;=(13-'Assumptions'!$J$52),8&lt;=12),SUM('Revenue and costs'!O30:U30)/'Assumptions'!$J$52,0)-IF(8=(13-'Assumptions'!$J$52)-1,'Revenue and costs'!V30+'Revenue and costs'!Y30+'Revenue and costs'!AE30,0)+IF(AND(8&gt;=(13-'Assumptions'!$J$53)+'Assumptions'!$AF$53,8&lt;=12),'Revenue and costs'!N31/'Assumptions'!$J$53,0)-IF(AND(8&gt;=(13-'Assumptions'!$J$53),8&lt;=12),SUM('Revenue and costs'!O31:U31)/'Assumptions'!$J$53,0)-IF(8=(13-'Assumptions'!$J$53)-1,'Revenue and costs'!V31+'Revenue and costs'!Y31+'Revenue and costs'!AE31,0)+IF(AND(8&gt;=(13-'Assumptions'!$J$54)+'Assumptions'!$AF$54,8&lt;=12),'Revenue and costs'!N32/'Assumptions'!$J$54,0)-IF(AND(8&gt;=(13-'Assumptions'!$J$54),8&lt;=12),SUM('Revenue and costs'!O32:U32)/'Assumptions'!$J$54,0)-IF(8=(13-'Assumptions'!$J$54)-1,'Revenue and costs'!V32+'Revenue and costs'!Y32+'Revenue and costs'!AE32,0)+IF(AND(8&gt;=(13-'Assumptions'!$J$55)+'Assumptions'!$AF$55,8&lt;=12),'Revenue and costs'!N33/'Assumptions'!$J$55,0)-IF(AND(8&gt;=(13-'Assumptions'!$J$55),8&lt;=12),SUM('Revenue and costs'!O33:U33)/'Assumptions'!$J$55,0)-IF(8=(13-'Assumptions'!$J$55)-1,'Revenue and costs'!V33+'Revenue and costs'!Y33+'Revenue and costs'!AE33,0)+IF(AND(8&gt;=(13-'Assumptions'!$J$56)+'Assumptions'!$AF$56,8&lt;=12),'Revenue and costs'!N34/'Assumptions'!$J$56,0)-IF(AND(8&gt;=(13-'Assumptions'!$J$56),8&lt;=12),SUM('Revenue and costs'!O34:U34)/'Assumptions'!$J$56,0)-IF(8=(13-'Assumptions'!$J$56)-1,'Revenue and costs'!V34+'Revenue and costs'!Y34+'Revenue and costs'!AE34,0)+IF(AND(8&gt;=(13-'Assumptions'!$J$57)+'Assumptions'!$AF$57,8&lt;=12),'Revenue and costs'!N35/'Assumptions'!$J$57,0)-IF(AND(8&gt;=(13-'Assumptions'!$J$57),8&lt;=12),SUM('Revenue and costs'!O35:U35)/'Assumptions'!$J$57,0)-IF(8=(13-'Assumptions'!$J$57)-1,'Revenue and costs'!V35+'Revenue and costs'!Y35+'Revenue and costs'!AE35,0)+IF(AND(8&gt;=(13-'Assumptions'!$J$58)+'Assumptions'!$AF$58,8&lt;=12),'Revenue and costs'!N36/'Assumptions'!$J$58,0)-IF(AND(8&gt;=(13-'Assumptions'!$J$58),8&lt;=12),SUM('Revenue and costs'!O36:U36)/'Assumptions'!$J$58,0)-IF(8=(13-'Assumptions'!$J$58)-1,'Revenue and costs'!V36+'Revenue and costs'!Y36+'Revenue and costs'!AE36,0)+IF(AND(8&gt;=(13-'Assumptions'!$J$59)+'Assumptions'!$AF$59,8&lt;=12),'Revenue and costs'!N37/'Assumptions'!$J$59,0)-IF(AND(8&gt;=(13-'Assumptions'!$J$59),8&lt;=12),SUM('Revenue and costs'!O37:U37)/'Assumptions'!$J$59,0)-IF(8=(13-'Assumptions'!$J$59)-1,'Revenue and costs'!V37+'Revenue and costs'!Y37+'Revenue and costs'!AE37,0)+IF(AND(8&gt;=(13-'Assumptions'!$J$60)+'Assumptions'!$AF$60,8&lt;=12),'Revenue and costs'!N38/'Assumptions'!$J$60,0)-IF(AND(8&gt;=(13-'Assumptions'!$J$60),8&lt;=12),SUM('Revenue and costs'!O38:U38)/'Assumptions'!$J$60,0)-IF(8=(13-'Assumptions'!$J$60)-1,'Revenue and costs'!V38+'Revenue and costs'!Y38+'Revenue and costs'!AE38,0)+IF(AND(8&gt;=(13-'Assumptions'!$J$61)+'Assumptions'!$AF$61,8&lt;=12),'Revenue and costs'!N39/'Assumptions'!$J$61,0)-IF(AND(8&gt;=(13-'Assumptions'!$J$61),8&lt;=12),SUM('Revenue and costs'!O39:U39)/'Assumptions'!$J$61,0)-IF(8=(13-'Assumptions'!$J$61)-1,'Revenue and costs'!V39+'Revenue and costs'!Y39+'Revenue and costs'!AE39,0)-'Segment tax'!G10/12</x:f>
        <x:v>34316.858955667034</x:v>
      </x:c>
      <x:c r="M29" s="24" t="n">
        <x:f>L29+IF(AND(9&gt;=(13-'Assumptions'!$J$36)+'Assumptions'!$AF$36,9&lt;=12),'Revenue and costs'!N14/'Assumptions'!$J$36,0)-IF(AND(9&gt;=(13-'Assumptions'!$J$36),9&lt;=12),SUM('Revenue and costs'!O14:U14)/'Assumptions'!$J$36,0)-IF(9=(13-'Assumptions'!$J$36)-1,'Revenue and costs'!V14+'Revenue and costs'!Y14+'Revenue and costs'!AE14,0)+IF(AND(9&gt;=(13-'Assumptions'!$J$37)+'Assumptions'!$AF$37,9&lt;=12),'Revenue and costs'!N15/'Assumptions'!$J$37,0)-IF(AND(9&gt;=(13-'Assumptions'!$J$37),9&lt;=12),SUM('Revenue and costs'!O15:U15)/'Assumptions'!$J$37,0)-IF(9=(13-'Assumptions'!$J$37)-1,'Revenue and costs'!V15+'Revenue and costs'!Y15+'Revenue and costs'!AE15,0)+IF(AND(9&gt;=(13-'Assumptions'!$J$38)+'Assumptions'!$AF$38,9&lt;=12),'Revenue and costs'!N16/'Assumptions'!$J$38,0)-IF(AND(9&gt;=(13-'Assumptions'!$J$38),9&lt;=12),SUM('Revenue and costs'!O16:U16)/'Assumptions'!$J$38,0)-IF(9=(13-'Assumptions'!$J$38)-1,'Revenue and costs'!V16+'Revenue and costs'!Y16+'Revenue and costs'!AE16,0)+IF(AND(9&gt;=(13-'Assumptions'!$J$39)+'Assumptions'!$AF$39,9&lt;=12),'Revenue and costs'!N17/'Assumptions'!$J$39,0)-IF(AND(9&gt;=(13-'Assumptions'!$J$39),9&lt;=12),SUM('Revenue and costs'!O17:U17)/'Assumptions'!$J$39,0)-IF(9=(13-'Assumptions'!$J$39)-1,'Revenue and costs'!V17+'Revenue and costs'!Y17+'Revenue and costs'!AE17,0)+IF(AND(9&gt;=(13-'Assumptions'!$J$40)+'Assumptions'!$AF$40,9&lt;=12),'Revenue and costs'!N18/'Assumptions'!$J$40,0)-IF(AND(9&gt;=(13-'Assumptions'!$J$40),9&lt;=12),SUM('Revenue and costs'!O18:U18)/'Assumptions'!$J$40,0)-IF(9=(13-'Assumptions'!$J$40)-1,'Revenue and costs'!V18+'Revenue and costs'!Y18+'Revenue and costs'!AE18,0)+IF(AND(9&gt;=(13-'Assumptions'!$J$41)+'Assumptions'!$AF$41,9&lt;=12),'Revenue and costs'!N19/'Assumptions'!$J$41,0)-IF(AND(9&gt;=(13-'Assumptions'!$J$41),9&lt;=12),SUM('Revenue and costs'!O19:U19)/'Assumptions'!$J$41,0)-IF(9=(13-'Assumptions'!$J$41)-1,'Revenue and costs'!V19+'Revenue and costs'!Y19+'Revenue and costs'!AE19,0)+IF(AND(9&gt;=(13-'Assumptions'!$J$42)+'Assumptions'!$AF$42,9&lt;=12),'Revenue and costs'!N20/'Assumptions'!$J$42,0)-IF(AND(9&gt;=(13-'Assumptions'!$J$42),9&lt;=12),SUM('Revenue and costs'!O20:U20)/'Assumptions'!$J$42,0)-IF(9=(13-'Assumptions'!$J$42)-1,'Revenue and costs'!V20+'Revenue and costs'!Y20+'Revenue and costs'!AE20,0)+IF(AND(9&gt;=(13-'Assumptions'!$J$43)+'Assumptions'!$AF$43,9&lt;=12),'Revenue and costs'!N21/'Assumptions'!$J$43,0)-IF(AND(9&gt;=(13-'Assumptions'!$J$43),9&lt;=12),SUM('Revenue and costs'!O21:U21)/'Assumptions'!$J$43,0)-IF(9=(13-'Assumptions'!$J$43)-1,'Revenue and costs'!V21+'Revenue and costs'!Y21+'Revenue and costs'!AE21,0)+IF(AND(9&gt;=(13-'Assumptions'!$J$44)+'Assumptions'!$AF$44,9&lt;=12),'Revenue and costs'!N22/'Assumptions'!$J$44,0)-IF(AND(9&gt;=(13-'Assumptions'!$J$44),9&lt;=12),SUM('Revenue and costs'!O22:U22)/'Assumptions'!$J$44,0)-IF(9=(13-'Assumptions'!$J$44)-1,'Revenue and costs'!V22+'Revenue and costs'!Y22+'Revenue and costs'!AE22,0)+IF(AND(9&gt;=(13-'Assumptions'!$J$45)+'Assumptions'!$AF$45,9&lt;=12),'Revenue and costs'!N23/'Assumptions'!$J$45,0)-IF(AND(9&gt;=(13-'Assumptions'!$J$45),9&lt;=12),SUM('Revenue and costs'!O23:U23)/'Assumptions'!$J$45,0)-IF(9=(13-'Assumptions'!$J$45)-1,'Revenue and costs'!V23+'Revenue and costs'!Y23+'Revenue and costs'!AE23,0)+IF(AND(9&gt;=(13-'Assumptions'!$J$46)+'Assumptions'!$AF$46,9&lt;=12),'Revenue and costs'!N24/'Assumptions'!$J$46,0)-IF(AND(9&gt;=(13-'Assumptions'!$J$46),9&lt;=12),SUM('Revenue and costs'!O24:U24)/'Assumptions'!$J$46,0)-IF(9=(13-'Assumptions'!$J$46)-1,'Revenue and costs'!V24+'Revenue and costs'!Y24+'Revenue and costs'!AE24,0)+IF(AND(9&gt;=(13-'Assumptions'!$J$47)+'Assumptions'!$AF$47,9&lt;=12),'Revenue and costs'!N25/'Assumptions'!$J$47,0)-IF(AND(9&gt;=(13-'Assumptions'!$J$47),9&lt;=12),SUM('Revenue and costs'!O25:U25)/'Assumptions'!$J$47,0)-IF(9=(13-'Assumptions'!$J$47)-1,'Revenue and costs'!V25+'Revenue and costs'!Y25+'Revenue and costs'!AE25,0)+IF(AND(9&gt;=(13-'Assumptions'!$J$48)+'Assumptions'!$AF$48,9&lt;=12),'Revenue and costs'!N26/'Assumptions'!$J$48,0)-IF(AND(9&gt;=(13-'Assumptions'!$J$48),9&lt;=12),SUM('Revenue and costs'!O26:U26)/'Assumptions'!$J$48,0)-IF(9=(13-'Assumptions'!$J$48)-1,'Revenue and costs'!V26+'Revenue and costs'!Y26+'Revenue and costs'!AE26,0)+IF(AND(9&gt;=(13-'Assumptions'!$J$49)+'Assumptions'!$AF$49,9&lt;=12),'Revenue and costs'!N27/'Assumptions'!$J$49,0)-IF(AND(9&gt;=(13-'Assumptions'!$J$49),9&lt;=12),SUM('Revenue and costs'!O27:U27)/'Assumptions'!$J$49,0)-IF(9=(13-'Assumptions'!$J$49)-1,'Revenue and costs'!V27+'Revenue and costs'!Y27+'Revenue and costs'!AE27,0)+IF(AND(9&gt;=(13-'Assumptions'!$J$50)+'Assumptions'!$AF$50,9&lt;=12),'Revenue and costs'!N28/'Assumptions'!$J$50,0)-IF(AND(9&gt;=(13-'Assumptions'!$J$50),9&lt;=12),SUM('Revenue and costs'!O28:U28)/'Assumptions'!$J$50,0)-IF(9=(13-'Assumptions'!$J$50)-1,'Revenue and costs'!V28+'Revenue and costs'!Y28+'Revenue and costs'!AE28,0)+IF(AND(9&gt;=(13-'Assumptions'!$J$51)+'Assumptions'!$AF$51,9&lt;=12),'Revenue and costs'!N29/'Assumptions'!$J$51,0)-IF(AND(9&gt;=(13-'Assumptions'!$J$51),9&lt;=12),SUM('Revenue and costs'!O29:U29)/'Assumptions'!$J$51,0)-IF(9=(13-'Assumptions'!$J$51)-1,'Revenue and costs'!V29+'Revenue and costs'!Y29+'Revenue and costs'!AE29,0)+IF(AND(9&gt;=(13-'Assumptions'!$J$52)+'Assumptions'!$AF$52,9&lt;=12),'Revenue and costs'!N30/'Assumptions'!$J$52,0)-IF(AND(9&gt;=(13-'Assumptions'!$J$52),9&lt;=12),SUM('Revenue and costs'!O30:U30)/'Assumptions'!$J$52,0)-IF(9=(13-'Assumptions'!$J$52)-1,'Revenue and costs'!V30+'Revenue and costs'!Y30+'Revenue and costs'!AE30,0)+IF(AND(9&gt;=(13-'Assumptions'!$J$53)+'Assumptions'!$AF$53,9&lt;=12),'Revenue and costs'!N31/'Assumptions'!$J$53,0)-IF(AND(9&gt;=(13-'Assumptions'!$J$53),9&lt;=12),SUM('Revenue and costs'!O31:U31)/'Assumptions'!$J$53,0)-IF(9=(13-'Assumptions'!$J$53)-1,'Revenue and costs'!V31+'Revenue and costs'!Y31+'Revenue and costs'!AE31,0)+IF(AND(9&gt;=(13-'Assumptions'!$J$54)+'Assumptions'!$AF$54,9&lt;=12),'Revenue and costs'!N32/'Assumptions'!$J$54,0)-IF(AND(9&gt;=(13-'Assumptions'!$J$54),9&lt;=12),SUM('Revenue and costs'!O32:U32)/'Assumptions'!$J$54,0)-IF(9=(13-'Assumptions'!$J$54)-1,'Revenue and costs'!V32+'Revenue and costs'!Y32+'Revenue and costs'!AE32,0)+IF(AND(9&gt;=(13-'Assumptions'!$J$55)+'Assumptions'!$AF$55,9&lt;=12),'Revenue and costs'!N33/'Assumptions'!$J$55,0)-IF(AND(9&gt;=(13-'Assumptions'!$J$55),9&lt;=12),SUM('Revenue and costs'!O33:U33)/'Assumptions'!$J$55,0)-IF(9=(13-'Assumptions'!$J$55)-1,'Revenue and costs'!V33+'Revenue and costs'!Y33+'Revenue and costs'!AE33,0)+IF(AND(9&gt;=(13-'Assumptions'!$J$56)+'Assumptions'!$AF$56,9&lt;=12),'Revenue and costs'!N34/'Assumptions'!$J$56,0)-IF(AND(9&gt;=(13-'Assumptions'!$J$56),9&lt;=12),SUM('Revenue and costs'!O34:U34)/'Assumptions'!$J$56,0)-IF(9=(13-'Assumptions'!$J$56)-1,'Revenue and costs'!V34+'Revenue and costs'!Y34+'Revenue and costs'!AE34,0)+IF(AND(9&gt;=(13-'Assumptions'!$J$57)+'Assumptions'!$AF$57,9&lt;=12),'Revenue and costs'!N35/'Assumptions'!$J$57,0)-IF(AND(9&gt;=(13-'Assumptions'!$J$57),9&lt;=12),SUM('Revenue and costs'!O35:U35)/'Assumptions'!$J$57,0)-IF(9=(13-'Assumptions'!$J$57)-1,'Revenue and costs'!V35+'Revenue and costs'!Y35+'Revenue and costs'!AE35,0)+IF(AND(9&gt;=(13-'Assumptions'!$J$58)+'Assumptions'!$AF$58,9&lt;=12),'Revenue and costs'!N36/'Assumptions'!$J$58,0)-IF(AND(9&gt;=(13-'Assumptions'!$J$58),9&lt;=12),SUM('Revenue and costs'!O36:U36)/'Assumptions'!$J$58,0)-IF(9=(13-'Assumptions'!$J$58)-1,'Revenue and costs'!V36+'Revenue and costs'!Y36+'Revenue and costs'!AE36,0)+IF(AND(9&gt;=(13-'Assumptions'!$J$59)+'Assumptions'!$AF$59,9&lt;=12),'Revenue and costs'!N37/'Assumptions'!$J$59,0)-IF(AND(9&gt;=(13-'Assumptions'!$J$59),9&lt;=12),SUM('Revenue and costs'!O37:U37)/'Assumptions'!$J$59,0)-IF(9=(13-'Assumptions'!$J$59)-1,'Revenue and costs'!V37+'Revenue and costs'!Y37+'Revenue and costs'!AE37,0)+IF(AND(9&gt;=(13-'Assumptions'!$J$60)+'Assumptions'!$AF$60,9&lt;=12),'Revenue and costs'!N38/'Assumptions'!$J$60,0)-IF(AND(9&gt;=(13-'Assumptions'!$J$60),9&lt;=12),SUM('Revenue and costs'!O38:U38)/'Assumptions'!$J$60,0)-IF(9=(13-'Assumptions'!$J$60)-1,'Revenue and costs'!V38+'Revenue and costs'!Y38+'Revenue and costs'!AE38,0)+IF(AND(9&gt;=(13-'Assumptions'!$J$61)+'Assumptions'!$AF$61,9&lt;=12),'Revenue and costs'!N39/'Assumptions'!$J$61,0)-IF(AND(9&gt;=(13-'Assumptions'!$J$61),9&lt;=12),SUM('Revenue and costs'!O39:U39)/'Assumptions'!$J$61,0)-IF(9=(13-'Assumptions'!$J$61)-1,'Revenue and costs'!V39+'Revenue and costs'!Y39+'Revenue and costs'!AE39,0)-'Segment tax'!G10/12</x:f>
        <x:v>51827.7306478898</x:v>
      </x:c>
      <x:c r="N29" s="24" t="n">
        <x:f>M29+IF(AND(10&gt;=(13-'Assumptions'!$J$36)+'Assumptions'!$AF$36,10&lt;=12),'Revenue and costs'!N14/'Assumptions'!$J$36,0)-IF(AND(10&gt;=(13-'Assumptions'!$J$36),10&lt;=12),SUM('Revenue and costs'!O14:U14)/'Assumptions'!$J$36,0)-IF(10=(13-'Assumptions'!$J$36)-1,'Revenue and costs'!V14+'Revenue and costs'!Y14+'Revenue and costs'!AE14,0)+IF(AND(10&gt;=(13-'Assumptions'!$J$37)+'Assumptions'!$AF$37,10&lt;=12),'Revenue and costs'!N15/'Assumptions'!$J$37,0)-IF(AND(10&gt;=(13-'Assumptions'!$J$37),10&lt;=12),SUM('Revenue and costs'!O15:U15)/'Assumptions'!$J$37,0)-IF(10=(13-'Assumptions'!$J$37)-1,'Revenue and costs'!V15+'Revenue and costs'!Y15+'Revenue and costs'!AE15,0)+IF(AND(10&gt;=(13-'Assumptions'!$J$38)+'Assumptions'!$AF$38,10&lt;=12),'Revenue and costs'!N16/'Assumptions'!$J$38,0)-IF(AND(10&gt;=(13-'Assumptions'!$J$38),10&lt;=12),SUM('Revenue and costs'!O16:U16)/'Assumptions'!$J$38,0)-IF(10=(13-'Assumptions'!$J$38)-1,'Revenue and costs'!V16+'Revenue and costs'!Y16+'Revenue and costs'!AE16,0)+IF(AND(10&gt;=(13-'Assumptions'!$J$39)+'Assumptions'!$AF$39,10&lt;=12),'Revenue and costs'!N17/'Assumptions'!$J$39,0)-IF(AND(10&gt;=(13-'Assumptions'!$J$39),10&lt;=12),SUM('Revenue and costs'!O17:U17)/'Assumptions'!$J$39,0)-IF(10=(13-'Assumptions'!$J$39)-1,'Revenue and costs'!V17+'Revenue and costs'!Y17+'Revenue and costs'!AE17,0)+IF(AND(10&gt;=(13-'Assumptions'!$J$40)+'Assumptions'!$AF$40,10&lt;=12),'Revenue and costs'!N18/'Assumptions'!$J$40,0)-IF(AND(10&gt;=(13-'Assumptions'!$J$40),10&lt;=12),SUM('Revenue and costs'!O18:U18)/'Assumptions'!$J$40,0)-IF(10=(13-'Assumptions'!$J$40)-1,'Revenue and costs'!V18+'Revenue and costs'!Y18+'Revenue and costs'!AE18,0)+IF(AND(10&gt;=(13-'Assumptions'!$J$41)+'Assumptions'!$AF$41,10&lt;=12),'Revenue and costs'!N19/'Assumptions'!$J$41,0)-IF(AND(10&gt;=(13-'Assumptions'!$J$41),10&lt;=12),SUM('Revenue and costs'!O19:U19)/'Assumptions'!$J$41,0)-IF(10=(13-'Assumptions'!$J$41)-1,'Revenue and costs'!V19+'Revenue and costs'!Y19+'Revenue and costs'!AE19,0)+IF(AND(10&gt;=(13-'Assumptions'!$J$42)+'Assumptions'!$AF$42,10&lt;=12),'Revenue and costs'!N20/'Assumptions'!$J$42,0)-IF(AND(10&gt;=(13-'Assumptions'!$J$42),10&lt;=12),SUM('Revenue and costs'!O20:U20)/'Assumptions'!$J$42,0)-IF(10=(13-'Assumptions'!$J$42)-1,'Revenue and costs'!V20+'Revenue and costs'!Y20+'Revenue and costs'!AE20,0)+IF(AND(10&gt;=(13-'Assumptions'!$J$43)+'Assumptions'!$AF$43,10&lt;=12),'Revenue and costs'!N21/'Assumptions'!$J$43,0)-IF(AND(10&gt;=(13-'Assumptions'!$J$43),10&lt;=12),SUM('Revenue and costs'!O21:U21)/'Assumptions'!$J$43,0)-IF(10=(13-'Assumptions'!$J$43)-1,'Revenue and costs'!V21+'Revenue and costs'!Y21+'Revenue and costs'!AE21,0)+IF(AND(10&gt;=(13-'Assumptions'!$J$44)+'Assumptions'!$AF$44,10&lt;=12),'Revenue and costs'!N22/'Assumptions'!$J$44,0)-IF(AND(10&gt;=(13-'Assumptions'!$J$44),10&lt;=12),SUM('Revenue and costs'!O22:U22)/'Assumptions'!$J$44,0)-IF(10=(13-'Assumptions'!$J$44)-1,'Revenue and costs'!V22+'Revenue and costs'!Y22+'Revenue and costs'!AE22,0)+IF(AND(10&gt;=(13-'Assumptions'!$J$45)+'Assumptions'!$AF$45,10&lt;=12),'Revenue and costs'!N23/'Assumptions'!$J$45,0)-IF(AND(10&gt;=(13-'Assumptions'!$J$45),10&lt;=12),SUM('Revenue and costs'!O23:U23)/'Assumptions'!$J$45,0)-IF(10=(13-'Assumptions'!$J$45)-1,'Revenue and costs'!V23+'Revenue and costs'!Y23+'Revenue and costs'!AE23,0)+IF(AND(10&gt;=(13-'Assumptions'!$J$46)+'Assumptions'!$AF$46,10&lt;=12),'Revenue and costs'!N24/'Assumptions'!$J$46,0)-IF(AND(10&gt;=(13-'Assumptions'!$J$46),10&lt;=12),SUM('Revenue and costs'!O24:U24)/'Assumptions'!$J$46,0)-IF(10=(13-'Assumptions'!$J$46)-1,'Revenue and costs'!V24+'Revenue and costs'!Y24+'Revenue and costs'!AE24,0)+IF(AND(10&gt;=(13-'Assumptions'!$J$47)+'Assumptions'!$AF$47,10&lt;=12),'Revenue and costs'!N25/'Assumptions'!$J$47,0)-IF(AND(10&gt;=(13-'Assumptions'!$J$47),10&lt;=12),SUM('Revenue and costs'!O25:U25)/'Assumptions'!$J$47,0)-IF(10=(13-'Assumptions'!$J$47)-1,'Revenue and costs'!V25+'Revenue and costs'!Y25+'Revenue and costs'!AE25,0)+IF(AND(10&gt;=(13-'Assumptions'!$J$48)+'Assumptions'!$AF$48,10&lt;=12),'Revenue and costs'!N26/'Assumptions'!$J$48,0)-IF(AND(10&gt;=(13-'Assumptions'!$J$48),10&lt;=12),SUM('Revenue and costs'!O26:U26)/'Assumptions'!$J$48,0)-IF(10=(13-'Assumptions'!$J$48)-1,'Revenue and costs'!V26+'Revenue and costs'!Y26+'Revenue and costs'!AE26,0)+IF(AND(10&gt;=(13-'Assumptions'!$J$49)+'Assumptions'!$AF$49,10&lt;=12),'Revenue and costs'!N27/'Assumptions'!$J$49,0)-IF(AND(10&gt;=(13-'Assumptions'!$J$49),10&lt;=12),SUM('Revenue and costs'!O27:U27)/'Assumptions'!$J$49,0)-IF(10=(13-'Assumptions'!$J$49)-1,'Revenue and costs'!V27+'Revenue and costs'!Y27+'Revenue and costs'!AE27,0)+IF(AND(10&gt;=(13-'Assumptions'!$J$50)+'Assumptions'!$AF$50,10&lt;=12),'Revenue and costs'!N28/'Assumptions'!$J$50,0)-IF(AND(10&gt;=(13-'Assumptions'!$J$50),10&lt;=12),SUM('Revenue and costs'!O28:U28)/'Assumptions'!$J$50,0)-IF(10=(13-'Assumptions'!$J$50)-1,'Revenue and costs'!V28+'Revenue and costs'!Y28+'Revenue and costs'!AE28,0)+IF(AND(10&gt;=(13-'Assumptions'!$J$51)+'Assumptions'!$AF$51,10&lt;=12),'Revenue and costs'!N29/'Assumptions'!$J$51,0)-IF(AND(10&gt;=(13-'Assumptions'!$J$51),10&lt;=12),SUM('Revenue and costs'!O29:U29)/'Assumptions'!$J$51,0)-IF(10=(13-'Assumptions'!$J$51)-1,'Revenue and costs'!V29+'Revenue and costs'!Y29+'Revenue and costs'!AE29,0)+IF(AND(10&gt;=(13-'Assumptions'!$J$52)+'Assumptions'!$AF$52,10&lt;=12),'Revenue and costs'!N30/'Assumptions'!$J$52,0)-IF(AND(10&gt;=(13-'Assumptions'!$J$52),10&lt;=12),SUM('Revenue and costs'!O30:U30)/'Assumptions'!$J$52,0)-IF(10=(13-'Assumptions'!$J$52)-1,'Revenue and costs'!V30+'Revenue and costs'!Y30+'Revenue and costs'!AE30,0)+IF(AND(10&gt;=(13-'Assumptions'!$J$53)+'Assumptions'!$AF$53,10&lt;=12),'Revenue and costs'!N31/'Assumptions'!$J$53,0)-IF(AND(10&gt;=(13-'Assumptions'!$J$53),10&lt;=12),SUM('Revenue and costs'!O31:U31)/'Assumptions'!$J$53,0)-IF(10=(13-'Assumptions'!$J$53)-1,'Revenue and costs'!V31+'Revenue and costs'!Y31+'Revenue and costs'!AE31,0)+IF(AND(10&gt;=(13-'Assumptions'!$J$54)+'Assumptions'!$AF$54,10&lt;=12),'Revenue and costs'!N32/'Assumptions'!$J$54,0)-IF(AND(10&gt;=(13-'Assumptions'!$J$54),10&lt;=12),SUM('Revenue and costs'!O32:U32)/'Assumptions'!$J$54,0)-IF(10=(13-'Assumptions'!$J$54)-1,'Revenue and costs'!V32+'Revenue and costs'!Y32+'Revenue and costs'!AE32,0)+IF(AND(10&gt;=(13-'Assumptions'!$J$55)+'Assumptions'!$AF$55,10&lt;=12),'Revenue and costs'!N33/'Assumptions'!$J$55,0)-IF(AND(10&gt;=(13-'Assumptions'!$J$55),10&lt;=12),SUM('Revenue and costs'!O33:U33)/'Assumptions'!$J$55,0)-IF(10=(13-'Assumptions'!$J$55)-1,'Revenue and costs'!V33+'Revenue and costs'!Y33+'Revenue and costs'!AE33,0)+IF(AND(10&gt;=(13-'Assumptions'!$J$56)+'Assumptions'!$AF$56,10&lt;=12),'Revenue and costs'!N34/'Assumptions'!$J$56,0)-IF(AND(10&gt;=(13-'Assumptions'!$J$56),10&lt;=12),SUM('Revenue and costs'!O34:U34)/'Assumptions'!$J$56,0)-IF(10=(13-'Assumptions'!$J$56)-1,'Revenue and costs'!V34+'Revenue and costs'!Y34+'Revenue and costs'!AE34,0)+IF(AND(10&gt;=(13-'Assumptions'!$J$57)+'Assumptions'!$AF$57,10&lt;=12),'Revenue and costs'!N35/'Assumptions'!$J$57,0)-IF(AND(10&gt;=(13-'Assumptions'!$J$57),10&lt;=12),SUM('Revenue and costs'!O35:U35)/'Assumptions'!$J$57,0)-IF(10=(13-'Assumptions'!$J$57)-1,'Revenue and costs'!V35+'Revenue and costs'!Y35+'Revenue and costs'!AE35,0)+IF(AND(10&gt;=(13-'Assumptions'!$J$58)+'Assumptions'!$AF$58,10&lt;=12),'Revenue and costs'!N36/'Assumptions'!$J$58,0)-IF(AND(10&gt;=(13-'Assumptions'!$J$58),10&lt;=12),SUM('Revenue and costs'!O36:U36)/'Assumptions'!$J$58,0)-IF(10=(13-'Assumptions'!$J$58)-1,'Revenue and costs'!V36+'Revenue and costs'!Y36+'Revenue and costs'!AE36,0)+IF(AND(10&gt;=(13-'Assumptions'!$J$59)+'Assumptions'!$AF$59,10&lt;=12),'Revenue and costs'!N37/'Assumptions'!$J$59,0)-IF(AND(10&gt;=(13-'Assumptions'!$J$59),10&lt;=12),SUM('Revenue and costs'!O37:U37)/'Assumptions'!$J$59,0)-IF(10=(13-'Assumptions'!$J$59)-1,'Revenue and costs'!V37+'Revenue and costs'!Y37+'Revenue and costs'!AE37,0)+IF(AND(10&gt;=(13-'Assumptions'!$J$60)+'Assumptions'!$AF$60,10&lt;=12),'Revenue and costs'!N38/'Assumptions'!$J$60,0)-IF(AND(10&gt;=(13-'Assumptions'!$J$60),10&lt;=12),SUM('Revenue and costs'!O38:U38)/'Assumptions'!$J$60,0)-IF(10=(13-'Assumptions'!$J$60)-1,'Revenue and costs'!V38+'Revenue and costs'!Y38+'Revenue and costs'!AE38,0)+IF(AND(10&gt;=(13-'Assumptions'!$J$61)+'Assumptions'!$AF$61,10&lt;=12),'Revenue and costs'!N39/'Assumptions'!$J$61,0)-IF(AND(10&gt;=(13-'Assumptions'!$J$61),10&lt;=12),SUM('Revenue and costs'!O39:U39)/'Assumptions'!$J$61,0)-IF(10=(13-'Assumptions'!$J$61)-1,'Revenue and costs'!V39+'Revenue and costs'!Y39+'Revenue and costs'!AE39,0)-'Segment tax'!G10/12</x:f>
        <x:v>69338.6023401126</x:v>
      </x:c>
      <x:c r="O29" s="24" t="n">
        <x:f>N29+IF(AND(11&gt;=(13-'Assumptions'!$J$36)+'Assumptions'!$AF$36,11&lt;=12),'Revenue and costs'!N14/'Assumptions'!$J$36,0)-IF(AND(11&gt;=(13-'Assumptions'!$J$36),11&lt;=12),SUM('Revenue and costs'!O14:U14)/'Assumptions'!$J$36,0)-IF(11=(13-'Assumptions'!$J$36)-1,'Revenue and costs'!V14+'Revenue and costs'!Y14+'Revenue and costs'!AE14,0)+IF(AND(11&gt;=(13-'Assumptions'!$J$37)+'Assumptions'!$AF$37,11&lt;=12),'Revenue and costs'!N15/'Assumptions'!$J$37,0)-IF(AND(11&gt;=(13-'Assumptions'!$J$37),11&lt;=12),SUM('Revenue and costs'!O15:U15)/'Assumptions'!$J$37,0)-IF(11=(13-'Assumptions'!$J$37)-1,'Revenue and costs'!V15+'Revenue and costs'!Y15+'Revenue and costs'!AE15,0)+IF(AND(11&gt;=(13-'Assumptions'!$J$38)+'Assumptions'!$AF$38,11&lt;=12),'Revenue and costs'!N16/'Assumptions'!$J$38,0)-IF(AND(11&gt;=(13-'Assumptions'!$J$38),11&lt;=12),SUM('Revenue and costs'!O16:U16)/'Assumptions'!$J$38,0)-IF(11=(13-'Assumptions'!$J$38)-1,'Revenue and costs'!V16+'Revenue and costs'!Y16+'Revenue and costs'!AE16,0)+IF(AND(11&gt;=(13-'Assumptions'!$J$39)+'Assumptions'!$AF$39,11&lt;=12),'Revenue and costs'!N17/'Assumptions'!$J$39,0)-IF(AND(11&gt;=(13-'Assumptions'!$J$39),11&lt;=12),SUM('Revenue and costs'!O17:U17)/'Assumptions'!$J$39,0)-IF(11=(13-'Assumptions'!$J$39)-1,'Revenue and costs'!V17+'Revenue and costs'!Y17+'Revenue and costs'!AE17,0)+IF(AND(11&gt;=(13-'Assumptions'!$J$40)+'Assumptions'!$AF$40,11&lt;=12),'Revenue and costs'!N18/'Assumptions'!$J$40,0)-IF(AND(11&gt;=(13-'Assumptions'!$J$40),11&lt;=12),SUM('Revenue and costs'!O18:U18)/'Assumptions'!$J$40,0)-IF(11=(13-'Assumptions'!$J$40)-1,'Revenue and costs'!V18+'Revenue and costs'!Y18+'Revenue and costs'!AE18,0)+IF(AND(11&gt;=(13-'Assumptions'!$J$41)+'Assumptions'!$AF$41,11&lt;=12),'Revenue and costs'!N19/'Assumptions'!$J$41,0)-IF(AND(11&gt;=(13-'Assumptions'!$J$41),11&lt;=12),SUM('Revenue and costs'!O19:U19)/'Assumptions'!$J$41,0)-IF(11=(13-'Assumptions'!$J$41)-1,'Revenue and costs'!V19+'Revenue and costs'!Y19+'Revenue and costs'!AE19,0)+IF(AND(11&gt;=(13-'Assumptions'!$J$42)+'Assumptions'!$AF$42,11&lt;=12),'Revenue and costs'!N20/'Assumptions'!$J$42,0)-IF(AND(11&gt;=(13-'Assumptions'!$J$42),11&lt;=12),SUM('Revenue and costs'!O20:U20)/'Assumptions'!$J$42,0)-IF(11=(13-'Assumptions'!$J$42)-1,'Revenue and costs'!V20+'Revenue and costs'!Y20+'Revenue and costs'!AE20,0)+IF(AND(11&gt;=(13-'Assumptions'!$J$43)+'Assumptions'!$AF$43,11&lt;=12),'Revenue and costs'!N21/'Assumptions'!$J$43,0)-IF(AND(11&gt;=(13-'Assumptions'!$J$43),11&lt;=12),SUM('Revenue and costs'!O21:U21)/'Assumptions'!$J$43,0)-IF(11=(13-'Assumptions'!$J$43)-1,'Revenue and costs'!V21+'Revenue and costs'!Y21+'Revenue and costs'!AE21,0)+IF(AND(11&gt;=(13-'Assumptions'!$J$44)+'Assumptions'!$AF$44,11&lt;=12),'Revenue and costs'!N22/'Assumptions'!$J$44,0)-IF(AND(11&gt;=(13-'Assumptions'!$J$44),11&lt;=12),SUM('Revenue and costs'!O22:U22)/'Assumptions'!$J$44,0)-IF(11=(13-'Assumptions'!$J$44)-1,'Revenue and costs'!V22+'Revenue and costs'!Y22+'Revenue and costs'!AE22,0)+IF(AND(11&gt;=(13-'Assumptions'!$J$45)+'Assumptions'!$AF$45,11&lt;=12),'Revenue and costs'!N23/'Assumptions'!$J$45,0)-IF(AND(11&gt;=(13-'Assumptions'!$J$45),11&lt;=12),SUM('Revenue and costs'!O23:U23)/'Assumptions'!$J$45,0)-IF(11=(13-'Assumptions'!$J$45)-1,'Revenue and costs'!V23+'Revenue and costs'!Y23+'Revenue and costs'!AE23,0)+IF(AND(11&gt;=(13-'Assumptions'!$J$46)+'Assumptions'!$AF$46,11&lt;=12),'Revenue and costs'!N24/'Assumptions'!$J$46,0)-IF(AND(11&gt;=(13-'Assumptions'!$J$46),11&lt;=12),SUM('Revenue and costs'!O24:U24)/'Assumptions'!$J$46,0)-IF(11=(13-'Assumptions'!$J$46)-1,'Revenue and costs'!V24+'Revenue and costs'!Y24+'Revenue and costs'!AE24,0)+IF(AND(11&gt;=(13-'Assumptions'!$J$47)+'Assumptions'!$AF$47,11&lt;=12),'Revenue and costs'!N25/'Assumptions'!$J$47,0)-IF(AND(11&gt;=(13-'Assumptions'!$J$47),11&lt;=12),SUM('Revenue and costs'!O25:U25)/'Assumptions'!$J$47,0)-IF(11=(13-'Assumptions'!$J$47)-1,'Revenue and costs'!V25+'Revenue and costs'!Y25+'Revenue and costs'!AE25,0)+IF(AND(11&gt;=(13-'Assumptions'!$J$48)+'Assumptions'!$AF$48,11&lt;=12),'Revenue and costs'!N26/'Assumptions'!$J$48,0)-IF(AND(11&gt;=(13-'Assumptions'!$J$48),11&lt;=12),SUM('Revenue and costs'!O26:U26)/'Assumptions'!$J$48,0)-IF(11=(13-'Assumptions'!$J$48)-1,'Revenue and costs'!V26+'Revenue and costs'!Y26+'Revenue and costs'!AE26,0)+IF(AND(11&gt;=(13-'Assumptions'!$J$49)+'Assumptions'!$AF$49,11&lt;=12),'Revenue and costs'!N27/'Assumptions'!$J$49,0)-IF(AND(11&gt;=(13-'Assumptions'!$J$49),11&lt;=12),SUM('Revenue and costs'!O27:U27)/'Assumptions'!$J$49,0)-IF(11=(13-'Assumptions'!$J$49)-1,'Revenue and costs'!V27+'Revenue and costs'!Y27+'Revenue and costs'!AE27,0)+IF(AND(11&gt;=(13-'Assumptions'!$J$50)+'Assumptions'!$AF$50,11&lt;=12),'Revenue and costs'!N28/'Assumptions'!$J$50,0)-IF(AND(11&gt;=(13-'Assumptions'!$J$50),11&lt;=12),SUM('Revenue and costs'!O28:U28)/'Assumptions'!$J$50,0)-IF(11=(13-'Assumptions'!$J$50)-1,'Revenue and costs'!V28+'Revenue and costs'!Y28+'Revenue and costs'!AE28,0)+IF(AND(11&gt;=(13-'Assumptions'!$J$51)+'Assumptions'!$AF$51,11&lt;=12),'Revenue and costs'!N29/'Assumptions'!$J$51,0)-IF(AND(11&gt;=(13-'Assumptions'!$J$51),11&lt;=12),SUM('Revenue and costs'!O29:U29)/'Assumptions'!$J$51,0)-IF(11=(13-'Assumptions'!$J$51)-1,'Revenue and costs'!V29+'Revenue and costs'!Y29+'Revenue and costs'!AE29,0)+IF(AND(11&gt;=(13-'Assumptions'!$J$52)+'Assumptions'!$AF$52,11&lt;=12),'Revenue and costs'!N30/'Assumptions'!$J$52,0)-IF(AND(11&gt;=(13-'Assumptions'!$J$52),11&lt;=12),SUM('Revenue and costs'!O30:U30)/'Assumptions'!$J$52,0)-IF(11=(13-'Assumptions'!$J$52)-1,'Revenue and costs'!V30+'Revenue and costs'!Y30+'Revenue and costs'!AE30,0)+IF(AND(11&gt;=(13-'Assumptions'!$J$53)+'Assumptions'!$AF$53,11&lt;=12),'Revenue and costs'!N31/'Assumptions'!$J$53,0)-IF(AND(11&gt;=(13-'Assumptions'!$J$53),11&lt;=12),SUM('Revenue and costs'!O31:U31)/'Assumptions'!$J$53,0)-IF(11=(13-'Assumptions'!$J$53)-1,'Revenue and costs'!V31+'Revenue and costs'!Y31+'Revenue and costs'!AE31,0)+IF(AND(11&gt;=(13-'Assumptions'!$J$54)+'Assumptions'!$AF$54,11&lt;=12),'Revenue and costs'!N32/'Assumptions'!$J$54,0)-IF(AND(11&gt;=(13-'Assumptions'!$J$54),11&lt;=12),SUM('Revenue and costs'!O32:U32)/'Assumptions'!$J$54,0)-IF(11=(13-'Assumptions'!$J$54)-1,'Revenue and costs'!V32+'Revenue and costs'!Y32+'Revenue and costs'!AE32,0)+IF(AND(11&gt;=(13-'Assumptions'!$J$55)+'Assumptions'!$AF$55,11&lt;=12),'Revenue and costs'!N33/'Assumptions'!$J$55,0)-IF(AND(11&gt;=(13-'Assumptions'!$J$55),11&lt;=12),SUM('Revenue and costs'!O33:U33)/'Assumptions'!$J$55,0)-IF(11=(13-'Assumptions'!$J$55)-1,'Revenue and costs'!V33+'Revenue and costs'!Y33+'Revenue and costs'!AE33,0)+IF(AND(11&gt;=(13-'Assumptions'!$J$56)+'Assumptions'!$AF$56,11&lt;=12),'Revenue and costs'!N34/'Assumptions'!$J$56,0)-IF(AND(11&gt;=(13-'Assumptions'!$J$56),11&lt;=12),SUM('Revenue and costs'!O34:U34)/'Assumptions'!$J$56,0)-IF(11=(13-'Assumptions'!$J$56)-1,'Revenue and costs'!V34+'Revenue and costs'!Y34+'Revenue and costs'!AE34,0)+IF(AND(11&gt;=(13-'Assumptions'!$J$57)+'Assumptions'!$AF$57,11&lt;=12),'Revenue and costs'!N35/'Assumptions'!$J$57,0)-IF(AND(11&gt;=(13-'Assumptions'!$J$57),11&lt;=12),SUM('Revenue and costs'!O35:U35)/'Assumptions'!$J$57,0)-IF(11=(13-'Assumptions'!$J$57)-1,'Revenue and costs'!V35+'Revenue and costs'!Y35+'Revenue and costs'!AE35,0)+IF(AND(11&gt;=(13-'Assumptions'!$J$58)+'Assumptions'!$AF$58,11&lt;=12),'Revenue and costs'!N36/'Assumptions'!$J$58,0)-IF(AND(11&gt;=(13-'Assumptions'!$J$58),11&lt;=12),SUM('Revenue and costs'!O36:U36)/'Assumptions'!$J$58,0)-IF(11=(13-'Assumptions'!$J$58)-1,'Revenue and costs'!V36+'Revenue and costs'!Y36+'Revenue and costs'!AE36,0)+IF(AND(11&gt;=(13-'Assumptions'!$J$59)+'Assumptions'!$AF$59,11&lt;=12),'Revenue and costs'!N37/'Assumptions'!$J$59,0)-IF(AND(11&gt;=(13-'Assumptions'!$J$59),11&lt;=12),SUM('Revenue and costs'!O37:U37)/'Assumptions'!$J$59,0)-IF(11=(13-'Assumptions'!$J$59)-1,'Revenue and costs'!V37+'Revenue and costs'!Y37+'Revenue and costs'!AE37,0)+IF(AND(11&gt;=(13-'Assumptions'!$J$60)+'Assumptions'!$AF$60,11&lt;=12),'Revenue and costs'!N38/'Assumptions'!$J$60,0)-IF(AND(11&gt;=(13-'Assumptions'!$J$60),11&lt;=12),SUM('Revenue and costs'!O38:U38)/'Assumptions'!$J$60,0)-IF(11=(13-'Assumptions'!$J$60)-1,'Revenue and costs'!V38+'Revenue and costs'!Y38+'Revenue and costs'!AE38,0)+IF(AND(11&gt;=(13-'Assumptions'!$J$61)+'Assumptions'!$AF$61,11&lt;=12),'Revenue and costs'!N39/'Assumptions'!$J$61,0)-IF(AND(11&gt;=(13-'Assumptions'!$J$61),11&lt;=12),SUM('Revenue and costs'!O39:U39)/'Assumptions'!$J$61,0)-IF(11=(13-'Assumptions'!$J$61)-1,'Revenue and costs'!V39+'Revenue and costs'!Y39+'Revenue and costs'!AE39,0)-'Segment tax'!G10/12</x:f>
        <x:v>86849.47403233536</x:v>
      </x:c>
      <x:c r="P29" s="24" t="n">
        <x:f>O29+IF(AND(12&gt;=(13-'Assumptions'!$J$36)+'Assumptions'!$AF$36,12&lt;=12),'Revenue and costs'!N14/'Assumptions'!$J$36,0)-IF(AND(12&gt;=(13-'Assumptions'!$J$36),12&lt;=12),SUM('Revenue and costs'!O14:U14)/'Assumptions'!$J$36,0)-IF(12=(13-'Assumptions'!$J$36)-1,'Revenue and costs'!V14+'Revenue and costs'!Y14+'Revenue and costs'!AE14,0)+IF(AND(12&gt;=(13-'Assumptions'!$J$37)+'Assumptions'!$AF$37,12&lt;=12),'Revenue and costs'!N15/'Assumptions'!$J$37,0)-IF(AND(12&gt;=(13-'Assumptions'!$J$37),12&lt;=12),SUM('Revenue and costs'!O15:U15)/'Assumptions'!$J$37,0)-IF(12=(13-'Assumptions'!$J$37)-1,'Revenue and costs'!V15+'Revenue and costs'!Y15+'Revenue and costs'!AE15,0)+IF(AND(12&gt;=(13-'Assumptions'!$J$38)+'Assumptions'!$AF$38,12&lt;=12),'Revenue and costs'!N16/'Assumptions'!$J$38,0)-IF(AND(12&gt;=(13-'Assumptions'!$J$38),12&lt;=12),SUM('Revenue and costs'!O16:U16)/'Assumptions'!$J$38,0)-IF(12=(13-'Assumptions'!$J$38)-1,'Revenue and costs'!V16+'Revenue and costs'!Y16+'Revenue and costs'!AE16,0)+IF(AND(12&gt;=(13-'Assumptions'!$J$39)+'Assumptions'!$AF$39,12&lt;=12),'Revenue and costs'!N17/'Assumptions'!$J$39,0)-IF(AND(12&gt;=(13-'Assumptions'!$J$39),12&lt;=12),SUM('Revenue and costs'!O17:U17)/'Assumptions'!$J$39,0)-IF(12=(13-'Assumptions'!$J$39)-1,'Revenue and costs'!V17+'Revenue and costs'!Y17+'Revenue and costs'!AE17,0)+IF(AND(12&gt;=(13-'Assumptions'!$J$40)+'Assumptions'!$AF$40,12&lt;=12),'Revenue and costs'!N18/'Assumptions'!$J$40,0)-IF(AND(12&gt;=(13-'Assumptions'!$J$40),12&lt;=12),SUM('Revenue and costs'!O18:U18)/'Assumptions'!$J$40,0)-IF(12=(13-'Assumptions'!$J$40)-1,'Revenue and costs'!V18+'Revenue and costs'!Y18+'Revenue and costs'!AE18,0)+IF(AND(12&gt;=(13-'Assumptions'!$J$41)+'Assumptions'!$AF$41,12&lt;=12),'Revenue and costs'!N19/'Assumptions'!$J$41,0)-IF(AND(12&gt;=(13-'Assumptions'!$J$41),12&lt;=12),SUM('Revenue and costs'!O19:U19)/'Assumptions'!$J$41,0)-IF(12=(13-'Assumptions'!$J$41)-1,'Revenue and costs'!V19+'Revenue and costs'!Y19+'Revenue and costs'!AE19,0)+IF(AND(12&gt;=(13-'Assumptions'!$J$42)+'Assumptions'!$AF$42,12&lt;=12),'Revenue and costs'!N20/'Assumptions'!$J$42,0)-IF(AND(12&gt;=(13-'Assumptions'!$J$42),12&lt;=12),SUM('Revenue and costs'!O20:U20)/'Assumptions'!$J$42,0)-IF(12=(13-'Assumptions'!$J$42)-1,'Revenue and costs'!V20+'Revenue and costs'!Y20+'Revenue and costs'!AE20,0)+IF(AND(12&gt;=(13-'Assumptions'!$J$43)+'Assumptions'!$AF$43,12&lt;=12),'Revenue and costs'!N21/'Assumptions'!$J$43,0)-IF(AND(12&gt;=(13-'Assumptions'!$J$43),12&lt;=12),SUM('Revenue and costs'!O21:U21)/'Assumptions'!$J$43,0)-IF(12=(13-'Assumptions'!$J$43)-1,'Revenue and costs'!V21+'Revenue and costs'!Y21+'Revenue and costs'!AE21,0)+IF(AND(12&gt;=(13-'Assumptions'!$J$44)+'Assumptions'!$AF$44,12&lt;=12),'Revenue and costs'!N22/'Assumptions'!$J$44,0)-IF(AND(12&gt;=(13-'Assumptions'!$J$44),12&lt;=12),SUM('Revenue and costs'!O22:U22)/'Assumptions'!$J$44,0)-IF(12=(13-'Assumptions'!$J$44)-1,'Revenue and costs'!V22+'Revenue and costs'!Y22+'Revenue and costs'!AE22,0)+IF(AND(12&gt;=(13-'Assumptions'!$J$45)+'Assumptions'!$AF$45,12&lt;=12),'Revenue and costs'!N23/'Assumptions'!$J$45,0)-IF(AND(12&gt;=(13-'Assumptions'!$J$45),12&lt;=12),SUM('Revenue and costs'!O23:U23)/'Assumptions'!$J$45,0)-IF(12=(13-'Assumptions'!$J$45)-1,'Revenue and costs'!V23+'Revenue and costs'!Y23+'Revenue and costs'!AE23,0)+IF(AND(12&gt;=(13-'Assumptions'!$J$46)+'Assumptions'!$AF$46,12&lt;=12),'Revenue and costs'!N24/'Assumptions'!$J$46,0)-IF(AND(12&gt;=(13-'Assumptions'!$J$46),12&lt;=12),SUM('Revenue and costs'!O24:U24)/'Assumptions'!$J$46,0)-IF(12=(13-'Assumptions'!$J$46)-1,'Revenue and costs'!V24+'Revenue and costs'!Y24+'Revenue and costs'!AE24,0)+IF(AND(12&gt;=(13-'Assumptions'!$J$47)+'Assumptions'!$AF$47,12&lt;=12),'Revenue and costs'!N25/'Assumptions'!$J$47,0)-IF(AND(12&gt;=(13-'Assumptions'!$J$47),12&lt;=12),SUM('Revenue and costs'!O25:U25)/'Assumptions'!$J$47,0)-IF(12=(13-'Assumptions'!$J$47)-1,'Revenue and costs'!V25+'Revenue and costs'!Y25+'Revenue and costs'!AE25,0)+IF(AND(12&gt;=(13-'Assumptions'!$J$48)+'Assumptions'!$AF$48,12&lt;=12),'Revenue and costs'!N26/'Assumptions'!$J$48,0)-IF(AND(12&gt;=(13-'Assumptions'!$J$48),12&lt;=12),SUM('Revenue and costs'!O26:U26)/'Assumptions'!$J$48,0)-IF(12=(13-'Assumptions'!$J$48)-1,'Revenue and costs'!V26+'Revenue and costs'!Y26+'Revenue and costs'!AE26,0)+IF(AND(12&gt;=(13-'Assumptions'!$J$49)+'Assumptions'!$AF$49,12&lt;=12),'Revenue and costs'!N27/'Assumptions'!$J$49,0)-IF(AND(12&gt;=(13-'Assumptions'!$J$49),12&lt;=12),SUM('Revenue and costs'!O27:U27)/'Assumptions'!$J$49,0)-IF(12=(13-'Assumptions'!$J$49)-1,'Revenue and costs'!V27+'Revenue and costs'!Y27+'Revenue and costs'!AE27,0)+IF(AND(12&gt;=(13-'Assumptions'!$J$50)+'Assumptions'!$AF$50,12&lt;=12),'Revenue and costs'!N28/'Assumptions'!$J$50,0)-IF(AND(12&gt;=(13-'Assumptions'!$J$50),12&lt;=12),SUM('Revenue and costs'!O28:U28)/'Assumptions'!$J$50,0)-IF(12=(13-'Assumptions'!$J$50)-1,'Revenue and costs'!V28+'Revenue and costs'!Y28+'Revenue and costs'!AE28,0)+IF(AND(12&gt;=(13-'Assumptions'!$J$51)+'Assumptions'!$AF$51,12&lt;=12),'Revenue and costs'!N29/'Assumptions'!$J$51,0)-IF(AND(12&gt;=(13-'Assumptions'!$J$51),12&lt;=12),SUM('Revenue and costs'!O29:U29)/'Assumptions'!$J$51,0)-IF(12=(13-'Assumptions'!$J$51)-1,'Revenue and costs'!V29+'Revenue and costs'!Y29+'Revenue and costs'!AE29,0)+IF(AND(12&gt;=(13-'Assumptions'!$J$52)+'Assumptions'!$AF$52,12&lt;=12),'Revenue and costs'!N30/'Assumptions'!$J$52,0)-IF(AND(12&gt;=(13-'Assumptions'!$J$52),12&lt;=12),SUM('Revenue and costs'!O30:U30)/'Assumptions'!$J$52,0)-IF(12=(13-'Assumptions'!$J$52)-1,'Revenue and costs'!V30+'Revenue and costs'!Y30+'Revenue and costs'!AE30,0)+IF(AND(12&gt;=(13-'Assumptions'!$J$53)+'Assumptions'!$AF$53,12&lt;=12),'Revenue and costs'!N31/'Assumptions'!$J$53,0)-IF(AND(12&gt;=(13-'Assumptions'!$J$53),12&lt;=12),SUM('Revenue and costs'!O31:U31)/'Assumptions'!$J$53,0)-IF(12=(13-'Assumptions'!$J$53)-1,'Revenue and costs'!V31+'Revenue and costs'!Y31+'Revenue and costs'!AE31,0)+IF(AND(12&gt;=(13-'Assumptions'!$J$54)+'Assumptions'!$AF$54,12&lt;=12),'Revenue and costs'!N32/'Assumptions'!$J$54,0)-IF(AND(12&gt;=(13-'Assumptions'!$J$54),12&lt;=12),SUM('Revenue and costs'!O32:U32)/'Assumptions'!$J$54,0)-IF(12=(13-'Assumptions'!$J$54)-1,'Revenue and costs'!V32+'Revenue and costs'!Y32+'Revenue and costs'!AE32,0)+IF(AND(12&gt;=(13-'Assumptions'!$J$55)+'Assumptions'!$AF$55,12&lt;=12),'Revenue and costs'!N33/'Assumptions'!$J$55,0)-IF(AND(12&gt;=(13-'Assumptions'!$J$55),12&lt;=12),SUM('Revenue and costs'!O33:U33)/'Assumptions'!$J$55,0)-IF(12=(13-'Assumptions'!$J$55)-1,'Revenue and costs'!V33+'Revenue and costs'!Y33+'Revenue and costs'!AE33,0)+IF(AND(12&gt;=(13-'Assumptions'!$J$56)+'Assumptions'!$AF$56,12&lt;=12),'Revenue and costs'!N34/'Assumptions'!$J$56,0)-IF(AND(12&gt;=(13-'Assumptions'!$J$56),12&lt;=12),SUM('Revenue and costs'!O34:U34)/'Assumptions'!$J$56,0)-IF(12=(13-'Assumptions'!$J$56)-1,'Revenue and costs'!V34+'Revenue and costs'!Y34+'Revenue and costs'!AE34,0)+IF(AND(12&gt;=(13-'Assumptions'!$J$57)+'Assumptions'!$AF$57,12&lt;=12),'Revenue and costs'!N35/'Assumptions'!$J$57,0)-IF(AND(12&gt;=(13-'Assumptions'!$J$57),12&lt;=12),SUM('Revenue and costs'!O35:U35)/'Assumptions'!$J$57,0)-IF(12=(13-'Assumptions'!$J$57)-1,'Revenue and costs'!V35+'Revenue and costs'!Y35+'Revenue and costs'!AE35,0)+IF(AND(12&gt;=(13-'Assumptions'!$J$58)+'Assumptions'!$AF$58,12&lt;=12),'Revenue and costs'!N36/'Assumptions'!$J$58,0)-IF(AND(12&gt;=(13-'Assumptions'!$J$58),12&lt;=12),SUM('Revenue and costs'!O36:U36)/'Assumptions'!$J$58,0)-IF(12=(13-'Assumptions'!$J$58)-1,'Revenue and costs'!V36+'Revenue and costs'!Y36+'Revenue and costs'!AE36,0)+IF(AND(12&gt;=(13-'Assumptions'!$J$59)+'Assumptions'!$AF$59,12&lt;=12),'Revenue and costs'!N37/'Assumptions'!$J$59,0)-IF(AND(12&gt;=(13-'Assumptions'!$J$59),12&lt;=12),SUM('Revenue and costs'!O37:U37)/'Assumptions'!$J$59,0)-IF(12=(13-'Assumptions'!$J$59)-1,'Revenue and costs'!V37+'Revenue and costs'!Y37+'Revenue and costs'!AE37,0)+IF(AND(12&gt;=(13-'Assumptions'!$J$60)+'Assumptions'!$AF$60,12&lt;=12),'Revenue and costs'!N38/'Assumptions'!$J$60,0)-IF(AND(12&gt;=(13-'Assumptions'!$J$60),12&lt;=12),SUM('Revenue and costs'!O38:U38)/'Assumptions'!$J$60,0)-IF(12=(13-'Assumptions'!$J$60)-1,'Revenue and costs'!V38+'Revenue and costs'!Y38+'Revenue and costs'!AE38,0)+IF(AND(12&gt;=(13-'Assumptions'!$J$61)+'Assumptions'!$AF$61,12&lt;=12),'Revenue and costs'!N39/'Assumptions'!$J$61,0)-IF(AND(12&gt;=(13-'Assumptions'!$J$61),12&lt;=12),SUM('Revenue and costs'!O39:U39)/'Assumptions'!$J$61,0)-IF(12=(13-'Assumptions'!$J$61)-1,'Revenue and costs'!V39+'Revenue and costs'!Y39+'Revenue and costs'!AE39,0)-'Segment tax'!G10/12-'Segment tax'!L10</x:f>
        <x:v>69619.03741862165</x:v>
      </x:c>
      <x:c r="Q29" s="24" t="n">
        <x:f>MAX(0,-MIN(D29:P29))</x:f>
        <x:v>18869.507813224023</x:v>
      </x:c>
    </x:row>
    <x:row r="30" ht="30" customHeight="1">
      <x:c r="A30" s="1"/>
      <x:c r="B30" s="1"/>
      <x:c r="C30" s="23" t="str">
        <x:v>CornerFlow</x:v>
      </x:c>
      <x:c r="D30" s="24" t="n">
        <x:f>IF(AND(0&gt;=(13-'Assumptions'!$J$62)+'Assumptions'!$AF$62,0&lt;=12),'Revenue and costs'!N40/'Assumptions'!$J$62,0)-IF(AND(0&gt;=(13-'Assumptions'!$J$62),0&lt;=12),SUM('Revenue and costs'!O40:U40)/'Assumptions'!$J$62,0)-IF(0=(13-'Assumptions'!$J$62)-1,'Revenue and costs'!V40+'Revenue and costs'!Y40+'Revenue and costs'!AE40,0)+IF(AND(0&gt;=(13-'Assumptions'!$J$63)+'Assumptions'!$AF$63,0&lt;=12),'Revenue and costs'!N41/'Assumptions'!$J$63,0)-IF(AND(0&gt;=(13-'Assumptions'!$J$63),0&lt;=12),SUM('Revenue and costs'!O41:U41)/'Assumptions'!$J$63,0)-IF(0=(13-'Assumptions'!$J$63)-1,'Revenue and costs'!V41+'Revenue and costs'!Y41+'Revenue and costs'!AE41,0)-IF('Income statement'!D50=0,1/39,'Segment tax'!E11/'Income statement'!D50)*'Cash and capital'!D13</x:f>
        <x:v>-7.046643442405784</x:v>
      </x:c>
      <x:c r="E30" s="24" t="n">
        <x:f>D30+IF(AND(1&gt;=(13-'Assumptions'!$J$62)+'Assumptions'!$AF$62,1&lt;=12),'Revenue and costs'!N40/'Assumptions'!$J$62,0)-IF(AND(1&gt;=(13-'Assumptions'!$J$62),1&lt;=12),SUM('Revenue and costs'!O40:U40)/'Assumptions'!$J$62,0)-IF(1=(13-'Assumptions'!$J$62)-1,'Revenue and costs'!V40+'Revenue and costs'!Y40+'Revenue and costs'!AE40,0)+IF(AND(1&gt;=(13-'Assumptions'!$J$63)+'Assumptions'!$AF$63,1&lt;=12),'Revenue and costs'!N41/'Assumptions'!$J$63,0)-IF(AND(1&gt;=(13-'Assumptions'!$J$63),1&lt;=12),SUM('Revenue and costs'!O41:U41)/'Assumptions'!$J$63,0)-IF(1=(13-'Assumptions'!$J$63)-1,'Revenue and costs'!V41+'Revenue and costs'!Y41+'Revenue and costs'!AE41,0)-'Segment tax'!G11/12</x:f>
        <x:v>-34.36413118746554</x:v>
      </x:c>
      <x:c r="F30" s="24" t="n">
        <x:f>E30+IF(AND(2&gt;=(13-'Assumptions'!$J$62)+'Assumptions'!$AF$62,2&lt;=12),'Revenue and costs'!N40/'Assumptions'!$J$62,0)-IF(AND(2&gt;=(13-'Assumptions'!$J$62),2&lt;=12),SUM('Revenue and costs'!O40:U40)/'Assumptions'!$J$62,0)-IF(2=(13-'Assumptions'!$J$62)-1,'Revenue and costs'!V40+'Revenue and costs'!Y40+'Revenue and costs'!AE40,0)+IF(AND(2&gt;=(13-'Assumptions'!$J$63)+'Assumptions'!$AF$63,2&lt;=12),'Revenue and costs'!N41/'Assumptions'!$J$63,0)-IF(AND(2&gt;=(13-'Assumptions'!$J$63),2&lt;=12),SUM('Revenue and costs'!O41:U41)/'Assumptions'!$J$63,0)-IF(2=(13-'Assumptions'!$J$63)-1,'Revenue and costs'!V41+'Revenue and costs'!Y41+'Revenue and costs'!AE41,0)-'Segment tax'!G11/12</x:f>
        <x:v>-61.681618932525296</x:v>
      </x:c>
      <x:c r="G30" s="24" t="n">
        <x:f>F30+IF(AND(3&gt;=(13-'Assumptions'!$J$62)+'Assumptions'!$AF$62,3&lt;=12),'Revenue and costs'!N40/'Assumptions'!$J$62,0)-IF(AND(3&gt;=(13-'Assumptions'!$J$62),3&lt;=12),SUM('Revenue and costs'!O40:U40)/'Assumptions'!$J$62,0)-IF(3=(13-'Assumptions'!$J$62)-1,'Revenue and costs'!V40+'Revenue and costs'!Y40+'Revenue and costs'!AE40,0)+IF(AND(3&gt;=(13-'Assumptions'!$J$63)+'Assumptions'!$AF$63,3&lt;=12),'Revenue and costs'!N41/'Assumptions'!$J$63,0)-IF(AND(3&gt;=(13-'Assumptions'!$J$63),3&lt;=12),SUM('Revenue and costs'!O41:U41)/'Assumptions'!$J$63,0)-IF(3=(13-'Assumptions'!$J$63)-1,'Revenue and costs'!V41+'Revenue and costs'!Y41+'Revenue and costs'!AE41,0)-'Segment tax'!G11/12</x:f>
        <x:v>-88.99910667758505</x:v>
      </x:c>
      <x:c r="H30" s="24" t="n">
        <x:f>G30+IF(AND(4&gt;=(13-'Assumptions'!$J$62)+'Assumptions'!$AF$62,4&lt;=12),'Revenue and costs'!N40/'Assumptions'!$J$62,0)-IF(AND(4&gt;=(13-'Assumptions'!$J$62),4&lt;=12),SUM('Revenue and costs'!O40:U40)/'Assumptions'!$J$62,0)-IF(4=(13-'Assumptions'!$J$62)-1,'Revenue and costs'!V40+'Revenue and costs'!Y40+'Revenue and costs'!AE40,0)+IF(AND(4&gt;=(13-'Assumptions'!$J$63)+'Assumptions'!$AF$63,4&lt;=12),'Revenue and costs'!N41/'Assumptions'!$J$63,0)-IF(AND(4&gt;=(13-'Assumptions'!$J$63),4&lt;=12),SUM('Revenue and costs'!O41:U41)/'Assumptions'!$J$63,0)-IF(4=(13-'Assumptions'!$J$63)-1,'Revenue and costs'!V41+'Revenue and costs'!Y41+'Revenue and costs'!AE41,0)-'Segment tax'!G11/12</x:f>
        <x:v>-116.3165944226448</x:v>
      </x:c>
      <x:c r="I30" s="24" t="n">
        <x:f>H30+IF(AND(5&gt;=(13-'Assumptions'!$J$62)+'Assumptions'!$AF$62,5&lt;=12),'Revenue and costs'!N40/'Assumptions'!$J$62,0)-IF(AND(5&gt;=(13-'Assumptions'!$J$62),5&lt;=12),SUM('Revenue and costs'!O40:U40)/'Assumptions'!$J$62,0)-IF(5=(13-'Assumptions'!$J$62)-1,'Revenue and costs'!V40+'Revenue and costs'!Y40+'Revenue and costs'!AE40,0)+IF(AND(5&gt;=(13-'Assumptions'!$J$63)+'Assumptions'!$AF$63,5&lt;=12),'Revenue and costs'!N41/'Assumptions'!$J$63,0)-IF(AND(5&gt;=(13-'Assumptions'!$J$63),5&lt;=12),SUM('Revenue and costs'!O41:U41)/'Assumptions'!$J$63,0)-IF(5=(13-'Assumptions'!$J$63)-1,'Revenue and costs'!V41+'Revenue and costs'!Y41+'Revenue and costs'!AE41,0)-'Segment tax'!G11/12</x:f>
        <x:v>-143.63408216770455</x:v>
      </x:c>
      <x:c r="J30" s="24" t="n">
        <x:f>I30+IF(AND(6&gt;=(13-'Assumptions'!$J$62)+'Assumptions'!$AF$62,6&lt;=12),'Revenue and costs'!N40/'Assumptions'!$J$62,0)-IF(AND(6&gt;=(13-'Assumptions'!$J$62),6&lt;=12),SUM('Revenue and costs'!O40:U40)/'Assumptions'!$J$62,0)-IF(6=(13-'Assumptions'!$J$62)-1,'Revenue and costs'!V40+'Revenue and costs'!Y40+'Revenue and costs'!AE40,0)+IF(AND(6&gt;=(13-'Assumptions'!$J$63)+'Assumptions'!$AF$63,6&lt;=12),'Revenue and costs'!N41/'Assumptions'!$J$63,0)-IF(AND(6&gt;=(13-'Assumptions'!$J$63),6&lt;=12),SUM('Revenue and costs'!O41:U41)/'Assumptions'!$J$63,0)-IF(6=(13-'Assumptions'!$J$63)-1,'Revenue and costs'!V41+'Revenue and costs'!Y41+'Revenue and costs'!AE41,0)-'Segment tax'!G11/12</x:f>
        <x:v>-170.9515699127643</x:v>
      </x:c>
      <x:c r="K30" s="24" t="n">
        <x:f>J30+IF(AND(7&gt;=(13-'Assumptions'!$J$62)+'Assumptions'!$AF$62,7&lt;=12),'Revenue and costs'!N40/'Assumptions'!$J$62,0)-IF(AND(7&gt;=(13-'Assumptions'!$J$62),7&lt;=12),SUM('Revenue and costs'!O40:U40)/'Assumptions'!$J$62,0)-IF(7=(13-'Assumptions'!$J$62)-1,'Revenue and costs'!V40+'Revenue and costs'!Y40+'Revenue and costs'!AE40,0)+IF(AND(7&gt;=(13-'Assumptions'!$J$63)+'Assumptions'!$AF$63,7&lt;=12),'Revenue and costs'!N41/'Assumptions'!$J$63,0)-IF(AND(7&gt;=(13-'Assumptions'!$J$63),7&lt;=12),SUM('Revenue and costs'!O41:U41)/'Assumptions'!$J$63,0)-IF(7=(13-'Assumptions'!$J$63)-1,'Revenue and costs'!V41+'Revenue and costs'!Y41+'Revenue and costs'!AE41,0)-'Segment tax'!G11/12</x:f>
        <x:v>-50.26439099115741</x:v>
      </x:c>
      <x:c r="L30" s="24" t="n">
        <x:f>K30+IF(AND(8&gt;=(13-'Assumptions'!$J$62)+'Assumptions'!$AF$62,8&lt;=12),'Revenue and costs'!N40/'Assumptions'!$J$62,0)-IF(AND(8&gt;=(13-'Assumptions'!$J$62),8&lt;=12),SUM('Revenue and costs'!O40:U40)/'Assumptions'!$J$62,0)-IF(8=(13-'Assumptions'!$J$62)-1,'Revenue and costs'!V40+'Revenue and costs'!Y40+'Revenue and costs'!AE40,0)+IF(AND(8&gt;=(13-'Assumptions'!$J$63)+'Assumptions'!$AF$63,8&lt;=12),'Revenue and costs'!N41/'Assumptions'!$J$63,0)-IF(AND(8&gt;=(13-'Assumptions'!$J$63),8&lt;=12),SUM('Revenue and costs'!O41:U41)/'Assumptions'!$J$63,0)-IF(8=(13-'Assumptions'!$J$63)-1,'Revenue and costs'!V41+'Revenue and costs'!Y41+'Revenue and costs'!AE41,0)-'Segment tax'!G11/12</x:f>
        <x:v>392.13945459711607</x:v>
      </x:c>
      <x:c r="M30" s="24" t="n">
        <x:f>L30+IF(AND(9&gt;=(13-'Assumptions'!$J$62)+'Assumptions'!$AF$62,9&lt;=12),'Revenue and costs'!N40/'Assumptions'!$J$62,0)-IF(AND(9&gt;=(13-'Assumptions'!$J$62),9&lt;=12),SUM('Revenue and costs'!O40:U40)/'Assumptions'!$J$62,0)-IF(9=(13-'Assumptions'!$J$62)-1,'Revenue and costs'!V40+'Revenue and costs'!Y40+'Revenue and costs'!AE40,0)+IF(AND(9&gt;=(13-'Assumptions'!$J$63)+'Assumptions'!$AF$63,9&lt;=12),'Revenue and costs'!N41/'Assumptions'!$J$63,0)-IF(AND(9&gt;=(13-'Assumptions'!$J$63),9&lt;=12),SUM('Revenue and costs'!O41:U41)/'Assumptions'!$J$63,0)-IF(9=(13-'Assumptions'!$J$63)-1,'Revenue and costs'!V41+'Revenue and costs'!Y41+'Revenue and costs'!AE41,0)-'Segment tax'!G11/12</x:f>
        <x:v>834.5433001853895</x:v>
      </x:c>
      <x:c r="N30" s="24" t="n">
        <x:f>M30+IF(AND(10&gt;=(13-'Assumptions'!$J$62)+'Assumptions'!$AF$62,10&lt;=12),'Revenue and costs'!N40/'Assumptions'!$J$62,0)-IF(AND(10&gt;=(13-'Assumptions'!$J$62),10&lt;=12),SUM('Revenue and costs'!O40:U40)/'Assumptions'!$J$62,0)-IF(10=(13-'Assumptions'!$J$62)-1,'Revenue and costs'!V40+'Revenue and costs'!Y40+'Revenue and costs'!AE40,0)+IF(AND(10&gt;=(13-'Assumptions'!$J$63)+'Assumptions'!$AF$63,10&lt;=12),'Revenue and costs'!N41/'Assumptions'!$J$63,0)-IF(AND(10&gt;=(13-'Assumptions'!$J$63),10&lt;=12),SUM('Revenue and costs'!O41:U41)/'Assumptions'!$J$63,0)-IF(10=(13-'Assumptions'!$J$63)-1,'Revenue and costs'!V41+'Revenue and costs'!Y41+'Revenue and costs'!AE41,0)-'Segment tax'!G11/12</x:f>
        <x:v>1276.9471457736634</x:v>
      </x:c>
      <x:c r="O30" s="24" t="n">
        <x:f>N30+IF(AND(11&gt;=(13-'Assumptions'!$J$62)+'Assumptions'!$AF$62,11&lt;=12),'Revenue and costs'!N40/'Assumptions'!$J$62,0)-IF(AND(11&gt;=(13-'Assumptions'!$J$62),11&lt;=12),SUM('Revenue and costs'!O40:U40)/'Assumptions'!$J$62,0)-IF(11=(13-'Assumptions'!$J$62)-1,'Revenue and costs'!V40+'Revenue and costs'!Y40+'Revenue and costs'!AE40,0)+IF(AND(11&gt;=(13-'Assumptions'!$J$63)+'Assumptions'!$AF$63,11&lt;=12),'Revenue and costs'!N41/'Assumptions'!$J$63,0)-IF(AND(11&gt;=(13-'Assumptions'!$J$63),11&lt;=12),SUM('Revenue and costs'!O41:U41)/'Assumptions'!$J$63,0)-IF(11=(13-'Assumptions'!$J$63)-1,'Revenue and costs'!V41+'Revenue and costs'!Y41+'Revenue and costs'!AE41,0)-'Segment tax'!G11/12</x:f>
        <x:v>1719.350991361937</x:v>
      </x:c>
      <x:c r="P30" s="24" t="n">
        <x:f>O30+IF(AND(12&gt;=(13-'Assumptions'!$J$62)+'Assumptions'!$AF$62,12&lt;=12),'Revenue and costs'!N40/'Assumptions'!$J$62,0)-IF(AND(12&gt;=(13-'Assumptions'!$J$62),12&lt;=12),SUM('Revenue and costs'!O40:U40)/'Assumptions'!$J$62,0)-IF(12=(13-'Assumptions'!$J$62)-1,'Revenue and costs'!V40+'Revenue and costs'!Y40+'Revenue and costs'!AE40,0)+IF(AND(12&gt;=(13-'Assumptions'!$J$63)+'Assumptions'!$AF$63,12&lt;=12),'Revenue and costs'!N41/'Assumptions'!$J$63,0)-IF(AND(12&gt;=(13-'Assumptions'!$J$63),12&lt;=12),SUM('Revenue and costs'!O41:U41)/'Assumptions'!$J$63,0)-IF(12=(13-'Assumptions'!$J$63)-1,'Revenue and costs'!V41+'Revenue and costs'!Y41+'Revenue and costs'!AE41,0)-'Segment tax'!G11/12-'Segment tax'!L11</x:f>
        <x:v>1539.712520472257</x:v>
      </x:c>
      <x:c r="Q30" s="24" t="n">
        <x:f>MAX(0,-MIN(D30:P30))</x:f>
        <x:v>170.9515699127643</x:v>
      </x:c>
    </x:row>
    <x:row r="31" ht="30" customHeight="1">
      <x:c r="A31" s="1"/>
      <x:c r="B31" s="1"/>
      <x:c r="C31" s="23" t="str">
        <x:v>Spindle</x:v>
      </x:c>
      <x:c r="D31" s="24" t="n">
        <x:f>IF(AND(0&gt;=(13-'Assumptions'!$J$64)+'Assumptions'!$AF$64,0&lt;=12),'Revenue and costs'!N42/'Assumptions'!$J$64,0)-IF(AND(0&gt;=(13-'Assumptions'!$J$64),0&lt;=12),SUM('Revenue and costs'!O42:U42)/'Assumptions'!$J$64,0)-IF(0=(13-'Assumptions'!$J$64)-1,'Revenue and costs'!V42+'Revenue and costs'!Y42+'Revenue and costs'!AE42,0)+IF(AND(0&gt;=(13-'Assumptions'!$J$65)+'Assumptions'!$AF$65,0&lt;=12),'Revenue and costs'!N43/'Assumptions'!$J$65,0)-IF(AND(0&gt;=(13-'Assumptions'!$J$65),0&lt;=12),SUM('Revenue and costs'!O43:U43)/'Assumptions'!$J$65,0)-IF(0=(13-'Assumptions'!$J$65)-1,'Revenue and costs'!V43+'Revenue and costs'!Y43+'Revenue and costs'!AE43,0)-IF('Income statement'!D50=0,1/39,'Segment tax'!E12/'Income statement'!D50)*'Cash and capital'!D13</x:f>
        <x:v>-7.046643442405784</x:v>
      </x:c>
      <x:c r="E31" s="24" t="n">
        <x:f>D31+IF(AND(1&gt;=(13-'Assumptions'!$J$64)+'Assumptions'!$AF$64,1&lt;=12),'Revenue and costs'!N42/'Assumptions'!$J$64,0)-IF(AND(1&gt;=(13-'Assumptions'!$J$64),1&lt;=12),SUM('Revenue and costs'!O42:U42)/'Assumptions'!$J$64,0)-IF(1=(13-'Assumptions'!$J$64)-1,'Revenue and costs'!V42+'Revenue and costs'!Y42+'Revenue and costs'!AE42,0)+IF(AND(1&gt;=(13-'Assumptions'!$J$65)+'Assumptions'!$AF$65,1&lt;=12),'Revenue and costs'!N43/'Assumptions'!$J$65,0)-IF(AND(1&gt;=(13-'Assumptions'!$J$65),1&lt;=12),SUM('Revenue and costs'!O43:U43)/'Assumptions'!$J$65,0)-IF(1=(13-'Assumptions'!$J$65)-1,'Revenue and costs'!V43+'Revenue and costs'!Y43+'Revenue and costs'!AE43,0)-'Segment tax'!G12/12</x:f>
        <x:v>-34.36413118746554</x:v>
      </x:c>
      <x:c r="F31" s="24" t="n">
        <x:f>E31+IF(AND(2&gt;=(13-'Assumptions'!$J$64)+'Assumptions'!$AF$64,2&lt;=12),'Revenue and costs'!N42/'Assumptions'!$J$64,0)-IF(AND(2&gt;=(13-'Assumptions'!$J$64),2&lt;=12),SUM('Revenue and costs'!O42:U42)/'Assumptions'!$J$64,0)-IF(2=(13-'Assumptions'!$J$64)-1,'Revenue and costs'!V42+'Revenue and costs'!Y42+'Revenue and costs'!AE42,0)+IF(AND(2&gt;=(13-'Assumptions'!$J$65)+'Assumptions'!$AF$65,2&lt;=12),'Revenue and costs'!N43/'Assumptions'!$J$65,0)-IF(AND(2&gt;=(13-'Assumptions'!$J$65),2&lt;=12),SUM('Revenue and costs'!O43:U43)/'Assumptions'!$J$65,0)-IF(2=(13-'Assumptions'!$J$65)-1,'Revenue and costs'!V43+'Revenue and costs'!Y43+'Revenue and costs'!AE43,0)-'Segment tax'!G12/12</x:f>
        <x:v>-61.681618932525296</x:v>
      </x:c>
      <x:c r="G31" s="24" t="n">
        <x:f>F31+IF(AND(3&gt;=(13-'Assumptions'!$J$64)+'Assumptions'!$AF$64,3&lt;=12),'Revenue and costs'!N42/'Assumptions'!$J$64,0)-IF(AND(3&gt;=(13-'Assumptions'!$J$64),3&lt;=12),SUM('Revenue and costs'!O42:U42)/'Assumptions'!$J$64,0)-IF(3=(13-'Assumptions'!$J$64)-1,'Revenue and costs'!V42+'Revenue and costs'!Y42+'Revenue and costs'!AE42,0)+IF(AND(3&gt;=(13-'Assumptions'!$J$65)+'Assumptions'!$AF$65,3&lt;=12),'Revenue and costs'!N43/'Assumptions'!$J$65,0)-IF(AND(3&gt;=(13-'Assumptions'!$J$65),3&lt;=12),SUM('Revenue and costs'!O43:U43)/'Assumptions'!$J$65,0)-IF(3=(13-'Assumptions'!$J$65)-1,'Revenue and costs'!V43+'Revenue and costs'!Y43+'Revenue and costs'!AE43,0)-'Segment tax'!G12/12</x:f>
        <x:v>-88.99910667758505</x:v>
      </x:c>
      <x:c r="H31" s="24" t="n">
        <x:f>G31+IF(AND(4&gt;=(13-'Assumptions'!$J$64)+'Assumptions'!$AF$64,4&lt;=12),'Revenue and costs'!N42/'Assumptions'!$J$64,0)-IF(AND(4&gt;=(13-'Assumptions'!$J$64),4&lt;=12),SUM('Revenue and costs'!O42:U42)/'Assumptions'!$J$64,0)-IF(4=(13-'Assumptions'!$J$64)-1,'Revenue and costs'!V42+'Revenue and costs'!Y42+'Revenue and costs'!AE42,0)+IF(AND(4&gt;=(13-'Assumptions'!$J$65)+'Assumptions'!$AF$65,4&lt;=12),'Revenue and costs'!N43/'Assumptions'!$J$65,0)-IF(AND(4&gt;=(13-'Assumptions'!$J$65),4&lt;=12),SUM('Revenue and costs'!O43:U43)/'Assumptions'!$J$65,0)-IF(4=(13-'Assumptions'!$J$65)-1,'Revenue and costs'!V43+'Revenue and costs'!Y43+'Revenue and costs'!AE43,0)-'Segment tax'!G12/12</x:f>
        <x:v>-116.3165944226448</x:v>
      </x:c>
      <x:c r="I31" s="24" t="n">
        <x:f>H31+IF(AND(5&gt;=(13-'Assumptions'!$J$64)+'Assumptions'!$AF$64,5&lt;=12),'Revenue and costs'!N42/'Assumptions'!$J$64,0)-IF(AND(5&gt;=(13-'Assumptions'!$J$64),5&lt;=12),SUM('Revenue and costs'!O42:U42)/'Assumptions'!$J$64,0)-IF(5=(13-'Assumptions'!$J$64)-1,'Revenue and costs'!V42+'Revenue and costs'!Y42+'Revenue and costs'!AE42,0)+IF(AND(5&gt;=(13-'Assumptions'!$J$65)+'Assumptions'!$AF$65,5&lt;=12),'Revenue and costs'!N43/'Assumptions'!$J$65,0)-IF(AND(5&gt;=(13-'Assumptions'!$J$65),5&lt;=12),SUM('Revenue and costs'!O43:U43)/'Assumptions'!$J$65,0)-IF(5=(13-'Assumptions'!$J$65)-1,'Revenue and costs'!V43+'Revenue and costs'!Y43+'Revenue and costs'!AE43,0)-'Segment tax'!G12/12</x:f>
        <x:v>-143.63408216770455</x:v>
      </x:c>
      <x:c r="J31" s="24" t="n">
        <x:f>I31+IF(AND(6&gt;=(13-'Assumptions'!$J$64)+'Assumptions'!$AF$64,6&lt;=12),'Revenue and costs'!N42/'Assumptions'!$J$64,0)-IF(AND(6&gt;=(13-'Assumptions'!$J$64),6&lt;=12),SUM('Revenue and costs'!O42:U42)/'Assumptions'!$J$64,0)-IF(6=(13-'Assumptions'!$J$64)-1,'Revenue and costs'!V42+'Revenue and costs'!Y42+'Revenue and costs'!AE42,0)+IF(AND(6&gt;=(13-'Assumptions'!$J$65)+'Assumptions'!$AF$65,6&lt;=12),'Revenue and costs'!N43/'Assumptions'!$J$65,0)-IF(AND(6&gt;=(13-'Assumptions'!$J$65),6&lt;=12),SUM('Revenue and costs'!O43:U43)/'Assumptions'!$J$65,0)-IF(6=(13-'Assumptions'!$J$65)-1,'Revenue and costs'!V43+'Revenue and costs'!Y43+'Revenue and costs'!AE43,0)-'Segment tax'!G12/12</x:f>
        <x:v>-170.9515699127643</x:v>
      </x:c>
      <x:c r="K31" s="24" t="n">
        <x:f>J31+IF(AND(7&gt;=(13-'Assumptions'!$J$64)+'Assumptions'!$AF$64,7&lt;=12),'Revenue and costs'!N42/'Assumptions'!$J$64,0)-IF(AND(7&gt;=(13-'Assumptions'!$J$64),7&lt;=12),SUM('Revenue and costs'!O42:U42)/'Assumptions'!$J$64,0)-IF(7=(13-'Assumptions'!$J$64)-1,'Revenue and costs'!V42+'Revenue and costs'!Y42+'Revenue and costs'!AE42,0)+IF(AND(7&gt;=(13-'Assumptions'!$J$65)+'Assumptions'!$AF$65,7&lt;=12),'Revenue and costs'!N43/'Assumptions'!$J$65,0)-IF(AND(7&gt;=(13-'Assumptions'!$J$65),7&lt;=12),SUM('Revenue and costs'!O43:U43)/'Assumptions'!$J$65,0)-IF(7=(13-'Assumptions'!$J$65)-1,'Revenue and costs'!V43+'Revenue and costs'!Y43+'Revenue and costs'!AE43,0)-'Segment tax'!G12/12</x:f>
        <x:v>-50.26439099115741</x:v>
      </x:c>
      <x:c r="L31" s="24" t="n">
        <x:f>K31+IF(AND(8&gt;=(13-'Assumptions'!$J$64)+'Assumptions'!$AF$64,8&lt;=12),'Revenue and costs'!N42/'Assumptions'!$J$64,0)-IF(AND(8&gt;=(13-'Assumptions'!$J$64),8&lt;=12),SUM('Revenue and costs'!O42:U42)/'Assumptions'!$J$64,0)-IF(8=(13-'Assumptions'!$J$64)-1,'Revenue and costs'!V42+'Revenue and costs'!Y42+'Revenue and costs'!AE42,0)+IF(AND(8&gt;=(13-'Assumptions'!$J$65)+'Assumptions'!$AF$65,8&lt;=12),'Revenue and costs'!N43/'Assumptions'!$J$65,0)-IF(AND(8&gt;=(13-'Assumptions'!$J$65),8&lt;=12),SUM('Revenue and costs'!O43:U43)/'Assumptions'!$J$65,0)-IF(8=(13-'Assumptions'!$J$65)-1,'Revenue and costs'!V43+'Revenue and costs'!Y43+'Revenue and costs'!AE43,0)-'Segment tax'!G12/12</x:f>
        <x:v>392.13945459711607</x:v>
      </x:c>
      <x:c r="M31" s="24" t="n">
        <x:f>L31+IF(AND(9&gt;=(13-'Assumptions'!$J$64)+'Assumptions'!$AF$64,9&lt;=12),'Revenue and costs'!N42/'Assumptions'!$J$64,0)-IF(AND(9&gt;=(13-'Assumptions'!$J$64),9&lt;=12),SUM('Revenue and costs'!O42:U42)/'Assumptions'!$J$64,0)-IF(9=(13-'Assumptions'!$J$64)-1,'Revenue and costs'!V42+'Revenue and costs'!Y42+'Revenue and costs'!AE42,0)+IF(AND(9&gt;=(13-'Assumptions'!$J$65)+'Assumptions'!$AF$65,9&lt;=12),'Revenue and costs'!N43/'Assumptions'!$J$65,0)-IF(AND(9&gt;=(13-'Assumptions'!$J$65),9&lt;=12),SUM('Revenue and costs'!O43:U43)/'Assumptions'!$J$65,0)-IF(9=(13-'Assumptions'!$J$65)-1,'Revenue and costs'!V43+'Revenue and costs'!Y43+'Revenue and costs'!AE43,0)-'Segment tax'!G12/12</x:f>
        <x:v>834.5433001853895</x:v>
      </x:c>
      <x:c r="N31" s="24" t="n">
        <x:f>M31+IF(AND(10&gt;=(13-'Assumptions'!$J$64)+'Assumptions'!$AF$64,10&lt;=12),'Revenue and costs'!N42/'Assumptions'!$J$64,0)-IF(AND(10&gt;=(13-'Assumptions'!$J$64),10&lt;=12),SUM('Revenue and costs'!O42:U42)/'Assumptions'!$J$64,0)-IF(10=(13-'Assumptions'!$J$64)-1,'Revenue and costs'!V42+'Revenue and costs'!Y42+'Revenue and costs'!AE42,0)+IF(AND(10&gt;=(13-'Assumptions'!$J$65)+'Assumptions'!$AF$65,10&lt;=12),'Revenue and costs'!N43/'Assumptions'!$J$65,0)-IF(AND(10&gt;=(13-'Assumptions'!$J$65),10&lt;=12),SUM('Revenue and costs'!O43:U43)/'Assumptions'!$J$65,0)-IF(10=(13-'Assumptions'!$J$65)-1,'Revenue and costs'!V43+'Revenue and costs'!Y43+'Revenue and costs'!AE43,0)-'Segment tax'!G12/12</x:f>
        <x:v>1276.9471457736634</x:v>
      </x:c>
      <x:c r="O31" s="24" t="n">
        <x:f>N31+IF(AND(11&gt;=(13-'Assumptions'!$J$64)+'Assumptions'!$AF$64,11&lt;=12),'Revenue and costs'!N42/'Assumptions'!$J$64,0)-IF(AND(11&gt;=(13-'Assumptions'!$J$64),11&lt;=12),SUM('Revenue and costs'!O42:U42)/'Assumptions'!$J$64,0)-IF(11=(13-'Assumptions'!$J$64)-1,'Revenue and costs'!V42+'Revenue and costs'!Y42+'Revenue and costs'!AE42,0)+IF(AND(11&gt;=(13-'Assumptions'!$J$65)+'Assumptions'!$AF$65,11&lt;=12),'Revenue and costs'!N43/'Assumptions'!$J$65,0)-IF(AND(11&gt;=(13-'Assumptions'!$J$65),11&lt;=12),SUM('Revenue and costs'!O43:U43)/'Assumptions'!$J$65,0)-IF(11=(13-'Assumptions'!$J$65)-1,'Revenue and costs'!V43+'Revenue and costs'!Y43+'Revenue and costs'!AE43,0)-'Segment tax'!G12/12</x:f>
        <x:v>1719.350991361937</x:v>
      </x:c>
      <x:c r="P31" s="24" t="n">
        <x:f>O31+IF(AND(12&gt;=(13-'Assumptions'!$J$64)+'Assumptions'!$AF$64,12&lt;=12),'Revenue and costs'!N42/'Assumptions'!$J$64,0)-IF(AND(12&gt;=(13-'Assumptions'!$J$64),12&lt;=12),SUM('Revenue and costs'!O42:U42)/'Assumptions'!$J$64,0)-IF(12=(13-'Assumptions'!$J$64)-1,'Revenue and costs'!V42+'Revenue and costs'!Y42+'Revenue and costs'!AE42,0)+IF(AND(12&gt;=(13-'Assumptions'!$J$65)+'Assumptions'!$AF$65,12&lt;=12),'Revenue and costs'!N43/'Assumptions'!$J$65,0)-IF(AND(12&gt;=(13-'Assumptions'!$J$65),12&lt;=12),SUM('Revenue and costs'!O43:U43)/'Assumptions'!$J$65,0)-IF(12=(13-'Assumptions'!$J$65)-1,'Revenue and costs'!V43+'Revenue and costs'!Y43+'Revenue and costs'!AE43,0)-'Segment tax'!G12/12-'Segment tax'!L12</x:f>
        <x:v>1539.712520472257</x:v>
      </x:c>
      <x:c r="Q31" s="24" t="n">
        <x:f>MAX(0,-MIN(D31:P31))</x:f>
        <x:v>170.9515699127643</x:v>
      </x:c>
    </x:row>
    <x:row r="32" ht="30" customHeight="1">
      <x:c r="A32" s="1"/>
      <x:c r="B32" s="1"/>
      <x:c r="C32" s="23" t="str">
        <x:v>Maison Contour</x:v>
      </x:c>
      <x:c r="D32" s="24" t="n">
        <x:f>IF(AND(0&gt;=(13-'Assumptions'!$J$66)+'Assumptions'!$AF$66,0&lt;=12),'Revenue and costs'!N44/'Assumptions'!$J$66,0)-IF(AND(0&gt;=(13-'Assumptions'!$J$66),0&lt;=12),SUM('Revenue and costs'!O44:U44)/'Assumptions'!$J$66,0)-IF(0=(13-'Assumptions'!$J$66)-1,'Revenue and costs'!V44+'Revenue and costs'!Y44+'Revenue and costs'!AE44,0)+IF(AND(0&gt;=(13-'Assumptions'!$J$67)+'Assumptions'!$AF$67,0&lt;=12),'Revenue and costs'!N45/'Assumptions'!$J$67,0)-IF(AND(0&gt;=(13-'Assumptions'!$J$67),0&lt;=12),SUM('Revenue and costs'!O45:U45)/'Assumptions'!$J$67,0)-IF(0=(13-'Assumptions'!$J$67)-1,'Revenue and costs'!V45+'Revenue and costs'!Y45+'Revenue and costs'!AE45,0)-IF('Income statement'!D50=0,1/39,'Segment tax'!E13/'Income statement'!D50)*'Cash and capital'!D13</x:f>
        <x:v>-9.619454435576253</x:v>
      </x:c>
      <x:c r="E32" s="24" t="n">
        <x:f>D32+IF(AND(1&gt;=(13-'Assumptions'!$J$66)+'Assumptions'!$AF$66,1&lt;=12),'Revenue and costs'!N44/'Assumptions'!$J$66,0)-IF(AND(1&gt;=(13-'Assumptions'!$J$66),1&lt;=12),SUM('Revenue and costs'!O44:U44)/'Assumptions'!$J$66,0)-IF(1=(13-'Assumptions'!$J$66)-1,'Revenue and costs'!V44+'Revenue and costs'!Y44+'Revenue and costs'!AE44,0)+IF(AND(1&gt;=(13-'Assumptions'!$J$67)+'Assumptions'!$AF$67,1&lt;=12),'Revenue and costs'!N45/'Assumptions'!$J$67,0)-IF(AND(1&gt;=(13-'Assumptions'!$J$67),1&lt;=12),SUM('Revenue and costs'!O45:U45)/'Assumptions'!$J$67,0)-IF(1=(13-'Assumptions'!$J$67)-1,'Revenue and costs'!V45+'Revenue and costs'!Y45+'Revenue and costs'!AE45,0)-'Segment tax'!G13/12</x:f>
        <x:v>-46.910872797493525</x:v>
      </x:c>
      <x:c r="F32" s="24" t="n">
        <x:f>E32+IF(AND(2&gt;=(13-'Assumptions'!$J$66)+'Assumptions'!$AF$66,2&lt;=12),'Revenue and costs'!N44/'Assumptions'!$J$66,0)-IF(AND(2&gt;=(13-'Assumptions'!$J$66),2&lt;=12),SUM('Revenue and costs'!O44:U44)/'Assumptions'!$J$66,0)-IF(2=(13-'Assumptions'!$J$66)-1,'Revenue and costs'!V44+'Revenue and costs'!Y44+'Revenue and costs'!AE44,0)+IF(AND(2&gt;=(13-'Assumptions'!$J$67)+'Assumptions'!$AF$67,2&lt;=12),'Revenue and costs'!N45/'Assumptions'!$J$67,0)-IF(AND(2&gt;=(13-'Assumptions'!$J$67),2&lt;=12),SUM('Revenue and costs'!O45:U45)/'Assumptions'!$J$67,0)-IF(2=(13-'Assumptions'!$J$67)-1,'Revenue and costs'!V45+'Revenue and costs'!Y45+'Revenue and costs'!AE45,0)-'Segment tax'!G13/12</x:f>
        <x:v>-84.2022911594108</x:v>
      </x:c>
      <x:c r="G32" s="24" t="n">
        <x:f>F32+IF(AND(3&gt;=(13-'Assumptions'!$J$66)+'Assumptions'!$AF$66,3&lt;=12),'Revenue and costs'!N44/'Assumptions'!$J$66,0)-IF(AND(3&gt;=(13-'Assumptions'!$J$66),3&lt;=12),SUM('Revenue and costs'!O44:U44)/'Assumptions'!$J$66,0)-IF(3=(13-'Assumptions'!$J$66)-1,'Revenue and costs'!V44+'Revenue and costs'!Y44+'Revenue and costs'!AE44,0)+IF(AND(3&gt;=(13-'Assumptions'!$J$67)+'Assumptions'!$AF$67,3&lt;=12),'Revenue and costs'!N45/'Assumptions'!$J$67,0)-IF(AND(3&gt;=(13-'Assumptions'!$J$67),3&lt;=12),SUM('Revenue and costs'!O45:U45)/'Assumptions'!$J$67,0)-IF(3=(13-'Assumptions'!$J$67)-1,'Revenue and costs'!V45+'Revenue and costs'!Y45+'Revenue and costs'!AE45,0)-'Segment tax'!G13/12</x:f>
        <x:v>-121.49370952132807</x:v>
      </x:c>
      <x:c r="H32" s="24" t="n">
        <x:f>G32+IF(AND(4&gt;=(13-'Assumptions'!$J$66)+'Assumptions'!$AF$66,4&lt;=12),'Revenue and costs'!N44/'Assumptions'!$J$66,0)-IF(AND(4&gt;=(13-'Assumptions'!$J$66),4&lt;=12),SUM('Revenue and costs'!O44:U44)/'Assumptions'!$J$66,0)-IF(4=(13-'Assumptions'!$J$66)-1,'Revenue and costs'!V44+'Revenue and costs'!Y44+'Revenue and costs'!AE44,0)+IF(AND(4&gt;=(13-'Assumptions'!$J$67)+'Assumptions'!$AF$67,4&lt;=12),'Revenue and costs'!N45/'Assumptions'!$J$67,0)-IF(AND(4&gt;=(13-'Assumptions'!$J$67),4&lt;=12),SUM('Revenue and costs'!O45:U45)/'Assumptions'!$J$67,0)-IF(4=(13-'Assumptions'!$J$67)-1,'Revenue and costs'!V45+'Revenue and costs'!Y45+'Revenue and costs'!AE45,0)-'Segment tax'!G13/12</x:f>
        <x:v>-158.78512788324534</x:v>
      </x:c>
      <x:c r="I32" s="24" t="n">
        <x:f>H32+IF(AND(5&gt;=(13-'Assumptions'!$J$66)+'Assumptions'!$AF$66,5&lt;=12),'Revenue and costs'!N44/'Assumptions'!$J$66,0)-IF(AND(5&gt;=(13-'Assumptions'!$J$66),5&lt;=12),SUM('Revenue and costs'!O44:U44)/'Assumptions'!$J$66,0)-IF(5=(13-'Assumptions'!$J$66)-1,'Revenue and costs'!V44+'Revenue and costs'!Y44+'Revenue and costs'!AE44,0)+IF(AND(5&gt;=(13-'Assumptions'!$J$67)+'Assumptions'!$AF$67,5&lt;=12),'Revenue and costs'!N45/'Assumptions'!$J$67,0)-IF(AND(5&gt;=(13-'Assumptions'!$J$67),5&lt;=12),SUM('Revenue and costs'!O45:U45)/'Assumptions'!$J$67,0)-IF(5=(13-'Assumptions'!$J$67)-1,'Revenue and costs'!V45+'Revenue and costs'!Y45+'Revenue and costs'!AE45,0)-'Segment tax'!G13/12</x:f>
        <x:v>-196.0765462451626</x:v>
      </x:c>
      <x:c r="J32" s="24" t="n">
        <x:f>I32+IF(AND(6&gt;=(13-'Assumptions'!$J$66)+'Assumptions'!$AF$66,6&lt;=12),'Revenue and costs'!N44/'Assumptions'!$J$66,0)-IF(AND(6&gt;=(13-'Assumptions'!$J$66),6&lt;=12),SUM('Revenue and costs'!O44:U44)/'Assumptions'!$J$66,0)-IF(6=(13-'Assumptions'!$J$66)-1,'Revenue and costs'!V44+'Revenue and costs'!Y44+'Revenue and costs'!AE44,0)+IF(AND(6&gt;=(13-'Assumptions'!$J$67)+'Assumptions'!$AF$67,6&lt;=12),'Revenue and costs'!N45/'Assumptions'!$J$67,0)-IF(AND(6&gt;=(13-'Assumptions'!$J$67),6&lt;=12),SUM('Revenue and costs'!O45:U45)/'Assumptions'!$J$67,0)-IF(6=(13-'Assumptions'!$J$67)-1,'Revenue and costs'!V45+'Revenue and costs'!Y45+'Revenue and costs'!AE45,0)-'Segment tax'!G13/12</x:f>
        <x:v>-233.36796460707987</x:v>
      </x:c>
      <x:c r="K32" s="24" t="n">
        <x:f>J32+IF(AND(7&gt;=(13-'Assumptions'!$J$66)+'Assumptions'!$AF$66,7&lt;=12),'Revenue and costs'!N44/'Assumptions'!$J$66,0)-IF(AND(7&gt;=(13-'Assumptions'!$J$66),7&lt;=12),SUM('Revenue and costs'!O44:U44)/'Assumptions'!$J$66,0)-IF(7=(13-'Assumptions'!$J$66)-1,'Revenue and costs'!V44+'Revenue and costs'!Y44+'Revenue and costs'!AE44,0)+IF(AND(7&gt;=(13-'Assumptions'!$J$67)+'Assumptions'!$AF$67,7&lt;=12),'Revenue and costs'!N45/'Assumptions'!$J$67,0)-IF(AND(7&gt;=(13-'Assumptions'!$J$67),7&lt;=12),SUM('Revenue and costs'!O45:U45)/'Assumptions'!$J$67,0)-IF(7=(13-'Assumptions'!$J$67)-1,'Revenue and costs'!V45+'Revenue and costs'!Y45+'Revenue and costs'!AE45,0)-'Segment tax'!G13/12</x:f>
        <x:v>145.09528369766954</x:v>
      </x:c>
      <x:c r="L32" s="24" t="n">
        <x:f>K32+IF(AND(8&gt;=(13-'Assumptions'!$J$66)+'Assumptions'!$AF$66,8&lt;=12),'Revenue and costs'!N44/'Assumptions'!$J$66,0)-IF(AND(8&gt;=(13-'Assumptions'!$J$66),8&lt;=12),SUM('Revenue and costs'!O44:U44)/'Assumptions'!$J$66,0)-IF(8=(13-'Assumptions'!$J$66)-1,'Revenue and costs'!V44+'Revenue and costs'!Y44+'Revenue and costs'!AE44,0)+IF(AND(8&gt;=(13-'Assumptions'!$J$67)+'Assumptions'!$AF$67,8&lt;=12),'Revenue and costs'!N45/'Assumptions'!$J$67,0)-IF(AND(8&gt;=(13-'Assumptions'!$J$67),8&lt;=12),SUM('Revenue and costs'!O45:U45)/'Assumptions'!$J$67,0)-IF(8=(13-'Assumptions'!$J$67)-1,'Revenue and costs'!V45+'Revenue and costs'!Y45+'Revenue and costs'!AE45,0)-'Segment tax'!G13/12</x:f>
        <x:v>845.2751986690855</x:v>
      </x:c>
      <x:c r="M32" s="24" t="n">
        <x:f>L32+IF(AND(9&gt;=(13-'Assumptions'!$J$66)+'Assumptions'!$AF$66,9&lt;=12),'Revenue and costs'!N44/'Assumptions'!$J$66,0)-IF(AND(9&gt;=(13-'Assumptions'!$J$66),9&lt;=12),SUM('Revenue and costs'!O44:U44)/'Assumptions'!$J$66,0)-IF(9=(13-'Assumptions'!$J$66)-1,'Revenue and costs'!V44+'Revenue and costs'!Y44+'Revenue and costs'!AE44,0)+IF(AND(9&gt;=(13-'Assumptions'!$J$67)+'Assumptions'!$AF$67,9&lt;=12),'Revenue and costs'!N45/'Assumptions'!$J$67,0)-IF(AND(9&gt;=(13-'Assumptions'!$J$67),9&lt;=12),SUM('Revenue and costs'!O45:U45)/'Assumptions'!$J$67,0)-IF(9=(13-'Assumptions'!$J$67)-1,'Revenue and costs'!V45+'Revenue and costs'!Y45+'Revenue and costs'!AE45,0)-'Segment tax'!G13/12</x:f>
        <x:v>1545.4551136405018</x:v>
      </x:c>
      <x:c r="N32" s="24" t="n">
        <x:f>M32+IF(AND(10&gt;=(13-'Assumptions'!$J$66)+'Assumptions'!$AF$66,10&lt;=12),'Revenue and costs'!N44/'Assumptions'!$J$66,0)-IF(AND(10&gt;=(13-'Assumptions'!$J$66),10&lt;=12),SUM('Revenue and costs'!O44:U44)/'Assumptions'!$J$66,0)-IF(10=(13-'Assumptions'!$J$66)-1,'Revenue and costs'!V44+'Revenue and costs'!Y44+'Revenue and costs'!AE44,0)+IF(AND(10&gt;=(13-'Assumptions'!$J$67)+'Assumptions'!$AF$67,10&lt;=12),'Revenue and costs'!N45/'Assumptions'!$J$67,0)-IF(AND(10&gt;=(13-'Assumptions'!$J$67),10&lt;=12),SUM('Revenue and costs'!O45:U45)/'Assumptions'!$J$67,0)-IF(10=(13-'Assumptions'!$J$67)-1,'Revenue and costs'!V45+'Revenue and costs'!Y45+'Revenue and costs'!AE45,0)-'Segment tax'!G13/12</x:f>
        <x:v>2245.635028611918</x:v>
      </x:c>
      <x:c r="O32" s="24" t="n">
        <x:f>N32+IF(AND(11&gt;=(13-'Assumptions'!$J$66)+'Assumptions'!$AF$66,11&lt;=12),'Revenue and costs'!N44/'Assumptions'!$J$66,0)-IF(AND(11&gt;=(13-'Assumptions'!$J$66),11&lt;=12),SUM('Revenue and costs'!O44:U44)/'Assumptions'!$J$66,0)-IF(11=(13-'Assumptions'!$J$66)-1,'Revenue and costs'!V44+'Revenue and costs'!Y44+'Revenue and costs'!AE44,0)+IF(AND(11&gt;=(13-'Assumptions'!$J$67)+'Assumptions'!$AF$67,11&lt;=12),'Revenue and costs'!N45/'Assumptions'!$J$67,0)-IF(AND(11&gt;=(13-'Assumptions'!$J$67),11&lt;=12),SUM('Revenue and costs'!O45:U45)/'Assumptions'!$J$67,0)-IF(11=(13-'Assumptions'!$J$67)-1,'Revenue and costs'!V45+'Revenue and costs'!Y45+'Revenue and costs'!AE45,0)-'Segment tax'!G13/12</x:f>
        <x:v>2945.8149435833343</x:v>
      </x:c>
      <x:c r="P32" s="24" t="n">
        <x:f>O32+IF(AND(12&gt;=(13-'Assumptions'!$J$66)+'Assumptions'!$AF$66,12&lt;=12),'Revenue and costs'!N44/'Assumptions'!$J$66,0)-IF(AND(12&gt;=(13-'Assumptions'!$J$66),12&lt;=12),SUM('Revenue and costs'!O44:U44)/'Assumptions'!$J$66,0)-IF(12=(13-'Assumptions'!$J$66)-1,'Revenue and costs'!V44+'Revenue and costs'!Y44+'Revenue and costs'!AE44,0)+IF(AND(12&gt;=(13-'Assumptions'!$J$67)+'Assumptions'!$AF$67,12&lt;=12),'Revenue and costs'!N45/'Assumptions'!$J$67,0)-IF(AND(12&gt;=(13-'Assumptions'!$J$67),12&lt;=12),SUM('Revenue and costs'!O45:U45)/'Assumptions'!$J$67,0)-IF(12=(13-'Assumptions'!$J$67)-1,'Revenue and costs'!V45+'Revenue and costs'!Y45+'Revenue and costs'!AE45,0)-'Segment tax'!G13/12-'Segment tax'!L13</x:f>
        <x:v>2652.463734843467</x:v>
      </x:c>
      <x:c r="Q32" s="24" t="n">
        <x:f>MAX(0,-MIN(D32:P32))</x:f>
        <x:v>233.36796460707987</x:v>
      </x:c>
    </x:row>
    <x:row r="33" ht="30" customHeight="1">
      <x:c r="A33" s="1"/>
      <x:c r="B33" s="1"/>
      <x:c r="C33" s="23" t="str">
        <x:v>DishLoom US</x:v>
      </x:c>
      <x:c r="D33" s="24" t="n">
        <x:f>IF(AND(0&gt;=(13-'Assumptions'!$J$68)+'Assumptions'!$AF$68,0&lt;=12),'Revenue and costs'!N46/'Assumptions'!$J$68,0)-IF(AND(0&gt;=(13-'Assumptions'!$J$68),0&lt;=12),SUM('Revenue and costs'!O46:U46)/'Assumptions'!$J$68,0)-IF(0=(13-'Assumptions'!$J$68)-1,'Revenue and costs'!V46+'Revenue and costs'!Y46+'Revenue and costs'!AE46,0)+IF(AND(0&gt;=(13-'Assumptions'!$J$69)+'Assumptions'!$AF$69,0&lt;=12),'Revenue and costs'!N47/'Assumptions'!$J$69,0)-IF(AND(0&gt;=(13-'Assumptions'!$J$69),0&lt;=12),SUM('Revenue and costs'!O47:U47)/'Assumptions'!$J$69,0)-IF(0=(13-'Assumptions'!$J$69)-1,'Revenue and costs'!V47+'Revenue and costs'!Y47+'Revenue and costs'!AE47,0)+IF(AND(0&gt;=(13-'Assumptions'!$J$70)+'Assumptions'!$AF$70,0&lt;=12),'Revenue and costs'!N48/'Assumptions'!$J$70,0)-IF(AND(0&gt;=(13-'Assumptions'!$J$70),0&lt;=12),SUM('Revenue and costs'!O48:U48)/'Assumptions'!$J$70,0)-IF(0=(13-'Assumptions'!$J$70)-1,'Revenue and costs'!V48+'Revenue and costs'!Y48+'Revenue and costs'!AE48,0)-IF('Income statement'!D50=0,1/39,'Segment tax'!E14/'Income statement'!D50)*'Cash and capital'!D13</x:f>
        <x:v>-8.104354628486975</x:v>
      </x:c>
      <x:c r="E33" s="24" t="n">
        <x:f>D33+IF(AND(1&gt;=(13-'Assumptions'!$J$68)+'Assumptions'!$AF$68,1&lt;=12),'Revenue and costs'!N46/'Assumptions'!$J$68,0)-IF(AND(1&gt;=(13-'Assumptions'!$J$68),1&lt;=12),SUM('Revenue and costs'!O46:U46)/'Assumptions'!$J$68,0)-IF(1=(13-'Assumptions'!$J$68)-1,'Revenue and costs'!V46+'Revenue and costs'!Y46+'Revenue and costs'!AE46,0)+IF(AND(1&gt;=(13-'Assumptions'!$J$69)+'Assumptions'!$AF$69,1&lt;=12),'Revenue and costs'!N47/'Assumptions'!$J$69,0)-IF(AND(1&gt;=(13-'Assumptions'!$J$69),1&lt;=12),SUM('Revenue and costs'!O47:U47)/'Assumptions'!$J$69,0)-IF(1=(13-'Assumptions'!$J$69)-1,'Revenue and costs'!V47+'Revenue and costs'!Y47+'Revenue and costs'!AE47,0)+IF(AND(1&gt;=(13-'Assumptions'!$J$70)+'Assumptions'!$AF$70,1&lt;=12),'Revenue and costs'!N48/'Assumptions'!$J$70,0)-IF(AND(1&gt;=(13-'Assumptions'!$J$70),1&lt;=12),SUM('Revenue and costs'!O48:U48)/'Assumptions'!$J$70,0)-IF(1=(13-'Assumptions'!$J$70)-1,'Revenue and costs'!V48+'Revenue and costs'!Y48+'Revenue and costs'!AE48,0)-'Segment tax'!G14/12</x:f>
        <x:v>-39.52223607158815</x:v>
      </x:c>
      <x:c r="F33" s="24" t="n">
        <x:f>E33+IF(AND(2&gt;=(13-'Assumptions'!$J$68)+'Assumptions'!$AF$68,2&lt;=12),'Revenue and costs'!N46/'Assumptions'!$J$68,0)-IF(AND(2&gt;=(13-'Assumptions'!$J$68),2&lt;=12),SUM('Revenue and costs'!O46:U46)/'Assumptions'!$J$68,0)-IF(2=(13-'Assumptions'!$J$68)-1,'Revenue and costs'!V46+'Revenue and costs'!Y46+'Revenue and costs'!AE46,0)+IF(AND(2&gt;=(13-'Assumptions'!$J$69)+'Assumptions'!$AF$69,2&lt;=12),'Revenue and costs'!N47/'Assumptions'!$J$69,0)-IF(AND(2&gt;=(13-'Assumptions'!$J$69),2&lt;=12),SUM('Revenue and costs'!O47:U47)/'Assumptions'!$J$69,0)-IF(2=(13-'Assumptions'!$J$69)-1,'Revenue and costs'!V47+'Revenue and costs'!Y47+'Revenue and costs'!AE47,0)+IF(AND(2&gt;=(13-'Assumptions'!$J$70)+'Assumptions'!$AF$70,2&lt;=12),'Revenue and costs'!N48/'Assumptions'!$J$70,0)-IF(AND(2&gt;=(13-'Assumptions'!$J$70),2&lt;=12),SUM('Revenue and costs'!O48:U48)/'Assumptions'!$J$70,0)-IF(2=(13-'Assumptions'!$J$70)-1,'Revenue and costs'!V48+'Revenue and costs'!Y48+'Revenue and costs'!AE48,0)-'Segment tax'!G14/12</x:f>
        <x:v>-70.94011751468933</x:v>
      </x:c>
      <x:c r="G33" s="24" t="n">
        <x:f>F33+IF(AND(3&gt;=(13-'Assumptions'!$J$68)+'Assumptions'!$AF$68,3&lt;=12),'Revenue and costs'!N46/'Assumptions'!$J$68,0)-IF(AND(3&gt;=(13-'Assumptions'!$J$68),3&lt;=12),SUM('Revenue and costs'!O46:U46)/'Assumptions'!$J$68,0)-IF(3=(13-'Assumptions'!$J$68)-1,'Revenue and costs'!V46+'Revenue and costs'!Y46+'Revenue and costs'!AE46,0)+IF(AND(3&gt;=(13-'Assumptions'!$J$69)+'Assumptions'!$AF$69,3&lt;=12),'Revenue and costs'!N47/'Assumptions'!$J$69,0)-IF(AND(3&gt;=(13-'Assumptions'!$J$69),3&lt;=12),SUM('Revenue and costs'!O47:U47)/'Assumptions'!$J$69,0)-IF(3=(13-'Assumptions'!$J$69)-1,'Revenue and costs'!V47+'Revenue and costs'!Y47+'Revenue and costs'!AE47,0)+IF(AND(3&gt;=(13-'Assumptions'!$J$70)+'Assumptions'!$AF$70,3&lt;=12),'Revenue and costs'!N48/'Assumptions'!$J$70,0)-IF(AND(3&gt;=(13-'Assumptions'!$J$70),3&lt;=12),SUM('Revenue and costs'!O48:U48)/'Assumptions'!$J$70,0)-IF(3=(13-'Assumptions'!$J$70)-1,'Revenue and costs'!V48+'Revenue and costs'!Y48+'Revenue and costs'!AE48,0)-'Segment tax'!G14/12</x:f>
        <x:v>-102.35799895779051</x:v>
      </x:c>
      <x:c r="H33" s="24" t="n">
        <x:f>G33+IF(AND(4&gt;=(13-'Assumptions'!$J$68)+'Assumptions'!$AF$68,4&lt;=12),'Revenue and costs'!N46/'Assumptions'!$J$68,0)-IF(AND(4&gt;=(13-'Assumptions'!$J$68),4&lt;=12),SUM('Revenue and costs'!O46:U46)/'Assumptions'!$J$68,0)-IF(4=(13-'Assumptions'!$J$68)-1,'Revenue and costs'!V46+'Revenue and costs'!Y46+'Revenue and costs'!AE46,0)+IF(AND(4&gt;=(13-'Assumptions'!$J$69)+'Assumptions'!$AF$69,4&lt;=12),'Revenue and costs'!N47/'Assumptions'!$J$69,0)-IF(AND(4&gt;=(13-'Assumptions'!$J$69),4&lt;=12),SUM('Revenue and costs'!O47:U47)/'Assumptions'!$J$69,0)-IF(4=(13-'Assumptions'!$J$69)-1,'Revenue and costs'!V47+'Revenue and costs'!Y47+'Revenue and costs'!AE47,0)+IF(AND(4&gt;=(13-'Assumptions'!$J$70)+'Assumptions'!$AF$70,4&lt;=12),'Revenue and costs'!N48/'Assumptions'!$J$70,0)-IF(AND(4&gt;=(13-'Assumptions'!$J$70),4&lt;=12),SUM('Revenue and costs'!O48:U48)/'Assumptions'!$J$70,0)-IF(4=(13-'Assumptions'!$J$70)-1,'Revenue and costs'!V48+'Revenue and costs'!Y48+'Revenue and costs'!AE48,0)-'Segment tax'!G14/12</x:f>
        <x:v>-133.77588040089168</x:v>
      </x:c>
      <x:c r="I33" s="24" t="n">
        <x:f>H33+IF(AND(5&gt;=(13-'Assumptions'!$J$68)+'Assumptions'!$AF$68,5&lt;=12),'Revenue and costs'!N46/'Assumptions'!$J$68,0)-IF(AND(5&gt;=(13-'Assumptions'!$J$68),5&lt;=12),SUM('Revenue and costs'!O46:U46)/'Assumptions'!$J$68,0)-IF(5=(13-'Assumptions'!$J$68)-1,'Revenue and costs'!V46+'Revenue and costs'!Y46+'Revenue and costs'!AE46,0)+IF(AND(5&gt;=(13-'Assumptions'!$J$69)+'Assumptions'!$AF$69,5&lt;=12),'Revenue and costs'!N47/'Assumptions'!$J$69,0)-IF(AND(5&gt;=(13-'Assumptions'!$J$69),5&lt;=12),SUM('Revenue and costs'!O47:U47)/'Assumptions'!$J$69,0)-IF(5=(13-'Assumptions'!$J$69)-1,'Revenue and costs'!V47+'Revenue and costs'!Y47+'Revenue and costs'!AE47,0)+IF(AND(5&gt;=(13-'Assumptions'!$J$70)+'Assumptions'!$AF$70,5&lt;=12),'Revenue and costs'!N48/'Assumptions'!$J$70,0)-IF(AND(5&gt;=(13-'Assumptions'!$J$70),5&lt;=12),SUM('Revenue and costs'!O48:U48)/'Assumptions'!$J$70,0)-IF(5=(13-'Assumptions'!$J$70)-1,'Revenue and costs'!V48+'Revenue and costs'!Y48+'Revenue and costs'!AE48,0)-'Segment tax'!G14/12</x:f>
        <x:v>-165.19376184399286</x:v>
      </x:c>
      <x:c r="J33" s="24" t="n">
        <x:f>I33+IF(AND(6&gt;=(13-'Assumptions'!$J$68)+'Assumptions'!$AF$68,6&lt;=12),'Revenue and costs'!N46/'Assumptions'!$J$68,0)-IF(AND(6&gt;=(13-'Assumptions'!$J$68),6&lt;=12),SUM('Revenue and costs'!O46:U46)/'Assumptions'!$J$68,0)-IF(6=(13-'Assumptions'!$J$68)-1,'Revenue and costs'!V46+'Revenue and costs'!Y46+'Revenue and costs'!AE46,0)+IF(AND(6&gt;=(13-'Assumptions'!$J$69)+'Assumptions'!$AF$69,6&lt;=12),'Revenue and costs'!N47/'Assumptions'!$J$69,0)-IF(AND(6&gt;=(13-'Assumptions'!$J$69),6&lt;=12),SUM('Revenue and costs'!O47:U47)/'Assumptions'!$J$69,0)-IF(6=(13-'Assumptions'!$J$69)-1,'Revenue and costs'!V47+'Revenue and costs'!Y47+'Revenue and costs'!AE47,0)+IF(AND(6&gt;=(13-'Assumptions'!$J$70)+'Assumptions'!$AF$70,6&lt;=12),'Revenue and costs'!N48/'Assumptions'!$J$70,0)-IF(AND(6&gt;=(13-'Assumptions'!$J$70),6&lt;=12),SUM('Revenue and costs'!O48:U48)/'Assumptions'!$J$70,0)-IF(6=(13-'Assumptions'!$J$70)-1,'Revenue and costs'!V48+'Revenue and costs'!Y48+'Revenue and costs'!AE48,0)-'Segment tax'!G14/12</x:f>
        <x:v>-196.61164328709404</x:v>
      </x:c>
      <x:c r="K33" s="24" t="n">
        <x:f>J33+IF(AND(7&gt;=(13-'Assumptions'!$J$68)+'Assumptions'!$AF$68,7&lt;=12),'Revenue and costs'!N46/'Assumptions'!$J$68,0)-IF(AND(7&gt;=(13-'Assumptions'!$J$68),7&lt;=12),SUM('Revenue and costs'!O46:U46)/'Assumptions'!$J$68,0)-IF(7=(13-'Assumptions'!$J$68)-1,'Revenue and costs'!V46+'Revenue and costs'!Y46+'Revenue and costs'!AE46,0)+IF(AND(7&gt;=(13-'Assumptions'!$J$69)+'Assumptions'!$AF$69,7&lt;=12),'Revenue and costs'!N47/'Assumptions'!$J$69,0)-IF(AND(7&gt;=(13-'Assumptions'!$J$69),7&lt;=12),SUM('Revenue and costs'!O47:U47)/'Assumptions'!$J$69,0)-IF(7=(13-'Assumptions'!$J$69)-1,'Revenue and costs'!V47+'Revenue and costs'!Y47+'Revenue and costs'!AE47,0)+IF(AND(7&gt;=(13-'Assumptions'!$J$70)+'Assumptions'!$AF$70,7&lt;=12),'Revenue and costs'!N48/'Assumptions'!$J$70,0)-IF(AND(7&gt;=(13-'Assumptions'!$J$70),7&lt;=12),SUM('Revenue and costs'!O48:U48)/'Assumptions'!$J$70,0)-IF(7=(13-'Assumptions'!$J$70)-1,'Revenue and costs'!V48+'Revenue and costs'!Y48+'Revenue and costs'!AE48,0)-'Segment tax'!G14/12</x:f>
        <x:v>94.75797526980483</x:v>
      </x:c>
      <x:c r="L33" s="24" t="n">
        <x:f>K33+IF(AND(8&gt;=(13-'Assumptions'!$J$68)+'Assumptions'!$AF$68,8&lt;=12),'Revenue and costs'!N46/'Assumptions'!$J$68,0)-IF(AND(8&gt;=(13-'Assumptions'!$J$68),8&lt;=12),SUM('Revenue and costs'!O46:U46)/'Assumptions'!$J$68,0)-IF(8=(13-'Assumptions'!$J$68)-1,'Revenue and costs'!V46+'Revenue and costs'!Y46+'Revenue and costs'!AE46,0)+IF(AND(8&gt;=(13-'Assumptions'!$J$69)+'Assumptions'!$AF$69,8&lt;=12),'Revenue and costs'!N47/'Assumptions'!$J$69,0)-IF(AND(8&gt;=(13-'Assumptions'!$J$69),8&lt;=12),SUM('Revenue and costs'!O47:U47)/'Assumptions'!$J$69,0)-IF(8=(13-'Assumptions'!$J$69)-1,'Revenue and costs'!V47+'Revenue and costs'!Y47+'Revenue and costs'!AE47,0)+IF(AND(8&gt;=(13-'Assumptions'!$J$70)+'Assumptions'!$AF$70,8&lt;=12),'Revenue and costs'!N48/'Assumptions'!$J$70,0)-IF(AND(8&gt;=(13-'Assumptions'!$J$70),8&lt;=12),SUM('Revenue and costs'!O48:U48)/'Assumptions'!$J$70,0)-IF(8=(13-'Assumptions'!$J$70)-1,'Revenue and costs'!V48+'Revenue and costs'!Y48+'Revenue and costs'!AE48,0)-'Segment tax'!G14/12</x:f>
        <x:v>386.12759382670373</x:v>
      </x:c>
      <x:c r="M33" s="24" t="n">
        <x:f>L33+IF(AND(9&gt;=(13-'Assumptions'!$J$68)+'Assumptions'!$AF$68,9&lt;=12),'Revenue and costs'!N46/'Assumptions'!$J$68,0)-IF(AND(9&gt;=(13-'Assumptions'!$J$68),9&lt;=12),SUM('Revenue and costs'!O46:U46)/'Assumptions'!$J$68,0)-IF(9=(13-'Assumptions'!$J$68)-1,'Revenue and costs'!V46+'Revenue and costs'!Y46+'Revenue and costs'!AE46,0)+IF(AND(9&gt;=(13-'Assumptions'!$J$69)+'Assumptions'!$AF$69,9&lt;=12),'Revenue and costs'!N47/'Assumptions'!$J$69,0)-IF(AND(9&gt;=(13-'Assumptions'!$J$69),9&lt;=12),SUM('Revenue and costs'!O47:U47)/'Assumptions'!$J$69,0)-IF(9=(13-'Assumptions'!$J$69)-1,'Revenue and costs'!V47+'Revenue and costs'!Y47+'Revenue and costs'!AE47,0)+IF(AND(9&gt;=(13-'Assumptions'!$J$70)+'Assumptions'!$AF$70,9&lt;=12),'Revenue and costs'!N48/'Assumptions'!$J$70,0)-IF(AND(9&gt;=(13-'Assumptions'!$J$70),9&lt;=12),SUM('Revenue and costs'!O48:U48)/'Assumptions'!$J$70,0)-IF(9=(13-'Assumptions'!$J$70)-1,'Revenue and costs'!V48+'Revenue and costs'!Y48+'Revenue and costs'!AE48,0)-'Segment tax'!G14/12</x:f>
        <x:v>677.4972123836026</x:v>
      </x:c>
      <x:c r="N33" s="24" t="n">
        <x:f>M33+IF(AND(10&gt;=(13-'Assumptions'!$J$68)+'Assumptions'!$AF$68,10&lt;=12),'Revenue and costs'!N46/'Assumptions'!$J$68,0)-IF(AND(10&gt;=(13-'Assumptions'!$J$68),10&lt;=12),SUM('Revenue and costs'!O46:U46)/'Assumptions'!$J$68,0)-IF(10=(13-'Assumptions'!$J$68)-1,'Revenue and costs'!V46+'Revenue and costs'!Y46+'Revenue and costs'!AE46,0)+IF(AND(10&gt;=(13-'Assumptions'!$J$69)+'Assumptions'!$AF$69,10&lt;=12),'Revenue and costs'!N47/'Assumptions'!$J$69,0)-IF(AND(10&gt;=(13-'Assumptions'!$J$69),10&lt;=12),SUM('Revenue and costs'!O47:U47)/'Assumptions'!$J$69,0)-IF(10=(13-'Assumptions'!$J$69)-1,'Revenue and costs'!V47+'Revenue and costs'!Y47+'Revenue and costs'!AE47,0)+IF(AND(10&gt;=(13-'Assumptions'!$J$70)+'Assumptions'!$AF$70,10&lt;=12),'Revenue and costs'!N48/'Assumptions'!$J$70,0)-IF(AND(10&gt;=(13-'Assumptions'!$J$70),10&lt;=12),SUM('Revenue and costs'!O48:U48)/'Assumptions'!$J$70,0)-IF(10=(13-'Assumptions'!$J$70)-1,'Revenue and costs'!V48+'Revenue and costs'!Y48+'Revenue and costs'!AE48,0)-'Segment tax'!G14/12</x:f>
        <x:v>968.8668309405014</x:v>
      </x:c>
      <x:c r="O33" s="24" t="n">
        <x:f>N33+IF(AND(11&gt;=(13-'Assumptions'!$J$68)+'Assumptions'!$AF$68,11&lt;=12),'Revenue and costs'!N46/'Assumptions'!$J$68,0)-IF(AND(11&gt;=(13-'Assumptions'!$J$68),11&lt;=12),SUM('Revenue and costs'!O46:U46)/'Assumptions'!$J$68,0)-IF(11=(13-'Assumptions'!$J$68)-1,'Revenue and costs'!V46+'Revenue and costs'!Y46+'Revenue and costs'!AE46,0)+IF(AND(11&gt;=(13-'Assumptions'!$J$69)+'Assumptions'!$AF$69,11&lt;=12),'Revenue and costs'!N47/'Assumptions'!$J$69,0)-IF(AND(11&gt;=(13-'Assumptions'!$J$69),11&lt;=12),SUM('Revenue and costs'!O47:U47)/'Assumptions'!$J$69,0)-IF(11=(13-'Assumptions'!$J$69)-1,'Revenue and costs'!V47+'Revenue and costs'!Y47+'Revenue and costs'!AE47,0)+IF(AND(11&gt;=(13-'Assumptions'!$J$70)+'Assumptions'!$AF$70,11&lt;=12),'Revenue and costs'!N48/'Assumptions'!$J$70,0)-IF(AND(11&gt;=(13-'Assumptions'!$J$70),11&lt;=12),SUM('Revenue and costs'!O48:U48)/'Assumptions'!$J$70,0)-IF(11=(13-'Assumptions'!$J$70)-1,'Revenue and costs'!V48+'Revenue and costs'!Y48+'Revenue and costs'!AE48,0)-'Segment tax'!G14/12</x:f>
        <x:v>1260.2364494974001</x:v>
      </x:c>
      <x:c r="P33" s="24" t="n">
        <x:f>O33+IF(AND(12&gt;=(13-'Assumptions'!$J$68)+'Assumptions'!$AF$68,12&lt;=12),'Revenue and costs'!N46/'Assumptions'!$J$68,0)-IF(AND(12&gt;=(13-'Assumptions'!$J$68),12&lt;=12),SUM('Revenue and costs'!O46:U46)/'Assumptions'!$J$68,0)-IF(12=(13-'Assumptions'!$J$68)-1,'Revenue and costs'!V46+'Revenue and costs'!Y46+'Revenue and costs'!AE46,0)+IF(AND(12&gt;=(13-'Assumptions'!$J$69)+'Assumptions'!$AF$69,12&lt;=12),'Revenue and costs'!N47/'Assumptions'!$J$69,0)-IF(AND(12&gt;=(13-'Assumptions'!$J$69),12&lt;=12),SUM('Revenue and costs'!O47:U47)/'Assumptions'!$J$69,0)-IF(12=(13-'Assumptions'!$J$69)-1,'Revenue and costs'!V47+'Revenue and costs'!Y47+'Revenue and costs'!AE47,0)+IF(AND(12&gt;=(13-'Assumptions'!$J$70)+'Assumptions'!$AF$70,12&lt;=12),'Revenue and costs'!N48/'Assumptions'!$J$70,0)-IF(AND(12&gt;=(13-'Assumptions'!$J$70),12&lt;=12),SUM('Revenue and costs'!O48:U48)/'Assumptions'!$J$70,0)-IF(12=(13-'Assumptions'!$J$70)-1,'Revenue and costs'!V48+'Revenue and costs'!Y48+'Revenue and costs'!AE48,0)-'Segment tax'!G14/12-'Segment tax'!L14</x:f>
        <x:v>1162.35382526931</x:v>
      </x:c>
      <x:c r="Q33" s="24" t="n">
        <x:f>MAX(0,-MIN(D33:P33))</x:f>
        <x:v>196.61164328709404</x:v>
      </x:c>
    </x:row>
    <x:row r="34" ht="30" customHeight="1">
      <x:c r="A34" s="1"/>
      <x:c r="B34" s="1"/>
      <x:c r="C34" s="23" t="str">
        <x:v>Is Makes Travel Easy</x:v>
      </x:c>
      <x:c r="D34" s="24" t="n">
        <x:f>IF(AND(0&gt;=(13-'Assumptions'!$J$71)+'Assumptions'!$AF$71,0&lt;=12),'Revenue and costs'!N49/'Assumptions'!$J$71,0)-IF(AND(0&gt;=(13-'Assumptions'!$J$71),0&lt;=12),SUM('Revenue and costs'!O49:U49)/'Assumptions'!$J$71,0)-IF(0=(13-'Assumptions'!$J$71)-1,'Revenue and costs'!V49+'Revenue and costs'!Y49+'Revenue and costs'!AE49,0)+IF(AND(0&gt;=(13-'Assumptions'!$J$72)+'Assumptions'!$AF$72,0&lt;=12),'Revenue and costs'!N50/'Assumptions'!$J$72,0)-IF(AND(0&gt;=(13-'Assumptions'!$J$72),0&lt;=12),SUM('Revenue and costs'!O50:U50)/'Assumptions'!$J$72,0)-IF(0=(13-'Assumptions'!$J$72)-1,'Revenue and costs'!V50+'Revenue and costs'!Y50+'Revenue and costs'!AE50,0)+IF(AND(0&gt;=(13-'Assumptions'!$J$73)+'Assumptions'!$AF$73,0&lt;=12),'Revenue and costs'!N51/'Assumptions'!$J$73,0)-IF(AND(0&gt;=(13-'Assumptions'!$J$73),0&lt;=12),SUM('Revenue and costs'!O51:U51)/'Assumptions'!$J$73,0)-IF(0=(13-'Assumptions'!$J$73)-1,'Revenue and costs'!V51+'Revenue and costs'!Y51+'Revenue and costs'!AE51,0)+IF(AND(0&gt;=(13-'Assumptions'!$J$74)+'Assumptions'!$AF$74,0&lt;=12),'Revenue and costs'!N52/'Assumptions'!$J$74,0)-IF(AND(0&gt;=(13-'Assumptions'!$J$74),0&lt;=12),SUM('Revenue and costs'!O52:U52)/'Assumptions'!$J$74,0)-IF(0=(13-'Assumptions'!$J$74)-1,'Revenue and costs'!V52+'Revenue and costs'!Y52+'Revenue and costs'!AE52,0)-IF('Income statement'!D50=0,1/39,'Segment tax'!E15/'Income statement'!D50)*'Cash and capital'!D13</x:f>
        <x:v>-21.23855474862222</x:v>
      </x:c>
      <x:c r="E34" s="24" t="n">
        <x:f>D34+IF(AND(1&gt;=(13-'Assumptions'!$J$71)+'Assumptions'!$AF$71,1&lt;=12),'Revenue and costs'!N49/'Assumptions'!$J$71,0)-IF(AND(1&gt;=(13-'Assumptions'!$J$71),1&lt;=12),SUM('Revenue and costs'!O49:U49)/'Assumptions'!$J$71,0)-IF(1=(13-'Assumptions'!$J$71)-1,'Revenue and costs'!V49+'Revenue and costs'!Y49+'Revenue and costs'!AE49,0)+IF(AND(1&gt;=(13-'Assumptions'!$J$72)+'Assumptions'!$AF$72,1&lt;=12),'Revenue and costs'!N50/'Assumptions'!$J$72,0)-IF(AND(1&gt;=(13-'Assumptions'!$J$72),1&lt;=12),SUM('Revenue and costs'!O50:U50)/'Assumptions'!$J$72,0)-IF(1=(13-'Assumptions'!$J$72)-1,'Revenue and costs'!V50+'Revenue and costs'!Y50+'Revenue and costs'!AE50,0)+IF(AND(1&gt;=(13-'Assumptions'!$J$73)+'Assumptions'!$AF$73,1&lt;=12),'Revenue and costs'!N51/'Assumptions'!$J$73,0)-IF(AND(1&gt;=(13-'Assumptions'!$J$73),1&lt;=12),SUM('Revenue and costs'!O51:U51)/'Assumptions'!$J$73,0)-IF(1=(13-'Assumptions'!$J$73)-1,'Revenue and costs'!V51+'Revenue and costs'!Y51+'Revenue and costs'!AE51,0)+IF(AND(1&gt;=(13-'Assumptions'!$J$74)+'Assumptions'!$AF$74,1&lt;=12),'Revenue and costs'!N52/'Assumptions'!$J$74,0)-IF(AND(1&gt;=(13-'Assumptions'!$J$74),1&lt;=12),SUM('Revenue and costs'!O52:U52)/'Assumptions'!$J$74,0)-IF(1=(13-'Assumptions'!$J$74)-1,'Revenue and costs'!V52+'Revenue and costs'!Y52+'Revenue and costs'!AE52,0)-'Segment tax'!G15/12</x:f>
        <x:v>-103.57335199078103</x:v>
      </x:c>
      <x:c r="F34" s="24" t="n">
        <x:f>E34+IF(AND(2&gt;=(13-'Assumptions'!$J$71)+'Assumptions'!$AF$71,2&lt;=12),'Revenue and costs'!N49/'Assumptions'!$J$71,0)-IF(AND(2&gt;=(13-'Assumptions'!$J$71),2&lt;=12),SUM('Revenue and costs'!O49:U49)/'Assumptions'!$J$71,0)-IF(2=(13-'Assumptions'!$J$71)-1,'Revenue and costs'!V49+'Revenue and costs'!Y49+'Revenue and costs'!AE49,0)+IF(AND(2&gt;=(13-'Assumptions'!$J$72)+'Assumptions'!$AF$72,2&lt;=12),'Revenue and costs'!N50/'Assumptions'!$J$72,0)-IF(AND(2&gt;=(13-'Assumptions'!$J$72),2&lt;=12),SUM('Revenue and costs'!O50:U50)/'Assumptions'!$J$72,0)-IF(2=(13-'Assumptions'!$J$72)-1,'Revenue and costs'!V50+'Revenue and costs'!Y50+'Revenue and costs'!AE50,0)+IF(AND(2&gt;=(13-'Assumptions'!$J$73)+'Assumptions'!$AF$73,2&lt;=12),'Revenue and costs'!N51/'Assumptions'!$J$73,0)-IF(AND(2&gt;=(13-'Assumptions'!$J$73),2&lt;=12),SUM('Revenue and costs'!O51:U51)/'Assumptions'!$J$73,0)-IF(2=(13-'Assumptions'!$J$73)-1,'Revenue and costs'!V51+'Revenue and costs'!Y51+'Revenue and costs'!AE51,0)+IF(AND(2&gt;=(13-'Assumptions'!$J$74)+'Assumptions'!$AF$74,2&lt;=12),'Revenue and costs'!N52/'Assumptions'!$J$74,0)-IF(AND(2&gt;=(13-'Assumptions'!$J$74),2&lt;=12),SUM('Revenue and costs'!O52:U52)/'Assumptions'!$J$74,0)-IF(2=(13-'Assumptions'!$J$74)-1,'Revenue and costs'!V52+'Revenue and costs'!Y52+'Revenue and costs'!AE52,0)-'Segment tax'!G15/12</x:f>
        <x:v>-185.90814923293985</x:v>
      </x:c>
      <x:c r="G34" s="24" t="n">
        <x:f>F34+IF(AND(3&gt;=(13-'Assumptions'!$J$71)+'Assumptions'!$AF$71,3&lt;=12),'Revenue and costs'!N49/'Assumptions'!$J$71,0)-IF(AND(3&gt;=(13-'Assumptions'!$J$71),3&lt;=12),SUM('Revenue and costs'!O49:U49)/'Assumptions'!$J$71,0)-IF(3=(13-'Assumptions'!$J$71)-1,'Revenue and costs'!V49+'Revenue and costs'!Y49+'Revenue and costs'!AE49,0)+IF(AND(3&gt;=(13-'Assumptions'!$J$72)+'Assumptions'!$AF$72,3&lt;=12),'Revenue and costs'!N50/'Assumptions'!$J$72,0)-IF(AND(3&gt;=(13-'Assumptions'!$J$72),3&lt;=12),SUM('Revenue and costs'!O50:U50)/'Assumptions'!$J$72,0)-IF(3=(13-'Assumptions'!$J$72)-1,'Revenue and costs'!V50+'Revenue and costs'!Y50+'Revenue and costs'!AE50,0)+IF(AND(3&gt;=(13-'Assumptions'!$J$73)+'Assumptions'!$AF$73,3&lt;=12),'Revenue and costs'!N51/'Assumptions'!$J$73,0)-IF(AND(3&gt;=(13-'Assumptions'!$J$73),3&lt;=12),SUM('Revenue and costs'!O51:U51)/'Assumptions'!$J$73,0)-IF(3=(13-'Assumptions'!$J$73)-1,'Revenue and costs'!V51+'Revenue and costs'!Y51+'Revenue and costs'!AE51,0)+IF(AND(3&gt;=(13-'Assumptions'!$J$74)+'Assumptions'!$AF$74,3&lt;=12),'Revenue and costs'!N52/'Assumptions'!$J$74,0)-IF(AND(3&gt;=(13-'Assumptions'!$J$74),3&lt;=12),SUM('Revenue and costs'!O52:U52)/'Assumptions'!$J$74,0)-IF(3=(13-'Assumptions'!$J$74)-1,'Revenue and costs'!V52+'Revenue and costs'!Y52+'Revenue and costs'!AE52,0)-'Segment tax'!G15/12</x:f>
        <x:v>-268.2429464750987</x:v>
      </x:c>
      <x:c r="H34" s="24" t="n">
        <x:f>G34+IF(AND(4&gt;=(13-'Assumptions'!$J$71)+'Assumptions'!$AF$71,4&lt;=12),'Revenue and costs'!N49/'Assumptions'!$J$71,0)-IF(AND(4&gt;=(13-'Assumptions'!$J$71),4&lt;=12),SUM('Revenue and costs'!O49:U49)/'Assumptions'!$J$71,0)-IF(4=(13-'Assumptions'!$J$71)-1,'Revenue and costs'!V49+'Revenue and costs'!Y49+'Revenue and costs'!AE49,0)+IF(AND(4&gt;=(13-'Assumptions'!$J$72)+'Assumptions'!$AF$72,4&lt;=12),'Revenue and costs'!N50/'Assumptions'!$J$72,0)-IF(AND(4&gt;=(13-'Assumptions'!$J$72),4&lt;=12),SUM('Revenue and costs'!O50:U50)/'Assumptions'!$J$72,0)-IF(4=(13-'Assumptions'!$J$72)-1,'Revenue and costs'!V50+'Revenue and costs'!Y50+'Revenue and costs'!AE50,0)+IF(AND(4&gt;=(13-'Assumptions'!$J$73)+'Assumptions'!$AF$73,4&lt;=12),'Revenue and costs'!N51/'Assumptions'!$J$73,0)-IF(AND(4&gt;=(13-'Assumptions'!$J$73),4&lt;=12),SUM('Revenue and costs'!O51:U51)/'Assumptions'!$J$73,0)-IF(4=(13-'Assumptions'!$J$73)-1,'Revenue and costs'!V51+'Revenue and costs'!Y51+'Revenue and costs'!AE51,0)+IF(AND(4&gt;=(13-'Assumptions'!$J$74)+'Assumptions'!$AF$74,4&lt;=12),'Revenue and costs'!N52/'Assumptions'!$J$74,0)-IF(AND(4&gt;=(13-'Assumptions'!$J$74),4&lt;=12),SUM('Revenue and costs'!O52:U52)/'Assumptions'!$J$74,0)-IF(4=(13-'Assumptions'!$J$74)-1,'Revenue and costs'!V52+'Revenue and costs'!Y52+'Revenue and costs'!AE52,0)-'Segment tax'!G15/12</x:f>
        <x:v>186.44948961607594</x:v>
      </x:c>
      <x:c r="I34" s="24" t="n">
        <x:f>H34+IF(AND(5&gt;=(13-'Assumptions'!$J$71)+'Assumptions'!$AF$71,5&lt;=12),'Revenue and costs'!N49/'Assumptions'!$J$71,0)-IF(AND(5&gt;=(13-'Assumptions'!$J$71),5&lt;=12),SUM('Revenue and costs'!O49:U49)/'Assumptions'!$J$71,0)-IF(5=(13-'Assumptions'!$J$71)-1,'Revenue and costs'!V49+'Revenue and costs'!Y49+'Revenue and costs'!AE49,0)+IF(AND(5&gt;=(13-'Assumptions'!$J$72)+'Assumptions'!$AF$72,5&lt;=12),'Revenue and costs'!N50/'Assumptions'!$J$72,0)-IF(AND(5&gt;=(13-'Assumptions'!$J$72),5&lt;=12),SUM('Revenue and costs'!O50:U50)/'Assumptions'!$J$72,0)-IF(5=(13-'Assumptions'!$J$72)-1,'Revenue and costs'!V50+'Revenue and costs'!Y50+'Revenue and costs'!AE50,0)+IF(AND(5&gt;=(13-'Assumptions'!$J$73)+'Assumptions'!$AF$73,5&lt;=12),'Revenue and costs'!N51/'Assumptions'!$J$73,0)-IF(AND(5&gt;=(13-'Assumptions'!$J$73),5&lt;=12),SUM('Revenue and costs'!O51:U51)/'Assumptions'!$J$73,0)-IF(5=(13-'Assumptions'!$J$73)-1,'Revenue and costs'!V51+'Revenue and costs'!Y51+'Revenue and costs'!AE51,0)+IF(AND(5&gt;=(13-'Assumptions'!$J$74)+'Assumptions'!$AF$74,5&lt;=12),'Revenue and costs'!N52/'Assumptions'!$J$74,0)-IF(AND(5&gt;=(13-'Assumptions'!$J$74),5&lt;=12),SUM('Revenue and costs'!O52:U52)/'Assumptions'!$J$74,0)-IF(5=(13-'Assumptions'!$J$74)-1,'Revenue and costs'!V52+'Revenue and costs'!Y52+'Revenue and costs'!AE52,0)-'Segment tax'!G15/12</x:f>
        <x:v>831.2619257072504</x:v>
      </x:c>
      <x:c r="J34" s="24" t="n">
        <x:f>I34+IF(AND(6&gt;=(13-'Assumptions'!$J$71)+'Assumptions'!$AF$71,6&lt;=12),'Revenue and costs'!N49/'Assumptions'!$J$71,0)-IF(AND(6&gt;=(13-'Assumptions'!$J$71),6&lt;=12),SUM('Revenue and costs'!O49:U49)/'Assumptions'!$J$71,0)-IF(6=(13-'Assumptions'!$J$71)-1,'Revenue and costs'!V49+'Revenue and costs'!Y49+'Revenue and costs'!AE49,0)+IF(AND(6&gt;=(13-'Assumptions'!$J$72)+'Assumptions'!$AF$72,6&lt;=12),'Revenue and costs'!N50/'Assumptions'!$J$72,0)-IF(AND(6&gt;=(13-'Assumptions'!$J$72),6&lt;=12),SUM('Revenue and costs'!O50:U50)/'Assumptions'!$J$72,0)-IF(6=(13-'Assumptions'!$J$72)-1,'Revenue and costs'!V50+'Revenue and costs'!Y50+'Revenue and costs'!AE50,0)+IF(AND(6&gt;=(13-'Assumptions'!$J$73)+'Assumptions'!$AF$73,6&lt;=12),'Revenue and costs'!N51/'Assumptions'!$J$73,0)-IF(AND(6&gt;=(13-'Assumptions'!$J$73),6&lt;=12),SUM('Revenue and costs'!O51:U51)/'Assumptions'!$J$73,0)-IF(6=(13-'Assumptions'!$J$73)-1,'Revenue and costs'!V51+'Revenue and costs'!Y51+'Revenue and costs'!AE51,0)+IF(AND(6&gt;=(13-'Assumptions'!$J$74)+'Assumptions'!$AF$74,6&lt;=12),'Revenue and costs'!N52/'Assumptions'!$J$74,0)-IF(AND(6&gt;=(13-'Assumptions'!$J$74),6&lt;=12),SUM('Revenue and costs'!O52:U52)/'Assumptions'!$J$74,0)-IF(6=(13-'Assumptions'!$J$74)-1,'Revenue and costs'!V52+'Revenue and costs'!Y52+'Revenue and costs'!AE52,0)-'Segment tax'!G15/12</x:f>
        <x:v>1476.074361798425</x:v>
      </x:c>
      <x:c r="K34" s="24" t="n">
        <x:f>J34+IF(AND(7&gt;=(13-'Assumptions'!$J$71)+'Assumptions'!$AF$71,7&lt;=12),'Revenue and costs'!N49/'Assumptions'!$J$71,0)-IF(AND(7&gt;=(13-'Assumptions'!$J$71),7&lt;=12),SUM('Revenue and costs'!O49:U49)/'Assumptions'!$J$71,0)-IF(7=(13-'Assumptions'!$J$71)-1,'Revenue and costs'!V49+'Revenue and costs'!Y49+'Revenue and costs'!AE49,0)+IF(AND(7&gt;=(13-'Assumptions'!$J$72)+'Assumptions'!$AF$72,7&lt;=12),'Revenue and costs'!N50/'Assumptions'!$J$72,0)-IF(AND(7&gt;=(13-'Assumptions'!$J$72),7&lt;=12),SUM('Revenue and costs'!O50:U50)/'Assumptions'!$J$72,0)-IF(7=(13-'Assumptions'!$J$72)-1,'Revenue and costs'!V50+'Revenue and costs'!Y50+'Revenue and costs'!AE50,0)+IF(AND(7&gt;=(13-'Assumptions'!$J$73)+'Assumptions'!$AF$73,7&lt;=12),'Revenue and costs'!N51/'Assumptions'!$J$73,0)-IF(AND(7&gt;=(13-'Assumptions'!$J$73),7&lt;=12),SUM('Revenue and costs'!O51:U51)/'Assumptions'!$J$73,0)-IF(7=(13-'Assumptions'!$J$73)-1,'Revenue and costs'!V51+'Revenue and costs'!Y51+'Revenue and costs'!AE51,0)+IF(AND(7&gt;=(13-'Assumptions'!$J$74)+'Assumptions'!$AF$74,7&lt;=12),'Revenue and costs'!N52/'Assumptions'!$J$74,0)-IF(AND(7&gt;=(13-'Assumptions'!$J$74),7&lt;=12),SUM('Revenue and costs'!O52:U52)/'Assumptions'!$J$74,0)-IF(7=(13-'Assumptions'!$J$74)-1,'Revenue and costs'!V52+'Revenue and costs'!Y52+'Revenue and costs'!AE52,0)-'Segment tax'!G15/12</x:f>
        <x:v>2120.8867978895996</x:v>
      </x:c>
      <x:c r="L34" s="24" t="n">
        <x:f>K34+IF(AND(8&gt;=(13-'Assumptions'!$J$71)+'Assumptions'!$AF$71,8&lt;=12),'Revenue and costs'!N49/'Assumptions'!$J$71,0)-IF(AND(8&gt;=(13-'Assumptions'!$J$71),8&lt;=12),SUM('Revenue and costs'!O49:U49)/'Assumptions'!$J$71,0)-IF(8=(13-'Assumptions'!$J$71)-1,'Revenue and costs'!V49+'Revenue and costs'!Y49+'Revenue and costs'!AE49,0)+IF(AND(8&gt;=(13-'Assumptions'!$J$72)+'Assumptions'!$AF$72,8&lt;=12),'Revenue and costs'!N50/'Assumptions'!$J$72,0)-IF(AND(8&gt;=(13-'Assumptions'!$J$72),8&lt;=12),SUM('Revenue and costs'!O50:U50)/'Assumptions'!$J$72,0)-IF(8=(13-'Assumptions'!$J$72)-1,'Revenue and costs'!V50+'Revenue and costs'!Y50+'Revenue and costs'!AE50,0)+IF(AND(8&gt;=(13-'Assumptions'!$J$73)+'Assumptions'!$AF$73,8&lt;=12),'Revenue and costs'!N51/'Assumptions'!$J$73,0)-IF(AND(8&gt;=(13-'Assumptions'!$J$73),8&lt;=12),SUM('Revenue and costs'!O51:U51)/'Assumptions'!$J$73,0)-IF(8=(13-'Assumptions'!$J$73)-1,'Revenue and costs'!V51+'Revenue and costs'!Y51+'Revenue and costs'!AE51,0)+IF(AND(8&gt;=(13-'Assumptions'!$J$74)+'Assumptions'!$AF$74,8&lt;=12),'Revenue and costs'!N52/'Assumptions'!$J$74,0)-IF(AND(8&gt;=(13-'Assumptions'!$J$74),8&lt;=12),SUM('Revenue and costs'!O52:U52)/'Assumptions'!$J$74,0)-IF(8=(13-'Assumptions'!$J$74)-1,'Revenue and costs'!V52+'Revenue and costs'!Y52+'Revenue and costs'!AE52,0)-'Segment tax'!G15/12</x:f>
        <x:v>2765.699233980774</x:v>
      </x:c>
      <x:c r="M34" s="24" t="n">
        <x:f>L34+IF(AND(9&gt;=(13-'Assumptions'!$J$71)+'Assumptions'!$AF$71,9&lt;=12),'Revenue and costs'!N49/'Assumptions'!$J$71,0)-IF(AND(9&gt;=(13-'Assumptions'!$J$71),9&lt;=12),SUM('Revenue and costs'!O49:U49)/'Assumptions'!$J$71,0)-IF(9=(13-'Assumptions'!$J$71)-1,'Revenue and costs'!V49+'Revenue and costs'!Y49+'Revenue and costs'!AE49,0)+IF(AND(9&gt;=(13-'Assumptions'!$J$72)+'Assumptions'!$AF$72,9&lt;=12),'Revenue and costs'!N50/'Assumptions'!$J$72,0)-IF(AND(9&gt;=(13-'Assumptions'!$J$72),9&lt;=12),SUM('Revenue and costs'!O50:U50)/'Assumptions'!$J$72,0)-IF(9=(13-'Assumptions'!$J$72)-1,'Revenue and costs'!V50+'Revenue and costs'!Y50+'Revenue and costs'!AE50,0)+IF(AND(9&gt;=(13-'Assumptions'!$J$73)+'Assumptions'!$AF$73,9&lt;=12),'Revenue and costs'!N51/'Assumptions'!$J$73,0)-IF(AND(9&gt;=(13-'Assumptions'!$J$73),9&lt;=12),SUM('Revenue and costs'!O51:U51)/'Assumptions'!$J$73,0)-IF(9=(13-'Assumptions'!$J$73)-1,'Revenue and costs'!V51+'Revenue and costs'!Y51+'Revenue and costs'!AE51,0)+IF(AND(9&gt;=(13-'Assumptions'!$J$74)+'Assumptions'!$AF$74,9&lt;=12),'Revenue and costs'!N52/'Assumptions'!$J$74,0)-IF(AND(9&gt;=(13-'Assumptions'!$J$74),9&lt;=12),SUM('Revenue and costs'!O52:U52)/'Assumptions'!$J$74,0)-IF(9=(13-'Assumptions'!$J$74)-1,'Revenue and costs'!V52+'Revenue and costs'!Y52+'Revenue and costs'!AE52,0)-'Segment tax'!G15/12</x:f>
        <x:v>3410.511670071948</x:v>
      </x:c>
      <x:c r="N34" s="24" t="n">
        <x:f>M34+IF(AND(10&gt;=(13-'Assumptions'!$J$71)+'Assumptions'!$AF$71,10&lt;=12),'Revenue and costs'!N49/'Assumptions'!$J$71,0)-IF(AND(10&gt;=(13-'Assumptions'!$J$71),10&lt;=12),SUM('Revenue and costs'!O49:U49)/'Assumptions'!$J$71,0)-IF(10=(13-'Assumptions'!$J$71)-1,'Revenue and costs'!V49+'Revenue and costs'!Y49+'Revenue and costs'!AE49,0)+IF(AND(10&gt;=(13-'Assumptions'!$J$72)+'Assumptions'!$AF$72,10&lt;=12),'Revenue and costs'!N50/'Assumptions'!$J$72,0)-IF(AND(10&gt;=(13-'Assumptions'!$J$72),10&lt;=12),SUM('Revenue and costs'!O50:U50)/'Assumptions'!$J$72,0)-IF(10=(13-'Assumptions'!$J$72)-1,'Revenue and costs'!V50+'Revenue and costs'!Y50+'Revenue and costs'!AE50,0)+IF(AND(10&gt;=(13-'Assumptions'!$J$73)+'Assumptions'!$AF$73,10&lt;=12),'Revenue and costs'!N51/'Assumptions'!$J$73,0)-IF(AND(10&gt;=(13-'Assumptions'!$J$73),10&lt;=12),SUM('Revenue and costs'!O51:U51)/'Assumptions'!$J$73,0)-IF(10=(13-'Assumptions'!$J$73)-1,'Revenue and costs'!V51+'Revenue and costs'!Y51+'Revenue and costs'!AE51,0)+IF(AND(10&gt;=(13-'Assumptions'!$J$74)+'Assumptions'!$AF$74,10&lt;=12),'Revenue and costs'!N52/'Assumptions'!$J$74,0)-IF(AND(10&gt;=(13-'Assumptions'!$J$74),10&lt;=12),SUM('Revenue and costs'!O52:U52)/'Assumptions'!$J$74,0)-IF(10=(13-'Assumptions'!$J$74)-1,'Revenue and costs'!V52+'Revenue and costs'!Y52+'Revenue and costs'!AE52,0)-'Segment tax'!G15/12</x:f>
        <x:v>4055.3241061631225</x:v>
      </x:c>
      <x:c r="O34" s="24" t="n">
        <x:f>N34+IF(AND(11&gt;=(13-'Assumptions'!$J$71)+'Assumptions'!$AF$71,11&lt;=12),'Revenue and costs'!N49/'Assumptions'!$J$71,0)-IF(AND(11&gt;=(13-'Assumptions'!$J$71),11&lt;=12),SUM('Revenue and costs'!O49:U49)/'Assumptions'!$J$71,0)-IF(11=(13-'Assumptions'!$J$71)-1,'Revenue and costs'!V49+'Revenue and costs'!Y49+'Revenue and costs'!AE49,0)+IF(AND(11&gt;=(13-'Assumptions'!$J$72)+'Assumptions'!$AF$72,11&lt;=12),'Revenue and costs'!N50/'Assumptions'!$J$72,0)-IF(AND(11&gt;=(13-'Assumptions'!$J$72),11&lt;=12),SUM('Revenue and costs'!O50:U50)/'Assumptions'!$J$72,0)-IF(11=(13-'Assumptions'!$J$72)-1,'Revenue and costs'!V50+'Revenue and costs'!Y50+'Revenue and costs'!AE50,0)+IF(AND(11&gt;=(13-'Assumptions'!$J$73)+'Assumptions'!$AF$73,11&lt;=12),'Revenue and costs'!N51/'Assumptions'!$J$73,0)-IF(AND(11&gt;=(13-'Assumptions'!$J$73),11&lt;=12),SUM('Revenue and costs'!O51:U51)/'Assumptions'!$J$73,0)-IF(11=(13-'Assumptions'!$J$73)-1,'Revenue and costs'!V51+'Revenue and costs'!Y51+'Revenue and costs'!AE51,0)+IF(AND(11&gt;=(13-'Assumptions'!$J$74)+'Assumptions'!$AF$74,11&lt;=12),'Revenue and costs'!N52/'Assumptions'!$J$74,0)-IF(AND(11&gt;=(13-'Assumptions'!$J$74),11&lt;=12),SUM('Revenue and costs'!O52:U52)/'Assumptions'!$J$74,0)-IF(11=(13-'Assumptions'!$J$74)-1,'Revenue and costs'!V52+'Revenue and costs'!Y52+'Revenue and costs'!AE52,0)-'Segment tax'!G15/12</x:f>
        <x:v>4700.136542254297</x:v>
      </x:c>
      <x:c r="P34" s="24" t="n">
        <x:f>O34+IF(AND(12&gt;=(13-'Assumptions'!$J$71)+'Assumptions'!$AF$71,12&lt;=12),'Revenue and costs'!N49/'Assumptions'!$J$71,0)-IF(AND(12&gt;=(13-'Assumptions'!$J$71),12&lt;=12),SUM('Revenue and costs'!O49:U49)/'Assumptions'!$J$71,0)-IF(12=(13-'Assumptions'!$J$71)-1,'Revenue and costs'!V49+'Revenue and costs'!Y49+'Revenue and costs'!AE49,0)+IF(AND(12&gt;=(13-'Assumptions'!$J$72)+'Assumptions'!$AF$72,12&lt;=12),'Revenue and costs'!N50/'Assumptions'!$J$72,0)-IF(AND(12&gt;=(13-'Assumptions'!$J$72),12&lt;=12),SUM('Revenue and costs'!O50:U50)/'Assumptions'!$J$72,0)-IF(12=(13-'Assumptions'!$J$72)-1,'Revenue and costs'!V50+'Revenue and costs'!Y50+'Revenue and costs'!AE50,0)+IF(AND(12&gt;=(13-'Assumptions'!$J$73)+'Assumptions'!$AF$73,12&lt;=12),'Revenue and costs'!N51/'Assumptions'!$J$73,0)-IF(AND(12&gt;=(13-'Assumptions'!$J$73),12&lt;=12),SUM('Revenue and costs'!O51:U51)/'Assumptions'!$J$73,0)-IF(12=(13-'Assumptions'!$J$73)-1,'Revenue and costs'!V51+'Revenue and costs'!Y51+'Revenue and costs'!AE51,0)+IF(AND(12&gt;=(13-'Assumptions'!$J$74)+'Assumptions'!$AF$74,12&lt;=12),'Revenue and costs'!N52/'Assumptions'!$J$74,0)-IF(AND(12&gt;=(13-'Assumptions'!$J$74),12&lt;=12),SUM('Revenue and costs'!O52:U52)/'Assumptions'!$J$74,0)-IF(12=(13-'Assumptions'!$J$74)-1,'Revenue and costs'!V52+'Revenue and costs'!Y52+'Revenue and costs'!AE52,0)-'Segment tax'!G15/12-'Segment tax'!L15</x:f>
        <x:v>3957.6419746343313</x:v>
      </x:c>
      <x:c r="Q34" s="24" t="n">
        <x:f>MAX(0,-MIN(D34:P34))</x:f>
        <x:v>268.2429464750987</x:v>
      </x:c>
    </x:row>
    <x:row r="35" ht="30" customHeight="1">
      <x:c r="A35" s="1"/>
      <x:c r="B35" s="1"/>
      <x:c r="C35" s="23" t="str">
        <x:v>Turbo Tax - Made Easy!</x:v>
      </x:c>
      <x:c r="D35" s="24" t="n">
        <x:f>IF(AND(0&gt;=(13-'Assumptions'!$J$75)+'Assumptions'!$AF$75,0&lt;=12),'Revenue and costs'!N53/'Assumptions'!$J$75,0)-IF(AND(0&gt;=(13-'Assumptions'!$J$75),0&lt;=12),SUM('Revenue and costs'!O53:U53)/'Assumptions'!$J$75,0)-IF(0=(13-'Assumptions'!$J$75)-1,'Revenue and costs'!V53+'Revenue and costs'!Y53+'Revenue and costs'!AE53,0)+IF(AND(0&gt;=(13-'Assumptions'!$J$77)+'Assumptions'!$AF$77,0&lt;=12),'Revenue and costs'!N55/'Assumptions'!$J$77,0)-IF(AND(0&gt;=(13-'Assumptions'!$J$77),0&lt;=12),SUM('Revenue and costs'!O55:U55)/'Assumptions'!$J$77,0)-IF(0=(13-'Assumptions'!$J$77)-1,'Revenue and costs'!V55+'Revenue and costs'!Y55+'Revenue and costs'!AE55,0)+IF(AND(0&gt;=(13-'Assumptions'!$J$78)+'Assumptions'!$AF$78,0&lt;=12),'Revenue and costs'!N56/'Assumptions'!$J$78,0)-IF(AND(0&gt;=(13-'Assumptions'!$J$78),0&lt;=12),SUM('Revenue and costs'!O56:U56)/'Assumptions'!$J$78,0)-IF(0=(13-'Assumptions'!$J$78)-1,'Revenue and costs'!V56+'Revenue and costs'!Y56+'Revenue and costs'!AE56,0)-IF('Income statement'!D50=0,1/39,'Segment tax'!E16/'Income statement'!D50)*'Cash and capital'!D13</x:f>
        <x:v>-69.53736378763517</x:v>
      </x:c>
      <x:c r="E35" s="24" t="n">
        <x:f>D35+IF(AND(1&gt;=(13-'Assumptions'!$J$75)+'Assumptions'!$AF$75,1&lt;=12),'Revenue and costs'!N53/'Assumptions'!$J$75,0)-IF(AND(1&gt;=(13-'Assumptions'!$J$75),1&lt;=12),SUM('Revenue and costs'!O53:U53)/'Assumptions'!$J$75,0)-IF(1=(13-'Assumptions'!$J$75)-1,'Revenue and costs'!V53+'Revenue and costs'!Y53+'Revenue and costs'!AE53,0)+IF(AND(1&gt;=(13-'Assumptions'!$J$77)+'Assumptions'!$AF$77,1&lt;=12),'Revenue and costs'!N55/'Assumptions'!$J$77,0)-IF(AND(1&gt;=(13-'Assumptions'!$J$77),1&lt;=12),SUM('Revenue and costs'!O55:U55)/'Assumptions'!$J$77,0)-IF(1=(13-'Assumptions'!$J$77)-1,'Revenue and costs'!V55+'Revenue and costs'!Y55+'Revenue and costs'!AE55,0)+IF(AND(1&gt;=(13-'Assumptions'!$J$78)+'Assumptions'!$AF$78,1&lt;=12),'Revenue and costs'!N56/'Assumptions'!$J$78,0)-IF(AND(1&gt;=(13-'Assumptions'!$J$78),1&lt;=12),SUM('Revenue and costs'!O56:U56)/'Assumptions'!$J$78,0)-IF(1=(13-'Assumptions'!$J$78)-1,'Revenue and costs'!V56+'Revenue and costs'!Y56+'Revenue and costs'!AE56,0)-'Segment tax'!G16/12</x:f>
        <x:v>-339.11054407103416</x:v>
      </x:c>
      <x:c r="F35" s="24" t="n">
        <x:f>E35+IF(AND(2&gt;=(13-'Assumptions'!$J$75)+'Assumptions'!$AF$75,2&lt;=12),'Revenue and costs'!N53/'Assumptions'!$J$75,0)-IF(AND(2&gt;=(13-'Assumptions'!$J$75),2&lt;=12),SUM('Revenue and costs'!O53:U53)/'Assumptions'!$J$75,0)-IF(2=(13-'Assumptions'!$J$75)-1,'Revenue and costs'!V53+'Revenue and costs'!Y53+'Revenue and costs'!AE53,0)+IF(AND(2&gt;=(13-'Assumptions'!$J$77)+'Assumptions'!$AF$77,2&lt;=12),'Revenue and costs'!N55/'Assumptions'!$J$77,0)-IF(AND(2&gt;=(13-'Assumptions'!$J$77),2&lt;=12),SUM('Revenue and costs'!O55:U55)/'Assumptions'!$J$77,0)-IF(2=(13-'Assumptions'!$J$77)-1,'Revenue and costs'!V55+'Revenue and costs'!Y55+'Revenue and costs'!AE55,0)+IF(AND(2&gt;=(13-'Assumptions'!$J$78)+'Assumptions'!$AF$78,2&lt;=12),'Revenue and costs'!N56/'Assumptions'!$J$78,0)-IF(AND(2&gt;=(13-'Assumptions'!$J$78),2&lt;=12),SUM('Revenue and costs'!O56:U56)/'Assumptions'!$J$78,0)-IF(2=(13-'Assumptions'!$J$78)-1,'Revenue and costs'!V56+'Revenue and costs'!Y56+'Revenue and costs'!AE56,0)-'Segment tax'!G16/12</x:f>
        <x:v>-608.6837243544331</x:v>
      </x:c>
      <x:c r="G35" s="24" t="n">
        <x:f>F35+IF(AND(3&gt;=(13-'Assumptions'!$J$75)+'Assumptions'!$AF$75,3&lt;=12),'Revenue and costs'!N53/'Assumptions'!$J$75,0)-IF(AND(3&gt;=(13-'Assumptions'!$J$75),3&lt;=12),SUM('Revenue and costs'!O53:U53)/'Assumptions'!$J$75,0)-IF(3=(13-'Assumptions'!$J$75)-1,'Revenue and costs'!V53+'Revenue and costs'!Y53+'Revenue and costs'!AE53,0)+IF(AND(3&gt;=(13-'Assumptions'!$J$77)+'Assumptions'!$AF$77,3&lt;=12),'Revenue and costs'!N55/'Assumptions'!$J$77,0)-IF(AND(3&gt;=(13-'Assumptions'!$J$77),3&lt;=12),SUM('Revenue and costs'!O55:U55)/'Assumptions'!$J$77,0)-IF(3=(13-'Assumptions'!$J$77)-1,'Revenue and costs'!V55+'Revenue and costs'!Y55+'Revenue and costs'!AE55,0)+IF(AND(3&gt;=(13-'Assumptions'!$J$78)+'Assumptions'!$AF$78,3&lt;=12),'Revenue and costs'!N56/'Assumptions'!$J$78,0)-IF(AND(3&gt;=(13-'Assumptions'!$J$78),3&lt;=12),SUM('Revenue and costs'!O56:U56)/'Assumptions'!$J$78,0)-IF(3=(13-'Assumptions'!$J$78)-1,'Revenue and costs'!V56+'Revenue and costs'!Y56+'Revenue and costs'!AE56,0)-'Segment tax'!G16/12</x:f>
        <x:v>2652.930595362168</x:v>
      </x:c>
      <x:c r="H35" s="24" t="n">
        <x:f>G35+IF(AND(4&gt;=(13-'Assumptions'!$J$75)+'Assumptions'!$AF$75,4&lt;=12),'Revenue and costs'!N53/'Assumptions'!$J$75,0)-IF(AND(4&gt;=(13-'Assumptions'!$J$75),4&lt;=12),SUM('Revenue and costs'!O53:U53)/'Assumptions'!$J$75,0)-IF(4=(13-'Assumptions'!$J$75)-1,'Revenue and costs'!V53+'Revenue and costs'!Y53+'Revenue and costs'!AE53,0)+IF(AND(4&gt;=(13-'Assumptions'!$J$77)+'Assumptions'!$AF$77,4&lt;=12),'Revenue and costs'!N55/'Assumptions'!$J$77,0)-IF(AND(4&gt;=(13-'Assumptions'!$J$77),4&lt;=12),SUM('Revenue and costs'!O55:U55)/'Assumptions'!$J$77,0)-IF(4=(13-'Assumptions'!$J$77)-1,'Revenue and costs'!V55+'Revenue and costs'!Y55+'Revenue and costs'!AE55,0)+IF(AND(4&gt;=(13-'Assumptions'!$J$78)+'Assumptions'!$AF$78,4&lt;=12),'Revenue and costs'!N56/'Assumptions'!$J$78,0)-IF(AND(4&gt;=(13-'Assumptions'!$J$78),4&lt;=12),SUM('Revenue and costs'!O56:U56)/'Assumptions'!$J$78,0)-IF(4=(13-'Assumptions'!$J$78)-1,'Revenue and costs'!V56+'Revenue and costs'!Y56+'Revenue and costs'!AE56,0)-'Segment tax'!G16/12</x:f>
        <x:v>5914.544915078769</x:v>
      </x:c>
      <x:c r="I35" s="24" t="n">
        <x:f>H35+IF(AND(5&gt;=(13-'Assumptions'!$J$75)+'Assumptions'!$AF$75,5&lt;=12),'Revenue and costs'!N53/'Assumptions'!$J$75,0)-IF(AND(5&gt;=(13-'Assumptions'!$J$75),5&lt;=12),SUM('Revenue and costs'!O53:U53)/'Assumptions'!$J$75,0)-IF(5=(13-'Assumptions'!$J$75)-1,'Revenue and costs'!V53+'Revenue and costs'!Y53+'Revenue and costs'!AE53,0)+IF(AND(5&gt;=(13-'Assumptions'!$J$77)+'Assumptions'!$AF$77,5&lt;=12),'Revenue and costs'!N55/'Assumptions'!$J$77,0)-IF(AND(5&gt;=(13-'Assumptions'!$J$77),5&lt;=12),SUM('Revenue and costs'!O55:U55)/'Assumptions'!$J$77,0)-IF(5=(13-'Assumptions'!$J$77)-1,'Revenue and costs'!V55+'Revenue and costs'!Y55+'Revenue and costs'!AE55,0)+IF(AND(5&gt;=(13-'Assumptions'!$J$78)+'Assumptions'!$AF$78,5&lt;=12),'Revenue and costs'!N56/'Assumptions'!$J$78,0)-IF(AND(5&gt;=(13-'Assumptions'!$J$78),5&lt;=12),SUM('Revenue and costs'!O56:U56)/'Assumptions'!$J$78,0)-IF(5=(13-'Assumptions'!$J$78)-1,'Revenue and costs'!V56+'Revenue and costs'!Y56+'Revenue and costs'!AE56,0)-'Segment tax'!G16/12</x:f>
        <x:v>9176.159234795368</x:v>
      </x:c>
      <x:c r="J35" s="24" t="n">
        <x:f>I35+IF(AND(6&gt;=(13-'Assumptions'!$J$75)+'Assumptions'!$AF$75,6&lt;=12),'Revenue and costs'!N53/'Assumptions'!$J$75,0)-IF(AND(6&gt;=(13-'Assumptions'!$J$75),6&lt;=12),SUM('Revenue and costs'!O53:U53)/'Assumptions'!$J$75,0)-IF(6=(13-'Assumptions'!$J$75)-1,'Revenue and costs'!V53+'Revenue and costs'!Y53+'Revenue and costs'!AE53,0)+IF(AND(6&gt;=(13-'Assumptions'!$J$77)+'Assumptions'!$AF$77,6&lt;=12),'Revenue and costs'!N55/'Assumptions'!$J$77,0)-IF(AND(6&gt;=(13-'Assumptions'!$J$77),6&lt;=12),SUM('Revenue and costs'!O55:U55)/'Assumptions'!$J$77,0)-IF(6=(13-'Assumptions'!$J$77)-1,'Revenue and costs'!V55+'Revenue and costs'!Y55+'Revenue and costs'!AE55,0)+IF(AND(6&gt;=(13-'Assumptions'!$J$78)+'Assumptions'!$AF$78,6&lt;=12),'Revenue and costs'!N56/'Assumptions'!$J$78,0)-IF(AND(6&gt;=(13-'Assumptions'!$J$78),6&lt;=12),SUM('Revenue and costs'!O56:U56)/'Assumptions'!$J$78,0)-IF(6=(13-'Assumptions'!$J$78)-1,'Revenue and costs'!V56+'Revenue and costs'!Y56+'Revenue and costs'!AE56,0)-'Segment tax'!G16/12</x:f>
        <x:v>12437.773554511969</x:v>
      </x:c>
      <x:c r="K35" s="24" t="n">
        <x:f>J35+IF(AND(7&gt;=(13-'Assumptions'!$J$75)+'Assumptions'!$AF$75,7&lt;=12),'Revenue and costs'!N53/'Assumptions'!$J$75,0)-IF(AND(7&gt;=(13-'Assumptions'!$J$75),7&lt;=12),SUM('Revenue and costs'!O53:U53)/'Assumptions'!$J$75,0)-IF(7=(13-'Assumptions'!$J$75)-1,'Revenue and costs'!V53+'Revenue and costs'!Y53+'Revenue and costs'!AE53,0)+IF(AND(7&gt;=(13-'Assumptions'!$J$77)+'Assumptions'!$AF$77,7&lt;=12),'Revenue and costs'!N55/'Assumptions'!$J$77,0)-IF(AND(7&gt;=(13-'Assumptions'!$J$77),7&lt;=12),SUM('Revenue and costs'!O55:U55)/'Assumptions'!$J$77,0)-IF(7=(13-'Assumptions'!$J$77)-1,'Revenue and costs'!V55+'Revenue and costs'!Y55+'Revenue and costs'!AE55,0)+IF(AND(7&gt;=(13-'Assumptions'!$J$78)+'Assumptions'!$AF$78,7&lt;=12),'Revenue and costs'!N56/'Assumptions'!$J$78,0)-IF(AND(7&gt;=(13-'Assumptions'!$J$78),7&lt;=12),SUM('Revenue and costs'!O56:U56)/'Assumptions'!$J$78,0)-IF(7=(13-'Assumptions'!$J$78)-1,'Revenue and costs'!V56+'Revenue and costs'!Y56+'Revenue and costs'!AE56,0)-'Segment tax'!G16/12</x:f>
        <x:v>15839.512874228569</x:v>
      </x:c>
      <x:c r="L35" s="24" t="n">
        <x:f>K35+IF(AND(8&gt;=(13-'Assumptions'!$J$75)+'Assumptions'!$AF$75,8&lt;=12),'Revenue and costs'!N53/'Assumptions'!$J$75,0)-IF(AND(8&gt;=(13-'Assumptions'!$J$75),8&lt;=12),SUM('Revenue and costs'!O53:U53)/'Assumptions'!$J$75,0)-IF(8=(13-'Assumptions'!$J$75)-1,'Revenue and costs'!V53+'Revenue and costs'!Y53+'Revenue and costs'!AE53,0)+IF(AND(8&gt;=(13-'Assumptions'!$J$77)+'Assumptions'!$AF$77,8&lt;=12),'Revenue and costs'!N55/'Assumptions'!$J$77,0)-IF(AND(8&gt;=(13-'Assumptions'!$J$77),8&lt;=12),SUM('Revenue and costs'!O55:U55)/'Assumptions'!$J$77,0)-IF(8=(13-'Assumptions'!$J$77)-1,'Revenue and costs'!V55+'Revenue and costs'!Y55+'Revenue and costs'!AE55,0)+IF(AND(8&gt;=(13-'Assumptions'!$J$78)+'Assumptions'!$AF$78,8&lt;=12),'Revenue and costs'!N56/'Assumptions'!$J$78,0)-IF(AND(8&gt;=(13-'Assumptions'!$J$78),8&lt;=12),SUM('Revenue and costs'!O56:U56)/'Assumptions'!$J$78,0)-IF(8=(13-'Assumptions'!$J$78)-1,'Revenue and costs'!V56+'Revenue and costs'!Y56+'Revenue and costs'!AE56,0)-'Segment tax'!G16/12</x:f>
        <x:v>19241.25219394517</x:v>
      </x:c>
      <x:c r="M35" s="24" t="n">
        <x:f>L35+IF(AND(9&gt;=(13-'Assumptions'!$J$75)+'Assumptions'!$AF$75,9&lt;=12),'Revenue and costs'!N53/'Assumptions'!$J$75,0)-IF(AND(9&gt;=(13-'Assumptions'!$J$75),9&lt;=12),SUM('Revenue and costs'!O53:U53)/'Assumptions'!$J$75,0)-IF(9=(13-'Assumptions'!$J$75)-1,'Revenue and costs'!V53+'Revenue and costs'!Y53+'Revenue and costs'!AE53,0)+IF(AND(9&gt;=(13-'Assumptions'!$J$77)+'Assumptions'!$AF$77,9&lt;=12),'Revenue and costs'!N55/'Assumptions'!$J$77,0)-IF(AND(9&gt;=(13-'Assumptions'!$J$77),9&lt;=12),SUM('Revenue and costs'!O55:U55)/'Assumptions'!$J$77,0)-IF(9=(13-'Assumptions'!$J$77)-1,'Revenue and costs'!V55+'Revenue and costs'!Y55+'Revenue and costs'!AE55,0)+IF(AND(9&gt;=(13-'Assumptions'!$J$78)+'Assumptions'!$AF$78,9&lt;=12),'Revenue and costs'!N56/'Assumptions'!$J$78,0)-IF(AND(9&gt;=(13-'Assumptions'!$J$78),9&lt;=12),SUM('Revenue and costs'!O56:U56)/'Assumptions'!$J$78,0)-IF(9=(13-'Assumptions'!$J$78)-1,'Revenue and costs'!V56+'Revenue and costs'!Y56+'Revenue and costs'!AE56,0)-'Segment tax'!G16/12</x:f>
        <x:v>22642.99151366177</x:v>
      </x:c>
      <x:c r="N35" s="24" t="n">
        <x:f>M35+IF(AND(10&gt;=(13-'Assumptions'!$J$75)+'Assumptions'!$AF$75,10&lt;=12),'Revenue and costs'!N53/'Assumptions'!$J$75,0)-IF(AND(10&gt;=(13-'Assumptions'!$J$75),10&lt;=12),SUM('Revenue and costs'!O53:U53)/'Assumptions'!$J$75,0)-IF(10=(13-'Assumptions'!$J$75)-1,'Revenue and costs'!V53+'Revenue and costs'!Y53+'Revenue and costs'!AE53,0)+IF(AND(10&gt;=(13-'Assumptions'!$J$77)+'Assumptions'!$AF$77,10&lt;=12),'Revenue and costs'!N55/'Assumptions'!$J$77,0)-IF(AND(10&gt;=(13-'Assumptions'!$J$77),10&lt;=12),SUM('Revenue and costs'!O55:U55)/'Assumptions'!$J$77,0)-IF(10=(13-'Assumptions'!$J$77)-1,'Revenue and costs'!V55+'Revenue and costs'!Y55+'Revenue and costs'!AE55,0)+IF(AND(10&gt;=(13-'Assumptions'!$J$78)+'Assumptions'!$AF$78,10&lt;=12),'Revenue and costs'!N56/'Assumptions'!$J$78,0)-IF(AND(10&gt;=(13-'Assumptions'!$J$78),10&lt;=12),SUM('Revenue and costs'!O56:U56)/'Assumptions'!$J$78,0)-IF(10=(13-'Assumptions'!$J$78)-1,'Revenue and costs'!V56+'Revenue and costs'!Y56+'Revenue and costs'!AE56,0)-'Segment tax'!G16/12</x:f>
        <x:v>26044.730833378373</x:v>
      </x:c>
      <x:c r="O35" s="24" t="n">
        <x:f>N35+IF(AND(11&gt;=(13-'Assumptions'!$J$75)+'Assumptions'!$AF$75,11&lt;=12),'Revenue and costs'!N53/'Assumptions'!$J$75,0)-IF(AND(11&gt;=(13-'Assumptions'!$J$75),11&lt;=12),SUM('Revenue and costs'!O53:U53)/'Assumptions'!$J$75,0)-IF(11=(13-'Assumptions'!$J$75)-1,'Revenue and costs'!V53+'Revenue and costs'!Y53+'Revenue and costs'!AE53,0)+IF(AND(11&gt;=(13-'Assumptions'!$J$77)+'Assumptions'!$AF$77,11&lt;=12),'Revenue and costs'!N55/'Assumptions'!$J$77,0)-IF(AND(11&gt;=(13-'Assumptions'!$J$77),11&lt;=12),SUM('Revenue and costs'!O55:U55)/'Assumptions'!$J$77,0)-IF(11=(13-'Assumptions'!$J$77)-1,'Revenue and costs'!V55+'Revenue and costs'!Y55+'Revenue and costs'!AE55,0)+IF(AND(11&gt;=(13-'Assumptions'!$J$78)+'Assumptions'!$AF$78,11&lt;=12),'Revenue and costs'!N56/'Assumptions'!$J$78,0)-IF(AND(11&gt;=(13-'Assumptions'!$J$78),11&lt;=12),SUM('Revenue and costs'!O56:U56)/'Assumptions'!$J$78,0)-IF(11=(13-'Assumptions'!$J$78)-1,'Revenue and costs'!V56+'Revenue and costs'!Y56+'Revenue and costs'!AE56,0)-'Segment tax'!G16/12</x:f>
        <x:v>29446.470153094975</x:v>
      </x:c>
      <x:c r="P35" s="24" t="n">
        <x:f>O35+IF(AND(12&gt;=(13-'Assumptions'!$J$75)+'Assumptions'!$AF$75,12&lt;=12),'Revenue and costs'!N53/'Assumptions'!$J$75,0)-IF(AND(12&gt;=(13-'Assumptions'!$J$75),12&lt;=12),SUM('Revenue and costs'!O53:U53)/'Assumptions'!$J$75,0)-IF(12=(13-'Assumptions'!$J$75)-1,'Revenue and costs'!V53+'Revenue and costs'!Y53+'Revenue and costs'!AE53,0)+IF(AND(12&gt;=(13-'Assumptions'!$J$77)+'Assumptions'!$AF$77,12&lt;=12),'Revenue and costs'!N55/'Assumptions'!$J$77,0)-IF(AND(12&gt;=(13-'Assumptions'!$J$77),12&lt;=12),SUM('Revenue and costs'!O55:U55)/'Assumptions'!$J$77,0)-IF(12=(13-'Assumptions'!$J$77)-1,'Revenue and costs'!V55+'Revenue and costs'!Y55+'Revenue and costs'!AE55,0)+IF(AND(12&gt;=(13-'Assumptions'!$J$78)+'Assumptions'!$AF$78,12&lt;=12),'Revenue and costs'!N56/'Assumptions'!$J$78,0)-IF(AND(12&gt;=(13-'Assumptions'!$J$78),12&lt;=12),SUM('Revenue and costs'!O56:U56)/'Assumptions'!$J$78,0)-IF(12=(13-'Assumptions'!$J$78)-1,'Revenue and costs'!V56+'Revenue and costs'!Y56+'Revenue and costs'!AE56,0)-'Segment tax'!G16/12-'Segment tax'!L16</x:f>
        <x:v>24624.567543977413</x:v>
      </x:c>
      <x:c r="Q35" s="24" t="n">
        <x:f>MAX(0,-MIN(D35:P35))</x:f>
        <x:v>608.6837243544331</x:v>
      </x:c>
    </x:row>
    <x:row r="36" ht="30" customHeight="1">
      <x:c r="A36" s="1"/>
      <x:c r="B36" s="1"/>
      <x:c r="C36" s="23" t="str">
        <x:v>LavaLearning adult</x:v>
      </x:c>
      <x:c r="D36" s="24" t="n">
        <x:f>IF(AND(0&gt;=(13-'Assumptions'!$J$76)+'Assumptions'!$AF$76,0&lt;=12),'Revenue and costs'!N54/'Assumptions'!$J$76,0)-IF(AND(0&gt;=(13-'Assumptions'!$J$76),0&lt;=12),SUM('Revenue and costs'!O54:U54)/'Assumptions'!$J$76,0)-IF(0=(13-'Assumptions'!$J$76)-1,'Revenue and costs'!V54+'Revenue and costs'!Y54+'Revenue and costs'!AE54,0)+IF(AND(0&gt;=(13-'Assumptions'!$J$79)+'Assumptions'!$AF$79,0&lt;=12),'Revenue and costs'!N57/'Assumptions'!$J$79,0)-IF(AND(0&gt;=(13-'Assumptions'!$J$79),0&lt;=12),SUM('Revenue and costs'!O57:U57)/'Assumptions'!$J$79,0)-IF(0=(13-'Assumptions'!$J$79)-1,'Revenue and costs'!V57+'Revenue and costs'!Y57+'Revenue and costs'!AE57,0)+IF(AND(0&gt;=(13-'Assumptions'!$J$80)+'Assumptions'!$AF$80,0&lt;=12),'Revenue and costs'!N58/'Assumptions'!$J$80,0)-IF(AND(0&gt;=(13-'Assumptions'!$J$80),0&lt;=12),SUM('Revenue and costs'!O58:U58)/'Assumptions'!$J$80,0)-IF(0=(13-'Assumptions'!$J$80)-1,'Revenue and costs'!V58+'Revenue and costs'!Y58+'Revenue and costs'!AE58,0)-IF('Income statement'!D50=0,1/39,'Segment tax'!E17/'Income statement'!D50)*'Cash and capital'!D13</x:f>
        <x:v>-31.645575215996764</x:v>
      </x:c>
      <x:c r="E36" s="24" t="n">
        <x:f>D36+IF(AND(1&gt;=(13-'Assumptions'!$J$76)+'Assumptions'!$AF$76,1&lt;=12),'Revenue and costs'!N54/'Assumptions'!$J$76,0)-IF(AND(1&gt;=(13-'Assumptions'!$J$76),1&lt;=12),SUM('Revenue and costs'!O54:U54)/'Assumptions'!$J$76,0)-IF(1=(13-'Assumptions'!$J$76)-1,'Revenue and costs'!V54+'Revenue and costs'!Y54+'Revenue and costs'!AE54,0)+IF(AND(1&gt;=(13-'Assumptions'!$J$79)+'Assumptions'!$AF$79,1&lt;=12),'Revenue and costs'!N57/'Assumptions'!$J$79,0)-IF(AND(1&gt;=(13-'Assumptions'!$J$79),1&lt;=12),SUM('Revenue and costs'!O57:U57)/'Assumptions'!$J$79,0)-IF(1=(13-'Assumptions'!$J$79)-1,'Revenue and costs'!V57+'Revenue and costs'!Y57+'Revenue and costs'!AE57,0)+IF(AND(1&gt;=(13-'Assumptions'!$J$80)+'Assumptions'!$AF$80,1&lt;=12),'Revenue and costs'!N58/'Assumptions'!$J$80,0)-IF(AND(1&gt;=(13-'Assumptions'!$J$80),1&lt;=12),SUM('Revenue and costs'!O58:U58)/'Assumptions'!$J$80,0)-IF(1=(13-'Assumptions'!$J$80)-1,'Revenue and costs'!V58+'Revenue and costs'!Y58+'Revenue and costs'!AE58,0)-'Segment tax'!G17/12</x:f>
        <x:v>-154.32492180334424</x:v>
      </x:c>
      <x:c r="F36" s="24" t="n">
        <x:f>E36+IF(AND(2&gt;=(13-'Assumptions'!$J$76)+'Assumptions'!$AF$76,2&lt;=12),'Revenue and costs'!N54/'Assumptions'!$J$76,0)-IF(AND(2&gt;=(13-'Assumptions'!$J$76),2&lt;=12),SUM('Revenue and costs'!O54:U54)/'Assumptions'!$J$76,0)-IF(2=(13-'Assumptions'!$J$76)-1,'Revenue and costs'!V54+'Revenue and costs'!Y54+'Revenue and costs'!AE54,0)+IF(AND(2&gt;=(13-'Assumptions'!$J$79)+'Assumptions'!$AF$79,2&lt;=12),'Revenue and costs'!N57/'Assumptions'!$J$79,0)-IF(AND(2&gt;=(13-'Assumptions'!$J$79),2&lt;=12),SUM('Revenue and costs'!O57:U57)/'Assumptions'!$J$79,0)-IF(2=(13-'Assumptions'!$J$79)-1,'Revenue and costs'!V57+'Revenue and costs'!Y57+'Revenue and costs'!AE57,0)+IF(AND(2&gt;=(13-'Assumptions'!$J$80)+'Assumptions'!$AF$80,2&lt;=12),'Revenue and costs'!N58/'Assumptions'!$J$80,0)-IF(AND(2&gt;=(13-'Assumptions'!$J$80),2&lt;=12),SUM('Revenue and costs'!O58:U58)/'Assumptions'!$J$80,0)-IF(2=(13-'Assumptions'!$J$80)-1,'Revenue and costs'!V58+'Revenue and costs'!Y58+'Revenue and costs'!AE58,0)-'Segment tax'!G17/12</x:f>
        <x:v>-277.0042683906917</x:v>
      </x:c>
      <x:c r="G36" s="24" t="n">
        <x:f>F36+IF(AND(3&gt;=(13-'Assumptions'!$J$76)+'Assumptions'!$AF$76,3&lt;=12),'Revenue and costs'!N54/'Assumptions'!$J$76,0)-IF(AND(3&gt;=(13-'Assumptions'!$J$76),3&lt;=12),SUM('Revenue and costs'!O54:U54)/'Assumptions'!$J$76,0)-IF(3=(13-'Assumptions'!$J$76)-1,'Revenue and costs'!V54+'Revenue and costs'!Y54+'Revenue and costs'!AE54,0)+IF(AND(3&gt;=(13-'Assumptions'!$J$79)+'Assumptions'!$AF$79,3&lt;=12),'Revenue and costs'!N57/'Assumptions'!$J$79,0)-IF(AND(3&gt;=(13-'Assumptions'!$J$79),3&lt;=12),SUM('Revenue and costs'!O57:U57)/'Assumptions'!$J$79,0)-IF(3=(13-'Assumptions'!$J$79)-1,'Revenue and costs'!V57+'Revenue and costs'!Y57+'Revenue and costs'!AE57,0)+IF(AND(3&gt;=(13-'Assumptions'!$J$80)+'Assumptions'!$AF$80,3&lt;=12),'Revenue and costs'!N58/'Assumptions'!$J$80,0)-IF(AND(3&gt;=(13-'Assumptions'!$J$80),3&lt;=12),SUM('Revenue and costs'!O58:U58)/'Assumptions'!$J$80,0)-IF(3=(13-'Assumptions'!$J$80)-1,'Revenue and costs'!V58+'Revenue and costs'!Y58+'Revenue and costs'!AE58,0)-'Segment tax'!G17/12</x:f>
        <x:v>-399.6836149780392</x:v>
      </x:c>
      <x:c r="H36" s="24" t="n">
        <x:f>G36+IF(AND(4&gt;=(13-'Assumptions'!$J$76)+'Assumptions'!$AF$76,4&lt;=12),'Revenue and costs'!N54/'Assumptions'!$J$76,0)-IF(AND(4&gt;=(13-'Assumptions'!$J$76),4&lt;=12),SUM('Revenue and costs'!O54:U54)/'Assumptions'!$J$76,0)-IF(4=(13-'Assumptions'!$J$76)-1,'Revenue and costs'!V54+'Revenue and costs'!Y54+'Revenue and costs'!AE54,0)+IF(AND(4&gt;=(13-'Assumptions'!$J$79)+'Assumptions'!$AF$79,4&lt;=12),'Revenue and costs'!N57/'Assumptions'!$J$79,0)-IF(AND(4&gt;=(13-'Assumptions'!$J$79),4&lt;=12),SUM('Revenue and costs'!O57:U57)/'Assumptions'!$J$79,0)-IF(4=(13-'Assumptions'!$J$79)-1,'Revenue and costs'!V57+'Revenue and costs'!Y57+'Revenue and costs'!AE57,0)+IF(AND(4&gt;=(13-'Assumptions'!$J$80)+'Assumptions'!$AF$80,4&lt;=12),'Revenue and costs'!N58/'Assumptions'!$J$80,0)-IF(AND(4&gt;=(13-'Assumptions'!$J$80),4&lt;=12),SUM('Revenue and costs'!O58:U58)/'Assumptions'!$J$80,0)-IF(4=(13-'Assumptions'!$J$80)-1,'Revenue and costs'!V58+'Revenue and costs'!Y58+'Revenue and costs'!AE58,0)-'Segment tax'!G17/12</x:f>
        <x:v>930.6370384346133</x:v>
      </x:c>
      <x:c r="I36" s="24" t="n">
        <x:f>H36+IF(AND(5&gt;=(13-'Assumptions'!$J$76)+'Assumptions'!$AF$76,5&lt;=12),'Revenue and costs'!N54/'Assumptions'!$J$76,0)-IF(AND(5&gt;=(13-'Assumptions'!$J$76),5&lt;=12),SUM('Revenue and costs'!O54:U54)/'Assumptions'!$J$76,0)-IF(5=(13-'Assumptions'!$J$76)-1,'Revenue and costs'!V54+'Revenue and costs'!Y54+'Revenue and costs'!AE54,0)+IF(AND(5&gt;=(13-'Assumptions'!$J$79)+'Assumptions'!$AF$79,5&lt;=12),'Revenue and costs'!N57/'Assumptions'!$J$79,0)-IF(AND(5&gt;=(13-'Assumptions'!$J$79),5&lt;=12),SUM('Revenue and costs'!O57:U57)/'Assumptions'!$J$79,0)-IF(5=(13-'Assumptions'!$J$79)-1,'Revenue and costs'!V57+'Revenue and costs'!Y57+'Revenue and costs'!AE57,0)+IF(AND(5&gt;=(13-'Assumptions'!$J$80)+'Assumptions'!$AF$80,5&lt;=12),'Revenue and costs'!N58/'Assumptions'!$J$80,0)-IF(AND(5&gt;=(13-'Assumptions'!$J$80),5&lt;=12),SUM('Revenue and costs'!O58:U58)/'Assumptions'!$J$80,0)-IF(5=(13-'Assumptions'!$J$80)-1,'Revenue and costs'!V58+'Revenue and costs'!Y58+'Revenue and costs'!AE58,0)-'Segment tax'!G17/12</x:f>
        <x:v>2260.9576918472653</x:v>
      </x:c>
      <x:c r="J36" s="24" t="n">
        <x:f>I36+IF(AND(6&gt;=(13-'Assumptions'!$J$76)+'Assumptions'!$AF$76,6&lt;=12),'Revenue and costs'!N54/'Assumptions'!$J$76,0)-IF(AND(6&gt;=(13-'Assumptions'!$J$76),6&lt;=12),SUM('Revenue and costs'!O54:U54)/'Assumptions'!$J$76,0)-IF(6=(13-'Assumptions'!$J$76)-1,'Revenue and costs'!V54+'Revenue and costs'!Y54+'Revenue and costs'!AE54,0)+IF(AND(6&gt;=(13-'Assumptions'!$J$79)+'Assumptions'!$AF$79,6&lt;=12),'Revenue and costs'!N57/'Assumptions'!$J$79,0)-IF(AND(6&gt;=(13-'Assumptions'!$J$79),6&lt;=12),SUM('Revenue and costs'!O57:U57)/'Assumptions'!$J$79,0)-IF(6=(13-'Assumptions'!$J$79)-1,'Revenue and costs'!V57+'Revenue and costs'!Y57+'Revenue and costs'!AE57,0)+IF(AND(6&gt;=(13-'Assumptions'!$J$80)+'Assumptions'!$AF$80,6&lt;=12),'Revenue and costs'!N58/'Assumptions'!$J$80,0)-IF(AND(6&gt;=(13-'Assumptions'!$J$80),6&lt;=12),SUM('Revenue and costs'!O58:U58)/'Assumptions'!$J$80,0)-IF(6=(13-'Assumptions'!$J$80)-1,'Revenue and costs'!V58+'Revenue and costs'!Y58+'Revenue and costs'!AE58,0)-'Segment tax'!G17/12</x:f>
        <x:v>3591.2783452599174</x:v>
      </x:c>
      <x:c r="K36" s="24" t="n">
        <x:f>J36+IF(AND(7&gt;=(13-'Assumptions'!$J$76)+'Assumptions'!$AF$76,7&lt;=12),'Revenue and costs'!N54/'Assumptions'!$J$76,0)-IF(AND(7&gt;=(13-'Assumptions'!$J$76),7&lt;=12),SUM('Revenue and costs'!O54:U54)/'Assumptions'!$J$76,0)-IF(7=(13-'Assumptions'!$J$76)-1,'Revenue and costs'!V54+'Revenue and costs'!Y54+'Revenue and costs'!AE54,0)+IF(AND(7&gt;=(13-'Assumptions'!$J$79)+'Assumptions'!$AF$79,7&lt;=12),'Revenue and costs'!N57/'Assumptions'!$J$79,0)-IF(AND(7&gt;=(13-'Assumptions'!$J$79),7&lt;=12),SUM('Revenue and costs'!O57:U57)/'Assumptions'!$J$79,0)-IF(7=(13-'Assumptions'!$J$79)-1,'Revenue and costs'!V57+'Revenue and costs'!Y57+'Revenue and costs'!AE57,0)+IF(AND(7&gt;=(13-'Assumptions'!$J$80)+'Assumptions'!$AF$80,7&lt;=12),'Revenue and costs'!N58/'Assumptions'!$J$80,0)-IF(AND(7&gt;=(13-'Assumptions'!$J$80),7&lt;=12),SUM('Revenue and costs'!O58:U58)/'Assumptions'!$J$80,0)-IF(7=(13-'Assumptions'!$J$80)-1,'Revenue and costs'!V58+'Revenue and costs'!Y58+'Revenue and costs'!AE58,0)-'Segment tax'!G17/12</x:f>
        <x:v>5094.92399867257</x:v>
      </x:c>
      <x:c r="L36" s="24" t="n">
        <x:f>K36+IF(AND(8&gt;=(13-'Assumptions'!$J$76)+'Assumptions'!$AF$76,8&lt;=12),'Revenue and costs'!N54/'Assumptions'!$J$76,0)-IF(AND(8&gt;=(13-'Assumptions'!$J$76),8&lt;=12),SUM('Revenue and costs'!O54:U54)/'Assumptions'!$J$76,0)-IF(8=(13-'Assumptions'!$J$76)-1,'Revenue and costs'!V54+'Revenue and costs'!Y54+'Revenue and costs'!AE54,0)+IF(AND(8&gt;=(13-'Assumptions'!$J$79)+'Assumptions'!$AF$79,8&lt;=12),'Revenue and costs'!N57/'Assumptions'!$J$79,0)-IF(AND(8&gt;=(13-'Assumptions'!$J$79),8&lt;=12),SUM('Revenue and costs'!O57:U57)/'Assumptions'!$J$79,0)-IF(8=(13-'Assumptions'!$J$79)-1,'Revenue and costs'!V57+'Revenue and costs'!Y57+'Revenue and costs'!AE57,0)+IF(AND(8&gt;=(13-'Assumptions'!$J$80)+'Assumptions'!$AF$80,8&lt;=12),'Revenue and costs'!N58/'Assumptions'!$J$80,0)-IF(AND(8&gt;=(13-'Assumptions'!$J$80),8&lt;=12),SUM('Revenue and costs'!O58:U58)/'Assumptions'!$J$80,0)-IF(8=(13-'Assumptions'!$J$80)-1,'Revenue and costs'!V58+'Revenue and costs'!Y58+'Revenue and costs'!AE58,0)-'Segment tax'!G17/12</x:f>
        <x:v>6598.5696520852225</x:v>
      </x:c>
      <x:c r="M36" s="24" t="n">
        <x:f>L36+IF(AND(9&gt;=(13-'Assumptions'!$J$76)+'Assumptions'!$AF$76,9&lt;=12),'Revenue and costs'!N54/'Assumptions'!$J$76,0)-IF(AND(9&gt;=(13-'Assumptions'!$J$76),9&lt;=12),SUM('Revenue and costs'!O54:U54)/'Assumptions'!$J$76,0)-IF(9=(13-'Assumptions'!$J$76)-1,'Revenue and costs'!V54+'Revenue and costs'!Y54+'Revenue and costs'!AE54,0)+IF(AND(9&gt;=(13-'Assumptions'!$J$79)+'Assumptions'!$AF$79,9&lt;=12),'Revenue and costs'!N57/'Assumptions'!$J$79,0)-IF(AND(9&gt;=(13-'Assumptions'!$J$79),9&lt;=12),SUM('Revenue and costs'!O57:U57)/'Assumptions'!$J$79,0)-IF(9=(13-'Assumptions'!$J$79)-1,'Revenue and costs'!V57+'Revenue and costs'!Y57+'Revenue and costs'!AE57,0)+IF(AND(9&gt;=(13-'Assumptions'!$J$80)+'Assumptions'!$AF$80,9&lt;=12),'Revenue and costs'!N58/'Assumptions'!$J$80,0)-IF(AND(9&gt;=(13-'Assumptions'!$J$80),9&lt;=12),SUM('Revenue and costs'!O58:U58)/'Assumptions'!$J$80,0)-IF(9=(13-'Assumptions'!$J$80)-1,'Revenue and costs'!V58+'Revenue and costs'!Y58+'Revenue and costs'!AE58,0)-'Segment tax'!G17/12</x:f>
        <x:v>8102.2153054978735</x:v>
      </x:c>
      <x:c r="N36" s="24" t="n">
        <x:f>M36+IF(AND(10&gt;=(13-'Assumptions'!$J$76)+'Assumptions'!$AF$76,10&lt;=12),'Revenue and costs'!N54/'Assumptions'!$J$76,0)-IF(AND(10&gt;=(13-'Assumptions'!$J$76),10&lt;=12),SUM('Revenue and costs'!O54:U54)/'Assumptions'!$J$76,0)-IF(10=(13-'Assumptions'!$J$76)-1,'Revenue and costs'!V54+'Revenue and costs'!Y54+'Revenue and costs'!AE54,0)+IF(AND(10&gt;=(13-'Assumptions'!$J$79)+'Assumptions'!$AF$79,10&lt;=12),'Revenue and costs'!N57/'Assumptions'!$J$79,0)-IF(AND(10&gt;=(13-'Assumptions'!$J$79),10&lt;=12),SUM('Revenue and costs'!O57:U57)/'Assumptions'!$J$79,0)-IF(10=(13-'Assumptions'!$J$79)-1,'Revenue and costs'!V57+'Revenue and costs'!Y57+'Revenue and costs'!AE57,0)+IF(AND(10&gt;=(13-'Assumptions'!$J$80)+'Assumptions'!$AF$80,10&lt;=12),'Revenue and costs'!N58/'Assumptions'!$J$80,0)-IF(AND(10&gt;=(13-'Assumptions'!$J$80),10&lt;=12),SUM('Revenue and costs'!O58:U58)/'Assumptions'!$J$80,0)-IF(10=(13-'Assumptions'!$J$80)-1,'Revenue and costs'!V58+'Revenue and costs'!Y58+'Revenue and costs'!AE58,0)-'Segment tax'!G17/12</x:f>
        <x:v>9605.860958910525</x:v>
      </x:c>
      <x:c r="O36" s="24" t="n">
        <x:f>N36+IF(AND(11&gt;=(13-'Assumptions'!$J$76)+'Assumptions'!$AF$76,11&lt;=12),'Revenue and costs'!N54/'Assumptions'!$J$76,0)-IF(AND(11&gt;=(13-'Assumptions'!$J$76),11&lt;=12),SUM('Revenue and costs'!O54:U54)/'Assumptions'!$J$76,0)-IF(11=(13-'Assumptions'!$J$76)-1,'Revenue and costs'!V54+'Revenue and costs'!Y54+'Revenue and costs'!AE54,0)+IF(AND(11&gt;=(13-'Assumptions'!$J$79)+'Assumptions'!$AF$79,11&lt;=12),'Revenue and costs'!N57/'Assumptions'!$J$79,0)-IF(AND(11&gt;=(13-'Assumptions'!$J$79),11&lt;=12),SUM('Revenue and costs'!O57:U57)/'Assumptions'!$J$79,0)-IF(11=(13-'Assumptions'!$J$79)-1,'Revenue and costs'!V57+'Revenue and costs'!Y57+'Revenue and costs'!AE57,0)+IF(AND(11&gt;=(13-'Assumptions'!$J$80)+'Assumptions'!$AF$80,11&lt;=12),'Revenue and costs'!N58/'Assumptions'!$J$80,0)-IF(AND(11&gt;=(13-'Assumptions'!$J$80),11&lt;=12),SUM('Revenue and costs'!O58:U58)/'Assumptions'!$J$80,0)-IF(11=(13-'Assumptions'!$J$80)-1,'Revenue and costs'!V58+'Revenue and costs'!Y58+'Revenue and costs'!AE58,0)-'Segment tax'!G17/12</x:f>
        <x:v>11109.506612323177</x:v>
      </x:c>
      <x:c r="P36" s="24" t="n">
        <x:f>O36+IF(AND(12&gt;=(13-'Assumptions'!$J$76)+'Assumptions'!$AF$76,12&lt;=12),'Revenue and costs'!N54/'Assumptions'!$J$76,0)-IF(AND(12&gt;=(13-'Assumptions'!$J$76),12&lt;=12),SUM('Revenue and costs'!O54:U54)/'Assumptions'!$J$76,0)-IF(12=(13-'Assumptions'!$J$76)-1,'Revenue and costs'!V54+'Revenue and costs'!Y54+'Revenue and costs'!AE54,0)+IF(AND(12&gt;=(13-'Assumptions'!$J$79)+'Assumptions'!$AF$79,12&lt;=12),'Revenue and costs'!N57/'Assumptions'!$J$79,0)-IF(AND(12&gt;=(13-'Assumptions'!$J$79),12&lt;=12),SUM('Revenue and costs'!O57:U57)/'Assumptions'!$J$79,0)-IF(12=(13-'Assumptions'!$J$79)-1,'Revenue and costs'!V57+'Revenue and costs'!Y57+'Revenue and costs'!AE57,0)+IF(AND(12&gt;=(13-'Assumptions'!$J$80)+'Assumptions'!$AF$80,12&lt;=12),'Revenue and costs'!N58/'Assumptions'!$J$80,0)-IF(AND(12&gt;=(13-'Assumptions'!$J$80),12&lt;=12),SUM('Revenue and costs'!O58:U58)/'Assumptions'!$J$80,0)-IF(12=(13-'Assumptions'!$J$80)-1,'Revenue and costs'!V58+'Revenue and costs'!Y58+'Revenue and costs'!AE58,0)-'Segment tax'!G17/12-'Segment tax'!L17</x:f>
        <x:v>9454.589936765871</x:v>
      </x:c>
      <x:c r="Q36" s="24" t="n">
        <x:f>MAX(0,-MIN(D36:P36))</x:f>
        <x:v>399.6836149780392</x:v>
      </x:c>
    </x:row>
    <x:row r="37" ht="30" customHeight="1">
      <x:c r="A37" s="1"/>
      <x:c r="B37" s="1"/>
      <x:c r="C37" s="23" t="str">
        <x:v>LavaLearning Model Life</x:v>
      </x:c>
      <x:c r="D37" s="24" t="n">
        <x:f>IF(AND(0&gt;=(13-'Assumptions'!$J$81)+'Assumptions'!$AF$81,0&lt;=12),'Revenue and costs'!N59/'Assumptions'!$J$81,0)-IF(AND(0&gt;=(13-'Assumptions'!$J$81),0&lt;=12),SUM('Revenue and costs'!O59:U59)/'Assumptions'!$J$81,0)-IF(0=(13-'Assumptions'!$J$81)-1,'Revenue and costs'!V59+'Revenue and costs'!Y59+'Revenue and costs'!AE59,0)-IF('Income statement'!D50=0,1/39,'Segment tax'!E18/'Income statement'!D50)*'Cash and capital'!D13</x:f>
        <x:v>0</x:v>
      </x:c>
      <x:c r="E37" s="24" t="n">
        <x:f>D37+IF(AND(1&gt;=(13-'Assumptions'!$J$81)+'Assumptions'!$AF$81,1&lt;=12),'Revenue and costs'!N59/'Assumptions'!$J$81,0)-IF(AND(1&gt;=(13-'Assumptions'!$J$81),1&lt;=12),SUM('Revenue and costs'!O59:U59)/'Assumptions'!$J$81,0)-IF(1=(13-'Assumptions'!$J$81)-1,'Revenue and costs'!V59+'Revenue and costs'!Y59+'Revenue and costs'!AE59,0)-'Segment tax'!G18/12</x:f>
        <x:v>0</x:v>
      </x:c>
      <x:c r="F37" s="24" t="n">
        <x:f>E37+IF(AND(2&gt;=(13-'Assumptions'!$J$81)+'Assumptions'!$AF$81,2&lt;=12),'Revenue and costs'!N59/'Assumptions'!$J$81,0)-IF(AND(2&gt;=(13-'Assumptions'!$J$81),2&lt;=12),SUM('Revenue and costs'!O59:U59)/'Assumptions'!$J$81,0)-IF(2=(13-'Assumptions'!$J$81)-1,'Revenue and costs'!V59+'Revenue and costs'!Y59+'Revenue and costs'!AE59,0)-'Segment tax'!G18/12</x:f>
        <x:v>0</x:v>
      </x:c>
      <x:c r="G37" s="24" t="n">
        <x:f>F37+IF(AND(3&gt;=(13-'Assumptions'!$J$81)+'Assumptions'!$AF$81,3&lt;=12),'Revenue and costs'!N59/'Assumptions'!$J$81,0)-IF(AND(3&gt;=(13-'Assumptions'!$J$81),3&lt;=12),SUM('Revenue and costs'!O59:U59)/'Assumptions'!$J$81,0)-IF(3=(13-'Assumptions'!$J$81)-1,'Revenue and costs'!V59+'Revenue and costs'!Y59+'Revenue and costs'!AE59,0)-'Segment tax'!G18/12</x:f>
        <x:v>0</x:v>
      </x:c>
      <x:c r="H37" s="24" t="n">
        <x:f>G37+IF(AND(4&gt;=(13-'Assumptions'!$J$81)+'Assumptions'!$AF$81,4&lt;=12),'Revenue and costs'!N59/'Assumptions'!$J$81,0)-IF(AND(4&gt;=(13-'Assumptions'!$J$81),4&lt;=12),SUM('Revenue and costs'!O59:U59)/'Assumptions'!$J$81,0)-IF(4=(13-'Assumptions'!$J$81)-1,'Revenue and costs'!V59+'Revenue and costs'!Y59+'Revenue and costs'!AE59,0)-'Segment tax'!G18/12</x:f>
        <x:v>0</x:v>
      </x:c>
      <x:c r="I37" s="24" t="n">
        <x:f>H37+IF(AND(5&gt;=(13-'Assumptions'!$J$81)+'Assumptions'!$AF$81,5&lt;=12),'Revenue and costs'!N59/'Assumptions'!$J$81,0)-IF(AND(5&gt;=(13-'Assumptions'!$J$81),5&lt;=12),SUM('Revenue and costs'!O59:U59)/'Assumptions'!$J$81,0)-IF(5=(13-'Assumptions'!$J$81)-1,'Revenue and costs'!V59+'Revenue and costs'!Y59+'Revenue and costs'!AE59,0)-'Segment tax'!G18/12</x:f>
        <x:v>0</x:v>
      </x:c>
      <x:c r="J37" s="24" t="n">
        <x:f>I37+IF(AND(6&gt;=(13-'Assumptions'!$J$81)+'Assumptions'!$AF$81,6&lt;=12),'Revenue and costs'!N59/'Assumptions'!$J$81,0)-IF(AND(6&gt;=(13-'Assumptions'!$J$81),6&lt;=12),SUM('Revenue and costs'!O59:U59)/'Assumptions'!$J$81,0)-IF(6=(13-'Assumptions'!$J$81)-1,'Revenue and costs'!V59+'Revenue and costs'!Y59+'Revenue and costs'!AE59,0)-'Segment tax'!G18/12</x:f>
        <x:v>0</x:v>
      </x:c>
      <x:c r="K37" s="24" t="n">
        <x:f>J37+IF(AND(7&gt;=(13-'Assumptions'!$J$81)+'Assumptions'!$AF$81,7&lt;=12),'Revenue and costs'!N59/'Assumptions'!$J$81,0)-IF(AND(7&gt;=(13-'Assumptions'!$J$81),7&lt;=12),SUM('Revenue and costs'!O59:U59)/'Assumptions'!$J$81,0)-IF(7=(13-'Assumptions'!$J$81)-1,'Revenue and costs'!V59+'Revenue and costs'!Y59+'Revenue and costs'!AE59,0)-'Segment tax'!G18/12</x:f>
        <x:v>0</x:v>
      </x:c>
      <x:c r="L37" s="24" t="n">
        <x:f>K37+IF(AND(8&gt;=(13-'Assumptions'!$J$81)+'Assumptions'!$AF$81,8&lt;=12),'Revenue and costs'!N59/'Assumptions'!$J$81,0)-IF(AND(8&gt;=(13-'Assumptions'!$J$81),8&lt;=12),SUM('Revenue and costs'!O59:U59)/'Assumptions'!$J$81,0)-IF(8=(13-'Assumptions'!$J$81)-1,'Revenue and costs'!V59+'Revenue and costs'!Y59+'Revenue and costs'!AE59,0)-'Segment tax'!G18/12</x:f>
        <x:v>0</x:v>
      </x:c>
      <x:c r="M37" s="24" t="n">
        <x:f>L37+IF(AND(9&gt;=(13-'Assumptions'!$J$81)+'Assumptions'!$AF$81,9&lt;=12),'Revenue and costs'!N59/'Assumptions'!$J$81,0)-IF(AND(9&gt;=(13-'Assumptions'!$J$81),9&lt;=12),SUM('Revenue and costs'!O59:U59)/'Assumptions'!$J$81,0)-IF(9=(13-'Assumptions'!$J$81)-1,'Revenue and costs'!V59+'Revenue and costs'!Y59+'Revenue and costs'!AE59,0)-'Segment tax'!G18/12</x:f>
        <x:v>0</x:v>
      </x:c>
      <x:c r="N37" s="24" t="n">
        <x:f>M37+IF(AND(10&gt;=(13-'Assumptions'!$J$81)+'Assumptions'!$AF$81,10&lt;=12),'Revenue and costs'!N59/'Assumptions'!$J$81,0)-IF(AND(10&gt;=(13-'Assumptions'!$J$81),10&lt;=12),SUM('Revenue and costs'!O59:U59)/'Assumptions'!$J$81,0)-IF(10=(13-'Assumptions'!$J$81)-1,'Revenue and costs'!V59+'Revenue and costs'!Y59+'Revenue and costs'!AE59,0)-'Segment tax'!G18/12</x:f>
        <x:v>0</x:v>
      </x:c>
      <x:c r="O37" s="24" t="n">
        <x:f>N37+IF(AND(11&gt;=(13-'Assumptions'!$J$81)+'Assumptions'!$AF$81,11&lt;=12),'Revenue and costs'!N59/'Assumptions'!$J$81,0)-IF(AND(11&gt;=(13-'Assumptions'!$J$81),11&lt;=12),SUM('Revenue and costs'!O59:U59)/'Assumptions'!$J$81,0)-IF(11=(13-'Assumptions'!$J$81)-1,'Revenue and costs'!V59+'Revenue and costs'!Y59+'Revenue and costs'!AE59,0)-'Segment tax'!G18/12</x:f>
        <x:v>0</x:v>
      </x:c>
      <x:c r="P37" s="24" t="n">
        <x:f>O37+IF(AND(12&gt;=(13-'Assumptions'!$J$81)+'Assumptions'!$AF$81,12&lt;=12),'Revenue and costs'!N59/'Assumptions'!$J$81,0)-IF(AND(12&gt;=(13-'Assumptions'!$J$81),12&lt;=12),SUM('Revenue and costs'!O59:U59)/'Assumptions'!$J$81,0)-IF(12=(13-'Assumptions'!$J$81)-1,'Revenue and costs'!V59+'Revenue and costs'!Y59+'Revenue and costs'!AE59,0)-'Segment tax'!G18/12-'Segment tax'!L18</x:f>
        <x:v>0</x:v>
      </x:c>
      <x:c r="Q37" s="24" t="n">
        <x:f>MAX(0,-MIN(D37:P37))</x:f>
        <x:v>0</x:v>
      </x:c>
    </x:row>
    <x:row r="38" ht="30" customHeight="1">
      <x:c r="A38" s="1"/>
      <x:c r="B38" s="1"/>
      <x:c r="C38" s="23" t="str">
        <x:v>LavaLearning Kids</x:v>
      </x:c>
      <x:c r="D38" s="24" t="n">
        <x:f>IF(AND(0&gt;=(13-'Assumptions'!$J$82)+'Assumptions'!$AF$82,0&lt;=12),'Revenue and costs'!N60/'Assumptions'!$J$82,0)-IF(AND(0&gt;=(13-'Assumptions'!$J$82),0&lt;=12),SUM('Revenue and costs'!O60:U60)/'Assumptions'!$J$82,0)-IF(0=(13-'Assumptions'!$J$82)-1,'Revenue and costs'!V60+'Revenue and costs'!Y60+'Revenue and costs'!AE60,0)-IF('Income statement'!D50=0,1/39,'Segment tax'!E19/'Income statement'!D50)*'Cash and capital'!D13</x:f>
        <x:v>-8.147234811706484</x:v>
      </x:c>
      <x:c r="E38" s="24" t="n">
        <x:f>D38+IF(AND(1&gt;=(13-'Assumptions'!$J$82)+'Assumptions'!$AF$82,1&lt;=12),'Revenue and costs'!N60/'Assumptions'!$J$82,0)-IF(AND(1&gt;=(13-'Assumptions'!$J$82),1&lt;=12),SUM('Revenue and costs'!O60:U60)/'Assumptions'!$J$82,0)-IF(1=(13-'Assumptions'!$J$82)-1,'Revenue and costs'!V60+'Revenue and costs'!Y60+'Revenue and costs'!AE60,0)-'Segment tax'!G19/12</x:f>
        <x:v>-39.73134843175529</x:v>
      </x:c>
      <x:c r="F38" s="24" t="n">
        <x:f>E38+IF(AND(2&gt;=(13-'Assumptions'!$J$82)+'Assumptions'!$AF$82,2&lt;=12),'Revenue and costs'!N60/'Assumptions'!$J$82,0)-IF(AND(2&gt;=(13-'Assumptions'!$J$82),2&lt;=12),SUM('Revenue and costs'!O60:U60)/'Assumptions'!$J$82,0)-IF(2=(13-'Assumptions'!$J$82)-1,'Revenue and costs'!V60+'Revenue and costs'!Y60+'Revenue and costs'!AE60,0)-'Segment tax'!G19/12</x:f>
        <x:v>-71.3154620518041</x:v>
      </x:c>
      <x:c r="G38" s="24" t="n">
        <x:f>F38+IF(AND(3&gt;=(13-'Assumptions'!$J$82)+'Assumptions'!$AF$82,3&lt;=12),'Revenue and costs'!N60/'Assumptions'!$J$82,0)-IF(AND(3&gt;=(13-'Assumptions'!$J$82),3&lt;=12),SUM('Revenue and costs'!O60:U60)/'Assumptions'!$J$82,0)-IF(3=(13-'Assumptions'!$J$82)-1,'Revenue and costs'!V60+'Revenue and costs'!Y60+'Revenue and costs'!AE60,0)-'Segment tax'!G19/12</x:f>
        <x:v>-102.89957567185292</x:v>
      </x:c>
      <x:c r="H38" s="24" t="n">
        <x:f>G38+IF(AND(4&gt;=(13-'Assumptions'!$J$82)+'Assumptions'!$AF$82,4&lt;=12),'Revenue and costs'!N60/'Assumptions'!$J$82,0)-IF(AND(4&gt;=(13-'Assumptions'!$J$82),4&lt;=12),SUM('Revenue and costs'!O60:U60)/'Assumptions'!$J$82,0)-IF(4=(13-'Assumptions'!$J$82)-1,'Revenue and costs'!V60+'Revenue and costs'!Y60+'Revenue and costs'!AE60,0)-'Segment tax'!G19/12</x:f>
        <x:v>-134.48368929190173</x:v>
      </x:c>
      <x:c r="I38" s="24" t="n">
        <x:f>H38+IF(AND(5&gt;=(13-'Assumptions'!$J$82)+'Assumptions'!$AF$82,5&lt;=12),'Revenue and costs'!N60/'Assumptions'!$J$82,0)-IF(AND(5&gt;=(13-'Assumptions'!$J$82),5&lt;=12),SUM('Revenue and costs'!O60:U60)/'Assumptions'!$J$82,0)-IF(5=(13-'Assumptions'!$J$82)-1,'Revenue and costs'!V60+'Revenue and costs'!Y60+'Revenue and costs'!AE60,0)-'Segment tax'!G19/12</x:f>
        <x:v>-166.06780291195054</x:v>
      </x:c>
      <x:c r="J38" s="24" t="n">
        <x:f>I38+IF(AND(6&gt;=(13-'Assumptions'!$J$82)+'Assumptions'!$AF$82,6&lt;=12),'Revenue and costs'!N60/'Assumptions'!$J$82,0)-IF(AND(6&gt;=(13-'Assumptions'!$J$82),6&lt;=12),SUM('Revenue and costs'!O60:U60)/'Assumptions'!$J$82,0)-IF(6=(13-'Assumptions'!$J$82)-1,'Revenue and costs'!V60+'Revenue and costs'!Y60+'Revenue and costs'!AE60,0)-'Segment tax'!G19/12</x:f>
        <x:v>-197.65191653199935</x:v>
      </x:c>
      <x:c r="K38" s="24" t="n">
        <x:f>J38+IF(AND(7&gt;=(13-'Assumptions'!$J$82)+'Assumptions'!$AF$82,7&lt;=12),'Revenue and costs'!N60/'Assumptions'!$J$82,0)-IF(AND(7&gt;=(13-'Assumptions'!$J$82),7&lt;=12),SUM('Revenue and costs'!O60:U60)/'Assumptions'!$J$82,0)-IF(7=(13-'Assumptions'!$J$82)-1,'Revenue and costs'!V60+'Revenue and costs'!Y60+'Revenue and costs'!AE60,0)-'Segment tax'!G19/12</x:f>
        <x:v>151.13896984795178</x:v>
      </x:c>
      <x:c r="L38" s="24" t="n">
        <x:f>K38+IF(AND(8&gt;=(13-'Assumptions'!$J$82)+'Assumptions'!$AF$82,8&lt;=12),'Revenue and costs'!N60/'Assumptions'!$J$82,0)-IF(AND(8&gt;=(13-'Assumptions'!$J$82),8&lt;=12),SUM('Revenue and costs'!O60:U60)/'Assumptions'!$J$82,0)-IF(8=(13-'Assumptions'!$J$82)-1,'Revenue and costs'!V60+'Revenue and costs'!Y60+'Revenue and costs'!AE60,0)-'Segment tax'!G19/12</x:f>
        <x:v>499.929856227903</x:v>
      </x:c>
      <x:c r="M38" s="24" t="n">
        <x:f>L38+IF(AND(9&gt;=(13-'Assumptions'!$J$82)+'Assumptions'!$AF$82,9&lt;=12),'Revenue and costs'!N60/'Assumptions'!$J$82,0)-IF(AND(9&gt;=(13-'Assumptions'!$J$82),9&lt;=12),SUM('Revenue and costs'!O60:U60)/'Assumptions'!$J$82,0)-IF(9=(13-'Assumptions'!$J$82)-1,'Revenue and costs'!V60+'Revenue and costs'!Y60+'Revenue and costs'!AE60,0)-'Segment tax'!G19/12</x:f>
        <x:v>848.7207426078542</x:v>
      </x:c>
      <x:c r="N38" s="24" t="n">
        <x:f>M38+IF(AND(10&gt;=(13-'Assumptions'!$J$82)+'Assumptions'!$AF$82,10&lt;=12),'Revenue and costs'!N60/'Assumptions'!$J$82,0)-IF(AND(10&gt;=(13-'Assumptions'!$J$82),10&lt;=12),SUM('Revenue and costs'!O60:U60)/'Assumptions'!$J$82,0)-IF(10=(13-'Assumptions'!$J$82)-1,'Revenue and costs'!V60+'Revenue and costs'!Y60+'Revenue and costs'!AE60,0)-'Segment tax'!G19/12</x:f>
        <x:v>1197.5116289878054</x:v>
      </x:c>
      <x:c r="O38" s="24" t="n">
        <x:f>N38+IF(AND(11&gt;=(13-'Assumptions'!$J$82)+'Assumptions'!$AF$82,11&lt;=12),'Revenue and costs'!N60/'Assumptions'!$J$82,0)-IF(AND(11&gt;=(13-'Assumptions'!$J$82),11&lt;=12),SUM('Revenue and costs'!O60:U60)/'Assumptions'!$J$82,0)-IF(11=(13-'Assumptions'!$J$82)-1,'Revenue and costs'!V60+'Revenue and costs'!Y60+'Revenue and costs'!AE60,0)-'Segment tax'!G19/12</x:f>
        <x:v>1546.3025153677563</x:v>
      </x:c>
      <x:c r="P38" s="24" t="n">
        <x:f>O38+IF(AND(12&gt;=(13-'Assumptions'!$J$82)+'Assumptions'!$AF$82,12&lt;=12),'Revenue and costs'!N60/'Assumptions'!$J$82,0)-IF(AND(12&gt;=(13-'Assumptions'!$J$82),12&lt;=12),SUM('Revenue and costs'!O60:U60)/'Assumptions'!$J$82,0)-IF(12=(13-'Assumptions'!$J$82)-1,'Revenue and costs'!V60+'Revenue and costs'!Y60+'Revenue and costs'!AE60,0)-'Segment tax'!G19/12-'Segment tax'!L19</x:f>
        <x:v>1419.9621788421628</x:v>
      </x:c>
      <x:c r="Q38" s="24" t="n">
        <x:f>MAX(0,-MIN(D38:P38))</x:f>
        <x:v>197.65191653199935</x:v>
      </x:c>
    </x:row>
    <x:row r="39" ht="30" customHeight="1">
      <x:c r="A39" s="1"/>
      <x:c r="B39" s="1"/>
      <x:c r="C39" s="23" t="str">
        <x:v>VraiSkill adult</x:v>
      </x:c>
      <x:c r="D39" s="24" t="n">
        <x:f>IF(AND(0&gt;=(13-'Assumptions'!$J$83)+'Assumptions'!$AF$83,0&lt;=12),'Revenue and costs'!N61/'Assumptions'!$J$83,0)-IF(AND(0&gt;=(13-'Assumptions'!$J$83),0&lt;=12),SUM('Revenue and costs'!O61:U61)/'Assumptions'!$J$83,0)-IF(0=(13-'Assumptions'!$J$83)-1,'Revenue and costs'!V61+'Revenue and costs'!Y61+'Revenue and costs'!AE61,0)+IF(AND(0&gt;=(13-'Assumptions'!$J$84)+'Assumptions'!$AF$84,0&lt;=12),'Revenue and costs'!N62/'Assumptions'!$J$84,0)-IF(AND(0&gt;=(13-'Assumptions'!$J$84),0&lt;=12),SUM('Revenue and costs'!O62:U62)/'Assumptions'!$J$84,0)-IF(0=(13-'Assumptions'!$J$84)-1,'Revenue and costs'!V62+'Revenue and costs'!Y62+'Revenue and costs'!AE62,0)-IF('Income statement'!D50=0,1/39,'Segment tax'!E20/'Income statement'!D50)*'Cash and capital'!D13</x:f>
        <x:v>-23.14243488356837</x:v>
      </x:c>
      <x:c r="E39" s="24" t="n">
        <x:f>D39+IF(AND(1&gt;=(13-'Assumptions'!$J$83)+'Assumptions'!$AF$83,1&lt;=12),'Revenue and costs'!N61/'Assumptions'!$J$83,0)-IF(AND(1&gt;=(13-'Assumptions'!$J$83),1&lt;=12),SUM('Revenue and costs'!O61:U61)/'Assumptions'!$J$83,0)-IF(1=(13-'Assumptions'!$J$83)-1,'Revenue and costs'!V61+'Revenue and costs'!Y61+'Revenue and costs'!AE61,0)+IF(AND(1&gt;=(13-'Assumptions'!$J$84)+'Assumptions'!$AF$84,1&lt;=12),'Revenue and costs'!N62/'Assumptions'!$J$84,0)-IF(AND(1&gt;=(13-'Assumptions'!$J$84),1&lt;=12),SUM('Revenue and costs'!O62:U62)/'Assumptions'!$J$84,0)-IF(1=(13-'Assumptions'!$J$84)-1,'Revenue and costs'!V62+'Revenue and costs'!Y62+'Revenue and costs'!AE62,0)-'Segment tax'!G20/12</x:f>
        <x:v>-112.85794078220174</x:v>
      </x:c>
      <x:c r="F39" s="24" t="n">
        <x:f>E39+IF(AND(2&gt;=(13-'Assumptions'!$J$83)+'Assumptions'!$AF$83,2&lt;=12),'Revenue and costs'!N61/'Assumptions'!$J$83,0)-IF(AND(2&gt;=(13-'Assumptions'!$J$83),2&lt;=12),SUM('Revenue and costs'!O61:U61)/'Assumptions'!$J$83,0)-IF(2=(13-'Assumptions'!$J$83)-1,'Revenue and costs'!V61+'Revenue and costs'!Y61+'Revenue and costs'!AE61,0)+IF(AND(2&gt;=(13-'Assumptions'!$J$84)+'Assumptions'!$AF$84,2&lt;=12),'Revenue and costs'!N62/'Assumptions'!$J$84,0)-IF(AND(2&gt;=(13-'Assumptions'!$J$84),2&lt;=12),SUM('Revenue and costs'!O62:U62)/'Assumptions'!$J$84,0)-IF(2=(13-'Assumptions'!$J$84)-1,'Revenue and costs'!V62+'Revenue and costs'!Y62+'Revenue and costs'!AE62,0)-'Segment tax'!G20/12</x:f>
        <x:v>-202.5734466808351</x:v>
      </x:c>
      <x:c r="G39" s="24" t="n">
        <x:f>F39+IF(AND(3&gt;=(13-'Assumptions'!$J$83)+'Assumptions'!$AF$83,3&lt;=12),'Revenue and costs'!N61/'Assumptions'!$J$83,0)-IF(AND(3&gt;=(13-'Assumptions'!$J$83),3&lt;=12),SUM('Revenue and costs'!O61:U61)/'Assumptions'!$J$83,0)-IF(3=(13-'Assumptions'!$J$83)-1,'Revenue and costs'!V61+'Revenue and costs'!Y61+'Revenue and costs'!AE61,0)+IF(AND(3&gt;=(13-'Assumptions'!$J$84)+'Assumptions'!$AF$84,3&lt;=12),'Revenue and costs'!N62/'Assumptions'!$J$84,0)-IF(AND(3&gt;=(13-'Assumptions'!$J$84),3&lt;=12),SUM('Revenue and costs'!O62:U62)/'Assumptions'!$J$84,0)-IF(3=(13-'Assumptions'!$J$84)-1,'Revenue and costs'!V62+'Revenue and costs'!Y62+'Revenue and costs'!AE62,0)-'Segment tax'!G20/12</x:f>
        <x:v>-292.28895257946846</x:v>
      </x:c>
      <x:c r="H39" s="24" t="n">
        <x:f>G39+IF(AND(4&gt;=(13-'Assumptions'!$J$83)+'Assumptions'!$AF$83,4&lt;=12),'Revenue and costs'!N61/'Assumptions'!$J$83,0)-IF(AND(4&gt;=(13-'Assumptions'!$J$83),4&lt;=12),SUM('Revenue and costs'!O61:U61)/'Assumptions'!$J$83,0)-IF(4=(13-'Assumptions'!$J$83)-1,'Revenue and costs'!V61+'Revenue and costs'!Y61+'Revenue and costs'!AE61,0)+IF(AND(4&gt;=(13-'Assumptions'!$J$84)+'Assumptions'!$AF$84,4&lt;=12),'Revenue and costs'!N62/'Assumptions'!$J$84,0)-IF(AND(4&gt;=(13-'Assumptions'!$J$84),4&lt;=12),SUM('Revenue and costs'!O62:U62)/'Assumptions'!$J$84,0)-IF(4=(13-'Assumptions'!$J$84)-1,'Revenue and costs'!V62+'Revenue and costs'!Y62+'Revenue and costs'!AE62,0)-'Segment tax'!G20/12</x:f>
        <x:v>56.936374855231676</x:v>
      </x:c>
      <x:c r="I39" s="24" t="n">
        <x:f>H39+IF(AND(5&gt;=(13-'Assumptions'!$J$83)+'Assumptions'!$AF$83,5&lt;=12),'Revenue and costs'!N61/'Assumptions'!$J$83,0)-IF(AND(5&gt;=(13-'Assumptions'!$J$83),5&lt;=12),SUM('Revenue and costs'!O61:U61)/'Assumptions'!$J$83,0)-IF(5=(13-'Assumptions'!$J$83)-1,'Revenue and costs'!V61+'Revenue and costs'!Y61+'Revenue and costs'!AE61,0)+IF(AND(5&gt;=(13-'Assumptions'!$J$84)+'Assumptions'!$AF$84,5&lt;=12),'Revenue and costs'!N62/'Assumptions'!$J$84,0)-IF(AND(5&gt;=(13-'Assumptions'!$J$84),5&lt;=12),SUM('Revenue and costs'!O62:U62)/'Assumptions'!$J$84,0)-IF(5=(13-'Assumptions'!$J$84)-1,'Revenue and costs'!V62+'Revenue and costs'!Y62+'Revenue and costs'!AE62,0)-'Segment tax'!G20/12</x:f>
        <x:v>406.16170228993184</x:v>
      </x:c>
      <x:c r="J39" s="24" t="n">
        <x:f>I39+IF(AND(6&gt;=(13-'Assumptions'!$J$83)+'Assumptions'!$AF$83,6&lt;=12),'Revenue and costs'!N61/'Assumptions'!$J$83,0)-IF(AND(6&gt;=(13-'Assumptions'!$J$83),6&lt;=12),SUM('Revenue and costs'!O61:U61)/'Assumptions'!$J$83,0)-IF(6=(13-'Assumptions'!$J$83)-1,'Revenue and costs'!V61+'Revenue and costs'!Y61+'Revenue and costs'!AE61,0)+IF(AND(6&gt;=(13-'Assumptions'!$J$84)+'Assumptions'!$AF$84,6&lt;=12),'Revenue and costs'!N62/'Assumptions'!$J$84,0)-IF(AND(6&gt;=(13-'Assumptions'!$J$84),6&lt;=12),SUM('Revenue and costs'!O62:U62)/'Assumptions'!$J$84,0)-IF(6=(13-'Assumptions'!$J$84)-1,'Revenue and costs'!V62+'Revenue and costs'!Y62+'Revenue and costs'!AE62,0)-'Segment tax'!G20/12</x:f>
        <x:v>755.3870297246319</x:v>
      </x:c>
      <x:c r="K39" s="24" t="n">
        <x:f>J39+IF(AND(7&gt;=(13-'Assumptions'!$J$83)+'Assumptions'!$AF$83,7&lt;=12),'Revenue and costs'!N61/'Assumptions'!$J$83,0)-IF(AND(7&gt;=(13-'Assumptions'!$J$83),7&lt;=12),SUM('Revenue and costs'!O61:U61)/'Assumptions'!$J$83,0)-IF(7=(13-'Assumptions'!$J$83)-1,'Revenue and costs'!V61+'Revenue and costs'!Y61+'Revenue and costs'!AE61,0)+IF(AND(7&gt;=(13-'Assumptions'!$J$84)+'Assumptions'!$AF$84,7&lt;=12),'Revenue and costs'!N62/'Assumptions'!$J$84,0)-IF(AND(7&gt;=(13-'Assumptions'!$J$84),7&lt;=12),SUM('Revenue and costs'!O62:U62)/'Assumptions'!$J$84,0)-IF(7=(13-'Assumptions'!$J$84)-1,'Revenue and costs'!V62+'Revenue and costs'!Y62+'Revenue and costs'!AE62,0)-'Segment tax'!G20/12</x:f>
        <x:v>1104.6123571593319</x:v>
      </x:c>
      <x:c r="L39" s="24" t="n">
        <x:f>K39+IF(AND(8&gt;=(13-'Assumptions'!$J$83)+'Assumptions'!$AF$83,8&lt;=12),'Revenue and costs'!N61/'Assumptions'!$J$83,0)-IF(AND(8&gt;=(13-'Assumptions'!$J$83),8&lt;=12),SUM('Revenue and costs'!O61:U61)/'Assumptions'!$J$83,0)-IF(8=(13-'Assumptions'!$J$83)-1,'Revenue and costs'!V61+'Revenue and costs'!Y61+'Revenue and costs'!AE61,0)+IF(AND(8&gt;=(13-'Assumptions'!$J$84)+'Assumptions'!$AF$84,8&lt;=12),'Revenue and costs'!N62/'Assumptions'!$J$84,0)-IF(AND(8&gt;=(13-'Assumptions'!$J$84),8&lt;=12),SUM('Revenue and costs'!O62:U62)/'Assumptions'!$J$84,0)-IF(8=(13-'Assumptions'!$J$84)-1,'Revenue and costs'!V62+'Revenue and costs'!Y62+'Revenue and costs'!AE62,0)-'Segment tax'!G20/12</x:f>
        <x:v>1453.8376845940318</x:v>
      </x:c>
      <x:c r="M39" s="24" t="n">
        <x:f>L39+IF(AND(9&gt;=(13-'Assumptions'!$J$83)+'Assumptions'!$AF$83,9&lt;=12),'Revenue and costs'!N61/'Assumptions'!$J$83,0)-IF(AND(9&gt;=(13-'Assumptions'!$J$83),9&lt;=12),SUM('Revenue and costs'!O61:U61)/'Assumptions'!$J$83,0)-IF(9=(13-'Assumptions'!$J$83)-1,'Revenue and costs'!V61+'Revenue and costs'!Y61+'Revenue and costs'!AE61,0)+IF(AND(9&gt;=(13-'Assumptions'!$J$84)+'Assumptions'!$AF$84,9&lt;=12),'Revenue and costs'!N62/'Assumptions'!$J$84,0)-IF(AND(9&gt;=(13-'Assumptions'!$J$84),9&lt;=12),SUM('Revenue and costs'!O62:U62)/'Assumptions'!$J$84,0)-IF(9=(13-'Assumptions'!$J$84)-1,'Revenue and costs'!V62+'Revenue and costs'!Y62+'Revenue and costs'!AE62,0)-'Segment tax'!G20/12</x:f>
        <x:v>1803.0630120287317</x:v>
      </x:c>
      <x:c r="N39" s="24" t="n">
        <x:f>M39+IF(AND(10&gt;=(13-'Assumptions'!$J$83)+'Assumptions'!$AF$83,10&lt;=12),'Revenue and costs'!N61/'Assumptions'!$J$83,0)-IF(AND(10&gt;=(13-'Assumptions'!$J$83),10&lt;=12),SUM('Revenue and costs'!O61:U61)/'Assumptions'!$J$83,0)-IF(10=(13-'Assumptions'!$J$83)-1,'Revenue and costs'!V61+'Revenue and costs'!Y61+'Revenue and costs'!AE61,0)+IF(AND(10&gt;=(13-'Assumptions'!$J$84)+'Assumptions'!$AF$84,10&lt;=12),'Revenue and costs'!N62/'Assumptions'!$J$84,0)-IF(AND(10&gt;=(13-'Assumptions'!$J$84),10&lt;=12),SUM('Revenue and costs'!O62:U62)/'Assumptions'!$J$84,0)-IF(10=(13-'Assumptions'!$J$84)-1,'Revenue and costs'!V62+'Revenue and costs'!Y62+'Revenue and costs'!AE62,0)-'Segment tax'!G20/12</x:f>
        <x:v>2152.288339463432</x:v>
      </x:c>
      <x:c r="O39" s="24" t="n">
        <x:f>N39+IF(AND(11&gt;=(13-'Assumptions'!$J$83)+'Assumptions'!$AF$83,11&lt;=12),'Revenue and costs'!N61/'Assumptions'!$J$83,0)-IF(AND(11&gt;=(13-'Assumptions'!$J$83),11&lt;=12),SUM('Revenue and costs'!O61:U61)/'Assumptions'!$J$83,0)-IF(11=(13-'Assumptions'!$J$83)-1,'Revenue and costs'!V61+'Revenue and costs'!Y61+'Revenue and costs'!AE61,0)+IF(AND(11&gt;=(13-'Assumptions'!$J$84)+'Assumptions'!$AF$84,11&lt;=12),'Revenue and costs'!N62/'Assumptions'!$J$84,0)-IF(AND(11&gt;=(13-'Assumptions'!$J$84),11&lt;=12),SUM('Revenue and costs'!O62:U62)/'Assumptions'!$J$84,0)-IF(11=(13-'Assumptions'!$J$84)-1,'Revenue and costs'!V62+'Revenue and costs'!Y62+'Revenue and costs'!AE62,0)-'Segment tax'!G20/12</x:f>
        <x:v>2501.513666898132</x:v>
      </x:c>
      <x:c r="P39" s="24" t="n">
        <x:f>O39+IF(AND(12&gt;=(13-'Assumptions'!$J$83)+'Assumptions'!$AF$83,12&lt;=12),'Revenue and costs'!N61/'Assumptions'!$J$83,0)-IF(AND(12&gt;=(13-'Assumptions'!$J$83),12&lt;=12),SUM('Revenue and costs'!O61:U61)/'Assumptions'!$J$83,0)-IF(12=(13-'Assumptions'!$J$83)-1,'Revenue and costs'!V61+'Revenue and costs'!Y61+'Revenue and costs'!AE61,0)+IF(AND(12&gt;=(13-'Assumptions'!$J$84)+'Assumptions'!$AF$84,12&lt;=12),'Revenue and costs'!N62/'Assumptions'!$J$84,0)-IF(AND(12&gt;=(13-'Assumptions'!$J$84),12&lt;=12),SUM('Revenue and costs'!O62:U62)/'Assumptions'!$J$84,0)-IF(12=(13-'Assumptions'!$J$84)-1,'Revenue and costs'!V62+'Revenue and costs'!Y62+'Revenue and costs'!AE62,0)-'Segment tax'!G20/12-'Segment tax'!L20</x:f>
        <x:v>2134.1971732690304</x:v>
      </x:c>
      <x:c r="Q39" s="24" t="n">
        <x:f>MAX(0,-MIN(D39:P39))</x:f>
        <x:v>292.28895257946846</x:v>
      </x:c>
    </x:row>
    <x:row r="40" ht="30" customHeight="1">
      <x:c r="A40" s="1"/>
      <x:c r="B40" s="1"/>
      <x:c r="C40" s="23" t="str">
        <x:v>VraiSkill teen</x:v>
      </x:c>
      <x:c r="D40" s="24" t="n">
        <x:f>IF(AND(0&gt;=(13-'Assumptions'!$J$85)+'Assumptions'!$AF$85,0&lt;=12),'Revenue and costs'!N63/'Assumptions'!$J$85,0)-IF(AND(0&gt;=(13-'Assumptions'!$J$85),0&lt;=12),SUM('Revenue and costs'!O63:U63)/'Assumptions'!$J$85,0)-IF(0=(13-'Assumptions'!$J$85)-1,'Revenue and costs'!V63+'Revenue and costs'!Y63+'Revenue and costs'!AE63,0)-IF('Income statement'!D50=0,1/39,'Segment tax'!E21/'Income statement'!D50)*'Cash and capital'!D13</x:f>
        <x:v>-6.86082931512125</x:v>
      </x:c>
      <x:c r="E40" s="24" t="n">
        <x:f>D40+IF(AND(1&gt;=(13-'Assumptions'!$J$85)+'Assumptions'!$AF$85,1&lt;=12),'Revenue and costs'!N63/'Assumptions'!$J$85,0)-IF(AND(1&gt;=(13-'Assumptions'!$J$85),1&lt;=12),SUM('Revenue and costs'!O63:U63)/'Assumptions'!$J$85,0)-IF(1=(13-'Assumptions'!$J$85)-1,'Revenue and costs'!V63+'Revenue and costs'!Y63+'Revenue and costs'!AE63,0)-'Segment tax'!G21/12</x:f>
        <x:v>-33.4579776267413</x:v>
      </x:c>
      <x:c r="F40" s="24" t="n">
        <x:f>E40+IF(AND(2&gt;=(13-'Assumptions'!$J$85)+'Assumptions'!$AF$85,2&lt;=12),'Revenue and costs'!N63/'Assumptions'!$J$85,0)-IF(AND(2&gt;=(13-'Assumptions'!$J$85),2&lt;=12),SUM('Revenue and costs'!O63:U63)/'Assumptions'!$J$85,0)-IF(2=(13-'Assumptions'!$J$85)-1,'Revenue and costs'!V63+'Revenue and costs'!Y63+'Revenue and costs'!AE63,0)-'Segment tax'!G21/12</x:f>
        <x:v>-60.05512593836134</x:v>
      </x:c>
      <x:c r="G40" s="24" t="n">
        <x:f>F40+IF(AND(3&gt;=(13-'Assumptions'!$J$85)+'Assumptions'!$AF$85,3&lt;=12),'Revenue and costs'!N63/'Assumptions'!$J$85,0)-IF(AND(3&gt;=(13-'Assumptions'!$J$85),3&lt;=12),SUM('Revenue and costs'!O63:U63)/'Assumptions'!$J$85,0)-IF(3=(13-'Assumptions'!$J$85)-1,'Revenue and costs'!V63+'Revenue and costs'!Y63+'Revenue and costs'!AE63,0)-'Segment tax'!G21/12</x:f>
        <x:v>-86.65227424998139</x:v>
      </x:c>
      <x:c r="H40" s="24" t="n">
        <x:f>G40+IF(AND(4&gt;=(13-'Assumptions'!$J$85)+'Assumptions'!$AF$85,4&lt;=12),'Revenue and costs'!N63/'Assumptions'!$J$85,0)-IF(AND(4&gt;=(13-'Assumptions'!$J$85),4&lt;=12),SUM('Revenue and costs'!O63:U63)/'Assumptions'!$J$85,0)-IF(4=(13-'Assumptions'!$J$85)-1,'Revenue and costs'!V63+'Revenue and costs'!Y63+'Revenue and costs'!AE63,0)-'Segment tax'!G21/12</x:f>
        <x:v>-113.24942256160143</x:v>
      </x:c>
      <x:c r="I40" s="24" t="n">
        <x:f>H40+IF(AND(5&gt;=(13-'Assumptions'!$J$85)+'Assumptions'!$AF$85,5&lt;=12),'Revenue and costs'!N63/'Assumptions'!$J$85,0)-IF(AND(5&gt;=(13-'Assumptions'!$J$85),5&lt;=12),SUM('Revenue and costs'!O63:U63)/'Assumptions'!$J$85,0)-IF(5=(13-'Assumptions'!$J$85)-1,'Revenue and costs'!V63+'Revenue and costs'!Y63+'Revenue and costs'!AE63,0)-'Segment tax'!G21/12</x:f>
        <x:v>-139.84657087322148</x:v>
      </x:c>
      <x:c r="J40" s="24" t="n">
        <x:f>I40+IF(AND(6&gt;=(13-'Assumptions'!$J$85)+'Assumptions'!$AF$85,6&lt;=12),'Revenue and costs'!N63/'Assumptions'!$J$85,0)-IF(AND(6&gt;=(13-'Assumptions'!$J$85),6&lt;=12),SUM('Revenue and costs'!O63:U63)/'Assumptions'!$J$85,0)-IF(6=(13-'Assumptions'!$J$85)-1,'Revenue and costs'!V63+'Revenue and costs'!Y63+'Revenue and costs'!AE63,0)-'Segment tax'!G21/12</x:f>
        <x:v>-166.44371918484154</x:v>
      </x:c>
      <x:c r="K40" s="24" t="n">
        <x:f>J40+IF(AND(7&gt;=(13-'Assumptions'!$J$85)+'Assumptions'!$AF$85,7&lt;=12),'Revenue and costs'!N63/'Assumptions'!$J$85,0)-IF(AND(7&gt;=(13-'Assumptions'!$J$85),7&lt;=12),SUM('Revenue and costs'!O63:U63)/'Assumptions'!$J$85,0)-IF(7=(13-'Assumptions'!$J$85)-1,'Revenue and costs'!V63+'Revenue and costs'!Y63+'Revenue and costs'!AE63,0)-'Segment tax'!G21/12</x:f>
        <x:v>195.95913250353846</x:v>
      </x:c>
      <x:c r="L40" s="24" t="n">
        <x:f>K40+IF(AND(8&gt;=(13-'Assumptions'!$J$85)+'Assumptions'!$AF$85,8&lt;=12),'Revenue and costs'!N63/'Assumptions'!$J$85,0)-IF(AND(8&gt;=(13-'Assumptions'!$J$85),8&lt;=12),SUM('Revenue and costs'!O63:U63)/'Assumptions'!$J$85,0)-IF(8=(13-'Assumptions'!$J$85)-1,'Revenue and costs'!V63+'Revenue and costs'!Y63+'Revenue and costs'!AE63,0)-'Segment tax'!G21/12</x:f>
        <x:v>558.3619841919185</x:v>
      </x:c>
      <x:c r="M40" s="24" t="n">
        <x:f>L40+IF(AND(9&gt;=(13-'Assumptions'!$J$85)+'Assumptions'!$AF$85,9&lt;=12),'Revenue and costs'!N63/'Assumptions'!$J$85,0)-IF(AND(9&gt;=(13-'Assumptions'!$J$85),9&lt;=12),SUM('Revenue and costs'!O63:U63)/'Assumptions'!$J$85,0)-IF(9=(13-'Assumptions'!$J$85)-1,'Revenue and costs'!V63+'Revenue and costs'!Y63+'Revenue and costs'!AE63,0)-'Segment tax'!G21/12</x:f>
        <x:v>920.7648358802985</x:v>
      </x:c>
      <x:c r="N40" s="24" t="n">
        <x:f>M40+IF(AND(10&gt;=(13-'Assumptions'!$J$85)+'Assumptions'!$AF$85,10&lt;=12),'Revenue and costs'!N63/'Assumptions'!$J$85,0)-IF(AND(10&gt;=(13-'Assumptions'!$J$85),10&lt;=12),SUM('Revenue and costs'!O63:U63)/'Assumptions'!$J$85,0)-IF(10=(13-'Assumptions'!$J$85)-1,'Revenue and costs'!V63+'Revenue and costs'!Y63+'Revenue and costs'!AE63,0)-'Segment tax'!G21/12</x:f>
        <x:v>1283.1676875686785</x:v>
      </x:c>
      <x:c r="O40" s="24" t="n">
        <x:f>N40+IF(AND(11&gt;=(13-'Assumptions'!$J$85)+'Assumptions'!$AF$85,11&lt;=12),'Revenue and costs'!N63/'Assumptions'!$J$85,0)-IF(AND(11&gt;=(13-'Assumptions'!$J$85),11&lt;=12),SUM('Revenue and costs'!O63:U63)/'Assumptions'!$J$85,0)-IF(11=(13-'Assumptions'!$J$85)-1,'Revenue and costs'!V63+'Revenue and costs'!Y63+'Revenue and costs'!AE63,0)-'Segment tax'!G21/12</x:f>
        <x:v>1645.5705392570585</x:v>
      </x:c>
      <x:c r="P40" s="24" t="n">
        <x:f>O40+IF(AND(12&gt;=(13-'Assumptions'!$J$85)+'Assumptions'!$AF$85,12&lt;=12),'Revenue and costs'!N63/'Assumptions'!$J$85,0)-IF(AND(12&gt;=(13-'Assumptions'!$J$85),12&lt;=12),SUM('Revenue and costs'!O63:U63)/'Assumptions'!$J$85,0)-IF(12=(13-'Assumptions'!$J$85)-1,'Revenue and costs'!V63+'Revenue and costs'!Y63+'Revenue and costs'!AE63,0)-'Segment tax'!G21/12-'Segment tax'!L21</x:f>
        <x:v>1504.8365716565586</x:v>
      </x:c>
      <x:c r="Q40" s="24" t="n">
        <x:f>MAX(0,-MIN(D40:P40))</x:f>
        <x:v>166.44371918484154</x:v>
      </x:c>
    </x:row>
    <x:row r="41" ht="30" customHeight="1">
      <x:c r="A41" s="1"/>
      <x:c r="B41" s="1"/>
      <x:c r="C41" s="23" t="str">
        <x:v>VraiSkill Model Life</x:v>
      </x:c>
      <x:c r="D41" s="24" t="n">
        <x:f>IF(AND(0&gt;=(13-'Assumptions'!$J$86)+'Assumptions'!$AF$86,0&lt;=12),'Revenue and costs'!N64/'Assumptions'!$J$86,0)-IF(AND(0&gt;=(13-'Assumptions'!$J$86),0&lt;=12),SUM('Revenue and costs'!O64:U64)/'Assumptions'!$J$86,0)-IF(0=(13-'Assumptions'!$J$86)-1,'Revenue and costs'!V64+'Revenue and costs'!Y64+'Revenue and costs'!AE64,0)-IF('Income statement'!D50=0,1/39,'Segment tax'!E22/'Income statement'!D50)*'Cash and capital'!D13</x:f>
        <x:v>0</x:v>
      </x:c>
      <x:c r="E41" s="24" t="n">
        <x:f>D41+IF(AND(1&gt;=(13-'Assumptions'!$J$86)+'Assumptions'!$AF$86,1&lt;=12),'Revenue and costs'!N64/'Assumptions'!$J$86,0)-IF(AND(1&gt;=(13-'Assumptions'!$J$86),1&lt;=12),SUM('Revenue and costs'!O64:U64)/'Assumptions'!$J$86,0)-IF(1=(13-'Assumptions'!$J$86)-1,'Revenue and costs'!V64+'Revenue and costs'!Y64+'Revenue and costs'!AE64,0)-'Segment tax'!G22/12</x:f>
        <x:v>0</x:v>
      </x:c>
      <x:c r="F41" s="24" t="n">
        <x:f>E41+IF(AND(2&gt;=(13-'Assumptions'!$J$86)+'Assumptions'!$AF$86,2&lt;=12),'Revenue and costs'!N64/'Assumptions'!$J$86,0)-IF(AND(2&gt;=(13-'Assumptions'!$J$86),2&lt;=12),SUM('Revenue and costs'!O64:U64)/'Assumptions'!$J$86,0)-IF(2=(13-'Assumptions'!$J$86)-1,'Revenue and costs'!V64+'Revenue and costs'!Y64+'Revenue and costs'!AE64,0)-'Segment tax'!G22/12</x:f>
        <x:v>0</x:v>
      </x:c>
      <x:c r="G41" s="24" t="n">
        <x:f>F41+IF(AND(3&gt;=(13-'Assumptions'!$J$86)+'Assumptions'!$AF$86,3&lt;=12),'Revenue and costs'!N64/'Assumptions'!$J$86,0)-IF(AND(3&gt;=(13-'Assumptions'!$J$86),3&lt;=12),SUM('Revenue and costs'!O64:U64)/'Assumptions'!$J$86,0)-IF(3=(13-'Assumptions'!$J$86)-1,'Revenue and costs'!V64+'Revenue and costs'!Y64+'Revenue and costs'!AE64,0)-'Segment tax'!G22/12</x:f>
        <x:v>0</x:v>
      </x:c>
      <x:c r="H41" s="24" t="n">
        <x:f>G41+IF(AND(4&gt;=(13-'Assumptions'!$J$86)+'Assumptions'!$AF$86,4&lt;=12),'Revenue and costs'!N64/'Assumptions'!$J$86,0)-IF(AND(4&gt;=(13-'Assumptions'!$J$86),4&lt;=12),SUM('Revenue and costs'!O64:U64)/'Assumptions'!$J$86,0)-IF(4=(13-'Assumptions'!$J$86)-1,'Revenue and costs'!V64+'Revenue and costs'!Y64+'Revenue and costs'!AE64,0)-'Segment tax'!G22/12</x:f>
        <x:v>0</x:v>
      </x:c>
      <x:c r="I41" s="24" t="n">
        <x:f>H41+IF(AND(5&gt;=(13-'Assumptions'!$J$86)+'Assumptions'!$AF$86,5&lt;=12),'Revenue and costs'!N64/'Assumptions'!$J$86,0)-IF(AND(5&gt;=(13-'Assumptions'!$J$86),5&lt;=12),SUM('Revenue and costs'!O64:U64)/'Assumptions'!$J$86,0)-IF(5=(13-'Assumptions'!$J$86)-1,'Revenue and costs'!V64+'Revenue and costs'!Y64+'Revenue and costs'!AE64,0)-'Segment tax'!G22/12</x:f>
        <x:v>0</x:v>
      </x:c>
      <x:c r="J41" s="24" t="n">
        <x:f>I41+IF(AND(6&gt;=(13-'Assumptions'!$J$86)+'Assumptions'!$AF$86,6&lt;=12),'Revenue and costs'!N64/'Assumptions'!$J$86,0)-IF(AND(6&gt;=(13-'Assumptions'!$J$86),6&lt;=12),SUM('Revenue and costs'!O64:U64)/'Assumptions'!$J$86,0)-IF(6=(13-'Assumptions'!$J$86)-1,'Revenue and costs'!V64+'Revenue and costs'!Y64+'Revenue and costs'!AE64,0)-'Segment tax'!G22/12</x:f>
        <x:v>0</x:v>
      </x:c>
      <x:c r="K41" s="24" t="n">
        <x:f>J41+IF(AND(7&gt;=(13-'Assumptions'!$J$86)+'Assumptions'!$AF$86,7&lt;=12),'Revenue and costs'!N64/'Assumptions'!$J$86,0)-IF(AND(7&gt;=(13-'Assumptions'!$J$86),7&lt;=12),SUM('Revenue and costs'!O64:U64)/'Assumptions'!$J$86,0)-IF(7=(13-'Assumptions'!$J$86)-1,'Revenue and costs'!V64+'Revenue and costs'!Y64+'Revenue and costs'!AE64,0)-'Segment tax'!G22/12</x:f>
        <x:v>0</x:v>
      </x:c>
      <x:c r="L41" s="24" t="n">
        <x:f>K41+IF(AND(8&gt;=(13-'Assumptions'!$J$86)+'Assumptions'!$AF$86,8&lt;=12),'Revenue and costs'!N64/'Assumptions'!$J$86,0)-IF(AND(8&gt;=(13-'Assumptions'!$J$86),8&lt;=12),SUM('Revenue and costs'!O64:U64)/'Assumptions'!$J$86,0)-IF(8=(13-'Assumptions'!$J$86)-1,'Revenue and costs'!V64+'Revenue and costs'!Y64+'Revenue and costs'!AE64,0)-'Segment tax'!G22/12</x:f>
        <x:v>0</x:v>
      </x:c>
      <x:c r="M41" s="24" t="n">
        <x:f>L41+IF(AND(9&gt;=(13-'Assumptions'!$J$86)+'Assumptions'!$AF$86,9&lt;=12),'Revenue and costs'!N64/'Assumptions'!$J$86,0)-IF(AND(9&gt;=(13-'Assumptions'!$J$86),9&lt;=12),SUM('Revenue and costs'!O64:U64)/'Assumptions'!$J$86,0)-IF(9=(13-'Assumptions'!$J$86)-1,'Revenue and costs'!V64+'Revenue and costs'!Y64+'Revenue and costs'!AE64,0)-'Segment tax'!G22/12</x:f>
        <x:v>0</x:v>
      </x:c>
      <x:c r="N41" s="24" t="n">
        <x:f>M41+IF(AND(10&gt;=(13-'Assumptions'!$J$86)+'Assumptions'!$AF$86,10&lt;=12),'Revenue and costs'!N64/'Assumptions'!$J$86,0)-IF(AND(10&gt;=(13-'Assumptions'!$J$86),10&lt;=12),SUM('Revenue and costs'!O64:U64)/'Assumptions'!$J$86,0)-IF(10=(13-'Assumptions'!$J$86)-1,'Revenue and costs'!V64+'Revenue and costs'!Y64+'Revenue and costs'!AE64,0)-'Segment tax'!G22/12</x:f>
        <x:v>0</x:v>
      </x:c>
      <x:c r="O41" s="24" t="n">
        <x:f>N41+IF(AND(11&gt;=(13-'Assumptions'!$J$86)+'Assumptions'!$AF$86,11&lt;=12),'Revenue and costs'!N64/'Assumptions'!$J$86,0)-IF(AND(11&gt;=(13-'Assumptions'!$J$86),11&lt;=12),SUM('Revenue and costs'!O64:U64)/'Assumptions'!$J$86,0)-IF(11=(13-'Assumptions'!$J$86)-1,'Revenue and costs'!V64+'Revenue and costs'!Y64+'Revenue and costs'!AE64,0)-'Segment tax'!G22/12</x:f>
        <x:v>0</x:v>
      </x:c>
      <x:c r="P41" s="24" t="n">
        <x:f>O41+IF(AND(12&gt;=(13-'Assumptions'!$J$86)+'Assumptions'!$AF$86,12&lt;=12),'Revenue and costs'!N64/'Assumptions'!$J$86,0)-IF(AND(12&gt;=(13-'Assumptions'!$J$86),12&lt;=12),SUM('Revenue and costs'!O64:U64)/'Assumptions'!$J$86,0)-IF(12=(13-'Assumptions'!$J$86)-1,'Revenue and costs'!V64+'Revenue and costs'!Y64+'Revenue and costs'!AE64,0)-'Segment tax'!G22/12-'Segment tax'!L22</x:f>
        <x:v>0</x:v>
      </x:c>
      <x:c r="Q41" s="24" t="n">
        <x:f>MAX(0,-MIN(D41:P41))</x:f>
        <x:v>0</x:v>
      </x:c>
    </x:row>
    <x:row r="42" ht="30" customHeight="1">
      <x:c r="A42" s="1"/>
      <x:c r="B42" s="1"/>
      <x:c r="C42" s="23" t="str">
        <x:v>Model Life</x:v>
      </x:c>
      <x:c r="D42" s="24" t="n">
        <x:f>IF(AND(0&gt;=(13-'Assumptions'!$J$87)+'Assumptions'!$AF$87,0&lt;=12),'Revenue and costs'!N65/'Assumptions'!$J$87,0)-IF(AND(0&gt;=(13-'Assumptions'!$J$87),0&lt;=12),SUM('Revenue and costs'!O65:U65)/'Assumptions'!$J$87,0)-IF(0=(13-'Assumptions'!$J$87)-1,'Revenue and costs'!V65+'Revenue and costs'!Y65+'Revenue and costs'!AE65,0)+IF(AND(0&gt;=(13-'Assumptions'!$J$88)+'Assumptions'!$AF$88,0&lt;=12),'Revenue and costs'!N66/'Assumptions'!$J$88,0)-IF(AND(0&gt;=(13-'Assumptions'!$J$88),0&lt;=12),SUM('Revenue and costs'!O66:U66)/'Assumptions'!$J$88,0)-IF(0=(13-'Assumptions'!$J$88)-1,'Revenue and costs'!V66+'Revenue and costs'!Y66+'Revenue and costs'!AE66,0)+IF(AND(0&gt;=(13-'Assumptions'!$J$89)+'Assumptions'!$AF$89,0&lt;=12),'Revenue and costs'!N67/'Assumptions'!$J$89,0)-IF(AND(0&gt;=(13-'Assumptions'!$J$89),0&lt;=12),SUM('Revenue and costs'!O67:U67)/'Assumptions'!$J$89,0)-IF(0=(13-'Assumptions'!$J$89)-1,'Revenue and costs'!V67+'Revenue and costs'!Y67+'Revenue and costs'!AE67,0)+IF(AND(0&gt;=(13-'Assumptions'!$J$90)+'Assumptions'!$AF$90,0&lt;=12),'Revenue and costs'!N68/'Assumptions'!$J$90,0)-IF(AND(0&gt;=(13-'Assumptions'!$J$90),0&lt;=12),SUM('Revenue and costs'!O68:U68)/'Assumptions'!$J$90,0)-IF(0=(13-'Assumptions'!$J$90)-1,'Revenue and costs'!V68+'Revenue and costs'!Y68+'Revenue and costs'!AE68,0)+IF(AND(0&gt;=(13-'Assumptions'!$J$91)+'Assumptions'!$AF$91,0&lt;=12),'Revenue and costs'!N69/'Assumptions'!$J$91,0)-IF(AND(0&gt;=(13-'Assumptions'!$J$91),0&lt;=12),SUM('Revenue and costs'!O69:U69)/'Assumptions'!$J$91,0)-IF(0=(13-'Assumptions'!$J$91)-1,'Revenue and costs'!V69+'Revenue and costs'!Y69+'Revenue and costs'!AE69,0)-IF('Income statement'!D50=0,1/39,'Segment tax'!E23/'Income statement'!D50)*'Cash and capital'!D13</x:f>
        <x:v>-23.326819671412252</x:v>
      </x:c>
      <x:c r="E42" s="24" t="n">
        <x:f>D42+IF(AND(1&gt;=(13-'Assumptions'!$J$87)+'Assumptions'!$AF$87,1&lt;=12),'Revenue and costs'!N65/'Assumptions'!$J$87,0)-IF(AND(1&gt;=(13-'Assumptions'!$J$87),1&lt;=12),SUM('Revenue and costs'!O65:U65)/'Assumptions'!$J$87,0)-IF(1=(13-'Assumptions'!$J$87)-1,'Revenue and costs'!V65+'Revenue and costs'!Y65+'Revenue and costs'!AE65,0)+IF(AND(1&gt;=(13-'Assumptions'!$J$88)+'Assumptions'!$AF$88,1&lt;=12),'Revenue and costs'!N66/'Assumptions'!$J$88,0)-IF(AND(1&gt;=(13-'Assumptions'!$J$88),1&lt;=12),SUM('Revenue and costs'!O66:U66)/'Assumptions'!$J$88,0)-IF(1=(13-'Assumptions'!$J$88)-1,'Revenue and costs'!V66+'Revenue and costs'!Y66+'Revenue and costs'!AE66,0)+IF(AND(1&gt;=(13-'Assumptions'!$J$89)+'Assumptions'!$AF$89,1&lt;=12),'Revenue and costs'!N67/'Assumptions'!$J$89,0)-IF(AND(1&gt;=(13-'Assumptions'!$J$89),1&lt;=12),SUM('Revenue and costs'!O67:U67)/'Assumptions'!$J$89,0)-IF(1=(13-'Assumptions'!$J$89)-1,'Revenue and costs'!V67+'Revenue and costs'!Y67+'Revenue and costs'!AE67,0)+IF(AND(1&gt;=(13-'Assumptions'!$J$90)+'Assumptions'!$AF$90,1&lt;=12),'Revenue and costs'!N68/'Assumptions'!$J$90,0)-IF(AND(1&gt;=(13-'Assumptions'!$J$90),1&lt;=12),SUM('Revenue and costs'!O68:U68)/'Assumptions'!$J$90,0)-IF(1=(13-'Assumptions'!$J$90)-1,'Revenue and costs'!V68+'Revenue and costs'!Y68+'Revenue and costs'!AE68,0)+IF(AND(1&gt;=(13-'Assumptions'!$J$91)+'Assumptions'!$AF$91,1&lt;=12),'Revenue and costs'!N69/'Assumptions'!$J$91,0)-IF(AND(1&gt;=(13-'Assumptions'!$J$91),1&lt;=12),SUM('Revenue and costs'!O69:U69)/'Assumptions'!$J$91,0)-IF(1=(13-'Assumptions'!$J$91)-1,'Revenue and costs'!V69+'Revenue and costs'!Y69+'Revenue and costs'!AE69,0)-'Segment tax'!G23/12</x:f>
        <x:v>-113.75712393092041</x:v>
      </x:c>
      <x:c r="F42" s="24" t="n">
        <x:f>E42+IF(AND(2&gt;=(13-'Assumptions'!$J$87)+'Assumptions'!$AF$87,2&lt;=12),'Revenue and costs'!N65/'Assumptions'!$J$87,0)-IF(AND(2&gt;=(13-'Assumptions'!$J$87),2&lt;=12),SUM('Revenue and costs'!O65:U65)/'Assumptions'!$J$87,0)-IF(2=(13-'Assumptions'!$J$87)-1,'Revenue and costs'!V65+'Revenue and costs'!Y65+'Revenue and costs'!AE65,0)+IF(AND(2&gt;=(13-'Assumptions'!$J$88)+'Assumptions'!$AF$88,2&lt;=12),'Revenue and costs'!N66/'Assumptions'!$J$88,0)-IF(AND(2&gt;=(13-'Assumptions'!$J$88),2&lt;=12),SUM('Revenue and costs'!O66:U66)/'Assumptions'!$J$88,0)-IF(2=(13-'Assumptions'!$J$88)-1,'Revenue and costs'!V66+'Revenue and costs'!Y66+'Revenue and costs'!AE66,0)+IF(AND(2&gt;=(13-'Assumptions'!$J$89)+'Assumptions'!$AF$89,2&lt;=12),'Revenue and costs'!N67/'Assumptions'!$J$89,0)-IF(AND(2&gt;=(13-'Assumptions'!$J$89),2&lt;=12),SUM('Revenue and costs'!O67:U67)/'Assumptions'!$J$89,0)-IF(2=(13-'Assumptions'!$J$89)-1,'Revenue and costs'!V67+'Revenue and costs'!Y67+'Revenue and costs'!AE67,0)+IF(AND(2&gt;=(13-'Assumptions'!$J$90)+'Assumptions'!$AF$90,2&lt;=12),'Revenue and costs'!N68/'Assumptions'!$J$90,0)-IF(AND(2&gt;=(13-'Assumptions'!$J$90),2&lt;=12),SUM('Revenue and costs'!O68:U68)/'Assumptions'!$J$90,0)-IF(2=(13-'Assumptions'!$J$90)-1,'Revenue and costs'!V68+'Revenue and costs'!Y68+'Revenue and costs'!AE68,0)+IF(AND(2&gt;=(13-'Assumptions'!$J$91)+'Assumptions'!$AF$91,2&lt;=12),'Revenue and costs'!N69/'Assumptions'!$J$91,0)-IF(AND(2&gt;=(13-'Assumptions'!$J$91),2&lt;=12),SUM('Revenue and costs'!O69:U69)/'Assumptions'!$J$91,0)-IF(2=(13-'Assumptions'!$J$91)-1,'Revenue and costs'!V69+'Revenue and costs'!Y69+'Revenue and costs'!AE69,0)-'Segment tax'!G23/12</x:f>
        <x:v>-204.1874281904286</x:v>
      </x:c>
      <x:c r="G42" s="24" t="n">
        <x:f>F42+IF(AND(3&gt;=(13-'Assumptions'!$J$87)+'Assumptions'!$AF$87,3&lt;=12),'Revenue and costs'!N65/'Assumptions'!$J$87,0)-IF(AND(3&gt;=(13-'Assumptions'!$J$87),3&lt;=12),SUM('Revenue and costs'!O65:U65)/'Assumptions'!$J$87,0)-IF(3=(13-'Assumptions'!$J$87)-1,'Revenue and costs'!V65+'Revenue and costs'!Y65+'Revenue and costs'!AE65,0)+IF(AND(3&gt;=(13-'Assumptions'!$J$88)+'Assumptions'!$AF$88,3&lt;=12),'Revenue and costs'!N66/'Assumptions'!$J$88,0)-IF(AND(3&gt;=(13-'Assumptions'!$J$88),3&lt;=12),SUM('Revenue and costs'!O66:U66)/'Assumptions'!$J$88,0)-IF(3=(13-'Assumptions'!$J$88)-1,'Revenue and costs'!V66+'Revenue and costs'!Y66+'Revenue and costs'!AE66,0)+IF(AND(3&gt;=(13-'Assumptions'!$J$89)+'Assumptions'!$AF$89,3&lt;=12),'Revenue and costs'!N67/'Assumptions'!$J$89,0)-IF(AND(3&gt;=(13-'Assumptions'!$J$89),3&lt;=12),SUM('Revenue and costs'!O67:U67)/'Assumptions'!$J$89,0)-IF(3=(13-'Assumptions'!$J$89)-1,'Revenue and costs'!V67+'Revenue and costs'!Y67+'Revenue and costs'!AE67,0)+IF(AND(3&gt;=(13-'Assumptions'!$J$90)+'Assumptions'!$AF$90,3&lt;=12),'Revenue and costs'!N68/'Assumptions'!$J$90,0)-IF(AND(3&gt;=(13-'Assumptions'!$J$90),3&lt;=12),SUM('Revenue and costs'!O68:U68)/'Assumptions'!$J$90,0)-IF(3=(13-'Assumptions'!$J$90)-1,'Revenue and costs'!V68+'Revenue and costs'!Y68+'Revenue and costs'!AE68,0)+IF(AND(3&gt;=(13-'Assumptions'!$J$91)+'Assumptions'!$AF$91,3&lt;=12),'Revenue and costs'!N69/'Assumptions'!$J$91,0)-IF(AND(3&gt;=(13-'Assumptions'!$J$91),3&lt;=12),SUM('Revenue and costs'!O69:U69)/'Assumptions'!$J$91,0)-IF(3=(13-'Assumptions'!$J$91)-1,'Revenue and costs'!V69+'Revenue and costs'!Y69+'Revenue and costs'!AE69,0)-'Segment tax'!G23/12</x:f>
        <x:v>-294.61773244993674</x:v>
      </x:c>
      <x:c r="H42" s="24" t="n">
        <x:f>G42+IF(AND(4&gt;=(13-'Assumptions'!$J$87)+'Assumptions'!$AF$87,4&lt;=12),'Revenue and costs'!N65/'Assumptions'!$J$87,0)-IF(AND(4&gt;=(13-'Assumptions'!$J$87),4&lt;=12),SUM('Revenue and costs'!O65:U65)/'Assumptions'!$J$87,0)-IF(4=(13-'Assumptions'!$J$87)-1,'Revenue and costs'!V65+'Revenue and costs'!Y65+'Revenue and costs'!AE65,0)+IF(AND(4&gt;=(13-'Assumptions'!$J$88)+'Assumptions'!$AF$88,4&lt;=12),'Revenue and costs'!N66/'Assumptions'!$J$88,0)-IF(AND(4&gt;=(13-'Assumptions'!$J$88),4&lt;=12),SUM('Revenue and costs'!O66:U66)/'Assumptions'!$J$88,0)-IF(4=(13-'Assumptions'!$J$88)-1,'Revenue and costs'!V66+'Revenue and costs'!Y66+'Revenue and costs'!AE66,0)+IF(AND(4&gt;=(13-'Assumptions'!$J$89)+'Assumptions'!$AF$89,4&lt;=12),'Revenue and costs'!N67/'Assumptions'!$J$89,0)-IF(AND(4&gt;=(13-'Assumptions'!$J$89),4&lt;=12),SUM('Revenue and costs'!O67:U67)/'Assumptions'!$J$89,0)-IF(4=(13-'Assumptions'!$J$89)-1,'Revenue and costs'!V67+'Revenue and costs'!Y67+'Revenue and costs'!AE67,0)+IF(AND(4&gt;=(13-'Assumptions'!$J$90)+'Assumptions'!$AF$90,4&lt;=12),'Revenue and costs'!N68/'Assumptions'!$J$90,0)-IF(AND(4&gt;=(13-'Assumptions'!$J$90),4&lt;=12),SUM('Revenue and costs'!O68:U68)/'Assumptions'!$J$90,0)-IF(4=(13-'Assumptions'!$J$90)-1,'Revenue and costs'!V68+'Revenue and costs'!Y68+'Revenue and costs'!AE68,0)+IF(AND(4&gt;=(13-'Assumptions'!$J$91)+'Assumptions'!$AF$91,4&lt;=12),'Revenue and costs'!N69/'Assumptions'!$J$91,0)-IF(AND(4&gt;=(13-'Assumptions'!$J$91),4&lt;=12),SUM('Revenue and costs'!O69:U69)/'Assumptions'!$J$91,0)-IF(4=(13-'Assumptions'!$J$91)-1,'Revenue and costs'!V69+'Revenue and costs'!Y69+'Revenue and costs'!AE69,0)-'Segment tax'!G23/12</x:f>
        <x:v>-385.0480367094449</x:v>
      </x:c>
      <x:c r="I42" s="24" t="n">
        <x:f>H42+IF(AND(5&gt;=(13-'Assumptions'!$J$87)+'Assumptions'!$AF$87,5&lt;=12),'Revenue and costs'!N65/'Assumptions'!$J$87,0)-IF(AND(5&gt;=(13-'Assumptions'!$J$87),5&lt;=12),SUM('Revenue and costs'!O65:U65)/'Assumptions'!$J$87,0)-IF(5=(13-'Assumptions'!$J$87)-1,'Revenue and costs'!V65+'Revenue and costs'!Y65+'Revenue and costs'!AE65,0)+IF(AND(5&gt;=(13-'Assumptions'!$J$88)+'Assumptions'!$AF$88,5&lt;=12),'Revenue and costs'!N66/'Assumptions'!$J$88,0)-IF(AND(5&gt;=(13-'Assumptions'!$J$88),5&lt;=12),SUM('Revenue and costs'!O66:U66)/'Assumptions'!$J$88,0)-IF(5=(13-'Assumptions'!$J$88)-1,'Revenue and costs'!V66+'Revenue and costs'!Y66+'Revenue and costs'!AE66,0)+IF(AND(5&gt;=(13-'Assumptions'!$J$89)+'Assumptions'!$AF$89,5&lt;=12),'Revenue and costs'!N67/'Assumptions'!$J$89,0)-IF(AND(5&gt;=(13-'Assumptions'!$J$89),5&lt;=12),SUM('Revenue and costs'!O67:U67)/'Assumptions'!$J$89,0)-IF(5=(13-'Assumptions'!$J$89)-1,'Revenue and costs'!V67+'Revenue and costs'!Y67+'Revenue and costs'!AE67,0)+IF(AND(5&gt;=(13-'Assumptions'!$J$90)+'Assumptions'!$AF$90,5&lt;=12),'Revenue and costs'!N68/'Assumptions'!$J$90,0)-IF(AND(5&gt;=(13-'Assumptions'!$J$90),5&lt;=12),SUM('Revenue and costs'!O68:U68)/'Assumptions'!$J$90,0)-IF(5=(13-'Assumptions'!$J$90)-1,'Revenue and costs'!V68+'Revenue and costs'!Y68+'Revenue and costs'!AE68,0)+IF(AND(5&gt;=(13-'Assumptions'!$J$91)+'Assumptions'!$AF$91,5&lt;=12),'Revenue and costs'!N69/'Assumptions'!$J$91,0)-IF(AND(5&gt;=(13-'Assumptions'!$J$91),5&lt;=12),SUM('Revenue and costs'!O69:U69)/'Assumptions'!$J$91,0)-IF(5=(13-'Assumptions'!$J$91)-1,'Revenue and costs'!V69+'Revenue and costs'!Y69+'Revenue and costs'!AE69,0)-'Segment tax'!G23/12</x:f>
        <x:v>-475.47834096895303</x:v>
      </x:c>
      <x:c r="J42" s="24" t="n">
        <x:f>I42+IF(AND(6&gt;=(13-'Assumptions'!$J$87)+'Assumptions'!$AF$87,6&lt;=12),'Revenue and costs'!N65/'Assumptions'!$J$87,0)-IF(AND(6&gt;=(13-'Assumptions'!$J$87),6&lt;=12),SUM('Revenue and costs'!O65:U65)/'Assumptions'!$J$87,0)-IF(6=(13-'Assumptions'!$J$87)-1,'Revenue and costs'!V65+'Revenue and costs'!Y65+'Revenue and costs'!AE65,0)+IF(AND(6&gt;=(13-'Assumptions'!$J$88)+'Assumptions'!$AF$88,6&lt;=12),'Revenue and costs'!N66/'Assumptions'!$J$88,0)-IF(AND(6&gt;=(13-'Assumptions'!$J$88),6&lt;=12),SUM('Revenue and costs'!O66:U66)/'Assumptions'!$J$88,0)-IF(6=(13-'Assumptions'!$J$88)-1,'Revenue and costs'!V66+'Revenue and costs'!Y66+'Revenue and costs'!AE66,0)+IF(AND(6&gt;=(13-'Assumptions'!$J$89)+'Assumptions'!$AF$89,6&lt;=12),'Revenue and costs'!N67/'Assumptions'!$J$89,0)-IF(AND(6&gt;=(13-'Assumptions'!$J$89),6&lt;=12),SUM('Revenue and costs'!O67:U67)/'Assumptions'!$J$89,0)-IF(6=(13-'Assumptions'!$J$89)-1,'Revenue and costs'!V67+'Revenue and costs'!Y67+'Revenue and costs'!AE67,0)+IF(AND(6&gt;=(13-'Assumptions'!$J$90)+'Assumptions'!$AF$90,6&lt;=12),'Revenue and costs'!N68/'Assumptions'!$J$90,0)-IF(AND(6&gt;=(13-'Assumptions'!$J$90),6&lt;=12),SUM('Revenue and costs'!O68:U68)/'Assumptions'!$J$90,0)-IF(6=(13-'Assumptions'!$J$90)-1,'Revenue and costs'!V68+'Revenue and costs'!Y68+'Revenue and costs'!AE68,0)+IF(AND(6&gt;=(13-'Assumptions'!$J$91)+'Assumptions'!$AF$91,6&lt;=12),'Revenue and costs'!N69/'Assumptions'!$J$91,0)-IF(AND(6&gt;=(13-'Assumptions'!$J$91),6&lt;=12),SUM('Revenue and costs'!O69:U69)/'Assumptions'!$J$91,0)-IF(6=(13-'Assumptions'!$J$91)-1,'Revenue and costs'!V69+'Revenue and costs'!Y69+'Revenue and costs'!AE69,0)-'Segment tax'!G23/12</x:f>
        <x:v>-565.9086452284612</x:v>
      </x:c>
      <x:c r="K42" s="24" t="n">
        <x:f>J42+IF(AND(7&gt;=(13-'Assumptions'!$J$87)+'Assumptions'!$AF$87,7&lt;=12),'Revenue and costs'!N65/'Assumptions'!$J$87,0)-IF(AND(7&gt;=(13-'Assumptions'!$J$87),7&lt;=12),SUM('Revenue and costs'!O65:U65)/'Assumptions'!$J$87,0)-IF(7=(13-'Assumptions'!$J$87)-1,'Revenue and costs'!V65+'Revenue and costs'!Y65+'Revenue and costs'!AE65,0)+IF(AND(7&gt;=(13-'Assumptions'!$J$88)+'Assumptions'!$AF$88,7&lt;=12),'Revenue and costs'!N66/'Assumptions'!$J$88,0)-IF(AND(7&gt;=(13-'Assumptions'!$J$88),7&lt;=12),SUM('Revenue and costs'!O66:U66)/'Assumptions'!$J$88,0)-IF(7=(13-'Assumptions'!$J$88)-1,'Revenue and costs'!V66+'Revenue and costs'!Y66+'Revenue and costs'!AE66,0)+IF(AND(7&gt;=(13-'Assumptions'!$J$89)+'Assumptions'!$AF$89,7&lt;=12),'Revenue and costs'!N67/'Assumptions'!$J$89,0)-IF(AND(7&gt;=(13-'Assumptions'!$J$89),7&lt;=12),SUM('Revenue and costs'!O67:U67)/'Assumptions'!$J$89,0)-IF(7=(13-'Assumptions'!$J$89)-1,'Revenue and costs'!V67+'Revenue and costs'!Y67+'Revenue and costs'!AE67,0)+IF(AND(7&gt;=(13-'Assumptions'!$J$90)+'Assumptions'!$AF$90,7&lt;=12),'Revenue and costs'!N68/'Assumptions'!$J$90,0)-IF(AND(7&gt;=(13-'Assumptions'!$J$90),7&lt;=12),SUM('Revenue and costs'!O68:U68)/'Assumptions'!$J$90,0)-IF(7=(13-'Assumptions'!$J$90)-1,'Revenue and costs'!V68+'Revenue and costs'!Y68+'Revenue and costs'!AE68,0)+IF(AND(7&gt;=(13-'Assumptions'!$J$91)+'Assumptions'!$AF$91,7&lt;=12),'Revenue and costs'!N69/'Assumptions'!$J$91,0)-IF(AND(7&gt;=(13-'Assumptions'!$J$91),7&lt;=12),SUM('Revenue and costs'!O69:U69)/'Assumptions'!$J$91,0)-IF(7=(13-'Assumptions'!$J$91)-1,'Revenue and costs'!V69+'Revenue and costs'!Y69+'Revenue and costs'!AE69,0)-'Segment tax'!G23/12</x:f>
        <x:v>1140.261050512031</x:v>
      </x:c>
      <x:c r="L42" s="24" t="n">
        <x:f>K42+IF(AND(8&gt;=(13-'Assumptions'!$J$87)+'Assumptions'!$AF$87,8&lt;=12),'Revenue and costs'!N65/'Assumptions'!$J$87,0)-IF(AND(8&gt;=(13-'Assumptions'!$J$87),8&lt;=12),SUM('Revenue and costs'!O65:U65)/'Assumptions'!$J$87,0)-IF(8=(13-'Assumptions'!$J$87)-1,'Revenue and costs'!V65+'Revenue and costs'!Y65+'Revenue and costs'!AE65,0)+IF(AND(8&gt;=(13-'Assumptions'!$J$88)+'Assumptions'!$AF$88,8&lt;=12),'Revenue and costs'!N66/'Assumptions'!$J$88,0)-IF(AND(8&gt;=(13-'Assumptions'!$J$88),8&lt;=12),SUM('Revenue and costs'!O66:U66)/'Assumptions'!$J$88,0)-IF(8=(13-'Assumptions'!$J$88)-1,'Revenue and costs'!V66+'Revenue and costs'!Y66+'Revenue and costs'!AE66,0)+IF(AND(8&gt;=(13-'Assumptions'!$J$89)+'Assumptions'!$AF$89,8&lt;=12),'Revenue and costs'!N67/'Assumptions'!$J$89,0)-IF(AND(8&gt;=(13-'Assumptions'!$J$89),8&lt;=12),SUM('Revenue and costs'!O67:U67)/'Assumptions'!$J$89,0)-IF(8=(13-'Assumptions'!$J$89)-1,'Revenue and costs'!V67+'Revenue and costs'!Y67+'Revenue and costs'!AE67,0)+IF(AND(8&gt;=(13-'Assumptions'!$J$90)+'Assumptions'!$AF$90,8&lt;=12),'Revenue and costs'!N68/'Assumptions'!$J$90,0)-IF(AND(8&gt;=(13-'Assumptions'!$J$90),8&lt;=12),SUM('Revenue and costs'!O68:U68)/'Assumptions'!$J$90,0)-IF(8=(13-'Assumptions'!$J$90)-1,'Revenue and costs'!V68+'Revenue and costs'!Y68+'Revenue and costs'!AE68,0)+IF(AND(8&gt;=(13-'Assumptions'!$J$91)+'Assumptions'!$AF$91,8&lt;=12),'Revenue and costs'!N69/'Assumptions'!$J$91,0)-IF(AND(8&gt;=(13-'Assumptions'!$J$91),8&lt;=12),SUM('Revenue and costs'!O69:U69)/'Assumptions'!$J$91,0)-IF(8=(13-'Assumptions'!$J$91)-1,'Revenue and costs'!V69+'Revenue and costs'!Y69+'Revenue and costs'!AE69,0)-'Segment tax'!G23/12</x:f>
        <x:v>2846.430746252523</x:v>
      </x:c>
      <x:c r="M42" s="24" t="n">
        <x:f>L42+IF(AND(9&gt;=(13-'Assumptions'!$J$87)+'Assumptions'!$AF$87,9&lt;=12),'Revenue and costs'!N65/'Assumptions'!$J$87,0)-IF(AND(9&gt;=(13-'Assumptions'!$J$87),9&lt;=12),SUM('Revenue and costs'!O65:U65)/'Assumptions'!$J$87,0)-IF(9=(13-'Assumptions'!$J$87)-1,'Revenue and costs'!V65+'Revenue and costs'!Y65+'Revenue and costs'!AE65,0)+IF(AND(9&gt;=(13-'Assumptions'!$J$88)+'Assumptions'!$AF$88,9&lt;=12),'Revenue and costs'!N66/'Assumptions'!$J$88,0)-IF(AND(9&gt;=(13-'Assumptions'!$J$88),9&lt;=12),SUM('Revenue and costs'!O66:U66)/'Assumptions'!$J$88,0)-IF(9=(13-'Assumptions'!$J$88)-1,'Revenue and costs'!V66+'Revenue and costs'!Y66+'Revenue and costs'!AE66,0)+IF(AND(9&gt;=(13-'Assumptions'!$J$89)+'Assumptions'!$AF$89,9&lt;=12),'Revenue and costs'!N67/'Assumptions'!$J$89,0)-IF(AND(9&gt;=(13-'Assumptions'!$J$89),9&lt;=12),SUM('Revenue and costs'!O67:U67)/'Assumptions'!$J$89,0)-IF(9=(13-'Assumptions'!$J$89)-1,'Revenue and costs'!V67+'Revenue and costs'!Y67+'Revenue and costs'!AE67,0)+IF(AND(9&gt;=(13-'Assumptions'!$J$90)+'Assumptions'!$AF$90,9&lt;=12),'Revenue and costs'!N68/'Assumptions'!$J$90,0)-IF(AND(9&gt;=(13-'Assumptions'!$J$90),9&lt;=12),SUM('Revenue and costs'!O68:U68)/'Assumptions'!$J$90,0)-IF(9=(13-'Assumptions'!$J$90)-1,'Revenue and costs'!V68+'Revenue and costs'!Y68+'Revenue and costs'!AE68,0)+IF(AND(9&gt;=(13-'Assumptions'!$J$91)+'Assumptions'!$AF$91,9&lt;=12),'Revenue and costs'!N69/'Assumptions'!$J$91,0)-IF(AND(9&gt;=(13-'Assumptions'!$J$91),9&lt;=12),SUM('Revenue and costs'!O69:U69)/'Assumptions'!$J$91,0)-IF(9=(13-'Assumptions'!$J$91)-1,'Revenue and costs'!V69+'Revenue and costs'!Y69+'Revenue and costs'!AE69,0)-'Segment tax'!G23/12</x:f>
        <x:v>4552.600441993014</x:v>
      </x:c>
      <x:c r="N42" s="24" t="n">
        <x:f>M42+IF(AND(10&gt;=(13-'Assumptions'!$J$87)+'Assumptions'!$AF$87,10&lt;=12),'Revenue and costs'!N65/'Assumptions'!$J$87,0)-IF(AND(10&gt;=(13-'Assumptions'!$J$87),10&lt;=12),SUM('Revenue and costs'!O65:U65)/'Assumptions'!$J$87,0)-IF(10=(13-'Assumptions'!$J$87)-1,'Revenue and costs'!V65+'Revenue and costs'!Y65+'Revenue and costs'!AE65,0)+IF(AND(10&gt;=(13-'Assumptions'!$J$88)+'Assumptions'!$AF$88,10&lt;=12),'Revenue and costs'!N66/'Assumptions'!$J$88,0)-IF(AND(10&gt;=(13-'Assumptions'!$J$88),10&lt;=12),SUM('Revenue and costs'!O66:U66)/'Assumptions'!$J$88,0)-IF(10=(13-'Assumptions'!$J$88)-1,'Revenue and costs'!V66+'Revenue and costs'!Y66+'Revenue and costs'!AE66,0)+IF(AND(10&gt;=(13-'Assumptions'!$J$89)+'Assumptions'!$AF$89,10&lt;=12),'Revenue and costs'!N67/'Assumptions'!$J$89,0)-IF(AND(10&gt;=(13-'Assumptions'!$J$89),10&lt;=12),SUM('Revenue and costs'!O67:U67)/'Assumptions'!$J$89,0)-IF(10=(13-'Assumptions'!$J$89)-1,'Revenue and costs'!V67+'Revenue and costs'!Y67+'Revenue and costs'!AE67,0)+IF(AND(10&gt;=(13-'Assumptions'!$J$90)+'Assumptions'!$AF$90,10&lt;=12),'Revenue and costs'!N68/'Assumptions'!$J$90,0)-IF(AND(10&gt;=(13-'Assumptions'!$J$90),10&lt;=12),SUM('Revenue and costs'!O68:U68)/'Assumptions'!$J$90,0)-IF(10=(13-'Assumptions'!$J$90)-1,'Revenue and costs'!V68+'Revenue and costs'!Y68+'Revenue and costs'!AE68,0)+IF(AND(10&gt;=(13-'Assumptions'!$J$91)+'Assumptions'!$AF$91,10&lt;=12),'Revenue and costs'!N69/'Assumptions'!$J$91,0)-IF(AND(10&gt;=(13-'Assumptions'!$J$91),10&lt;=12),SUM('Revenue and costs'!O69:U69)/'Assumptions'!$J$91,0)-IF(10=(13-'Assumptions'!$J$91)-1,'Revenue and costs'!V69+'Revenue and costs'!Y69+'Revenue and costs'!AE69,0)-'Segment tax'!G23/12</x:f>
        <x:v>6258.770137733504</x:v>
      </x:c>
      <x:c r="O42" s="24" t="n">
        <x:f>N42+IF(AND(11&gt;=(13-'Assumptions'!$J$87)+'Assumptions'!$AF$87,11&lt;=12),'Revenue and costs'!N65/'Assumptions'!$J$87,0)-IF(AND(11&gt;=(13-'Assumptions'!$J$87),11&lt;=12),SUM('Revenue and costs'!O65:U65)/'Assumptions'!$J$87,0)-IF(11=(13-'Assumptions'!$J$87)-1,'Revenue and costs'!V65+'Revenue and costs'!Y65+'Revenue and costs'!AE65,0)+IF(AND(11&gt;=(13-'Assumptions'!$J$88)+'Assumptions'!$AF$88,11&lt;=12),'Revenue and costs'!N66/'Assumptions'!$J$88,0)-IF(AND(11&gt;=(13-'Assumptions'!$J$88),11&lt;=12),SUM('Revenue and costs'!O66:U66)/'Assumptions'!$J$88,0)-IF(11=(13-'Assumptions'!$J$88)-1,'Revenue and costs'!V66+'Revenue and costs'!Y66+'Revenue and costs'!AE66,0)+IF(AND(11&gt;=(13-'Assumptions'!$J$89)+'Assumptions'!$AF$89,11&lt;=12),'Revenue and costs'!N67/'Assumptions'!$J$89,0)-IF(AND(11&gt;=(13-'Assumptions'!$J$89),11&lt;=12),SUM('Revenue and costs'!O67:U67)/'Assumptions'!$J$89,0)-IF(11=(13-'Assumptions'!$J$89)-1,'Revenue and costs'!V67+'Revenue and costs'!Y67+'Revenue and costs'!AE67,0)+IF(AND(11&gt;=(13-'Assumptions'!$J$90)+'Assumptions'!$AF$90,11&lt;=12),'Revenue and costs'!N68/'Assumptions'!$J$90,0)-IF(AND(11&gt;=(13-'Assumptions'!$J$90),11&lt;=12),SUM('Revenue and costs'!O68:U68)/'Assumptions'!$J$90,0)-IF(11=(13-'Assumptions'!$J$90)-1,'Revenue and costs'!V68+'Revenue and costs'!Y68+'Revenue and costs'!AE68,0)+IF(AND(11&gt;=(13-'Assumptions'!$J$91)+'Assumptions'!$AF$91,11&lt;=12),'Revenue and costs'!N69/'Assumptions'!$J$91,0)-IF(AND(11&gt;=(13-'Assumptions'!$J$91),11&lt;=12),SUM('Revenue and costs'!O69:U69)/'Assumptions'!$J$91,0)-IF(11=(13-'Assumptions'!$J$91)-1,'Revenue and costs'!V69+'Revenue and costs'!Y69+'Revenue and costs'!AE69,0)-'Segment tax'!G23/12</x:f>
        <x:v>7964.939833473994</x:v>
      </x:c>
      <x:c r="P42" s="24" t="n">
        <x:f>O42+IF(AND(12&gt;=(13-'Assumptions'!$J$87)+'Assumptions'!$AF$87,12&lt;=12),'Revenue and costs'!N65/'Assumptions'!$J$87,0)-IF(AND(12&gt;=(13-'Assumptions'!$J$87),12&lt;=12),SUM('Revenue and costs'!O65:U65)/'Assumptions'!$J$87,0)-IF(12=(13-'Assumptions'!$J$87)-1,'Revenue and costs'!V65+'Revenue and costs'!Y65+'Revenue and costs'!AE65,0)+IF(AND(12&gt;=(13-'Assumptions'!$J$88)+'Assumptions'!$AF$88,12&lt;=12),'Revenue and costs'!N66/'Assumptions'!$J$88,0)-IF(AND(12&gt;=(13-'Assumptions'!$J$88),12&lt;=12),SUM('Revenue and costs'!O66:U66)/'Assumptions'!$J$88,0)-IF(12=(13-'Assumptions'!$J$88)-1,'Revenue and costs'!V66+'Revenue and costs'!Y66+'Revenue and costs'!AE66,0)+IF(AND(12&gt;=(13-'Assumptions'!$J$89)+'Assumptions'!$AF$89,12&lt;=12),'Revenue and costs'!N67/'Assumptions'!$J$89,0)-IF(AND(12&gt;=(13-'Assumptions'!$J$89),12&lt;=12),SUM('Revenue and costs'!O67:U67)/'Assumptions'!$J$89,0)-IF(12=(13-'Assumptions'!$J$89)-1,'Revenue and costs'!V67+'Revenue and costs'!Y67+'Revenue and costs'!AE67,0)+IF(AND(12&gt;=(13-'Assumptions'!$J$90)+'Assumptions'!$AF$90,12&lt;=12),'Revenue and costs'!N68/'Assumptions'!$J$90,0)-IF(AND(12&gt;=(13-'Assumptions'!$J$90),12&lt;=12),SUM('Revenue and costs'!O68:U68)/'Assumptions'!$J$90,0)-IF(12=(13-'Assumptions'!$J$90)-1,'Revenue and costs'!V68+'Revenue and costs'!Y68+'Revenue and costs'!AE68,0)+IF(AND(12&gt;=(13-'Assumptions'!$J$91)+'Assumptions'!$AF$91,12&lt;=12),'Revenue and costs'!N69/'Assumptions'!$J$91,0)-IF(AND(12&gt;=(13-'Assumptions'!$J$91),12&lt;=12),SUM('Revenue and costs'!O69:U69)/'Assumptions'!$J$91,0)-IF(12=(13-'Assumptions'!$J$91)-1,'Revenue and costs'!V69+'Revenue and costs'!Y69+'Revenue and costs'!AE69,0)-'Segment tax'!G23/12-'Segment tax'!L23</x:f>
        <x:v>7249.4443436322945</x:v>
      </x:c>
      <x:c r="Q42" s="24" t="n">
        <x:f>MAX(0,-MIN(D42:P42))</x:f>
        <x:v>565.9086452284612</x:v>
      </x:c>
    </x:row>
    <x:row r="43" ht="30" customHeight="1">
      <x:c r="A43" s="1"/>
      <x:c r="B43" s="1"/>
      <x:c r="C43" s="23" t="str">
        <x:v>S’otality cleaning</x:v>
      </x:c>
      <x:c r="D43" s="24" t="n">
        <x:f>IF(AND(0&gt;=(13-'Assumptions'!$J$92)+'Assumptions'!$AF$92,0&lt;=12),'Revenue and costs'!N70/'Assumptions'!$J$92,0)-IF(AND(0&gt;=(13-'Assumptions'!$J$92),0&lt;=12),SUM('Revenue and costs'!O70:U70)/'Assumptions'!$J$92,0)-IF(0=(13-'Assumptions'!$J$92)-1,'Revenue and costs'!V70+'Revenue and costs'!Y70+'Revenue and costs'!AE70,0)+IF(AND(0&gt;=(13-'Assumptions'!$J$93)+'Assumptions'!$AF$93,0&lt;=12),'Revenue and costs'!N71/'Assumptions'!$J$93,0)-IF(AND(0&gt;=(13-'Assumptions'!$J$93),0&lt;=12),SUM('Revenue and costs'!O71:U71)/'Assumptions'!$J$93,0)-IF(0=(13-'Assumptions'!$J$93)-1,'Revenue and costs'!V71+'Revenue and costs'!Y71+'Revenue and costs'!AE71,0)+IF(AND(0&gt;=(13-'Assumptions'!$J$94)+'Assumptions'!$AF$94,0&lt;=12),'Revenue and costs'!N72/'Assumptions'!$J$94,0)-IF(AND(0&gt;=(13-'Assumptions'!$J$94),0&lt;=12),SUM('Revenue and costs'!O72:U72)/'Assumptions'!$J$94,0)-IF(0=(13-'Assumptions'!$J$94)-1,'Revenue and costs'!V72+'Revenue and costs'!Y72+'Revenue and costs'!AE72,0)+IF(AND(0&gt;=(13-'Assumptions'!$J$95)+'Assumptions'!$AF$95,0&lt;=12),'Revenue and costs'!N73/'Assumptions'!$J$95,0)-IF(AND(0&gt;=(13-'Assumptions'!$J$95),0&lt;=12),SUM('Revenue and costs'!O73:U73)/'Assumptions'!$J$95,0)-IF(0=(13-'Assumptions'!$J$95)-1,'Revenue and costs'!V73+'Revenue and costs'!Y73+'Revenue and costs'!AE73,0)+IF(AND(0&gt;=(13-'Assumptions'!$J$96)+'Assumptions'!$AF$96,0&lt;=12),'Revenue and costs'!N74/'Assumptions'!$J$96,0)-IF(AND(0&gt;=(13-'Assumptions'!$J$96),0&lt;=12),SUM('Revenue and costs'!O74:U74)/'Assumptions'!$J$96,0)-IF(0=(13-'Assumptions'!$J$96)-1,'Revenue and costs'!V74+'Revenue and costs'!Y74+'Revenue and costs'!AE74,0)+IF(AND(0&gt;=(13-'Assumptions'!$J$97)+'Assumptions'!$AF$97,0&lt;=12),'Revenue and costs'!N75/'Assumptions'!$J$97,0)-IF(AND(0&gt;=(13-'Assumptions'!$J$97),0&lt;=12),SUM('Revenue and costs'!O75:U75)/'Assumptions'!$J$97,0)-IF(0=(13-'Assumptions'!$J$97)-1,'Revenue and costs'!V75+'Revenue and costs'!Y75+'Revenue and costs'!AE75,0)+IF(AND(0&gt;=(13-'Assumptions'!$J$98)+'Assumptions'!$AF$98,0&lt;=12),'Revenue and costs'!N76/'Assumptions'!$J$98,0)-IF(AND(0&gt;=(13-'Assumptions'!$J$98),0&lt;=12),SUM('Revenue and costs'!O76:U76)/'Assumptions'!$J$98,0)-IF(0=(13-'Assumptions'!$J$98)-1,'Revenue and costs'!V76+'Revenue and costs'!Y76+'Revenue and costs'!AE76,0)-IF('Income statement'!D50=0,1/39,'Segment tax'!E24/'Income statement'!D50)*'Cash and capital'!D13</x:f>
        <x:v>-149.39455833676521</x:v>
      </x:c>
      <x:c r="E43" s="24" t="n">
        <x:f>D43+IF(AND(1&gt;=(13-'Assumptions'!$J$92)+'Assumptions'!$AF$92,1&lt;=12),'Revenue and costs'!N70/'Assumptions'!$J$92,0)-IF(AND(1&gt;=(13-'Assumptions'!$J$92),1&lt;=12),SUM('Revenue and costs'!O70:U70)/'Assumptions'!$J$92,0)-IF(1=(13-'Assumptions'!$J$92)-1,'Revenue and costs'!V70+'Revenue and costs'!Y70+'Revenue and costs'!AE70,0)+IF(AND(1&gt;=(13-'Assumptions'!$J$93)+'Assumptions'!$AF$93,1&lt;=12),'Revenue and costs'!N71/'Assumptions'!$J$93,0)-IF(AND(1&gt;=(13-'Assumptions'!$J$93),1&lt;=12),SUM('Revenue and costs'!O71:U71)/'Assumptions'!$J$93,0)-IF(1=(13-'Assumptions'!$J$93)-1,'Revenue and costs'!V71+'Revenue and costs'!Y71+'Revenue and costs'!AE71,0)+IF(AND(1&gt;=(13-'Assumptions'!$J$94)+'Assumptions'!$AF$94,1&lt;=12),'Revenue and costs'!N72/'Assumptions'!$J$94,0)-IF(AND(1&gt;=(13-'Assumptions'!$J$94),1&lt;=12),SUM('Revenue and costs'!O72:U72)/'Assumptions'!$J$94,0)-IF(1=(13-'Assumptions'!$J$94)-1,'Revenue and costs'!V72+'Revenue and costs'!Y72+'Revenue and costs'!AE72,0)+IF(AND(1&gt;=(13-'Assumptions'!$J$95)+'Assumptions'!$AF$95,1&lt;=12),'Revenue and costs'!N73/'Assumptions'!$J$95,0)-IF(AND(1&gt;=(13-'Assumptions'!$J$95),1&lt;=12),SUM('Revenue and costs'!O73:U73)/'Assumptions'!$J$95,0)-IF(1=(13-'Assumptions'!$J$95)-1,'Revenue and costs'!V73+'Revenue and costs'!Y73+'Revenue and costs'!AE73,0)+IF(AND(1&gt;=(13-'Assumptions'!$J$96)+'Assumptions'!$AF$96,1&lt;=12),'Revenue and costs'!N74/'Assumptions'!$J$96,0)-IF(AND(1&gt;=(13-'Assumptions'!$J$96),1&lt;=12),SUM('Revenue and costs'!O74:U74)/'Assumptions'!$J$96,0)-IF(1=(13-'Assumptions'!$J$96)-1,'Revenue and costs'!V74+'Revenue and costs'!Y74+'Revenue and costs'!AE74,0)+IF(AND(1&gt;=(13-'Assumptions'!$J$97)+'Assumptions'!$AF$97,1&lt;=12),'Revenue and costs'!N75/'Assumptions'!$J$97,0)-IF(AND(1&gt;=(13-'Assumptions'!$J$97),1&lt;=12),SUM('Revenue and costs'!O75:U75)/'Assumptions'!$J$97,0)-IF(1=(13-'Assumptions'!$J$97)-1,'Revenue and costs'!V75+'Revenue and costs'!Y75+'Revenue and costs'!AE75,0)+IF(AND(1&gt;=(13-'Assumptions'!$J$98)+'Assumptions'!$AF$98,1&lt;=12),'Revenue and costs'!N76/'Assumptions'!$J$98,0)-IF(AND(1&gt;=(13-'Assumptions'!$J$98),1&lt;=12),SUM('Revenue and costs'!O76:U76)/'Assumptions'!$J$98,0)-IF(1=(13-'Assumptions'!$J$98)-1,'Revenue and costs'!V76+'Revenue and costs'!Y76+'Revenue and costs'!AE76,0)-'Segment tax'!G24/12</x:f>
        <x:v>-728.5474628222917</x:v>
      </x:c>
      <x:c r="F43" s="24" t="n">
        <x:f>E43+IF(AND(2&gt;=(13-'Assumptions'!$J$92)+'Assumptions'!$AF$92,2&lt;=12),'Revenue and costs'!N70/'Assumptions'!$J$92,0)-IF(AND(2&gt;=(13-'Assumptions'!$J$92),2&lt;=12),SUM('Revenue and costs'!O70:U70)/'Assumptions'!$J$92,0)-IF(2=(13-'Assumptions'!$J$92)-1,'Revenue and costs'!V70+'Revenue and costs'!Y70+'Revenue and costs'!AE70,0)+IF(AND(2&gt;=(13-'Assumptions'!$J$93)+'Assumptions'!$AF$93,2&lt;=12),'Revenue and costs'!N71/'Assumptions'!$J$93,0)-IF(AND(2&gt;=(13-'Assumptions'!$J$93),2&lt;=12),SUM('Revenue and costs'!O71:U71)/'Assumptions'!$J$93,0)-IF(2=(13-'Assumptions'!$J$93)-1,'Revenue and costs'!V71+'Revenue and costs'!Y71+'Revenue and costs'!AE71,0)+IF(AND(2&gt;=(13-'Assumptions'!$J$94)+'Assumptions'!$AF$94,2&lt;=12),'Revenue and costs'!N72/'Assumptions'!$J$94,0)-IF(AND(2&gt;=(13-'Assumptions'!$J$94),2&lt;=12),SUM('Revenue and costs'!O72:U72)/'Assumptions'!$J$94,0)-IF(2=(13-'Assumptions'!$J$94)-1,'Revenue and costs'!V72+'Revenue and costs'!Y72+'Revenue and costs'!AE72,0)+IF(AND(2&gt;=(13-'Assumptions'!$J$95)+'Assumptions'!$AF$95,2&lt;=12),'Revenue and costs'!N73/'Assumptions'!$J$95,0)-IF(AND(2&gt;=(13-'Assumptions'!$J$95),2&lt;=12),SUM('Revenue and costs'!O73:U73)/'Assumptions'!$J$95,0)-IF(2=(13-'Assumptions'!$J$95)-1,'Revenue and costs'!V73+'Revenue and costs'!Y73+'Revenue and costs'!AE73,0)+IF(AND(2&gt;=(13-'Assumptions'!$J$96)+'Assumptions'!$AF$96,2&lt;=12),'Revenue and costs'!N74/'Assumptions'!$J$96,0)-IF(AND(2&gt;=(13-'Assumptions'!$J$96),2&lt;=12),SUM('Revenue and costs'!O74:U74)/'Assumptions'!$J$96,0)-IF(2=(13-'Assumptions'!$J$96)-1,'Revenue and costs'!V74+'Revenue and costs'!Y74+'Revenue and costs'!AE74,0)+IF(AND(2&gt;=(13-'Assumptions'!$J$97)+'Assumptions'!$AF$97,2&lt;=12),'Revenue and costs'!N75/'Assumptions'!$J$97,0)-IF(AND(2&gt;=(13-'Assumptions'!$J$97),2&lt;=12),SUM('Revenue and costs'!O75:U75)/'Assumptions'!$J$97,0)-IF(2=(13-'Assumptions'!$J$97)-1,'Revenue and costs'!V75+'Revenue and costs'!Y75+'Revenue and costs'!AE75,0)+IF(AND(2&gt;=(13-'Assumptions'!$J$98)+'Assumptions'!$AF$98,2&lt;=12),'Revenue and costs'!N76/'Assumptions'!$J$98,0)-IF(AND(2&gt;=(13-'Assumptions'!$J$98),2&lt;=12),SUM('Revenue and costs'!O76:U76)/'Assumptions'!$J$98,0)-IF(2=(13-'Assumptions'!$J$98)-1,'Revenue and costs'!V76+'Revenue and costs'!Y76+'Revenue and costs'!AE76,0)-'Segment tax'!G24/12</x:f>
        <x:v>-1307.7003673078182</x:v>
      </x:c>
      <x:c r="G43" s="24" t="n">
        <x:f>F43+IF(AND(3&gt;=(13-'Assumptions'!$J$92)+'Assumptions'!$AF$92,3&lt;=12),'Revenue and costs'!N70/'Assumptions'!$J$92,0)-IF(AND(3&gt;=(13-'Assumptions'!$J$92),3&lt;=12),SUM('Revenue and costs'!O70:U70)/'Assumptions'!$J$92,0)-IF(3=(13-'Assumptions'!$J$92)-1,'Revenue and costs'!V70+'Revenue and costs'!Y70+'Revenue and costs'!AE70,0)+IF(AND(3&gt;=(13-'Assumptions'!$J$93)+'Assumptions'!$AF$93,3&lt;=12),'Revenue and costs'!N71/'Assumptions'!$J$93,0)-IF(AND(3&gt;=(13-'Assumptions'!$J$93),3&lt;=12),SUM('Revenue and costs'!O71:U71)/'Assumptions'!$J$93,0)-IF(3=(13-'Assumptions'!$J$93)-1,'Revenue and costs'!V71+'Revenue and costs'!Y71+'Revenue and costs'!AE71,0)+IF(AND(3&gt;=(13-'Assumptions'!$J$94)+'Assumptions'!$AF$94,3&lt;=12),'Revenue and costs'!N72/'Assumptions'!$J$94,0)-IF(AND(3&gt;=(13-'Assumptions'!$J$94),3&lt;=12),SUM('Revenue and costs'!O72:U72)/'Assumptions'!$J$94,0)-IF(3=(13-'Assumptions'!$J$94)-1,'Revenue and costs'!V72+'Revenue and costs'!Y72+'Revenue and costs'!AE72,0)+IF(AND(3&gt;=(13-'Assumptions'!$J$95)+'Assumptions'!$AF$95,3&lt;=12),'Revenue and costs'!N73/'Assumptions'!$J$95,0)-IF(AND(3&gt;=(13-'Assumptions'!$J$95),3&lt;=12),SUM('Revenue and costs'!O73:U73)/'Assumptions'!$J$95,0)-IF(3=(13-'Assumptions'!$J$95)-1,'Revenue and costs'!V73+'Revenue and costs'!Y73+'Revenue and costs'!AE73,0)+IF(AND(3&gt;=(13-'Assumptions'!$J$96)+'Assumptions'!$AF$96,3&lt;=12),'Revenue and costs'!N74/'Assumptions'!$J$96,0)-IF(AND(3&gt;=(13-'Assumptions'!$J$96),3&lt;=12),SUM('Revenue and costs'!O74:U74)/'Assumptions'!$J$96,0)-IF(3=(13-'Assumptions'!$J$96)-1,'Revenue and costs'!V74+'Revenue and costs'!Y74+'Revenue and costs'!AE74,0)+IF(AND(3&gt;=(13-'Assumptions'!$J$97)+'Assumptions'!$AF$97,3&lt;=12),'Revenue and costs'!N75/'Assumptions'!$J$97,0)-IF(AND(3&gt;=(13-'Assumptions'!$J$97),3&lt;=12),SUM('Revenue and costs'!O75:U75)/'Assumptions'!$J$97,0)-IF(3=(13-'Assumptions'!$J$97)-1,'Revenue and costs'!V75+'Revenue and costs'!Y75+'Revenue and costs'!AE75,0)+IF(AND(3&gt;=(13-'Assumptions'!$J$98)+'Assumptions'!$AF$98,3&lt;=12),'Revenue and costs'!N76/'Assumptions'!$J$98,0)-IF(AND(3&gt;=(13-'Assumptions'!$J$98),3&lt;=12),SUM('Revenue and costs'!O76:U76)/'Assumptions'!$J$98,0)-IF(3=(13-'Assumptions'!$J$98)-1,'Revenue and costs'!V76+'Revenue and costs'!Y76+'Revenue and costs'!AE76,0)-'Segment tax'!G24/12</x:f>
        <x:v>-2446.853271793345</x:v>
      </x:c>
      <x:c r="H43" s="24" t="n">
        <x:f>G43+IF(AND(4&gt;=(13-'Assumptions'!$J$92)+'Assumptions'!$AF$92,4&lt;=12),'Revenue and costs'!N70/'Assumptions'!$J$92,0)-IF(AND(4&gt;=(13-'Assumptions'!$J$92),4&lt;=12),SUM('Revenue and costs'!O70:U70)/'Assumptions'!$J$92,0)-IF(4=(13-'Assumptions'!$J$92)-1,'Revenue and costs'!V70+'Revenue and costs'!Y70+'Revenue and costs'!AE70,0)+IF(AND(4&gt;=(13-'Assumptions'!$J$93)+'Assumptions'!$AF$93,4&lt;=12),'Revenue and costs'!N71/'Assumptions'!$J$93,0)-IF(AND(4&gt;=(13-'Assumptions'!$J$93),4&lt;=12),SUM('Revenue and costs'!O71:U71)/'Assumptions'!$J$93,0)-IF(4=(13-'Assumptions'!$J$93)-1,'Revenue and costs'!V71+'Revenue and costs'!Y71+'Revenue and costs'!AE71,0)+IF(AND(4&gt;=(13-'Assumptions'!$J$94)+'Assumptions'!$AF$94,4&lt;=12),'Revenue and costs'!N72/'Assumptions'!$J$94,0)-IF(AND(4&gt;=(13-'Assumptions'!$J$94),4&lt;=12),SUM('Revenue and costs'!O72:U72)/'Assumptions'!$J$94,0)-IF(4=(13-'Assumptions'!$J$94)-1,'Revenue and costs'!V72+'Revenue and costs'!Y72+'Revenue and costs'!AE72,0)+IF(AND(4&gt;=(13-'Assumptions'!$J$95)+'Assumptions'!$AF$95,4&lt;=12),'Revenue and costs'!N73/'Assumptions'!$J$95,0)-IF(AND(4&gt;=(13-'Assumptions'!$J$95),4&lt;=12),SUM('Revenue and costs'!O73:U73)/'Assumptions'!$J$95,0)-IF(4=(13-'Assumptions'!$J$95)-1,'Revenue and costs'!V73+'Revenue and costs'!Y73+'Revenue and costs'!AE73,0)+IF(AND(4&gt;=(13-'Assumptions'!$J$96)+'Assumptions'!$AF$96,4&lt;=12),'Revenue and costs'!N74/'Assumptions'!$J$96,0)-IF(AND(4&gt;=(13-'Assumptions'!$J$96),4&lt;=12),SUM('Revenue and costs'!O74:U74)/'Assumptions'!$J$96,0)-IF(4=(13-'Assumptions'!$J$96)-1,'Revenue and costs'!V74+'Revenue and costs'!Y74+'Revenue and costs'!AE74,0)+IF(AND(4&gt;=(13-'Assumptions'!$J$97)+'Assumptions'!$AF$97,4&lt;=12),'Revenue and costs'!N75/'Assumptions'!$J$97,0)-IF(AND(4&gt;=(13-'Assumptions'!$J$97),4&lt;=12),SUM('Revenue and costs'!O75:U75)/'Assumptions'!$J$97,0)-IF(4=(13-'Assumptions'!$J$97)-1,'Revenue and costs'!V75+'Revenue and costs'!Y75+'Revenue and costs'!AE75,0)+IF(AND(4&gt;=(13-'Assumptions'!$J$98)+'Assumptions'!$AF$98,4&lt;=12),'Revenue and costs'!N76/'Assumptions'!$J$98,0)-IF(AND(4&gt;=(13-'Assumptions'!$J$98),4&lt;=12),SUM('Revenue and costs'!O76:U76)/'Assumptions'!$J$98,0)-IF(4=(13-'Assumptions'!$J$98)-1,'Revenue and costs'!V76+'Revenue and costs'!Y76+'Revenue and costs'!AE76,0)-'Segment tax'!G24/12</x:f>
        <x:v>-1343.123509612205</x:v>
      </x:c>
      <x:c r="I43" s="24" t="n">
        <x:f>H43+IF(AND(5&gt;=(13-'Assumptions'!$J$92)+'Assumptions'!$AF$92,5&lt;=12),'Revenue and costs'!N70/'Assumptions'!$J$92,0)-IF(AND(5&gt;=(13-'Assumptions'!$J$92),5&lt;=12),SUM('Revenue and costs'!O70:U70)/'Assumptions'!$J$92,0)-IF(5=(13-'Assumptions'!$J$92)-1,'Revenue and costs'!V70+'Revenue and costs'!Y70+'Revenue and costs'!AE70,0)+IF(AND(5&gt;=(13-'Assumptions'!$J$93)+'Assumptions'!$AF$93,5&lt;=12),'Revenue and costs'!N71/'Assumptions'!$J$93,0)-IF(AND(5&gt;=(13-'Assumptions'!$J$93),5&lt;=12),SUM('Revenue and costs'!O71:U71)/'Assumptions'!$J$93,0)-IF(5=(13-'Assumptions'!$J$93)-1,'Revenue and costs'!V71+'Revenue and costs'!Y71+'Revenue and costs'!AE71,0)+IF(AND(5&gt;=(13-'Assumptions'!$J$94)+'Assumptions'!$AF$94,5&lt;=12),'Revenue and costs'!N72/'Assumptions'!$J$94,0)-IF(AND(5&gt;=(13-'Assumptions'!$J$94),5&lt;=12),SUM('Revenue and costs'!O72:U72)/'Assumptions'!$J$94,0)-IF(5=(13-'Assumptions'!$J$94)-1,'Revenue and costs'!V72+'Revenue and costs'!Y72+'Revenue and costs'!AE72,0)+IF(AND(5&gt;=(13-'Assumptions'!$J$95)+'Assumptions'!$AF$95,5&lt;=12),'Revenue and costs'!N73/'Assumptions'!$J$95,0)-IF(AND(5&gt;=(13-'Assumptions'!$J$95),5&lt;=12),SUM('Revenue and costs'!O73:U73)/'Assumptions'!$J$95,0)-IF(5=(13-'Assumptions'!$J$95)-1,'Revenue and costs'!V73+'Revenue and costs'!Y73+'Revenue and costs'!AE73,0)+IF(AND(5&gt;=(13-'Assumptions'!$J$96)+'Assumptions'!$AF$96,5&lt;=12),'Revenue and costs'!N74/'Assumptions'!$J$96,0)-IF(AND(5&gt;=(13-'Assumptions'!$J$96),5&lt;=12),SUM('Revenue and costs'!O74:U74)/'Assumptions'!$J$96,0)-IF(5=(13-'Assumptions'!$J$96)-1,'Revenue and costs'!V74+'Revenue and costs'!Y74+'Revenue and costs'!AE74,0)+IF(AND(5&gt;=(13-'Assumptions'!$J$97)+'Assumptions'!$AF$97,5&lt;=12),'Revenue and costs'!N75/'Assumptions'!$J$97,0)-IF(AND(5&gt;=(13-'Assumptions'!$J$97),5&lt;=12),SUM('Revenue and costs'!O75:U75)/'Assumptions'!$J$97,0)-IF(5=(13-'Assumptions'!$J$97)-1,'Revenue and costs'!V75+'Revenue and costs'!Y75+'Revenue and costs'!AE75,0)+IF(AND(5&gt;=(13-'Assumptions'!$J$98)+'Assumptions'!$AF$98,5&lt;=12),'Revenue and costs'!N76/'Assumptions'!$J$98,0)-IF(AND(5&gt;=(13-'Assumptions'!$J$98),5&lt;=12),SUM('Revenue and costs'!O76:U76)/'Assumptions'!$J$98,0)-IF(5=(13-'Assumptions'!$J$98)-1,'Revenue and costs'!V76+'Revenue and costs'!Y76+'Revenue and costs'!AE76,0)-'Segment tax'!G24/12</x:f>
        <x:v>-239.39374743106498</x:v>
      </x:c>
      <x:c r="J43" s="24" t="n">
        <x:f>I43+IF(AND(6&gt;=(13-'Assumptions'!$J$92)+'Assumptions'!$AF$92,6&lt;=12),'Revenue and costs'!N70/'Assumptions'!$J$92,0)-IF(AND(6&gt;=(13-'Assumptions'!$J$92),6&lt;=12),SUM('Revenue and costs'!O70:U70)/'Assumptions'!$J$92,0)-IF(6=(13-'Assumptions'!$J$92)-1,'Revenue and costs'!V70+'Revenue and costs'!Y70+'Revenue and costs'!AE70,0)+IF(AND(6&gt;=(13-'Assumptions'!$J$93)+'Assumptions'!$AF$93,6&lt;=12),'Revenue and costs'!N71/'Assumptions'!$J$93,0)-IF(AND(6&gt;=(13-'Assumptions'!$J$93),6&lt;=12),SUM('Revenue and costs'!O71:U71)/'Assumptions'!$J$93,0)-IF(6=(13-'Assumptions'!$J$93)-1,'Revenue and costs'!V71+'Revenue and costs'!Y71+'Revenue and costs'!AE71,0)+IF(AND(6&gt;=(13-'Assumptions'!$J$94)+'Assumptions'!$AF$94,6&lt;=12),'Revenue and costs'!N72/'Assumptions'!$J$94,0)-IF(AND(6&gt;=(13-'Assumptions'!$J$94),6&lt;=12),SUM('Revenue and costs'!O72:U72)/'Assumptions'!$J$94,0)-IF(6=(13-'Assumptions'!$J$94)-1,'Revenue and costs'!V72+'Revenue and costs'!Y72+'Revenue and costs'!AE72,0)+IF(AND(6&gt;=(13-'Assumptions'!$J$95)+'Assumptions'!$AF$95,6&lt;=12),'Revenue and costs'!N73/'Assumptions'!$J$95,0)-IF(AND(6&gt;=(13-'Assumptions'!$J$95),6&lt;=12),SUM('Revenue and costs'!O73:U73)/'Assumptions'!$J$95,0)-IF(6=(13-'Assumptions'!$J$95)-1,'Revenue and costs'!V73+'Revenue and costs'!Y73+'Revenue and costs'!AE73,0)+IF(AND(6&gt;=(13-'Assumptions'!$J$96)+'Assumptions'!$AF$96,6&lt;=12),'Revenue and costs'!N74/'Assumptions'!$J$96,0)-IF(AND(6&gt;=(13-'Assumptions'!$J$96),6&lt;=12),SUM('Revenue and costs'!O74:U74)/'Assumptions'!$J$96,0)-IF(6=(13-'Assumptions'!$J$96)-1,'Revenue and costs'!V74+'Revenue and costs'!Y74+'Revenue and costs'!AE74,0)+IF(AND(6&gt;=(13-'Assumptions'!$J$97)+'Assumptions'!$AF$97,6&lt;=12),'Revenue and costs'!N75/'Assumptions'!$J$97,0)-IF(AND(6&gt;=(13-'Assumptions'!$J$97),6&lt;=12),SUM('Revenue and costs'!O75:U75)/'Assumptions'!$J$97,0)-IF(6=(13-'Assumptions'!$J$97)-1,'Revenue and costs'!V75+'Revenue and costs'!Y75+'Revenue and costs'!AE75,0)+IF(AND(6&gt;=(13-'Assumptions'!$J$98)+'Assumptions'!$AF$98,6&lt;=12),'Revenue and costs'!N76/'Assumptions'!$J$98,0)-IF(AND(6&gt;=(13-'Assumptions'!$J$98),6&lt;=12),SUM('Revenue and costs'!O76:U76)/'Assumptions'!$J$98,0)-IF(6=(13-'Assumptions'!$J$98)-1,'Revenue and costs'!V76+'Revenue and costs'!Y76+'Revenue and costs'!AE76,0)-'Segment tax'!G24/12</x:f>
        <x:v>864.3360147500753</x:v>
      </x:c>
      <x:c r="K43" s="24" t="n">
        <x:f>J43+IF(AND(7&gt;=(13-'Assumptions'!$J$92)+'Assumptions'!$AF$92,7&lt;=12),'Revenue and costs'!N70/'Assumptions'!$J$92,0)-IF(AND(7&gt;=(13-'Assumptions'!$J$92),7&lt;=12),SUM('Revenue and costs'!O70:U70)/'Assumptions'!$J$92,0)-IF(7=(13-'Assumptions'!$J$92)-1,'Revenue and costs'!V70+'Revenue and costs'!Y70+'Revenue and costs'!AE70,0)+IF(AND(7&gt;=(13-'Assumptions'!$J$93)+'Assumptions'!$AF$93,7&lt;=12),'Revenue and costs'!N71/'Assumptions'!$J$93,0)-IF(AND(7&gt;=(13-'Assumptions'!$J$93),7&lt;=12),SUM('Revenue and costs'!O71:U71)/'Assumptions'!$J$93,0)-IF(7=(13-'Assumptions'!$J$93)-1,'Revenue and costs'!V71+'Revenue and costs'!Y71+'Revenue and costs'!AE71,0)+IF(AND(7&gt;=(13-'Assumptions'!$J$94)+'Assumptions'!$AF$94,7&lt;=12),'Revenue and costs'!N72/'Assumptions'!$J$94,0)-IF(AND(7&gt;=(13-'Assumptions'!$J$94),7&lt;=12),SUM('Revenue and costs'!O72:U72)/'Assumptions'!$J$94,0)-IF(7=(13-'Assumptions'!$J$94)-1,'Revenue and costs'!V72+'Revenue and costs'!Y72+'Revenue and costs'!AE72,0)+IF(AND(7&gt;=(13-'Assumptions'!$J$95)+'Assumptions'!$AF$95,7&lt;=12),'Revenue and costs'!N73/'Assumptions'!$J$95,0)-IF(AND(7&gt;=(13-'Assumptions'!$J$95),7&lt;=12),SUM('Revenue and costs'!O73:U73)/'Assumptions'!$J$95,0)-IF(7=(13-'Assumptions'!$J$95)-1,'Revenue and costs'!V73+'Revenue and costs'!Y73+'Revenue and costs'!AE73,0)+IF(AND(7&gt;=(13-'Assumptions'!$J$96)+'Assumptions'!$AF$96,7&lt;=12),'Revenue and costs'!N74/'Assumptions'!$J$96,0)-IF(AND(7&gt;=(13-'Assumptions'!$J$96),7&lt;=12),SUM('Revenue and costs'!O74:U74)/'Assumptions'!$J$96,0)-IF(7=(13-'Assumptions'!$J$96)-1,'Revenue and costs'!V74+'Revenue and costs'!Y74+'Revenue and costs'!AE74,0)+IF(AND(7&gt;=(13-'Assumptions'!$J$97)+'Assumptions'!$AF$97,7&lt;=12),'Revenue and costs'!N75/'Assumptions'!$J$97,0)-IF(AND(7&gt;=(13-'Assumptions'!$J$97),7&lt;=12),SUM('Revenue and costs'!O75:U75)/'Assumptions'!$J$97,0)-IF(7=(13-'Assumptions'!$J$97)-1,'Revenue and costs'!V75+'Revenue and costs'!Y75+'Revenue and costs'!AE75,0)+IF(AND(7&gt;=(13-'Assumptions'!$J$98)+'Assumptions'!$AF$98,7&lt;=12),'Revenue and costs'!N76/'Assumptions'!$J$98,0)-IF(AND(7&gt;=(13-'Assumptions'!$J$98),7&lt;=12),SUM('Revenue and costs'!O76:U76)/'Assumptions'!$J$98,0)-IF(7=(13-'Assumptions'!$J$98)-1,'Revenue and costs'!V76+'Revenue and costs'!Y76+'Revenue and costs'!AE76,0)-'Segment tax'!G24/12</x:f>
        <x:v>1968.0657769312152</x:v>
      </x:c>
      <x:c r="L43" s="24" t="n">
        <x:f>K43+IF(AND(8&gt;=(13-'Assumptions'!$J$92)+'Assumptions'!$AF$92,8&lt;=12),'Revenue and costs'!N70/'Assumptions'!$J$92,0)-IF(AND(8&gt;=(13-'Assumptions'!$J$92),8&lt;=12),SUM('Revenue and costs'!O70:U70)/'Assumptions'!$J$92,0)-IF(8=(13-'Assumptions'!$J$92)-1,'Revenue and costs'!V70+'Revenue and costs'!Y70+'Revenue and costs'!AE70,0)+IF(AND(8&gt;=(13-'Assumptions'!$J$93)+'Assumptions'!$AF$93,8&lt;=12),'Revenue and costs'!N71/'Assumptions'!$J$93,0)-IF(AND(8&gt;=(13-'Assumptions'!$J$93),8&lt;=12),SUM('Revenue and costs'!O71:U71)/'Assumptions'!$J$93,0)-IF(8=(13-'Assumptions'!$J$93)-1,'Revenue and costs'!V71+'Revenue and costs'!Y71+'Revenue and costs'!AE71,0)+IF(AND(8&gt;=(13-'Assumptions'!$J$94)+'Assumptions'!$AF$94,8&lt;=12),'Revenue and costs'!N72/'Assumptions'!$J$94,0)-IF(AND(8&gt;=(13-'Assumptions'!$J$94),8&lt;=12),SUM('Revenue and costs'!O72:U72)/'Assumptions'!$J$94,0)-IF(8=(13-'Assumptions'!$J$94)-1,'Revenue and costs'!V72+'Revenue and costs'!Y72+'Revenue and costs'!AE72,0)+IF(AND(8&gt;=(13-'Assumptions'!$J$95)+'Assumptions'!$AF$95,8&lt;=12),'Revenue and costs'!N73/'Assumptions'!$J$95,0)-IF(AND(8&gt;=(13-'Assumptions'!$J$95),8&lt;=12),SUM('Revenue and costs'!O73:U73)/'Assumptions'!$J$95,0)-IF(8=(13-'Assumptions'!$J$95)-1,'Revenue and costs'!V73+'Revenue and costs'!Y73+'Revenue and costs'!AE73,0)+IF(AND(8&gt;=(13-'Assumptions'!$J$96)+'Assumptions'!$AF$96,8&lt;=12),'Revenue and costs'!N74/'Assumptions'!$J$96,0)-IF(AND(8&gt;=(13-'Assumptions'!$J$96),8&lt;=12),SUM('Revenue and costs'!O74:U74)/'Assumptions'!$J$96,0)-IF(8=(13-'Assumptions'!$J$96)-1,'Revenue and costs'!V74+'Revenue and costs'!Y74+'Revenue and costs'!AE74,0)+IF(AND(8&gt;=(13-'Assumptions'!$J$97)+'Assumptions'!$AF$97,8&lt;=12),'Revenue and costs'!N75/'Assumptions'!$J$97,0)-IF(AND(8&gt;=(13-'Assumptions'!$J$97),8&lt;=12),SUM('Revenue and costs'!O75:U75)/'Assumptions'!$J$97,0)-IF(8=(13-'Assumptions'!$J$97)-1,'Revenue and costs'!V75+'Revenue and costs'!Y75+'Revenue and costs'!AE75,0)+IF(AND(8&gt;=(13-'Assumptions'!$J$98)+'Assumptions'!$AF$98,8&lt;=12),'Revenue and costs'!N76/'Assumptions'!$J$98,0)-IF(AND(8&gt;=(13-'Assumptions'!$J$98),8&lt;=12),SUM('Revenue and costs'!O76:U76)/'Assumptions'!$J$98,0)-IF(8=(13-'Assumptions'!$J$98)-1,'Revenue and costs'!V76+'Revenue and costs'!Y76+'Revenue and costs'!AE76,0)-'Segment tax'!G24/12</x:f>
        <x:v>3071.7955391123546</x:v>
      </x:c>
      <x:c r="M43" s="24" t="n">
        <x:f>L43+IF(AND(9&gt;=(13-'Assumptions'!$J$92)+'Assumptions'!$AF$92,9&lt;=12),'Revenue and costs'!N70/'Assumptions'!$J$92,0)-IF(AND(9&gt;=(13-'Assumptions'!$J$92),9&lt;=12),SUM('Revenue and costs'!O70:U70)/'Assumptions'!$J$92,0)-IF(9=(13-'Assumptions'!$J$92)-1,'Revenue and costs'!V70+'Revenue and costs'!Y70+'Revenue and costs'!AE70,0)+IF(AND(9&gt;=(13-'Assumptions'!$J$93)+'Assumptions'!$AF$93,9&lt;=12),'Revenue and costs'!N71/'Assumptions'!$J$93,0)-IF(AND(9&gt;=(13-'Assumptions'!$J$93),9&lt;=12),SUM('Revenue and costs'!O71:U71)/'Assumptions'!$J$93,0)-IF(9=(13-'Assumptions'!$J$93)-1,'Revenue and costs'!V71+'Revenue and costs'!Y71+'Revenue and costs'!AE71,0)+IF(AND(9&gt;=(13-'Assumptions'!$J$94)+'Assumptions'!$AF$94,9&lt;=12),'Revenue and costs'!N72/'Assumptions'!$J$94,0)-IF(AND(9&gt;=(13-'Assumptions'!$J$94),9&lt;=12),SUM('Revenue and costs'!O72:U72)/'Assumptions'!$J$94,0)-IF(9=(13-'Assumptions'!$J$94)-1,'Revenue and costs'!V72+'Revenue and costs'!Y72+'Revenue and costs'!AE72,0)+IF(AND(9&gt;=(13-'Assumptions'!$J$95)+'Assumptions'!$AF$95,9&lt;=12),'Revenue and costs'!N73/'Assumptions'!$J$95,0)-IF(AND(9&gt;=(13-'Assumptions'!$J$95),9&lt;=12),SUM('Revenue and costs'!O73:U73)/'Assumptions'!$J$95,0)-IF(9=(13-'Assumptions'!$J$95)-1,'Revenue and costs'!V73+'Revenue and costs'!Y73+'Revenue and costs'!AE73,0)+IF(AND(9&gt;=(13-'Assumptions'!$J$96)+'Assumptions'!$AF$96,9&lt;=12),'Revenue and costs'!N74/'Assumptions'!$J$96,0)-IF(AND(9&gt;=(13-'Assumptions'!$J$96),9&lt;=12),SUM('Revenue and costs'!O74:U74)/'Assumptions'!$J$96,0)-IF(9=(13-'Assumptions'!$J$96)-1,'Revenue and costs'!V74+'Revenue and costs'!Y74+'Revenue and costs'!AE74,0)+IF(AND(9&gt;=(13-'Assumptions'!$J$97)+'Assumptions'!$AF$97,9&lt;=12),'Revenue and costs'!N75/'Assumptions'!$J$97,0)-IF(AND(9&gt;=(13-'Assumptions'!$J$97),9&lt;=12),SUM('Revenue and costs'!O75:U75)/'Assumptions'!$J$97,0)-IF(9=(13-'Assumptions'!$J$97)-1,'Revenue and costs'!V75+'Revenue and costs'!Y75+'Revenue and costs'!AE75,0)+IF(AND(9&gt;=(13-'Assumptions'!$J$98)+'Assumptions'!$AF$98,9&lt;=12),'Revenue and costs'!N76/'Assumptions'!$J$98,0)-IF(AND(9&gt;=(13-'Assumptions'!$J$98),9&lt;=12),SUM('Revenue and costs'!O76:U76)/'Assumptions'!$J$98,0)-IF(9=(13-'Assumptions'!$J$98)-1,'Revenue and costs'!V76+'Revenue and costs'!Y76+'Revenue and costs'!AE76,0)-'Segment tax'!G24/12</x:f>
        <x:v>4175.525301293494</x:v>
      </x:c>
      <x:c r="N43" s="24" t="n">
        <x:f>M43+IF(AND(10&gt;=(13-'Assumptions'!$J$92)+'Assumptions'!$AF$92,10&lt;=12),'Revenue and costs'!N70/'Assumptions'!$J$92,0)-IF(AND(10&gt;=(13-'Assumptions'!$J$92),10&lt;=12),SUM('Revenue and costs'!O70:U70)/'Assumptions'!$J$92,0)-IF(10=(13-'Assumptions'!$J$92)-1,'Revenue and costs'!V70+'Revenue and costs'!Y70+'Revenue and costs'!AE70,0)+IF(AND(10&gt;=(13-'Assumptions'!$J$93)+'Assumptions'!$AF$93,10&lt;=12),'Revenue and costs'!N71/'Assumptions'!$J$93,0)-IF(AND(10&gt;=(13-'Assumptions'!$J$93),10&lt;=12),SUM('Revenue and costs'!O71:U71)/'Assumptions'!$J$93,0)-IF(10=(13-'Assumptions'!$J$93)-1,'Revenue and costs'!V71+'Revenue and costs'!Y71+'Revenue and costs'!AE71,0)+IF(AND(10&gt;=(13-'Assumptions'!$J$94)+'Assumptions'!$AF$94,10&lt;=12),'Revenue and costs'!N72/'Assumptions'!$J$94,0)-IF(AND(10&gt;=(13-'Assumptions'!$J$94),10&lt;=12),SUM('Revenue and costs'!O72:U72)/'Assumptions'!$J$94,0)-IF(10=(13-'Assumptions'!$J$94)-1,'Revenue and costs'!V72+'Revenue and costs'!Y72+'Revenue and costs'!AE72,0)+IF(AND(10&gt;=(13-'Assumptions'!$J$95)+'Assumptions'!$AF$95,10&lt;=12),'Revenue and costs'!N73/'Assumptions'!$J$95,0)-IF(AND(10&gt;=(13-'Assumptions'!$J$95),10&lt;=12),SUM('Revenue and costs'!O73:U73)/'Assumptions'!$J$95,0)-IF(10=(13-'Assumptions'!$J$95)-1,'Revenue and costs'!V73+'Revenue and costs'!Y73+'Revenue and costs'!AE73,0)+IF(AND(10&gt;=(13-'Assumptions'!$J$96)+'Assumptions'!$AF$96,10&lt;=12),'Revenue and costs'!N74/'Assumptions'!$J$96,0)-IF(AND(10&gt;=(13-'Assumptions'!$J$96),10&lt;=12),SUM('Revenue and costs'!O74:U74)/'Assumptions'!$J$96,0)-IF(10=(13-'Assumptions'!$J$96)-1,'Revenue and costs'!V74+'Revenue and costs'!Y74+'Revenue and costs'!AE74,0)+IF(AND(10&gt;=(13-'Assumptions'!$J$97)+'Assumptions'!$AF$97,10&lt;=12),'Revenue and costs'!N75/'Assumptions'!$J$97,0)-IF(AND(10&gt;=(13-'Assumptions'!$J$97),10&lt;=12),SUM('Revenue and costs'!O75:U75)/'Assumptions'!$J$97,0)-IF(10=(13-'Assumptions'!$J$97)-1,'Revenue and costs'!V75+'Revenue and costs'!Y75+'Revenue and costs'!AE75,0)+IF(AND(10&gt;=(13-'Assumptions'!$J$98)+'Assumptions'!$AF$98,10&lt;=12),'Revenue and costs'!N76/'Assumptions'!$J$98,0)-IF(AND(10&gt;=(13-'Assumptions'!$J$98),10&lt;=12),SUM('Revenue and costs'!O76:U76)/'Assumptions'!$J$98,0)-IF(10=(13-'Assumptions'!$J$98)-1,'Revenue and costs'!V76+'Revenue and costs'!Y76+'Revenue and costs'!AE76,0)-'Segment tax'!G24/12</x:f>
        <x:v>5279.255063474633</x:v>
      </x:c>
      <x:c r="O43" s="24" t="n">
        <x:f>N43+IF(AND(11&gt;=(13-'Assumptions'!$J$92)+'Assumptions'!$AF$92,11&lt;=12),'Revenue and costs'!N70/'Assumptions'!$J$92,0)-IF(AND(11&gt;=(13-'Assumptions'!$J$92),11&lt;=12),SUM('Revenue and costs'!O70:U70)/'Assumptions'!$J$92,0)-IF(11=(13-'Assumptions'!$J$92)-1,'Revenue and costs'!V70+'Revenue and costs'!Y70+'Revenue and costs'!AE70,0)+IF(AND(11&gt;=(13-'Assumptions'!$J$93)+'Assumptions'!$AF$93,11&lt;=12),'Revenue and costs'!N71/'Assumptions'!$J$93,0)-IF(AND(11&gt;=(13-'Assumptions'!$J$93),11&lt;=12),SUM('Revenue and costs'!O71:U71)/'Assumptions'!$J$93,0)-IF(11=(13-'Assumptions'!$J$93)-1,'Revenue and costs'!V71+'Revenue and costs'!Y71+'Revenue and costs'!AE71,0)+IF(AND(11&gt;=(13-'Assumptions'!$J$94)+'Assumptions'!$AF$94,11&lt;=12),'Revenue and costs'!N72/'Assumptions'!$J$94,0)-IF(AND(11&gt;=(13-'Assumptions'!$J$94),11&lt;=12),SUM('Revenue and costs'!O72:U72)/'Assumptions'!$J$94,0)-IF(11=(13-'Assumptions'!$J$94)-1,'Revenue and costs'!V72+'Revenue and costs'!Y72+'Revenue and costs'!AE72,0)+IF(AND(11&gt;=(13-'Assumptions'!$J$95)+'Assumptions'!$AF$95,11&lt;=12),'Revenue and costs'!N73/'Assumptions'!$J$95,0)-IF(AND(11&gt;=(13-'Assumptions'!$J$95),11&lt;=12),SUM('Revenue and costs'!O73:U73)/'Assumptions'!$J$95,0)-IF(11=(13-'Assumptions'!$J$95)-1,'Revenue and costs'!V73+'Revenue and costs'!Y73+'Revenue and costs'!AE73,0)+IF(AND(11&gt;=(13-'Assumptions'!$J$96)+'Assumptions'!$AF$96,11&lt;=12),'Revenue and costs'!N74/'Assumptions'!$J$96,0)-IF(AND(11&gt;=(13-'Assumptions'!$J$96),11&lt;=12),SUM('Revenue and costs'!O74:U74)/'Assumptions'!$J$96,0)-IF(11=(13-'Assumptions'!$J$96)-1,'Revenue and costs'!V74+'Revenue and costs'!Y74+'Revenue and costs'!AE74,0)+IF(AND(11&gt;=(13-'Assumptions'!$J$97)+'Assumptions'!$AF$97,11&lt;=12),'Revenue and costs'!N75/'Assumptions'!$J$97,0)-IF(AND(11&gt;=(13-'Assumptions'!$J$97),11&lt;=12),SUM('Revenue and costs'!O75:U75)/'Assumptions'!$J$97,0)-IF(11=(13-'Assumptions'!$J$97)-1,'Revenue and costs'!V75+'Revenue and costs'!Y75+'Revenue and costs'!AE75,0)+IF(AND(11&gt;=(13-'Assumptions'!$J$98)+'Assumptions'!$AF$98,11&lt;=12),'Revenue and costs'!N76/'Assumptions'!$J$98,0)-IF(AND(11&gt;=(13-'Assumptions'!$J$98),11&lt;=12),SUM('Revenue and costs'!O76:U76)/'Assumptions'!$J$98,0)-IF(11=(13-'Assumptions'!$J$98)-1,'Revenue and costs'!V76+'Revenue and costs'!Y76+'Revenue and costs'!AE76,0)-'Segment tax'!G24/12</x:f>
        <x:v>6382.9848256557725</x:v>
      </x:c>
      <x:c r="P43" s="24" t="n">
        <x:f>O43+IF(AND(12&gt;=(13-'Assumptions'!$J$92)+'Assumptions'!$AF$92,12&lt;=12),'Revenue and costs'!N70/'Assumptions'!$J$92,0)-IF(AND(12&gt;=(13-'Assumptions'!$J$92),12&lt;=12),SUM('Revenue and costs'!O70:U70)/'Assumptions'!$J$92,0)-IF(12=(13-'Assumptions'!$J$92)-1,'Revenue and costs'!V70+'Revenue and costs'!Y70+'Revenue and costs'!AE70,0)+IF(AND(12&gt;=(13-'Assumptions'!$J$93)+'Assumptions'!$AF$93,12&lt;=12),'Revenue and costs'!N71/'Assumptions'!$J$93,0)-IF(AND(12&gt;=(13-'Assumptions'!$J$93),12&lt;=12),SUM('Revenue and costs'!O71:U71)/'Assumptions'!$J$93,0)-IF(12=(13-'Assumptions'!$J$93)-1,'Revenue and costs'!V71+'Revenue and costs'!Y71+'Revenue and costs'!AE71,0)+IF(AND(12&gt;=(13-'Assumptions'!$J$94)+'Assumptions'!$AF$94,12&lt;=12),'Revenue and costs'!N72/'Assumptions'!$J$94,0)-IF(AND(12&gt;=(13-'Assumptions'!$J$94),12&lt;=12),SUM('Revenue and costs'!O72:U72)/'Assumptions'!$J$94,0)-IF(12=(13-'Assumptions'!$J$94)-1,'Revenue and costs'!V72+'Revenue and costs'!Y72+'Revenue and costs'!AE72,0)+IF(AND(12&gt;=(13-'Assumptions'!$J$95)+'Assumptions'!$AF$95,12&lt;=12),'Revenue and costs'!N73/'Assumptions'!$J$95,0)-IF(AND(12&gt;=(13-'Assumptions'!$J$95),12&lt;=12),SUM('Revenue and costs'!O73:U73)/'Assumptions'!$J$95,0)-IF(12=(13-'Assumptions'!$J$95)-1,'Revenue and costs'!V73+'Revenue and costs'!Y73+'Revenue and costs'!AE73,0)+IF(AND(12&gt;=(13-'Assumptions'!$J$96)+'Assumptions'!$AF$96,12&lt;=12),'Revenue and costs'!N74/'Assumptions'!$J$96,0)-IF(AND(12&gt;=(13-'Assumptions'!$J$96),12&lt;=12),SUM('Revenue and costs'!O74:U74)/'Assumptions'!$J$96,0)-IF(12=(13-'Assumptions'!$J$96)-1,'Revenue and costs'!V74+'Revenue and costs'!Y74+'Revenue and costs'!AE74,0)+IF(AND(12&gt;=(13-'Assumptions'!$J$97)+'Assumptions'!$AF$97,12&lt;=12),'Revenue and costs'!N75/'Assumptions'!$J$97,0)-IF(AND(12&gt;=(13-'Assumptions'!$J$97),12&lt;=12),SUM('Revenue and costs'!O75:U75)/'Assumptions'!$J$97,0)-IF(12=(13-'Assumptions'!$J$97)-1,'Revenue and costs'!V75+'Revenue and costs'!Y75+'Revenue and costs'!AE75,0)+IF(AND(12&gt;=(13-'Assumptions'!$J$98)+'Assumptions'!$AF$98,12&lt;=12),'Revenue and costs'!N76/'Assumptions'!$J$98,0)-IF(AND(12&gt;=(13-'Assumptions'!$J$98),12&lt;=12),SUM('Revenue and costs'!O76:U76)/'Assumptions'!$J$98,0)-IF(12=(13-'Assumptions'!$J$98)-1,'Revenue and costs'!V76+'Revenue and costs'!Y76+'Revenue and costs'!AE76,0)-'Segment tax'!G24/12-'Segment tax'!L24</x:f>
        <x:v>5450.13684782156</x:v>
      </x:c>
      <x:c r="Q43" s="24" t="n">
        <x:f>MAX(0,-MIN(D43:P43))</x:f>
        <x:v>2446.853271793345</x:v>
      </x:c>
    </x:row>
    <x:row r="44" ht="30" customHeight="1">
      <x:c r="A44" s="1"/>
      <x:c r="B44" s="1"/>
      <x:c r="C44" s="23" t="str">
        <x:v>S’otality laundry</x:v>
      </x:c>
      <x:c r="D44" s="24" t="n">
        <x:f>IF(AND(0&gt;=(13-'Assumptions'!$J$99)+'Assumptions'!$AF$99,0&lt;=12),'Revenue and costs'!N77/'Assumptions'!$J$99,0)-IF(AND(0&gt;=(13-'Assumptions'!$J$99),0&lt;=12),SUM('Revenue and costs'!O77:U77)/'Assumptions'!$J$99,0)-IF(0=(13-'Assumptions'!$J$99)-1,'Revenue and costs'!V77+'Revenue and costs'!Y77+'Revenue and costs'!AE77,0)-IF('Income statement'!D50=0,1/39,'Segment tax'!E25/'Income statement'!D50)*'Cash and capital'!D13</x:f>
        <x:v>-23.15529893853422</x:v>
      </x:c>
      <x:c r="E44" s="24" t="n">
        <x:f>D44+IF(AND(1&gt;=(13-'Assumptions'!$J$99)+'Assumptions'!$AF$99,1&lt;=12),'Revenue and costs'!N77/'Assumptions'!$J$99,0)-IF(AND(1&gt;=(13-'Assumptions'!$J$99),1&lt;=12),SUM('Revenue and costs'!O77:U77)/'Assumptions'!$J$99,0)-IF(1=(13-'Assumptions'!$J$99)-1,'Revenue and costs'!V77+'Revenue and costs'!Y77+'Revenue and costs'!AE77,0)-'Segment tax'!G25/12</x:f>
        <x:v>-112.92067449025188</x:v>
      </x:c>
      <x:c r="F44" s="24" t="n">
        <x:f>E44+IF(AND(2&gt;=(13-'Assumptions'!$J$99)+'Assumptions'!$AF$99,2&lt;=12),'Revenue and costs'!N77/'Assumptions'!$J$99,0)-IF(AND(2&gt;=(13-'Assumptions'!$J$99),2&lt;=12),SUM('Revenue and costs'!O77:U77)/'Assumptions'!$J$99,0)-IF(2=(13-'Assumptions'!$J$99)-1,'Revenue and costs'!V77+'Revenue and costs'!Y77+'Revenue and costs'!AE77,0)-'Segment tax'!G25/12</x:f>
        <x:v>-202.68605004196957</x:v>
      </x:c>
      <x:c r="G44" s="24" t="n">
        <x:f>F44+IF(AND(3&gt;=(13-'Assumptions'!$J$99)+'Assumptions'!$AF$99,3&lt;=12),'Revenue and costs'!N77/'Assumptions'!$J$99,0)-IF(AND(3&gt;=(13-'Assumptions'!$J$99),3&lt;=12),SUM('Revenue and costs'!O77:U77)/'Assumptions'!$J$99,0)-IF(3=(13-'Assumptions'!$J$99)-1,'Revenue and costs'!V77+'Revenue and costs'!Y77+'Revenue and costs'!AE77,0)-'Segment tax'!G25/12</x:f>
        <x:v>-292.45142559368725</x:v>
      </x:c>
      <x:c r="H44" s="24" t="n">
        <x:f>G44+IF(AND(4&gt;=(13-'Assumptions'!$J$99)+'Assumptions'!$AF$99,4&lt;=12),'Revenue and costs'!N77/'Assumptions'!$J$99,0)-IF(AND(4&gt;=(13-'Assumptions'!$J$99),4&lt;=12),SUM('Revenue and costs'!O77:U77)/'Assumptions'!$J$99,0)-IF(4=(13-'Assumptions'!$J$99)-1,'Revenue and costs'!V77+'Revenue and costs'!Y77+'Revenue and costs'!AE77,0)-'Segment tax'!G25/12</x:f>
        <x:v>-222.25680114540484</x:v>
      </x:c>
      <x:c r="I44" s="24" t="n">
        <x:f>H44+IF(AND(5&gt;=(13-'Assumptions'!$J$99)+'Assumptions'!$AF$99,5&lt;=12),'Revenue and costs'!N77/'Assumptions'!$J$99,0)-IF(AND(5&gt;=(13-'Assumptions'!$J$99),5&lt;=12),SUM('Revenue and costs'!O77:U77)/'Assumptions'!$J$99,0)-IF(5=(13-'Assumptions'!$J$99)-1,'Revenue and costs'!V77+'Revenue and costs'!Y77+'Revenue and costs'!AE77,0)-'Segment tax'!G25/12</x:f>
        <x:v>-152.06217669712242</x:v>
      </x:c>
      <x:c r="J44" s="24" t="n">
        <x:f>I44+IF(AND(6&gt;=(13-'Assumptions'!$J$99)+'Assumptions'!$AF$99,6&lt;=12),'Revenue and costs'!N77/'Assumptions'!$J$99,0)-IF(AND(6&gt;=(13-'Assumptions'!$J$99),6&lt;=12),SUM('Revenue and costs'!O77:U77)/'Assumptions'!$J$99,0)-IF(6=(13-'Assumptions'!$J$99)-1,'Revenue and costs'!V77+'Revenue and costs'!Y77+'Revenue and costs'!AE77,0)-'Segment tax'!G25/12</x:f>
        <x:v>-81.86755224884</x:v>
      </x:c>
      <x:c r="K44" s="24" t="n">
        <x:f>J44+IF(AND(7&gt;=(13-'Assumptions'!$J$99)+'Assumptions'!$AF$99,7&lt;=12),'Revenue and costs'!N77/'Assumptions'!$J$99,0)-IF(AND(7&gt;=(13-'Assumptions'!$J$99),7&lt;=12),SUM('Revenue and costs'!O77:U77)/'Assumptions'!$J$99,0)-IF(7=(13-'Assumptions'!$J$99)-1,'Revenue and costs'!V77+'Revenue and costs'!Y77+'Revenue and costs'!AE77,0)-'Segment tax'!G25/12</x:f>
        <x:v>-11.672927800557588</x:v>
      </x:c>
      <x:c r="L44" s="24" t="n">
        <x:f>K44+IF(AND(8&gt;=(13-'Assumptions'!$J$99)+'Assumptions'!$AF$99,8&lt;=12),'Revenue and costs'!N77/'Assumptions'!$J$99,0)-IF(AND(8&gt;=(13-'Assumptions'!$J$99),8&lt;=12),SUM('Revenue and costs'!O77:U77)/'Assumptions'!$J$99,0)-IF(8=(13-'Assumptions'!$J$99)-1,'Revenue and costs'!V77+'Revenue and costs'!Y77+'Revenue and costs'!AE77,0)-'Segment tax'!G25/12</x:f>
        <x:v>58.52169664772482</x:v>
      </x:c>
      <x:c r="M44" s="24" t="n">
        <x:f>L44+IF(AND(9&gt;=(13-'Assumptions'!$J$99)+'Assumptions'!$AF$99,9&lt;=12),'Revenue and costs'!N77/'Assumptions'!$J$99,0)-IF(AND(9&gt;=(13-'Assumptions'!$J$99),9&lt;=12),SUM('Revenue and costs'!O77:U77)/'Assumptions'!$J$99,0)-IF(9=(13-'Assumptions'!$J$99)-1,'Revenue and costs'!V77+'Revenue and costs'!Y77+'Revenue and costs'!AE77,0)-'Segment tax'!G25/12</x:f>
        <x:v>128.71632109600722</x:v>
      </x:c>
      <x:c r="N44" s="24" t="n">
        <x:f>M44+IF(AND(10&gt;=(13-'Assumptions'!$J$99)+'Assumptions'!$AF$99,10&lt;=12),'Revenue and costs'!N77/'Assumptions'!$J$99,0)-IF(AND(10&gt;=(13-'Assumptions'!$J$99),10&lt;=12),SUM('Revenue and costs'!O77:U77)/'Assumptions'!$J$99,0)-IF(10=(13-'Assumptions'!$J$99)-1,'Revenue and costs'!V77+'Revenue and costs'!Y77+'Revenue and costs'!AE77,0)-'Segment tax'!G25/12</x:f>
        <x:v>198.91094554428963</x:v>
      </x:c>
      <x:c r="O44" s="24" t="n">
        <x:f>N44+IF(AND(11&gt;=(13-'Assumptions'!$J$99)+'Assumptions'!$AF$99,11&lt;=12),'Revenue and costs'!N77/'Assumptions'!$J$99,0)-IF(AND(11&gt;=(13-'Assumptions'!$J$99),11&lt;=12),SUM('Revenue and costs'!O77:U77)/'Assumptions'!$J$99,0)-IF(11=(13-'Assumptions'!$J$99)-1,'Revenue and costs'!V77+'Revenue and costs'!Y77+'Revenue and costs'!AE77,0)-'Segment tax'!G25/12</x:f>
        <x:v>269.10556999257204</x:v>
      </x:c>
      <x:c r="P44" s="24" t="n">
        <x:f>O44+IF(AND(12&gt;=(13-'Assumptions'!$J$99)+'Assumptions'!$AF$99,12&lt;=12),'Revenue and costs'!N77/'Assumptions'!$J$99,0)-IF(AND(12&gt;=(13-'Assumptions'!$J$99),12&lt;=12),SUM('Revenue and costs'!O77:U77)/'Assumptions'!$J$99,0)-IF(12=(13-'Assumptions'!$J$99)-1,'Revenue and costs'!V77+'Revenue and costs'!Y77+'Revenue and costs'!AE77,0)-'Segment tax'!G25/12-'Segment tax'!L25</x:f>
        <x:v>250.61592934088497</x:v>
      </x:c>
      <x:c r="Q44" s="24" t="n">
        <x:f>MAX(0,-MIN(D44:P44))</x:f>
        <x:v>292.45142559368725</x:v>
      </x:c>
    </x:row>
    <x:row r="45" ht="30" customHeight="1">
      <x:c r="A45" s="1"/>
      <x:c r="B45" s="1"/>
      <x:c r="C45" s="23" t="str">
        <x:v>S’otality Personal Chef</x:v>
      </x:c>
      <x:c r="D45" s="24" t="n">
        <x:f>IF(AND(0&gt;=(13-'Assumptions'!$J$100)+'Assumptions'!$AF$100,0&lt;=12),'Revenue and costs'!N78/'Assumptions'!$J$100,0)-IF(AND(0&gt;=(13-'Assumptions'!$J$100),0&lt;=12),SUM('Revenue and costs'!O78:U78)/'Assumptions'!$J$100,0)-IF(0=(13-'Assumptions'!$J$100)-1,'Revenue and costs'!V78+'Revenue and costs'!Y78+'Revenue and costs'!AE78,0)-IF('Income statement'!D50=0,1/39,'Segment tax'!E26/'Income statement'!D50)*'Cash and capital'!D13</x:f>
        <x:v>-27.87211909268008</x:v>
      </x:c>
      <x:c r="E45" s="24" t="n">
        <x:f>D45+IF(AND(1&gt;=(13-'Assumptions'!$J$100)+'Assumptions'!$AF$100,1&lt;=12),'Revenue and costs'!N78/'Assumptions'!$J$100,0)-IF(AND(1&gt;=(13-'Assumptions'!$J$100),1&lt;=12),SUM('Revenue and costs'!O78:U78)/'Assumptions'!$J$100,0)-IF(1=(13-'Assumptions'!$J$100)-1,'Revenue and costs'!V78+'Revenue and costs'!Y78+'Revenue and costs'!AE78,0)-'Segment tax'!G26/12</x:f>
        <x:v>-135.9230341086365</x:v>
      </x:c>
      <x:c r="F45" s="24" t="n">
        <x:f>E45+IF(AND(2&gt;=(13-'Assumptions'!$J$100)+'Assumptions'!$AF$100,2&lt;=12),'Revenue and costs'!N78/'Assumptions'!$J$100,0)-IF(AND(2&gt;=(13-'Assumptions'!$J$100),2&lt;=12),SUM('Revenue and costs'!O78:U78)/'Assumptions'!$J$100,0)-IF(2=(13-'Assumptions'!$J$100)-1,'Revenue and costs'!V78+'Revenue and costs'!Y78+'Revenue and costs'!AE78,0)-'Segment tax'!G26/12</x:f>
        <x:v>-243.97394912459293</x:v>
      </x:c>
      <x:c r="G45" s="24" t="n">
        <x:f>F45+IF(AND(3&gt;=(13-'Assumptions'!$J$100)+'Assumptions'!$AF$100,3&lt;=12),'Revenue and costs'!N78/'Assumptions'!$J$100,0)-IF(AND(3&gt;=(13-'Assumptions'!$J$100),3&lt;=12),SUM('Revenue and costs'!O78:U78)/'Assumptions'!$J$100,0)-IF(3=(13-'Assumptions'!$J$100)-1,'Revenue and costs'!V78+'Revenue and costs'!Y78+'Revenue and costs'!AE78,0)-'Segment tax'!G26/12</x:f>
        <x:v>-352.02486414054937</x:v>
      </x:c>
      <x:c r="H45" s="24" t="n">
        <x:f>G45+IF(AND(4&gt;=(13-'Assumptions'!$J$100)+'Assumptions'!$AF$100,4&lt;=12),'Revenue and costs'!N78/'Assumptions'!$J$100,0)-IF(AND(4&gt;=(13-'Assumptions'!$J$100),4&lt;=12),SUM('Revenue and costs'!O78:U78)/'Assumptions'!$J$100,0)-IF(4=(13-'Assumptions'!$J$100)-1,'Revenue and costs'!V78+'Revenue and costs'!Y78+'Revenue and costs'!AE78,0)-'Segment tax'!G26/12</x:f>
        <x:v>-460.0757791565058</x:v>
      </x:c>
      <x:c r="I45" s="24" t="n">
        <x:f>H45+IF(AND(5&gt;=(13-'Assumptions'!$J$100)+'Assumptions'!$AF$100,5&lt;=12),'Revenue and costs'!N78/'Assumptions'!$J$100,0)-IF(AND(5&gt;=(13-'Assumptions'!$J$100),5&lt;=12),SUM('Revenue and costs'!O78:U78)/'Assumptions'!$J$100,0)-IF(5=(13-'Assumptions'!$J$100)-1,'Revenue and costs'!V78+'Revenue and costs'!Y78+'Revenue and costs'!AE78,0)-'Segment tax'!G26/12</x:f>
        <x:v>-568.1266941724623</x:v>
      </x:c>
      <x:c r="J45" s="24" t="n">
        <x:f>I45+IF(AND(6&gt;=(13-'Assumptions'!$J$100)+'Assumptions'!$AF$100,6&lt;=12),'Revenue and costs'!N78/'Assumptions'!$J$100,0)-IF(AND(6&gt;=(13-'Assumptions'!$J$100),6&lt;=12),SUM('Revenue and costs'!O78:U78)/'Assumptions'!$J$100,0)-IF(6=(13-'Assumptions'!$J$100)-1,'Revenue and costs'!V78+'Revenue and costs'!Y78+'Revenue and costs'!AE78,0)-'Segment tax'!G26/12</x:f>
        <x:v>-1176.1776091884187</x:v>
      </x:c>
      <x:c r="K45" s="24" t="n">
        <x:f>J45+IF(AND(7&gt;=(13-'Assumptions'!$J$100)+'Assumptions'!$AF$100,7&lt;=12),'Revenue and costs'!N78/'Assumptions'!$J$100,0)-IF(AND(7&gt;=(13-'Assumptions'!$J$100),7&lt;=12),SUM('Revenue and costs'!O78:U78)/'Assumptions'!$J$100,0)-IF(7=(13-'Assumptions'!$J$100)-1,'Revenue and costs'!V78+'Revenue and costs'!Y78+'Revenue and costs'!AE78,0)-'Segment tax'!G26/12</x:f>
        <x:v>-608.5785242043751</x:v>
      </x:c>
      <x:c r="L45" s="24" t="n">
        <x:f>K45+IF(AND(8&gt;=(13-'Assumptions'!$J$100)+'Assumptions'!$AF$100,8&lt;=12),'Revenue and costs'!N78/'Assumptions'!$J$100,0)-IF(AND(8&gt;=(13-'Assumptions'!$J$100),8&lt;=12),SUM('Revenue and costs'!O78:U78)/'Assumptions'!$J$100,0)-IF(8=(13-'Assumptions'!$J$100)-1,'Revenue and costs'!V78+'Revenue and costs'!Y78+'Revenue and costs'!AE78,0)-'Segment tax'!G26/12</x:f>
        <x:v>-40.97943922033119</x:v>
      </x:c>
      <x:c r="M45" s="24" t="n">
        <x:f>L45+IF(AND(9&gt;=(13-'Assumptions'!$J$100)+'Assumptions'!$AF$100,9&lt;=12),'Revenue and costs'!N78/'Assumptions'!$J$100,0)-IF(AND(9&gt;=(13-'Assumptions'!$J$100),9&lt;=12),SUM('Revenue and costs'!O78:U78)/'Assumptions'!$J$100,0)-IF(9=(13-'Assumptions'!$J$100)-1,'Revenue and costs'!V78+'Revenue and costs'!Y78+'Revenue and costs'!AE78,0)-'Segment tax'!G26/12</x:f>
        <x:v>526.6196457637125</x:v>
      </x:c>
      <x:c r="N45" s="24" t="n">
        <x:f>M45+IF(AND(10&gt;=(13-'Assumptions'!$J$100)+'Assumptions'!$AF$100,10&lt;=12),'Revenue and costs'!N78/'Assumptions'!$J$100,0)-IF(AND(10&gt;=(13-'Assumptions'!$J$100),10&lt;=12),SUM('Revenue and costs'!O78:U78)/'Assumptions'!$J$100,0)-IF(10=(13-'Assumptions'!$J$100)-1,'Revenue and costs'!V78+'Revenue and costs'!Y78+'Revenue and costs'!AE78,0)-'Segment tax'!G26/12</x:f>
        <x:v>1094.2187307477561</x:v>
      </x:c>
      <x:c r="O45" s="24" t="n">
        <x:f>N45+IF(AND(11&gt;=(13-'Assumptions'!$J$100)+'Assumptions'!$AF$100,11&lt;=12),'Revenue and costs'!N78/'Assumptions'!$J$100,0)-IF(AND(11&gt;=(13-'Assumptions'!$J$100),11&lt;=12),SUM('Revenue and costs'!O78:U78)/'Assumptions'!$J$100,0)-IF(11=(13-'Assumptions'!$J$100)-1,'Revenue and costs'!V78+'Revenue and costs'!Y78+'Revenue and costs'!AE78,0)-'Segment tax'!G26/12</x:f>
        <x:v>1661.8178157317998</x:v>
      </x:c>
      <x:c r="P45" s="24" t="n">
        <x:f>O45+IF(AND(12&gt;=(13-'Assumptions'!$J$100)+'Assumptions'!$AF$100,12&lt;=12),'Revenue and costs'!N78/'Assumptions'!$J$100,0)-IF(AND(12&gt;=(13-'Assumptions'!$J$100),12&lt;=12),SUM('Revenue and costs'!O78:U78)/'Assumptions'!$J$100,0)-IF(12=(13-'Assumptions'!$J$100)-1,'Revenue and costs'!V78+'Revenue and costs'!Y78+'Revenue and costs'!AE78,0)-'Segment tax'!G26/12-'Segment tax'!L26</x:f>
        <x:v>1542.4173223547696</x:v>
      </x:c>
      <x:c r="Q45" s="24" t="n">
        <x:f>MAX(0,-MIN(D45:P45))</x:f>
        <x:v>1176.1776091884187</x:v>
      </x:c>
    </x:row>
    <x:row r="46" ht="30" customHeight="1">
      <x:c r="A46" s="1"/>
      <x:c r="B46" s="1"/>
      <x:c r="C46" s="23" t="str">
        <x:v>S’otality interiors</x:v>
      </x:c>
      <x:c r="D46" s="24" t="n">
        <x:f>IF(AND(0&gt;=(13-'Assumptions'!$J$101)+'Assumptions'!$AF$101,0&lt;=12),'Revenue and costs'!N79/'Assumptions'!$J$101,0)-IF(AND(0&gt;=(13-'Assumptions'!$J$101),0&lt;=12),SUM('Revenue and costs'!O79:U79)/'Assumptions'!$J$101,0)-IF(0=(13-'Assumptions'!$J$101)-1,'Revenue and costs'!V79+'Revenue and costs'!Y79+'Revenue and costs'!AE79,0)+IF(AND(0&gt;=(13-'Assumptions'!$J$102)+'Assumptions'!$AF$102,0&lt;=12),'Revenue and costs'!N80/'Assumptions'!$J$102,0)-IF(AND(0&gt;=(13-'Assumptions'!$J$102),0&lt;=12),SUM('Revenue and costs'!O80:U80)/'Assumptions'!$J$102,0)-IF(0=(13-'Assumptions'!$J$102)-1,'Revenue and costs'!V80+'Revenue and costs'!Y80+'Revenue and costs'!AE80,0)+IF(AND(0&gt;=(13-'Assumptions'!$J$103)+'Assumptions'!$AF$103,0&lt;=12),'Revenue and costs'!N81/'Assumptions'!$J$103,0)-IF(AND(0&gt;=(13-'Assumptions'!$J$103),0&lt;=12),SUM('Revenue and costs'!O81:U81)/'Assumptions'!$J$103,0)-IF(0=(13-'Assumptions'!$J$103)-1,'Revenue and costs'!V81+'Revenue and costs'!Y81+'Revenue and costs'!AE81,0)-IF('Income statement'!D50=0,1/39,'Segment tax'!E27/'Income statement'!D50)*'Cash and capital'!D13</x:f>
        <x:v>-52.09942261170199</x:v>
      </x:c>
      <x:c r="E46" s="24" t="n">
        <x:f>D46+IF(AND(1&gt;=(13-'Assumptions'!$J$101)+'Assumptions'!$AF$101,1&lt;=12),'Revenue and costs'!N79/'Assumptions'!$J$101,0)-IF(AND(1&gt;=(13-'Assumptions'!$J$101),1&lt;=12),SUM('Revenue and costs'!O79:U79)/'Assumptions'!$J$101,0)-IF(1=(13-'Assumptions'!$J$101)-1,'Revenue and costs'!V79+'Revenue and costs'!Y79+'Revenue and costs'!AE79,0)+IF(AND(1&gt;=(13-'Assumptions'!$J$102)+'Assumptions'!$AF$102,1&lt;=12),'Revenue and costs'!N80/'Assumptions'!$J$102,0)-IF(AND(1&gt;=(13-'Assumptions'!$J$102),1&lt;=12),SUM('Revenue and costs'!O80:U80)/'Assumptions'!$J$102,0)-IF(1=(13-'Assumptions'!$J$102)-1,'Revenue and costs'!V80+'Revenue and costs'!Y80+'Revenue and costs'!AE80,0)+IF(AND(1&gt;=(13-'Assumptions'!$J$103)+'Assumptions'!$AF$103,1&lt;=12),'Revenue and costs'!N81/'Assumptions'!$J$103,0)-IF(AND(1&gt;=(13-'Assumptions'!$J$103),1&lt;=12),SUM('Revenue and costs'!O81:U81)/'Assumptions'!$J$103,0)-IF(1=(13-'Assumptions'!$J$103)-1,'Revenue and costs'!V81+'Revenue and costs'!Y81+'Revenue and costs'!AE81,0)-'Segment tax'!G27/12</x:f>
        <x:v>-254.07151760306672</x:v>
      </x:c>
      <x:c r="F46" s="24" t="n">
        <x:f>E46+IF(AND(2&gt;=(13-'Assumptions'!$J$101)+'Assumptions'!$AF$101,2&lt;=12),'Revenue and costs'!N79/'Assumptions'!$J$101,0)-IF(AND(2&gt;=(13-'Assumptions'!$J$101),2&lt;=12),SUM('Revenue and costs'!O79:U79)/'Assumptions'!$J$101,0)-IF(2=(13-'Assumptions'!$J$101)-1,'Revenue and costs'!V79+'Revenue and costs'!Y79+'Revenue and costs'!AE79,0)+IF(AND(2&gt;=(13-'Assumptions'!$J$102)+'Assumptions'!$AF$102,2&lt;=12),'Revenue and costs'!N80/'Assumptions'!$J$102,0)-IF(AND(2&gt;=(13-'Assumptions'!$J$102),2&lt;=12),SUM('Revenue and costs'!O80:U80)/'Assumptions'!$J$102,0)-IF(2=(13-'Assumptions'!$J$102)-1,'Revenue and costs'!V80+'Revenue and costs'!Y80+'Revenue and costs'!AE80,0)+IF(AND(2&gt;=(13-'Assumptions'!$J$103)+'Assumptions'!$AF$103,2&lt;=12),'Revenue and costs'!N81/'Assumptions'!$J$103,0)-IF(AND(2&gt;=(13-'Assumptions'!$J$103),2&lt;=12),SUM('Revenue and costs'!O81:U81)/'Assumptions'!$J$103,0)-IF(2=(13-'Assumptions'!$J$103)-1,'Revenue and costs'!V81+'Revenue and costs'!Y81+'Revenue and costs'!AE81,0)-'Segment tax'!G27/12</x:f>
        <x:v>-456.04361259443147</x:v>
      </x:c>
      <x:c r="G46" s="24" t="n">
        <x:f>F46+IF(AND(3&gt;=(13-'Assumptions'!$J$101)+'Assumptions'!$AF$101,3&lt;=12),'Revenue and costs'!N79/'Assumptions'!$J$101,0)-IF(AND(3&gt;=(13-'Assumptions'!$J$101),3&lt;=12),SUM('Revenue and costs'!O79:U79)/'Assumptions'!$J$101,0)-IF(3=(13-'Assumptions'!$J$101)-1,'Revenue and costs'!V79+'Revenue and costs'!Y79+'Revenue and costs'!AE79,0)+IF(AND(3&gt;=(13-'Assumptions'!$J$102)+'Assumptions'!$AF$102,3&lt;=12),'Revenue and costs'!N80/'Assumptions'!$J$102,0)-IF(AND(3&gt;=(13-'Assumptions'!$J$102),3&lt;=12),SUM('Revenue and costs'!O80:U80)/'Assumptions'!$J$102,0)-IF(3=(13-'Assumptions'!$J$102)-1,'Revenue and costs'!V80+'Revenue and costs'!Y80+'Revenue and costs'!AE80,0)+IF(AND(3&gt;=(13-'Assumptions'!$J$103)+'Assumptions'!$AF$103,3&lt;=12),'Revenue and costs'!N81/'Assumptions'!$J$103,0)-IF(AND(3&gt;=(13-'Assumptions'!$J$103),3&lt;=12),SUM('Revenue and costs'!O81:U81)/'Assumptions'!$J$103,0)-IF(3=(13-'Assumptions'!$J$103)-1,'Revenue and costs'!V81+'Revenue and costs'!Y81+'Revenue and costs'!AE81,0)-'Segment tax'!G27/12</x:f>
        <x:v>-733.0157075857962</x:v>
      </x:c>
      <x:c r="H46" s="24" t="n">
        <x:f>G46+IF(AND(4&gt;=(13-'Assumptions'!$J$101)+'Assumptions'!$AF$101,4&lt;=12),'Revenue and costs'!N79/'Assumptions'!$J$101,0)-IF(AND(4&gt;=(13-'Assumptions'!$J$101),4&lt;=12),SUM('Revenue and costs'!O79:U79)/'Assumptions'!$J$101,0)-IF(4=(13-'Assumptions'!$J$101)-1,'Revenue and costs'!V79+'Revenue and costs'!Y79+'Revenue and costs'!AE79,0)+IF(AND(4&gt;=(13-'Assumptions'!$J$102)+'Assumptions'!$AF$102,4&lt;=12),'Revenue and costs'!N80/'Assumptions'!$J$102,0)-IF(AND(4&gt;=(13-'Assumptions'!$J$102),4&lt;=12),SUM('Revenue and costs'!O80:U80)/'Assumptions'!$J$102,0)-IF(4=(13-'Assumptions'!$J$102)-1,'Revenue and costs'!V80+'Revenue and costs'!Y80+'Revenue and costs'!AE80,0)+IF(AND(4&gt;=(13-'Assumptions'!$J$103)+'Assumptions'!$AF$103,4&lt;=12),'Revenue and costs'!N81/'Assumptions'!$J$103,0)-IF(AND(4&gt;=(13-'Assumptions'!$J$103),4&lt;=12),SUM('Revenue and costs'!O81:U81)/'Assumptions'!$J$103,0)-IF(4=(13-'Assumptions'!$J$103)-1,'Revenue and costs'!V81+'Revenue and costs'!Y81+'Revenue and costs'!AE81,0)-'Segment tax'!G27/12</x:f>
        <x:v>-1521.3378025771608</x:v>
      </x:c>
      <x:c r="I46" s="24" t="n">
        <x:f>H46+IF(AND(5&gt;=(13-'Assumptions'!$J$101)+'Assumptions'!$AF$101,5&lt;=12),'Revenue and costs'!N79/'Assumptions'!$J$101,0)-IF(AND(5&gt;=(13-'Assumptions'!$J$101),5&lt;=12),SUM('Revenue and costs'!O79:U79)/'Assumptions'!$J$101,0)-IF(5=(13-'Assumptions'!$J$101)-1,'Revenue and costs'!V79+'Revenue and costs'!Y79+'Revenue and costs'!AE79,0)+IF(AND(5&gt;=(13-'Assumptions'!$J$102)+'Assumptions'!$AF$102,5&lt;=12),'Revenue and costs'!N80/'Assumptions'!$J$102,0)-IF(AND(5&gt;=(13-'Assumptions'!$J$102),5&lt;=12),SUM('Revenue and costs'!O80:U80)/'Assumptions'!$J$102,0)-IF(5=(13-'Assumptions'!$J$102)-1,'Revenue and costs'!V80+'Revenue and costs'!Y80+'Revenue and costs'!AE80,0)+IF(AND(5&gt;=(13-'Assumptions'!$J$103)+'Assumptions'!$AF$103,5&lt;=12),'Revenue and costs'!N81/'Assumptions'!$J$103,0)-IF(AND(5&gt;=(13-'Assumptions'!$J$103),5&lt;=12),SUM('Revenue and costs'!O81:U81)/'Assumptions'!$J$103,0)-IF(5=(13-'Assumptions'!$J$103)-1,'Revenue and costs'!V81+'Revenue and costs'!Y81+'Revenue and costs'!AE81,0)-'Segment tax'!G27/12</x:f>
        <x:v>-127.15989756852537</x:v>
      </x:c>
      <x:c r="J46" s="24" t="n">
        <x:f>I46+IF(AND(6&gt;=(13-'Assumptions'!$J$101)+'Assumptions'!$AF$101,6&lt;=12),'Revenue and costs'!N79/'Assumptions'!$J$101,0)-IF(AND(6&gt;=(13-'Assumptions'!$J$101),6&lt;=12),SUM('Revenue and costs'!O79:U79)/'Assumptions'!$J$101,0)-IF(6=(13-'Assumptions'!$J$101)-1,'Revenue and costs'!V79+'Revenue and costs'!Y79+'Revenue and costs'!AE79,0)+IF(AND(6&gt;=(13-'Assumptions'!$J$102)+'Assumptions'!$AF$102,6&lt;=12),'Revenue and costs'!N80/'Assumptions'!$J$102,0)-IF(AND(6&gt;=(13-'Assumptions'!$J$102),6&lt;=12),SUM('Revenue and costs'!O80:U80)/'Assumptions'!$J$102,0)-IF(6=(13-'Assumptions'!$J$102)-1,'Revenue and costs'!V80+'Revenue and costs'!Y80+'Revenue and costs'!AE80,0)+IF(AND(6&gt;=(13-'Assumptions'!$J$103)+'Assumptions'!$AF$103,6&lt;=12),'Revenue and costs'!N81/'Assumptions'!$J$103,0)-IF(AND(6&gt;=(13-'Assumptions'!$J$103),6&lt;=12),SUM('Revenue and costs'!O81:U81)/'Assumptions'!$J$103,0)-IF(6=(13-'Assumptions'!$J$103)-1,'Revenue and costs'!V81+'Revenue and costs'!Y81+'Revenue and costs'!AE81,0)-'Segment tax'!G27/12</x:f>
        <x:v>1267.0180074401098</x:v>
      </x:c>
      <x:c r="K46" s="24" t="n">
        <x:f>J46+IF(AND(7&gt;=(13-'Assumptions'!$J$101)+'Assumptions'!$AF$101,7&lt;=12),'Revenue and costs'!N79/'Assumptions'!$J$101,0)-IF(AND(7&gt;=(13-'Assumptions'!$J$101),7&lt;=12),SUM('Revenue and costs'!O79:U79)/'Assumptions'!$J$101,0)-IF(7=(13-'Assumptions'!$J$101)-1,'Revenue and costs'!V79+'Revenue and costs'!Y79+'Revenue and costs'!AE79,0)+IF(AND(7&gt;=(13-'Assumptions'!$J$102)+'Assumptions'!$AF$102,7&lt;=12),'Revenue and costs'!N80/'Assumptions'!$J$102,0)-IF(AND(7&gt;=(13-'Assumptions'!$J$102),7&lt;=12),SUM('Revenue and costs'!O80:U80)/'Assumptions'!$J$102,0)-IF(7=(13-'Assumptions'!$J$102)-1,'Revenue and costs'!V80+'Revenue and costs'!Y80+'Revenue and costs'!AE80,0)+IF(AND(7&gt;=(13-'Assumptions'!$J$103)+'Assumptions'!$AF$103,7&lt;=12),'Revenue and costs'!N81/'Assumptions'!$J$103,0)-IF(AND(7&gt;=(13-'Assumptions'!$J$103),7&lt;=12),SUM('Revenue and costs'!O81:U81)/'Assumptions'!$J$103,0)-IF(7=(13-'Assumptions'!$J$103)-1,'Revenue and costs'!V81+'Revenue and costs'!Y81+'Revenue and costs'!AE81,0)-'Segment tax'!G27/12</x:f>
        <x:v>2661.195912448745</x:v>
      </x:c>
      <x:c r="L46" s="24" t="n">
        <x:f>K46+IF(AND(8&gt;=(13-'Assumptions'!$J$101)+'Assumptions'!$AF$101,8&lt;=12),'Revenue and costs'!N79/'Assumptions'!$J$101,0)-IF(AND(8&gt;=(13-'Assumptions'!$J$101),8&lt;=12),SUM('Revenue and costs'!O79:U79)/'Assumptions'!$J$101,0)-IF(8=(13-'Assumptions'!$J$101)-1,'Revenue and costs'!V79+'Revenue and costs'!Y79+'Revenue and costs'!AE79,0)+IF(AND(8&gt;=(13-'Assumptions'!$J$102)+'Assumptions'!$AF$102,8&lt;=12),'Revenue and costs'!N80/'Assumptions'!$J$102,0)-IF(AND(8&gt;=(13-'Assumptions'!$J$102),8&lt;=12),SUM('Revenue and costs'!O80:U80)/'Assumptions'!$J$102,0)-IF(8=(13-'Assumptions'!$J$102)-1,'Revenue and costs'!V80+'Revenue and costs'!Y80+'Revenue and costs'!AE80,0)+IF(AND(8&gt;=(13-'Assumptions'!$J$103)+'Assumptions'!$AF$103,8&lt;=12),'Revenue and costs'!N81/'Assumptions'!$J$103,0)-IF(AND(8&gt;=(13-'Assumptions'!$J$103),8&lt;=12),SUM('Revenue and costs'!O81:U81)/'Assumptions'!$J$103,0)-IF(8=(13-'Assumptions'!$J$103)-1,'Revenue and costs'!V81+'Revenue and costs'!Y81+'Revenue and costs'!AE81,0)-'Segment tax'!G27/12</x:f>
        <x:v>4055.3738174573805</x:v>
      </x:c>
      <x:c r="M46" s="24" t="n">
        <x:f>L46+IF(AND(9&gt;=(13-'Assumptions'!$J$101)+'Assumptions'!$AF$101,9&lt;=12),'Revenue and costs'!N79/'Assumptions'!$J$101,0)-IF(AND(9&gt;=(13-'Assumptions'!$J$101),9&lt;=12),SUM('Revenue and costs'!O79:U79)/'Assumptions'!$J$101,0)-IF(9=(13-'Assumptions'!$J$101)-1,'Revenue and costs'!V79+'Revenue and costs'!Y79+'Revenue and costs'!AE79,0)+IF(AND(9&gt;=(13-'Assumptions'!$J$102)+'Assumptions'!$AF$102,9&lt;=12),'Revenue and costs'!N80/'Assumptions'!$J$102,0)-IF(AND(9&gt;=(13-'Assumptions'!$J$102),9&lt;=12),SUM('Revenue and costs'!O80:U80)/'Assumptions'!$J$102,0)-IF(9=(13-'Assumptions'!$J$102)-1,'Revenue and costs'!V80+'Revenue and costs'!Y80+'Revenue and costs'!AE80,0)+IF(AND(9&gt;=(13-'Assumptions'!$J$103)+'Assumptions'!$AF$103,9&lt;=12),'Revenue and costs'!N81/'Assumptions'!$J$103,0)-IF(AND(9&gt;=(13-'Assumptions'!$J$103),9&lt;=12),SUM('Revenue and costs'!O81:U81)/'Assumptions'!$J$103,0)-IF(9=(13-'Assumptions'!$J$103)-1,'Revenue and costs'!V81+'Revenue and costs'!Y81+'Revenue and costs'!AE81,0)-'Segment tax'!G27/12</x:f>
        <x:v>5449.551722466017</x:v>
      </x:c>
      <x:c r="N46" s="24" t="n">
        <x:f>M46+IF(AND(10&gt;=(13-'Assumptions'!$J$101)+'Assumptions'!$AF$101,10&lt;=12),'Revenue and costs'!N79/'Assumptions'!$J$101,0)-IF(AND(10&gt;=(13-'Assumptions'!$J$101),10&lt;=12),SUM('Revenue and costs'!O79:U79)/'Assumptions'!$J$101,0)-IF(10=(13-'Assumptions'!$J$101)-1,'Revenue and costs'!V79+'Revenue and costs'!Y79+'Revenue and costs'!AE79,0)+IF(AND(10&gt;=(13-'Assumptions'!$J$102)+'Assumptions'!$AF$102,10&lt;=12),'Revenue and costs'!N80/'Assumptions'!$J$102,0)-IF(AND(10&gt;=(13-'Assumptions'!$J$102),10&lt;=12),SUM('Revenue and costs'!O80:U80)/'Assumptions'!$J$102,0)-IF(10=(13-'Assumptions'!$J$102)-1,'Revenue and costs'!V80+'Revenue and costs'!Y80+'Revenue and costs'!AE80,0)+IF(AND(10&gt;=(13-'Assumptions'!$J$103)+'Assumptions'!$AF$103,10&lt;=12),'Revenue and costs'!N81/'Assumptions'!$J$103,0)-IF(AND(10&gt;=(13-'Assumptions'!$J$103),10&lt;=12),SUM('Revenue and costs'!O81:U81)/'Assumptions'!$J$103,0)-IF(10=(13-'Assumptions'!$J$103)-1,'Revenue and costs'!V81+'Revenue and costs'!Y81+'Revenue and costs'!AE81,0)-'Segment tax'!G27/12</x:f>
        <x:v>6843.729627474653</x:v>
      </x:c>
      <x:c r="O46" s="24" t="n">
        <x:f>N46+IF(AND(11&gt;=(13-'Assumptions'!$J$101)+'Assumptions'!$AF$101,11&lt;=12),'Revenue and costs'!N79/'Assumptions'!$J$101,0)-IF(AND(11&gt;=(13-'Assumptions'!$J$101),11&lt;=12),SUM('Revenue and costs'!O79:U79)/'Assumptions'!$J$101,0)-IF(11=(13-'Assumptions'!$J$101)-1,'Revenue and costs'!V79+'Revenue and costs'!Y79+'Revenue and costs'!AE79,0)+IF(AND(11&gt;=(13-'Assumptions'!$J$102)+'Assumptions'!$AF$102,11&lt;=12),'Revenue and costs'!N80/'Assumptions'!$J$102,0)-IF(AND(11&gt;=(13-'Assumptions'!$J$102),11&lt;=12),SUM('Revenue and costs'!O80:U80)/'Assumptions'!$J$102,0)-IF(11=(13-'Assumptions'!$J$102)-1,'Revenue and costs'!V80+'Revenue and costs'!Y80+'Revenue and costs'!AE80,0)+IF(AND(11&gt;=(13-'Assumptions'!$J$103)+'Assumptions'!$AF$103,11&lt;=12),'Revenue and costs'!N81/'Assumptions'!$J$103,0)-IF(AND(11&gt;=(13-'Assumptions'!$J$103),11&lt;=12),SUM('Revenue and costs'!O81:U81)/'Assumptions'!$J$103,0)-IF(11=(13-'Assumptions'!$J$103)-1,'Revenue and costs'!V81+'Revenue and costs'!Y81+'Revenue and costs'!AE81,0)-'Segment tax'!G27/12</x:f>
        <x:v>8237.90753248329</x:v>
      </x:c>
      <x:c r="P46" s="24" t="n">
        <x:f>O46+IF(AND(12&gt;=(13-'Assumptions'!$J$101)+'Assumptions'!$AF$101,12&lt;=12),'Revenue and costs'!N79/'Assumptions'!$J$101,0)-IF(AND(12&gt;=(13-'Assumptions'!$J$101),12&lt;=12),SUM('Revenue and costs'!O79:U79)/'Assumptions'!$J$101,0)-IF(12=(13-'Assumptions'!$J$101)-1,'Revenue and costs'!V79+'Revenue and costs'!Y79+'Revenue and costs'!AE79,0)+IF(AND(12&gt;=(13-'Assumptions'!$J$102)+'Assumptions'!$AF$102,12&lt;=12),'Revenue and costs'!N80/'Assumptions'!$J$102,0)-IF(AND(12&gt;=(13-'Assumptions'!$J$102),12&lt;=12),SUM('Revenue and costs'!O80:U80)/'Assumptions'!$J$102,0)-IF(12=(13-'Assumptions'!$J$102)-1,'Revenue and costs'!V80+'Revenue and costs'!Y80+'Revenue and costs'!AE80,0)+IF(AND(12&gt;=(13-'Assumptions'!$J$103)+'Assumptions'!$AF$103,12&lt;=12),'Revenue and costs'!N81/'Assumptions'!$J$103,0)-IF(AND(12&gt;=(13-'Assumptions'!$J$103),12&lt;=12),SUM('Revenue and costs'!O81:U81)/'Assumptions'!$J$103,0)-IF(12=(13-'Assumptions'!$J$103)-1,'Revenue and costs'!V81+'Revenue and costs'!Y81+'Revenue and costs'!AE81,0)-'Segment tax'!G27/12-'Segment tax'!L27</x:f>
        <x:v>6651.005841016997</x:v>
      </x:c>
      <x:c r="Q46" s="24" t="n">
        <x:f>MAX(0,-MIN(D46:P46))</x:f>
        <x:v>1521.3378025771608</x:v>
      </x:c>
    </x:row>
    <x:row r="47" ht="30" customHeight="1">
      <x:c r="A47" s="1"/>
      <x:c r="B47" s="1"/>
      <x:c r="C47" s="23" t="str">
        <x:v>S’otality concierge</x:v>
      </x:c>
      <x:c r="D47" s="24" t="n">
        <x:f>IF(AND(0&gt;=(13-'Assumptions'!$J$104)+'Assumptions'!$AF$104,0&lt;=12),'Revenue and costs'!N82/'Assumptions'!$J$104,0)-IF(AND(0&gt;=(13-'Assumptions'!$J$104),0&lt;=12),SUM('Revenue and costs'!O82:U82)/'Assumptions'!$J$104,0)-IF(0=(13-'Assumptions'!$J$104)-1,'Revenue and costs'!V82+'Revenue and costs'!Y82+'Revenue and costs'!AE82,0)-IF('Income statement'!D50=0,1/39,'Segment tax'!E28/'Income statement'!D50)*'Cash and capital'!D13</x:f>
        <x:v>-19.296082448778517</x:v>
      </x:c>
      <x:c r="E47" s="24" t="n">
        <x:f>D47+IF(AND(1&gt;=(13-'Assumptions'!$J$104)+'Assumptions'!$AF$104,1&lt;=12),'Revenue and costs'!N82/'Assumptions'!$J$104,0)-IF(AND(1&gt;=(13-'Assumptions'!$J$104),1&lt;=12),SUM('Revenue and costs'!O82:U82)/'Assumptions'!$J$104,0)-IF(1=(13-'Assumptions'!$J$104)-1,'Revenue and costs'!V82+'Revenue and costs'!Y82+'Revenue and costs'!AE82,0)-'Segment tax'!G28/12</x:f>
        <x:v>-94.10056207520991</x:v>
      </x:c>
      <x:c r="F47" s="24" t="n">
        <x:f>E47+IF(AND(2&gt;=(13-'Assumptions'!$J$104)+'Assumptions'!$AF$104,2&lt;=12),'Revenue and costs'!N82/'Assumptions'!$J$104,0)-IF(AND(2&gt;=(13-'Assumptions'!$J$104),2&lt;=12),SUM('Revenue and costs'!O82:U82)/'Assumptions'!$J$104,0)-IF(2=(13-'Assumptions'!$J$104)-1,'Revenue and costs'!V82+'Revenue and costs'!Y82+'Revenue and costs'!AE82,0)-'Segment tax'!G28/12</x:f>
        <x:v>-168.9050417016413</x:v>
      </x:c>
      <x:c r="G47" s="24" t="n">
        <x:f>F47+IF(AND(3&gt;=(13-'Assumptions'!$J$104)+'Assumptions'!$AF$104,3&lt;=12),'Revenue and costs'!N82/'Assumptions'!$J$104,0)-IF(AND(3&gt;=(13-'Assumptions'!$J$104),3&lt;=12),SUM('Revenue and costs'!O82:U82)/'Assumptions'!$J$104,0)-IF(3=(13-'Assumptions'!$J$104)-1,'Revenue and costs'!V82+'Revenue and costs'!Y82+'Revenue and costs'!AE82,0)-'Segment tax'!G28/12</x:f>
        <x:v>-243.7095213280727</x:v>
      </x:c>
      <x:c r="H47" s="24" t="n">
        <x:f>G47+IF(AND(4&gt;=(13-'Assumptions'!$J$104)+'Assumptions'!$AF$104,4&lt;=12),'Revenue and costs'!N82/'Assumptions'!$J$104,0)-IF(AND(4&gt;=(13-'Assumptions'!$J$104),4&lt;=12),SUM('Revenue and costs'!O82:U82)/'Assumptions'!$J$104,0)-IF(4=(13-'Assumptions'!$J$104)-1,'Revenue and costs'!V82+'Revenue and costs'!Y82+'Revenue and costs'!AE82,0)-'Segment tax'!G28/12</x:f>
        <x:v>-1101.2140009545042</x:v>
      </x:c>
      <x:c r="I47" s="24" t="n">
        <x:f>H47+IF(AND(5&gt;=(13-'Assumptions'!$J$104)+'Assumptions'!$AF$104,5&lt;=12),'Revenue and costs'!N82/'Assumptions'!$J$104,0)-IF(AND(5&gt;=(13-'Assumptions'!$J$104),5&lt;=12),SUM('Revenue and costs'!O82:U82)/'Assumptions'!$J$104,0)-IF(5=(13-'Assumptions'!$J$104)-1,'Revenue and costs'!V82+'Revenue and costs'!Y82+'Revenue and costs'!AE82,0)-'Segment tax'!G28/12</x:f>
        <x:v>-503.7184805809356</x:v>
      </x:c>
      <x:c r="J47" s="24" t="n">
        <x:f>I47+IF(AND(6&gt;=(13-'Assumptions'!$J$104)+'Assumptions'!$AF$104,6&lt;=12),'Revenue and costs'!N82/'Assumptions'!$J$104,0)-IF(AND(6&gt;=(13-'Assumptions'!$J$104),6&lt;=12),SUM('Revenue and costs'!O82:U82)/'Assumptions'!$J$104,0)-IF(6=(13-'Assumptions'!$J$104)-1,'Revenue and costs'!V82+'Revenue and costs'!Y82+'Revenue and costs'!AE82,0)-'Segment tax'!G28/12</x:f>
        <x:v>93.77703979263292</x:v>
      </x:c>
      <x:c r="K47" s="24" t="n">
        <x:f>J47+IF(AND(7&gt;=(13-'Assumptions'!$J$104)+'Assumptions'!$AF$104,7&lt;=12),'Revenue and costs'!N82/'Assumptions'!$J$104,0)-IF(AND(7&gt;=(13-'Assumptions'!$J$104),7&lt;=12),SUM('Revenue and costs'!O82:U82)/'Assumptions'!$J$104,0)-IF(7=(13-'Assumptions'!$J$104)-1,'Revenue and costs'!V82+'Revenue and costs'!Y82+'Revenue and costs'!AE82,0)-'Segment tax'!G28/12</x:f>
        <x:v>691.2725601662014</x:v>
      </x:c>
      <x:c r="L47" s="24" t="n">
        <x:f>K47+IF(AND(8&gt;=(13-'Assumptions'!$J$104)+'Assumptions'!$AF$104,8&lt;=12),'Revenue and costs'!N82/'Assumptions'!$J$104,0)-IF(AND(8&gt;=(13-'Assumptions'!$J$104),8&lt;=12),SUM('Revenue and costs'!O82:U82)/'Assumptions'!$J$104,0)-IF(8=(13-'Assumptions'!$J$104)-1,'Revenue and costs'!V82+'Revenue and costs'!Y82+'Revenue and costs'!AE82,0)-'Segment tax'!G28/12</x:f>
        <x:v>1288.76808053977</x:v>
      </x:c>
      <x:c r="M47" s="24" t="n">
        <x:f>L47+IF(AND(9&gt;=(13-'Assumptions'!$J$104)+'Assumptions'!$AF$104,9&lt;=12),'Revenue and costs'!N82/'Assumptions'!$J$104,0)-IF(AND(9&gt;=(13-'Assumptions'!$J$104),9&lt;=12),SUM('Revenue and costs'!O82:U82)/'Assumptions'!$J$104,0)-IF(9=(13-'Assumptions'!$J$104)-1,'Revenue and costs'!V82+'Revenue and costs'!Y82+'Revenue and costs'!AE82,0)-'Segment tax'!G28/12</x:f>
        <x:v>1886.2636009133385</x:v>
      </x:c>
      <x:c r="N47" s="24" t="n">
        <x:f>M47+IF(AND(10&gt;=(13-'Assumptions'!$J$104)+'Assumptions'!$AF$104,10&lt;=12),'Revenue and costs'!N82/'Assumptions'!$J$104,0)-IF(AND(10&gt;=(13-'Assumptions'!$J$104),10&lt;=12),SUM('Revenue and costs'!O82:U82)/'Assumptions'!$J$104,0)-IF(10=(13-'Assumptions'!$J$104)-1,'Revenue and costs'!V82+'Revenue and costs'!Y82+'Revenue and costs'!AE82,0)-'Segment tax'!G28/12</x:f>
        <x:v>2483.7591212869074</x:v>
      </x:c>
      <x:c r="O47" s="24" t="n">
        <x:f>N47+IF(AND(11&gt;=(13-'Assumptions'!$J$104)+'Assumptions'!$AF$104,11&lt;=12),'Revenue and costs'!N82/'Assumptions'!$J$104,0)-IF(AND(11&gt;=(13-'Assumptions'!$J$104),11&lt;=12),SUM('Revenue and costs'!O82:U82)/'Assumptions'!$J$104,0)-IF(11=(13-'Assumptions'!$J$104)-1,'Revenue and costs'!V82+'Revenue and costs'!Y82+'Revenue and costs'!AE82,0)-'Segment tax'!G28/12</x:f>
        <x:v>3081.2546416604764</x:v>
      </x:c>
      <x:c r="P47" s="24" t="n">
        <x:f>O47+IF(AND(12&gt;=(13-'Assumptions'!$J$104)+'Assumptions'!$AF$104,12&lt;=12),'Revenue and costs'!N82/'Assumptions'!$J$104,0)-IF(AND(12&gt;=(13-'Assumptions'!$J$104),12&lt;=12),SUM('Revenue and costs'!O82:U82)/'Assumptions'!$J$104,0)-IF(12=(13-'Assumptions'!$J$104)-1,'Revenue and costs'!V82+'Revenue and costs'!Y82+'Revenue and costs'!AE82,0)-'Segment tax'!G28/12-'Segment tax'!L28</x:f>
        <x:v>2392.0966077840712</x:v>
      </x:c>
      <x:c r="Q47" s="24" t="n">
        <x:f>MAX(0,-MIN(D47:P47))</x:f>
        <x:v>1101.2140009545042</x:v>
      </x:c>
    </x:row>
    <x:row r="48" ht="30" customHeight="1">
      <x:c r="A48" s="1"/>
      <x:c r="B48" s="1"/>
      <x:c r="C48" s="23" t="str">
        <x:v>S’otality administration</x:v>
      </x:c>
      <x:c r="D48" s="24" t="n">
        <x:f>IF(AND(0&gt;=(13-'Assumptions'!$J$105)+'Assumptions'!$AF$105,0&lt;=12),'Revenue and costs'!N83/'Assumptions'!$J$105,0)-IF(AND(0&gt;=(13-'Assumptions'!$J$105),0&lt;=12),SUM('Revenue and costs'!O83:U83)/'Assumptions'!$J$105,0)-IF(0=(13-'Assumptions'!$J$105)-1,'Revenue and costs'!V83+'Revenue and costs'!Y83+'Revenue and costs'!AE83,0)-IF('Income statement'!D50=0,1/39,'Segment tax'!E29/'Income statement'!D50)*'Cash and capital'!D13</x:f>
        <x:v>-30.873731918045625</x:v>
      </x:c>
      <x:c r="E48" s="24" t="n">
        <x:f>D48+IF(AND(1&gt;=(13-'Assumptions'!$J$105)+'Assumptions'!$AF$105,1&lt;=12),'Revenue and costs'!N83/'Assumptions'!$J$105,0)-IF(AND(1&gt;=(13-'Assumptions'!$J$105),1&lt;=12),SUM('Revenue and costs'!O83:U83)/'Assumptions'!$J$105,0)-IF(1=(13-'Assumptions'!$J$105)-1,'Revenue and costs'!V83+'Revenue and costs'!Y83+'Revenue and costs'!AE83,0)-'Segment tax'!G29/12</x:f>
        <x:v>-150.56089932033584</x:v>
      </x:c>
      <x:c r="F48" s="24" t="n">
        <x:f>E48+IF(AND(2&gt;=(13-'Assumptions'!$J$105)+'Assumptions'!$AF$105,2&lt;=12),'Revenue and costs'!N83/'Assumptions'!$J$105,0)-IF(AND(2&gt;=(13-'Assumptions'!$J$105),2&lt;=12),SUM('Revenue and costs'!O83:U83)/'Assumptions'!$J$105,0)-IF(2=(13-'Assumptions'!$J$105)-1,'Revenue and costs'!V83+'Revenue and costs'!Y83+'Revenue and costs'!AE83,0)-'Segment tax'!G29/12</x:f>
        <x:v>-270.24806672262605</x:v>
      </x:c>
      <x:c r="G48" s="24" t="n">
        <x:f>F48+IF(AND(3&gt;=(13-'Assumptions'!$J$105)+'Assumptions'!$AF$105,3&lt;=12),'Revenue and costs'!N83/'Assumptions'!$J$105,0)-IF(AND(3&gt;=(13-'Assumptions'!$J$105),3&lt;=12),SUM('Revenue and costs'!O83:U83)/'Assumptions'!$J$105,0)-IF(3=(13-'Assumptions'!$J$105)-1,'Revenue and costs'!V83+'Revenue and costs'!Y83+'Revenue and costs'!AE83,0)-'Segment tax'!G29/12</x:f>
        <x:v>-389.93523412491624</x:v>
      </x:c>
      <x:c r="H48" s="24" t="n">
        <x:f>G48+IF(AND(4&gt;=(13-'Assumptions'!$J$105)+'Assumptions'!$AF$105,4&lt;=12),'Revenue and costs'!N83/'Assumptions'!$J$105,0)-IF(AND(4&gt;=(13-'Assumptions'!$J$105),4&lt;=12),SUM('Revenue and costs'!O83:U83)/'Assumptions'!$J$105,0)-IF(4=(13-'Assumptions'!$J$105)-1,'Revenue and costs'!V83+'Revenue and costs'!Y83+'Revenue and costs'!AE83,0)-'Segment tax'!G29/12</x:f>
        <x:v>-2184.342401527206</x:v>
      </x:c>
      <x:c r="I48" s="24" t="n">
        <x:f>H48+IF(AND(5&gt;=(13-'Assumptions'!$J$105)+'Assumptions'!$AF$105,5&lt;=12),'Revenue and costs'!N83/'Assumptions'!$J$105,0)-IF(AND(5&gt;=(13-'Assumptions'!$J$105),5&lt;=12),SUM('Revenue and costs'!O83:U83)/'Assumptions'!$J$105,0)-IF(5=(13-'Assumptions'!$J$105)-1,'Revenue and costs'!V83+'Revenue and costs'!Y83+'Revenue and costs'!AE83,0)-'Segment tax'!G29/12</x:f>
        <x:v>-1650.7495689294965</x:v>
      </x:c>
      <x:c r="J48" s="24" t="n">
        <x:f>I48+IF(AND(6&gt;=(13-'Assumptions'!$J$105)+'Assumptions'!$AF$105,6&lt;=12),'Revenue and costs'!N83/'Assumptions'!$J$105,0)-IF(AND(6&gt;=(13-'Assumptions'!$J$105),6&lt;=12),SUM('Revenue and costs'!O83:U83)/'Assumptions'!$J$105,0)-IF(6=(13-'Assumptions'!$J$105)-1,'Revenue and costs'!V83+'Revenue and costs'!Y83+'Revenue and costs'!AE83,0)-'Segment tax'!G29/12</x:f>
        <x:v>-1117.1567363317868</x:v>
      </x:c>
      <x:c r="K48" s="24" t="n">
        <x:f>J48+IF(AND(7&gt;=(13-'Assumptions'!$J$105)+'Assumptions'!$AF$105,7&lt;=12),'Revenue and costs'!N83/'Assumptions'!$J$105,0)-IF(AND(7&gt;=(13-'Assumptions'!$J$105),7&lt;=12),SUM('Revenue and costs'!O83:U83)/'Assumptions'!$J$105,0)-IF(7=(13-'Assumptions'!$J$105)-1,'Revenue and costs'!V83+'Revenue and costs'!Y83+'Revenue and costs'!AE83,0)-'Segment tax'!G29/12</x:f>
        <x:v>-583.563903734077</x:v>
      </x:c>
      <x:c r="L48" s="24" t="n">
        <x:f>K48+IF(AND(8&gt;=(13-'Assumptions'!$J$105)+'Assumptions'!$AF$105,8&lt;=12),'Revenue and costs'!N83/'Assumptions'!$J$105,0)-IF(AND(8&gt;=(13-'Assumptions'!$J$105),8&lt;=12),SUM('Revenue and costs'!O83:U83)/'Assumptions'!$J$105,0)-IF(8=(13-'Assumptions'!$J$105)-1,'Revenue and costs'!V83+'Revenue and costs'!Y83+'Revenue and costs'!AE83,0)-'Segment tax'!G29/12</x:f>
        <x:v>-49.97107113636726</x:v>
      </x:c>
      <x:c r="M48" s="24" t="n">
        <x:f>L48+IF(AND(9&gt;=(13-'Assumptions'!$J$105)+'Assumptions'!$AF$105,9&lt;=12),'Revenue and costs'!N83/'Assumptions'!$J$105,0)-IF(AND(9&gt;=(13-'Assumptions'!$J$105),9&lt;=12),SUM('Revenue and costs'!O83:U83)/'Assumptions'!$J$105,0)-IF(9=(13-'Assumptions'!$J$105)-1,'Revenue and costs'!V83+'Revenue and costs'!Y83+'Revenue and costs'!AE83,0)-'Segment tax'!G29/12</x:f>
        <x:v>483.6217614613425</x:v>
      </x:c>
      <x:c r="N48" s="24" t="n">
        <x:f>M48+IF(AND(10&gt;=(13-'Assumptions'!$J$105)+'Assumptions'!$AF$105,10&lt;=12),'Revenue and costs'!N83/'Assumptions'!$J$105,0)-IF(AND(10&gt;=(13-'Assumptions'!$J$105),10&lt;=12),SUM('Revenue and costs'!O83:U83)/'Assumptions'!$J$105,0)-IF(10=(13-'Assumptions'!$J$105)-1,'Revenue and costs'!V83+'Revenue and costs'!Y83+'Revenue and costs'!AE83,0)-'Segment tax'!G29/12</x:f>
        <x:v>1017.2145940590522</x:v>
      </x:c>
      <x:c r="O48" s="24" t="n">
        <x:f>N48+IF(AND(11&gt;=(13-'Assumptions'!$J$105)+'Assumptions'!$AF$105,11&lt;=12),'Revenue and costs'!N83/'Assumptions'!$J$105,0)-IF(AND(11&gt;=(13-'Assumptions'!$J$105),11&lt;=12),SUM('Revenue and costs'!O83:U83)/'Assumptions'!$J$105,0)-IF(11=(13-'Assumptions'!$J$105)-1,'Revenue and costs'!V83+'Revenue and costs'!Y83+'Revenue and costs'!AE83,0)-'Segment tax'!G29/12</x:f>
        <x:v>1550.807426656762</x:v>
      </x:c>
      <x:c r="P48" s="24" t="n">
        <x:f>O48+IF(AND(12&gt;=(13-'Assumptions'!$J$105)+'Assumptions'!$AF$105,12&lt;=12),'Revenue and costs'!N83/'Assumptions'!$J$105,0)-IF(AND(12&gt;=(13-'Assumptions'!$J$105),12&lt;=12),SUM('Revenue and costs'!O83:U83)/'Assumptions'!$J$105,0)-IF(12=(13-'Assumptions'!$J$105)-1,'Revenue and costs'!V83+'Revenue and costs'!Y83+'Revenue and costs'!AE83,0)-'Segment tax'!G29/12-'Segment tax'!L29</x:f>
        <x:v>976.1545724545124</x:v>
      </x:c>
      <x:c r="Q48" s="24" t="n">
        <x:f>MAX(0,-MIN(D48:P48))</x:f>
        <x:v>2184.342401527206</x:v>
      </x:c>
    </x:row>
    <x:row r="49" ht="30" customHeight="1">
      <x:c r="A49" s="1"/>
      <x:c r="B49" s="1"/>
      <x:c r="C49" s="23" t="str">
        <x:v>S’otality bike tours</x:v>
      </x:c>
      <x:c r="D49" s="24" t="n">
        <x:f>IF(AND(0&gt;=(13-'Assumptions'!$J$106)+'Assumptions'!$AF$106,0&lt;=12),'Revenue and costs'!N84/'Assumptions'!$J$106,0)-IF(AND(0&gt;=(13-'Assumptions'!$J$106),0&lt;=12),SUM('Revenue and costs'!O84:U84)/'Assumptions'!$J$106,0)-IF(0=(13-'Assumptions'!$J$106)-1,'Revenue and costs'!V84+'Revenue and costs'!Y84+'Revenue and costs'!AE84,0)-IF('Income statement'!D50=0,1/39,'Segment tax'!E30/'Income statement'!D50)*'Cash and capital'!D13</x:f>
        <x:v>-11.14884763707203</x:v>
      </x:c>
      <x:c r="E49" s="24" t="n">
        <x:f>D49+IF(AND(1&gt;=(13-'Assumptions'!$J$106)+'Assumptions'!$AF$106,1&lt;=12),'Revenue and costs'!N84/'Assumptions'!$J$106,0)-IF(AND(1&gt;=(13-'Assumptions'!$J$106),1&lt;=12),SUM('Revenue and costs'!O84:U84)/'Assumptions'!$J$106,0)-IF(1=(13-'Assumptions'!$J$106)-1,'Revenue and costs'!V84+'Revenue and costs'!Y84+'Revenue and costs'!AE84,0)-'Segment tax'!G30/12</x:f>
        <x:v>-54.3692136434546</x:v>
      </x:c>
      <x:c r="F49" s="24" t="n">
        <x:f>E49+IF(AND(2&gt;=(13-'Assumptions'!$J$106)+'Assumptions'!$AF$106,2&lt;=12),'Revenue and costs'!N84/'Assumptions'!$J$106,0)-IF(AND(2&gt;=(13-'Assumptions'!$J$106),2&lt;=12),SUM('Revenue and costs'!O84:U84)/'Assumptions'!$J$106,0)-IF(2=(13-'Assumptions'!$J$106)-1,'Revenue and costs'!V84+'Revenue and costs'!Y84+'Revenue and costs'!AE84,0)-'Segment tax'!G30/12</x:f>
        <x:v>-97.58957964983716</x:v>
      </x:c>
      <x:c r="G49" s="24" t="n">
        <x:f>F49+IF(AND(3&gt;=(13-'Assumptions'!$J$106)+'Assumptions'!$AF$106,3&lt;=12),'Revenue and costs'!N84/'Assumptions'!$J$106,0)-IF(AND(3&gt;=(13-'Assumptions'!$J$106),3&lt;=12),SUM('Revenue and costs'!O84:U84)/'Assumptions'!$J$106,0)-IF(3=(13-'Assumptions'!$J$106)-1,'Revenue and costs'!V84+'Revenue and costs'!Y84+'Revenue and costs'!AE84,0)-'Segment tax'!G30/12</x:f>
        <x:v>-140.80994565621972</x:v>
      </x:c>
      <x:c r="H49" s="24" t="n">
        <x:f>G49+IF(AND(4&gt;=(13-'Assumptions'!$J$106)+'Assumptions'!$AF$106,4&lt;=12),'Revenue and costs'!N84/'Assumptions'!$J$106,0)-IF(AND(4&gt;=(13-'Assumptions'!$J$106),4&lt;=12),SUM('Revenue and costs'!O84:U84)/'Assumptions'!$J$106,0)-IF(4=(13-'Assumptions'!$J$106)-1,'Revenue and costs'!V84+'Revenue and costs'!Y84+'Revenue and costs'!AE84,0)-'Segment tax'!G30/12</x:f>
        <x:v>-184.0303116626023</x:v>
      </x:c>
      <x:c r="I49" s="24" t="n">
        <x:f>H49+IF(AND(5&gt;=(13-'Assumptions'!$J$106)+'Assumptions'!$AF$106,5&lt;=12),'Revenue and costs'!N84/'Assumptions'!$J$106,0)-IF(AND(5&gt;=(13-'Assumptions'!$J$106),5&lt;=12),SUM('Revenue and costs'!O84:U84)/'Assumptions'!$J$106,0)-IF(5=(13-'Assumptions'!$J$106)-1,'Revenue and costs'!V84+'Revenue and costs'!Y84+'Revenue and costs'!AE84,0)-'Segment tax'!G30/12</x:f>
        <x:v>-227.25067766898485</x:v>
      </x:c>
      <x:c r="J49" s="24" t="n">
        <x:f>I49+IF(AND(6&gt;=(13-'Assumptions'!$J$106)+'Assumptions'!$AF$106,6&lt;=12),'Revenue and costs'!N84/'Assumptions'!$J$106,0)-IF(AND(6&gt;=(13-'Assumptions'!$J$106),6&lt;=12),SUM('Revenue and costs'!O84:U84)/'Assumptions'!$J$106,0)-IF(6=(13-'Assumptions'!$J$106)-1,'Revenue and costs'!V84+'Revenue and costs'!Y84+'Revenue and costs'!AE84,0)-'Segment tax'!G30/12</x:f>
        <x:v>-370.4710436753674</x:v>
      </x:c>
      <x:c r="K49" s="24" t="n">
        <x:f>J49+IF(AND(7&gt;=(13-'Assumptions'!$J$106)+'Assumptions'!$AF$106,7&lt;=12),'Revenue and costs'!N84/'Assumptions'!$J$106,0)-IF(AND(7&gt;=(13-'Assumptions'!$J$106),7&lt;=12),SUM('Revenue and costs'!O84:U84)/'Assumptions'!$J$106,0)-IF(7=(13-'Assumptions'!$J$106)-1,'Revenue and costs'!V84+'Revenue and costs'!Y84+'Revenue and costs'!AE84,0)-'Segment tax'!G30/12</x:f>
        <x:v>-156.8314096817499</x:v>
      </x:c>
      <x:c r="L49" s="24" t="n">
        <x:f>K49+IF(AND(8&gt;=(13-'Assumptions'!$J$106)+'Assumptions'!$AF$106,8&lt;=12),'Revenue and costs'!N84/'Assumptions'!$J$106,0)-IF(AND(8&gt;=(13-'Assumptions'!$J$106),8&lt;=12),SUM('Revenue and costs'!O84:U84)/'Assumptions'!$J$106,0)-IF(8=(13-'Assumptions'!$J$106)-1,'Revenue and costs'!V84+'Revenue and costs'!Y84+'Revenue and costs'!AE84,0)-'Segment tax'!G30/12</x:f>
        <x:v>56.8082243118676</x:v>
      </x:c>
      <x:c r="M49" s="24" t="n">
        <x:f>L49+IF(AND(9&gt;=(13-'Assumptions'!$J$106)+'Assumptions'!$AF$106,9&lt;=12),'Revenue and costs'!N84/'Assumptions'!$J$106,0)-IF(AND(9&gt;=(13-'Assumptions'!$J$106),9&lt;=12),SUM('Revenue and costs'!O84:U84)/'Assumptions'!$J$106,0)-IF(9=(13-'Assumptions'!$J$106)-1,'Revenue and costs'!V84+'Revenue and costs'!Y84+'Revenue and costs'!AE84,0)-'Segment tax'!G30/12</x:f>
        <x:v>270.4478583054851</x:v>
      </x:c>
      <x:c r="N49" s="24" t="n">
        <x:f>M49+IF(AND(10&gt;=(13-'Assumptions'!$J$106)+'Assumptions'!$AF$106,10&lt;=12),'Revenue and costs'!N84/'Assumptions'!$J$106,0)-IF(AND(10&gt;=(13-'Assumptions'!$J$106),10&lt;=12),SUM('Revenue and costs'!O84:U84)/'Assumptions'!$J$106,0)-IF(10=(13-'Assumptions'!$J$106)-1,'Revenue and costs'!V84+'Revenue and costs'!Y84+'Revenue and costs'!AE84,0)-'Segment tax'!G30/12</x:f>
        <x:v>484.0874922991026</x:v>
      </x:c>
      <x:c r="O49" s="24" t="n">
        <x:f>N49+IF(AND(11&gt;=(13-'Assumptions'!$J$106)+'Assumptions'!$AF$106,11&lt;=12),'Revenue and costs'!N84/'Assumptions'!$J$106,0)-IF(AND(11&gt;=(13-'Assumptions'!$J$106),11&lt;=12),SUM('Revenue and costs'!O84:U84)/'Assumptions'!$J$106,0)-IF(11=(13-'Assumptions'!$J$106)-1,'Revenue and costs'!V84+'Revenue and costs'!Y84+'Revenue and costs'!AE84,0)-'Segment tax'!G30/12</x:f>
        <x:v>697.7271262927201</x:v>
      </x:c>
      <x:c r="P49" s="24" t="n">
        <x:f>O49+IF(AND(12&gt;=(13-'Assumptions'!$J$106)+'Assumptions'!$AF$106,12&lt;=12),'Revenue and costs'!N84/'Assumptions'!$J$106,0)-IF(AND(12&gt;=(13-'Assumptions'!$J$106),12&lt;=12),SUM('Revenue and costs'!O84:U84)/'Assumptions'!$J$106,0)-IF(12=(13-'Assumptions'!$J$106)-1,'Revenue and costs'!V84+'Revenue and costs'!Y84+'Revenue and costs'!AE84,0)-'Segment tax'!G30/12-'Segment tax'!L30</x:f>
        <x:v>656.666928941908</x:v>
      </x:c>
      <x:c r="Q49" s="24" t="n">
        <x:f>MAX(0,-MIN(D49:P49))</x:f>
        <x:v>370.4710436753674</x:v>
      </x:c>
    </x:row>
    <x:row r="50" ht="30" customHeight="1">
      <x:c r="A50" s="1"/>
      <x:c r="B50" s="1"/>
      <x:c r="C50" s="23" t="str">
        <x:v>S’otality editorial</x:v>
      </x:c>
      <x:c r="D50" s="24" t="n">
        <x:f>IF(AND(0&gt;=(13-'Assumptions'!$J$107)+'Assumptions'!$AF$107,0&lt;=12),'Revenue and costs'!N85/'Assumptions'!$J$107,0)-IF(AND(0&gt;=(13-'Assumptions'!$J$107),0&lt;=12),SUM('Revenue and costs'!O85:U85)/'Assumptions'!$J$107,0)-IF(0=(13-'Assumptions'!$J$107)-1,'Revenue and costs'!V85+'Revenue and costs'!Y85+'Revenue and costs'!AE85,0)+IF(AND(0&gt;=(13-'Assumptions'!$J$108)+'Assumptions'!$AF$108,0&lt;=12),'Revenue and costs'!N86/'Assumptions'!$J$108,0)-IF(AND(0&gt;=(13-'Assumptions'!$J$108),0&lt;=12),SUM('Revenue and costs'!O86:U86)/'Assumptions'!$J$108,0)-IF(0=(13-'Assumptions'!$J$108)-1,'Revenue and costs'!V86+'Revenue and costs'!Y86+'Revenue and costs'!AE86,0)-IF('Income statement'!D50=0,1/39,'Segment tax'!E31/'Income statement'!D50)*'Cash and capital'!D13</x:f>
        <x:v>-5.002688042275912</x:v>
      </x:c>
      <x:c r="E50" s="24" t="n">
        <x:f>D50+IF(AND(1&gt;=(13-'Assumptions'!$J$107)+'Assumptions'!$AF$107,1&lt;=12),'Revenue and costs'!N85/'Assumptions'!$J$107,0)-IF(AND(1&gt;=(13-'Assumptions'!$J$107),1&lt;=12),SUM('Revenue and costs'!O85:U85)/'Assumptions'!$J$107,0)-IF(1=(13-'Assumptions'!$J$107)-1,'Revenue and costs'!V85+'Revenue and costs'!Y85+'Revenue and costs'!AE85,0)+IF(AND(1&gt;=(13-'Assumptions'!$J$108)+'Assumptions'!$AF$108,1&lt;=12),'Revenue and costs'!N86/'Assumptions'!$J$108,0)-IF(AND(1&gt;=(13-'Assumptions'!$J$108),1&lt;=12),SUM('Revenue and costs'!O86:U86)/'Assumptions'!$J$108,0)-IF(1=(13-'Assumptions'!$J$108)-1,'Revenue and costs'!V86+'Revenue and costs'!Y86+'Revenue and costs'!AE86,0)-'Segment tax'!G31/12</x:f>
        <x:v>-24.396442019498863</x:v>
      </x:c>
      <x:c r="F50" s="24" t="n">
        <x:f>E50+IF(AND(2&gt;=(13-'Assumptions'!$J$107)+'Assumptions'!$AF$107,2&lt;=12),'Revenue and costs'!N85/'Assumptions'!$J$107,0)-IF(AND(2&gt;=(13-'Assumptions'!$J$107),2&lt;=12),SUM('Revenue and costs'!O85:U85)/'Assumptions'!$J$107,0)-IF(2=(13-'Assumptions'!$J$107)-1,'Revenue and costs'!V85+'Revenue and costs'!Y85+'Revenue and costs'!AE85,0)+IF(AND(2&gt;=(13-'Assumptions'!$J$108)+'Assumptions'!$AF$108,2&lt;=12),'Revenue and costs'!N86/'Assumptions'!$J$108,0)-IF(AND(2&gt;=(13-'Assumptions'!$J$108),2&lt;=12),SUM('Revenue and costs'!O86:U86)/'Assumptions'!$J$108,0)-IF(2=(13-'Assumptions'!$J$108)-1,'Revenue and costs'!V86+'Revenue and costs'!Y86+'Revenue and costs'!AE86,0)-'Segment tax'!G31/12</x:f>
        <x:v>-43.79019599672181</x:v>
      </x:c>
      <x:c r="G50" s="24" t="n">
        <x:f>F50+IF(AND(3&gt;=(13-'Assumptions'!$J$107)+'Assumptions'!$AF$107,3&lt;=12),'Revenue and costs'!N85/'Assumptions'!$J$107,0)-IF(AND(3&gt;=(13-'Assumptions'!$J$107),3&lt;=12),SUM('Revenue and costs'!O85:U85)/'Assumptions'!$J$107,0)-IF(3=(13-'Assumptions'!$J$107)-1,'Revenue and costs'!V85+'Revenue and costs'!Y85+'Revenue and costs'!AE85,0)+IF(AND(3&gt;=(13-'Assumptions'!$J$108)+'Assumptions'!$AF$108,3&lt;=12),'Revenue and costs'!N86/'Assumptions'!$J$108,0)-IF(AND(3&gt;=(13-'Assumptions'!$J$108),3&lt;=12),SUM('Revenue and costs'!O86:U86)/'Assumptions'!$J$108,0)-IF(3=(13-'Assumptions'!$J$108)-1,'Revenue and costs'!V86+'Revenue and costs'!Y86+'Revenue and costs'!AE86,0)-'Segment tax'!G31/12</x:f>
        <x:v>-63.18394997394476</x:v>
      </x:c>
      <x:c r="H50" s="24" t="n">
        <x:f>G50+IF(AND(4&gt;=(13-'Assumptions'!$J$107)+'Assumptions'!$AF$107,4&lt;=12),'Revenue and costs'!N85/'Assumptions'!$J$107,0)-IF(AND(4&gt;=(13-'Assumptions'!$J$107),4&lt;=12),SUM('Revenue and costs'!O85:U85)/'Assumptions'!$J$107,0)-IF(4=(13-'Assumptions'!$J$107)-1,'Revenue and costs'!V85+'Revenue and costs'!Y85+'Revenue and costs'!AE85,0)+IF(AND(4&gt;=(13-'Assumptions'!$J$108)+'Assumptions'!$AF$108,4&lt;=12),'Revenue and costs'!N86/'Assumptions'!$J$108,0)-IF(AND(4&gt;=(13-'Assumptions'!$J$108),4&lt;=12),SUM('Revenue and costs'!O86:U86)/'Assumptions'!$J$108,0)-IF(4=(13-'Assumptions'!$J$108)-1,'Revenue and costs'!V86+'Revenue and costs'!Y86+'Revenue and costs'!AE86,0)-'Segment tax'!G31/12</x:f>
        <x:v>-82.5777039511677</x:v>
      </x:c>
      <x:c r="I50" s="24" t="n">
        <x:f>H50+IF(AND(5&gt;=(13-'Assumptions'!$J$107)+'Assumptions'!$AF$107,5&lt;=12),'Revenue and costs'!N85/'Assumptions'!$J$107,0)-IF(AND(5&gt;=(13-'Assumptions'!$J$107),5&lt;=12),SUM('Revenue and costs'!O85:U85)/'Assumptions'!$J$107,0)-IF(5=(13-'Assumptions'!$J$107)-1,'Revenue and costs'!V85+'Revenue and costs'!Y85+'Revenue and costs'!AE85,0)+IF(AND(5&gt;=(13-'Assumptions'!$J$108)+'Assumptions'!$AF$108,5&lt;=12),'Revenue and costs'!N86/'Assumptions'!$J$108,0)-IF(AND(5&gt;=(13-'Assumptions'!$J$108),5&lt;=12),SUM('Revenue and costs'!O86:U86)/'Assumptions'!$J$108,0)-IF(5=(13-'Assumptions'!$J$108)-1,'Revenue and costs'!V86+'Revenue and costs'!Y86+'Revenue and costs'!AE86,0)-'Segment tax'!G31/12</x:f>
        <x:v>-101.97145792839066</x:v>
      </x:c>
      <x:c r="J50" s="24" t="n">
        <x:f>I50+IF(AND(6&gt;=(13-'Assumptions'!$J$107)+'Assumptions'!$AF$107,6&lt;=12),'Revenue and costs'!N85/'Assumptions'!$J$107,0)-IF(AND(6&gt;=(13-'Assumptions'!$J$107),6&lt;=12),SUM('Revenue and costs'!O85:U85)/'Assumptions'!$J$107,0)-IF(6=(13-'Assumptions'!$J$107)-1,'Revenue and costs'!V85+'Revenue and costs'!Y85+'Revenue and costs'!AE85,0)+IF(AND(6&gt;=(13-'Assumptions'!$J$108)+'Assumptions'!$AF$108,6&lt;=12),'Revenue and costs'!N86/'Assumptions'!$J$108,0)-IF(AND(6&gt;=(13-'Assumptions'!$J$108),6&lt;=12),SUM('Revenue and costs'!O86:U86)/'Assumptions'!$J$108,0)-IF(6=(13-'Assumptions'!$J$108)-1,'Revenue and costs'!V86+'Revenue and costs'!Y86+'Revenue and costs'!AE86,0)-'Segment tax'!G31/12</x:f>
        <x:v>-154.69854523894696</x:v>
      </x:c>
      <x:c r="K50" s="24" t="n">
        <x:f>J50+IF(AND(7&gt;=(13-'Assumptions'!$J$107)+'Assumptions'!$AF$107,7&lt;=12),'Revenue and costs'!N85/'Assumptions'!$J$107,0)-IF(AND(7&gt;=(13-'Assumptions'!$J$107),7&lt;=12),SUM('Revenue and costs'!O85:U85)/'Assumptions'!$J$107,0)-IF(7=(13-'Assumptions'!$J$107)-1,'Revenue and costs'!V85+'Revenue and costs'!Y85+'Revenue and costs'!AE85,0)+IF(AND(7&gt;=(13-'Assumptions'!$J$108)+'Assumptions'!$AF$108,7&lt;=12),'Revenue and costs'!N86/'Assumptions'!$J$108,0)-IF(AND(7&gt;=(13-'Assumptions'!$J$108),7&lt;=12),SUM('Revenue and costs'!O86:U86)/'Assumptions'!$J$108,0)-IF(7=(13-'Assumptions'!$J$108)-1,'Revenue and costs'!V86+'Revenue and costs'!Y86+'Revenue and costs'!AE86,0)-'Segment tax'!G31/12</x:f>
        <x:v>-476.67563254950323</x:v>
      </x:c>
      <x:c r="L50" s="24" t="n">
        <x:f>K50+IF(AND(8&gt;=(13-'Assumptions'!$J$107)+'Assumptions'!$AF$107,8&lt;=12),'Revenue and costs'!N85/'Assumptions'!$J$107,0)-IF(AND(8&gt;=(13-'Assumptions'!$J$107),8&lt;=12),SUM('Revenue and costs'!O85:U85)/'Assumptions'!$J$107,0)-IF(8=(13-'Assumptions'!$J$107)-1,'Revenue and costs'!V85+'Revenue and costs'!Y85+'Revenue and costs'!AE85,0)+IF(AND(8&gt;=(13-'Assumptions'!$J$108)+'Assumptions'!$AF$108,8&lt;=12),'Revenue and costs'!N86/'Assumptions'!$J$108,0)-IF(AND(8&gt;=(13-'Assumptions'!$J$108),8&lt;=12),SUM('Revenue and costs'!O86:U86)/'Assumptions'!$J$108,0)-IF(8=(13-'Assumptions'!$J$108)-1,'Revenue and costs'!V86+'Revenue and costs'!Y86+'Revenue and costs'!AE86,0)-'Segment tax'!G31/12</x:f>
        <x:v>-232.8193865267262</x:v>
      </x:c>
      <x:c r="M50" s="24" t="n">
        <x:f>L50+IF(AND(9&gt;=(13-'Assumptions'!$J$107)+'Assumptions'!$AF$107,9&lt;=12),'Revenue and costs'!N85/'Assumptions'!$J$107,0)-IF(AND(9&gt;=(13-'Assumptions'!$J$107),9&lt;=12),SUM('Revenue and costs'!O85:U85)/'Assumptions'!$J$107,0)-IF(9=(13-'Assumptions'!$J$107)-1,'Revenue and costs'!V85+'Revenue and costs'!Y85+'Revenue and costs'!AE85,0)+IF(AND(9&gt;=(13-'Assumptions'!$J$108)+'Assumptions'!$AF$108,9&lt;=12),'Revenue and costs'!N86/'Assumptions'!$J$108,0)-IF(AND(9&gt;=(13-'Assumptions'!$J$108),9&lt;=12),SUM('Revenue and costs'!O86:U86)/'Assumptions'!$J$108,0)-IF(9=(13-'Assumptions'!$J$108)-1,'Revenue and costs'!V86+'Revenue and costs'!Y86+'Revenue and costs'!AE86,0)-'Segment tax'!G31/12</x:f>
        <x:v>11.036859496050859</x:v>
      </x:c>
      <x:c r="N50" s="24" t="n">
        <x:f>M50+IF(AND(10&gt;=(13-'Assumptions'!$J$107)+'Assumptions'!$AF$107,10&lt;=12),'Revenue and costs'!N85/'Assumptions'!$J$107,0)-IF(AND(10&gt;=(13-'Assumptions'!$J$107),10&lt;=12),SUM('Revenue and costs'!O85:U85)/'Assumptions'!$J$107,0)-IF(10=(13-'Assumptions'!$J$107)-1,'Revenue and costs'!V85+'Revenue and costs'!Y85+'Revenue and costs'!AE85,0)+IF(AND(10&gt;=(13-'Assumptions'!$J$108)+'Assumptions'!$AF$108,10&lt;=12),'Revenue and costs'!N86/'Assumptions'!$J$108,0)-IF(AND(10&gt;=(13-'Assumptions'!$J$108),10&lt;=12),SUM('Revenue and costs'!O86:U86)/'Assumptions'!$J$108,0)-IF(10=(13-'Assumptions'!$J$108)-1,'Revenue and costs'!V86+'Revenue and costs'!Y86+'Revenue and costs'!AE86,0)-'Segment tax'!G31/12</x:f>
        <x:v>254.8931055188279</x:v>
      </x:c>
      <x:c r="O50" s="24" t="n">
        <x:f>N50+IF(AND(11&gt;=(13-'Assumptions'!$J$107)+'Assumptions'!$AF$107,11&lt;=12),'Revenue and costs'!N85/'Assumptions'!$J$107,0)-IF(AND(11&gt;=(13-'Assumptions'!$J$107),11&lt;=12),SUM('Revenue and costs'!O85:U85)/'Assumptions'!$J$107,0)-IF(11=(13-'Assumptions'!$J$107)-1,'Revenue and costs'!V85+'Revenue and costs'!Y85+'Revenue and costs'!AE85,0)+IF(AND(11&gt;=(13-'Assumptions'!$J$108)+'Assumptions'!$AF$108,11&lt;=12),'Revenue and costs'!N86/'Assumptions'!$J$108,0)-IF(AND(11&gt;=(13-'Assumptions'!$J$108),11&lt;=12),SUM('Revenue and costs'!O86:U86)/'Assumptions'!$J$108,0)-IF(11=(13-'Assumptions'!$J$108)-1,'Revenue and costs'!V86+'Revenue and costs'!Y86+'Revenue and costs'!AE86,0)-'Segment tax'!G31/12</x:f>
        <x:v>498.7493515416049</x:v>
      </x:c>
      <x:c r="P50" s="24" t="n">
        <x:f>O50+IF(AND(12&gt;=(13-'Assumptions'!$J$107)+'Assumptions'!$AF$107,12&lt;=12),'Revenue and costs'!N85/'Assumptions'!$J$107,0)-IF(AND(12&gt;=(13-'Assumptions'!$J$107),12&lt;=12),SUM('Revenue and costs'!O85:U85)/'Assumptions'!$J$107,0)-IF(12=(13-'Assumptions'!$J$107)-1,'Revenue and costs'!V85+'Revenue and costs'!Y85+'Revenue and costs'!AE85,0)+IF(AND(12&gt;=(13-'Assumptions'!$J$108)+'Assumptions'!$AF$108,12&lt;=12),'Revenue and costs'!N86/'Assumptions'!$J$108,0)-IF(AND(12&gt;=(13-'Assumptions'!$J$108),12&lt;=12),SUM('Revenue and costs'!O86:U86)/'Assumptions'!$J$108,0)-IF(12=(13-'Assumptions'!$J$108)-1,'Revenue and costs'!V86+'Revenue and costs'!Y86+'Revenue and costs'!AE86,0)-'Segment tax'!G31/12-'Segment tax'!L31</x:f>
        <x:v>406.32875016624047</x:v>
      </x:c>
      <x:c r="Q50" s="24" t="n">
        <x:f>MAX(0,-MIN(D50:P50))</x:f>
        <x:v>476.67563254950323</x:v>
      </x:c>
    </x:row>
    <x:row r="51" ht="30" customHeight="1">
      <x:c r="A51" s="1"/>
      <x:c r="B51" s="1"/>
      <x:c r="C51" s="23" t="str">
        <x:v>Tomato Odyssey</x:v>
      </x:c>
      <x:c r="D51" s="24" t="n">
        <x:f>IF(AND(0&gt;=(13-'Assumptions'!$J$109)+'Assumptions'!$AF$109,0&lt;=12),'Revenue and costs'!N87/'Assumptions'!$J$109,0)-IF(AND(0&gt;=(13-'Assumptions'!$J$109),0&lt;=12),SUM('Revenue and costs'!O87:U87)/'Assumptions'!$J$109,0)-IF(0=(13-'Assumptions'!$J$109)-1,'Revenue and costs'!V87+'Revenue and costs'!Y87+'Revenue and costs'!AE87,0)+IF(AND(0&gt;=(13-'Assumptions'!$J$110)+'Assumptions'!$AF$110,0&lt;=12),'Revenue and costs'!N88/'Assumptions'!$J$110,0)-IF(AND(0&gt;=(13-'Assumptions'!$J$110),0&lt;=12),SUM('Revenue and costs'!O88:U88)/'Assumptions'!$J$110,0)-IF(0=(13-'Assumptions'!$J$110)-1,'Revenue and costs'!V88+'Revenue and costs'!Y88+'Revenue and costs'!AE88,0)-IF('Income statement'!D50=0,1/39,'Segment tax'!E32/'Income statement'!D50)*'Cash and capital'!D13</x:f>
        <x:v>-5.002688042275912</x:v>
      </x:c>
      <x:c r="E51" s="24" t="n">
        <x:f>D51+IF(AND(1&gt;=(13-'Assumptions'!$J$109)+'Assumptions'!$AF$109,1&lt;=12),'Revenue and costs'!N87/'Assumptions'!$J$109,0)-IF(AND(1&gt;=(13-'Assumptions'!$J$109),1&lt;=12),SUM('Revenue and costs'!O87:U87)/'Assumptions'!$J$109,0)-IF(1=(13-'Assumptions'!$J$109)-1,'Revenue and costs'!V87+'Revenue and costs'!Y87+'Revenue and costs'!AE87,0)+IF(AND(1&gt;=(13-'Assumptions'!$J$110)+'Assumptions'!$AF$110,1&lt;=12),'Revenue and costs'!N88/'Assumptions'!$J$110,0)-IF(AND(1&gt;=(13-'Assumptions'!$J$110),1&lt;=12),SUM('Revenue and costs'!O88:U88)/'Assumptions'!$J$110,0)-IF(1=(13-'Assumptions'!$J$110)-1,'Revenue and costs'!V88+'Revenue and costs'!Y88+'Revenue and costs'!AE88,0)-'Segment tax'!G32/12</x:f>
        <x:v>-24.396442019498863</x:v>
      </x:c>
      <x:c r="F51" s="24" t="n">
        <x:f>E51+IF(AND(2&gt;=(13-'Assumptions'!$J$109)+'Assumptions'!$AF$109,2&lt;=12),'Revenue and costs'!N87/'Assumptions'!$J$109,0)-IF(AND(2&gt;=(13-'Assumptions'!$J$109),2&lt;=12),SUM('Revenue and costs'!O87:U87)/'Assumptions'!$J$109,0)-IF(2=(13-'Assumptions'!$J$109)-1,'Revenue and costs'!V87+'Revenue and costs'!Y87+'Revenue and costs'!AE87,0)+IF(AND(2&gt;=(13-'Assumptions'!$J$110)+'Assumptions'!$AF$110,2&lt;=12),'Revenue and costs'!N88/'Assumptions'!$J$110,0)-IF(AND(2&gt;=(13-'Assumptions'!$J$110),2&lt;=12),SUM('Revenue and costs'!O88:U88)/'Assumptions'!$J$110,0)-IF(2=(13-'Assumptions'!$J$110)-1,'Revenue and costs'!V88+'Revenue and costs'!Y88+'Revenue and costs'!AE88,0)-'Segment tax'!G32/12</x:f>
        <x:v>-43.79019599672181</x:v>
      </x:c>
      <x:c r="G51" s="24" t="n">
        <x:f>F51+IF(AND(3&gt;=(13-'Assumptions'!$J$109)+'Assumptions'!$AF$109,3&lt;=12),'Revenue and costs'!N87/'Assumptions'!$J$109,0)-IF(AND(3&gt;=(13-'Assumptions'!$J$109),3&lt;=12),SUM('Revenue and costs'!O87:U87)/'Assumptions'!$J$109,0)-IF(3=(13-'Assumptions'!$J$109)-1,'Revenue and costs'!V87+'Revenue and costs'!Y87+'Revenue and costs'!AE87,0)+IF(AND(3&gt;=(13-'Assumptions'!$J$110)+'Assumptions'!$AF$110,3&lt;=12),'Revenue and costs'!N88/'Assumptions'!$J$110,0)-IF(AND(3&gt;=(13-'Assumptions'!$J$110),3&lt;=12),SUM('Revenue and costs'!O88:U88)/'Assumptions'!$J$110,0)-IF(3=(13-'Assumptions'!$J$110)-1,'Revenue and costs'!V88+'Revenue and costs'!Y88+'Revenue and costs'!AE88,0)-'Segment tax'!G32/12</x:f>
        <x:v>-63.18394997394476</x:v>
      </x:c>
      <x:c r="H51" s="24" t="n">
        <x:f>G51+IF(AND(4&gt;=(13-'Assumptions'!$J$109)+'Assumptions'!$AF$109,4&lt;=12),'Revenue and costs'!N87/'Assumptions'!$J$109,0)-IF(AND(4&gt;=(13-'Assumptions'!$J$109),4&lt;=12),SUM('Revenue and costs'!O87:U87)/'Assumptions'!$J$109,0)-IF(4=(13-'Assumptions'!$J$109)-1,'Revenue and costs'!V87+'Revenue and costs'!Y87+'Revenue and costs'!AE87,0)+IF(AND(4&gt;=(13-'Assumptions'!$J$110)+'Assumptions'!$AF$110,4&lt;=12),'Revenue and costs'!N88/'Assumptions'!$J$110,0)-IF(AND(4&gt;=(13-'Assumptions'!$J$110),4&lt;=12),SUM('Revenue and costs'!O88:U88)/'Assumptions'!$J$110,0)-IF(4=(13-'Assumptions'!$J$110)-1,'Revenue and costs'!V88+'Revenue and costs'!Y88+'Revenue and costs'!AE88,0)-'Segment tax'!G32/12</x:f>
        <x:v>-82.5777039511677</x:v>
      </x:c>
      <x:c r="I51" s="24" t="n">
        <x:f>H51+IF(AND(5&gt;=(13-'Assumptions'!$J$109)+'Assumptions'!$AF$109,5&lt;=12),'Revenue and costs'!N87/'Assumptions'!$J$109,0)-IF(AND(5&gt;=(13-'Assumptions'!$J$109),5&lt;=12),SUM('Revenue and costs'!O87:U87)/'Assumptions'!$J$109,0)-IF(5=(13-'Assumptions'!$J$109)-1,'Revenue and costs'!V87+'Revenue and costs'!Y87+'Revenue and costs'!AE87,0)+IF(AND(5&gt;=(13-'Assumptions'!$J$110)+'Assumptions'!$AF$110,5&lt;=12),'Revenue and costs'!N88/'Assumptions'!$J$110,0)-IF(AND(5&gt;=(13-'Assumptions'!$J$110),5&lt;=12),SUM('Revenue and costs'!O88:U88)/'Assumptions'!$J$110,0)-IF(5=(13-'Assumptions'!$J$110)-1,'Revenue and costs'!V88+'Revenue and costs'!Y88+'Revenue and costs'!AE88,0)-'Segment tax'!G32/12</x:f>
        <x:v>-101.97145792839066</x:v>
      </x:c>
      <x:c r="J51" s="24" t="n">
        <x:f>I51+IF(AND(6&gt;=(13-'Assumptions'!$J$109)+'Assumptions'!$AF$109,6&lt;=12),'Revenue and costs'!N87/'Assumptions'!$J$109,0)-IF(AND(6&gt;=(13-'Assumptions'!$J$109),6&lt;=12),SUM('Revenue and costs'!O87:U87)/'Assumptions'!$J$109,0)-IF(6=(13-'Assumptions'!$J$109)-1,'Revenue and costs'!V87+'Revenue and costs'!Y87+'Revenue and costs'!AE87,0)+IF(AND(6&gt;=(13-'Assumptions'!$J$110)+'Assumptions'!$AF$110,6&lt;=12),'Revenue and costs'!N88/'Assumptions'!$J$110,0)-IF(AND(6&gt;=(13-'Assumptions'!$J$110),6&lt;=12),SUM('Revenue and costs'!O88:U88)/'Assumptions'!$J$110,0)-IF(6=(13-'Assumptions'!$J$110)-1,'Revenue and costs'!V88+'Revenue and costs'!Y88+'Revenue and costs'!AE88,0)-'Segment tax'!G32/12</x:f>
        <x:v>-154.69854523894696</x:v>
      </x:c>
      <x:c r="K51" s="24" t="n">
        <x:f>J51+IF(AND(7&gt;=(13-'Assumptions'!$J$109)+'Assumptions'!$AF$109,7&lt;=12),'Revenue and costs'!N87/'Assumptions'!$J$109,0)-IF(AND(7&gt;=(13-'Assumptions'!$J$109),7&lt;=12),SUM('Revenue and costs'!O87:U87)/'Assumptions'!$J$109,0)-IF(7=(13-'Assumptions'!$J$109)-1,'Revenue and costs'!V87+'Revenue and costs'!Y87+'Revenue and costs'!AE87,0)+IF(AND(7&gt;=(13-'Assumptions'!$J$110)+'Assumptions'!$AF$110,7&lt;=12),'Revenue and costs'!N88/'Assumptions'!$J$110,0)-IF(AND(7&gt;=(13-'Assumptions'!$J$110),7&lt;=12),SUM('Revenue and costs'!O88:U88)/'Assumptions'!$J$110,0)-IF(7=(13-'Assumptions'!$J$110)-1,'Revenue and costs'!V88+'Revenue and costs'!Y88+'Revenue and costs'!AE88,0)-'Segment tax'!G32/12</x:f>
        <x:v>-476.67563254950323</x:v>
      </x:c>
      <x:c r="L51" s="24" t="n">
        <x:f>K51+IF(AND(8&gt;=(13-'Assumptions'!$J$109)+'Assumptions'!$AF$109,8&lt;=12),'Revenue and costs'!N87/'Assumptions'!$J$109,0)-IF(AND(8&gt;=(13-'Assumptions'!$J$109),8&lt;=12),SUM('Revenue and costs'!O87:U87)/'Assumptions'!$J$109,0)-IF(8=(13-'Assumptions'!$J$109)-1,'Revenue and costs'!V87+'Revenue and costs'!Y87+'Revenue and costs'!AE87,0)+IF(AND(8&gt;=(13-'Assumptions'!$J$110)+'Assumptions'!$AF$110,8&lt;=12),'Revenue and costs'!N88/'Assumptions'!$J$110,0)-IF(AND(8&gt;=(13-'Assumptions'!$J$110),8&lt;=12),SUM('Revenue and costs'!O88:U88)/'Assumptions'!$J$110,0)-IF(8=(13-'Assumptions'!$J$110)-1,'Revenue and costs'!V88+'Revenue and costs'!Y88+'Revenue and costs'!AE88,0)-'Segment tax'!G32/12</x:f>
        <x:v>-232.8193865267262</x:v>
      </x:c>
      <x:c r="M51" s="24" t="n">
        <x:f>L51+IF(AND(9&gt;=(13-'Assumptions'!$J$109)+'Assumptions'!$AF$109,9&lt;=12),'Revenue and costs'!N87/'Assumptions'!$J$109,0)-IF(AND(9&gt;=(13-'Assumptions'!$J$109),9&lt;=12),SUM('Revenue and costs'!O87:U87)/'Assumptions'!$J$109,0)-IF(9=(13-'Assumptions'!$J$109)-1,'Revenue and costs'!V87+'Revenue and costs'!Y87+'Revenue and costs'!AE87,0)+IF(AND(9&gt;=(13-'Assumptions'!$J$110)+'Assumptions'!$AF$110,9&lt;=12),'Revenue and costs'!N88/'Assumptions'!$J$110,0)-IF(AND(9&gt;=(13-'Assumptions'!$J$110),9&lt;=12),SUM('Revenue and costs'!O88:U88)/'Assumptions'!$J$110,0)-IF(9=(13-'Assumptions'!$J$110)-1,'Revenue and costs'!V88+'Revenue and costs'!Y88+'Revenue and costs'!AE88,0)-'Segment tax'!G32/12</x:f>
        <x:v>11.036859496050859</x:v>
      </x:c>
      <x:c r="N51" s="24" t="n">
        <x:f>M51+IF(AND(10&gt;=(13-'Assumptions'!$J$109)+'Assumptions'!$AF$109,10&lt;=12),'Revenue and costs'!N87/'Assumptions'!$J$109,0)-IF(AND(10&gt;=(13-'Assumptions'!$J$109),10&lt;=12),SUM('Revenue and costs'!O87:U87)/'Assumptions'!$J$109,0)-IF(10=(13-'Assumptions'!$J$109)-1,'Revenue and costs'!V87+'Revenue and costs'!Y87+'Revenue and costs'!AE87,0)+IF(AND(10&gt;=(13-'Assumptions'!$J$110)+'Assumptions'!$AF$110,10&lt;=12),'Revenue and costs'!N88/'Assumptions'!$J$110,0)-IF(AND(10&gt;=(13-'Assumptions'!$J$110),10&lt;=12),SUM('Revenue and costs'!O88:U88)/'Assumptions'!$J$110,0)-IF(10=(13-'Assumptions'!$J$110)-1,'Revenue and costs'!V88+'Revenue and costs'!Y88+'Revenue and costs'!AE88,0)-'Segment tax'!G32/12</x:f>
        <x:v>254.8931055188279</x:v>
      </x:c>
      <x:c r="O51" s="24" t="n">
        <x:f>N51+IF(AND(11&gt;=(13-'Assumptions'!$J$109)+'Assumptions'!$AF$109,11&lt;=12),'Revenue and costs'!N87/'Assumptions'!$J$109,0)-IF(AND(11&gt;=(13-'Assumptions'!$J$109),11&lt;=12),SUM('Revenue and costs'!O87:U87)/'Assumptions'!$J$109,0)-IF(11=(13-'Assumptions'!$J$109)-1,'Revenue and costs'!V87+'Revenue and costs'!Y87+'Revenue and costs'!AE87,0)+IF(AND(11&gt;=(13-'Assumptions'!$J$110)+'Assumptions'!$AF$110,11&lt;=12),'Revenue and costs'!N88/'Assumptions'!$J$110,0)-IF(AND(11&gt;=(13-'Assumptions'!$J$110),11&lt;=12),SUM('Revenue and costs'!O88:U88)/'Assumptions'!$J$110,0)-IF(11=(13-'Assumptions'!$J$110)-1,'Revenue and costs'!V88+'Revenue and costs'!Y88+'Revenue and costs'!AE88,0)-'Segment tax'!G32/12</x:f>
        <x:v>498.7493515416049</x:v>
      </x:c>
      <x:c r="P51" s="24" t="n">
        <x:f>O51+IF(AND(12&gt;=(13-'Assumptions'!$J$109)+'Assumptions'!$AF$109,12&lt;=12),'Revenue and costs'!N87/'Assumptions'!$J$109,0)-IF(AND(12&gt;=(13-'Assumptions'!$J$109),12&lt;=12),SUM('Revenue and costs'!O87:U87)/'Assumptions'!$J$109,0)-IF(12=(13-'Assumptions'!$J$109)-1,'Revenue and costs'!V87+'Revenue and costs'!Y87+'Revenue and costs'!AE87,0)+IF(AND(12&gt;=(13-'Assumptions'!$J$110)+'Assumptions'!$AF$110,12&lt;=12),'Revenue and costs'!N88/'Assumptions'!$J$110,0)-IF(AND(12&gt;=(13-'Assumptions'!$J$110),12&lt;=12),SUM('Revenue and costs'!O88:U88)/'Assumptions'!$J$110,0)-IF(12=(13-'Assumptions'!$J$110)-1,'Revenue and costs'!V88+'Revenue and costs'!Y88+'Revenue and costs'!AE88,0)-'Segment tax'!G32/12-'Segment tax'!L32</x:f>
        <x:v>406.32875016624047</x:v>
      </x:c>
      <x:c r="Q51" s="24" t="n">
        <x:f>MAX(0,-MIN(D51:P51))</x:f>
        <x:v>476.67563254950323</x:v>
      </x:c>
    </x:row>
    <x:row r="52" ht="30" customHeight="1">
      <x:c r="A52" s="1"/>
      <x:c r="B52" s="1"/>
      <x:c r="C52" s="23" t="str">
        <x:v>Semajes Studio</x:v>
      </x:c>
      <x:c r="D52" s="24" t="n">
        <x:f>IF(AND(0&gt;=(13-'Assumptions'!$J$111)+'Assumptions'!$AF$111,0&lt;=12),'Revenue and costs'!N89/'Assumptions'!$J$111,0)-IF(AND(0&gt;=(13-'Assumptions'!$J$111),0&lt;=12),SUM('Revenue and costs'!O89:U89)/'Assumptions'!$J$111,0)-IF(0=(13-'Assumptions'!$J$111)-1,'Revenue and costs'!V89+'Revenue and costs'!Y89+'Revenue and costs'!AE89,0)+IF(AND(0&gt;=(13-'Assumptions'!$J$112)+'Assumptions'!$AF$112,0&lt;=12),'Revenue and costs'!N90/'Assumptions'!$J$112,0)-IF(AND(0&gt;=(13-'Assumptions'!$J$112),0&lt;=12),SUM('Revenue and costs'!O90:U90)/'Assumptions'!$J$112,0)-IF(0=(13-'Assumptions'!$J$112)-1,'Revenue and costs'!V90+'Revenue and costs'!Y90+'Revenue and costs'!AE90,0)+IF(AND(0&gt;=(13-'Assumptions'!$J$113)+'Assumptions'!$AF$113,0&lt;=12),'Revenue and costs'!N91/'Assumptions'!$J$113,0)-IF(AND(0&gt;=(13-'Assumptions'!$J$113),0&lt;=12),SUM('Revenue and costs'!O91:U91)/'Assumptions'!$J$113,0)-IF(0=(13-'Assumptions'!$J$113)-1,'Revenue and costs'!V91+'Revenue and costs'!Y91+'Revenue and costs'!AE91,0)+IF(AND(0&gt;=(13-'Assumptions'!$J$114)+'Assumptions'!$AF$114,0&lt;=12),'Revenue and costs'!N92/'Assumptions'!$J$114,0)-IF(AND(0&gt;=(13-'Assumptions'!$J$114),0&lt;=12),SUM('Revenue and costs'!O92:U92)/'Assumptions'!$J$114,0)-IF(0=(13-'Assumptions'!$J$114)-1,'Revenue and costs'!V92+'Revenue and costs'!Y92+'Revenue and costs'!AE92,0)+IF(AND(0&gt;=(13-'Assumptions'!$J$115)+'Assumptions'!$AF$115,0&lt;=12),'Revenue and costs'!N93/'Assumptions'!$J$115,0)-IF(AND(0&gt;=(13-'Assumptions'!$J$115),0&lt;=12),SUM('Revenue and costs'!O93:U93)/'Assumptions'!$J$115,0)-IF(0=(13-'Assumptions'!$J$115)-1,'Revenue and costs'!V93+'Revenue and costs'!Y93+'Revenue and costs'!AE93,0)+IF(AND(0&gt;=(13-'Assumptions'!$J$116)+'Assumptions'!$AF$116,0&lt;=12),'Revenue and costs'!N94/'Assumptions'!$J$116,0)-IF(AND(0&gt;=(13-'Assumptions'!$J$116),0&lt;=12),SUM('Revenue and costs'!O94:U94)/'Assumptions'!$J$116,0)-IF(0=(13-'Assumptions'!$J$116)-1,'Revenue and costs'!V94+'Revenue and costs'!Y94+'Revenue and costs'!AE94,0)+IF(AND(0&gt;=(13-'Assumptions'!$J$117)+'Assumptions'!$AF$117,0&lt;=12),'Revenue and costs'!N95/'Assumptions'!$J$117,0)-IF(AND(0&gt;=(13-'Assumptions'!$J$117),0&lt;=12),SUM('Revenue and costs'!O95:U95)/'Assumptions'!$J$117,0)-IF(0=(13-'Assumptions'!$J$117)-1,'Revenue and costs'!V95+'Revenue and costs'!Y95+'Revenue and costs'!AE95,0)+IF(AND(0&gt;=(13-'Assumptions'!$J$118)+'Assumptions'!$AF$118,0&lt;=12),'Revenue and costs'!N96/'Assumptions'!$J$118,0)-IF(AND(0&gt;=(13-'Assumptions'!$J$118),0&lt;=12),SUM('Revenue and costs'!O96:U96)/'Assumptions'!$J$118,0)-IF(0=(13-'Assumptions'!$J$118)-1,'Revenue and costs'!V96+'Revenue and costs'!Y96+'Revenue and costs'!AE96,0)-IF('Income statement'!D50=0,1/39,'Segment tax'!E33/'Income statement'!D50)*'Cash and capital'!D13</x:f>
        <x:v>-96.44725746305276</x:v>
      </x:c>
      <x:c r="E52" s="24" t="n">
        <x:f>D52+IF(AND(1&gt;=(13-'Assumptions'!$J$111)+'Assumptions'!$AF$111,1&lt;=12),'Revenue and costs'!N89/'Assumptions'!$J$111,0)-IF(AND(1&gt;=(13-'Assumptions'!$J$111),1&lt;=12),SUM('Revenue and costs'!O89:U89)/'Assumptions'!$J$111,0)-IF(1=(13-'Assumptions'!$J$111)-1,'Revenue and costs'!V89+'Revenue and costs'!Y89+'Revenue and costs'!AE89,0)+IF(AND(1&gt;=(13-'Assumptions'!$J$112)+'Assumptions'!$AF$112,1&lt;=12),'Revenue and costs'!N90/'Assumptions'!$J$112,0)-IF(AND(1&gt;=(13-'Assumptions'!$J$112),1&lt;=12),SUM('Revenue and costs'!O90:U90)/'Assumptions'!$J$112,0)-IF(1=(13-'Assumptions'!$J$112)-1,'Revenue and costs'!V90+'Revenue and costs'!Y90+'Revenue and costs'!AE90,0)+IF(AND(1&gt;=(13-'Assumptions'!$J$113)+'Assumptions'!$AF$113,1&lt;=12),'Revenue and costs'!N91/'Assumptions'!$J$113,0)-IF(AND(1&gt;=(13-'Assumptions'!$J$113),1&lt;=12),SUM('Revenue and costs'!O91:U91)/'Assumptions'!$J$113,0)-IF(1=(13-'Assumptions'!$J$113)-1,'Revenue and costs'!V91+'Revenue and costs'!Y91+'Revenue and costs'!AE91,0)+IF(AND(1&gt;=(13-'Assumptions'!$J$114)+'Assumptions'!$AF$114,1&lt;=12),'Revenue and costs'!N92/'Assumptions'!$J$114,0)-IF(AND(1&gt;=(13-'Assumptions'!$J$114),1&lt;=12),SUM('Revenue and costs'!O92:U92)/'Assumptions'!$J$114,0)-IF(1=(13-'Assumptions'!$J$114)-1,'Revenue and costs'!V92+'Revenue and costs'!Y92+'Revenue and costs'!AE92,0)+IF(AND(1&gt;=(13-'Assumptions'!$J$115)+'Assumptions'!$AF$115,1&lt;=12),'Revenue and costs'!N93/'Assumptions'!$J$115,0)-IF(AND(1&gt;=(13-'Assumptions'!$J$115),1&lt;=12),SUM('Revenue and costs'!O93:U93)/'Assumptions'!$J$115,0)-IF(1=(13-'Assumptions'!$J$115)-1,'Revenue and costs'!V93+'Revenue and costs'!Y93+'Revenue and costs'!AE93,0)+IF(AND(1&gt;=(13-'Assumptions'!$J$116)+'Assumptions'!$AF$116,1&lt;=12),'Revenue and costs'!N94/'Assumptions'!$J$116,0)-IF(AND(1&gt;=(13-'Assumptions'!$J$116),1&lt;=12),SUM('Revenue and costs'!O94:U94)/'Assumptions'!$J$116,0)-IF(1=(13-'Assumptions'!$J$116)-1,'Revenue and costs'!V94+'Revenue and costs'!Y94+'Revenue and costs'!AE94,0)+IF(AND(1&gt;=(13-'Assumptions'!$J$117)+'Assumptions'!$AF$117,1&lt;=12),'Revenue and costs'!N95/'Assumptions'!$J$117,0)-IF(AND(1&gt;=(13-'Assumptions'!$J$117),1&lt;=12),SUM('Revenue and costs'!O95:U95)/'Assumptions'!$J$117,0)-IF(1=(13-'Assumptions'!$J$117)-1,'Revenue and costs'!V95+'Revenue and costs'!Y95+'Revenue and costs'!AE95,0)+IF(AND(1&gt;=(13-'Assumptions'!$J$118)+'Assumptions'!$AF$118,1&lt;=12),'Revenue and costs'!N96/'Assumptions'!$J$118,0)-IF(AND(1&gt;=(13-'Assumptions'!$J$118),1&lt;=12),SUM('Revenue and costs'!O96:U96)/'Assumptions'!$J$118,0)-IF(1=(13-'Assumptions'!$J$118)-1,'Revenue and costs'!V96+'Revenue and costs'!Y96+'Revenue and costs'!AE96,0)-'Segment tax'!G33/12</x:f>
        <x:v>-470.34112556148733</x:v>
      </x:c>
      <x:c r="F52" s="24" t="n">
        <x:f>E52+IF(AND(2&gt;=(13-'Assumptions'!$J$111)+'Assumptions'!$AF$111,2&lt;=12),'Revenue and costs'!N89/'Assumptions'!$J$111,0)-IF(AND(2&gt;=(13-'Assumptions'!$J$111),2&lt;=12),SUM('Revenue and costs'!O89:U89)/'Assumptions'!$J$111,0)-IF(2=(13-'Assumptions'!$J$111)-1,'Revenue and costs'!V89+'Revenue and costs'!Y89+'Revenue and costs'!AE89,0)+IF(AND(2&gt;=(13-'Assumptions'!$J$112)+'Assumptions'!$AF$112,2&lt;=12),'Revenue and costs'!N90/'Assumptions'!$J$112,0)-IF(AND(2&gt;=(13-'Assumptions'!$J$112),2&lt;=12),SUM('Revenue and costs'!O90:U90)/'Assumptions'!$J$112,0)-IF(2=(13-'Assumptions'!$J$112)-1,'Revenue and costs'!V90+'Revenue and costs'!Y90+'Revenue and costs'!AE90,0)+IF(AND(2&gt;=(13-'Assumptions'!$J$113)+'Assumptions'!$AF$113,2&lt;=12),'Revenue and costs'!N91/'Assumptions'!$J$113,0)-IF(AND(2&gt;=(13-'Assumptions'!$J$113),2&lt;=12),SUM('Revenue and costs'!O91:U91)/'Assumptions'!$J$113,0)-IF(2=(13-'Assumptions'!$J$113)-1,'Revenue and costs'!V91+'Revenue and costs'!Y91+'Revenue and costs'!AE91,0)+IF(AND(2&gt;=(13-'Assumptions'!$J$114)+'Assumptions'!$AF$114,2&lt;=12),'Revenue and costs'!N92/'Assumptions'!$J$114,0)-IF(AND(2&gt;=(13-'Assumptions'!$J$114),2&lt;=12),SUM('Revenue and costs'!O92:U92)/'Assumptions'!$J$114,0)-IF(2=(13-'Assumptions'!$J$114)-1,'Revenue and costs'!V92+'Revenue and costs'!Y92+'Revenue and costs'!AE92,0)+IF(AND(2&gt;=(13-'Assumptions'!$J$115)+'Assumptions'!$AF$115,2&lt;=12),'Revenue and costs'!N93/'Assumptions'!$J$115,0)-IF(AND(2&gt;=(13-'Assumptions'!$J$115),2&lt;=12),SUM('Revenue and costs'!O93:U93)/'Assumptions'!$J$115,0)-IF(2=(13-'Assumptions'!$J$115)-1,'Revenue and costs'!V93+'Revenue and costs'!Y93+'Revenue and costs'!AE93,0)+IF(AND(2&gt;=(13-'Assumptions'!$J$116)+'Assumptions'!$AF$116,2&lt;=12),'Revenue and costs'!N94/'Assumptions'!$J$116,0)-IF(AND(2&gt;=(13-'Assumptions'!$J$116),2&lt;=12),SUM('Revenue and costs'!O94:U94)/'Assumptions'!$J$116,0)-IF(2=(13-'Assumptions'!$J$116)-1,'Revenue and costs'!V94+'Revenue and costs'!Y94+'Revenue and costs'!AE94,0)+IF(AND(2&gt;=(13-'Assumptions'!$J$117)+'Assumptions'!$AF$117,2&lt;=12),'Revenue and costs'!N95/'Assumptions'!$J$117,0)-IF(AND(2&gt;=(13-'Assumptions'!$J$117),2&lt;=12),SUM('Revenue and costs'!O95:U95)/'Assumptions'!$J$117,0)-IF(2=(13-'Assumptions'!$J$117)-1,'Revenue and costs'!V95+'Revenue and costs'!Y95+'Revenue and costs'!AE95,0)+IF(AND(2&gt;=(13-'Assumptions'!$J$118)+'Assumptions'!$AF$118,2&lt;=12),'Revenue and costs'!N96/'Assumptions'!$J$118,0)-IF(AND(2&gt;=(13-'Assumptions'!$J$118),2&lt;=12),SUM('Revenue and costs'!O96:U96)/'Assumptions'!$J$118,0)-IF(2=(13-'Assumptions'!$J$118)-1,'Revenue and costs'!V96+'Revenue and costs'!Y96+'Revenue and costs'!AE96,0)-'Segment tax'!G33/12</x:f>
        <x:v>-844.2349936599219</x:v>
      </x:c>
      <x:c r="G52" s="24" t="n">
        <x:f>F52+IF(AND(3&gt;=(13-'Assumptions'!$J$111)+'Assumptions'!$AF$111,3&lt;=12),'Revenue and costs'!N89/'Assumptions'!$J$111,0)-IF(AND(3&gt;=(13-'Assumptions'!$J$111),3&lt;=12),SUM('Revenue and costs'!O89:U89)/'Assumptions'!$J$111,0)-IF(3=(13-'Assumptions'!$J$111)-1,'Revenue and costs'!V89+'Revenue and costs'!Y89+'Revenue and costs'!AE89,0)+IF(AND(3&gt;=(13-'Assumptions'!$J$112)+'Assumptions'!$AF$112,3&lt;=12),'Revenue and costs'!N90/'Assumptions'!$J$112,0)-IF(AND(3&gt;=(13-'Assumptions'!$J$112),3&lt;=12),SUM('Revenue and costs'!O90:U90)/'Assumptions'!$J$112,0)-IF(3=(13-'Assumptions'!$J$112)-1,'Revenue and costs'!V90+'Revenue and costs'!Y90+'Revenue and costs'!AE90,0)+IF(AND(3&gt;=(13-'Assumptions'!$J$113)+'Assumptions'!$AF$113,3&lt;=12),'Revenue and costs'!N91/'Assumptions'!$J$113,0)-IF(AND(3&gt;=(13-'Assumptions'!$J$113),3&lt;=12),SUM('Revenue and costs'!O91:U91)/'Assumptions'!$J$113,0)-IF(3=(13-'Assumptions'!$J$113)-1,'Revenue and costs'!V91+'Revenue and costs'!Y91+'Revenue and costs'!AE91,0)+IF(AND(3&gt;=(13-'Assumptions'!$J$114)+'Assumptions'!$AF$114,3&lt;=12),'Revenue and costs'!N92/'Assumptions'!$J$114,0)-IF(AND(3&gt;=(13-'Assumptions'!$J$114),3&lt;=12),SUM('Revenue and costs'!O92:U92)/'Assumptions'!$J$114,0)-IF(3=(13-'Assumptions'!$J$114)-1,'Revenue and costs'!V92+'Revenue and costs'!Y92+'Revenue and costs'!AE92,0)+IF(AND(3&gt;=(13-'Assumptions'!$J$115)+'Assumptions'!$AF$115,3&lt;=12),'Revenue and costs'!N93/'Assumptions'!$J$115,0)-IF(AND(3&gt;=(13-'Assumptions'!$J$115),3&lt;=12),SUM('Revenue and costs'!O93:U93)/'Assumptions'!$J$115,0)-IF(3=(13-'Assumptions'!$J$115)-1,'Revenue and costs'!V93+'Revenue and costs'!Y93+'Revenue and costs'!AE93,0)+IF(AND(3&gt;=(13-'Assumptions'!$J$116)+'Assumptions'!$AF$116,3&lt;=12),'Revenue and costs'!N94/'Assumptions'!$J$116,0)-IF(AND(3&gt;=(13-'Assumptions'!$J$116),3&lt;=12),SUM('Revenue and costs'!O94:U94)/'Assumptions'!$J$116,0)-IF(3=(13-'Assumptions'!$J$116)-1,'Revenue and costs'!V94+'Revenue and costs'!Y94+'Revenue and costs'!AE94,0)+IF(AND(3&gt;=(13-'Assumptions'!$J$117)+'Assumptions'!$AF$117,3&lt;=12),'Revenue and costs'!N95/'Assumptions'!$J$117,0)-IF(AND(3&gt;=(13-'Assumptions'!$J$117),3&lt;=12),SUM('Revenue and costs'!O95:U95)/'Assumptions'!$J$117,0)-IF(3=(13-'Assumptions'!$J$117)-1,'Revenue and costs'!V95+'Revenue and costs'!Y95+'Revenue and costs'!AE95,0)+IF(AND(3&gt;=(13-'Assumptions'!$J$118)+'Assumptions'!$AF$118,3&lt;=12),'Revenue and costs'!N96/'Assumptions'!$J$118,0)-IF(AND(3&gt;=(13-'Assumptions'!$J$118),3&lt;=12),SUM('Revenue and costs'!O96:U96)/'Assumptions'!$J$118,0)-IF(3=(13-'Assumptions'!$J$118)-1,'Revenue and costs'!V96+'Revenue and costs'!Y96+'Revenue and costs'!AE96,0)-'Segment tax'!G33/12</x:f>
        <x:v>-2763.128861758357</x:v>
      </x:c>
      <x:c r="H52" s="24" t="n">
        <x:f>G52+IF(AND(4&gt;=(13-'Assumptions'!$J$111)+'Assumptions'!$AF$111,4&lt;=12),'Revenue and costs'!N89/'Assumptions'!$J$111,0)-IF(AND(4&gt;=(13-'Assumptions'!$J$111),4&lt;=12),SUM('Revenue and costs'!O89:U89)/'Assumptions'!$J$111,0)-IF(4=(13-'Assumptions'!$J$111)-1,'Revenue and costs'!V89+'Revenue and costs'!Y89+'Revenue and costs'!AE89,0)+IF(AND(4&gt;=(13-'Assumptions'!$J$112)+'Assumptions'!$AF$112,4&lt;=12),'Revenue and costs'!N90/'Assumptions'!$J$112,0)-IF(AND(4&gt;=(13-'Assumptions'!$J$112),4&lt;=12),SUM('Revenue and costs'!O90:U90)/'Assumptions'!$J$112,0)-IF(4=(13-'Assumptions'!$J$112)-1,'Revenue and costs'!V90+'Revenue and costs'!Y90+'Revenue and costs'!AE90,0)+IF(AND(4&gt;=(13-'Assumptions'!$J$113)+'Assumptions'!$AF$113,4&lt;=12),'Revenue and costs'!N91/'Assumptions'!$J$113,0)-IF(AND(4&gt;=(13-'Assumptions'!$J$113),4&lt;=12),SUM('Revenue and costs'!O91:U91)/'Assumptions'!$J$113,0)-IF(4=(13-'Assumptions'!$J$113)-1,'Revenue and costs'!V91+'Revenue and costs'!Y91+'Revenue and costs'!AE91,0)+IF(AND(4&gt;=(13-'Assumptions'!$J$114)+'Assumptions'!$AF$114,4&lt;=12),'Revenue and costs'!N92/'Assumptions'!$J$114,0)-IF(AND(4&gt;=(13-'Assumptions'!$J$114),4&lt;=12),SUM('Revenue and costs'!O92:U92)/'Assumptions'!$J$114,0)-IF(4=(13-'Assumptions'!$J$114)-1,'Revenue and costs'!V92+'Revenue and costs'!Y92+'Revenue and costs'!AE92,0)+IF(AND(4&gt;=(13-'Assumptions'!$J$115)+'Assumptions'!$AF$115,4&lt;=12),'Revenue and costs'!N93/'Assumptions'!$J$115,0)-IF(AND(4&gt;=(13-'Assumptions'!$J$115),4&lt;=12),SUM('Revenue and costs'!O93:U93)/'Assumptions'!$J$115,0)-IF(4=(13-'Assumptions'!$J$115)-1,'Revenue and costs'!V93+'Revenue and costs'!Y93+'Revenue and costs'!AE93,0)+IF(AND(4&gt;=(13-'Assumptions'!$J$116)+'Assumptions'!$AF$116,4&lt;=12),'Revenue and costs'!N94/'Assumptions'!$J$116,0)-IF(AND(4&gt;=(13-'Assumptions'!$J$116),4&lt;=12),SUM('Revenue and costs'!O94:U94)/'Assumptions'!$J$116,0)-IF(4=(13-'Assumptions'!$J$116)-1,'Revenue and costs'!V94+'Revenue and costs'!Y94+'Revenue and costs'!AE94,0)+IF(AND(4&gt;=(13-'Assumptions'!$J$117)+'Assumptions'!$AF$117,4&lt;=12),'Revenue and costs'!N95/'Assumptions'!$J$117,0)-IF(AND(4&gt;=(13-'Assumptions'!$J$117),4&lt;=12),SUM('Revenue and costs'!O95:U95)/'Assumptions'!$J$117,0)-IF(4=(13-'Assumptions'!$J$117)-1,'Revenue and costs'!V95+'Revenue and costs'!Y95+'Revenue and costs'!AE95,0)+IF(AND(4&gt;=(13-'Assumptions'!$J$118)+'Assumptions'!$AF$118,4&lt;=12),'Revenue and costs'!N96/'Assumptions'!$J$118,0)-IF(AND(4&gt;=(13-'Assumptions'!$J$118),4&lt;=12),SUM('Revenue and costs'!O96:U96)/'Assumptions'!$J$118,0)-IF(4=(13-'Assumptions'!$J$118)-1,'Revenue and costs'!V96+'Revenue and costs'!Y96+'Revenue and costs'!AE96,0)-'Segment tax'!G33/12</x:f>
        <x:v>-5096.072729856792</x:v>
      </x:c>
      <x:c r="I52" s="24" t="n">
        <x:f>H52+IF(AND(5&gt;=(13-'Assumptions'!$J$111)+'Assumptions'!$AF$111,5&lt;=12),'Revenue and costs'!N89/'Assumptions'!$J$111,0)-IF(AND(5&gt;=(13-'Assumptions'!$J$111),5&lt;=12),SUM('Revenue and costs'!O89:U89)/'Assumptions'!$J$111,0)-IF(5=(13-'Assumptions'!$J$111)-1,'Revenue and costs'!V89+'Revenue and costs'!Y89+'Revenue and costs'!AE89,0)+IF(AND(5&gt;=(13-'Assumptions'!$J$112)+'Assumptions'!$AF$112,5&lt;=12),'Revenue and costs'!N90/'Assumptions'!$J$112,0)-IF(AND(5&gt;=(13-'Assumptions'!$J$112),5&lt;=12),SUM('Revenue and costs'!O90:U90)/'Assumptions'!$J$112,0)-IF(5=(13-'Assumptions'!$J$112)-1,'Revenue and costs'!V90+'Revenue and costs'!Y90+'Revenue and costs'!AE90,0)+IF(AND(5&gt;=(13-'Assumptions'!$J$113)+'Assumptions'!$AF$113,5&lt;=12),'Revenue and costs'!N91/'Assumptions'!$J$113,0)-IF(AND(5&gt;=(13-'Assumptions'!$J$113),5&lt;=12),SUM('Revenue and costs'!O91:U91)/'Assumptions'!$J$113,0)-IF(5=(13-'Assumptions'!$J$113)-1,'Revenue and costs'!V91+'Revenue and costs'!Y91+'Revenue and costs'!AE91,0)+IF(AND(5&gt;=(13-'Assumptions'!$J$114)+'Assumptions'!$AF$114,5&lt;=12),'Revenue and costs'!N92/'Assumptions'!$J$114,0)-IF(AND(5&gt;=(13-'Assumptions'!$J$114),5&lt;=12),SUM('Revenue and costs'!O92:U92)/'Assumptions'!$J$114,0)-IF(5=(13-'Assumptions'!$J$114)-1,'Revenue and costs'!V92+'Revenue and costs'!Y92+'Revenue and costs'!AE92,0)+IF(AND(5&gt;=(13-'Assumptions'!$J$115)+'Assumptions'!$AF$115,5&lt;=12),'Revenue and costs'!N93/'Assumptions'!$J$115,0)-IF(AND(5&gt;=(13-'Assumptions'!$J$115),5&lt;=12),SUM('Revenue and costs'!O93:U93)/'Assumptions'!$J$115,0)-IF(5=(13-'Assumptions'!$J$115)-1,'Revenue and costs'!V93+'Revenue and costs'!Y93+'Revenue and costs'!AE93,0)+IF(AND(5&gt;=(13-'Assumptions'!$J$116)+'Assumptions'!$AF$116,5&lt;=12),'Revenue and costs'!N94/'Assumptions'!$J$116,0)-IF(AND(5&gt;=(13-'Assumptions'!$J$116),5&lt;=12),SUM('Revenue and costs'!O94:U94)/'Assumptions'!$J$116,0)-IF(5=(13-'Assumptions'!$J$116)-1,'Revenue and costs'!V94+'Revenue and costs'!Y94+'Revenue and costs'!AE94,0)+IF(AND(5&gt;=(13-'Assumptions'!$J$117)+'Assumptions'!$AF$117,5&lt;=12),'Revenue and costs'!N95/'Assumptions'!$J$117,0)-IF(AND(5&gt;=(13-'Assumptions'!$J$117),5&lt;=12),SUM('Revenue and costs'!O95:U95)/'Assumptions'!$J$117,0)-IF(5=(13-'Assumptions'!$J$117)-1,'Revenue and costs'!V95+'Revenue and costs'!Y95+'Revenue and costs'!AE95,0)+IF(AND(5&gt;=(13-'Assumptions'!$J$118)+'Assumptions'!$AF$118,5&lt;=12),'Revenue and costs'!N96/'Assumptions'!$J$118,0)-IF(AND(5&gt;=(13-'Assumptions'!$J$118),5&lt;=12),SUM('Revenue and costs'!O96:U96)/'Assumptions'!$J$118,0)-IF(5=(13-'Assumptions'!$J$118)-1,'Revenue and costs'!V96+'Revenue and costs'!Y96+'Revenue and costs'!AE96,0)-'Segment tax'!G33/12</x:f>
        <x:v>-2579.0165979552257</x:v>
      </x:c>
      <x:c r="J52" s="24" t="n">
        <x:f>I52+IF(AND(6&gt;=(13-'Assumptions'!$J$111)+'Assumptions'!$AF$111,6&lt;=12),'Revenue and costs'!N89/'Assumptions'!$J$111,0)-IF(AND(6&gt;=(13-'Assumptions'!$J$111),6&lt;=12),SUM('Revenue and costs'!O89:U89)/'Assumptions'!$J$111,0)-IF(6=(13-'Assumptions'!$J$111)-1,'Revenue and costs'!V89+'Revenue and costs'!Y89+'Revenue and costs'!AE89,0)+IF(AND(6&gt;=(13-'Assumptions'!$J$112)+'Assumptions'!$AF$112,6&lt;=12),'Revenue and costs'!N90/'Assumptions'!$J$112,0)-IF(AND(6&gt;=(13-'Assumptions'!$J$112),6&lt;=12),SUM('Revenue and costs'!O90:U90)/'Assumptions'!$J$112,0)-IF(6=(13-'Assumptions'!$J$112)-1,'Revenue and costs'!V90+'Revenue and costs'!Y90+'Revenue and costs'!AE90,0)+IF(AND(6&gt;=(13-'Assumptions'!$J$113)+'Assumptions'!$AF$113,6&lt;=12),'Revenue and costs'!N91/'Assumptions'!$J$113,0)-IF(AND(6&gt;=(13-'Assumptions'!$J$113),6&lt;=12),SUM('Revenue and costs'!O91:U91)/'Assumptions'!$J$113,0)-IF(6=(13-'Assumptions'!$J$113)-1,'Revenue and costs'!V91+'Revenue and costs'!Y91+'Revenue and costs'!AE91,0)+IF(AND(6&gt;=(13-'Assumptions'!$J$114)+'Assumptions'!$AF$114,6&lt;=12),'Revenue and costs'!N92/'Assumptions'!$J$114,0)-IF(AND(6&gt;=(13-'Assumptions'!$J$114),6&lt;=12),SUM('Revenue and costs'!O92:U92)/'Assumptions'!$J$114,0)-IF(6=(13-'Assumptions'!$J$114)-1,'Revenue and costs'!V92+'Revenue and costs'!Y92+'Revenue and costs'!AE92,0)+IF(AND(6&gt;=(13-'Assumptions'!$J$115)+'Assumptions'!$AF$115,6&lt;=12),'Revenue and costs'!N93/'Assumptions'!$J$115,0)-IF(AND(6&gt;=(13-'Assumptions'!$J$115),6&lt;=12),SUM('Revenue and costs'!O93:U93)/'Assumptions'!$J$115,0)-IF(6=(13-'Assumptions'!$J$115)-1,'Revenue and costs'!V93+'Revenue and costs'!Y93+'Revenue and costs'!AE93,0)+IF(AND(6&gt;=(13-'Assumptions'!$J$116)+'Assumptions'!$AF$116,6&lt;=12),'Revenue and costs'!N94/'Assumptions'!$J$116,0)-IF(AND(6&gt;=(13-'Assumptions'!$J$116),6&lt;=12),SUM('Revenue and costs'!O94:U94)/'Assumptions'!$J$116,0)-IF(6=(13-'Assumptions'!$J$116)-1,'Revenue and costs'!V94+'Revenue and costs'!Y94+'Revenue and costs'!AE94,0)+IF(AND(6&gt;=(13-'Assumptions'!$J$117)+'Assumptions'!$AF$117,6&lt;=12),'Revenue and costs'!N95/'Assumptions'!$J$117,0)-IF(AND(6&gt;=(13-'Assumptions'!$J$117),6&lt;=12),SUM('Revenue and costs'!O95:U95)/'Assumptions'!$J$117,0)-IF(6=(13-'Assumptions'!$J$117)-1,'Revenue and costs'!V95+'Revenue and costs'!Y95+'Revenue and costs'!AE95,0)+IF(AND(6&gt;=(13-'Assumptions'!$J$118)+'Assumptions'!$AF$118,6&lt;=12),'Revenue and costs'!N96/'Assumptions'!$J$118,0)-IF(AND(6&gt;=(13-'Assumptions'!$J$118),6&lt;=12),SUM('Revenue and costs'!O96:U96)/'Assumptions'!$J$118,0)-IF(6=(13-'Assumptions'!$J$118)-1,'Revenue and costs'!V96+'Revenue and costs'!Y96+'Revenue and costs'!AE96,0)-'Segment tax'!G33/12</x:f>
        <x:v>-61.960466053660355</x:v>
      </x:c>
      <x:c r="K52" s="24" t="n">
        <x:f>J52+IF(AND(7&gt;=(13-'Assumptions'!$J$111)+'Assumptions'!$AF$111,7&lt;=12),'Revenue and costs'!N89/'Assumptions'!$J$111,0)-IF(AND(7&gt;=(13-'Assumptions'!$J$111),7&lt;=12),SUM('Revenue and costs'!O89:U89)/'Assumptions'!$J$111,0)-IF(7=(13-'Assumptions'!$J$111)-1,'Revenue and costs'!V89+'Revenue and costs'!Y89+'Revenue and costs'!AE89,0)+IF(AND(7&gt;=(13-'Assumptions'!$J$112)+'Assumptions'!$AF$112,7&lt;=12),'Revenue and costs'!N90/'Assumptions'!$J$112,0)-IF(AND(7&gt;=(13-'Assumptions'!$J$112),7&lt;=12),SUM('Revenue and costs'!O90:U90)/'Assumptions'!$J$112,0)-IF(7=(13-'Assumptions'!$J$112)-1,'Revenue and costs'!V90+'Revenue and costs'!Y90+'Revenue and costs'!AE90,0)+IF(AND(7&gt;=(13-'Assumptions'!$J$113)+'Assumptions'!$AF$113,7&lt;=12),'Revenue and costs'!N91/'Assumptions'!$J$113,0)-IF(AND(7&gt;=(13-'Assumptions'!$J$113),7&lt;=12),SUM('Revenue and costs'!O91:U91)/'Assumptions'!$J$113,0)-IF(7=(13-'Assumptions'!$J$113)-1,'Revenue and costs'!V91+'Revenue and costs'!Y91+'Revenue and costs'!AE91,0)+IF(AND(7&gt;=(13-'Assumptions'!$J$114)+'Assumptions'!$AF$114,7&lt;=12),'Revenue and costs'!N92/'Assumptions'!$J$114,0)-IF(AND(7&gt;=(13-'Assumptions'!$J$114),7&lt;=12),SUM('Revenue and costs'!O92:U92)/'Assumptions'!$J$114,0)-IF(7=(13-'Assumptions'!$J$114)-1,'Revenue and costs'!V92+'Revenue and costs'!Y92+'Revenue and costs'!AE92,0)+IF(AND(7&gt;=(13-'Assumptions'!$J$115)+'Assumptions'!$AF$115,7&lt;=12),'Revenue and costs'!N93/'Assumptions'!$J$115,0)-IF(AND(7&gt;=(13-'Assumptions'!$J$115),7&lt;=12),SUM('Revenue and costs'!O93:U93)/'Assumptions'!$J$115,0)-IF(7=(13-'Assumptions'!$J$115)-1,'Revenue and costs'!V93+'Revenue and costs'!Y93+'Revenue and costs'!AE93,0)+IF(AND(7&gt;=(13-'Assumptions'!$J$116)+'Assumptions'!$AF$116,7&lt;=12),'Revenue and costs'!N94/'Assumptions'!$J$116,0)-IF(AND(7&gt;=(13-'Assumptions'!$J$116),7&lt;=12),SUM('Revenue and costs'!O94:U94)/'Assumptions'!$J$116,0)-IF(7=(13-'Assumptions'!$J$116)-1,'Revenue and costs'!V94+'Revenue and costs'!Y94+'Revenue and costs'!AE94,0)+IF(AND(7&gt;=(13-'Assumptions'!$J$117)+'Assumptions'!$AF$117,7&lt;=12),'Revenue and costs'!N95/'Assumptions'!$J$117,0)-IF(AND(7&gt;=(13-'Assumptions'!$J$117),7&lt;=12),SUM('Revenue and costs'!O95:U95)/'Assumptions'!$J$117,0)-IF(7=(13-'Assumptions'!$J$117)-1,'Revenue and costs'!V95+'Revenue and costs'!Y95+'Revenue and costs'!AE95,0)+IF(AND(7&gt;=(13-'Assumptions'!$J$118)+'Assumptions'!$AF$118,7&lt;=12),'Revenue and costs'!N96/'Assumptions'!$J$118,0)-IF(AND(7&gt;=(13-'Assumptions'!$J$118),7&lt;=12),SUM('Revenue and costs'!O96:U96)/'Assumptions'!$J$118,0)-IF(7=(13-'Assumptions'!$J$118)-1,'Revenue and costs'!V96+'Revenue and costs'!Y96+'Revenue and costs'!AE96,0)-'Segment tax'!G33/12</x:f>
        <x:v>2455.095665847905</x:v>
      </x:c>
      <x:c r="L52" s="24" t="n">
        <x:f>K52+IF(AND(8&gt;=(13-'Assumptions'!$J$111)+'Assumptions'!$AF$111,8&lt;=12),'Revenue and costs'!N89/'Assumptions'!$J$111,0)-IF(AND(8&gt;=(13-'Assumptions'!$J$111),8&lt;=12),SUM('Revenue and costs'!O89:U89)/'Assumptions'!$J$111,0)-IF(8=(13-'Assumptions'!$J$111)-1,'Revenue and costs'!V89+'Revenue and costs'!Y89+'Revenue and costs'!AE89,0)+IF(AND(8&gt;=(13-'Assumptions'!$J$112)+'Assumptions'!$AF$112,8&lt;=12),'Revenue and costs'!N90/'Assumptions'!$J$112,0)-IF(AND(8&gt;=(13-'Assumptions'!$J$112),8&lt;=12),SUM('Revenue and costs'!O90:U90)/'Assumptions'!$J$112,0)-IF(8=(13-'Assumptions'!$J$112)-1,'Revenue and costs'!V90+'Revenue and costs'!Y90+'Revenue and costs'!AE90,0)+IF(AND(8&gt;=(13-'Assumptions'!$J$113)+'Assumptions'!$AF$113,8&lt;=12),'Revenue and costs'!N91/'Assumptions'!$J$113,0)-IF(AND(8&gt;=(13-'Assumptions'!$J$113),8&lt;=12),SUM('Revenue and costs'!O91:U91)/'Assumptions'!$J$113,0)-IF(8=(13-'Assumptions'!$J$113)-1,'Revenue and costs'!V91+'Revenue and costs'!Y91+'Revenue and costs'!AE91,0)+IF(AND(8&gt;=(13-'Assumptions'!$J$114)+'Assumptions'!$AF$114,8&lt;=12),'Revenue and costs'!N92/'Assumptions'!$J$114,0)-IF(AND(8&gt;=(13-'Assumptions'!$J$114),8&lt;=12),SUM('Revenue and costs'!O92:U92)/'Assumptions'!$J$114,0)-IF(8=(13-'Assumptions'!$J$114)-1,'Revenue and costs'!V92+'Revenue and costs'!Y92+'Revenue and costs'!AE92,0)+IF(AND(8&gt;=(13-'Assumptions'!$J$115)+'Assumptions'!$AF$115,8&lt;=12),'Revenue and costs'!N93/'Assumptions'!$J$115,0)-IF(AND(8&gt;=(13-'Assumptions'!$J$115),8&lt;=12),SUM('Revenue and costs'!O93:U93)/'Assumptions'!$J$115,0)-IF(8=(13-'Assumptions'!$J$115)-1,'Revenue and costs'!V93+'Revenue and costs'!Y93+'Revenue and costs'!AE93,0)+IF(AND(8&gt;=(13-'Assumptions'!$J$116)+'Assumptions'!$AF$116,8&lt;=12),'Revenue and costs'!N94/'Assumptions'!$J$116,0)-IF(AND(8&gt;=(13-'Assumptions'!$J$116),8&lt;=12),SUM('Revenue and costs'!O94:U94)/'Assumptions'!$J$116,0)-IF(8=(13-'Assumptions'!$J$116)-1,'Revenue and costs'!V94+'Revenue and costs'!Y94+'Revenue and costs'!AE94,0)+IF(AND(8&gt;=(13-'Assumptions'!$J$117)+'Assumptions'!$AF$117,8&lt;=12),'Revenue and costs'!N95/'Assumptions'!$J$117,0)-IF(AND(8&gt;=(13-'Assumptions'!$J$117),8&lt;=12),SUM('Revenue and costs'!O95:U95)/'Assumptions'!$J$117,0)-IF(8=(13-'Assumptions'!$J$117)-1,'Revenue and costs'!V95+'Revenue and costs'!Y95+'Revenue and costs'!AE95,0)+IF(AND(8&gt;=(13-'Assumptions'!$J$118)+'Assumptions'!$AF$118,8&lt;=12),'Revenue and costs'!N96/'Assumptions'!$J$118,0)-IF(AND(8&gt;=(13-'Assumptions'!$J$118),8&lt;=12),SUM('Revenue and costs'!O96:U96)/'Assumptions'!$J$118,0)-IF(8=(13-'Assumptions'!$J$118)-1,'Revenue and costs'!V96+'Revenue and costs'!Y96+'Revenue and costs'!AE96,0)-'Segment tax'!G33/12</x:f>
        <x:v>4972.15179774947</x:v>
      </x:c>
      <x:c r="M52" s="24" t="n">
        <x:f>L52+IF(AND(9&gt;=(13-'Assumptions'!$J$111)+'Assumptions'!$AF$111,9&lt;=12),'Revenue and costs'!N89/'Assumptions'!$J$111,0)-IF(AND(9&gt;=(13-'Assumptions'!$J$111),9&lt;=12),SUM('Revenue and costs'!O89:U89)/'Assumptions'!$J$111,0)-IF(9=(13-'Assumptions'!$J$111)-1,'Revenue and costs'!V89+'Revenue and costs'!Y89+'Revenue and costs'!AE89,0)+IF(AND(9&gt;=(13-'Assumptions'!$J$112)+'Assumptions'!$AF$112,9&lt;=12),'Revenue and costs'!N90/'Assumptions'!$J$112,0)-IF(AND(9&gt;=(13-'Assumptions'!$J$112),9&lt;=12),SUM('Revenue and costs'!O90:U90)/'Assumptions'!$J$112,0)-IF(9=(13-'Assumptions'!$J$112)-1,'Revenue and costs'!V90+'Revenue and costs'!Y90+'Revenue and costs'!AE90,0)+IF(AND(9&gt;=(13-'Assumptions'!$J$113)+'Assumptions'!$AF$113,9&lt;=12),'Revenue and costs'!N91/'Assumptions'!$J$113,0)-IF(AND(9&gt;=(13-'Assumptions'!$J$113),9&lt;=12),SUM('Revenue and costs'!O91:U91)/'Assumptions'!$J$113,0)-IF(9=(13-'Assumptions'!$J$113)-1,'Revenue and costs'!V91+'Revenue and costs'!Y91+'Revenue and costs'!AE91,0)+IF(AND(9&gt;=(13-'Assumptions'!$J$114)+'Assumptions'!$AF$114,9&lt;=12),'Revenue and costs'!N92/'Assumptions'!$J$114,0)-IF(AND(9&gt;=(13-'Assumptions'!$J$114),9&lt;=12),SUM('Revenue and costs'!O92:U92)/'Assumptions'!$J$114,0)-IF(9=(13-'Assumptions'!$J$114)-1,'Revenue and costs'!V92+'Revenue and costs'!Y92+'Revenue and costs'!AE92,0)+IF(AND(9&gt;=(13-'Assumptions'!$J$115)+'Assumptions'!$AF$115,9&lt;=12),'Revenue and costs'!N93/'Assumptions'!$J$115,0)-IF(AND(9&gt;=(13-'Assumptions'!$J$115),9&lt;=12),SUM('Revenue and costs'!O93:U93)/'Assumptions'!$J$115,0)-IF(9=(13-'Assumptions'!$J$115)-1,'Revenue and costs'!V93+'Revenue and costs'!Y93+'Revenue and costs'!AE93,0)+IF(AND(9&gt;=(13-'Assumptions'!$J$116)+'Assumptions'!$AF$116,9&lt;=12),'Revenue and costs'!N94/'Assumptions'!$J$116,0)-IF(AND(9&gt;=(13-'Assumptions'!$J$116),9&lt;=12),SUM('Revenue and costs'!O94:U94)/'Assumptions'!$J$116,0)-IF(9=(13-'Assumptions'!$J$116)-1,'Revenue and costs'!V94+'Revenue and costs'!Y94+'Revenue and costs'!AE94,0)+IF(AND(9&gt;=(13-'Assumptions'!$J$117)+'Assumptions'!$AF$117,9&lt;=12),'Revenue and costs'!N95/'Assumptions'!$J$117,0)-IF(AND(9&gt;=(13-'Assumptions'!$J$117),9&lt;=12),SUM('Revenue and costs'!O95:U95)/'Assumptions'!$J$117,0)-IF(9=(13-'Assumptions'!$J$117)-1,'Revenue and costs'!V95+'Revenue and costs'!Y95+'Revenue and costs'!AE95,0)+IF(AND(9&gt;=(13-'Assumptions'!$J$118)+'Assumptions'!$AF$118,9&lt;=12),'Revenue and costs'!N96/'Assumptions'!$J$118,0)-IF(AND(9&gt;=(13-'Assumptions'!$J$118),9&lt;=12),SUM('Revenue and costs'!O96:U96)/'Assumptions'!$J$118,0)-IF(9=(13-'Assumptions'!$J$118)-1,'Revenue and costs'!V96+'Revenue and costs'!Y96+'Revenue and costs'!AE96,0)-'Segment tax'!G33/12</x:f>
        <x:v>7489.207929651034</x:v>
      </x:c>
      <x:c r="N52" s="24" t="n">
        <x:f>M52+IF(AND(10&gt;=(13-'Assumptions'!$J$111)+'Assumptions'!$AF$111,10&lt;=12),'Revenue and costs'!N89/'Assumptions'!$J$111,0)-IF(AND(10&gt;=(13-'Assumptions'!$J$111),10&lt;=12),SUM('Revenue and costs'!O89:U89)/'Assumptions'!$J$111,0)-IF(10=(13-'Assumptions'!$J$111)-1,'Revenue and costs'!V89+'Revenue and costs'!Y89+'Revenue and costs'!AE89,0)+IF(AND(10&gt;=(13-'Assumptions'!$J$112)+'Assumptions'!$AF$112,10&lt;=12),'Revenue and costs'!N90/'Assumptions'!$J$112,0)-IF(AND(10&gt;=(13-'Assumptions'!$J$112),10&lt;=12),SUM('Revenue and costs'!O90:U90)/'Assumptions'!$J$112,0)-IF(10=(13-'Assumptions'!$J$112)-1,'Revenue and costs'!V90+'Revenue and costs'!Y90+'Revenue and costs'!AE90,0)+IF(AND(10&gt;=(13-'Assumptions'!$J$113)+'Assumptions'!$AF$113,10&lt;=12),'Revenue and costs'!N91/'Assumptions'!$J$113,0)-IF(AND(10&gt;=(13-'Assumptions'!$J$113),10&lt;=12),SUM('Revenue and costs'!O91:U91)/'Assumptions'!$J$113,0)-IF(10=(13-'Assumptions'!$J$113)-1,'Revenue and costs'!V91+'Revenue and costs'!Y91+'Revenue and costs'!AE91,0)+IF(AND(10&gt;=(13-'Assumptions'!$J$114)+'Assumptions'!$AF$114,10&lt;=12),'Revenue and costs'!N92/'Assumptions'!$J$114,0)-IF(AND(10&gt;=(13-'Assumptions'!$J$114),10&lt;=12),SUM('Revenue and costs'!O92:U92)/'Assumptions'!$J$114,0)-IF(10=(13-'Assumptions'!$J$114)-1,'Revenue and costs'!V92+'Revenue and costs'!Y92+'Revenue and costs'!AE92,0)+IF(AND(10&gt;=(13-'Assumptions'!$J$115)+'Assumptions'!$AF$115,10&lt;=12),'Revenue and costs'!N93/'Assumptions'!$J$115,0)-IF(AND(10&gt;=(13-'Assumptions'!$J$115),10&lt;=12),SUM('Revenue and costs'!O93:U93)/'Assumptions'!$J$115,0)-IF(10=(13-'Assumptions'!$J$115)-1,'Revenue and costs'!V93+'Revenue and costs'!Y93+'Revenue and costs'!AE93,0)+IF(AND(10&gt;=(13-'Assumptions'!$J$116)+'Assumptions'!$AF$116,10&lt;=12),'Revenue and costs'!N94/'Assumptions'!$J$116,0)-IF(AND(10&gt;=(13-'Assumptions'!$J$116),10&lt;=12),SUM('Revenue and costs'!O94:U94)/'Assumptions'!$J$116,0)-IF(10=(13-'Assumptions'!$J$116)-1,'Revenue and costs'!V94+'Revenue and costs'!Y94+'Revenue and costs'!AE94,0)+IF(AND(10&gt;=(13-'Assumptions'!$J$117)+'Assumptions'!$AF$117,10&lt;=12),'Revenue and costs'!N95/'Assumptions'!$J$117,0)-IF(AND(10&gt;=(13-'Assumptions'!$J$117),10&lt;=12),SUM('Revenue and costs'!O95:U95)/'Assumptions'!$J$117,0)-IF(10=(13-'Assumptions'!$J$117)-1,'Revenue and costs'!V95+'Revenue and costs'!Y95+'Revenue and costs'!AE95,0)+IF(AND(10&gt;=(13-'Assumptions'!$J$118)+'Assumptions'!$AF$118,10&lt;=12),'Revenue and costs'!N96/'Assumptions'!$J$118,0)-IF(AND(10&gt;=(13-'Assumptions'!$J$118),10&lt;=12),SUM('Revenue and costs'!O96:U96)/'Assumptions'!$J$118,0)-IF(10=(13-'Assumptions'!$J$118)-1,'Revenue and costs'!V96+'Revenue and costs'!Y96+'Revenue and costs'!AE96,0)-'Segment tax'!G33/12</x:f>
        <x:v>10006.264061552602</x:v>
      </x:c>
      <x:c r="O52" s="24" t="n">
        <x:f>N52+IF(AND(11&gt;=(13-'Assumptions'!$J$111)+'Assumptions'!$AF$111,11&lt;=12),'Revenue and costs'!N89/'Assumptions'!$J$111,0)-IF(AND(11&gt;=(13-'Assumptions'!$J$111),11&lt;=12),SUM('Revenue and costs'!O89:U89)/'Assumptions'!$J$111,0)-IF(11=(13-'Assumptions'!$J$111)-1,'Revenue and costs'!V89+'Revenue and costs'!Y89+'Revenue and costs'!AE89,0)+IF(AND(11&gt;=(13-'Assumptions'!$J$112)+'Assumptions'!$AF$112,11&lt;=12),'Revenue and costs'!N90/'Assumptions'!$J$112,0)-IF(AND(11&gt;=(13-'Assumptions'!$J$112),11&lt;=12),SUM('Revenue and costs'!O90:U90)/'Assumptions'!$J$112,0)-IF(11=(13-'Assumptions'!$J$112)-1,'Revenue and costs'!V90+'Revenue and costs'!Y90+'Revenue and costs'!AE90,0)+IF(AND(11&gt;=(13-'Assumptions'!$J$113)+'Assumptions'!$AF$113,11&lt;=12),'Revenue and costs'!N91/'Assumptions'!$J$113,0)-IF(AND(11&gt;=(13-'Assumptions'!$J$113),11&lt;=12),SUM('Revenue and costs'!O91:U91)/'Assumptions'!$J$113,0)-IF(11=(13-'Assumptions'!$J$113)-1,'Revenue and costs'!V91+'Revenue and costs'!Y91+'Revenue and costs'!AE91,0)+IF(AND(11&gt;=(13-'Assumptions'!$J$114)+'Assumptions'!$AF$114,11&lt;=12),'Revenue and costs'!N92/'Assumptions'!$J$114,0)-IF(AND(11&gt;=(13-'Assumptions'!$J$114),11&lt;=12),SUM('Revenue and costs'!O92:U92)/'Assumptions'!$J$114,0)-IF(11=(13-'Assumptions'!$J$114)-1,'Revenue and costs'!V92+'Revenue and costs'!Y92+'Revenue and costs'!AE92,0)+IF(AND(11&gt;=(13-'Assumptions'!$J$115)+'Assumptions'!$AF$115,11&lt;=12),'Revenue and costs'!N93/'Assumptions'!$J$115,0)-IF(AND(11&gt;=(13-'Assumptions'!$J$115),11&lt;=12),SUM('Revenue and costs'!O93:U93)/'Assumptions'!$J$115,0)-IF(11=(13-'Assumptions'!$J$115)-1,'Revenue and costs'!V93+'Revenue and costs'!Y93+'Revenue and costs'!AE93,0)+IF(AND(11&gt;=(13-'Assumptions'!$J$116)+'Assumptions'!$AF$116,11&lt;=12),'Revenue and costs'!N94/'Assumptions'!$J$116,0)-IF(AND(11&gt;=(13-'Assumptions'!$J$116),11&lt;=12),SUM('Revenue and costs'!O94:U94)/'Assumptions'!$J$116,0)-IF(11=(13-'Assumptions'!$J$116)-1,'Revenue and costs'!V94+'Revenue and costs'!Y94+'Revenue and costs'!AE94,0)+IF(AND(11&gt;=(13-'Assumptions'!$J$117)+'Assumptions'!$AF$117,11&lt;=12),'Revenue and costs'!N95/'Assumptions'!$J$117,0)-IF(AND(11&gt;=(13-'Assumptions'!$J$117),11&lt;=12),SUM('Revenue and costs'!O95:U95)/'Assumptions'!$J$117,0)-IF(11=(13-'Assumptions'!$J$117)-1,'Revenue and costs'!V95+'Revenue and costs'!Y95+'Revenue and costs'!AE95,0)+IF(AND(11&gt;=(13-'Assumptions'!$J$118)+'Assumptions'!$AF$118,11&lt;=12),'Revenue and costs'!N96/'Assumptions'!$J$118,0)-IF(AND(11&gt;=(13-'Assumptions'!$J$118),11&lt;=12),SUM('Revenue and costs'!O96:U96)/'Assumptions'!$J$118,0)-IF(11=(13-'Assumptions'!$J$118)-1,'Revenue and costs'!V96+'Revenue and costs'!Y96+'Revenue and costs'!AE96,0)-'Segment tax'!G33/12</x:f>
        <x:v>12523.320193454168</x:v>
      </x:c>
      <x:c r="P52" s="24" t="n">
        <x:f>O52+IF(AND(12&gt;=(13-'Assumptions'!$J$111)+'Assumptions'!$AF$111,12&lt;=12),'Revenue and costs'!N89/'Assumptions'!$J$111,0)-IF(AND(12&gt;=(13-'Assumptions'!$J$111),12&lt;=12),SUM('Revenue and costs'!O89:U89)/'Assumptions'!$J$111,0)-IF(12=(13-'Assumptions'!$J$111)-1,'Revenue and costs'!V89+'Revenue and costs'!Y89+'Revenue and costs'!AE89,0)+IF(AND(12&gt;=(13-'Assumptions'!$J$112)+'Assumptions'!$AF$112,12&lt;=12),'Revenue and costs'!N90/'Assumptions'!$J$112,0)-IF(AND(12&gt;=(13-'Assumptions'!$J$112),12&lt;=12),SUM('Revenue and costs'!O90:U90)/'Assumptions'!$J$112,0)-IF(12=(13-'Assumptions'!$J$112)-1,'Revenue and costs'!V90+'Revenue and costs'!Y90+'Revenue and costs'!AE90,0)+IF(AND(12&gt;=(13-'Assumptions'!$J$113)+'Assumptions'!$AF$113,12&lt;=12),'Revenue and costs'!N91/'Assumptions'!$J$113,0)-IF(AND(12&gt;=(13-'Assumptions'!$J$113),12&lt;=12),SUM('Revenue and costs'!O91:U91)/'Assumptions'!$J$113,0)-IF(12=(13-'Assumptions'!$J$113)-1,'Revenue and costs'!V91+'Revenue and costs'!Y91+'Revenue and costs'!AE91,0)+IF(AND(12&gt;=(13-'Assumptions'!$J$114)+'Assumptions'!$AF$114,12&lt;=12),'Revenue and costs'!N92/'Assumptions'!$J$114,0)-IF(AND(12&gt;=(13-'Assumptions'!$J$114),12&lt;=12),SUM('Revenue and costs'!O92:U92)/'Assumptions'!$J$114,0)-IF(12=(13-'Assumptions'!$J$114)-1,'Revenue and costs'!V92+'Revenue and costs'!Y92+'Revenue and costs'!AE92,0)+IF(AND(12&gt;=(13-'Assumptions'!$J$115)+'Assumptions'!$AF$115,12&lt;=12),'Revenue and costs'!N93/'Assumptions'!$J$115,0)-IF(AND(12&gt;=(13-'Assumptions'!$J$115),12&lt;=12),SUM('Revenue and costs'!O93:U93)/'Assumptions'!$J$115,0)-IF(12=(13-'Assumptions'!$J$115)-1,'Revenue and costs'!V93+'Revenue and costs'!Y93+'Revenue and costs'!AE93,0)+IF(AND(12&gt;=(13-'Assumptions'!$J$116)+'Assumptions'!$AF$116,12&lt;=12),'Revenue and costs'!N94/'Assumptions'!$J$116,0)-IF(AND(12&gt;=(13-'Assumptions'!$J$116),12&lt;=12),SUM('Revenue and costs'!O94:U94)/'Assumptions'!$J$116,0)-IF(12=(13-'Assumptions'!$J$116)-1,'Revenue and costs'!V94+'Revenue and costs'!Y94+'Revenue and costs'!AE94,0)+IF(AND(12&gt;=(13-'Assumptions'!$J$117)+'Assumptions'!$AF$117,12&lt;=12),'Revenue and costs'!N95/'Assumptions'!$J$117,0)-IF(AND(12&gt;=(13-'Assumptions'!$J$117),12&lt;=12),SUM('Revenue and costs'!O95:U95)/'Assumptions'!$J$117,0)-IF(12=(13-'Assumptions'!$J$117)-1,'Revenue and costs'!V95+'Revenue and costs'!Y95+'Revenue and costs'!AE95,0)+IF(AND(12&gt;=(13-'Assumptions'!$J$118)+'Assumptions'!$AF$118,12&lt;=12),'Revenue and costs'!N96/'Assumptions'!$J$118,0)-IF(AND(12&gt;=(13-'Assumptions'!$J$118),12&lt;=12),SUM('Revenue and costs'!O96:U96)/'Assumptions'!$J$118,0)-IF(12=(13-'Assumptions'!$J$118)-1,'Revenue and costs'!V96+'Revenue and costs'!Y96+'Revenue and costs'!AE96,0)-'Segment tax'!G33/12-'Segment tax'!L33</x:f>
        <x:v>9665.457701106292</x:v>
      </x:c>
      <x:c r="Q52" s="24" t="n">
        <x:f>MAX(0,-MIN(D52:P52))</x:f>
        <x:v>5096.072729856792</x:v>
      </x:c>
    </x:row>
    <x:row r="53" ht="30" customHeight="1">
      <x:c r="A53" s="1"/>
      <x:c r="B53" s="1"/>
      <x:c r="C53" s="23" t="str">
        <x:v>Semajes Marketplace</x:v>
      </x:c>
      <x:c r="D53" s="24" t="n">
        <x:f>IF(AND(0&gt;=(13-'Assumptions'!$J$119)+'Assumptions'!$AF$119,0&lt;=12),'Revenue and costs'!N97/'Assumptions'!$J$119,0)-IF(AND(0&gt;=(13-'Assumptions'!$J$119),0&lt;=12),SUM('Revenue and costs'!O97:U97)/'Assumptions'!$J$119,0)-IF(0=(13-'Assumptions'!$J$119)-1,'Revenue and costs'!V97+'Revenue and costs'!Y97+'Revenue and costs'!AE97,0)+IF(AND(0&gt;=(13-'Assumptions'!$J$120)+'Assumptions'!$AF$120,0&lt;=12),'Revenue and costs'!N98/'Assumptions'!$J$120,0)-IF(AND(0&gt;=(13-'Assumptions'!$J$120),0&lt;=12),SUM('Revenue and costs'!O98:U98)/'Assumptions'!$J$120,0)-IF(0=(13-'Assumptions'!$J$120)-1,'Revenue and costs'!V98+'Revenue and costs'!Y98+'Revenue and costs'!AE98,0)+IF(AND(0&gt;=(13-'Assumptions'!$J$121)+'Assumptions'!$AF$121,0&lt;=12),'Revenue and costs'!N99/'Assumptions'!$J$121,0)-IF(AND(0&gt;=(13-'Assumptions'!$J$121),0&lt;=12),SUM('Revenue and costs'!O99:U99)/'Assumptions'!$J$121,0)-IF(0=(13-'Assumptions'!$J$121)-1,'Revenue and costs'!V99+'Revenue and costs'!Y99+'Revenue and costs'!AE99,0)+IF(AND(0&gt;=(13-'Assumptions'!$J$122)+'Assumptions'!$AF$122,0&lt;=12),'Revenue and costs'!N100/'Assumptions'!$J$122,0)-IF(AND(0&gt;=(13-'Assumptions'!$J$122),0&lt;=12),SUM('Revenue and costs'!O100:U100)/'Assumptions'!$J$122,0)-IF(0=(13-'Assumptions'!$J$122)-1,'Revenue and costs'!V100+'Revenue and costs'!Y100+'Revenue and costs'!AE100,0)-IF('Income statement'!D50=0,1/39,'Segment tax'!E34/'Income statement'!D50)*'Cash and capital'!D13</x:f>
        <x:v>-15.865667791217891</x:v>
      </x:c>
      <x:c r="E53" s="24" t="n">
        <x:f>D53+IF(AND(1&gt;=(13-'Assumptions'!$J$119)+'Assumptions'!$AF$119,1&lt;=12),'Revenue and costs'!N97/'Assumptions'!$J$119,0)-IF(AND(1&gt;=(13-'Assumptions'!$J$119),1&lt;=12),SUM('Revenue and costs'!O97:U97)/'Assumptions'!$J$119,0)-IF(1=(13-'Assumptions'!$J$119)-1,'Revenue and costs'!V97+'Revenue and costs'!Y97+'Revenue and costs'!AE97,0)+IF(AND(1&gt;=(13-'Assumptions'!$J$120)+'Assumptions'!$AF$120,1&lt;=12),'Revenue and costs'!N98/'Assumptions'!$J$120,0)-IF(AND(1&gt;=(13-'Assumptions'!$J$120),1&lt;=12),SUM('Revenue and costs'!O98:U98)/'Assumptions'!$J$120,0)-IF(1=(13-'Assumptions'!$J$120)-1,'Revenue and costs'!V98+'Revenue and costs'!Y98+'Revenue and costs'!AE98,0)+IF(AND(1&gt;=(13-'Assumptions'!$J$121)+'Assumptions'!$AF$121,1&lt;=12),'Revenue and costs'!N99/'Assumptions'!$J$121,0)-IF(AND(1&gt;=(13-'Assumptions'!$J$121),1&lt;=12),SUM('Revenue and costs'!O99:U99)/'Assumptions'!$J$121,0)-IF(1=(13-'Assumptions'!$J$121)-1,'Revenue and costs'!V99+'Revenue and costs'!Y99+'Revenue and costs'!AE99,0)+IF(AND(1&gt;=(13-'Assumptions'!$J$122)+'Assumptions'!$AF$122,1&lt;=12),'Revenue and costs'!N100/'Assumptions'!$J$122,0)-IF(AND(1&gt;=(13-'Assumptions'!$J$122),1&lt;=12),SUM('Revenue and costs'!O100:U100)/'Assumptions'!$J$122,0)-IF(1=(13-'Assumptions'!$J$122)-1,'Revenue and costs'!V100+'Revenue and costs'!Y100+'Revenue and costs'!AE100,0)-'Segment tax'!G34/12</x:f>
        <x:v>-77.37157326183925</x:v>
      </x:c>
      <x:c r="F53" s="24" t="n">
        <x:f>E53+IF(AND(2&gt;=(13-'Assumptions'!$J$119)+'Assumptions'!$AF$119,2&lt;=12),'Revenue and costs'!N97/'Assumptions'!$J$119,0)-IF(AND(2&gt;=(13-'Assumptions'!$J$119),2&lt;=12),SUM('Revenue and costs'!O97:U97)/'Assumptions'!$J$119,0)-IF(2=(13-'Assumptions'!$J$119)-1,'Revenue and costs'!V97+'Revenue and costs'!Y97+'Revenue and costs'!AE97,0)+IF(AND(2&gt;=(13-'Assumptions'!$J$120)+'Assumptions'!$AF$120,2&lt;=12),'Revenue and costs'!N98/'Assumptions'!$J$120,0)-IF(AND(2&gt;=(13-'Assumptions'!$J$120),2&lt;=12),SUM('Revenue and costs'!O98:U98)/'Assumptions'!$J$120,0)-IF(2=(13-'Assumptions'!$J$120)-1,'Revenue and costs'!V98+'Revenue and costs'!Y98+'Revenue and costs'!AE98,0)+IF(AND(2&gt;=(13-'Assumptions'!$J$121)+'Assumptions'!$AF$121,2&lt;=12),'Revenue and costs'!N99/'Assumptions'!$J$121,0)-IF(AND(2&gt;=(13-'Assumptions'!$J$121),2&lt;=12),SUM('Revenue and costs'!O99:U99)/'Assumptions'!$J$121,0)-IF(2=(13-'Assumptions'!$J$121)-1,'Revenue and costs'!V99+'Revenue and costs'!Y99+'Revenue and costs'!AE99,0)+IF(AND(2&gt;=(13-'Assumptions'!$J$122)+'Assumptions'!$AF$122,2&lt;=12),'Revenue and costs'!N100/'Assumptions'!$J$122,0)-IF(AND(2&gt;=(13-'Assumptions'!$J$122),2&lt;=12),SUM('Revenue and costs'!O100:U100)/'Assumptions'!$J$122,0)-IF(2=(13-'Assumptions'!$J$122)-1,'Revenue and costs'!V100+'Revenue and costs'!Y100+'Revenue and costs'!AE100,0)-'Segment tax'!G34/12</x:f>
        <x:v>-138.8774787324606</x:v>
      </x:c>
      <x:c r="G53" s="24" t="n">
        <x:f>F53+IF(AND(3&gt;=(13-'Assumptions'!$J$119)+'Assumptions'!$AF$119,3&lt;=12),'Revenue and costs'!N97/'Assumptions'!$J$119,0)-IF(AND(3&gt;=(13-'Assumptions'!$J$119),3&lt;=12),SUM('Revenue and costs'!O97:U97)/'Assumptions'!$J$119,0)-IF(3=(13-'Assumptions'!$J$119)-1,'Revenue and costs'!V97+'Revenue and costs'!Y97+'Revenue and costs'!AE97,0)+IF(AND(3&gt;=(13-'Assumptions'!$J$120)+'Assumptions'!$AF$120,3&lt;=12),'Revenue and costs'!N98/'Assumptions'!$J$120,0)-IF(AND(3&gt;=(13-'Assumptions'!$J$120),3&lt;=12),SUM('Revenue and costs'!O98:U98)/'Assumptions'!$J$120,0)-IF(3=(13-'Assumptions'!$J$120)-1,'Revenue and costs'!V98+'Revenue and costs'!Y98+'Revenue and costs'!AE98,0)+IF(AND(3&gt;=(13-'Assumptions'!$J$121)+'Assumptions'!$AF$121,3&lt;=12),'Revenue and costs'!N99/'Assumptions'!$J$121,0)-IF(AND(3&gt;=(13-'Assumptions'!$J$121),3&lt;=12),SUM('Revenue and costs'!O99:U99)/'Assumptions'!$J$121,0)-IF(3=(13-'Assumptions'!$J$121)-1,'Revenue and costs'!V99+'Revenue and costs'!Y99+'Revenue and costs'!AE99,0)+IF(AND(3&gt;=(13-'Assumptions'!$J$122)+'Assumptions'!$AF$122,3&lt;=12),'Revenue and costs'!N100/'Assumptions'!$J$122,0)-IF(AND(3&gt;=(13-'Assumptions'!$J$122),3&lt;=12),SUM('Revenue and costs'!O100:U100)/'Assumptions'!$J$122,0)-IF(3=(13-'Assumptions'!$J$122)-1,'Revenue and costs'!V100+'Revenue and costs'!Y100+'Revenue and costs'!AE100,0)-'Segment tax'!G34/12</x:f>
        <x:v>-200.38338420308193</x:v>
      </x:c>
      <x:c r="H53" s="24" t="n">
        <x:f>G53+IF(AND(4&gt;=(13-'Assumptions'!$J$119)+'Assumptions'!$AF$119,4&lt;=12),'Revenue and costs'!N97/'Assumptions'!$J$119,0)-IF(AND(4&gt;=(13-'Assumptions'!$J$119),4&lt;=12),SUM('Revenue and costs'!O97:U97)/'Assumptions'!$J$119,0)-IF(4=(13-'Assumptions'!$J$119)-1,'Revenue and costs'!V97+'Revenue and costs'!Y97+'Revenue and costs'!AE97,0)+IF(AND(4&gt;=(13-'Assumptions'!$J$120)+'Assumptions'!$AF$120,4&lt;=12),'Revenue and costs'!N98/'Assumptions'!$J$120,0)-IF(AND(4&gt;=(13-'Assumptions'!$J$120),4&lt;=12),SUM('Revenue and costs'!O98:U98)/'Assumptions'!$J$120,0)-IF(4=(13-'Assumptions'!$J$120)-1,'Revenue and costs'!V98+'Revenue and costs'!Y98+'Revenue and costs'!AE98,0)+IF(AND(4&gt;=(13-'Assumptions'!$J$121)+'Assumptions'!$AF$121,4&lt;=12),'Revenue and costs'!N99/'Assumptions'!$J$121,0)-IF(AND(4&gt;=(13-'Assumptions'!$J$121),4&lt;=12),SUM('Revenue and costs'!O99:U99)/'Assumptions'!$J$121,0)-IF(4=(13-'Assumptions'!$J$121)-1,'Revenue and costs'!V99+'Revenue and costs'!Y99+'Revenue and costs'!AE99,0)+IF(AND(4&gt;=(13-'Assumptions'!$J$122)+'Assumptions'!$AF$122,4&lt;=12),'Revenue and costs'!N100/'Assumptions'!$J$122,0)-IF(AND(4&gt;=(13-'Assumptions'!$J$122),4&lt;=12),SUM('Revenue and costs'!O100:U100)/'Assumptions'!$J$122,0)-IF(4=(13-'Assumptions'!$J$122)-1,'Revenue and costs'!V100+'Revenue and costs'!Y100+'Revenue and costs'!AE100,0)-'Segment tax'!G34/12</x:f>
        <x:v>-261.8892896737033</x:v>
      </x:c>
      <x:c r="I53" s="24" t="n">
        <x:f>H53+IF(AND(5&gt;=(13-'Assumptions'!$J$119)+'Assumptions'!$AF$119,5&lt;=12),'Revenue and costs'!N97/'Assumptions'!$J$119,0)-IF(AND(5&gt;=(13-'Assumptions'!$J$119),5&lt;=12),SUM('Revenue and costs'!O97:U97)/'Assumptions'!$J$119,0)-IF(5=(13-'Assumptions'!$J$119)-1,'Revenue and costs'!V97+'Revenue and costs'!Y97+'Revenue and costs'!AE97,0)+IF(AND(5&gt;=(13-'Assumptions'!$J$120)+'Assumptions'!$AF$120,5&lt;=12),'Revenue and costs'!N98/'Assumptions'!$J$120,0)-IF(AND(5&gt;=(13-'Assumptions'!$J$120),5&lt;=12),SUM('Revenue and costs'!O98:U98)/'Assumptions'!$J$120,0)-IF(5=(13-'Assumptions'!$J$120)-1,'Revenue and costs'!V98+'Revenue and costs'!Y98+'Revenue and costs'!AE98,0)+IF(AND(5&gt;=(13-'Assumptions'!$J$121)+'Assumptions'!$AF$121,5&lt;=12),'Revenue and costs'!N99/'Assumptions'!$J$121,0)-IF(AND(5&gt;=(13-'Assumptions'!$J$121),5&lt;=12),SUM('Revenue and costs'!O99:U99)/'Assumptions'!$J$121,0)-IF(5=(13-'Assumptions'!$J$121)-1,'Revenue and costs'!V99+'Revenue and costs'!Y99+'Revenue and costs'!AE99,0)+IF(AND(5&gt;=(13-'Assumptions'!$J$122)+'Assumptions'!$AF$122,5&lt;=12),'Revenue and costs'!N100/'Assumptions'!$J$122,0)-IF(AND(5&gt;=(13-'Assumptions'!$J$122),5&lt;=12),SUM('Revenue and costs'!O100:U100)/'Assumptions'!$J$122,0)-IF(5=(13-'Assumptions'!$J$122)-1,'Revenue and costs'!V100+'Revenue and costs'!Y100+'Revenue and costs'!AE100,0)-'Segment tax'!G34/12</x:f>
        <x:v>-323.39519514432465</x:v>
      </x:c>
      <x:c r="J53" s="24" t="n">
        <x:f>I53+IF(AND(6&gt;=(13-'Assumptions'!$J$119)+'Assumptions'!$AF$119,6&lt;=12),'Revenue and costs'!N97/'Assumptions'!$J$119,0)-IF(AND(6&gt;=(13-'Assumptions'!$J$119),6&lt;=12),SUM('Revenue and costs'!O97:U97)/'Assumptions'!$J$119,0)-IF(6=(13-'Assumptions'!$J$119)-1,'Revenue and costs'!V97+'Revenue and costs'!Y97+'Revenue and costs'!AE97,0)+IF(AND(6&gt;=(13-'Assumptions'!$J$120)+'Assumptions'!$AF$120,6&lt;=12),'Revenue and costs'!N98/'Assumptions'!$J$120,0)-IF(AND(6&gt;=(13-'Assumptions'!$J$120),6&lt;=12),SUM('Revenue and costs'!O98:U98)/'Assumptions'!$J$120,0)-IF(6=(13-'Assumptions'!$J$120)-1,'Revenue and costs'!V98+'Revenue and costs'!Y98+'Revenue and costs'!AE98,0)+IF(AND(6&gt;=(13-'Assumptions'!$J$121)+'Assumptions'!$AF$121,6&lt;=12),'Revenue and costs'!N99/'Assumptions'!$J$121,0)-IF(AND(6&gt;=(13-'Assumptions'!$J$121),6&lt;=12),SUM('Revenue and costs'!O99:U99)/'Assumptions'!$J$121,0)-IF(6=(13-'Assumptions'!$J$121)-1,'Revenue and costs'!V99+'Revenue and costs'!Y99+'Revenue and costs'!AE99,0)+IF(AND(6&gt;=(13-'Assumptions'!$J$122)+'Assumptions'!$AF$122,6&lt;=12),'Revenue and costs'!N100/'Assumptions'!$J$122,0)-IF(AND(6&gt;=(13-'Assumptions'!$J$122),6&lt;=12),SUM('Revenue and costs'!O100:U100)/'Assumptions'!$J$122,0)-IF(6=(13-'Assumptions'!$J$122)-1,'Revenue and costs'!V100+'Revenue and costs'!Y100+'Revenue and costs'!AE100,0)-'Segment tax'!G34/12</x:f>
        <x:v>-384.901100614946</x:v>
      </x:c>
      <x:c r="K53" s="24" t="n">
        <x:f>J53+IF(AND(7&gt;=(13-'Assumptions'!$J$119)+'Assumptions'!$AF$119,7&lt;=12),'Revenue and costs'!N97/'Assumptions'!$J$119,0)-IF(AND(7&gt;=(13-'Assumptions'!$J$119),7&lt;=12),SUM('Revenue and costs'!O97:U97)/'Assumptions'!$J$119,0)-IF(7=(13-'Assumptions'!$J$119)-1,'Revenue and costs'!V97+'Revenue and costs'!Y97+'Revenue and costs'!AE97,0)+IF(AND(7&gt;=(13-'Assumptions'!$J$120)+'Assumptions'!$AF$120,7&lt;=12),'Revenue and costs'!N98/'Assumptions'!$J$120,0)-IF(AND(7&gt;=(13-'Assumptions'!$J$120),7&lt;=12),SUM('Revenue and costs'!O98:U98)/'Assumptions'!$J$120,0)-IF(7=(13-'Assumptions'!$J$120)-1,'Revenue and costs'!V98+'Revenue and costs'!Y98+'Revenue and costs'!AE98,0)+IF(AND(7&gt;=(13-'Assumptions'!$J$121)+'Assumptions'!$AF$121,7&lt;=12),'Revenue and costs'!N99/'Assumptions'!$J$121,0)-IF(AND(7&gt;=(13-'Assumptions'!$J$121),7&lt;=12),SUM('Revenue and costs'!O99:U99)/'Assumptions'!$J$121,0)-IF(7=(13-'Assumptions'!$J$121)-1,'Revenue and costs'!V99+'Revenue and costs'!Y99+'Revenue and costs'!AE99,0)+IF(AND(7&gt;=(13-'Assumptions'!$J$122)+'Assumptions'!$AF$122,7&lt;=12),'Revenue and costs'!N100/'Assumptions'!$J$122,0)-IF(AND(7&gt;=(13-'Assumptions'!$J$122),7&lt;=12),SUM('Revenue and costs'!O100:U100)/'Assumptions'!$J$122,0)-IF(7=(13-'Assumptions'!$J$122)-1,'Revenue and costs'!V100+'Revenue and costs'!Y100+'Revenue and costs'!AE100,0)-'Segment tax'!G34/12</x:f>
        <x:v>470.26799391443257</x:v>
      </x:c>
      <x:c r="L53" s="24" t="n">
        <x:f>K53+IF(AND(8&gt;=(13-'Assumptions'!$J$119)+'Assumptions'!$AF$119,8&lt;=12),'Revenue and costs'!N97/'Assumptions'!$J$119,0)-IF(AND(8&gt;=(13-'Assumptions'!$J$119),8&lt;=12),SUM('Revenue and costs'!O97:U97)/'Assumptions'!$J$119,0)-IF(8=(13-'Assumptions'!$J$119)-1,'Revenue and costs'!V97+'Revenue and costs'!Y97+'Revenue and costs'!AE97,0)+IF(AND(8&gt;=(13-'Assumptions'!$J$120)+'Assumptions'!$AF$120,8&lt;=12),'Revenue and costs'!N98/'Assumptions'!$J$120,0)-IF(AND(8&gt;=(13-'Assumptions'!$J$120),8&lt;=12),SUM('Revenue and costs'!O98:U98)/'Assumptions'!$J$120,0)-IF(8=(13-'Assumptions'!$J$120)-1,'Revenue and costs'!V98+'Revenue and costs'!Y98+'Revenue and costs'!AE98,0)+IF(AND(8&gt;=(13-'Assumptions'!$J$121)+'Assumptions'!$AF$121,8&lt;=12),'Revenue and costs'!N99/'Assumptions'!$J$121,0)-IF(AND(8&gt;=(13-'Assumptions'!$J$121),8&lt;=12),SUM('Revenue and costs'!O99:U99)/'Assumptions'!$J$121,0)-IF(8=(13-'Assumptions'!$J$121)-1,'Revenue and costs'!V99+'Revenue and costs'!Y99+'Revenue and costs'!AE99,0)+IF(AND(8&gt;=(13-'Assumptions'!$J$122)+'Assumptions'!$AF$122,8&lt;=12),'Revenue and costs'!N100/'Assumptions'!$J$122,0)-IF(AND(8&gt;=(13-'Assumptions'!$J$122),8&lt;=12),SUM('Revenue and costs'!O100:U100)/'Assumptions'!$J$122,0)-IF(8=(13-'Assumptions'!$J$122)-1,'Revenue and costs'!V100+'Revenue and costs'!Y100+'Revenue and costs'!AE100,0)-'Segment tax'!G34/12</x:f>
        <x:v>1325.437088443811</x:v>
      </x:c>
      <x:c r="M53" s="24" t="n">
        <x:f>L53+IF(AND(9&gt;=(13-'Assumptions'!$J$119)+'Assumptions'!$AF$119,9&lt;=12),'Revenue and costs'!N97/'Assumptions'!$J$119,0)-IF(AND(9&gt;=(13-'Assumptions'!$J$119),9&lt;=12),SUM('Revenue and costs'!O97:U97)/'Assumptions'!$J$119,0)-IF(9=(13-'Assumptions'!$J$119)-1,'Revenue and costs'!V97+'Revenue and costs'!Y97+'Revenue and costs'!AE97,0)+IF(AND(9&gt;=(13-'Assumptions'!$J$120)+'Assumptions'!$AF$120,9&lt;=12),'Revenue and costs'!N98/'Assumptions'!$J$120,0)-IF(AND(9&gt;=(13-'Assumptions'!$J$120),9&lt;=12),SUM('Revenue and costs'!O98:U98)/'Assumptions'!$J$120,0)-IF(9=(13-'Assumptions'!$J$120)-1,'Revenue and costs'!V98+'Revenue and costs'!Y98+'Revenue and costs'!AE98,0)+IF(AND(9&gt;=(13-'Assumptions'!$J$121)+'Assumptions'!$AF$121,9&lt;=12),'Revenue and costs'!N99/'Assumptions'!$J$121,0)-IF(AND(9&gt;=(13-'Assumptions'!$J$121),9&lt;=12),SUM('Revenue and costs'!O99:U99)/'Assumptions'!$J$121,0)-IF(9=(13-'Assumptions'!$J$121)-1,'Revenue and costs'!V99+'Revenue and costs'!Y99+'Revenue and costs'!AE99,0)+IF(AND(9&gt;=(13-'Assumptions'!$J$122)+'Assumptions'!$AF$122,9&lt;=12),'Revenue and costs'!N100/'Assumptions'!$J$122,0)-IF(AND(9&gt;=(13-'Assumptions'!$J$122),9&lt;=12),SUM('Revenue and costs'!O100:U100)/'Assumptions'!$J$122,0)-IF(9=(13-'Assumptions'!$J$122)-1,'Revenue and costs'!V100+'Revenue and costs'!Y100+'Revenue and costs'!AE100,0)-'Segment tax'!G34/12</x:f>
        <x:v>2180.6061829731902</x:v>
      </x:c>
      <x:c r="N53" s="24" t="n">
        <x:f>M53+IF(AND(10&gt;=(13-'Assumptions'!$J$119)+'Assumptions'!$AF$119,10&lt;=12),'Revenue and costs'!N97/'Assumptions'!$J$119,0)-IF(AND(10&gt;=(13-'Assumptions'!$J$119),10&lt;=12),SUM('Revenue and costs'!O97:U97)/'Assumptions'!$J$119,0)-IF(10=(13-'Assumptions'!$J$119)-1,'Revenue and costs'!V97+'Revenue and costs'!Y97+'Revenue and costs'!AE97,0)+IF(AND(10&gt;=(13-'Assumptions'!$J$120)+'Assumptions'!$AF$120,10&lt;=12),'Revenue and costs'!N98/'Assumptions'!$J$120,0)-IF(AND(10&gt;=(13-'Assumptions'!$J$120),10&lt;=12),SUM('Revenue and costs'!O98:U98)/'Assumptions'!$J$120,0)-IF(10=(13-'Assumptions'!$J$120)-1,'Revenue and costs'!V98+'Revenue and costs'!Y98+'Revenue and costs'!AE98,0)+IF(AND(10&gt;=(13-'Assumptions'!$J$121)+'Assumptions'!$AF$121,10&lt;=12),'Revenue and costs'!N99/'Assumptions'!$J$121,0)-IF(AND(10&gt;=(13-'Assumptions'!$J$121),10&lt;=12),SUM('Revenue and costs'!O99:U99)/'Assumptions'!$J$121,0)-IF(10=(13-'Assumptions'!$J$121)-1,'Revenue and costs'!V99+'Revenue and costs'!Y99+'Revenue and costs'!AE99,0)+IF(AND(10&gt;=(13-'Assumptions'!$J$122)+'Assumptions'!$AF$122,10&lt;=12),'Revenue and costs'!N100/'Assumptions'!$J$122,0)-IF(AND(10&gt;=(13-'Assumptions'!$J$122),10&lt;=12),SUM('Revenue and costs'!O100:U100)/'Assumptions'!$J$122,0)-IF(10=(13-'Assumptions'!$J$122)-1,'Revenue and costs'!V100+'Revenue and costs'!Y100+'Revenue and costs'!AE100,0)-'Segment tax'!G34/12</x:f>
        <x:v>3035.7752775025688</x:v>
      </x:c>
      <x:c r="O53" s="24" t="n">
        <x:f>N53+IF(AND(11&gt;=(13-'Assumptions'!$J$119)+'Assumptions'!$AF$119,11&lt;=12),'Revenue and costs'!N97/'Assumptions'!$J$119,0)-IF(AND(11&gt;=(13-'Assumptions'!$J$119),11&lt;=12),SUM('Revenue and costs'!O97:U97)/'Assumptions'!$J$119,0)-IF(11=(13-'Assumptions'!$J$119)-1,'Revenue and costs'!V97+'Revenue and costs'!Y97+'Revenue and costs'!AE97,0)+IF(AND(11&gt;=(13-'Assumptions'!$J$120)+'Assumptions'!$AF$120,11&lt;=12),'Revenue and costs'!N98/'Assumptions'!$J$120,0)-IF(AND(11&gt;=(13-'Assumptions'!$J$120),11&lt;=12),SUM('Revenue and costs'!O98:U98)/'Assumptions'!$J$120,0)-IF(11=(13-'Assumptions'!$J$120)-1,'Revenue and costs'!V98+'Revenue and costs'!Y98+'Revenue and costs'!AE98,0)+IF(AND(11&gt;=(13-'Assumptions'!$J$121)+'Assumptions'!$AF$121,11&lt;=12),'Revenue and costs'!N99/'Assumptions'!$J$121,0)-IF(AND(11&gt;=(13-'Assumptions'!$J$121),11&lt;=12),SUM('Revenue and costs'!O99:U99)/'Assumptions'!$J$121,0)-IF(11=(13-'Assumptions'!$J$121)-1,'Revenue and costs'!V99+'Revenue and costs'!Y99+'Revenue and costs'!AE99,0)+IF(AND(11&gt;=(13-'Assumptions'!$J$122)+'Assumptions'!$AF$122,11&lt;=12),'Revenue and costs'!N100/'Assumptions'!$J$122,0)-IF(AND(11&gt;=(13-'Assumptions'!$J$122),11&lt;=12),SUM('Revenue and costs'!O100:U100)/'Assumptions'!$J$122,0)-IF(11=(13-'Assumptions'!$J$122)-1,'Revenue and costs'!V100+'Revenue and costs'!Y100+'Revenue and costs'!AE100,0)-'Segment tax'!G34/12</x:f>
        <x:v>3890.9443720319473</x:v>
      </x:c>
      <x:c r="P53" s="24" t="n">
        <x:f>O53+IF(AND(12&gt;=(13-'Assumptions'!$J$119)+'Assumptions'!$AF$119,12&lt;=12),'Revenue and costs'!N97/'Assumptions'!$J$119,0)-IF(AND(12&gt;=(13-'Assumptions'!$J$119),12&lt;=12),SUM('Revenue and costs'!O97:U97)/'Assumptions'!$J$119,0)-IF(12=(13-'Assumptions'!$J$119)-1,'Revenue and costs'!V97+'Revenue and costs'!Y97+'Revenue and costs'!AE97,0)+IF(AND(12&gt;=(13-'Assumptions'!$J$120)+'Assumptions'!$AF$120,12&lt;=12),'Revenue and costs'!N98/'Assumptions'!$J$120,0)-IF(AND(12&gt;=(13-'Assumptions'!$J$120),12&lt;=12),SUM('Revenue and costs'!O98:U98)/'Assumptions'!$J$120,0)-IF(12=(13-'Assumptions'!$J$120)-1,'Revenue and costs'!V98+'Revenue and costs'!Y98+'Revenue and costs'!AE98,0)+IF(AND(12&gt;=(13-'Assumptions'!$J$121)+'Assumptions'!$AF$121,12&lt;=12),'Revenue and costs'!N99/'Assumptions'!$J$121,0)-IF(AND(12&gt;=(13-'Assumptions'!$J$121),12&lt;=12),SUM('Revenue and costs'!O99:U99)/'Assumptions'!$J$121,0)-IF(12=(13-'Assumptions'!$J$121)-1,'Revenue and costs'!V99+'Revenue and costs'!Y99+'Revenue and costs'!AE99,0)+IF(AND(12&gt;=(13-'Assumptions'!$J$122)+'Assumptions'!$AF$122,12&lt;=12),'Revenue and costs'!N100/'Assumptions'!$J$122,0)-IF(AND(12&gt;=(13-'Assumptions'!$J$122),12&lt;=12),SUM('Revenue and costs'!O100:U100)/'Assumptions'!$J$122,0)-IF(12=(13-'Assumptions'!$J$122)-1,'Revenue and costs'!V100+'Revenue and costs'!Y100+'Revenue and costs'!AE100,0)-'Segment tax'!G34/12-'Segment tax'!L34</x:f>
        <x:v>3556.940821955791</x:v>
      </x:c>
      <x:c r="Q53" s="24" t="n">
        <x:f>MAX(0,-MIN(D53:P53))</x:f>
        <x:v>384.901100614946</x:v>
      </x:c>
    </x:row>
    <x:row r="54" ht="30" customHeight="1">
      <x:c r="A54" s="1"/>
      <x:c r="B54" s="1"/>
      <x:c r="C54" s="23" t="str">
        <x:v>Semajes premium and media</x:v>
      </x:c>
      <x:c r="D54" s="24" t="n">
        <x:f>IF(AND(0&gt;=(13-'Assumptions'!$J$123)+'Assumptions'!$AF$123,0&lt;=12),'Revenue and costs'!N101/'Assumptions'!$J$123,0)-IF(AND(0&gt;=(13-'Assumptions'!$J$123),0&lt;=12),SUM('Revenue and costs'!O101:U101)/'Assumptions'!$J$123,0)-IF(0=(13-'Assumptions'!$J$123)-1,'Revenue and costs'!V101+'Revenue and costs'!Y101+'Revenue and costs'!AE101,0)+IF(AND(0&gt;=(13-'Assumptions'!$J$124)+'Assumptions'!$AF$124,0&lt;=12),'Revenue and costs'!N102/'Assumptions'!$J$124,0)-IF(AND(0&gt;=(13-'Assumptions'!$J$124),0&lt;=12),SUM('Revenue and costs'!O102:U102)/'Assumptions'!$J$124,0)-IF(0=(13-'Assumptions'!$J$124)-1,'Revenue and costs'!V102+'Revenue and costs'!Y102+'Revenue and costs'!AE102,0)+IF(AND(0&gt;=(13-'Assumptions'!$J$125)+'Assumptions'!$AF$125,0&lt;=12),'Revenue and costs'!N103/'Assumptions'!$J$125,0)-IF(AND(0&gt;=(13-'Assumptions'!$J$125),0&lt;=12),SUM('Revenue and costs'!O103:U103)/'Assumptions'!$J$125,0)-IF(0=(13-'Assumptions'!$J$125)-1,'Revenue and costs'!V103+'Revenue and costs'!Y103+'Revenue and costs'!AE103,0)+IF(AND(0&gt;=(13-'Assumptions'!$J$126)+'Assumptions'!$AF$126,0&lt;=12),'Revenue and costs'!N104/'Assumptions'!$J$126,0)-IF(AND(0&gt;=(13-'Assumptions'!$J$126),0&lt;=12),SUM('Revenue and costs'!O104:U104)/'Assumptions'!$J$126,0)-IF(0=(13-'Assumptions'!$J$126)-1,'Revenue and costs'!V104+'Revenue and costs'!Y104+'Revenue and costs'!AE104,0)+IF(AND(0&gt;=(13-'Assumptions'!$J$127)+'Assumptions'!$AF$127,0&lt;=12),'Revenue and costs'!N105/'Assumptions'!$J$127,0)-IF(AND(0&gt;=(13-'Assumptions'!$J$127),0&lt;=12),SUM('Revenue and costs'!O105:U105)/'Assumptions'!$J$127,0)-IF(0=(13-'Assumptions'!$J$127)-1,'Revenue and costs'!V105+'Revenue and costs'!Y105+'Revenue and costs'!AE105,0)+IF(AND(0&gt;=(13-'Assumptions'!$J$128)+'Assumptions'!$AF$128,0&lt;=12),'Revenue and costs'!N106/'Assumptions'!$J$128,0)-IF(AND(0&gt;=(13-'Assumptions'!$J$128),0&lt;=12),SUM('Revenue and costs'!O106:U106)/'Assumptions'!$J$128,0)-IF(0=(13-'Assumptions'!$J$128)-1,'Revenue and costs'!V106+'Revenue and costs'!Y106+'Revenue and costs'!AE106,0)-IF('Income statement'!D50=0,1/39,'Segment tax'!E35/'Income statement'!D50)*'Cash and capital'!D13</x:f>
        <x:v>-11.067375288954965</x:v>
      </x:c>
      <x:c r="E54" s="24" t="n">
        <x:f>D54+IF(AND(1&gt;=(13-'Assumptions'!$J$123)+'Assumptions'!$AF$123,1&lt;=12),'Revenue and costs'!N101/'Assumptions'!$J$123,0)-IF(AND(1&gt;=(13-'Assumptions'!$J$123),1&lt;=12),SUM('Revenue and costs'!O101:U101)/'Assumptions'!$J$123,0)-IF(1=(13-'Assumptions'!$J$123)-1,'Revenue and costs'!V101+'Revenue and costs'!Y101+'Revenue and costs'!AE101,0)+IF(AND(1&gt;=(13-'Assumptions'!$J$124)+'Assumptions'!$AF$124,1&lt;=12),'Revenue and costs'!N102/'Assumptions'!$J$124,0)-IF(AND(1&gt;=(13-'Assumptions'!$J$124),1&lt;=12),SUM('Revenue and costs'!O102:U102)/'Assumptions'!$J$124,0)-IF(1=(13-'Assumptions'!$J$124)-1,'Revenue and costs'!V102+'Revenue and costs'!Y102+'Revenue and costs'!AE102,0)+IF(AND(1&gt;=(13-'Assumptions'!$J$125)+'Assumptions'!$AF$125,1&lt;=12),'Revenue and costs'!N103/'Assumptions'!$J$125,0)-IF(AND(1&gt;=(13-'Assumptions'!$J$125),1&lt;=12),SUM('Revenue and costs'!O103:U103)/'Assumptions'!$J$125,0)-IF(1=(13-'Assumptions'!$J$125)-1,'Revenue and costs'!V103+'Revenue and costs'!Y103+'Revenue and costs'!AE103,0)+IF(AND(1&gt;=(13-'Assumptions'!$J$126)+'Assumptions'!$AF$126,1&lt;=12),'Revenue and costs'!N104/'Assumptions'!$J$126,0)-IF(AND(1&gt;=(13-'Assumptions'!$J$126),1&lt;=12),SUM('Revenue and costs'!O104:U104)/'Assumptions'!$J$126,0)-IF(1=(13-'Assumptions'!$J$126)-1,'Revenue and costs'!V104+'Revenue and costs'!Y104+'Revenue and costs'!AE104,0)+IF(AND(1&gt;=(13-'Assumptions'!$J$127)+'Assumptions'!$AF$127,1&lt;=12),'Revenue and costs'!N105/'Assumptions'!$J$127,0)-IF(AND(1&gt;=(13-'Assumptions'!$J$127),1&lt;=12),SUM('Revenue and costs'!O105:U105)/'Assumptions'!$J$127,0)-IF(1=(13-'Assumptions'!$J$127)-1,'Revenue and costs'!V105+'Revenue and costs'!Y105+'Revenue and costs'!AE105,0)+IF(AND(1&gt;=(13-'Assumptions'!$J$128)+'Assumptions'!$AF$128,1&lt;=12),'Revenue and costs'!N106/'Assumptions'!$J$128,0)-IF(AND(1&gt;=(13-'Assumptions'!$J$128),1&lt;=12),SUM('Revenue and costs'!O106:U106)/'Assumptions'!$J$128,0)-IF(1=(13-'Assumptions'!$J$128)-1,'Revenue and costs'!V106+'Revenue and costs'!Y106+'Revenue and costs'!AE106,0)-'Segment tax'!G35/12</x:f>
        <x:v>-53.97190015913705</x:v>
      </x:c>
      <x:c r="F54" s="24" t="n">
        <x:f>E54+IF(AND(2&gt;=(13-'Assumptions'!$J$123)+'Assumptions'!$AF$123,2&lt;=12),'Revenue and costs'!N101/'Assumptions'!$J$123,0)-IF(AND(2&gt;=(13-'Assumptions'!$J$123),2&lt;=12),SUM('Revenue and costs'!O101:U101)/'Assumptions'!$J$123,0)-IF(2=(13-'Assumptions'!$J$123)-1,'Revenue and costs'!V101+'Revenue and costs'!Y101+'Revenue and costs'!AE101,0)+IF(AND(2&gt;=(13-'Assumptions'!$J$124)+'Assumptions'!$AF$124,2&lt;=12),'Revenue and costs'!N102/'Assumptions'!$J$124,0)-IF(AND(2&gt;=(13-'Assumptions'!$J$124),2&lt;=12),SUM('Revenue and costs'!O102:U102)/'Assumptions'!$J$124,0)-IF(2=(13-'Assumptions'!$J$124)-1,'Revenue and costs'!V102+'Revenue and costs'!Y102+'Revenue and costs'!AE102,0)+IF(AND(2&gt;=(13-'Assumptions'!$J$125)+'Assumptions'!$AF$125,2&lt;=12),'Revenue and costs'!N103/'Assumptions'!$J$125,0)-IF(AND(2&gt;=(13-'Assumptions'!$J$125),2&lt;=12),SUM('Revenue and costs'!O103:U103)/'Assumptions'!$J$125,0)-IF(2=(13-'Assumptions'!$J$125)-1,'Revenue and costs'!V103+'Revenue and costs'!Y103+'Revenue and costs'!AE103,0)+IF(AND(2&gt;=(13-'Assumptions'!$J$126)+'Assumptions'!$AF$126,2&lt;=12),'Revenue and costs'!N104/'Assumptions'!$J$126,0)-IF(AND(2&gt;=(13-'Assumptions'!$J$126),2&lt;=12),SUM('Revenue and costs'!O104:U104)/'Assumptions'!$J$126,0)-IF(2=(13-'Assumptions'!$J$126)-1,'Revenue and costs'!V104+'Revenue and costs'!Y104+'Revenue and costs'!AE104,0)+IF(AND(2&gt;=(13-'Assumptions'!$J$127)+'Assumptions'!$AF$127,2&lt;=12),'Revenue and costs'!N105/'Assumptions'!$J$127,0)-IF(AND(2&gt;=(13-'Assumptions'!$J$127),2&lt;=12),SUM('Revenue and costs'!O105:U105)/'Assumptions'!$J$127,0)-IF(2=(13-'Assumptions'!$J$127)-1,'Revenue and costs'!V105+'Revenue and costs'!Y105+'Revenue and costs'!AE105,0)+IF(AND(2&gt;=(13-'Assumptions'!$J$128)+'Assumptions'!$AF$128,2&lt;=12),'Revenue and costs'!N106/'Assumptions'!$J$128,0)-IF(AND(2&gt;=(13-'Assumptions'!$J$128),2&lt;=12),SUM('Revenue and costs'!O106:U106)/'Assumptions'!$J$128,0)-IF(2=(13-'Assumptions'!$J$128)-1,'Revenue and costs'!V106+'Revenue and costs'!Y106+'Revenue and costs'!AE106,0)-'Segment tax'!G35/12</x:f>
        <x:v>-96.87642502931914</x:v>
      </x:c>
      <x:c r="G54" s="24" t="n">
        <x:f>F54+IF(AND(3&gt;=(13-'Assumptions'!$J$123)+'Assumptions'!$AF$123,3&lt;=12),'Revenue and costs'!N101/'Assumptions'!$J$123,0)-IF(AND(3&gt;=(13-'Assumptions'!$J$123),3&lt;=12),SUM('Revenue and costs'!O101:U101)/'Assumptions'!$J$123,0)-IF(3=(13-'Assumptions'!$J$123)-1,'Revenue and costs'!V101+'Revenue and costs'!Y101+'Revenue and costs'!AE101,0)+IF(AND(3&gt;=(13-'Assumptions'!$J$124)+'Assumptions'!$AF$124,3&lt;=12),'Revenue and costs'!N102/'Assumptions'!$J$124,0)-IF(AND(3&gt;=(13-'Assumptions'!$J$124),3&lt;=12),SUM('Revenue and costs'!O102:U102)/'Assumptions'!$J$124,0)-IF(3=(13-'Assumptions'!$J$124)-1,'Revenue and costs'!V102+'Revenue and costs'!Y102+'Revenue and costs'!AE102,0)+IF(AND(3&gt;=(13-'Assumptions'!$J$125)+'Assumptions'!$AF$125,3&lt;=12),'Revenue and costs'!N103/'Assumptions'!$J$125,0)-IF(AND(3&gt;=(13-'Assumptions'!$J$125),3&lt;=12),SUM('Revenue and costs'!O103:U103)/'Assumptions'!$J$125,0)-IF(3=(13-'Assumptions'!$J$125)-1,'Revenue and costs'!V103+'Revenue and costs'!Y103+'Revenue and costs'!AE103,0)+IF(AND(3&gt;=(13-'Assumptions'!$J$126)+'Assumptions'!$AF$126,3&lt;=12),'Revenue and costs'!N104/'Assumptions'!$J$126,0)-IF(AND(3&gt;=(13-'Assumptions'!$J$126),3&lt;=12),SUM('Revenue and costs'!O104:U104)/'Assumptions'!$J$126,0)-IF(3=(13-'Assumptions'!$J$126)-1,'Revenue and costs'!V104+'Revenue and costs'!Y104+'Revenue and costs'!AE104,0)+IF(AND(3&gt;=(13-'Assumptions'!$J$127)+'Assumptions'!$AF$127,3&lt;=12),'Revenue and costs'!N105/'Assumptions'!$J$127,0)-IF(AND(3&gt;=(13-'Assumptions'!$J$127),3&lt;=12),SUM('Revenue and costs'!O105:U105)/'Assumptions'!$J$127,0)-IF(3=(13-'Assumptions'!$J$127)-1,'Revenue and costs'!V105+'Revenue and costs'!Y105+'Revenue and costs'!AE105,0)+IF(AND(3&gt;=(13-'Assumptions'!$J$128)+'Assumptions'!$AF$128,3&lt;=12),'Revenue and costs'!N106/'Assumptions'!$J$128,0)-IF(AND(3&gt;=(13-'Assumptions'!$J$128),3&lt;=12),SUM('Revenue and costs'!O106:U106)/'Assumptions'!$J$128,0)-IF(3=(13-'Assumptions'!$J$128)-1,'Revenue and costs'!V106+'Revenue and costs'!Y106+'Revenue and costs'!AE106,0)-'Segment tax'!G35/12</x:f>
        <x:v>-139.78094989950122</x:v>
      </x:c>
      <x:c r="H54" s="24" t="n">
        <x:f>G54+IF(AND(4&gt;=(13-'Assumptions'!$J$123)+'Assumptions'!$AF$123,4&lt;=12),'Revenue and costs'!N101/'Assumptions'!$J$123,0)-IF(AND(4&gt;=(13-'Assumptions'!$J$123),4&lt;=12),SUM('Revenue and costs'!O101:U101)/'Assumptions'!$J$123,0)-IF(4=(13-'Assumptions'!$J$123)-1,'Revenue and costs'!V101+'Revenue and costs'!Y101+'Revenue and costs'!AE101,0)+IF(AND(4&gt;=(13-'Assumptions'!$J$124)+'Assumptions'!$AF$124,4&lt;=12),'Revenue and costs'!N102/'Assumptions'!$J$124,0)-IF(AND(4&gt;=(13-'Assumptions'!$J$124),4&lt;=12),SUM('Revenue and costs'!O102:U102)/'Assumptions'!$J$124,0)-IF(4=(13-'Assumptions'!$J$124)-1,'Revenue and costs'!V102+'Revenue and costs'!Y102+'Revenue and costs'!AE102,0)+IF(AND(4&gt;=(13-'Assumptions'!$J$125)+'Assumptions'!$AF$125,4&lt;=12),'Revenue and costs'!N103/'Assumptions'!$J$125,0)-IF(AND(4&gt;=(13-'Assumptions'!$J$125),4&lt;=12),SUM('Revenue and costs'!O103:U103)/'Assumptions'!$J$125,0)-IF(4=(13-'Assumptions'!$J$125)-1,'Revenue and costs'!V103+'Revenue and costs'!Y103+'Revenue and costs'!AE103,0)+IF(AND(4&gt;=(13-'Assumptions'!$J$126)+'Assumptions'!$AF$126,4&lt;=12),'Revenue and costs'!N104/'Assumptions'!$J$126,0)-IF(AND(4&gt;=(13-'Assumptions'!$J$126),4&lt;=12),SUM('Revenue and costs'!O104:U104)/'Assumptions'!$J$126,0)-IF(4=(13-'Assumptions'!$J$126)-1,'Revenue and costs'!V104+'Revenue and costs'!Y104+'Revenue and costs'!AE104,0)+IF(AND(4&gt;=(13-'Assumptions'!$J$127)+'Assumptions'!$AF$127,4&lt;=12),'Revenue and costs'!N105/'Assumptions'!$J$127,0)-IF(AND(4&gt;=(13-'Assumptions'!$J$127),4&lt;=12),SUM('Revenue and costs'!O105:U105)/'Assumptions'!$J$127,0)-IF(4=(13-'Assumptions'!$J$127)-1,'Revenue and costs'!V105+'Revenue and costs'!Y105+'Revenue and costs'!AE105,0)+IF(AND(4&gt;=(13-'Assumptions'!$J$128)+'Assumptions'!$AF$128,4&lt;=12),'Revenue and costs'!N106/'Assumptions'!$J$128,0)-IF(AND(4&gt;=(13-'Assumptions'!$J$128),4&lt;=12),SUM('Revenue and costs'!O106:U106)/'Assumptions'!$J$128,0)-IF(4=(13-'Assumptions'!$J$128)-1,'Revenue and costs'!V106+'Revenue and costs'!Y106+'Revenue and costs'!AE106,0)-'Segment tax'!G35/12</x:f>
        <x:v>-182.6854747696833</x:v>
      </x:c>
      <x:c r="I54" s="24" t="n">
        <x:f>H54+IF(AND(5&gt;=(13-'Assumptions'!$J$123)+'Assumptions'!$AF$123,5&lt;=12),'Revenue and costs'!N101/'Assumptions'!$J$123,0)-IF(AND(5&gt;=(13-'Assumptions'!$J$123),5&lt;=12),SUM('Revenue and costs'!O101:U101)/'Assumptions'!$J$123,0)-IF(5=(13-'Assumptions'!$J$123)-1,'Revenue and costs'!V101+'Revenue and costs'!Y101+'Revenue and costs'!AE101,0)+IF(AND(5&gt;=(13-'Assumptions'!$J$124)+'Assumptions'!$AF$124,5&lt;=12),'Revenue and costs'!N102/'Assumptions'!$J$124,0)-IF(AND(5&gt;=(13-'Assumptions'!$J$124),5&lt;=12),SUM('Revenue and costs'!O102:U102)/'Assumptions'!$J$124,0)-IF(5=(13-'Assumptions'!$J$124)-1,'Revenue and costs'!V102+'Revenue and costs'!Y102+'Revenue and costs'!AE102,0)+IF(AND(5&gt;=(13-'Assumptions'!$J$125)+'Assumptions'!$AF$125,5&lt;=12),'Revenue and costs'!N103/'Assumptions'!$J$125,0)-IF(AND(5&gt;=(13-'Assumptions'!$J$125),5&lt;=12),SUM('Revenue and costs'!O103:U103)/'Assumptions'!$J$125,0)-IF(5=(13-'Assumptions'!$J$125)-1,'Revenue and costs'!V103+'Revenue and costs'!Y103+'Revenue and costs'!AE103,0)+IF(AND(5&gt;=(13-'Assumptions'!$J$126)+'Assumptions'!$AF$126,5&lt;=12),'Revenue and costs'!N104/'Assumptions'!$J$126,0)-IF(AND(5&gt;=(13-'Assumptions'!$J$126),5&lt;=12),SUM('Revenue and costs'!O104:U104)/'Assumptions'!$J$126,0)-IF(5=(13-'Assumptions'!$J$126)-1,'Revenue and costs'!V104+'Revenue and costs'!Y104+'Revenue and costs'!AE104,0)+IF(AND(5&gt;=(13-'Assumptions'!$J$127)+'Assumptions'!$AF$127,5&lt;=12),'Revenue and costs'!N105/'Assumptions'!$J$127,0)-IF(AND(5&gt;=(13-'Assumptions'!$J$127),5&lt;=12),SUM('Revenue and costs'!O105:U105)/'Assumptions'!$J$127,0)-IF(5=(13-'Assumptions'!$J$127)-1,'Revenue and costs'!V105+'Revenue and costs'!Y105+'Revenue and costs'!AE105,0)+IF(AND(5&gt;=(13-'Assumptions'!$J$128)+'Assumptions'!$AF$128,5&lt;=12),'Revenue and costs'!N106/'Assumptions'!$J$128,0)-IF(AND(5&gt;=(13-'Assumptions'!$J$128),5&lt;=12),SUM('Revenue and costs'!O106:U106)/'Assumptions'!$J$128,0)-IF(5=(13-'Assumptions'!$J$128)-1,'Revenue and costs'!V106+'Revenue and costs'!Y106+'Revenue and costs'!AE106,0)-'Segment tax'!G35/12</x:f>
        <x:v>-225.5899996398654</x:v>
      </x:c>
      <x:c r="J54" s="24" t="n">
        <x:f>I54+IF(AND(6&gt;=(13-'Assumptions'!$J$123)+'Assumptions'!$AF$123,6&lt;=12),'Revenue and costs'!N101/'Assumptions'!$J$123,0)-IF(AND(6&gt;=(13-'Assumptions'!$J$123),6&lt;=12),SUM('Revenue and costs'!O101:U101)/'Assumptions'!$J$123,0)-IF(6=(13-'Assumptions'!$J$123)-1,'Revenue and costs'!V101+'Revenue and costs'!Y101+'Revenue and costs'!AE101,0)+IF(AND(6&gt;=(13-'Assumptions'!$J$124)+'Assumptions'!$AF$124,6&lt;=12),'Revenue and costs'!N102/'Assumptions'!$J$124,0)-IF(AND(6&gt;=(13-'Assumptions'!$J$124),6&lt;=12),SUM('Revenue and costs'!O102:U102)/'Assumptions'!$J$124,0)-IF(6=(13-'Assumptions'!$J$124)-1,'Revenue and costs'!V102+'Revenue and costs'!Y102+'Revenue and costs'!AE102,0)+IF(AND(6&gt;=(13-'Assumptions'!$J$125)+'Assumptions'!$AF$125,6&lt;=12),'Revenue and costs'!N103/'Assumptions'!$J$125,0)-IF(AND(6&gt;=(13-'Assumptions'!$J$125),6&lt;=12),SUM('Revenue and costs'!O103:U103)/'Assumptions'!$J$125,0)-IF(6=(13-'Assumptions'!$J$125)-1,'Revenue and costs'!V103+'Revenue and costs'!Y103+'Revenue and costs'!AE103,0)+IF(AND(6&gt;=(13-'Assumptions'!$J$126)+'Assumptions'!$AF$126,6&lt;=12),'Revenue and costs'!N104/'Assumptions'!$J$126,0)-IF(AND(6&gt;=(13-'Assumptions'!$J$126),6&lt;=12),SUM('Revenue and costs'!O104:U104)/'Assumptions'!$J$126,0)-IF(6=(13-'Assumptions'!$J$126)-1,'Revenue and costs'!V104+'Revenue and costs'!Y104+'Revenue and costs'!AE104,0)+IF(AND(6&gt;=(13-'Assumptions'!$J$127)+'Assumptions'!$AF$127,6&lt;=12),'Revenue and costs'!N105/'Assumptions'!$J$127,0)-IF(AND(6&gt;=(13-'Assumptions'!$J$127),6&lt;=12),SUM('Revenue and costs'!O105:U105)/'Assumptions'!$J$127,0)-IF(6=(13-'Assumptions'!$J$127)-1,'Revenue and costs'!V105+'Revenue and costs'!Y105+'Revenue and costs'!AE105,0)+IF(AND(6&gt;=(13-'Assumptions'!$J$128)+'Assumptions'!$AF$128,6&lt;=12),'Revenue and costs'!N106/'Assumptions'!$J$128,0)-IF(AND(6&gt;=(13-'Assumptions'!$J$128),6&lt;=12),SUM('Revenue and costs'!O106:U106)/'Assumptions'!$J$128,0)-IF(6=(13-'Assumptions'!$J$128)-1,'Revenue and costs'!V106+'Revenue and costs'!Y106+'Revenue and costs'!AE106,0)-'Segment tax'!G35/12</x:f>
        <x:v>-268.4945245100475</x:v>
      </x:c>
      <x:c r="K54" s="24" t="n">
        <x:f>J54+IF(AND(7&gt;=(13-'Assumptions'!$J$123)+'Assumptions'!$AF$123,7&lt;=12),'Revenue and costs'!N101/'Assumptions'!$J$123,0)-IF(AND(7&gt;=(13-'Assumptions'!$J$123),7&lt;=12),SUM('Revenue and costs'!O101:U101)/'Assumptions'!$J$123,0)-IF(7=(13-'Assumptions'!$J$123)-1,'Revenue and costs'!V101+'Revenue and costs'!Y101+'Revenue and costs'!AE101,0)+IF(AND(7&gt;=(13-'Assumptions'!$J$124)+'Assumptions'!$AF$124,7&lt;=12),'Revenue and costs'!N102/'Assumptions'!$J$124,0)-IF(AND(7&gt;=(13-'Assumptions'!$J$124),7&lt;=12),SUM('Revenue and costs'!O102:U102)/'Assumptions'!$J$124,0)-IF(7=(13-'Assumptions'!$J$124)-1,'Revenue and costs'!V102+'Revenue and costs'!Y102+'Revenue and costs'!AE102,0)+IF(AND(7&gt;=(13-'Assumptions'!$J$125)+'Assumptions'!$AF$125,7&lt;=12),'Revenue and costs'!N103/'Assumptions'!$J$125,0)-IF(AND(7&gt;=(13-'Assumptions'!$J$125),7&lt;=12),SUM('Revenue and costs'!O103:U103)/'Assumptions'!$J$125,0)-IF(7=(13-'Assumptions'!$J$125)-1,'Revenue and costs'!V103+'Revenue and costs'!Y103+'Revenue and costs'!AE103,0)+IF(AND(7&gt;=(13-'Assumptions'!$J$126)+'Assumptions'!$AF$126,7&lt;=12),'Revenue and costs'!N104/'Assumptions'!$J$126,0)-IF(AND(7&gt;=(13-'Assumptions'!$J$126),7&lt;=12),SUM('Revenue and costs'!O104:U104)/'Assumptions'!$J$126,0)-IF(7=(13-'Assumptions'!$J$126)-1,'Revenue and costs'!V104+'Revenue and costs'!Y104+'Revenue and costs'!AE104,0)+IF(AND(7&gt;=(13-'Assumptions'!$J$127)+'Assumptions'!$AF$127,7&lt;=12),'Revenue and costs'!N105/'Assumptions'!$J$127,0)-IF(AND(7&gt;=(13-'Assumptions'!$J$127),7&lt;=12),SUM('Revenue and costs'!O105:U105)/'Assumptions'!$J$127,0)-IF(7=(13-'Assumptions'!$J$127)-1,'Revenue and costs'!V105+'Revenue and costs'!Y105+'Revenue and costs'!AE105,0)+IF(AND(7&gt;=(13-'Assumptions'!$J$128)+'Assumptions'!$AF$128,7&lt;=12),'Revenue and costs'!N106/'Assumptions'!$J$128,0)-IF(AND(7&gt;=(13-'Assumptions'!$J$128),7&lt;=12),SUM('Revenue and costs'!O106:U106)/'Assumptions'!$J$128,0)-IF(7=(13-'Assumptions'!$J$128)-1,'Revenue and costs'!V106+'Revenue and costs'!Y106+'Revenue and costs'!AE106,0)-'Segment tax'!G35/12</x:f>
        <x:v>298.5222006197704</x:v>
      </x:c>
      <x:c r="L54" s="24" t="n">
        <x:f>K54+IF(AND(8&gt;=(13-'Assumptions'!$J$123)+'Assumptions'!$AF$123,8&lt;=12),'Revenue and costs'!N101/'Assumptions'!$J$123,0)-IF(AND(8&gt;=(13-'Assumptions'!$J$123),8&lt;=12),SUM('Revenue and costs'!O101:U101)/'Assumptions'!$J$123,0)-IF(8=(13-'Assumptions'!$J$123)-1,'Revenue and costs'!V101+'Revenue and costs'!Y101+'Revenue and costs'!AE101,0)+IF(AND(8&gt;=(13-'Assumptions'!$J$124)+'Assumptions'!$AF$124,8&lt;=12),'Revenue and costs'!N102/'Assumptions'!$J$124,0)-IF(AND(8&gt;=(13-'Assumptions'!$J$124),8&lt;=12),SUM('Revenue and costs'!O102:U102)/'Assumptions'!$J$124,0)-IF(8=(13-'Assumptions'!$J$124)-1,'Revenue and costs'!V102+'Revenue and costs'!Y102+'Revenue and costs'!AE102,0)+IF(AND(8&gt;=(13-'Assumptions'!$J$125)+'Assumptions'!$AF$125,8&lt;=12),'Revenue and costs'!N103/'Assumptions'!$J$125,0)-IF(AND(8&gt;=(13-'Assumptions'!$J$125),8&lt;=12),SUM('Revenue and costs'!O103:U103)/'Assumptions'!$J$125,0)-IF(8=(13-'Assumptions'!$J$125)-1,'Revenue and costs'!V103+'Revenue and costs'!Y103+'Revenue and costs'!AE103,0)+IF(AND(8&gt;=(13-'Assumptions'!$J$126)+'Assumptions'!$AF$126,8&lt;=12),'Revenue and costs'!N104/'Assumptions'!$J$126,0)-IF(AND(8&gt;=(13-'Assumptions'!$J$126),8&lt;=12),SUM('Revenue and costs'!O104:U104)/'Assumptions'!$J$126,0)-IF(8=(13-'Assumptions'!$J$126)-1,'Revenue and costs'!V104+'Revenue and costs'!Y104+'Revenue and costs'!AE104,0)+IF(AND(8&gt;=(13-'Assumptions'!$J$127)+'Assumptions'!$AF$127,8&lt;=12),'Revenue and costs'!N105/'Assumptions'!$J$127,0)-IF(AND(8&gt;=(13-'Assumptions'!$J$127),8&lt;=12),SUM('Revenue and costs'!O105:U105)/'Assumptions'!$J$127,0)-IF(8=(13-'Assumptions'!$J$127)-1,'Revenue and costs'!V105+'Revenue and costs'!Y105+'Revenue and costs'!AE105,0)+IF(AND(8&gt;=(13-'Assumptions'!$J$128)+'Assumptions'!$AF$128,8&lt;=12),'Revenue and costs'!N106/'Assumptions'!$J$128,0)-IF(AND(8&gt;=(13-'Assumptions'!$J$128),8&lt;=12),SUM('Revenue and costs'!O106:U106)/'Assumptions'!$J$128,0)-IF(8=(13-'Assumptions'!$J$128)-1,'Revenue and costs'!V106+'Revenue and costs'!Y106+'Revenue and costs'!AE106,0)-'Segment tax'!G35/12</x:f>
        <x:v>865.5389257495884</x:v>
      </x:c>
      <x:c r="M54" s="24" t="n">
        <x:f>L54+IF(AND(9&gt;=(13-'Assumptions'!$J$123)+'Assumptions'!$AF$123,9&lt;=12),'Revenue and costs'!N101/'Assumptions'!$J$123,0)-IF(AND(9&gt;=(13-'Assumptions'!$J$123),9&lt;=12),SUM('Revenue and costs'!O101:U101)/'Assumptions'!$J$123,0)-IF(9=(13-'Assumptions'!$J$123)-1,'Revenue and costs'!V101+'Revenue and costs'!Y101+'Revenue and costs'!AE101,0)+IF(AND(9&gt;=(13-'Assumptions'!$J$124)+'Assumptions'!$AF$124,9&lt;=12),'Revenue and costs'!N102/'Assumptions'!$J$124,0)-IF(AND(9&gt;=(13-'Assumptions'!$J$124),9&lt;=12),SUM('Revenue and costs'!O102:U102)/'Assumptions'!$J$124,0)-IF(9=(13-'Assumptions'!$J$124)-1,'Revenue and costs'!V102+'Revenue and costs'!Y102+'Revenue and costs'!AE102,0)+IF(AND(9&gt;=(13-'Assumptions'!$J$125)+'Assumptions'!$AF$125,9&lt;=12),'Revenue and costs'!N103/'Assumptions'!$J$125,0)-IF(AND(9&gt;=(13-'Assumptions'!$J$125),9&lt;=12),SUM('Revenue and costs'!O103:U103)/'Assumptions'!$J$125,0)-IF(9=(13-'Assumptions'!$J$125)-1,'Revenue and costs'!V103+'Revenue and costs'!Y103+'Revenue and costs'!AE103,0)+IF(AND(9&gt;=(13-'Assumptions'!$J$126)+'Assumptions'!$AF$126,9&lt;=12),'Revenue and costs'!N104/'Assumptions'!$J$126,0)-IF(AND(9&gt;=(13-'Assumptions'!$J$126),9&lt;=12),SUM('Revenue and costs'!O104:U104)/'Assumptions'!$J$126,0)-IF(9=(13-'Assumptions'!$J$126)-1,'Revenue and costs'!V104+'Revenue and costs'!Y104+'Revenue and costs'!AE104,0)+IF(AND(9&gt;=(13-'Assumptions'!$J$127)+'Assumptions'!$AF$127,9&lt;=12),'Revenue and costs'!N105/'Assumptions'!$J$127,0)-IF(AND(9&gt;=(13-'Assumptions'!$J$127),9&lt;=12),SUM('Revenue and costs'!O105:U105)/'Assumptions'!$J$127,0)-IF(9=(13-'Assumptions'!$J$127)-1,'Revenue and costs'!V105+'Revenue and costs'!Y105+'Revenue and costs'!AE105,0)+IF(AND(9&gt;=(13-'Assumptions'!$J$128)+'Assumptions'!$AF$128,9&lt;=12),'Revenue and costs'!N106/'Assumptions'!$J$128,0)-IF(AND(9&gt;=(13-'Assumptions'!$J$128),9&lt;=12),SUM('Revenue and costs'!O106:U106)/'Assumptions'!$J$128,0)-IF(9=(13-'Assumptions'!$J$128)-1,'Revenue and costs'!V106+'Revenue and costs'!Y106+'Revenue and costs'!AE106,0)-'Segment tax'!G35/12</x:f>
        <x:v>1432.5556508794064</x:v>
      </x:c>
      <x:c r="N54" s="24" t="n">
        <x:f>M54+IF(AND(10&gt;=(13-'Assumptions'!$J$123)+'Assumptions'!$AF$123,10&lt;=12),'Revenue and costs'!N101/'Assumptions'!$J$123,0)-IF(AND(10&gt;=(13-'Assumptions'!$J$123),10&lt;=12),SUM('Revenue and costs'!O101:U101)/'Assumptions'!$J$123,0)-IF(10=(13-'Assumptions'!$J$123)-1,'Revenue and costs'!V101+'Revenue and costs'!Y101+'Revenue and costs'!AE101,0)+IF(AND(10&gt;=(13-'Assumptions'!$J$124)+'Assumptions'!$AF$124,10&lt;=12),'Revenue and costs'!N102/'Assumptions'!$J$124,0)-IF(AND(10&gt;=(13-'Assumptions'!$J$124),10&lt;=12),SUM('Revenue and costs'!O102:U102)/'Assumptions'!$J$124,0)-IF(10=(13-'Assumptions'!$J$124)-1,'Revenue and costs'!V102+'Revenue and costs'!Y102+'Revenue and costs'!AE102,0)+IF(AND(10&gt;=(13-'Assumptions'!$J$125)+'Assumptions'!$AF$125,10&lt;=12),'Revenue and costs'!N103/'Assumptions'!$J$125,0)-IF(AND(10&gt;=(13-'Assumptions'!$J$125),10&lt;=12),SUM('Revenue and costs'!O103:U103)/'Assumptions'!$J$125,0)-IF(10=(13-'Assumptions'!$J$125)-1,'Revenue and costs'!V103+'Revenue and costs'!Y103+'Revenue and costs'!AE103,0)+IF(AND(10&gt;=(13-'Assumptions'!$J$126)+'Assumptions'!$AF$126,10&lt;=12),'Revenue and costs'!N104/'Assumptions'!$J$126,0)-IF(AND(10&gt;=(13-'Assumptions'!$J$126),10&lt;=12),SUM('Revenue and costs'!O104:U104)/'Assumptions'!$J$126,0)-IF(10=(13-'Assumptions'!$J$126)-1,'Revenue and costs'!V104+'Revenue and costs'!Y104+'Revenue and costs'!AE104,0)+IF(AND(10&gt;=(13-'Assumptions'!$J$127)+'Assumptions'!$AF$127,10&lt;=12),'Revenue and costs'!N105/'Assumptions'!$J$127,0)-IF(AND(10&gt;=(13-'Assumptions'!$J$127),10&lt;=12),SUM('Revenue and costs'!O105:U105)/'Assumptions'!$J$127,0)-IF(10=(13-'Assumptions'!$J$127)-1,'Revenue and costs'!V105+'Revenue and costs'!Y105+'Revenue and costs'!AE105,0)+IF(AND(10&gt;=(13-'Assumptions'!$J$128)+'Assumptions'!$AF$128,10&lt;=12),'Revenue and costs'!N106/'Assumptions'!$J$128,0)-IF(AND(10&gt;=(13-'Assumptions'!$J$128),10&lt;=12),SUM('Revenue and costs'!O106:U106)/'Assumptions'!$J$128,0)-IF(10=(13-'Assumptions'!$J$128)-1,'Revenue and costs'!V106+'Revenue and costs'!Y106+'Revenue and costs'!AE106,0)-'Segment tax'!G35/12</x:f>
        <x:v>1999.5723760092242</x:v>
      </x:c>
      <x:c r="O54" s="24" t="n">
        <x:f>N54+IF(AND(11&gt;=(13-'Assumptions'!$J$123)+'Assumptions'!$AF$123,11&lt;=12),'Revenue and costs'!N101/'Assumptions'!$J$123,0)-IF(AND(11&gt;=(13-'Assumptions'!$J$123),11&lt;=12),SUM('Revenue and costs'!O101:U101)/'Assumptions'!$J$123,0)-IF(11=(13-'Assumptions'!$J$123)-1,'Revenue and costs'!V101+'Revenue and costs'!Y101+'Revenue and costs'!AE101,0)+IF(AND(11&gt;=(13-'Assumptions'!$J$124)+'Assumptions'!$AF$124,11&lt;=12),'Revenue and costs'!N102/'Assumptions'!$J$124,0)-IF(AND(11&gt;=(13-'Assumptions'!$J$124),11&lt;=12),SUM('Revenue and costs'!O102:U102)/'Assumptions'!$J$124,0)-IF(11=(13-'Assumptions'!$J$124)-1,'Revenue and costs'!V102+'Revenue and costs'!Y102+'Revenue and costs'!AE102,0)+IF(AND(11&gt;=(13-'Assumptions'!$J$125)+'Assumptions'!$AF$125,11&lt;=12),'Revenue and costs'!N103/'Assumptions'!$J$125,0)-IF(AND(11&gt;=(13-'Assumptions'!$J$125),11&lt;=12),SUM('Revenue and costs'!O103:U103)/'Assumptions'!$J$125,0)-IF(11=(13-'Assumptions'!$J$125)-1,'Revenue and costs'!V103+'Revenue and costs'!Y103+'Revenue and costs'!AE103,0)+IF(AND(11&gt;=(13-'Assumptions'!$J$126)+'Assumptions'!$AF$126,11&lt;=12),'Revenue and costs'!N104/'Assumptions'!$J$126,0)-IF(AND(11&gt;=(13-'Assumptions'!$J$126),11&lt;=12),SUM('Revenue and costs'!O104:U104)/'Assumptions'!$J$126,0)-IF(11=(13-'Assumptions'!$J$126)-1,'Revenue and costs'!V104+'Revenue and costs'!Y104+'Revenue and costs'!AE104,0)+IF(AND(11&gt;=(13-'Assumptions'!$J$127)+'Assumptions'!$AF$127,11&lt;=12),'Revenue and costs'!N105/'Assumptions'!$J$127,0)-IF(AND(11&gt;=(13-'Assumptions'!$J$127),11&lt;=12),SUM('Revenue and costs'!O105:U105)/'Assumptions'!$J$127,0)-IF(11=(13-'Assumptions'!$J$127)-1,'Revenue and costs'!V105+'Revenue and costs'!Y105+'Revenue and costs'!AE105,0)+IF(AND(11&gt;=(13-'Assumptions'!$J$128)+'Assumptions'!$AF$128,11&lt;=12),'Revenue and costs'!N106/'Assumptions'!$J$128,0)-IF(AND(11&gt;=(13-'Assumptions'!$J$128),11&lt;=12),SUM('Revenue and costs'!O106:U106)/'Assumptions'!$J$128,0)-IF(11=(13-'Assumptions'!$J$128)-1,'Revenue and costs'!V106+'Revenue and costs'!Y106+'Revenue and costs'!AE106,0)-'Segment tax'!G35/12</x:f>
        <x:v>2566.5891011390427</x:v>
      </x:c>
      <x:c r="P54" s="24" t="n">
        <x:f>O54+IF(AND(12&gt;=(13-'Assumptions'!$J$123)+'Assumptions'!$AF$123,12&lt;=12),'Revenue and costs'!N101/'Assumptions'!$J$123,0)-IF(AND(12&gt;=(13-'Assumptions'!$J$123),12&lt;=12),SUM('Revenue and costs'!O101:U101)/'Assumptions'!$J$123,0)-IF(12=(13-'Assumptions'!$J$123)-1,'Revenue and costs'!V101+'Revenue and costs'!Y101+'Revenue and costs'!AE101,0)+IF(AND(12&gt;=(13-'Assumptions'!$J$124)+'Assumptions'!$AF$124,12&lt;=12),'Revenue and costs'!N102/'Assumptions'!$J$124,0)-IF(AND(12&gt;=(13-'Assumptions'!$J$124),12&lt;=12),SUM('Revenue and costs'!O102:U102)/'Assumptions'!$J$124,0)-IF(12=(13-'Assumptions'!$J$124)-1,'Revenue and costs'!V102+'Revenue and costs'!Y102+'Revenue and costs'!AE102,0)+IF(AND(12&gt;=(13-'Assumptions'!$J$125)+'Assumptions'!$AF$125,12&lt;=12),'Revenue and costs'!N103/'Assumptions'!$J$125,0)-IF(AND(12&gt;=(13-'Assumptions'!$J$125),12&lt;=12),SUM('Revenue and costs'!O103:U103)/'Assumptions'!$J$125,0)-IF(12=(13-'Assumptions'!$J$125)-1,'Revenue and costs'!V103+'Revenue and costs'!Y103+'Revenue and costs'!AE103,0)+IF(AND(12&gt;=(13-'Assumptions'!$J$126)+'Assumptions'!$AF$126,12&lt;=12),'Revenue and costs'!N104/'Assumptions'!$J$126,0)-IF(AND(12&gt;=(13-'Assumptions'!$J$126),12&lt;=12),SUM('Revenue and costs'!O104:U104)/'Assumptions'!$J$126,0)-IF(12=(13-'Assumptions'!$J$126)-1,'Revenue and costs'!V104+'Revenue and costs'!Y104+'Revenue and costs'!AE104,0)+IF(AND(12&gt;=(13-'Assumptions'!$J$127)+'Assumptions'!$AF$127,12&lt;=12),'Revenue and costs'!N105/'Assumptions'!$J$127,0)-IF(AND(12&gt;=(13-'Assumptions'!$J$127),12&lt;=12),SUM('Revenue and costs'!O105:U105)/'Assumptions'!$J$127,0)-IF(12=(13-'Assumptions'!$J$127)-1,'Revenue and costs'!V105+'Revenue and costs'!Y105+'Revenue and costs'!AE105,0)+IF(AND(12&gt;=(13-'Assumptions'!$J$128)+'Assumptions'!$AF$128,12&lt;=12),'Revenue and costs'!N106/'Assumptions'!$J$128,0)-IF(AND(12&gt;=(13-'Assumptions'!$J$128),12&lt;=12),SUM('Revenue and costs'!O106:U106)/'Assumptions'!$J$128,0)-IF(12=(13-'Assumptions'!$J$128)-1,'Revenue and costs'!V106+'Revenue and costs'!Y106+'Revenue and costs'!AE106,0)-'Segment tax'!G35/12-'Segment tax'!L35</x:f>
        <x:v>2348.359807153487</x:v>
      </x:c>
      <x:c r="Q54" s="24" t="n">
        <x:f>MAX(0,-MIN(D54:P54))</x:f>
        <x:v>268.4945245100475</x:v>
      </x:c>
    </x:row>
    <x:row r="55" ht="30" customHeight="1">
      <x:c r="A55" s="1"/>
      <x:c r="B55" s="1"/>
      <x:c r="C55" s="23" t="str">
        <x:v>Semajes courses</x:v>
      </x:c>
      <x:c r="D55" s="24" t="n">
        <x:f>IF(AND(0&gt;=(13-'Assumptions'!$J$129)+'Assumptions'!$AF$129,0&lt;=12),'Revenue and costs'!N107/'Assumptions'!$J$129,0)-IF(AND(0&gt;=(13-'Assumptions'!$J$129),0&lt;=12),SUM('Revenue and costs'!O107:U107)/'Assumptions'!$J$129,0)-IF(0=(13-'Assumptions'!$J$129)-1,'Revenue and costs'!V107+'Revenue and costs'!Y107+'Revenue and costs'!AE107,0)-IF('Income statement'!D50=0,1/39,'Segment tax'!E36/'Income statement'!D50)*'Cash and capital'!D13</x:f>
        <x:v>-10.033962873364828</x:v>
      </x:c>
      <x:c r="E55" s="24" t="n">
        <x:f>D55+IF(AND(1&gt;=(13-'Assumptions'!$J$129)+'Assumptions'!$AF$129,1&lt;=12),'Revenue and costs'!N107/'Assumptions'!$J$129,0)-IF(AND(1&gt;=(13-'Assumptions'!$J$129),1&lt;=12),SUM('Revenue and costs'!O107:U107)/'Assumptions'!$J$129,0)-IF(1=(13-'Assumptions'!$J$129)-1,'Revenue and costs'!V107+'Revenue and costs'!Y107+'Revenue and costs'!AE107,0)-'Segment tax'!G36/12</x:f>
        <x:v>-48.93229227910914</x:v>
      </x:c>
      <x:c r="F55" s="24" t="n">
        <x:f>E55+IF(AND(2&gt;=(13-'Assumptions'!$J$129)+'Assumptions'!$AF$129,2&lt;=12),'Revenue and costs'!N107/'Assumptions'!$J$129,0)-IF(AND(2&gt;=(13-'Assumptions'!$J$129),2&lt;=12),SUM('Revenue and costs'!O107:U107)/'Assumptions'!$J$129,0)-IF(2=(13-'Assumptions'!$J$129)-1,'Revenue and costs'!V107+'Revenue and costs'!Y107+'Revenue and costs'!AE107,0)-'Segment tax'!G36/12</x:f>
        <x:v>-87.83062168485345</x:v>
      </x:c>
      <x:c r="G55" s="24" t="n">
        <x:f>F55+IF(AND(3&gt;=(13-'Assumptions'!$J$129)+'Assumptions'!$AF$129,3&lt;=12),'Revenue and costs'!N107/'Assumptions'!$J$129,0)-IF(AND(3&gt;=(13-'Assumptions'!$J$129),3&lt;=12),SUM('Revenue and costs'!O107:U107)/'Assumptions'!$J$129,0)-IF(3=(13-'Assumptions'!$J$129)-1,'Revenue and costs'!V107+'Revenue and costs'!Y107+'Revenue and costs'!AE107,0)-'Segment tax'!G36/12</x:f>
        <x:v>-126.72895109059777</x:v>
      </x:c>
      <x:c r="H55" s="24" t="n">
        <x:f>G55+IF(AND(4&gt;=(13-'Assumptions'!$J$129)+'Assumptions'!$AF$129,4&lt;=12),'Revenue and costs'!N107/'Assumptions'!$J$129,0)-IF(AND(4&gt;=(13-'Assumptions'!$J$129),4&lt;=12),SUM('Revenue and costs'!O107:U107)/'Assumptions'!$J$129,0)-IF(4=(13-'Assumptions'!$J$129)-1,'Revenue and costs'!V107+'Revenue and costs'!Y107+'Revenue and costs'!AE107,0)-'Segment tax'!G36/12</x:f>
        <x:v>359.52271950365775</x:v>
      </x:c>
      <x:c r="I55" s="24" t="n">
        <x:f>H55+IF(AND(5&gt;=(13-'Assumptions'!$J$129)+'Assumptions'!$AF$129,5&lt;=12),'Revenue and costs'!N107/'Assumptions'!$J$129,0)-IF(AND(5&gt;=(13-'Assumptions'!$J$129),5&lt;=12),SUM('Revenue and costs'!O107:U107)/'Assumptions'!$J$129,0)-IF(5=(13-'Assumptions'!$J$129)-1,'Revenue and costs'!V107+'Revenue and costs'!Y107+'Revenue and costs'!AE107,0)-'Segment tax'!G36/12</x:f>
        <x:v>845.7743900979133</x:v>
      </x:c>
      <x:c r="J55" s="24" t="n">
        <x:f>I55+IF(AND(6&gt;=(13-'Assumptions'!$J$129)+'Assumptions'!$AF$129,6&lt;=12),'Revenue and costs'!N107/'Assumptions'!$J$129,0)-IF(AND(6&gt;=(13-'Assumptions'!$J$129),6&lt;=12),SUM('Revenue and costs'!O107:U107)/'Assumptions'!$J$129,0)-IF(6=(13-'Assumptions'!$J$129)-1,'Revenue and costs'!V107+'Revenue and costs'!Y107+'Revenue and costs'!AE107,0)-'Segment tax'!G36/12</x:f>
        <x:v>1332.0260606921688</x:v>
      </x:c>
      <x:c r="K55" s="24" t="n">
        <x:f>J55+IF(AND(7&gt;=(13-'Assumptions'!$J$129)+'Assumptions'!$AF$129,7&lt;=12),'Revenue and costs'!N107/'Assumptions'!$J$129,0)-IF(AND(7&gt;=(13-'Assumptions'!$J$129),7&lt;=12),SUM('Revenue and costs'!O107:U107)/'Assumptions'!$J$129,0)-IF(7=(13-'Assumptions'!$J$129)-1,'Revenue and costs'!V107+'Revenue and costs'!Y107+'Revenue and costs'!AE107,0)-'Segment tax'!G36/12</x:f>
        <x:v>1818.2777312864243</x:v>
      </x:c>
      <x:c r="L55" s="24" t="n">
        <x:f>K55+IF(AND(8&gt;=(13-'Assumptions'!$J$129)+'Assumptions'!$AF$129,8&lt;=12),'Revenue and costs'!N107/'Assumptions'!$J$129,0)-IF(AND(8&gt;=(13-'Assumptions'!$J$129),8&lt;=12),SUM('Revenue and costs'!O107:U107)/'Assumptions'!$J$129,0)-IF(8=(13-'Assumptions'!$J$129)-1,'Revenue and costs'!V107+'Revenue and costs'!Y107+'Revenue and costs'!AE107,0)-'Segment tax'!G36/12</x:f>
        <x:v>2304.52940188068</x:v>
      </x:c>
      <x:c r="M55" s="24" t="n">
        <x:f>L55+IF(AND(9&gt;=(13-'Assumptions'!$J$129)+'Assumptions'!$AF$129,9&lt;=12),'Revenue and costs'!N107/'Assumptions'!$J$129,0)-IF(AND(9&gt;=(13-'Assumptions'!$J$129),9&lt;=12),SUM('Revenue and costs'!O107:U107)/'Assumptions'!$J$129,0)-IF(9=(13-'Assumptions'!$J$129)-1,'Revenue and costs'!V107+'Revenue and costs'!Y107+'Revenue and costs'!AE107,0)-'Segment tax'!G36/12</x:f>
        <x:v>2790.7810724749356</x:v>
      </x:c>
      <x:c r="N55" s="24" t="n">
        <x:f>M55+IF(AND(10&gt;=(13-'Assumptions'!$J$129)+'Assumptions'!$AF$129,10&lt;=12),'Revenue and costs'!N107/'Assumptions'!$J$129,0)-IF(AND(10&gt;=(13-'Assumptions'!$J$129),10&lt;=12),SUM('Revenue and costs'!O107:U107)/'Assumptions'!$J$129,0)-IF(10=(13-'Assumptions'!$J$129)-1,'Revenue and costs'!V107+'Revenue and costs'!Y107+'Revenue and costs'!AE107,0)-'Segment tax'!G36/12</x:f>
        <x:v>3277.0327430691914</x:v>
      </x:c>
      <x:c r="O55" s="24" t="n">
        <x:f>N55+IF(AND(11&gt;=(13-'Assumptions'!$J$129)+'Assumptions'!$AF$129,11&lt;=12),'Revenue and costs'!N107/'Assumptions'!$J$129,0)-IF(AND(11&gt;=(13-'Assumptions'!$J$129),11&lt;=12),SUM('Revenue and costs'!O107:U107)/'Assumptions'!$J$129,0)-IF(11=(13-'Assumptions'!$J$129)-1,'Revenue and costs'!V107+'Revenue and costs'!Y107+'Revenue and costs'!AE107,0)-'Segment tax'!G36/12</x:f>
        <x:v>3763.284413663447</x:v>
      </x:c>
      <x:c r="P55" s="24" t="n">
        <x:f>O55+IF(AND(12&gt;=(13-'Assumptions'!$J$129)+'Assumptions'!$AF$129,12&lt;=12),'Revenue and costs'!N107/'Assumptions'!$J$129,0)-IF(AND(12&gt;=(13-'Assumptions'!$J$129),12&lt;=12),SUM('Revenue and costs'!O107:U107)/'Assumptions'!$J$129,0)-IF(12=(13-'Assumptions'!$J$129)-1,'Revenue and costs'!V107+'Revenue and costs'!Y107+'Revenue and costs'!AE107,0)-'Segment tax'!G36/12-'Segment tax'!L36</x:f>
        <x:v>3185.4797360477164</x:v>
      </x:c>
      <x:c r="Q55" s="24" t="n">
        <x:f>MAX(0,-MIN(D55:P55))</x:f>
        <x:v>126.72895109059777</x:v>
      </x:c>
    </x:row>
    <x:row r="56" ht="30" customHeight="1">
      <x:c r="A56" s="1"/>
      <x:c r="B56" s="1"/>
      <x:c r="C56" s="23" t="str">
        <x:v>Sleepy Face</x:v>
      </x:c>
      <x:c r="D56" s="24" t="n">
        <x:f>IF(AND(0&gt;=(13-'Assumptions'!$J$130)+'Assumptions'!$AF$130,0&lt;=12),'Revenue and costs'!N108/'Assumptions'!$J$130,0)-IF(AND(0&gt;=(13-'Assumptions'!$J$130),0&lt;=12),SUM('Revenue and costs'!O108:U108)/'Assumptions'!$J$130,0)-IF(0=(13-'Assumptions'!$J$130)-1,'Revenue and costs'!V108+'Revenue and costs'!Y108+'Revenue and costs'!AE108,0)+IF(AND(0&gt;=(13-'Assumptions'!$J$131)+'Assumptions'!$AF$131,0&lt;=12),'Revenue and costs'!N109/'Assumptions'!$J$131,0)-IF(AND(0&gt;=(13-'Assumptions'!$J$131),0&lt;=12),SUM('Revenue and costs'!O109:U109)/'Assumptions'!$J$131,0)-IF(0=(13-'Assumptions'!$J$131)-1,'Revenue and costs'!V109+'Revenue and costs'!Y109+'Revenue and costs'!AE109,0)+IF(AND(0&gt;=(13-'Assumptions'!$J$132)+'Assumptions'!$AF$132,0&lt;=12),'Revenue and costs'!N110/'Assumptions'!$J$132,0)-IF(AND(0&gt;=(13-'Assumptions'!$J$132),0&lt;=12),SUM('Revenue and costs'!O110:U110)/'Assumptions'!$J$132,0)-IF(0=(13-'Assumptions'!$J$132)-1,'Revenue and costs'!V110+'Revenue and costs'!Y110+'Revenue and costs'!AE110,0)+IF(AND(0&gt;=(13-'Assumptions'!$J$133)+'Assumptions'!$AF$133,0&lt;=12),'Revenue and costs'!N111/'Assumptions'!$J$133,0)-IF(AND(0&gt;=(13-'Assumptions'!$J$133),0&lt;=12),SUM('Revenue and costs'!O111:U111)/'Assumptions'!$J$133,0)-IF(0=(13-'Assumptions'!$J$133)-1,'Revenue and costs'!V111+'Revenue and costs'!Y111+'Revenue and costs'!AE111,0)+IF(AND(0&gt;=(13-'Assumptions'!$J$134)+'Assumptions'!$AF$134,0&lt;=12),'Revenue and costs'!N112/'Assumptions'!$J$134,0)-IF(AND(0&gt;=(13-'Assumptions'!$J$134),0&lt;=12),SUM('Revenue and costs'!O112:U112)/'Assumptions'!$J$134,0)-IF(0=(13-'Assumptions'!$J$134)-1,'Revenue and costs'!V112+'Revenue and costs'!Y112+'Revenue and costs'!AE112,0)-IF('Income statement'!D50=0,1/39,'Segment tax'!E37/'Income statement'!D50)*'Cash and capital'!D13</x:f>
        <x:v>-95.4857688186978</x:v>
      </x:c>
      <x:c r="E56" s="24" t="n">
        <x:f>D56+IF(AND(1&gt;=(13-'Assumptions'!$J$130)+'Assumptions'!$AF$130,1&lt;=12),'Revenue and costs'!N108/'Assumptions'!$J$130,0)-IF(AND(1&gt;=(13-'Assumptions'!$J$130),1&lt;=12),SUM('Revenue and costs'!O108:U108)/'Assumptions'!$J$130,0)-IF(1=(13-'Assumptions'!$J$130)-1,'Revenue and costs'!V108+'Revenue and costs'!Y108+'Revenue and costs'!AE108,0)+IF(AND(1&gt;=(13-'Assumptions'!$J$131)+'Assumptions'!$AF$131,1&lt;=12),'Revenue and costs'!N109/'Assumptions'!$J$131,0)-IF(AND(1&gt;=(13-'Assumptions'!$J$131),1&lt;=12),SUM('Revenue and costs'!O109:U109)/'Assumptions'!$J$131,0)-IF(1=(13-'Assumptions'!$J$131)-1,'Revenue and costs'!V109+'Revenue and costs'!Y109+'Revenue and costs'!AE109,0)+IF(AND(1&gt;=(13-'Assumptions'!$J$132)+'Assumptions'!$AF$132,1&lt;=12),'Revenue and costs'!N110/'Assumptions'!$J$132,0)-IF(AND(1&gt;=(13-'Assumptions'!$J$132),1&lt;=12),SUM('Revenue and costs'!O110:U110)/'Assumptions'!$J$132,0)-IF(1=(13-'Assumptions'!$J$132)-1,'Revenue and costs'!V110+'Revenue and costs'!Y110+'Revenue and costs'!AE110,0)+IF(AND(1&gt;=(13-'Assumptions'!$J$133)+'Assumptions'!$AF$133,1&lt;=12),'Revenue and costs'!N111/'Assumptions'!$J$133,0)-IF(AND(1&gt;=(13-'Assumptions'!$J$133),1&lt;=12),SUM('Revenue and costs'!O111:U111)/'Assumptions'!$J$133,0)-IF(1=(13-'Assumptions'!$J$133)-1,'Revenue and costs'!V111+'Revenue and costs'!Y111+'Revenue and costs'!AE111,0)+IF(AND(1&gt;=(13-'Assumptions'!$J$134)+'Assumptions'!$AF$134,1&lt;=12),'Revenue and costs'!N112/'Assumptions'!$J$134,0)-IF(AND(1&gt;=(13-'Assumptions'!$J$134),1&lt;=12),SUM('Revenue and costs'!O112:U112)/'Assumptions'!$J$134,0)-IF(1=(13-'Assumptions'!$J$134)-1,'Revenue and costs'!V112+'Revenue and costs'!Y112+'Revenue and costs'!AE112,0)-'Segment tax'!G37/12</x:f>
        <x:v>-465.652265939183</x:v>
      </x:c>
      <x:c r="F56" s="24" t="n">
        <x:f>E56+IF(AND(2&gt;=(13-'Assumptions'!$J$130)+'Assumptions'!$AF$130,2&lt;=12),'Revenue and costs'!N108/'Assumptions'!$J$130,0)-IF(AND(2&gt;=(13-'Assumptions'!$J$130),2&lt;=12),SUM('Revenue and costs'!O108:U108)/'Assumptions'!$J$130,0)-IF(2=(13-'Assumptions'!$J$130)-1,'Revenue and costs'!V108+'Revenue and costs'!Y108+'Revenue and costs'!AE108,0)+IF(AND(2&gt;=(13-'Assumptions'!$J$131)+'Assumptions'!$AF$131,2&lt;=12),'Revenue and costs'!N109/'Assumptions'!$J$131,0)-IF(AND(2&gt;=(13-'Assumptions'!$J$131),2&lt;=12),SUM('Revenue and costs'!O109:U109)/'Assumptions'!$J$131,0)-IF(2=(13-'Assumptions'!$J$131)-1,'Revenue and costs'!V109+'Revenue and costs'!Y109+'Revenue and costs'!AE109,0)+IF(AND(2&gt;=(13-'Assumptions'!$J$132)+'Assumptions'!$AF$132,2&lt;=12),'Revenue and costs'!N110/'Assumptions'!$J$132,0)-IF(AND(2&gt;=(13-'Assumptions'!$J$132),2&lt;=12),SUM('Revenue and costs'!O110:U110)/'Assumptions'!$J$132,0)-IF(2=(13-'Assumptions'!$J$132)-1,'Revenue and costs'!V110+'Revenue and costs'!Y110+'Revenue and costs'!AE110,0)+IF(AND(2&gt;=(13-'Assumptions'!$J$133)+'Assumptions'!$AF$133,2&lt;=12),'Revenue and costs'!N111/'Assumptions'!$J$133,0)-IF(AND(2&gt;=(13-'Assumptions'!$J$133),2&lt;=12),SUM('Revenue and costs'!O111:U111)/'Assumptions'!$J$133,0)-IF(2=(13-'Assumptions'!$J$133)-1,'Revenue and costs'!V111+'Revenue and costs'!Y111+'Revenue and costs'!AE111,0)+IF(AND(2&gt;=(13-'Assumptions'!$J$134)+'Assumptions'!$AF$134,2&lt;=12),'Revenue and costs'!N112/'Assumptions'!$J$134,0)-IF(AND(2&gt;=(13-'Assumptions'!$J$134),2&lt;=12),SUM('Revenue and costs'!O112:U112)/'Assumptions'!$J$134,0)-IF(2=(13-'Assumptions'!$J$134)-1,'Revenue and costs'!V112+'Revenue and costs'!Y112+'Revenue and costs'!AE112,0)-'Segment tax'!G37/12</x:f>
        <x:v>-835.8187630596682</x:v>
      </x:c>
      <x:c r="G56" s="24" t="n">
        <x:f>F56+IF(AND(3&gt;=(13-'Assumptions'!$J$130)+'Assumptions'!$AF$130,3&lt;=12),'Revenue and costs'!N108/'Assumptions'!$J$130,0)-IF(AND(3&gt;=(13-'Assumptions'!$J$130),3&lt;=12),SUM('Revenue and costs'!O108:U108)/'Assumptions'!$J$130,0)-IF(3=(13-'Assumptions'!$J$130)-1,'Revenue and costs'!V108+'Revenue and costs'!Y108+'Revenue and costs'!AE108,0)+IF(AND(3&gt;=(13-'Assumptions'!$J$131)+'Assumptions'!$AF$131,3&lt;=12),'Revenue and costs'!N109/'Assumptions'!$J$131,0)-IF(AND(3&gt;=(13-'Assumptions'!$J$131),3&lt;=12),SUM('Revenue and costs'!O109:U109)/'Assumptions'!$J$131,0)-IF(3=(13-'Assumptions'!$J$131)-1,'Revenue and costs'!V109+'Revenue and costs'!Y109+'Revenue and costs'!AE109,0)+IF(AND(3&gt;=(13-'Assumptions'!$J$132)+'Assumptions'!$AF$132,3&lt;=12),'Revenue and costs'!N110/'Assumptions'!$J$132,0)-IF(AND(3&gt;=(13-'Assumptions'!$J$132),3&lt;=12),SUM('Revenue and costs'!O110:U110)/'Assumptions'!$J$132,0)-IF(3=(13-'Assumptions'!$J$132)-1,'Revenue and costs'!V110+'Revenue and costs'!Y110+'Revenue and costs'!AE110,0)+IF(AND(3&gt;=(13-'Assumptions'!$J$133)+'Assumptions'!$AF$133,3&lt;=12),'Revenue and costs'!N111/'Assumptions'!$J$133,0)-IF(AND(3&gt;=(13-'Assumptions'!$J$133),3&lt;=12),SUM('Revenue and costs'!O111:U111)/'Assumptions'!$J$133,0)-IF(3=(13-'Assumptions'!$J$133)-1,'Revenue and costs'!V111+'Revenue and costs'!Y111+'Revenue and costs'!AE111,0)+IF(AND(3&gt;=(13-'Assumptions'!$J$134)+'Assumptions'!$AF$134,3&lt;=12),'Revenue and costs'!N112/'Assumptions'!$J$134,0)-IF(AND(3&gt;=(13-'Assumptions'!$J$134),3&lt;=12),SUM('Revenue and costs'!O112:U112)/'Assumptions'!$J$134,0)-IF(3=(13-'Assumptions'!$J$134)-1,'Revenue and costs'!V112+'Revenue and costs'!Y112+'Revenue and costs'!AE112,0)-'Segment tax'!G37/12</x:f>
        <x:v>-1205.9852601801533</x:v>
      </x:c>
      <x:c r="H56" s="24" t="n">
        <x:f>G56+IF(AND(4&gt;=(13-'Assumptions'!$J$130)+'Assumptions'!$AF$130,4&lt;=12),'Revenue and costs'!N108/'Assumptions'!$J$130,0)-IF(AND(4&gt;=(13-'Assumptions'!$J$130),4&lt;=12),SUM('Revenue and costs'!O108:U108)/'Assumptions'!$J$130,0)-IF(4=(13-'Assumptions'!$J$130)-1,'Revenue and costs'!V108+'Revenue and costs'!Y108+'Revenue and costs'!AE108,0)+IF(AND(4&gt;=(13-'Assumptions'!$J$131)+'Assumptions'!$AF$131,4&lt;=12),'Revenue and costs'!N109/'Assumptions'!$J$131,0)-IF(AND(4&gt;=(13-'Assumptions'!$J$131),4&lt;=12),SUM('Revenue and costs'!O109:U109)/'Assumptions'!$J$131,0)-IF(4=(13-'Assumptions'!$J$131)-1,'Revenue and costs'!V109+'Revenue and costs'!Y109+'Revenue and costs'!AE109,0)+IF(AND(4&gt;=(13-'Assumptions'!$J$132)+'Assumptions'!$AF$132,4&lt;=12),'Revenue and costs'!N110/'Assumptions'!$J$132,0)-IF(AND(4&gt;=(13-'Assumptions'!$J$132),4&lt;=12),SUM('Revenue and costs'!O110:U110)/'Assumptions'!$J$132,0)-IF(4=(13-'Assumptions'!$J$132)-1,'Revenue and costs'!V110+'Revenue and costs'!Y110+'Revenue and costs'!AE110,0)+IF(AND(4&gt;=(13-'Assumptions'!$J$133)+'Assumptions'!$AF$133,4&lt;=12),'Revenue and costs'!N111/'Assumptions'!$J$133,0)-IF(AND(4&gt;=(13-'Assumptions'!$J$133),4&lt;=12),SUM('Revenue and costs'!O111:U111)/'Assumptions'!$J$133,0)-IF(4=(13-'Assumptions'!$J$133)-1,'Revenue and costs'!V111+'Revenue and costs'!Y111+'Revenue and costs'!AE111,0)+IF(AND(4&gt;=(13-'Assumptions'!$J$134)+'Assumptions'!$AF$134,4&lt;=12),'Revenue and costs'!N112/'Assumptions'!$J$134,0)-IF(AND(4&gt;=(13-'Assumptions'!$J$134),4&lt;=12),SUM('Revenue and costs'!O112:U112)/'Assumptions'!$J$134,0)-IF(4=(13-'Assumptions'!$J$134)-1,'Revenue and costs'!V112+'Revenue and costs'!Y112+'Revenue and costs'!AE112,0)-'Segment tax'!G37/12</x:f>
        <x:v>-1576.1517573006386</x:v>
      </x:c>
      <x:c r="I56" s="24" t="n">
        <x:f>H56+IF(AND(5&gt;=(13-'Assumptions'!$J$130)+'Assumptions'!$AF$130,5&lt;=12),'Revenue and costs'!N108/'Assumptions'!$J$130,0)-IF(AND(5&gt;=(13-'Assumptions'!$J$130),5&lt;=12),SUM('Revenue and costs'!O108:U108)/'Assumptions'!$J$130,0)-IF(5=(13-'Assumptions'!$J$130)-1,'Revenue and costs'!V108+'Revenue and costs'!Y108+'Revenue and costs'!AE108,0)+IF(AND(5&gt;=(13-'Assumptions'!$J$131)+'Assumptions'!$AF$131,5&lt;=12),'Revenue and costs'!N109/'Assumptions'!$J$131,0)-IF(AND(5&gt;=(13-'Assumptions'!$J$131),5&lt;=12),SUM('Revenue and costs'!O109:U109)/'Assumptions'!$J$131,0)-IF(5=(13-'Assumptions'!$J$131)-1,'Revenue and costs'!V109+'Revenue and costs'!Y109+'Revenue and costs'!AE109,0)+IF(AND(5&gt;=(13-'Assumptions'!$J$132)+'Assumptions'!$AF$132,5&lt;=12),'Revenue and costs'!N110/'Assumptions'!$J$132,0)-IF(AND(5&gt;=(13-'Assumptions'!$J$132),5&lt;=12),SUM('Revenue and costs'!O110:U110)/'Assumptions'!$J$132,0)-IF(5=(13-'Assumptions'!$J$132)-1,'Revenue and costs'!V110+'Revenue and costs'!Y110+'Revenue and costs'!AE110,0)+IF(AND(5&gt;=(13-'Assumptions'!$J$133)+'Assumptions'!$AF$133,5&lt;=12),'Revenue and costs'!N111/'Assumptions'!$J$133,0)-IF(AND(5&gt;=(13-'Assumptions'!$J$133),5&lt;=12),SUM('Revenue and costs'!O111:U111)/'Assumptions'!$J$133,0)-IF(5=(13-'Assumptions'!$J$133)-1,'Revenue and costs'!V111+'Revenue and costs'!Y111+'Revenue and costs'!AE111,0)+IF(AND(5&gt;=(13-'Assumptions'!$J$134)+'Assumptions'!$AF$134,5&lt;=12),'Revenue and costs'!N112/'Assumptions'!$J$134,0)-IF(AND(5&gt;=(13-'Assumptions'!$J$134),5&lt;=12),SUM('Revenue and costs'!O112:U112)/'Assumptions'!$J$134,0)-IF(5=(13-'Assumptions'!$J$134)-1,'Revenue and costs'!V112+'Revenue and costs'!Y112+'Revenue and costs'!AE112,0)-'Segment tax'!G37/12</x:f>
        <x:v>-1946.3182544211238</x:v>
      </x:c>
      <x:c r="J56" s="24" t="n">
        <x:f>I56+IF(AND(6&gt;=(13-'Assumptions'!$J$130)+'Assumptions'!$AF$130,6&lt;=12),'Revenue and costs'!N108/'Assumptions'!$J$130,0)-IF(AND(6&gt;=(13-'Assumptions'!$J$130),6&lt;=12),SUM('Revenue and costs'!O108:U108)/'Assumptions'!$J$130,0)-IF(6=(13-'Assumptions'!$J$130)-1,'Revenue and costs'!V108+'Revenue and costs'!Y108+'Revenue and costs'!AE108,0)+IF(AND(6&gt;=(13-'Assumptions'!$J$131)+'Assumptions'!$AF$131,6&lt;=12),'Revenue and costs'!N109/'Assumptions'!$J$131,0)-IF(AND(6&gt;=(13-'Assumptions'!$J$131),6&lt;=12),SUM('Revenue and costs'!O109:U109)/'Assumptions'!$J$131,0)-IF(6=(13-'Assumptions'!$J$131)-1,'Revenue and costs'!V109+'Revenue and costs'!Y109+'Revenue and costs'!AE109,0)+IF(AND(6&gt;=(13-'Assumptions'!$J$132)+'Assumptions'!$AF$132,6&lt;=12),'Revenue and costs'!N110/'Assumptions'!$J$132,0)-IF(AND(6&gt;=(13-'Assumptions'!$J$132),6&lt;=12),SUM('Revenue and costs'!O110:U110)/'Assumptions'!$J$132,0)-IF(6=(13-'Assumptions'!$J$132)-1,'Revenue and costs'!V110+'Revenue and costs'!Y110+'Revenue and costs'!AE110,0)+IF(AND(6&gt;=(13-'Assumptions'!$J$133)+'Assumptions'!$AF$133,6&lt;=12),'Revenue and costs'!N111/'Assumptions'!$J$133,0)-IF(AND(6&gt;=(13-'Assumptions'!$J$133),6&lt;=12),SUM('Revenue and costs'!O111:U111)/'Assumptions'!$J$133,0)-IF(6=(13-'Assumptions'!$J$133)-1,'Revenue and costs'!V111+'Revenue and costs'!Y111+'Revenue and costs'!AE111,0)+IF(AND(6&gt;=(13-'Assumptions'!$J$134)+'Assumptions'!$AF$134,6&lt;=12),'Revenue and costs'!N112/'Assumptions'!$J$134,0)-IF(AND(6&gt;=(13-'Assumptions'!$J$134),6&lt;=12),SUM('Revenue and costs'!O112:U112)/'Assumptions'!$J$134,0)-IF(6=(13-'Assumptions'!$J$134)-1,'Revenue and costs'!V112+'Revenue and costs'!Y112+'Revenue and costs'!AE112,0)-'Segment tax'!G37/12</x:f>
        <x:v>-7966.4847515416095</x:v>
      </x:c>
      <x:c r="K56" s="24" t="n">
        <x:f>J56+IF(AND(7&gt;=(13-'Assumptions'!$J$130)+'Assumptions'!$AF$130,7&lt;=12),'Revenue and costs'!N108/'Assumptions'!$J$130,0)-IF(AND(7&gt;=(13-'Assumptions'!$J$130),7&lt;=12),SUM('Revenue and costs'!O108:U108)/'Assumptions'!$J$130,0)-IF(7=(13-'Assumptions'!$J$130)-1,'Revenue and costs'!V108+'Revenue and costs'!Y108+'Revenue and costs'!AE108,0)+IF(AND(7&gt;=(13-'Assumptions'!$J$131)+'Assumptions'!$AF$131,7&lt;=12),'Revenue and costs'!N109/'Assumptions'!$J$131,0)-IF(AND(7&gt;=(13-'Assumptions'!$J$131),7&lt;=12),SUM('Revenue and costs'!O109:U109)/'Assumptions'!$J$131,0)-IF(7=(13-'Assumptions'!$J$131)-1,'Revenue and costs'!V109+'Revenue and costs'!Y109+'Revenue and costs'!AE109,0)+IF(AND(7&gt;=(13-'Assumptions'!$J$132)+'Assumptions'!$AF$132,7&lt;=12),'Revenue and costs'!N110/'Assumptions'!$J$132,0)-IF(AND(7&gt;=(13-'Assumptions'!$J$132),7&lt;=12),SUM('Revenue and costs'!O110:U110)/'Assumptions'!$J$132,0)-IF(7=(13-'Assumptions'!$J$132)-1,'Revenue and costs'!V110+'Revenue and costs'!Y110+'Revenue and costs'!AE110,0)+IF(AND(7&gt;=(13-'Assumptions'!$J$133)+'Assumptions'!$AF$133,7&lt;=12),'Revenue and costs'!N111/'Assumptions'!$J$133,0)-IF(AND(7&gt;=(13-'Assumptions'!$J$133),7&lt;=12),SUM('Revenue and costs'!O111:U111)/'Assumptions'!$J$133,0)-IF(7=(13-'Assumptions'!$J$133)-1,'Revenue and costs'!V111+'Revenue and costs'!Y111+'Revenue and costs'!AE111,0)+IF(AND(7&gt;=(13-'Assumptions'!$J$134)+'Assumptions'!$AF$134,7&lt;=12),'Revenue and costs'!N112/'Assumptions'!$J$134,0)-IF(AND(7&gt;=(13-'Assumptions'!$J$134),7&lt;=12),SUM('Revenue and costs'!O112:U112)/'Assumptions'!$J$134,0)-IF(7=(13-'Assumptions'!$J$134)-1,'Revenue and costs'!V112+'Revenue and costs'!Y112+'Revenue and costs'!AE112,0)-'Segment tax'!G37/12</x:f>
        <x:v>-3969.6512486620945</x:v>
      </x:c>
      <x:c r="L56" s="24" t="n">
        <x:f>K56+IF(AND(8&gt;=(13-'Assumptions'!$J$130)+'Assumptions'!$AF$130,8&lt;=12),'Revenue and costs'!N108/'Assumptions'!$J$130,0)-IF(AND(8&gt;=(13-'Assumptions'!$J$130),8&lt;=12),SUM('Revenue and costs'!O108:U108)/'Assumptions'!$J$130,0)-IF(8=(13-'Assumptions'!$J$130)-1,'Revenue and costs'!V108+'Revenue and costs'!Y108+'Revenue and costs'!AE108,0)+IF(AND(8&gt;=(13-'Assumptions'!$J$131)+'Assumptions'!$AF$131,8&lt;=12),'Revenue and costs'!N109/'Assumptions'!$J$131,0)-IF(AND(8&gt;=(13-'Assumptions'!$J$131),8&lt;=12),SUM('Revenue and costs'!O109:U109)/'Assumptions'!$J$131,0)-IF(8=(13-'Assumptions'!$J$131)-1,'Revenue and costs'!V109+'Revenue and costs'!Y109+'Revenue and costs'!AE109,0)+IF(AND(8&gt;=(13-'Assumptions'!$J$132)+'Assumptions'!$AF$132,8&lt;=12),'Revenue and costs'!N110/'Assumptions'!$J$132,0)-IF(AND(8&gt;=(13-'Assumptions'!$J$132),8&lt;=12),SUM('Revenue and costs'!O110:U110)/'Assumptions'!$J$132,0)-IF(8=(13-'Assumptions'!$J$132)-1,'Revenue and costs'!V110+'Revenue and costs'!Y110+'Revenue and costs'!AE110,0)+IF(AND(8&gt;=(13-'Assumptions'!$J$133)+'Assumptions'!$AF$133,8&lt;=12),'Revenue and costs'!N111/'Assumptions'!$J$133,0)-IF(AND(8&gt;=(13-'Assumptions'!$J$133),8&lt;=12),SUM('Revenue and costs'!O111:U111)/'Assumptions'!$J$133,0)-IF(8=(13-'Assumptions'!$J$133)-1,'Revenue and costs'!V111+'Revenue and costs'!Y111+'Revenue and costs'!AE111,0)+IF(AND(8&gt;=(13-'Assumptions'!$J$134)+'Assumptions'!$AF$134,8&lt;=12),'Revenue and costs'!N112/'Assumptions'!$J$134,0)-IF(AND(8&gt;=(13-'Assumptions'!$J$134),8&lt;=12),SUM('Revenue and costs'!O112:U112)/'Assumptions'!$J$134,0)-IF(8=(13-'Assumptions'!$J$134)-1,'Revenue and costs'!V112+'Revenue and costs'!Y112+'Revenue and costs'!AE112,0)-'Segment tax'!G37/12</x:f>
        <x:v>27.18225421742028</x:v>
      </x:c>
      <x:c r="M56" s="24" t="n">
        <x:f>L56+IF(AND(9&gt;=(13-'Assumptions'!$J$130)+'Assumptions'!$AF$130,9&lt;=12),'Revenue and costs'!N108/'Assumptions'!$J$130,0)-IF(AND(9&gt;=(13-'Assumptions'!$J$130),9&lt;=12),SUM('Revenue and costs'!O108:U108)/'Assumptions'!$J$130,0)-IF(9=(13-'Assumptions'!$J$130)-1,'Revenue and costs'!V108+'Revenue and costs'!Y108+'Revenue and costs'!AE108,0)+IF(AND(9&gt;=(13-'Assumptions'!$J$131)+'Assumptions'!$AF$131,9&lt;=12),'Revenue and costs'!N109/'Assumptions'!$J$131,0)-IF(AND(9&gt;=(13-'Assumptions'!$J$131),9&lt;=12),SUM('Revenue and costs'!O109:U109)/'Assumptions'!$J$131,0)-IF(9=(13-'Assumptions'!$J$131)-1,'Revenue and costs'!V109+'Revenue and costs'!Y109+'Revenue and costs'!AE109,0)+IF(AND(9&gt;=(13-'Assumptions'!$J$132)+'Assumptions'!$AF$132,9&lt;=12),'Revenue and costs'!N110/'Assumptions'!$J$132,0)-IF(AND(9&gt;=(13-'Assumptions'!$J$132),9&lt;=12),SUM('Revenue and costs'!O110:U110)/'Assumptions'!$J$132,0)-IF(9=(13-'Assumptions'!$J$132)-1,'Revenue and costs'!V110+'Revenue and costs'!Y110+'Revenue and costs'!AE110,0)+IF(AND(9&gt;=(13-'Assumptions'!$J$133)+'Assumptions'!$AF$133,9&lt;=12),'Revenue and costs'!N111/'Assumptions'!$J$133,0)-IF(AND(9&gt;=(13-'Assumptions'!$J$133),9&lt;=12),SUM('Revenue and costs'!O111:U111)/'Assumptions'!$J$133,0)-IF(9=(13-'Assumptions'!$J$133)-1,'Revenue and costs'!V111+'Revenue and costs'!Y111+'Revenue and costs'!AE111,0)+IF(AND(9&gt;=(13-'Assumptions'!$J$134)+'Assumptions'!$AF$134,9&lt;=12),'Revenue and costs'!N112/'Assumptions'!$J$134,0)-IF(AND(9&gt;=(13-'Assumptions'!$J$134),9&lt;=12),SUM('Revenue and costs'!O112:U112)/'Assumptions'!$J$134,0)-IF(9=(13-'Assumptions'!$J$134)-1,'Revenue and costs'!V112+'Revenue and costs'!Y112+'Revenue and costs'!AE112,0)-'Segment tax'!G37/12</x:f>
        <x:v>4024.0157570969345</x:v>
      </x:c>
      <x:c r="N56" s="24" t="n">
        <x:f>M56+IF(AND(10&gt;=(13-'Assumptions'!$J$130)+'Assumptions'!$AF$130,10&lt;=12),'Revenue and costs'!N108/'Assumptions'!$J$130,0)-IF(AND(10&gt;=(13-'Assumptions'!$J$130),10&lt;=12),SUM('Revenue and costs'!O108:U108)/'Assumptions'!$J$130,0)-IF(10=(13-'Assumptions'!$J$130)-1,'Revenue and costs'!V108+'Revenue and costs'!Y108+'Revenue and costs'!AE108,0)+IF(AND(10&gt;=(13-'Assumptions'!$J$131)+'Assumptions'!$AF$131,10&lt;=12),'Revenue and costs'!N109/'Assumptions'!$J$131,0)-IF(AND(10&gt;=(13-'Assumptions'!$J$131),10&lt;=12),SUM('Revenue and costs'!O109:U109)/'Assumptions'!$J$131,0)-IF(10=(13-'Assumptions'!$J$131)-1,'Revenue and costs'!V109+'Revenue and costs'!Y109+'Revenue and costs'!AE109,0)+IF(AND(10&gt;=(13-'Assumptions'!$J$132)+'Assumptions'!$AF$132,10&lt;=12),'Revenue and costs'!N110/'Assumptions'!$J$132,0)-IF(AND(10&gt;=(13-'Assumptions'!$J$132),10&lt;=12),SUM('Revenue and costs'!O110:U110)/'Assumptions'!$J$132,0)-IF(10=(13-'Assumptions'!$J$132)-1,'Revenue and costs'!V110+'Revenue and costs'!Y110+'Revenue and costs'!AE110,0)+IF(AND(10&gt;=(13-'Assumptions'!$J$133)+'Assumptions'!$AF$133,10&lt;=12),'Revenue and costs'!N111/'Assumptions'!$J$133,0)-IF(AND(10&gt;=(13-'Assumptions'!$J$133),10&lt;=12),SUM('Revenue and costs'!O111:U111)/'Assumptions'!$J$133,0)-IF(10=(13-'Assumptions'!$J$133)-1,'Revenue and costs'!V111+'Revenue and costs'!Y111+'Revenue and costs'!AE111,0)+IF(AND(10&gt;=(13-'Assumptions'!$J$134)+'Assumptions'!$AF$134,10&lt;=12),'Revenue and costs'!N112/'Assumptions'!$J$134,0)-IF(AND(10&gt;=(13-'Assumptions'!$J$134),10&lt;=12),SUM('Revenue and costs'!O112:U112)/'Assumptions'!$J$134,0)-IF(10=(13-'Assumptions'!$J$134)-1,'Revenue and costs'!V112+'Revenue and costs'!Y112+'Revenue and costs'!AE112,0)-'Segment tax'!G37/12</x:f>
        <x:v>8020.849259976451</x:v>
      </x:c>
      <x:c r="O56" s="24" t="n">
        <x:f>N56+IF(AND(11&gt;=(13-'Assumptions'!$J$130)+'Assumptions'!$AF$130,11&lt;=12),'Revenue and costs'!N108/'Assumptions'!$J$130,0)-IF(AND(11&gt;=(13-'Assumptions'!$J$130),11&lt;=12),SUM('Revenue and costs'!O108:U108)/'Assumptions'!$J$130,0)-IF(11=(13-'Assumptions'!$J$130)-1,'Revenue and costs'!V108+'Revenue and costs'!Y108+'Revenue and costs'!AE108,0)+IF(AND(11&gt;=(13-'Assumptions'!$J$131)+'Assumptions'!$AF$131,11&lt;=12),'Revenue and costs'!N109/'Assumptions'!$J$131,0)-IF(AND(11&gt;=(13-'Assumptions'!$J$131),11&lt;=12),SUM('Revenue and costs'!O109:U109)/'Assumptions'!$J$131,0)-IF(11=(13-'Assumptions'!$J$131)-1,'Revenue and costs'!V109+'Revenue and costs'!Y109+'Revenue and costs'!AE109,0)+IF(AND(11&gt;=(13-'Assumptions'!$J$132)+'Assumptions'!$AF$132,11&lt;=12),'Revenue and costs'!N110/'Assumptions'!$J$132,0)-IF(AND(11&gt;=(13-'Assumptions'!$J$132),11&lt;=12),SUM('Revenue and costs'!O110:U110)/'Assumptions'!$J$132,0)-IF(11=(13-'Assumptions'!$J$132)-1,'Revenue and costs'!V110+'Revenue and costs'!Y110+'Revenue and costs'!AE110,0)+IF(AND(11&gt;=(13-'Assumptions'!$J$133)+'Assumptions'!$AF$133,11&lt;=12),'Revenue and costs'!N111/'Assumptions'!$J$133,0)-IF(AND(11&gt;=(13-'Assumptions'!$J$133),11&lt;=12),SUM('Revenue and costs'!O111:U111)/'Assumptions'!$J$133,0)-IF(11=(13-'Assumptions'!$J$133)-1,'Revenue and costs'!V111+'Revenue and costs'!Y111+'Revenue and costs'!AE111,0)+IF(AND(11&gt;=(13-'Assumptions'!$J$134)+'Assumptions'!$AF$134,11&lt;=12),'Revenue and costs'!N112/'Assumptions'!$J$134,0)-IF(AND(11&gt;=(13-'Assumptions'!$J$134),11&lt;=12),SUM('Revenue and costs'!O112:U112)/'Assumptions'!$J$134,0)-IF(11=(13-'Assumptions'!$J$134)-1,'Revenue and costs'!V112+'Revenue and costs'!Y112+'Revenue and costs'!AE112,0)-'Segment tax'!G37/12</x:f>
        <x:v>12017.682762855968</x:v>
      </x:c>
      <x:c r="P56" s="24" t="n">
        <x:f>O56+IF(AND(12&gt;=(13-'Assumptions'!$J$130)+'Assumptions'!$AF$130,12&lt;=12),'Revenue and costs'!N108/'Assumptions'!$J$130,0)-IF(AND(12&gt;=(13-'Assumptions'!$J$130),12&lt;=12),SUM('Revenue and costs'!O108:U108)/'Assumptions'!$J$130,0)-IF(12=(13-'Assumptions'!$J$130)-1,'Revenue and costs'!V108+'Revenue and costs'!Y108+'Revenue and costs'!AE108,0)+IF(AND(12&gt;=(13-'Assumptions'!$J$131)+'Assumptions'!$AF$131,12&lt;=12),'Revenue and costs'!N109/'Assumptions'!$J$131,0)-IF(AND(12&gt;=(13-'Assumptions'!$J$131),12&lt;=12),SUM('Revenue and costs'!O109:U109)/'Assumptions'!$J$131,0)-IF(12=(13-'Assumptions'!$J$131)-1,'Revenue and costs'!V109+'Revenue and costs'!Y109+'Revenue and costs'!AE109,0)+IF(AND(12&gt;=(13-'Assumptions'!$J$132)+'Assumptions'!$AF$132,12&lt;=12),'Revenue and costs'!N110/'Assumptions'!$J$132,0)-IF(AND(12&gt;=(13-'Assumptions'!$J$132),12&lt;=12),SUM('Revenue and costs'!O110:U110)/'Assumptions'!$J$132,0)-IF(12=(13-'Assumptions'!$J$132)-1,'Revenue and costs'!V110+'Revenue and costs'!Y110+'Revenue and costs'!AE110,0)+IF(AND(12&gt;=(13-'Assumptions'!$J$133)+'Assumptions'!$AF$133,12&lt;=12),'Revenue and costs'!N111/'Assumptions'!$J$133,0)-IF(AND(12&gt;=(13-'Assumptions'!$J$133),12&lt;=12),SUM('Revenue and costs'!O111:U111)/'Assumptions'!$J$133,0)-IF(12=(13-'Assumptions'!$J$133)-1,'Revenue and costs'!V111+'Revenue and costs'!Y111+'Revenue and costs'!AE111,0)+IF(AND(12&gt;=(13-'Assumptions'!$J$134)+'Assumptions'!$AF$134,12&lt;=12),'Revenue and costs'!N112/'Assumptions'!$J$134,0)-IF(AND(12&gt;=(13-'Assumptions'!$J$134),12&lt;=12),SUM('Revenue and costs'!O112:U112)/'Assumptions'!$J$134,0)-IF(12=(13-'Assumptions'!$J$134)-1,'Revenue and costs'!V112+'Revenue and costs'!Y112+'Revenue and costs'!AE112,0)-'Segment tax'!G37/12-'Segment tax'!L37</x:f>
        <x:v>10907.4729044985</x:v>
      </x:c>
      <x:c r="Q56" s="24" t="n">
        <x:f>MAX(0,-MIN(D56:P56))</x:f>
        <x:v>7966.4847515416095</x:v>
      </x:c>
    </x:row>
    <x:row r="57" ht="30" customHeight="1">
      <x:c r="A57" s="1"/>
      <x:c r="B57" s="1"/>
      <x:c r="C57" s="23" t="str">
        <x:v>QzoticMusic</x:v>
      </x:c>
      <x:c r="D57" s="24" t="n">
        <x:f>IF(AND(0&gt;=(13-'Assumptions'!$J$135)+'Assumptions'!$AF$135,0&lt;=12),'Revenue and costs'!N113/'Assumptions'!$J$135,0)-IF(AND(0&gt;=(13-'Assumptions'!$J$135),0&lt;=12),SUM('Revenue and costs'!O113:U113)/'Assumptions'!$J$135,0)-IF(0=(13-'Assumptions'!$J$135)-1,'Revenue and costs'!V113+'Revenue and costs'!Y113+'Revenue and costs'!AE113,0)+IF(AND(0&gt;=(13-'Assumptions'!$J$136)+'Assumptions'!$AF$136,0&lt;=12),'Revenue and costs'!N114/'Assumptions'!$J$136,0)-IF(AND(0&gt;=(13-'Assumptions'!$J$136),0&lt;=12),SUM('Revenue and costs'!O114:U114)/'Assumptions'!$J$136,0)-IF(0=(13-'Assumptions'!$J$136)-1,'Revenue and costs'!V114+'Revenue and costs'!Y114+'Revenue and costs'!AE114,0)+IF(AND(0&gt;=(13-'Assumptions'!$J$137)+'Assumptions'!$AF$137,0&lt;=12),'Revenue and costs'!N115/'Assumptions'!$J$137,0)-IF(AND(0&gt;=(13-'Assumptions'!$J$137),0&lt;=12),SUM('Revenue and costs'!O115:U115)/'Assumptions'!$J$137,0)-IF(0=(13-'Assumptions'!$J$137)-1,'Revenue and costs'!V115+'Revenue and costs'!Y115+'Revenue and costs'!AE115,0)-IF('Income statement'!D50=0,1/39,'Segment tax'!E38/'Income statement'!D50)*'Cash and capital'!D13</x:f>
        <x:v>-8.576036643901562</x:v>
      </x:c>
      <x:c r="E57" s="24" t="n">
        <x:f>D57+IF(AND(1&gt;=(13-'Assumptions'!$J$135)+'Assumptions'!$AF$135,1&lt;=12),'Revenue and costs'!N113/'Assumptions'!$J$135,0)-IF(AND(1&gt;=(13-'Assumptions'!$J$135),1&lt;=12),SUM('Revenue and costs'!O113:U113)/'Assumptions'!$J$135,0)-IF(1=(13-'Assumptions'!$J$135)-1,'Revenue and costs'!V113+'Revenue and costs'!Y113+'Revenue and costs'!AE113,0)+IF(AND(1&gt;=(13-'Assumptions'!$J$136)+'Assumptions'!$AF$136,1&lt;=12),'Revenue and costs'!N114/'Assumptions'!$J$136,0)-IF(AND(1&gt;=(13-'Assumptions'!$J$136),1&lt;=12),SUM('Revenue and costs'!O114:U114)/'Assumptions'!$J$136,0)-IF(1=(13-'Assumptions'!$J$136)-1,'Revenue and costs'!V114+'Revenue and costs'!Y114+'Revenue and costs'!AE114,0)+IF(AND(1&gt;=(13-'Assumptions'!$J$137)+'Assumptions'!$AF$137,1&lt;=12),'Revenue and costs'!N115/'Assumptions'!$J$137,0)-IF(AND(1&gt;=(13-'Assumptions'!$J$137),1&lt;=12),SUM('Revenue and costs'!O115:U115)/'Assumptions'!$J$137,0)-IF(1=(13-'Assumptions'!$J$137)-1,'Revenue and costs'!V115+'Revenue and costs'!Y115+'Revenue and costs'!AE115,0)-'Segment tax'!G38/12</x:f>
        <x:v>-41.822472033426614</x:v>
      </x:c>
      <x:c r="F57" s="24" t="n">
        <x:f>E57+IF(AND(2&gt;=(13-'Assumptions'!$J$135)+'Assumptions'!$AF$135,2&lt;=12),'Revenue and costs'!N113/'Assumptions'!$J$135,0)-IF(AND(2&gt;=(13-'Assumptions'!$J$135),2&lt;=12),SUM('Revenue and costs'!O113:U113)/'Assumptions'!$J$135,0)-IF(2=(13-'Assumptions'!$J$135)-1,'Revenue and costs'!V113+'Revenue and costs'!Y113+'Revenue and costs'!AE113,0)+IF(AND(2&gt;=(13-'Assumptions'!$J$136)+'Assumptions'!$AF$136,2&lt;=12),'Revenue and costs'!N114/'Assumptions'!$J$136,0)-IF(AND(2&gt;=(13-'Assumptions'!$J$136),2&lt;=12),SUM('Revenue and costs'!O114:U114)/'Assumptions'!$J$136,0)-IF(2=(13-'Assumptions'!$J$136)-1,'Revenue and costs'!V114+'Revenue and costs'!Y114+'Revenue and costs'!AE114,0)+IF(AND(2&gt;=(13-'Assumptions'!$J$137)+'Assumptions'!$AF$137,2&lt;=12),'Revenue and costs'!N115/'Assumptions'!$J$137,0)-IF(AND(2&gt;=(13-'Assumptions'!$J$137),2&lt;=12),SUM('Revenue and costs'!O115:U115)/'Assumptions'!$J$137,0)-IF(2=(13-'Assumptions'!$J$137)-1,'Revenue and costs'!V115+'Revenue and costs'!Y115+'Revenue and costs'!AE115,0)-'Segment tax'!G38/12</x:f>
        <x:v>-75.06890742295167</x:v>
      </x:c>
      <x:c r="G57" s="24" t="n">
        <x:f>F57+IF(AND(3&gt;=(13-'Assumptions'!$J$135)+'Assumptions'!$AF$135,3&lt;=12),'Revenue and costs'!N113/'Assumptions'!$J$135,0)-IF(AND(3&gt;=(13-'Assumptions'!$J$135),3&lt;=12),SUM('Revenue and costs'!O113:U113)/'Assumptions'!$J$135,0)-IF(3=(13-'Assumptions'!$J$135)-1,'Revenue and costs'!V113+'Revenue and costs'!Y113+'Revenue and costs'!AE113,0)+IF(AND(3&gt;=(13-'Assumptions'!$J$136)+'Assumptions'!$AF$136,3&lt;=12),'Revenue and costs'!N114/'Assumptions'!$J$136,0)-IF(AND(3&gt;=(13-'Assumptions'!$J$136),3&lt;=12),SUM('Revenue and costs'!O114:U114)/'Assumptions'!$J$136,0)-IF(3=(13-'Assumptions'!$J$136)-1,'Revenue and costs'!V114+'Revenue and costs'!Y114+'Revenue and costs'!AE114,0)+IF(AND(3&gt;=(13-'Assumptions'!$J$137)+'Assumptions'!$AF$137,3&lt;=12),'Revenue and costs'!N115/'Assumptions'!$J$137,0)-IF(AND(3&gt;=(13-'Assumptions'!$J$137),3&lt;=12),SUM('Revenue and costs'!O115:U115)/'Assumptions'!$J$137,0)-IF(3=(13-'Assumptions'!$J$137)-1,'Revenue and costs'!V115+'Revenue and costs'!Y115+'Revenue and costs'!AE115,0)-'Segment tax'!G38/12</x:f>
        <x:v>-108.31534281247673</x:v>
      </x:c>
      <x:c r="H57" s="24" t="n">
        <x:f>G57+IF(AND(4&gt;=(13-'Assumptions'!$J$135)+'Assumptions'!$AF$135,4&lt;=12),'Revenue and costs'!N113/'Assumptions'!$J$135,0)-IF(AND(4&gt;=(13-'Assumptions'!$J$135),4&lt;=12),SUM('Revenue and costs'!O113:U113)/'Assumptions'!$J$135,0)-IF(4=(13-'Assumptions'!$J$135)-1,'Revenue and costs'!V113+'Revenue and costs'!Y113+'Revenue and costs'!AE113,0)+IF(AND(4&gt;=(13-'Assumptions'!$J$136)+'Assumptions'!$AF$136,4&lt;=12),'Revenue and costs'!N114/'Assumptions'!$J$136,0)-IF(AND(4&gt;=(13-'Assumptions'!$J$136),4&lt;=12),SUM('Revenue and costs'!O114:U114)/'Assumptions'!$J$136,0)-IF(4=(13-'Assumptions'!$J$136)-1,'Revenue and costs'!V114+'Revenue and costs'!Y114+'Revenue and costs'!AE114,0)+IF(AND(4&gt;=(13-'Assumptions'!$J$137)+'Assumptions'!$AF$137,4&lt;=12),'Revenue and costs'!N115/'Assumptions'!$J$137,0)-IF(AND(4&gt;=(13-'Assumptions'!$J$137),4&lt;=12),SUM('Revenue and costs'!O115:U115)/'Assumptions'!$J$137,0)-IF(4=(13-'Assumptions'!$J$137)-1,'Revenue and costs'!V115+'Revenue and costs'!Y115+'Revenue and costs'!AE115,0)-'Segment tax'!G38/12</x:f>
        <x:v>-141.5617782020018</x:v>
      </x:c>
      <x:c r="I57" s="24" t="n">
        <x:f>H57+IF(AND(5&gt;=(13-'Assumptions'!$J$135)+'Assumptions'!$AF$135,5&lt;=12),'Revenue and costs'!N113/'Assumptions'!$J$135,0)-IF(AND(5&gt;=(13-'Assumptions'!$J$135),5&lt;=12),SUM('Revenue and costs'!O113:U113)/'Assumptions'!$J$135,0)-IF(5=(13-'Assumptions'!$J$135)-1,'Revenue and costs'!V113+'Revenue and costs'!Y113+'Revenue and costs'!AE113,0)+IF(AND(5&gt;=(13-'Assumptions'!$J$136)+'Assumptions'!$AF$136,5&lt;=12),'Revenue and costs'!N114/'Assumptions'!$J$136,0)-IF(AND(5&gt;=(13-'Assumptions'!$J$136),5&lt;=12),SUM('Revenue and costs'!O114:U114)/'Assumptions'!$J$136,0)-IF(5=(13-'Assumptions'!$J$136)-1,'Revenue and costs'!V114+'Revenue and costs'!Y114+'Revenue and costs'!AE114,0)+IF(AND(5&gt;=(13-'Assumptions'!$J$137)+'Assumptions'!$AF$137,5&lt;=12),'Revenue and costs'!N115/'Assumptions'!$J$137,0)-IF(AND(5&gt;=(13-'Assumptions'!$J$137),5&lt;=12),SUM('Revenue and costs'!O115:U115)/'Assumptions'!$J$137,0)-IF(5=(13-'Assumptions'!$J$137)-1,'Revenue and costs'!V115+'Revenue and costs'!Y115+'Revenue and costs'!AE115,0)-'Segment tax'!G38/12</x:f>
        <x:v>-174.80821359152685</x:v>
      </x:c>
      <x:c r="J57" s="24" t="n">
        <x:f>I57+IF(AND(6&gt;=(13-'Assumptions'!$J$135)+'Assumptions'!$AF$135,6&lt;=12),'Revenue and costs'!N113/'Assumptions'!$J$135,0)-IF(AND(6&gt;=(13-'Assumptions'!$J$135),6&lt;=12),SUM('Revenue and costs'!O113:U113)/'Assumptions'!$J$135,0)-IF(6=(13-'Assumptions'!$J$135)-1,'Revenue and costs'!V113+'Revenue and costs'!Y113+'Revenue and costs'!AE113,0)+IF(AND(6&gt;=(13-'Assumptions'!$J$136)+'Assumptions'!$AF$136,6&lt;=12),'Revenue and costs'!N114/'Assumptions'!$J$136,0)-IF(AND(6&gt;=(13-'Assumptions'!$J$136),6&lt;=12),SUM('Revenue and costs'!O114:U114)/'Assumptions'!$J$136,0)-IF(6=(13-'Assumptions'!$J$136)-1,'Revenue and costs'!V114+'Revenue and costs'!Y114+'Revenue and costs'!AE114,0)+IF(AND(6&gt;=(13-'Assumptions'!$J$137)+'Assumptions'!$AF$137,6&lt;=12),'Revenue and costs'!N115/'Assumptions'!$J$137,0)-IF(AND(6&gt;=(13-'Assumptions'!$J$137),6&lt;=12),SUM('Revenue and costs'!O115:U115)/'Assumptions'!$J$137,0)-IF(6=(13-'Assumptions'!$J$137)-1,'Revenue and costs'!V115+'Revenue and costs'!Y115+'Revenue and costs'!AE115,0)-'Segment tax'!G38/12</x:f>
        <x:v>-708.0546489810519</x:v>
      </x:c>
      <x:c r="K57" s="24" t="n">
        <x:f>J57+IF(AND(7&gt;=(13-'Assumptions'!$J$135)+'Assumptions'!$AF$135,7&lt;=12),'Revenue and costs'!N113/'Assumptions'!$J$135,0)-IF(AND(7&gt;=(13-'Assumptions'!$J$135),7&lt;=12),SUM('Revenue and costs'!O113:U113)/'Assumptions'!$J$135,0)-IF(7=(13-'Assumptions'!$J$135)-1,'Revenue and costs'!V113+'Revenue and costs'!Y113+'Revenue and costs'!AE113,0)+IF(AND(7&gt;=(13-'Assumptions'!$J$136)+'Assumptions'!$AF$136,7&lt;=12),'Revenue and costs'!N114/'Assumptions'!$J$136,0)-IF(AND(7&gt;=(13-'Assumptions'!$J$136),7&lt;=12),SUM('Revenue and costs'!O114:U114)/'Assumptions'!$J$136,0)-IF(7=(13-'Assumptions'!$J$136)-1,'Revenue and costs'!V114+'Revenue and costs'!Y114+'Revenue and costs'!AE114,0)+IF(AND(7&gt;=(13-'Assumptions'!$J$137)+'Assumptions'!$AF$137,7&lt;=12),'Revenue and costs'!N115/'Assumptions'!$J$137,0)-IF(AND(7&gt;=(13-'Assumptions'!$J$137),7&lt;=12),SUM('Revenue and costs'!O115:U115)/'Assumptions'!$J$137,0)-IF(7=(13-'Assumptions'!$J$137)-1,'Revenue and costs'!V115+'Revenue and costs'!Y115+'Revenue and costs'!AE115,0)-'Segment tax'!G38/12</x:f>
        <x:v>-1504.426084370577</x:v>
      </x:c>
      <x:c r="L57" s="24" t="n">
        <x:f>K57+IF(AND(8&gt;=(13-'Assumptions'!$J$135)+'Assumptions'!$AF$135,8&lt;=12),'Revenue and costs'!N113/'Assumptions'!$J$135,0)-IF(AND(8&gt;=(13-'Assumptions'!$J$135),8&lt;=12),SUM('Revenue and costs'!O113:U113)/'Assumptions'!$J$135,0)-IF(8=(13-'Assumptions'!$J$135)-1,'Revenue and costs'!V113+'Revenue and costs'!Y113+'Revenue and costs'!AE113,0)+IF(AND(8&gt;=(13-'Assumptions'!$J$136)+'Assumptions'!$AF$136,8&lt;=12),'Revenue and costs'!N114/'Assumptions'!$J$136,0)-IF(AND(8&gt;=(13-'Assumptions'!$J$136),8&lt;=12),SUM('Revenue and costs'!O114:U114)/'Assumptions'!$J$136,0)-IF(8=(13-'Assumptions'!$J$136)-1,'Revenue and costs'!V114+'Revenue and costs'!Y114+'Revenue and costs'!AE114,0)+IF(AND(8&gt;=(13-'Assumptions'!$J$137)+'Assumptions'!$AF$137,8&lt;=12),'Revenue and costs'!N115/'Assumptions'!$J$137,0)-IF(AND(8&gt;=(13-'Assumptions'!$J$137),8&lt;=12),SUM('Revenue and costs'!O115:U115)/'Assumptions'!$J$137,0)-IF(8=(13-'Assumptions'!$J$137)-1,'Revenue and costs'!V115+'Revenue and costs'!Y115+'Revenue and costs'!AE115,0)-'Segment tax'!G38/12</x:f>
        <x:v>-1573.2975197601022</x:v>
      </x:c>
      <x:c r="M57" s="24" t="n">
        <x:f>L57+IF(AND(9&gt;=(13-'Assumptions'!$J$135)+'Assumptions'!$AF$135,9&lt;=12),'Revenue and costs'!N113/'Assumptions'!$J$135,0)-IF(AND(9&gt;=(13-'Assumptions'!$J$135),9&lt;=12),SUM('Revenue and costs'!O113:U113)/'Assumptions'!$J$135,0)-IF(9=(13-'Assumptions'!$J$135)-1,'Revenue and costs'!V113+'Revenue and costs'!Y113+'Revenue and costs'!AE113,0)+IF(AND(9&gt;=(13-'Assumptions'!$J$136)+'Assumptions'!$AF$136,9&lt;=12),'Revenue and costs'!N114/'Assumptions'!$J$136,0)-IF(AND(9&gt;=(13-'Assumptions'!$J$136),9&lt;=12),SUM('Revenue and costs'!O114:U114)/'Assumptions'!$J$136,0)-IF(9=(13-'Assumptions'!$J$136)-1,'Revenue and costs'!V114+'Revenue and costs'!Y114+'Revenue and costs'!AE114,0)+IF(AND(9&gt;=(13-'Assumptions'!$J$137)+'Assumptions'!$AF$137,9&lt;=12),'Revenue and costs'!N115/'Assumptions'!$J$137,0)-IF(AND(9&gt;=(13-'Assumptions'!$J$137),9&lt;=12),SUM('Revenue and costs'!O115:U115)/'Assumptions'!$J$137,0)-IF(9=(13-'Assumptions'!$J$137)-1,'Revenue and costs'!V115+'Revenue and costs'!Y115+'Revenue and costs'!AE115,0)-'Segment tax'!G38/12</x:f>
        <x:v>-1642.1689551496274</x:v>
      </x:c>
      <x:c r="N57" s="24" t="n">
        <x:f>M57+IF(AND(10&gt;=(13-'Assumptions'!$J$135)+'Assumptions'!$AF$135,10&lt;=12),'Revenue and costs'!N113/'Assumptions'!$J$135,0)-IF(AND(10&gt;=(13-'Assumptions'!$J$135),10&lt;=12),SUM('Revenue and costs'!O113:U113)/'Assumptions'!$J$135,0)-IF(10=(13-'Assumptions'!$J$135)-1,'Revenue and costs'!V113+'Revenue and costs'!Y113+'Revenue and costs'!AE113,0)+IF(AND(10&gt;=(13-'Assumptions'!$J$136)+'Assumptions'!$AF$136,10&lt;=12),'Revenue and costs'!N114/'Assumptions'!$J$136,0)-IF(AND(10&gt;=(13-'Assumptions'!$J$136),10&lt;=12),SUM('Revenue and costs'!O114:U114)/'Assumptions'!$J$136,0)-IF(10=(13-'Assumptions'!$J$136)-1,'Revenue and costs'!V114+'Revenue and costs'!Y114+'Revenue and costs'!AE114,0)+IF(AND(10&gt;=(13-'Assumptions'!$J$137)+'Assumptions'!$AF$137,10&lt;=12),'Revenue and costs'!N115/'Assumptions'!$J$137,0)-IF(AND(10&gt;=(13-'Assumptions'!$J$137),10&lt;=12),SUM('Revenue and costs'!O115:U115)/'Assumptions'!$J$137,0)-IF(10=(13-'Assumptions'!$J$137)-1,'Revenue and costs'!V115+'Revenue and costs'!Y115+'Revenue and costs'!AE115,0)-'Segment tax'!G38/12</x:f>
        <x:v>-1711.0403905391527</x:v>
      </x:c>
      <x:c r="O57" s="24" t="n">
        <x:f>N57+IF(AND(11&gt;=(13-'Assumptions'!$J$135)+'Assumptions'!$AF$135,11&lt;=12),'Revenue and costs'!N113/'Assumptions'!$J$135,0)-IF(AND(11&gt;=(13-'Assumptions'!$J$135),11&lt;=12),SUM('Revenue and costs'!O113:U113)/'Assumptions'!$J$135,0)-IF(11=(13-'Assumptions'!$J$135)-1,'Revenue and costs'!V113+'Revenue and costs'!Y113+'Revenue and costs'!AE113,0)+IF(AND(11&gt;=(13-'Assumptions'!$J$136)+'Assumptions'!$AF$136,11&lt;=12),'Revenue and costs'!N114/'Assumptions'!$J$136,0)-IF(AND(11&gt;=(13-'Assumptions'!$J$136),11&lt;=12),SUM('Revenue and costs'!O114:U114)/'Assumptions'!$J$136,0)-IF(11=(13-'Assumptions'!$J$136)-1,'Revenue and costs'!V114+'Revenue and costs'!Y114+'Revenue and costs'!AE114,0)+IF(AND(11&gt;=(13-'Assumptions'!$J$137)+'Assumptions'!$AF$137,11&lt;=12),'Revenue and costs'!N115/'Assumptions'!$J$137,0)-IF(AND(11&gt;=(13-'Assumptions'!$J$137),11&lt;=12),SUM('Revenue and costs'!O115:U115)/'Assumptions'!$J$137,0)-IF(11=(13-'Assumptions'!$J$137)-1,'Revenue and costs'!V115+'Revenue and costs'!Y115+'Revenue and costs'!AE115,0)-'Segment tax'!G38/12</x:f>
        <x:v>-1779.911825928678</x:v>
      </x:c>
      <x:c r="P57" s="24" t="n">
        <x:f>O57+IF(AND(12&gt;=(13-'Assumptions'!$J$135)+'Assumptions'!$AF$135,12&lt;=12),'Revenue and costs'!N113/'Assumptions'!$J$135,0)-IF(AND(12&gt;=(13-'Assumptions'!$J$135),12&lt;=12),SUM('Revenue and costs'!O113:U113)/'Assumptions'!$J$135,0)-IF(12=(13-'Assumptions'!$J$135)-1,'Revenue and costs'!V113+'Revenue and costs'!Y113+'Revenue and costs'!AE113,0)+IF(AND(12&gt;=(13-'Assumptions'!$J$136)+'Assumptions'!$AF$136,12&lt;=12),'Revenue and costs'!N114/'Assumptions'!$J$136,0)-IF(AND(12&gt;=(13-'Assumptions'!$J$136),12&lt;=12),SUM('Revenue and costs'!O114:U114)/'Assumptions'!$J$136,0)-IF(12=(13-'Assumptions'!$J$136)-1,'Revenue and costs'!V114+'Revenue and costs'!Y114+'Revenue and costs'!AE114,0)+IF(AND(12&gt;=(13-'Assumptions'!$J$137)+'Assumptions'!$AF$137,12&lt;=12),'Revenue and costs'!N115/'Assumptions'!$J$137,0)-IF(AND(12&gt;=(13-'Assumptions'!$J$137),12&lt;=12),SUM('Revenue and costs'!O115:U115)/'Assumptions'!$J$137,0)-IF(12=(13-'Assumptions'!$J$137)-1,'Revenue and costs'!V115+'Revenue and costs'!Y115+'Revenue and costs'!AE115,0)-'Segment tax'!G38/12-'Segment tax'!L38</x:f>
        <x:v>-1848.7832613182031</x:v>
      </x:c>
      <x:c r="Q57" s="24" t="n">
        <x:f>MAX(0,-MIN(D57:P57))</x:f>
        <x:v>1848.7832613182031</x:v>
      </x:c>
    </x:row>
    <x:row r="58" ht="30" customHeight="1">
      <x:c r="A58" s="1"/>
      <x:c r="B58" s="1"/>
      <x:c r="C58" s="23" t="str">
        <x:v>LesPetitFilms</x:v>
      </x:c>
      <x:c r="D58" s="24" t="n">
        <x:f>IF(AND(0&gt;=(13-'Assumptions'!$J$138)+'Assumptions'!$AF$138,0&lt;=12),'Revenue and costs'!N116/'Assumptions'!$J$138,0)-IF(AND(0&gt;=(13-'Assumptions'!$J$138),0&lt;=12),SUM('Revenue and costs'!O116:U116)/'Assumptions'!$J$138,0)-IF(0=(13-'Assumptions'!$J$138)-1,'Revenue and costs'!V116+'Revenue and costs'!Y116+'Revenue and costs'!AE116,0)+IF(AND(0&gt;=(13-'Assumptions'!$J$139)+'Assumptions'!$AF$139,0&lt;=12),'Revenue and costs'!N117/'Assumptions'!$J$139,0)-IF(AND(0&gt;=(13-'Assumptions'!$J$139),0&lt;=12),SUM('Revenue and costs'!O117:U117)/'Assumptions'!$J$139,0)-IF(0=(13-'Assumptions'!$J$139)-1,'Revenue and costs'!V117+'Revenue and costs'!Y117+'Revenue and costs'!AE117,0)+IF(AND(0&gt;=(13-'Assumptions'!$J$140)+'Assumptions'!$AF$140,0&lt;=12),'Revenue and costs'!N118/'Assumptions'!$J$140,0)-IF(AND(0&gt;=(13-'Assumptions'!$J$140),0&lt;=12),SUM('Revenue and costs'!O118:U118)/'Assumptions'!$J$140,0)-IF(0=(13-'Assumptions'!$J$140)-1,'Revenue and costs'!V118+'Revenue and costs'!Y118+'Revenue and costs'!AE118,0)-IF('Income statement'!D50=0,1/39,'Segment tax'!E39/'Income statement'!D50)*'Cash and capital'!D13</x:f>
        <x:v>-32.87480713495599</x:v>
      </x:c>
      <x:c r="E58" s="24" t="n">
        <x:f>D58+IF(AND(1&gt;=(13-'Assumptions'!$J$138)+'Assumptions'!$AF$138,1&lt;=12),'Revenue and costs'!N116/'Assumptions'!$J$138,0)-IF(AND(1&gt;=(13-'Assumptions'!$J$138),1&lt;=12),SUM('Revenue and costs'!O116:U116)/'Assumptions'!$J$138,0)-IF(1=(13-'Assumptions'!$J$138)-1,'Revenue and costs'!V116+'Revenue and costs'!Y116+'Revenue and costs'!AE116,0)+IF(AND(1&gt;=(13-'Assumptions'!$J$139)+'Assumptions'!$AF$139,1&lt;=12),'Revenue and costs'!N117/'Assumptions'!$J$139,0)-IF(AND(1&gt;=(13-'Assumptions'!$J$139),1&lt;=12),SUM('Revenue and costs'!O117:U117)/'Assumptions'!$J$139,0)-IF(1=(13-'Assumptions'!$J$139)-1,'Revenue and costs'!V117+'Revenue and costs'!Y117+'Revenue and costs'!AE117,0)+IF(AND(1&gt;=(13-'Assumptions'!$J$140)+'Assumptions'!$AF$140,1&lt;=12),'Revenue and costs'!N118/'Assumptions'!$J$140,0)-IF(AND(1&gt;=(13-'Assumptions'!$J$140),1&lt;=12),SUM('Revenue and costs'!O118:U118)/'Assumptions'!$J$140,0)-IF(1=(13-'Assumptions'!$J$140)-1,'Revenue and costs'!V118+'Revenue and costs'!Y118+'Revenue and costs'!AE118,0)-'Segment tax'!G39/12</x:f>
        <x:v>-160.31947612813536</x:v>
      </x:c>
      <x:c r="F58" s="24" t="n">
        <x:f>E58+IF(AND(2&gt;=(13-'Assumptions'!$J$138)+'Assumptions'!$AF$138,2&lt;=12),'Revenue and costs'!N116/'Assumptions'!$J$138,0)-IF(AND(2&gt;=(13-'Assumptions'!$J$138),2&lt;=12),SUM('Revenue and costs'!O116:U116)/'Assumptions'!$J$138,0)-IF(2=(13-'Assumptions'!$J$138)-1,'Revenue and costs'!V116+'Revenue and costs'!Y116+'Revenue and costs'!AE116,0)+IF(AND(2&gt;=(13-'Assumptions'!$J$139)+'Assumptions'!$AF$139,2&lt;=12),'Revenue and costs'!N117/'Assumptions'!$J$139,0)-IF(AND(2&gt;=(13-'Assumptions'!$J$139),2&lt;=12),SUM('Revenue and costs'!O117:U117)/'Assumptions'!$J$139,0)-IF(2=(13-'Assumptions'!$J$139)-1,'Revenue and costs'!V117+'Revenue and costs'!Y117+'Revenue and costs'!AE117,0)+IF(AND(2&gt;=(13-'Assumptions'!$J$140)+'Assumptions'!$AF$140,2&lt;=12),'Revenue and costs'!N118/'Assumptions'!$J$140,0)-IF(AND(2&gt;=(13-'Assumptions'!$J$140),2&lt;=12),SUM('Revenue and costs'!O118:U118)/'Assumptions'!$J$140,0)-IF(2=(13-'Assumptions'!$J$140)-1,'Revenue and costs'!V118+'Revenue and costs'!Y118+'Revenue and costs'!AE118,0)-'Segment tax'!G39/12</x:f>
        <x:v>-287.76414512131475</x:v>
      </x:c>
      <x:c r="G58" s="24" t="n">
        <x:f>F58+IF(AND(3&gt;=(13-'Assumptions'!$J$138)+'Assumptions'!$AF$138,3&lt;=12),'Revenue and costs'!N116/'Assumptions'!$J$138,0)-IF(AND(3&gt;=(13-'Assumptions'!$J$138),3&lt;=12),SUM('Revenue and costs'!O116:U116)/'Assumptions'!$J$138,0)-IF(3=(13-'Assumptions'!$J$138)-1,'Revenue and costs'!V116+'Revenue and costs'!Y116+'Revenue and costs'!AE116,0)+IF(AND(3&gt;=(13-'Assumptions'!$J$139)+'Assumptions'!$AF$139,3&lt;=12),'Revenue and costs'!N117/'Assumptions'!$J$139,0)-IF(AND(3&gt;=(13-'Assumptions'!$J$139),3&lt;=12),SUM('Revenue and costs'!O117:U117)/'Assumptions'!$J$139,0)-IF(3=(13-'Assumptions'!$J$139)-1,'Revenue and costs'!V117+'Revenue and costs'!Y117+'Revenue and costs'!AE117,0)+IF(AND(3&gt;=(13-'Assumptions'!$J$140)+'Assumptions'!$AF$140,3&lt;=12),'Revenue and costs'!N118/'Assumptions'!$J$140,0)-IF(AND(3&gt;=(13-'Assumptions'!$J$140),3&lt;=12),SUM('Revenue and costs'!O118:U118)/'Assumptions'!$J$140,0)-IF(3=(13-'Assumptions'!$J$140)-1,'Revenue and costs'!V118+'Revenue and costs'!Y118+'Revenue and costs'!AE118,0)-'Segment tax'!G39/12</x:f>
        <x:v>-415.20881411449415</x:v>
      </x:c>
      <x:c r="H58" s="24" t="n">
        <x:f>G58+IF(AND(4&gt;=(13-'Assumptions'!$J$138)+'Assumptions'!$AF$138,4&lt;=12),'Revenue and costs'!N116/'Assumptions'!$J$138,0)-IF(AND(4&gt;=(13-'Assumptions'!$J$138),4&lt;=12),SUM('Revenue and costs'!O116:U116)/'Assumptions'!$J$138,0)-IF(4=(13-'Assumptions'!$J$138)-1,'Revenue and costs'!V116+'Revenue and costs'!Y116+'Revenue and costs'!AE116,0)+IF(AND(4&gt;=(13-'Assumptions'!$J$139)+'Assumptions'!$AF$139,4&lt;=12),'Revenue and costs'!N117/'Assumptions'!$J$139,0)-IF(AND(4&gt;=(13-'Assumptions'!$J$139),4&lt;=12),SUM('Revenue and costs'!O117:U117)/'Assumptions'!$J$139,0)-IF(4=(13-'Assumptions'!$J$139)-1,'Revenue and costs'!V117+'Revenue and costs'!Y117+'Revenue and costs'!AE117,0)+IF(AND(4&gt;=(13-'Assumptions'!$J$140)+'Assumptions'!$AF$140,4&lt;=12),'Revenue and costs'!N118/'Assumptions'!$J$140,0)-IF(AND(4&gt;=(13-'Assumptions'!$J$140),4&lt;=12),SUM('Revenue and costs'!O118:U118)/'Assumptions'!$J$140,0)-IF(4=(13-'Assumptions'!$J$140)-1,'Revenue and costs'!V118+'Revenue and costs'!Y118+'Revenue and costs'!AE118,0)-'Segment tax'!G39/12</x:f>
        <x:v>-542.6534831076735</x:v>
      </x:c>
      <x:c r="I58" s="24" t="n">
        <x:f>H58+IF(AND(5&gt;=(13-'Assumptions'!$J$138)+'Assumptions'!$AF$138,5&lt;=12),'Revenue and costs'!N116/'Assumptions'!$J$138,0)-IF(AND(5&gt;=(13-'Assumptions'!$J$138),5&lt;=12),SUM('Revenue and costs'!O116:U116)/'Assumptions'!$J$138,0)-IF(5=(13-'Assumptions'!$J$138)-1,'Revenue and costs'!V116+'Revenue and costs'!Y116+'Revenue and costs'!AE116,0)+IF(AND(5&gt;=(13-'Assumptions'!$J$139)+'Assumptions'!$AF$139,5&lt;=12),'Revenue and costs'!N117/'Assumptions'!$J$139,0)-IF(AND(5&gt;=(13-'Assumptions'!$J$139),5&lt;=12),SUM('Revenue and costs'!O117:U117)/'Assumptions'!$J$139,0)-IF(5=(13-'Assumptions'!$J$139)-1,'Revenue and costs'!V117+'Revenue and costs'!Y117+'Revenue and costs'!AE117,0)+IF(AND(5&gt;=(13-'Assumptions'!$J$140)+'Assumptions'!$AF$140,5&lt;=12),'Revenue and costs'!N118/'Assumptions'!$J$140,0)-IF(AND(5&gt;=(13-'Assumptions'!$J$140),5&lt;=12),SUM('Revenue and costs'!O118:U118)/'Assumptions'!$J$140,0)-IF(5=(13-'Assumptions'!$J$140)-1,'Revenue and costs'!V118+'Revenue and costs'!Y118+'Revenue and costs'!AE118,0)-'Segment tax'!G39/12</x:f>
        <x:v>-670.0981521008529</x:v>
      </x:c>
      <x:c r="J58" s="24" t="n">
        <x:f>I58+IF(AND(6&gt;=(13-'Assumptions'!$J$138)+'Assumptions'!$AF$138,6&lt;=12),'Revenue and costs'!N116/'Assumptions'!$J$138,0)-IF(AND(6&gt;=(13-'Assumptions'!$J$138),6&lt;=12),SUM('Revenue and costs'!O116:U116)/'Assumptions'!$J$138,0)-IF(6=(13-'Assumptions'!$J$138)-1,'Revenue and costs'!V116+'Revenue and costs'!Y116+'Revenue and costs'!AE116,0)+IF(AND(6&gt;=(13-'Assumptions'!$J$139)+'Assumptions'!$AF$139,6&lt;=12),'Revenue and costs'!N117/'Assumptions'!$J$139,0)-IF(AND(6&gt;=(13-'Assumptions'!$J$139),6&lt;=12),SUM('Revenue and costs'!O117:U117)/'Assumptions'!$J$139,0)-IF(6=(13-'Assumptions'!$J$139)-1,'Revenue and costs'!V117+'Revenue and costs'!Y117+'Revenue and costs'!AE117,0)+IF(AND(6&gt;=(13-'Assumptions'!$J$140)+'Assumptions'!$AF$140,6&lt;=12),'Revenue and costs'!N118/'Assumptions'!$J$140,0)-IF(AND(6&gt;=(13-'Assumptions'!$J$140),6&lt;=12),SUM('Revenue and costs'!O118:U118)/'Assumptions'!$J$140,0)-IF(6=(13-'Assumptions'!$J$140)-1,'Revenue and costs'!V118+'Revenue and costs'!Y118+'Revenue and costs'!AE118,0)-'Segment tax'!G39/12</x:f>
        <x:v>-1214.209487760699</x:v>
      </x:c>
      <x:c r="K58" s="24" t="n">
        <x:f>J58+IF(AND(7&gt;=(13-'Assumptions'!$J$138)+'Assumptions'!$AF$138,7&lt;=12),'Revenue and costs'!N116/'Assumptions'!$J$138,0)-IF(AND(7&gt;=(13-'Assumptions'!$J$138),7&lt;=12),SUM('Revenue and costs'!O116:U116)/'Assumptions'!$J$138,0)-IF(7=(13-'Assumptions'!$J$138)-1,'Revenue and costs'!V116+'Revenue and costs'!Y116+'Revenue and costs'!AE116,0)+IF(AND(7&gt;=(13-'Assumptions'!$J$139)+'Assumptions'!$AF$139,7&lt;=12),'Revenue and costs'!N117/'Assumptions'!$J$139,0)-IF(AND(7&gt;=(13-'Assumptions'!$J$139),7&lt;=12),SUM('Revenue and costs'!O117:U117)/'Assumptions'!$J$139,0)-IF(7=(13-'Assumptions'!$J$139)-1,'Revenue and costs'!V117+'Revenue and costs'!Y117+'Revenue and costs'!AE117,0)+IF(AND(7&gt;=(13-'Assumptions'!$J$140)+'Assumptions'!$AF$140,7&lt;=12),'Revenue and costs'!N118/'Assumptions'!$J$140,0)-IF(AND(7&gt;=(13-'Assumptions'!$J$140),7&lt;=12),SUM('Revenue and costs'!O118:U118)/'Assumptions'!$J$140,0)-IF(7=(13-'Assumptions'!$J$140)-1,'Revenue and costs'!V118+'Revenue and costs'!Y118+'Revenue and costs'!AE118,0)-'Segment tax'!G39/12</x:f>
        <x:v>-3372.654156753878</x:v>
      </x:c>
      <x:c r="L58" s="24" t="n">
        <x:f>K58+IF(AND(8&gt;=(13-'Assumptions'!$J$138)+'Assumptions'!$AF$138,8&lt;=12),'Revenue and costs'!N116/'Assumptions'!$J$138,0)-IF(AND(8&gt;=(13-'Assumptions'!$J$138),8&lt;=12),SUM('Revenue and costs'!O116:U116)/'Assumptions'!$J$138,0)-IF(8=(13-'Assumptions'!$J$138)-1,'Revenue and costs'!V116+'Revenue and costs'!Y116+'Revenue and costs'!AE116,0)+IF(AND(8&gt;=(13-'Assumptions'!$J$139)+'Assumptions'!$AF$139,8&lt;=12),'Revenue and costs'!N117/'Assumptions'!$J$139,0)-IF(AND(8&gt;=(13-'Assumptions'!$J$139),8&lt;=12),SUM('Revenue and costs'!O117:U117)/'Assumptions'!$J$139,0)-IF(8=(13-'Assumptions'!$J$139)-1,'Revenue and costs'!V117+'Revenue and costs'!Y117+'Revenue and costs'!AE117,0)+IF(AND(8&gt;=(13-'Assumptions'!$J$140)+'Assumptions'!$AF$140,8&lt;=12),'Revenue and costs'!N118/'Assumptions'!$J$140,0)-IF(AND(8&gt;=(13-'Assumptions'!$J$140),8&lt;=12),SUM('Revenue and costs'!O118:U118)/'Assumptions'!$J$140,0)-IF(8=(13-'Assumptions'!$J$140)-1,'Revenue and costs'!V118+'Revenue and costs'!Y118+'Revenue and costs'!AE118,0)-'Segment tax'!G39/12</x:f>
        <x:v>-1812.765492413724</x:v>
      </x:c>
      <x:c r="M58" s="24" t="n">
        <x:f>L58+IF(AND(9&gt;=(13-'Assumptions'!$J$138)+'Assumptions'!$AF$138,9&lt;=12),'Revenue and costs'!N116/'Assumptions'!$J$138,0)-IF(AND(9&gt;=(13-'Assumptions'!$J$138),9&lt;=12),SUM('Revenue and costs'!O116:U116)/'Assumptions'!$J$138,0)-IF(9=(13-'Assumptions'!$J$138)-1,'Revenue and costs'!V116+'Revenue and costs'!Y116+'Revenue and costs'!AE116,0)+IF(AND(9&gt;=(13-'Assumptions'!$J$139)+'Assumptions'!$AF$139,9&lt;=12),'Revenue and costs'!N117/'Assumptions'!$J$139,0)-IF(AND(9&gt;=(13-'Assumptions'!$J$139),9&lt;=12),SUM('Revenue and costs'!O117:U117)/'Assumptions'!$J$139,0)-IF(9=(13-'Assumptions'!$J$139)-1,'Revenue and costs'!V117+'Revenue and costs'!Y117+'Revenue and costs'!AE117,0)+IF(AND(9&gt;=(13-'Assumptions'!$J$140)+'Assumptions'!$AF$140,9&lt;=12),'Revenue and costs'!N118/'Assumptions'!$J$140,0)-IF(AND(9&gt;=(13-'Assumptions'!$J$140),9&lt;=12),SUM('Revenue and costs'!O118:U118)/'Assumptions'!$J$140,0)-IF(9=(13-'Assumptions'!$J$140)-1,'Revenue and costs'!V118+'Revenue and costs'!Y118+'Revenue and costs'!AE118,0)-'Segment tax'!G39/12</x:f>
        <x:v>-252.87682807356975</x:v>
      </x:c>
      <x:c r="N58" s="24" t="n">
        <x:f>M58+IF(AND(10&gt;=(13-'Assumptions'!$J$138)+'Assumptions'!$AF$138,10&lt;=12),'Revenue and costs'!N116/'Assumptions'!$J$138,0)-IF(AND(10&gt;=(13-'Assumptions'!$J$138),10&lt;=12),SUM('Revenue and costs'!O116:U116)/'Assumptions'!$J$138,0)-IF(10=(13-'Assumptions'!$J$138)-1,'Revenue and costs'!V116+'Revenue and costs'!Y116+'Revenue and costs'!AE116,0)+IF(AND(10&gt;=(13-'Assumptions'!$J$139)+'Assumptions'!$AF$139,10&lt;=12),'Revenue and costs'!N117/'Assumptions'!$J$139,0)-IF(AND(10&gt;=(13-'Assumptions'!$J$139),10&lt;=12),SUM('Revenue and costs'!O117:U117)/'Assumptions'!$J$139,0)-IF(10=(13-'Assumptions'!$J$139)-1,'Revenue and costs'!V117+'Revenue and costs'!Y117+'Revenue and costs'!AE117,0)+IF(AND(10&gt;=(13-'Assumptions'!$J$140)+'Assumptions'!$AF$140,10&lt;=12),'Revenue and costs'!N118/'Assumptions'!$J$140,0)-IF(AND(10&gt;=(13-'Assumptions'!$J$140),10&lt;=12),SUM('Revenue and costs'!O118:U118)/'Assumptions'!$J$140,0)-IF(10=(13-'Assumptions'!$J$140)-1,'Revenue and costs'!V118+'Revenue and costs'!Y118+'Revenue and costs'!AE118,0)-'Segment tax'!G39/12</x:f>
        <x:v>1307.0118362665842</x:v>
      </x:c>
      <x:c r="O58" s="24" t="n">
        <x:f>N58+IF(AND(11&gt;=(13-'Assumptions'!$J$138)+'Assumptions'!$AF$138,11&lt;=12),'Revenue and costs'!N116/'Assumptions'!$J$138,0)-IF(AND(11&gt;=(13-'Assumptions'!$J$138),11&lt;=12),SUM('Revenue and costs'!O116:U116)/'Assumptions'!$J$138,0)-IF(11=(13-'Assumptions'!$J$138)-1,'Revenue and costs'!V116+'Revenue and costs'!Y116+'Revenue and costs'!AE116,0)+IF(AND(11&gt;=(13-'Assumptions'!$J$139)+'Assumptions'!$AF$139,11&lt;=12),'Revenue and costs'!N117/'Assumptions'!$J$139,0)-IF(AND(11&gt;=(13-'Assumptions'!$J$139),11&lt;=12),SUM('Revenue and costs'!O117:U117)/'Assumptions'!$J$139,0)-IF(11=(13-'Assumptions'!$J$139)-1,'Revenue and costs'!V117+'Revenue and costs'!Y117+'Revenue and costs'!AE117,0)+IF(AND(11&gt;=(13-'Assumptions'!$J$140)+'Assumptions'!$AF$140,11&lt;=12),'Revenue and costs'!N118/'Assumptions'!$J$140,0)-IF(AND(11&gt;=(13-'Assumptions'!$J$140),11&lt;=12),SUM('Revenue and costs'!O118:U118)/'Assumptions'!$J$140,0)-IF(11=(13-'Assumptions'!$J$140)-1,'Revenue and costs'!V118+'Revenue and costs'!Y118+'Revenue and costs'!AE118,0)-'Segment tax'!G39/12</x:f>
        <x:v>2866.9005006067387</x:v>
      </x:c>
      <x:c r="P58" s="24" t="n">
        <x:f>O58+IF(AND(12&gt;=(13-'Assumptions'!$J$138)+'Assumptions'!$AF$138,12&lt;=12),'Revenue and costs'!N116/'Assumptions'!$J$138,0)-IF(AND(12&gt;=(13-'Assumptions'!$J$138),12&lt;=12),SUM('Revenue and costs'!O116:U116)/'Assumptions'!$J$138,0)-IF(12=(13-'Assumptions'!$J$138)-1,'Revenue and costs'!V116+'Revenue and costs'!Y116+'Revenue and costs'!AE116,0)+IF(AND(12&gt;=(13-'Assumptions'!$J$139)+'Assumptions'!$AF$139,12&lt;=12),'Revenue and costs'!N117/'Assumptions'!$J$139,0)-IF(AND(12&gt;=(13-'Assumptions'!$J$139),12&lt;=12),SUM('Revenue and costs'!O117:U117)/'Assumptions'!$J$139,0)-IF(12=(13-'Assumptions'!$J$139)-1,'Revenue and costs'!V117+'Revenue and costs'!Y117+'Revenue and costs'!AE117,0)+IF(AND(12&gt;=(13-'Assumptions'!$J$140)+'Assumptions'!$AF$140,12&lt;=12),'Revenue and costs'!N118/'Assumptions'!$J$140,0)-IF(AND(12&gt;=(13-'Assumptions'!$J$140),12&lt;=12),SUM('Revenue and costs'!O118:U118)/'Assumptions'!$J$140,0)-IF(12=(13-'Assumptions'!$J$140)-1,'Revenue and costs'!V118+'Revenue and costs'!Y118+'Revenue and costs'!AE118,0)-'Segment tax'!G39/12-'Segment tax'!L39</x:f>
        <x:v>2280.8627391876776</x:v>
      </x:c>
      <x:c r="Q58" s="24" t="n">
        <x:f>MAX(0,-MIN(D58:P58))</x:f>
        <x:v>3372.654156753878</x:v>
      </x:c>
    </x:row>
    <x:row r="59" ht="30" customHeight="1">
      <x:c r="A59" s="1"/>
      <x:c r="B59" s="1"/>
      <x:c r="C59" s="23" t="str">
        <x:v>Learn Anglais</x:v>
      </x:c>
      <x:c r="D59" s="24" t="n">
        <x:f>IF(AND(0&gt;=(13-'Assumptions'!$J$141)+'Assumptions'!$AF$141,0&lt;=12),'Revenue and costs'!N119/'Assumptions'!$J$141,0)-IF(AND(0&gt;=(13-'Assumptions'!$J$141),0&lt;=12),SUM('Revenue and costs'!O119:U119)/'Assumptions'!$J$141,0)-IF(0=(13-'Assumptions'!$J$141)-1,'Revenue and costs'!V119+'Revenue and costs'!Y119+'Revenue and costs'!AE119,0)+IF(AND(0&gt;=(13-'Assumptions'!$J$142)+'Assumptions'!$AF$142,0&lt;=12),'Revenue and costs'!N120/'Assumptions'!$J$142,0)-IF(AND(0&gt;=(13-'Assumptions'!$J$142),0&lt;=12),SUM('Revenue and costs'!O120:U120)/'Assumptions'!$J$142,0)-IF(0=(13-'Assumptions'!$J$142)-1,'Revenue and costs'!V120+'Revenue and costs'!Y120+'Revenue and costs'!AE120,0)+IF(AND(0&gt;=(13-'Assumptions'!$J$143)+'Assumptions'!$AF$143,0&lt;=12),'Revenue and costs'!N121/'Assumptions'!$J$143,0)-IF(AND(0&gt;=(13-'Assumptions'!$J$143),0&lt;=12),SUM('Revenue and costs'!O121:U121)/'Assumptions'!$J$143,0)-IF(0=(13-'Assumptions'!$J$143)-1,'Revenue and costs'!V121+'Revenue and costs'!Y121+'Revenue and costs'!AE121,0)+IF(AND(0&gt;=(13-'Assumptions'!$J$144)+'Assumptions'!$AF$144,0&lt;=12),'Revenue and costs'!N122/'Assumptions'!$J$144,0)-IF(AND(0&gt;=(13-'Assumptions'!$J$144),0&lt;=12),SUM('Revenue and costs'!O122:U122)/'Assumptions'!$J$144,0)-IF(0=(13-'Assumptions'!$J$144)-1,'Revenue and costs'!V122+'Revenue and costs'!Y122+'Revenue and costs'!AE122,0)+IF(AND(0&gt;=(13-'Assumptions'!$J$156)+'Assumptions'!$AF$156,0&lt;=12),'Revenue and costs'!N134/'Assumptions'!$J$156,0)-IF(AND(0&gt;=(13-'Assumptions'!$J$156),0&lt;=12),SUM('Revenue and costs'!O134:U134)/'Assumptions'!$J$156,0)-IF(0=(13-'Assumptions'!$J$156)-1,'Revenue and costs'!V134+'Revenue and costs'!Y134+'Revenue and costs'!AE134,0)+IF(AND(0&gt;=(13-'Assumptions'!$J$157)+'Assumptions'!$AF$157,0&lt;=12),'Revenue and costs'!N135/'Assumptions'!$J$157,0)-IF(AND(0&gt;=(13-'Assumptions'!$J$157),0&lt;=12),SUM('Revenue and costs'!O135:U135)/'Assumptions'!$J$157,0)-IF(0=(13-'Assumptions'!$J$157)-1,'Revenue and costs'!V135+'Revenue and costs'!Y135+'Revenue and costs'!AE135,0)-IF('Income statement'!D50=0,1/39,'Segment tax'!E40/'Income statement'!D50)*'Cash and capital'!D13</x:f>
        <x:v>-38.463524347898506</x:v>
      </x:c>
      <x:c r="E59" s="24" t="n">
        <x:f>D59+IF(AND(1&gt;=(13-'Assumptions'!$J$141)+'Assumptions'!$AF$141,1&lt;=12),'Revenue and costs'!N119/'Assumptions'!$J$141,0)-IF(AND(1&gt;=(13-'Assumptions'!$J$141),1&lt;=12),SUM('Revenue and costs'!O119:U119)/'Assumptions'!$J$141,0)-IF(1=(13-'Assumptions'!$J$141)-1,'Revenue and costs'!V119+'Revenue and costs'!Y119+'Revenue and costs'!AE119,0)+IF(AND(1&gt;=(13-'Assumptions'!$J$142)+'Assumptions'!$AF$142,1&lt;=12),'Revenue and costs'!N120/'Assumptions'!$J$142,0)-IF(AND(1&gt;=(13-'Assumptions'!$J$142),1&lt;=12),SUM('Revenue and costs'!O120:U120)/'Assumptions'!$J$142,0)-IF(1=(13-'Assumptions'!$J$142)-1,'Revenue and costs'!V120+'Revenue and costs'!Y120+'Revenue and costs'!AE120,0)+IF(AND(1&gt;=(13-'Assumptions'!$J$143)+'Assumptions'!$AF$143,1&lt;=12),'Revenue and costs'!N121/'Assumptions'!$J$143,0)-IF(AND(1&gt;=(13-'Assumptions'!$J$143),1&lt;=12),SUM('Revenue and costs'!O121:U121)/'Assumptions'!$J$143,0)-IF(1=(13-'Assumptions'!$J$143)-1,'Revenue and costs'!V121+'Revenue and costs'!Y121+'Revenue and costs'!AE121,0)+IF(AND(1&gt;=(13-'Assumptions'!$J$144)+'Assumptions'!$AF$144,1&lt;=12),'Revenue and costs'!N122/'Assumptions'!$J$144,0)-IF(AND(1&gt;=(13-'Assumptions'!$J$144),1&lt;=12),SUM('Revenue and costs'!O122:U122)/'Assumptions'!$J$144,0)-IF(1=(13-'Assumptions'!$J$144)-1,'Revenue and costs'!V122+'Revenue and costs'!Y122+'Revenue and costs'!AE122,0)+IF(AND(1&gt;=(13-'Assumptions'!$J$156)+'Assumptions'!$AF$156,1&lt;=12),'Revenue and costs'!N134/'Assumptions'!$J$156,0)-IF(AND(1&gt;=(13-'Assumptions'!$J$156),1&lt;=12),SUM('Revenue and costs'!O134:U134)/'Assumptions'!$J$156,0)-IF(1=(13-'Assumptions'!$J$156)-1,'Revenue and costs'!V134+'Revenue and costs'!Y134+'Revenue and costs'!AE134,0)+IF(AND(1&gt;=(13-'Assumptions'!$J$157)+'Assumptions'!$AF$157,1&lt;=12),'Revenue and costs'!N135/'Assumptions'!$J$157,0)-IF(AND(1&gt;=(13-'Assumptions'!$J$157),1&lt;=12),SUM('Revenue and costs'!O135:U135)/'Assumptions'!$J$157,0)-IF(1=(13-'Assumptions'!$J$157)-1,'Revenue and costs'!V135+'Revenue and costs'!Y135+'Revenue and costs'!AE135,0)-'Segment tax'!G40/12</x:f>
        <x:v>-187.57378706991838</x:v>
      </x:c>
      <x:c r="F59" s="24" t="n">
        <x:f>E59+IF(AND(2&gt;=(13-'Assumptions'!$J$141)+'Assumptions'!$AF$141,2&lt;=12),'Revenue and costs'!N119/'Assumptions'!$J$141,0)-IF(AND(2&gt;=(13-'Assumptions'!$J$141),2&lt;=12),SUM('Revenue and costs'!O119:U119)/'Assumptions'!$J$141,0)-IF(2=(13-'Assumptions'!$J$141)-1,'Revenue and costs'!V119+'Revenue and costs'!Y119+'Revenue and costs'!AE119,0)+IF(AND(2&gt;=(13-'Assumptions'!$J$142)+'Assumptions'!$AF$142,2&lt;=12),'Revenue and costs'!N120/'Assumptions'!$J$142,0)-IF(AND(2&gt;=(13-'Assumptions'!$J$142),2&lt;=12),SUM('Revenue and costs'!O120:U120)/'Assumptions'!$J$142,0)-IF(2=(13-'Assumptions'!$J$142)-1,'Revenue and costs'!V120+'Revenue and costs'!Y120+'Revenue and costs'!AE120,0)+IF(AND(2&gt;=(13-'Assumptions'!$J$143)+'Assumptions'!$AF$143,2&lt;=12),'Revenue and costs'!N121/'Assumptions'!$J$143,0)-IF(AND(2&gt;=(13-'Assumptions'!$J$143),2&lt;=12),SUM('Revenue and costs'!O121:U121)/'Assumptions'!$J$143,0)-IF(2=(13-'Assumptions'!$J$143)-1,'Revenue and costs'!V121+'Revenue and costs'!Y121+'Revenue and costs'!AE121,0)+IF(AND(2&gt;=(13-'Assumptions'!$J$144)+'Assumptions'!$AF$144,2&lt;=12),'Revenue and costs'!N122/'Assumptions'!$J$144,0)-IF(AND(2&gt;=(13-'Assumptions'!$J$144),2&lt;=12),SUM('Revenue and costs'!O122:U122)/'Assumptions'!$J$144,0)-IF(2=(13-'Assumptions'!$J$144)-1,'Revenue and costs'!V122+'Revenue and costs'!Y122+'Revenue and costs'!AE122,0)+IF(AND(2&gt;=(13-'Assumptions'!$J$156)+'Assumptions'!$AF$156,2&lt;=12),'Revenue and costs'!N134/'Assumptions'!$J$156,0)-IF(AND(2&gt;=(13-'Assumptions'!$J$156),2&lt;=12),SUM('Revenue and costs'!O134:U134)/'Assumptions'!$J$156,0)-IF(2=(13-'Assumptions'!$J$156)-1,'Revenue and costs'!V134+'Revenue and costs'!Y134+'Revenue and costs'!AE134,0)+IF(AND(2&gt;=(13-'Assumptions'!$J$157)+'Assumptions'!$AF$157,2&lt;=12),'Revenue and costs'!N135/'Assumptions'!$J$157,0)-IF(AND(2&gt;=(13-'Assumptions'!$J$157),2&lt;=12),SUM('Revenue and costs'!O135:U135)/'Assumptions'!$J$157,0)-IF(2=(13-'Assumptions'!$J$157)-1,'Revenue and costs'!V135+'Revenue and costs'!Y135+'Revenue and costs'!AE135,0)-'Segment tax'!G40/12</x:f>
        <x:v>-336.68404979193826</x:v>
      </x:c>
      <x:c r="G59" s="24" t="n">
        <x:f>F59+IF(AND(3&gt;=(13-'Assumptions'!$J$141)+'Assumptions'!$AF$141,3&lt;=12),'Revenue and costs'!N119/'Assumptions'!$J$141,0)-IF(AND(3&gt;=(13-'Assumptions'!$J$141),3&lt;=12),SUM('Revenue and costs'!O119:U119)/'Assumptions'!$J$141,0)-IF(3=(13-'Assumptions'!$J$141)-1,'Revenue and costs'!V119+'Revenue and costs'!Y119+'Revenue and costs'!AE119,0)+IF(AND(3&gt;=(13-'Assumptions'!$J$142)+'Assumptions'!$AF$142,3&lt;=12),'Revenue and costs'!N120/'Assumptions'!$J$142,0)-IF(AND(3&gt;=(13-'Assumptions'!$J$142),3&lt;=12),SUM('Revenue and costs'!O120:U120)/'Assumptions'!$J$142,0)-IF(3=(13-'Assumptions'!$J$142)-1,'Revenue and costs'!V120+'Revenue and costs'!Y120+'Revenue and costs'!AE120,0)+IF(AND(3&gt;=(13-'Assumptions'!$J$143)+'Assumptions'!$AF$143,3&lt;=12),'Revenue and costs'!N121/'Assumptions'!$J$143,0)-IF(AND(3&gt;=(13-'Assumptions'!$J$143),3&lt;=12),SUM('Revenue and costs'!O121:U121)/'Assumptions'!$J$143,0)-IF(3=(13-'Assumptions'!$J$143)-1,'Revenue and costs'!V121+'Revenue and costs'!Y121+'Revenue and costs'!AE121,0)+IF(AND(3&gt;=(13-'Assumptions'!$J$144)+'Assumptions'!$AF$144,3&lt;=12),'Revenue and costs'!N122/'Assumptions'!$J$144,0)-IF(AND(3&gt;=(13-'Assumptions'!$J$144),3&lt;=12),SUM('Revenue and costs'!O122:U122)/'Assumptions'!$J$144,0)-IF(3=(13-'Assumptions'!$J$144)-1,'Revenue and costs'!V122+'Revenue and costs'!Y122+'Revenue and costs'!AE122,0)+IF(AND(3&gt;=(13-'Assumptions'!$J$156)+'Assumptions'!$AF$156,3&lt;=12),'Revenue and costs'!N134/'Assumptions'!$J$156,0)-IF(AND(3&gt;=(13-'Assumptions'!$J$156),3&lt;=12),SUM('Revenue and costs'!O134:U134)/'Assumptions'!$J$156,0)-IF(3=(13-'Assumptions'!$J$156)-1,'Revenue and costs'!V134+'Revenue and costs'!Y134+'Revenue and costs'!AE134,0)+IF(AND(3&gt;=(13-'Assumptions'!$J$157)+'Assumptions'!$AF$157,3&lt;=12),'Revenue and costs'!N135/'Assumptions'!$J$157,0)-IF(AND(3&gt;=(13-'Assumptions'!$J$157),3&lt;=12),SUM('Revenue and costs'!O135:U135)/'Assumptions'!$J$157,0)-IF(3=(13-'Assumptions'!$J$157)-1,'Revenue and costs'!V135+'Revenue and costs'!Y135+'Revenue and costs'!AE135,0)-'Segment tax'!G40/12</x:f>
        <x:v>-485.7943125139582</x:v>
      </x:c>
      <x:c r="H59" s="24" t="n">
        <x:f>G59+IF(AND(4&gt;=(13-'Assumptions'!$J$141)+'Assumptions'!$AF$141,4&lt;=12),'Revenue and costs'!N119/'Assumptions'!$J$141,0)-IF(AND(4&gt;=(13-'Assumptions'!$J$141),4&lt;=12),SUM('Revenue and costs'!O119:U119)/'Assumptions'!$J$141,0)-IF(4=(13-'Assumptions'!$J$141)-1,'Revenue and costs'!V119+'Revenue and costs'!Y119+'Revenue and costs'!AE119,0)+IF(AND(4&gt;=(13-'Assumptions'!$J$142)+'Assumptions'!$AF$142,4&lt;=12),'Revenue and costs'!N120/'Assumptions'!$J$142,0)-IF(AND(4&gt;=(13-'Assumptions'!$J$142),4&lt;=12),SUM('Revenue and costs'!O120:U120)/'Assumptions'!$J$142,0)-IF(4=(13-'Assumptions'!$J$142)-1,'Revenue and costs'!V120+'Revenue and costs'!Y120+'Revenue and costs'!AE120,0)+IF(AND(4&gt;=(13-'Assumptions'!$J$143)+'Assumptions'!$AF$143,4&lt;=12),'Revenue and costs'!N121/'Assumptions'!$J$143,0)-IF(AND(4&gt;=(13-'Assumptions'!$J$143),4&lt;=12),SUM('Revenue and costs'!O121:U121)/'Assumptions'!$J$143,0)-IF(4=(13-'Assumptions'!$J$143)-1,'Revenue and costs'!V121+'Revenue and costs'!Y121+'Revenue and costs'!AE121,0)+IF(AND(4&gt;=(13-'Assumptions'!$J$144)+'Assumptions'!$AF$144,4&lt;=12),'Revenue and costs'!N122/'Assumptions'!$J$144,0)-IF(AND(4&gt;=(13-'Assumptions'!$J$144),4&lt;=12),SUM('Revenue and costs'!O122:U122)/'Assumptions'!$J$144,0)-IF(4=(13-'Assumptions'!$J$144)-1,'Revenue and costs'!V122+'Revenue and costs'!Y122+'Revenue and costs'!AE122,0)+IF(AND(4&gt;=(13-'Assumptions'!$J$156)+'Assumptions'!$AF$156,4&lt;=12),'Revenue and costs'!N134/'Assumptions'!$J$156,0)-IF(AND(4&gt;=(13-'Assumptions'!$J$156),4&lt;=12),SUM('Revenue and costs'!O134:U134)/'Assumptions'!$J$156,0)-IF(4=(13-'Assumptions'!$J$156)-1,'Revenue and costs'!V134+'Revenue and costs'!Y134+'Revenue and costs'!AE134,0)+IF(AND(4&gt;=(13-'Assumptions'!$J$157)+'Assumptions'!$AF$157,4&lt;=12),'Revenue and costs'!N135/'Assumptions'!$J$157,0)-IF(AND(4&gt;=(13-'Assumptions'!$J$157),4&lt;=12),SUM('Revenue and costs'!O135:U135)/'Assumptions'!$J$157,0)-IF(4=(13-'Assumptions'!$J$157)-1,'Revenue and costs'!V135+'Revenue and costs'!Y135+'Revenue and costs'!AE135,0)-'Segment tax'!G40/12</x:f>
        <x:v>589.3104247640216</x:v>
      </x:c>
      <x:c r="I59" s="24" t="n">
        <x:f>H59+IF(AND(5&gt;=(13-'Assumptions'!$J$141)+'Assumptions'!$AF$141,5&lt;=12),'Revenue and costs'!N119/'Assumptions'!$J$141,0)-IF(AND(5&gt;=(13-'Assumptions'!$J$141),5&lt;=12),SUM('Revenue and costs'!O119:U119)/'Assumptions'!$J$141,0)-IF(5=(13-'Assumptions'!$J$141)-1,'Revenue and costs'!V119+'Revenue and costs'!Y119+'Revenue and costs'!AE119,0)+IF(AND(5&gt;=(13-'Assumptions'!$J$142)+'Assumptions'!$AF$142,5&lt;=12),'Revenue and costs'!N120/'Assumptions'!$J$142,0)-IF(AND(5&gt;=(13-'Assumptions'!$J$142),5&lt;=12),SUM('Revenue and costs'!O120:U120)/'Assumptions'!$J$142,0)-IF(5=(13-'Assumptions'!$J$142)-1,'Revenue and costs'!V120+'Revenue and costs'!Y120+'Revenue and costs'!AE120,0)+IF(AND(5&gt;=(13-'Assumptions'!$J$143)+'Assumptions'!$AF$143,5&lt;=12),'Revenue and costs'!N121/'Assumptions'!$J$143,0)-IF(AND(5&gt;=(13-'Assumptions'!$J$143),5&lt;=12),SUM('Revenue and costs'!O121:U121)/'Assumptions'!$J$143,0)-IF(5=(13-'Assumptions'!$J$143)-1,'Revenue and costs'!V121+'Revenue and costs'!Y121+'Revenue and costs'!AE121,0)+IF(AND(5&gt;=(13-'Assumptions'!$J$144)+'Assumptions'!$AF$144,5&lt;=12),'Revenue and costs'!N122/'Assumptions'!$J$144,0)-IF(AND(5&gt;=(13-'Assumptions'!$J$144),5&lt;=12),SUM('Revenue and costs'!O122:U122)/'Assumptions'!$J$144,0)-IF(5=(13-'Assumptions'!$J$144)-1,'Revenue and costs'!V122+'Revenue and costs'!Y122+'Revenue and costs'!AE122,0)+IF(AND(5&gt;=(13-'Assumptions'!$J$156)+'Assumptions'!$AF$156,5&lt;=12),'Revenue and costs'!N134/'Assumptions'!$J$156,0)-IF(AND(5&gt;=(13-'Assumptions'!$J$156),5&lt;=12),SUM('Revenue and costs'!O134:U134)/'Assumptions'!$J$156,0)-IF(5=(13-'Assumptions'!$J$156)-1,'Revenue and costs'!V134+'Revenue and costs'!Y134+'Revenue and costs'!AE134,0)+IF(AND(5&gt;=(13-'Assumptions'!$J$157)+'Assumptions'!$AF$157,5&lt;=12),'Revenue and costs'!N135/'Assumptions'!$J$157,0)-IF(AND(5&gt;=(13-'Assumptions'!$J$157),5&lt;=12),SUM('Revenue and costs'!O135:U135)/'Assumptions'!$J$157,0)-IF(5=(13-'Assumptions'!$J$157)-1,'Revenue and costs'!V135+'Revenue and costs'!Y135+'Revenue and costs'!AE135,0)-'Segment tax'!G40/12</x:f>
        <x:v>1664.4151620420016</x:v>
      </x:c>
      <x:c r="J59" s="24" t="n">
        <x:f>I59+IF(AND(6&gt;=(13-'Assumptions'!$J$141)+'Assumptions'!$AF$141,6&lt;=12),'Revenue and costs'!N119/'Assumptions'!$J$141,0)-IF(AND(6&gt;=(13-'Assumptions'!$J$141),6&lt;=12),SUM('Revenue and costs'!O119:U119)/'Assumptions'!$J$141,0)-IF(6=(13-'Assumptions'!$J$141)-1,'Revenue and costs'!V119+'Revenue and costs'!Y119+'Revenue and costs'!AE119,0)+IF(AND(6&gt;=(13-'Assumptions'!$J$142)+'Assumptions'!$AF$142,6&lt;=12),'Revenue and costs'!N120/'Assumptions'!$J$142,0)-IF(AND(6&gt;=(13-'Assumptions'!$J$142),6&lt;=12),SUM('Revenue and costs'!O120:U120)/'Assumptions'!$J$142,0)-IF(6=(13-'Assumptions'!$J$142)-1,'Revenue and costs'!V120+'Revenue and costs'!Y120+'Revenue and costs'!AE120,0)+IF(AND(6&gt;=(13-'Assumptions'!$J$143)+'Assumptions'!$AF$143,6&lt;=12),'Revenue and costs'!N121/'Assumptions'!$J$143,0)-IF(AND(6&gt;=(13-'Assumptions'!$J$143),6&lt;=12),SUM('Revenue and costs'!O121:U121)/'Assumptions'!$J$143,0)-IF(6=(13-'Assumptions'!$J$143)-1,'Revenue and costs'!V121+'Revenue and costs'!Y121+'Revenue and costs'!AE121,0)+IF(AND(6&gt;=(13-'Assumptions'!$J$144)+'Assumptions'!$AF$144,6&lt;=12),'Revenue and costs'!N122/'Assumptions'!$J$144,0)-IF(AND(6&gt;=(13-'Assumptions'!$J$144),6&lt;=12),SUM('Revenue and costs'!O122:U122)/'Assumptions'!$J$144,0)-IF(6=(13-'Assumptions'!$J$144)-1,'Revenue and costs'!V122+'Revenue and costs'!Y122+'Revenue and costs'!AE122,0)+IF(AND(6&gt;=(13-'Assumptions'!$J$156)+'Assumptions'!$AF$156,6&lt;=12),'Revenue and costs'!N134/'Assumptions'!$J$156,0)-IF(AND(6&gt;=(13-'Assumptions'!$J$156),6&lt;=12),SUM('Revenue and costs'!O134:U134)/'Assumptions'!$J$156,0)-IF(6=(13-'Assumptions'!$J$156)-1,'Revenue and costs'!V134+'Revenue and costs'!Y134+'Revenue and costs'!AE134,0)+IF(AND(6&gt;=(13-'Assumptions'!$J$157)+'Assumptions'!$AF$157,6&lt;=12),'Revenue and costs'!N135/'Assumptions'!$J$157,0)-IF(AND(6&gt;=(13-'Assumptions'!$J$157),6&lt;=12),SUM('Revenue and costs'!O135:U135)/'Assumptions'!$J$157,0)-IF(6=(13-'Assumptions'!$J$157)-1,'Revenue and costs'!V135+'Revenue and costs'!Y135+'Revenue and costs'!AE135,0)-'Segment tax'!G40/12</x:f>
        <x:v>2739.5198993199824</x:v>
      </x:c>
      <x:c r="K59" s="24" t="n">
        <x:f>J59+IF(AND(7&gt;=(13-'Assumptions'!$J$141)+'Assumptions'!$AF$141,7&lt;=12),'Revenue and costs'!N119/'Assumptions'!$J$141,0)-IF(AND(7&gt;=(13-'Assumptions'!$J$141),7&lt;=12),SUM('Revenue and costs'!O119:U119)/'Assumptions'!$J$141,0)-IF(7=(13-'Assumptions'!$J$141)-1,'Revenue and costs'!V119+'Revenue and costs'!Y119+'Revenue and costs'!AE119,0)+IF(AND(7&gt;=(13-'Assumptions'!$J$142)+'Assumptions'!$AF$142,7&lt;=12),'Revenue and costs'!N120/'Assumptions'!$J$142,0)-IF(AND(7&gt;=(13-'Assumptions'!$J$142),7&lt;=12),SUM('Revenue and costs'!O120:U120)/'Assumptions'!$J$142,0)-IF(7=(13-'Assumptions'!$J$142)-1,'Revenue and costs'!V120+'Revenue and costs'!Y120+'Revenue and costs'!AE120,0)+IF(AND(7&gt;=(13-'Assumptions'!$J$143)+'Assumptions'!$AF$143,7&lt;=12),'Revenue and costs'!N121/'Assumptions'!$J$143,0)-IF(AND(7&gt;=(13-'Assumptions'!$J$143),7&lt;=12),SUM('Revenue and costs'!O121:U121)/'Assumptions'!$J$143,0)-IF(7=(13-'Assumptions'!$J$143)-1,'Revenue and costs'!V121+'Revenue and costs'!Y121+'Revenue and costs'!AE121,0)+IF(AND(7&gt;=(13-'Assumptions'!$J$144)+'Assumptions'!$AF$144,7&lt;=12),'Revenue and costs'!N122/'Assumptions'!$J$144,0)-IF(AND(7&gt;=(13-'Assumptions'!$J$144),7&lt;=12),SUM('Revenue and costs'!O122:U122)/'Assumptions'!$J$144,0)-IF(7=(13-'Assumptions'!$J$144)-1,'Revenue and costs'!V122+'Revenue and costs'!Y122+'Revenue and costs'!AE122,0)+IF(AND(7&gt;=(13-'Assumptions'!$J$156)+'Assumptions'!$AF$156,7&lt;=12),'Revenue and costs'!N134/'Assumptions'!$J$156,0)-IF(AND(7&gt;=(13-'Assumptions'!$J$156),7&lt;=12),SUM('Revenue and costs'!O134:U134)/'Assumptions'!$J$156,0)-IF(7=(13-'Assumptions'!$J$156)-1,'Revenue and costs'!V134+'Revenue and costs'!Y134+'Revenue and costs'!AE134,0)+IF(AND(7&gt;=(13-'Assumptions'!$J$157)+'Assumptions'!$AF$157,7&lt;=12),'Revenue and costs'!N135/'Assumptions'!$J$157,0)-IF(AND(7&gt;=(13-'Assumptions'!$J$157),7&lt;=12),SUM('Revenue and costs'!O135:U135)/'Assumptions'!$J$157,0)-IF(7=(13-'Assumptions'!$J$157)-1,'Revenue and costs'!V135+'Revenue and costs'!Y135+'Revenue and costs'!AE135,0)-'Segment tax'!G40/12</x:f>
        <x:v>3863.9746365979627</x:v>
      </x:c>
      <x:c r="L59" s="24" t="n">
        <x:f>K59+IF(AND(8&gt;=(13-'Assumptions'!$J$141)+'Assumptions'!$AF$141,8&lt;=12),'Revenue and costs'!N119/'Assumptions'!$J$141,0)-IF(AND(8&gt;=(13-'Assumptions'!$J$141),8&lt;=12),SUM('Revenue and costs'!O119:U119)/'Assumptions'!$J$141,0)-IF(8=(13-'Assumptions'!$J$141)-1,'Revenue and costs'!V119+'Revenue and costs'!Y119+'Revenue and costs'!AE119,0)+IF(AND(8&gt;=(13-'Assumptions'!$J$142)+'Assumptions'!$AF$142,8&lt;=12),'Revenue and costs'!N120/'Assumptions'!$J$142,0)-IF(AND(8&gt;=(13-'Assumptions'!$J$142),8&lt;=12),SUM('Revenue and costs'!O120:U120)/'Assumptions'!$J$142,0)-IF(8=(13-'Assumptions'!$J$142)-1,'Revenue and costs'!V120+'Revenue and costs'!Y120+'Revenue and costs'!AE120,0)+IF(AND(8&gt;=(13-'Assumptions'!$J$143)+'Assumptions'!$AF$143,8&lt;=12),'Revenue and costs'!N121/'Assumptions'!$J$143,0)-IF(AND(8&gt;=(13-'Assumptions'!$J$143),8&lt;=12),SUM('Revenue and costs'!O121:U121)/'Assumptions'!$J$143,0)-IF(8=(13-'Assumptions'!$J$143)-1,'Revenue and costs'!V121+'Revenue and costs'!Y121+'Revenue and costs'!AE121,0)+IF(AND(8&gt;=(13-'Assumptions'!$J$144)+'Assumptions'!$AF$144,8&lt;=12),'Revenue and costs'!N122/'Assumptions'!$J$144,0)-IF(AND(8&gt;=(13-'Assumptions'!$J$144),8&lt;=12),SUM('Revenue and costs'!O122:U122)/'Assumptions'!$J$144,0)-IF(8=(13-'Assumptions'!$J$144)-1,'Revenue and costs'!V122+'Revenue and costs'!Y122+'Revenue and costs'!AE122,0)+IF(AND(8&gt;=(13-'Assumptions'!$J$156)+'Assumptions'!$AF$156,8&lt;=12),'Revenue and costs'!N134/'Assumptions'!$J$156,0)-IF(AND(8&gt;=(13-'Assumptions'!$J$156),8&lt;=12),SUM('Revenue and costs'!O134:U134)/'Assumptions'!$J$156,0)-IF(8=(13-'Assumptions'!$J$156)-1,'Revenue and costs'!V134+'Revenue and costs'!Y134+'Revenue and costs'!AE134,0)+IF(AND(8&gt;=(13-'Assumptions'!$J$157)+'Assumptions'!$AF$157,8&lt;=12),'Revenue and costs'!N135/'Assumptions'!$J$157,0)-IF(AND(8&gt;=(13-'Assumptions'!$J$157),8&lt;=12),SUM('Revenue and costs'!O135:U135)/'Assumptions'!$J$157,0)-IF(8=(13-'Assumptions'!$J$157)-1,'Revenue and costs'!V135+'Revenue and costs'!Y135+'Revenue and costs'!AE135,0)-'Segment tax'!G40/12</x:f>
        <x:v>4988.4293738759425</x:v>
      </x:c>
      <x:c r="M59" s="24" t="n">
        <x:f>L59+IF(AND(9&gt;=(13-'Assumptions'!$J$141)+'Assumptions'!$AF$141,9&lt;=12),'Revenue and costs'!N119/'Assumptions'!$J$141,0)-IF(AND(9&gt;=(13-'Assumptions'!$J$141),9&lt;=12),SUM('Revenue and costs'!O119:U119)/'Assumptions'!$J$141,0)-IF(9=(13-'Assumptions'!$J$141)-1,'Revenue and costs'!V119+'Revenue and costs'!Y119+'Revenue and costs'!AE119,0)+IF(AND(9&gt;=(13-'Assumptions'!$J$142)+'Assumptions'!$AF$142,9&lt;=12),'Revenue and costs'!N120/'Assumptions'!$J$142,0)-IF(AND(9&gt;=(13-'Assumptions'!$J$142),9&lt;=12),SUM('Revenue and costs'!O120:U120)/'Assumptions'!$J$142,0)-IF(9=(13-'Assumptions'!$J$142)-1,'Revenue and costs'!V120+'Revenue and costs'!Y120+'Revenue and costs'!AE120,0)+IF(AND(9&gt;=(13-'Assumptions'!$J$143)+'Assumptions'!$AF$143,9&lt;=12),'Revenue and costs'!N121/'Assumptions'!$J$143,0)-IF(AND(9&gt;=(13-'Assumptions'!$J$143),9&lt;=12),SUM('Revenue and costs'!O121:U121)/'Assumptions'!$J$143,0)-IF(9=(13-'Assumptions'!$J$143)-1,'Revenue and costs'!V121+'Revenue and costs'!Y121+'Revenue and costs'!AE121,0)+IF(AND(9&gt;=(13-'Assumptions'!$J$144)+'Assumptions'!$AF$144,9&lt;=12),'Revenue and costs'!N122/'Assumptions'!$J$144,0)-IF(AND(9&gt;=(13-'Assumptions'!$J$144),9&lt;=12),SUM('Revenue and costs'!O122:U122)/'Assumptions'!$J$144,0)-IF(9=(13-'Assumptions'!$J$144)-1,'Revenue and costs'!V122+'Revenue and costs'!Y122+'Revenue and costs'!AE122,0)+IF(AND(9&gt;=(13-'Assumptions'!$J$156)+'Assumptions'!$AF$156,9&lt;=12),'Revenue and costs'!N134/'Assumptions'!$J$156,0)-IF(AND(9&gt;=(13-'Assumptions'!$J$156),9&lt;=12),SUM('Revenue and costs'!O134:U134)/'Assumptions'!$J$156,0)-IF(9=(13-'Assumptions'!$J$156)-1,'Revenue and costs'!V134+'Revenue and costs'!Y134+'Revenue and costs'!AE134,0)+IF(AND(9&gt;=(13-'Assumptions'!$J$157)+'Assumptions'!$AF$157,9&lt;=12),'Revenue and costs'!N135/'Assumptions'!$J$157,0)-IF(AND(9&gt;=(13-'Assumptions'!$J$157),9&lt;=12),SUM('Revenue and costs'!O135:U135)/'Assumptions'!$J$157,0)-IF(9=(13-'Assumptions'!$J$157)-1,'Revenue and costs'!V135+'Revenue and costs'!Y135+'Revenue and costs'!AE135,0)-'Segment tax'!G40/12</x:f>
        <x:v>6112.884111153922</x:v>
      </x:c>
      <x:c r="N59" s="24" t="n">
        <x:f>M59+IF(AND(10&gt;=(13-'Assumptions'!$J$141)+'Assumptions'!$AF$141,10&lt;=12),'Revenue and costs'!N119/'Assumptions'!$J$141,0)-IF(AND(10&gt;=(13-'Assumptions'!$J$141),10&lt;=12),SUM('Revenue and costs'!O119:U119)/'Assumptions'!$J$141,0)-IF(10=(13-'Assumptions'!$J$141)-1,'Revenue and costs'!V119+'Revenue and costs'!Y119+'Revenue and costs'!AE119,0)+IF(AND(10&gt;=(13-'Assumptions'!$J$142)+'Assumptions'!$AF$142,10&lt;=12),'Revenue and costs'!N120/'Assumptions'!$J$142,0)-IF(AND(10&gt;=(13-'Assumptions'!$J$142),10&lt;=12),SUM('Revenue and costs'!O120:U120)/'Assumptions'!$J$142,0)-IF(10=(13-'Assumptions'!$J$142)-1,'Revenue and costs'!V120+'Revenue and costs'!Y120+'Revenue and costs'!AE120,0)+IF(AND(10&gt;=(13-'Assumptions'!$J$143)+'Assumptions'!$AF$143,10&lt;=12),'Revenue and costs'!N121/'Assumptions'!$J$143,0)-IF(AND(10&gt;=(13-'Assumptions'!$J$143),10&lt;=12),SUM('Revenue and costs'!O121:U121)/'Assumptions'!$J$143,0)-IF(10=(13-'Assumptions'!$J$143)-1,'Revenue and costs'!V121+'Revenue and costs'!Y121+'Revenue and costs'!AE121,0)+IF(AND(10&gt;=(13-'Assumptions'!$J$144)+'Assumptions'!$AF$144,10&lt;=12),'Revenue and costs'!N122/'Assumptions'!$J$144,0)-IF(AND(10&gt;=(13-'Assumptions'!$J$144),10&lt;=12),SUM('Revenue and costs'!O122:U122)/'Assumptions'!$J$144,0)-IF(10=(13-'Assumptions'!$J$144)-1,'Revenue and costs'!V122+'Revenue and costs'!Y122+'Revenue and costs'!AE122,0)+IF(AND(10&gt;=(13-'Assumptions'!$J$156)+'Assumptions'!$AF$156,10&lt;=12),'Revenue and costs'!N134/'Assumptions'!$J$156,0)-IF(AND(10&gt;=(13-'Assumptions'!$J$156),10&lt;=12),SUM('Revenue and costs'!O134:U134)/'Assumptions'!$J$156,0)-IF(10=(13-'Assumptions'!$J$156)-1,'Revenue and costs'!V134+'Revenue and costs'!Y134+'Revenue and costs'!AE134,0)+IF(AND(10&gt;=(13-'Assumptions'!$J$157)+'Assumptions'!$AF$157,10&lt;=12),'Revenue and costs'!N135/'Assumptions'!$J$157,0)-IF(AND(10&gt;=(13-'Assumptions'!$J$157),10&lt;=12),SUM('Revenue and costs'!O135:U135)/'Assumptions'!$J$157,0)-IF(10=(13-'Assumptions'!$J$157)-1,'Revenue and costs'!V135+'Revenue and costs'!Y135+'Revenue and costs'!AE135,0)-'Segment tax'!G40/12</x:f>
        <x:v>7237.338848431902</x:v>
      </x:c>
      <x:c r="O59" s="24" t="n">
        <x:f>N59+IF(AND(11&gt;=(13-'Assumptions'!$J$141)+'Assumptions'!$AF$141,11&lt;=12),'Revenue and costs'!N119/'Assumptions'!$J$141,0)-IF(AND(11&gt;=(13-'Assumptions'!$J$141),11&lt;=12),SUM('Revenue and costs'!O119:U119)/'Assumptions'!$J$141,0)-IF(11=(13-'Assumptions'!$J$141)-1,'Revenue and costs'!V119+'Revenue and costs'!Y119+'Revenue and costs'!AE119,0)+IF(AND(11&gt;=(13-'Assumptions'!$J$142)+'Assumptions'!$AF$142,11&lt;=12),'Revenue and costs'!N120/'Assumptions'!$J$142,0)-IF(AND(11&gt;=(13-'Assumptions'!$J$142),11&lt;=12),SUM('Revenue and costs'!O120:U120)/'Assumptions'!$J$142,0)-IF(11=(13-'Assumptions'!$J$142)-1,'Revenue and costs'!V120+'Revenue and costs'!Y120+'Revenue and costs'!AE120,0)+IF(AND(11&gt;=(13-'Assumptions'!$J$143)+'Assumptions'!$AF$143,11&lt;=12),'Revenue and costs'!N121/'Assumptions'!$J$143,0)-IF(AND(11&gt;=(13-'Assumptions'!$J$143),11&lt;=12),SUM('Revenue and costs'!O121:U121)/'Assumptions'!$J$143,0)-IF(11=(13-'Assumptions'!$J$143)-1,'Revenue and costs'!V121+'Revenue and costs'!Y121+'Revenue and costs'!AE121,0)+IF(AND(11&gt;=(13-'Assumptions'!$J$144)+'Assumptions'!$AF$144,11&lt;=12),'Revenue and costs'!N122/'Assumptions'!$J$144,0)-IF(AND(11&gt;=(13-'Assumptions'!$J$144),11&lt;=12),SUM('Revenue and costs'!O122:U122)/'Assumptions'!$J$144,0)-IF(11=(13-'Assumptions'!$J$144)-1,'Revenue and costs'!V122+'Revenue and costs'!Y122+'Revenue and costs'!AE122,0)+IF(AND(11&gt;=(13-'Assumptions'!$J$156)+'Assumptions'!$AF$156,11&lt;=12),'Revenue and costs'!N134/'Assumptions'!$J$156,0)-IF(AND(11&gt;=(13-'Assumptions'!$J$156),11&lt;=12),SUM('Revenue and costs'!O134:U134)/'Assumptions'!$J$156,0)-IF(11=(13-'Assumptions'!$J$156)-1,'Revenue and costs'!V134+'Revenue and costs'!Y134+'Revenue and costs'!AE134,0)+IF(AND(11&gt;=(13-'Assumptions'!$J$157)+'Assumptions'!$AF$157,11&lt;=12),'Revenue and costs'!N135/'Assumptions'!$J$157,0)-IF(AND(11&gt;=(13-'Assumptions'!$J$157),11&lt;=12),SUM('Revenue and costs'!O135:U135)/'Assumptions'!$J$157,0)-IF(11=(13-'Assumptions'!$J$157)-1,'Revenue and costs'!V135+'Revenue and costs'!Y135+'Revenue and costs'!AE135,0)-'Segment tax'!G40/12</x:f>
        <x:v>8361.793585709882</x:v>
      </x:c>
      <x:c r="P59" s="24" t="n">
        <x:f>O59+IF(AND(12&gt;=(13-'Assumptions'!$J$141)+'Assumptions'!$AF$141,12&lt;=12),'Revenue and costs'!N119/'Assumptions'!$J$141,0)-IF(AND(12&gt;=(13-'Assumptions'!$J$141),12&lt;=12),SUM('Revenue and costs'!O119:U119)/'Assumptions'!$J$141,0)-IF(12=(13-'Assumptions'!$J$141)-1,'Revenue and costs'!V119+'Revenue and costs'!Y119+'Revenue and costs'!AE119,0)+IF(AND(12&gt;=(13-'Assumptions'!$J$142)+'Assumptions'!$AF$142,12&lt;=12),'Revenue and costs'!N120/'Assumptions'!$J$142,0)-IF(AND(12&gt;=(13-'Assumptions'!$J$142),12&lt;=12),SUM('Revenue and costs'!O120:U120)/'Assumptions'!$J$142,0)-IF(12=(13-'Assumptions'!$J$142)-1,'Revenue and costs'!V120+'Revenue and costs'!Y120+'Revenue and costs'!AE120,0)+IF(AND(12&gt;=(13-'Assumptions'!$J$143)+'Assumptions'!$AF$143,12&lt;=12),'Revenue and costs'!N121/'Assumptions'!$J$143,0)-IF(AND(12&gt;=(13-'Assumptions'!$J$143),12&lt;=12),SUM('Revenue and costs'!O121:U121)/'Assumptions'!$J$143,0)-IF(12=(13-'Assumptions'!$J$143)-1,'Revenue and costs'!V121+'Revenue and costs'!Y121+'Revenue and costs'!AE121,0)+IF(AND(12&gt;=(13-'Assumptions'!$J$144)+'Assumptions'!$AF$144,12&lt;=12),'Revenue and costs'!N122/'Assumptions'!$J$144,0)-IF(AND(12&gt;=(13-'Assumptions'!$J$144),12&lt;=12),SUM('Revenue and costs'!O122:U122)/'Assumptions'!$J$144,0)-IF(12=(13-'Assumptions'!$J$144)-1,'Revenue and costs'!V122+'Revenue and costs'!Y122+'Revenue and costs'!AE122,0)+IF(AND(12&gt;=(13-'Assumptions'!$J$156)+'Assumptions'!$AF$156,12&lt;=12),'Revenue and costs'!N134/'Assumptions'!$J$156,0)-IF(AND(12&gt;=(13-'Assumptions'!$J$156),12&lt;=12),SUM('Revenue and costs'!O134:U134)/'Assumptions'!$J$156,0)-IF(12=(13-'Assumptions'!$J$156)-1,'Revenue and costs'!V134+'Revenue and costs'!Y134+'Revenue and costs'!AE134,0)+IF(AND(12&gt;=(13-'Assumptions'!$J$157)+'Assumptions'!$AF$157,12&lt;=12),'Revenue and costs'!N135/'Assumptions'!$J$157,0)-IF(AND(12&gt;=(13-'Assumptions'!$J$157),12&lt;=12),SUM('Revenue and costs'!O135:U135)/'Assumptions'!$J$157,0)-IF(12=(13-'Assumptions'!$J$157)-1,'Revenue and costs'!V135+'Revenue and costs'!Y135+'Revenue and costs'!AE135,0)-'Segment tax'!G40/12-'Segment tax'!L40</x:f>
        <x:v>7108.275654849578</x:v>
      </x:c>
      <x:c r="Q59" s="24" t="n">
        <x:f>MAX(0,-MIN(D59:P59))</x:f>
        <x:v>485.7943125139582</x:v>
      </x:c>
    </x:row>
    <x:row r="60" ht="30" customHeight="1">
      <x:c r="A60" s="1"/>
      <x:c r="B60" s="1"/>
      <x:c r="C60" s="23" t="str">
        <x:v>Fiefé</x:v>
      </x:c>
      <x:c r="D60" s="24" t="n">
        <x:f>IF(AND(0&gt;=(13-'Assumptions'!$J$145)+'Assumptions'!$AF$145,0&lt;=12),'Revenue and costs'!N123/'Assumptions'!$J$145,0)-IF(AND(0&gt;=(13-'Assumptions'!$J$145),0&lt;=12),SUM('Revenue and costs'!O123:U123)/'Assumptions'!$J$145,0)-IF(0=(13-'Assumptions'!$J$145)-1,'Revenue and costs'!V123+'Revenue and costs'!Y123+'Revenue and costs'!AE123,0)+IF(AND(0&gt;=(13-'Assumptions'!$J$146)+'Assumptions'!$AF$146,0&lt;=12),'Revenue and costs'!N124/'Assumptions'!$J$146,0)-IF(AND(0&gt;=(13-'Assumptions'!$J$146),0&lt;=12),SUM('Revenue and costs'!O124:U124)/'Assumptions'!$J$146,0)-IF(0=(13-'Assumptions'!$J$146)-1,'Revenue and costs'!V124+'Revenue and costs'!Y124+'Revenue and costs'!AE124,0)-IF('Income statement'!D50=0,1/39,'Segment tax'!E41/'Income statement'!D50)*'Cash and capital'!D13</x:f>
        <x:v>-22.467889815788503</x:v>
      </x:c>
      <x:c r="E60" s="24" t="n">
        <x:f>D60+IF(AND(1&gt;=(13-'Assumptions'!$J$145)+'Assumptions'!$AF$145,1&lt;=12),'Revenue and costs'!N123/'Assumptions'!$J$145,0)-IF(AND(1&gt;=(13-'Assumptions'!$J$145),1&lt;=12),SUM('Revenue and costs'!O123:U123)/'Assumptions'!$J$145,0)-IF(1=(13-'Assumptions'!$J$145)-1,'Revenue and costs'!V123+'Revenue and costs'!Y123+'Revenue and costs'!AE123,0)+IF(AND(1&gt;=(13-'Assumptions'!$J$146)+'Assumptions'!$AF$146,1&lt;=12),'Revenue and costs'!N124/'Assumptions'!$J$146,0)-IF(AND(1&gt;=(13-'Assumptions'!$J$146),1&lt;=12),SUM('Revenue and costs'!O124:U124)/'Assumptions'!$J$146,0)-IF(1=(13-'Assumptions'!$J$146)-1,'Revenue and costs'!V124+'Revenue and costs'!Y124+'Revenue and costs'!AE124,0)-'Segment tax'!G41/12</x:f>
        <x:v>-109.56840933499527</x:v>
      </x:c>
      <x:c r="F60" s="24" t="n">
        <x:f>E60+IF(AND(2&gt;=(13-'Assumptions'!$J$145)+'Assumptions'!$AF$145,2&lt;=12),'Revenue and costs'!N123/'Assumptions'!$J$145,0)-IF(AND(2&gt;=(13-'Assumptions'!$J$145),2&lt;=12),SUM('Revenue and costs'!O123:U123)/'Assumptions'!$J$145,0)-IF(2=(13-'Assumptions'!$J$145)-1,'Revenue and costs'!V123+'Revenue and costs'!Y123+'Revenue and costs'!AE123,0)+IF(AND(2&gt;=(13-'Assumptions'!$J$146)+'Assumptions'!$AF$146,2&lt;=12),'Revenue and costs'!N124/'Assumptions'!$J$146,0)-IF(AND(2&gt;=(13-'Assumptions'!$J$146),2&lt;=12),SUM('Revenue and costs'!O124:U124)/'Assumptions'!$J$146,0)-IF(2=(13-'Assumptions'!$J$146)-1,'Revenue and costs'!V124+'Revenue and costs'!Y124+'Revenue and costs'!AE124,0)-'Segment tax'!G41/12</x:f>
        <x:v>-196.66892885420202</x:v>
      </x:c>
      <x:c r="G60" s="24" t="n">
        <x:f>F60+IF(AND(3&gt;=(13-'Assumptions'!$J$145)+'Assumptions'!$AF$145,3&lt;=12),'Revenue and costs'!N123/'Assumptions'!$J$145,0)-IF(AND(3&gt;=(13-'Assumptions'!$J$145),3&lt;=12),SUM('Revenue and costs'!O123:U123)/'Assumptions'!$J$145,0)-IF(3=(13-'Assumptions'!$J$145)-1,'Revenue and costs'!V123+'Revenue and costs'!Y123+'Revenue and costs'!AE123,0)+IF(AND(3&gt;=(13-'Assumptions'!$J$146)+'Assumptions'!$AF$146,3&lt;=12),'Revenue and costs'!N124/'Assumptions'!$J$146,0)-IF(AND(3&gt;=(13-'Assumptions'!$J$146),3&lt;=12),SUM('Revenue and costs'!O124:U124)/'Assumptions'!$J$146,0)-IF(3=(13-'Assumptions'!$J$146)-1,'Revenue and costs'!V124+'Revenue and costs'!Y124+'Revenue and costs'!AE124,0)-'Segment tax'!G41/12</x:f>
        <x:v>-283.7694483734088</x:v>
      </x:c>
      <x:c r="H60" s="24" t="n">
        <x:f>G60+IF(AND(4&gt;=(13-'Assumptions'!$J$145)+'Assumptions'!$AF$145,4&lt;=12),'Revenue and costs'!N123/'Assumptions'!$J$145,0)-IF(AND(4&gt;=(13-'Assumptions'!$J$145),4&lt;=12),SUM('Revenue and costs'!O123:U123)/'Assumptions'!$J$145,0)-IF(4=(13-'Assumptions'!$J$145)-1,'Revenue and costs'!V123+'Revenue and costs'!Y123+'Revenue and costs'!AE123,0)+IF(AND(4&gt;=(13-'Assumptions'!$J$146)+'Assumptions'!$AF$146,4&lt;=12),'Revenue and costs'!N124/'Assumptions'!$J$146,0)-IF(AND(4&gt;=(13-'Assumptions'!$J$146),4&lt;=12),SUM('Revenue and costs'!O124:U124)/'Assumptions'!$J$146,0)-IF(4=(13-'Assumptions'!$J$146)-1,'Revenue and costs'!V124+'Revenue and costs'!Y124+'Revenue and costs'!AE124,0)-'Segment tax'!G41/12</x:f>
        <x:v>-370.8699678926156</x:v>
      </x:c>
      <x:c r="I60" s="24" t="n">
        <x:f>H60+IF(AND(5&gt;=(13-'Assumptions'!$J$145)+'Assumptions'!$AF$145,5&lt;=12),'Revenue and costs'!N123/'Assumptions'!$J$145,0)-IF(AND(5&gt;=(13-'Assumptions'!$J$145),5&lt;=12),SUM('Revenue and costs'!O123:U123)/'Assumptions'!$J$145,0)-IF(5=(13-'Assumptions'!$J$145)-1,'Revenue and costs'!V123+'Revenue and costs'!Y123+'Revenue and costs'!AE123,0)+IF(AND(5&gt;=(13-'Assumptions'!$J$146)+'Assumptions'!$AF$146,5&lt;=12),'Revenue and costs'!N124/'Assumptions'!$J$146,0)-IF(AND(5&gt;=(13-'Assumptions'!$J$146),5&lt;=12),SUM('Revenue and costs'!O124:U124)/'Assumptions'!$J$146,0)-IF(5=(13-'Assumptions'!$J$146)-1,'Revenue and costs'!V124+'Revenue and costs'!Y124+'Revenue and costs'!AE124,0)-'Segment tax'!G41/12</x:f>
        <x:v>-457.9704874118224</x:v>
      </x:c>
      <x:c r="J60" s="24" t="n">
        <x:f>I60+IF(AND(6&gt;=(13-'Assumptions'!$J$145)+'Assumptions'!$AF$145,6&lt;=12),'Revenue and costs'!N123/'Assumptions'!$J$145,0)-IF(AND(6&gt;=(13-'Assumptions'!$J$145),6&lt;=12),SUM('Revenue and costs'!O123:U123)/'Assumptions'!$J$145,0)-IF(6=(13-'Assumptions'!$J$145)-1,'Revenue and costs'!V123+'Revenue and costs'!Y123+'Revenue and costs'!AE123,0)+IF(AND(6&gt;=(13-'Assumptions'!$J$146)+'Assumptions'!$AF$146,6&lt;=12),'Revenue and costs'!N124/'Assumptions'!$J$146,0)-IF(AND(6&gt;=(13-'Assumptions'!$J$146),6&lt;=12),SUM('Revenue and costs'!O124:U124)/'Assumptions'!$J$146,0)-IF(6=(13-'Assumptions'!$J$146)-1,'Revenue and costs'!V124+'Revenue and costs'!Y124+'Revenue and costs'!AE124,0)-'Segment tax'!G41/12</x:f>
        <x:v>-2395.0710069310294</x:v>
      </x:c>
      <x:c r="K60" s="24" t="n">
        <x:f>J60+IF(AND(7&gt;=(13-'Assumptions'!$J$145)+'Assumptions'!$AF$145,7&lt;=12),'Revenue and costs'!N123/'Assumptions'!$J$145,0)-IF(AND(7&gt;=(13-'Assumptions'!$J$145),7&lt;=12),SUM('Revenue and costs'!O123:U123)/'Assumptions'!$J$145,0)-IF(7=(13-'Assumptions'!$J$145)-1,'Revenue and costs'!V123+'Revenue and costs'!Y123+'Revenue and costs'!AE123,0)+IF(AND(7&gt;=(13-'Assumptions'!$J$146)+'Assumptions'!$AF$146,7&lt;=12),'Revenue and costs'!N124/'Assumptions'!$J$146,0)-IF(AND(7&gt;=(13-'Assumptions'!$J$146),7&lt;=12),SUM('Revenue and costs'!O124:U124)/'Assumptions'!$J$146,0)-IF(7=(13-'Assumptions'!$J$146)-1,'Revenue and costs'!V124+'Revenue and costs'!Y124+'Revenue and costs'!AE124,0)-'Segment tax'!G41/12</x:f>
        <x:v>-1821.2465264502362</x:v>
      </x:c>
      <x:c r="L60" s="24" t="n">
        <x:f>K60+IF(AND(8&gt;=(13-'Assumptions'!$J$145)+'Assumptions'!$AF$145,8&lt;=12),'Revenue and costs'!N123/'Assumptions'!$J$145,0)-IF(AND(8&gt;=(13-'Assumptions'!$J$145),8&lt;=12),SUM('Revenue and costs'!O123:U123)/'Assumptions'!$J$145,0)-IF(8=(13-'Assumptions'!$J$145)-1,'Revenue and costs'!V123+'Revenue and costs'!Y123+'Revenue and costs'!AE123,0)+IF(AND(8&gt;=(13-'Assumptions'!$J$146)+'Assumptions'!$AF$146,8&lt;=12),'Revenue and costs'!N124/'Assumptions'!$J$146,0)-IF(AND(8&gt;=(13-'Assumptions'!$J$146),8&lt;=12),SUM('Revenue and costs'!O124:U124)/'Assumptions'!$J$146,0)-IF(8=(13-'Assumptions'!$J$146)-1,'Revenue and costs'!V124+'Revenue and costs'!Y124+'Revenue and costs'!AE124,0)-'Segment tax'!G41/12</x:f>
        <x:v>-1247.422045969443</x:v>
      </x:c>
      <x:c r="M60" s="24" t="n">
        <x:f>L60+IF(AND(9&gt;=(13-'Assumptions'!$J$145)+'Assumptions'!$AF$145,9&lt;=12),'Revenue and costs'!N123/'Assumptions'!$J$145,0)-IF(AND(9&gt;=(13-'Assumptions'!$J$145),9&lt;=12),SUM('Revenue and costs'!O123:U123)/'Assumptions'!$J$145,0)-IF(9=(13-'Assumptions'!$J$145)-1,'Revenue and costs'!V123+'Revenue and costs'!Y123+'Revenue and costs'!AE123,0)+IF(AND(9&gt;=(13-'Assumptions'!$J$146)+'Assumptions'!$AF$146,9&lt;=12),'Revenue and costs'!N124/'Assumptions'!$J$146,0)-IF(AND(9&gt;=(13-'Assumptions'!$J$146),9&lt;=12),SUM('Revenue and costs'!O124:U124)/'Assumptions'!$J$146,0)-IF(9=(13-'Assumptions'!$J$146)-1,'Revenue and costs'!V124+'Revenue and costs'!Y124+'Revenue and costs'!AE124,0)-'Segment tax'!G41/12</x:f>
        <x:v>-673.5975654886497</x:v>
      </x:c>
      <x:c r="N60" s="24" t="n">
        <x:f>M60+IF(AND(10&gt;=(13-'Assumptions'!$J$145)+'Assumptions'!$AF$145,10&lt;=12),'Revenue and costs'!N123/'Assumptions'!$J$145,0)-IF(AND(10&gt;=(13-'Assumptions'!$J$145),10&lt;=12),SUM('Revenue and costs'!O123:U123)/'Assumptions'!$J$145,0)-IF(10=(13-'Assumptions'!$J$145)-1,'Revenue and costs'!V123+'Revenue and costs'!Y123+'Revenue and costs'!AE123,0)+IF(AND(10&gt;=(13-'Assumptions'!$J$146)+'Assumptions'!$AF$146,10&lt;=12),'Revenue and costs'!N124/'Assumptions'!$J$146,0)-IF(AND(10&gt;=(13-'Assumptions'!$J$146),10&lt;=12),SUM('Revenue and costs'!O124:U124)/'Assumptions'!$J$146,0)-IF(10=(13-'Assumptions'!$J$146)-1,'Revenue and costs'!V124+'Revenue and costs'!Y124+'Revenue and costs'!AE124,0)-'Segment tax'!G41/12</x:f>
        <x:v>-99.77308500785652</x:v>
      </x:c>
      <x:c r="O60" s="24" t="n">
        <x:f>N60+IF(AND(11&gt;=(13-'Assumptions'!$J$145)+'Assumptions'!$AF$145,11&lt;=12),'Revenue and costs'!N123/'Assumptions'!$J$145,0)-IF(AND(11&gt;=(13-'Assumptions'!$J$145),11&lt;=12),SUM('Revenue and costs'!O123:U123)/'Assumptions'!$J$145,0)-IF(11=(13-'Assumptions'!$J$145)-1,'Revenue and costs'!V123+'Revenue and costs'!Y123+'Revenue and costs'!AE123,0)+IF(AND(11&gt;=(13-'Assumptions'!$J$146)+'Assumptions'!$AF$146,11&lt;=12),'Revenue and costs'!N124/'Assumptions'!$J$146,0)-IF(AND(11&gt;=(13-'Assumptions'!$J$146),11&lt;=12),SUM('Revenue and costs'!O124:U124)/'Assumptions'!$J$146,0)-IF(11=(13-'Assumptions'!$J$146)-1,'Revenue and costs'!V124+'Revenue and costs'!Y124+'Revenue and costs'!AE124,0)-'Segment tax'!G41/12</x:f>
        <x:v>474.0513954729367</x:v>
      </x:c>
      <x:c r="P60" s="24" t="n">
        <x:f>O60+IF(AND(12&gt;=(13-'Assumptions'!$J$145)+'Assumptions'!$AF$145,12&lt;=12),'Revenue and costs'!N123/'Assumptions'!$J$145,0)-IF(AND(12&gt;=(13-'Assumptions'!$J$145),12&lt;=12),SUM('Revenue and costs'!O123:U123)/'Assumptions'!$J$145,0)-IF(12=(13-'Assumptions'!$J$145)-1,'Revenue and costs'!V123+'Revenue and costs'!Y123+'Revenue and costs'!AE123,0)+IF(AND(12&gt;=(13-'Assumptions'!$J$146)+'Assumptions'!$AF$146,12&lt;=12),'Revenue and costs'!N124/'Assumptions'!$J$146,0)-IF(AND(12&gt;=(13-'Assumptions'!$J$146),12&lt;=12),SUM('Revenue and costs'!O124:U124)/'Assumptions'!$J$146,0)-IF(12=(13-'Assumptions'!$J$146)-1,'Revenue and costs'!V124+'Revenue and costs'!Y124+'Revenue and costs'!AE124,0)-'Segment tax'!G41/12-'Segment tax'!L41</x:f>
        <x:v>432.1622586626662</x:v>
      </x:c>
      <x:c r="Q60" s="24" t="n">
        <x:f>MAX(0,-MIN(D60:P60))</x:f>
        <x:v>2395.0710069310294</x:v>
      </x:c>
    </x:row>
    <x:row r="61" ht="30" customHeight="1">
      <x:c r="A61" s="1"/>
      <x:c r="B61" s="1"/>
      <x:c r="C61" s="23" t="str">
        <x:v>Fiefé Design</x:v>
      </x:c>
      <x:c r="D61" s="24" t="n">
        <x:f>IF(AND(0&gt;=(13-'Assumptions'!$J$147)+'Assumptions'!$AF$147,0&lt;=12),'Revenue and costs'!N125/'Assumptions'!$J$147,0)-IF(AND(0&gt;=(13-'Assumptions'!$J$147),0&lt;=12),SUM('Revenue and costs'!O125:U125)/'Assumptions'!$J$147,0)-IF(0=(13-'Assumptions'!$J$147)-1,'Revenue and costs'!V125+'Revenue and costs'!Y125+'Revenue and costs'!AE125,0)-IF('Income statement'!D50=0,1/39,'Segment tax'!E42/'Income statement'!D50)*'Cash and capital'!D13</x:f>
        <x:v>-13.998685243481932</x:v>
      </x:c>
      <x:c r="E61" s="24" t="n">
        <x:f>D61+IF(AND(1&gt;=(13-'Assumptions'!$J$147)+'Assumptions'!$AF$147,1&lt;=12),'Revenue and costs'!N125/'Assumptions'!$J$147,0)-IF(AND(1&gt;=(13-'Assumptions'!$J$147),1&lt;=12),SUM('Revenue and costs'!O125:U125)/'Assumptions'!$J$147,0)-IF(1=(13-'Assumptions'!$J$147)-1,'Revenue and costs'!V125+'Revenue and costs'!Y125+'Revenue and costs'!AE125,0)-'Segment tax'!G42/12</x:f>
        <x:v>-68.2669217040469</x:v>
      </x:c>
      <x:c r="F61" s="24" t="n">
        <x:f>E61+IF(AND(2&gt;=(13-'Assumptions'!$J$147)+'Assumptions'!$AF$147,2&lt;=12),'Revenue and costs'!N125/'Assumptions'!$J$147,0)-IF(AND(2&gt;=(13-'Assumptions'!$J$147),2&lt;=12),SUM('Revenue and costs'!O125:U125)/'Assumptions'!$J$147,0)-IF(2=(13-'Assumptions'!$J$147)-1,'Revenue and costs'!V125+'Revenue and costs'!Y125+'Revenue and costs'!AE125,0)-'Segment tax'!G42/12</x:f>
        <x:v>-122.53515816461186</x:v>
      </x:c>
      <x:c r="G61" s="24" t="n">
        <x:f>F61+IF(AND(3&gt;=(13-'Assumptions'!$J$147)+'Assumptions'!$AF$147,3&lt;=12),'Revenue and costs'!N125/'Assumptions'!$J$147,0)-IF(AND(3&gt;=(13-'Assumptions'!$J$147),3&lt;=12),SUM('Revenue and costs'!O125:U125)/'Assumptions'!$J$147,0)-IF(3=(13-'Assumptions'!$J$147)-1,'Revenue and costs'!V125+'Revenue and costs'!Y125+'Revenue and costs'!AE125,0)-'Segment tax'!G42/12</x:f>
        <x:v>-176.80339462517682</x:v>
      </x:c>
      <x:c r="H61" s="24" t="n">
        <x:f>G61+IF(AND(4&gt;=(13-'Assumptions'!$J$147)+'Assumptions'!$AF$147,4&lt;=12),'Revenue and costs'!N125/'Assumptions'!$J$147,0)-IF(AND(4&gt;=(13-'Assumptions'!$J$147),4&lt;=12),SUM('Revenue and costs'!O125:U125)/'Assumptions'!$J$147,0)-IF(4=(13-'Assumptions'!$J$147)-1,'Revenue and costs'!V125+'Revenue and costs'!Y125+'Revenue and costs'!AE125,0)-'Segment tax'!G42/12</x:f>
        <x:v>-231.07163108574179</x:v>
      </x:c>
      <x:c r="I61" s="24" t="n">
        <x:f>H61+IF(AND(5&gt;=(13-'Assumptions'!$J$147)+'Assumptions'!$AF$147,5&lt;=12),'Revenue and costs'!N125/'Assumptions'!$J$147,0)-IF(AND(5&gt;=(13-'Assumptions'!$J$147),5&lt;=12),SUM('Revenue and costs'!O125:U125)/'Assumptions'!$J$147,0)-IF(5=(13-'Assumptions'!$J$147)-1,'Revenue and costs'!V125+'Revenue and costs'!Y125+'Revenue and costs'!AE125,0)-'Segment tax'!G42/12</x:f>
        <x:v>-285.3398675463067</x:v>
      </x:c>
      <x:c r="J61" s="24" t="n">
        <x:f>I61+IF(AND(6&gt;=(13-'Assumptions'!$J$147)+'Assumptions'!$AF$147,6&lt;=12),'Revenue and costs'!N125/'Assumptions'!$J$147,0)-IF(AND(6&gt;=(13-'Assumptions'!$J$147),6&lt;=12),SUM('Revenue and costs'!O125:U125)/'Assumptions'!$J$147,0)-IF(6=(13-'Assumptions'!$J$147)-1,'Revenue and costs'!V125+'Revenue and costs'!Y125+'Revenue and costs'!AE125,0)-'Segment tax'!G42/12</x:f>
        <x:v>-1439.6081040068718</x:v>
      </x:c>
      <x:c r="K61" s="24" t="n">
        <x:f>J61+IF(AND(7&gt;=(13-'Assumptions'!$J$147)+'Assumptions'!$AF$147,7&lt;=12),'Revenue and costs'!N125/'Assumptions'!$J$147,0)-IF(AND(7&gt;=(13-'Assumptions'!$J$147),7&lt;=12),SUM('Revenue and costs'!O125:U125)/'Assumptions'!$J$147,0)-IF(7=(13-'Assumptions'!$J$147)-1,'Revenue and costs'!V125+'Revenue and costs'!Y125+'Revenue and costs'!AE125,0)-'Segment tax'!G42/12</x:f>
        <x:v>-1008.7430071341036</x:v>
      </x:c>
      <x:c r="L61" s="24" t="n">
        <x:f>K61+IF(AND(8&gt;=(13-'Assumptions'!$J$147)+'Assumptions'!$AF$147,8&lt;=12),'Revenue and costs'!N125/'Assumptions'!$J$147,0)-IF(AND(8&gt;=(13-'Assumptions'!$J$147),8&lt;=12),SUM('Revenue and costs'!O125:U125)/'Assumptions'!$J$147,0)-IF(8=(13-'Assumptions'!$J$147)-1,'Revenue and costs'!V125+'Revenue and costs'!Y125+'Revenue and costs'!AE125,0)-'Segment tax'!G42/12</x:f>
        <x:v>-577.8779102613353</x:v>
      </x:c>
      <x:c r="M61" s="24" t="n">
        <x:f>L61+IF(AND(9&gt;=(13-'Assumptions'!$J$147)+'Assumptions'!$AF$147,9&lt;=12),'Revenue and costs'!N125/'Assumptions'!$J$147,0)-IF(AND(9&gt;=(13-'Assumptions'!$J$147),9&lt;=12),SUM('Revenue and costs'!O125:U125)/'Assumptions'!$J$147,0)-IF(9=(13-'Assumptions'!$J$147)-1,'Revenue and costs'!V125+'Revenue and costs'!Y125+'Revenue and costs'!AE125,0)-'Segment tax'!G42/12</x:f>
        <x:v>-147.01281338856703</x:v>
      </x:c>
      <x:c r="N61" s="24" t="n">
        <x:f>M61+IF(AND(10&gt;=(13-'Assumptions'!$J$147)+'Assumptions'!$AF$147,10&lt;=12),'Revenue and costs'!N125/'Assumptions'!$J$147,0)-IF(AND(10&gt;=(13-'Assumptions'!$J$147),10&lt;=12),SUM('Revenue and costs'!O125:U125)/'Assumptions'!$J$147,0)-IF(10=(13-'Assumptions'!$J$147)-1,'Revenue and costs'!V125+'Revenue and costs'!Y125+'Revenue and costs'!AE125,0)-'Segment tax'!G42/12</x:f>
        <x:v>283.85228348420117</x:v>
      </x:c>
      <x:c r="O61" s="24" t="n">
        <x:f>N61+IF(AND(11&gt;=(13-'Assumptions'!$J$147)+'Assumptions'!$AF$147,11&lt;=12),'Revenue and costs'!N125/'Assumptions'!$J$147,0)-IF(AND(11&gt;=(13-'Assumptions'!$J$147),11&lt;=12),SUM('Revenue and costs'!O125:U125)/'Assumptions'!$J$147,0)-IF(11=(13-'Assumptions'!$J$147)-1,'Revenue and costs'!V125+'Revenue and costs'!Y125+'Revenue and costs'!AE125,0)-'Segment tax'!G42/12</x:f>
        <x:v>714.7173803569696</x:v>
      </x:c>
      <x:c r="P61" s="24" t="n">
        <x:f>O61+IF(AND(12&gt;=(13-'Assumptions'!$J$147)+'Assumptions'!$AF$147,12&lt;=12),'Revenue and costs'!N125/'Assumptions'!$J$147,0)-IF(AND(12&gt;=(13-'Assumptions'!$J$147),12&lt;=12),SUM('Revenue and costs'!O125:U125)/'Assumptions'!$J$147,0)-IF(12=(13-'Assumptions'!$J$147)-1,'Revenue and costs'!V125+'Revenue and costs'!Y125+'Revenue and costs'!AE125,0)-'Segment tax'!G42/12-'Segment tax'!L42</x:f>
        <x:v>706.8537437150562</x:v>
      </x:c>
      <x:c r="Q61" s="24" t="n">
        <x:f>MAX(0,-MIN(D61:P61))</x:f>
        <x:v>1439.6081040068718</x:v>
      </x:c>
    </x:row>
    <x:row r="62" ht="30" customHeight="1">
      <x:c r="A62" s="1"/>
      <x:c r="B62" s="1"/>
      <x:c r="C62" s="23" t="str">
        <x:v>OsezArt</x:v>
      </x:c>
      <x:c r="D62" s="24" t="n">
        <x:f>IF(AND(0&gt;=(13-'Assumptions'!$J$148)+'Assumptions'!$AF$148,0&lt;=12),'Revenue and costs'!N126/'Assumptions'!$J$148,0)-IF(AND(0&gt;=(13-'Assumptions'!$J$148),0&lt;=12),SUM('Revenue and costs'!O126:U126)/'Assumptions'!$J$148,0)-IF(0=(13-'Assumptions'!$J$148)-1,'Revenue and costs'!V126+'Revenue and costs'!Y126+'Revenue and costs'!AE126,0)+IF(AND(0&gt;=(13-'Assumptions'!$J$149)+'Assumptions'!$AF$149,0&lt;=12),'Revenue and costs'!N127/'Assumptions'!$J$149,0)-IF(AND(0&gt;=(13-'Assumptions'!$J$149),0&lt;=12),SUM('Revenue and costs'!O127:U127)/'Assumptions'!$J$149,0)-IF(0=(13-'Assumptions'!$J$149)-1,'Revenue and costs'!V127+'Revenue and costs'!Y127+'Revenue and costs'!AE127,0)+IF(AND(0&gt;=(13-'Assumptions'!$J$150)+'Assumptions'!$AF$150,0&lt;=12),'Revenue and costs'!N128/'Assumptions'!$J$150,0)-IF(AND(0&gt;=(13-'Assumptions'!$J$150),0&lt;=12),SUM('Revenue and costs'!O128:U128)/'Assumptions'!$J$150,0)-IF(0=(13-'Assumptions'!$J$150)-1,'Revenue and costs'!V128+'Revenue and costs'!Y128+'Revenue and costs'!AE128,0)+IF(AND(0&gt;=(13-'Assumptions'!$J$151)+'Assumptions'!$AF$151,0&lt;=12),'Revenue and costs'!N129/'Assumptions'!$J$151,0)-IF(AND(0&gt;=(13-'Assumptions'!$J$151),0&lt;=12),SUM('Revenue and costs'!O129:U129)/'Assumptions'!$J$151,0)-IF(0=(13-'Assumptions'!$J$151)-1,'Revenue and costs'!V129+'Revenue and costs'!Y129+'Revenue and costs'!AE129,0)-IF('Income statement'!D50=0,1/39,'Segment tax'!E43/'Income statement'!D50)*'Cash and capital'!D13</x:f>
        <x:v>-67.89362343088737</x:v>
      </x:c>
      <x:c r="E62" s="24" t="n">
        <x:f>D62+IF(AND(1&gt;=(13-'Assumptions'!$J$148)+'Assumptions'!$AF$148,1&lt;=12),'Revenue and costs'!N126/'Assumptions'!$J$148,0)-IF(AND(1&gt;=(13-'Assumptions'!$J$148),1&lt;=12),SUM('Revenue and costs'!O126:U126)/'Assumptions'!$J$148,0)-IF(1=(13-'Assumptions'!$J$148)-1,'Revenue and costs'!V126+'Revenue and costs'!Y126+'Revenue and costs'!AE126,0)+IF(AND(1&gt;=(13-'Assumptions'!$J$149)+'Assumptions'!$AF$149,1&lt;=12),'Revenue and costs'!N127/'Assumptions'!$J$149,0)-IF(AND(1&gt;=(13-'Assumptions'!$J$149),1&lt;=12),SUM('Revenue and costs'!O127:U127)/'Assumptions'!$J$149,0)-IF(1=(13-'Assumptions'!$J$149)-1,'Revenue and costs'!V127+'Revenue and costs'!Y127+'Revenue and costs'!AE127,0)+IF(AND(1&gt;=(13-'Assumptions'!$J$150)+'Assumptions'!$AF$150,1&lt;=12),'Revenue and costs'!N128/'Assumptions'!$J$150,0)-IF(AND(1&gt;=(13-'Assumptions'!$J$150),1&lt;=12),SUM('Revenue and costs'!O128:U128)/'Assumptions'!$J$150,0)-IF(1=(13-'Assumptions'!$J$150)-1,'Revenue and costs'!V128+'Revenue and costs'!Y128+'Revenue and costs'!AE128,0)+IF(AND(1&gt;=(13-'Assumptions'!$J$151)+'Assumptions'!$AF$151,1&lt;=12),'Revenue and costs'!N129/'Assumptions'!$J$151,0)-IF(AND(1&gt;=(13-'Assumptions'!$J$151),1&lt;=12),SUM('Revenue and costs'!O129:U129)/'Assumptions'!$J$151,0)-IF(1=(13-'Assumptions'!$J$151)-1,'Revenue and costs'!V129+'Revenue and costs'!Y129+'Revenue and costs'!AE129,0)-'Segment tax'!G43/12</x:f>
        <x:v>-331.0945702646274</x:v>
      </x:c>
      <x:c r="F62" s="24" t="n">
        <x:f>E62+IF(AND(2&gt;=(13-'Assumptions'!$J$148)+'Assumptions'!$AF$148,2&lt;=12),'Revenue and costs'!N126/'Assumptions'!$J$148,0)-IF(AND(2&gt;=(13-'Assumptions'!$J$148),2&lt;=12),SUM('Revenue and costs'!O126:U126)/'Assumptions'!$J$148,0)-IF(2=(13-'Assumptions'!$J$148)-1,'Revenue and costs'!V126+'Revenue and costs'!Y126+'Revenue and costs'!AE126,0)+IF(AND(2&gt;=(13-'Assumptions'!$J$149)+'Assumptions'!$AF$149,2&lt;=12),'Revenue and costs'!N127/'Assumptions'!$J$149,0)-IF(AND(2&gt;=(13-'Assumptions'!$J$149),2&lt;=12),SUM('Revenue and costs'!O127:U127)/'Assumptions'!$J$149,0)-IF(2=(13-'Assumptions'!$J$149)-1,'Revenue and costs'!V127+'Revenue and costs'!Y127+'Revenue and costs'!AE127,0)+IF(AND(2&gt;=(13-'Assumptions'!$J$150)+'Assumptions'!$AF$150,2&lt;=12),'Revenue and costs'!N128/'Assumptions'!$J$150,0)-IF(AND(2&gt;=(13-'Assumptions'!$J$150),2&lt;=12),SUM('Revenue and costs'!O128:U128)/'Assumptions'!$J$150,0)-IF(2=(13-'Assumptions'!$J$150)-1,'Revenue and costs'!V128+'Revenue and costs'!Y128+'Revenue and costs'!AE128,0)+IF(AND(2&gt;=(13-'Assumptions'!$J$151)+'Assumptions'!$AF$151,2&lt;=12),'Revenue and costs'!N129/'Assumptions'!$J$151,0)-IF(AND(2&gt;=(13-'Assumptions'!$J$151),2&lt;=12),SUM('Revenue and costs'!O129:U129)/'Assumptions'!$J$151,0)-IF(2=(13-'Assumptions'!$J$151)-1,'Revenue and costs'!V129+'Revenue and costs'!Y129+'Revenue and costs'!AE129,0)-'Segment tax'!G43/12</x:f>
        <x:v>-594.2955170983674</x:v>
      </x:c>
      <x:c r="G62" s="24" t="n">
        <x:f>F62+IF(AND(3&gt;=(13-'Assumptions'!$J$148)+'Assumptions'!$AF$148,3&lt;=12),'Revenue and costs'!N126/'Assumptions'!$J$148,0)-IF(AND(3&gt;=(13-'Assumptions'!$J$148),3&lt;=12),SUM('Revenue and costs'!O126:U126)/'Assumptions'!$J$148,0)-IF(3=(13-'Assumptions'!$J$148)-1,'Revenue and costs'!V126+'Revenue and costs'!Y126+'Revenue and costs'!AE126,0)+IF(AND(3&gt;=(13-'Assumptions'!$J$149)+'Assumptions'!$AF$149,3&lt;=12),'Revenue and costs'!N127/'Assumptions'!$J$149,0)-IF(AND(3&gt;=(13-'Assumptions'!$J$149),3&lt;=12),SUM('Revenue and costs'!O127:U127)/'Assumptions'!$J$149,0)-IF(3=(13-'Assumptions'!$J$149)-1,'Revenue and costs'!V127+'Revenue and costs'!Y127+'Revenue and costs'!AE127,0)+IF(AND(3&gt;=(13-'Assumptions'!$J$150)+'Assumptions'!$AF$150,3&lt;=12),'Revenue and costs'!N128/'Assumptions'!$J$150,0)-IF(AND(3&gt;=(13-'Assumptions'!$J$150),3&lt;=12),SUM('Revenue and costs'!O128:U128)/'Assumptions'!$J$150,0)-IF(3=(13-'Assumptions'!$J$150)-1,'Revenue and costs'!V128+'Revenue and costs'!Y128+'Revenue and costs'!AE128,0)+IF(AND(3&gt;=(13-'Assumptions'!$J$151)+'Assumptions'!$AF$151,3&lt;=12),'Revenue and costs'!N129/'Assumptions'!$J$151,0)-IF(AND(3&gt;=(13-'Assumptions'!$J$151),3&lt;=12),SUM('Revenue and costs'!O129:U129)/'Assumptions'!$J$151,0)-IF(3=(13-'Assumptions'!$J$151)-1,'Revenue and costs'!V129+'Revenue and costs'!Y129+'Revenue and costs'!AE129,0)-'Segment tax'!G43/12</x:f>
        <x:v>-982.4964639321074</x:v>
      </x:c>
      <x:c r="H62" s="24" t="n">
        <x:f>G62+IF(AND(4&gt;=(13-'Assumptions'!$J$148)+'Assumptions'!$AF$148,4&lt;=12),'Revenue and costs'!N126/'Assumptions'!$J$148,0)-IF(AND(4&gt;=(13-'Assumptions'!$J$148),4&lt;=12),SUM('Revenue and costs'!O126:U126)/'Assumptions'!$J$148,0)-IF(4=(13-'Assumptions'!$J$148)-1,'Revenue and costs'!V126+'Revenue and costs'!Y126+'Revenue and costs'!AE126,0)+IF(AND(4&gt;=(13-'Assumptions'!$J$149)+'Assumptions'!$AF$149,4&lt;=12),'Revenue and costs'!N127/'Assumptions'!$J$149,0)-IF(AND(4&gt;=(13-'Assumptions'!$J$149),4&lt;=12),SUM('Revenue and costs'!O127:U127)/'Assumptions'!$J$149,0)-IF(4=(13-'Assumptions'!$J$149)-1,'Revenue and costs'!V127+'Revenue and costs'!Y127+'Revenue and costs'!AE127,0)+IF(AND(4&gt;=(13-'Assumptions'!$J$150)+'Assumptions'!$AF$150,4&lt;=12),'Revenue and costs'!N128/'Assumptions'!$J$150,0)-IF(AND(4&gt;=(13-'Assumptions'!$J$150),4&lt;=12),SUM('Revenue and costs'!O128:U128)/'Assumptions'!$J$150,0)-IF(4=(13-'Assumptions'!$J$150)-1,'Revenue and costs'!V128+'Revenue and costs'!Y128+'Revenue and costs'!AE128,0)+IF(AND(4&gt;=(13-'Assumptions'!$J$151)+'Assumptions'!$AF$151,4&lt;=12),'Revenue and costs'!N129/'Assumptions'!$J$151,0)-IF(AND(4&gt;=(13-'Assumptions'!$J$151),4&lt;=12),SUM('Revenue and costs'!O129:U129)/'Assumptions'!$J$151,0)-IF(4=(13-'Assumptions'!$J$151)-1,'Revenue and costs'!V129+'Revenue and costs'!Y129+'Revenue and costs'!AE129,0)-'Segment tax'!G43/12</x:f>
        <x:v>-2519.0974107658476</x:v>
      </x:c>
      <x:c r="I62" s="24" t="n">
        <x:f>H62+IF(AND(5&gt;=(13-'Assumptions'!$J$148)+'Assumptions'!$AF$148,5&lt;=12),'Revenue and costs'!N126/'Assumptions'!$J$148,0)-IF(AND(5&gt;=(13-'Assumptions'!$J$148),5&lt;=12),SUM('Revenue and costs'!O126:U126)/'Assumptions'!$J$148,0)-IF(5=(13-'Assumptions'!$J$148)-1,'Revenue and costs'!V126+'Revenue and costs'!Y126+'Revenue and costs'!AE126,0)+IF(AND(5&gt;=(13-'Assumptions'!$J$149)+'Assumptions'!$AF$149,5&lt;=12),'Revenue and costs'!N127/'Assumptions'!$J$149,0)-IF(AND(5&gt;=(13-'Assumptions'!$J$149),5&lt;=12),SUM('Revenue and costs'!O127:U127)/'Assumptions'!$J$149,0)-IF(5=(13-'Assumptions'!$J$149)-1,'Revenue and costs'!V127+'Revenue and costs'!Y127+'Revenue and costs'!AE127,0)+IF(AND(5&gt;=(13-'Assumptions'!$J$150)+'Assumptions'!$AF$150,5&lt;=12),'Revenue and costs'!N128/'Assumptions'!$J$150,0)-IF(AND(5&gt;=(13-'Assumptions'!$J$150),5&lt;=12),SUM('Revenue and costs'!O128:U128)/'Assumptions'!$J$150,0)-IF(5=(13-'Assumptions'!$J$150)-1,'Revenue and costs'!V128+'Revenue and costs'!Y128+'Revenue and costs'!AE128,0)+IF(AND(5&gt;=(13-'Assumptions'!$J$151)+'Assumptions'!$AF$151,5&lt;=12),'Revenue and costs'!N129/'Assumptions'!$J$151,0)-IF(AND(5&gt;=(13-'Assumptions'!$J$151),5&lt;=12),SUM('Revenue and costs'!O129:U129)/'Assumptions'!$J$151,0)-IF(5=(13-'Assumptions'!$J$151)-1,'Revenue and costs'!V129+'Revenue and costs'!Y129+'Revenue and costs'!AE129,0)-'Segment tax'!G43/12</x:f>
        <x:v>-1630.6983575995878</x:v>
      </x:c>
      <x:c r="J62" s="24" t="n">
        <x:f>I62+IF(AND(6&gt;=(13-'Assumptions'!$J$148)+'Assumptions'!$AF$148,6&lt;=12),'Revenue and costs'!N126/'Assumptions'!$J$148,0)-IF(AND(6&gt;=(13-'Assumptions'!$J$148),6&lt;=12),SUM('Revenue and costs'!O126:U126)/'Assumptions'!$J$148,0)-IF(6=(13-'Assumptions'!$J$148)-1,'Revenue and costs'!V126+'Revenue and costs'!Y126+'Revenue and costs'!AE126,0)+IF(AND(6&gt;=(13-'Assumptions'!$J$149)+'Assumptions'!$AF$149,6&lt;=12),'Revenue and costs'!N127/'Assumptions'!$J$149,0)-IF(AND(6&gt;=(13-'Assumptions'!$J$149),6&lt;=12),SUM('Revenue and costs'!O127:U127)/'Assumptions'!$J$149,0)-IF(6=(13-'Assumptions'!$J$149)-1,'Revenue and costs'!V127+'Revenue and costs'!Y127+'Revenue and costs'!AE127,0)+IF(AND(6&gt;=(13-'Assumptions'!$J$150)+'Assumptions'!$AF$150,6&lt;=12),'Revenue and costs'!N128/'Assumptions'!$J$150,0)-IF(AND(6&gt;=(13-'Assumptions'!$J$150),6&lt;=12),SUM('Revenue and costs'!O128:U128)/'Assumptions'!$J$150,0)-IF(6=(13-'Assumptions'!$J$150)-1,'Revenue and costs'!V128+'Revenue and costs'!Y128+'Revenue and costs'!AE128,0)+IF(AND(6&gt;=(13-'Assumptions'!$J$151)+'Assumptions'!$AF$151,6&lt;=12),'Revenue and costs'!N129/'Assumptions'!$J$151,0)-IF(AND(6&gt;=(13-'Assumptions'!$J$151),6&lt;=12),SUM('Revenue and costs'!O129:U129)/'Assumptions'!$J$151,0)-IF(6=(13-'Assumptions'!$J$151)-1,'Revenue and costs'!V129+'Revenue and costs'!Y129+'Revenue and costs'!AE129,0)-'Segment tax'!G43/12</x:f>
        <x:v>-925.6326377666612</x:v>
      </x:c>
      <x:c r="K62" s="24" t="n">
        <x:f>J62+IF(AND(7&gt;=(13-'Assumptions'!$J$148)+'Assumptions'!$AF$148,7&lt;=12),'Revenue and costs'!N126/'Assumptions'!$J$148,0)-IF(AND(7&gt;=(13-'Assumptions'!$J$148),7&lt;=12),SUM('Revenue and costs'!O126:U126)/'Assumptions'!$J$148,0)-IF(7=(13-'Assumptions'!$J$148)-1,'Revenue and costs'!V126+'Revenue and costs'!Y126+'Revenue and costs'!AE126,0)+IF(AND(7&gt;=(13-'Assumptions'!$J$149)+'Assumptions'!$AF$149,7&lt;=12),'Revenue and costs'!N127/'Assumptions'!$J$149,0)-IF(AND(7&gt;=(13-'Assumptions'!$J$149),7&lt;=12),SUM('Revenue and costs'!O127:U127)/'Assumptions'!$J$149,0)-IF(7=(13-'Assumptions'!$J$149)-1,'Revenue and costs'!V127+'Revenue and costs'!Y127+'Revenue and costs'!AE127,0)+IF(AND(7&gt;=(13-'Assumptions'!$J$150)+'Assumptions'!$AF$150,7&lt;=12),'Revenue and costs'!N128/'Assumptions'!$J$150,0)-IF(AND(7&gt;=(13-'Assumptions'!$J$150),7&lt;=12),SUM('Revenue and costs'!O128:U128)/'Assumptions'!$J$150,0)-IF(7=(13-'Assumptions'!$J$150)-1,'Revenue and costs'!V128+'Revenue and costs'!Y128+'Revenue and costs'!AE128,0)+IF(AND(7&gt;=(13-'Assumptions'!$J$151)+'Assumptions'!$AF$151,7&lt;=12),'Revenue and costs'!N129/'Assumptions'!$J$151,0)-IF(AND(7&gt;=(13-'Assumptions'!$J$151),7&lt;=12),SUM('Revenue and costs'!O129:U129)/'Assumptions'!$J$151,0)-IF(7=(13-'Assumptions'!$J$151)-1,'Revenue and costs'!V129+'Revenue and costs'!Y129+'Revenue and costs'!AE129,0)-'Segment tax'!G43/12</x:f>
        <x:v>-1143.7669179337345</x:v>
      </x:c>
      <x:c r="L62" s="24" t="n">
        <x:f>K62+IF(AND(8&gt;=(13-'Assumptions'!$J$148)+'Assumptions'!$AF$148,8&lt;=12),'Revenue and costs'!N126/'Assumptions'!$J$148,0)-IF(AND(8&gt;=(13-'Assumptions'!$J$148),8&lt;=12),SUM('Revenue and costs'!O126:U126)/'Assumptions'!$J$148,0)-IF(8=(13-'Assumptions'!$J$148)-1,'Revenue and costs'!V126+'Revenue and costs'!Y126+'Revenue and costs'!AE126,0)+IF(AND(8&gt;=(13-'Assumptions'!$J$149)+'Assumptions'!$AF$149,8&lt;=12),'Revenue and costs'!N127/'Assumptions'!$J$149,0)-IF(AND(8&gt;=(13-'Assumptions'!$J$149),8&lt;=12),SUM('Revenue and costs'!O127:U127)/'Assumptions'!$J$149,0)-IF(8=(13-'Assumptions'!$J$149)-1,'Revenue and costs'!V127+'Revenue and costs'!Y127+'Revenue and costs'!AE127,0)+IF(AND(8&gt;=(13-'Assumptions'!$J$150)+'Assumptions'!$AF$150,8&lt;=12),'Revenue and costs'!N128/'Assumptions'!$J$150,0)-IF(AND(8&gt;=(13-'Assumptions'!$J$150),8&lt;=12),SUM('Revenue and costs'!O128:U128)/'Assumptions'!$J$150,0)-IF(8=(13-'Assumptions'!$J$150)-1,'Revenue and costs'!V128+'Revenue and costs'!Y128+'Revenue and costs'!AE128,0)+IF(AND(8&gt;=(13-'Assumptions'!$J$151)+'Assumptions'!$AF$151,8&lt;=12),'Revenue and costs'!N129/'Assumptions'!$J$151,0)-IF(AND(8&gt;=(13-'Assumptions'!$J$151),8&lt;=12),SUM('Revenue and costs'!O129:U129)/'Assumptions'!$J$151,0)-IF(8=(13-'Assumptions'!$J$151)-1,'Revenue and costs'!V129+'Revenue and costs'!Y129+'Revenue and costs'!AE129,0)-'Segment tax'!G43/12</x:f>
        <x:v>1709.765468565859</x:v>
      </x:c>
      <x:c r="M62" s="24" t="n">
        <x:f>L62+IF(AND(9&gt;=(13-'Assumptions'!$J$148)+'Assumptions'!$AF$148,9&lt;=12),'Revenue and costs'!N126/'Assumptions'!$J$148,0)-IF(AND(9&gt;=(13-'Assumptions'!$J$148),9&lt;=12),SUM('Revenue and costs'!O126:U126)/'Assumptions'!$J$148,0)-IF(9=(13-'Assumptions'!$J$148)-1,'Revenue and costs'!V126+'Revenue and costs'!Y126+'Revenue and costs'!AE126,0)+IF(AND(9&gt;=(13-'Assumptions'!$J$149)+'Assumptions'!$AF$149,9&lt;=12),'Revenue and costs'!N127/'Assumptions'!$J$149,0)-IF(AND(9&gt;=(13-'Assumptions'!$J$149),9&lt;=12),SUM('Revenue and costs'!O127:U127)/'Assumptions'!$J$149,0)-IF(9=(13-'Assumptions'!$J$149)-1,'Revenue and costs'!V127+'Revenue and costs'!Y127+'Revenue and costs'!AE127,0)+IF(AND(9&gt;=(13-'Assumptions'!$J$150)+'Assumptions'!$AF$150,9&lt;=12),'Revenue and costs'!N128/'Assumptions'!$J$150,0)-IF(AND(9&gt;=(13-'Assumptions'!$J$150),9&lt;=12),SUM('Revenue and costs'!O128:U128)/'Assumptions'!$J$150,0)-IF(9=(13-'Assumptions'!$J$150)-1,'Revenue and costs'!V128+'Revenue and costs'!Y128+'Revenue and costs'!AE128,0)+IF(AND(9&gt;=(13-'Assumptions'!$J$151)+'Assumptions'!$AF$151,9&lt;=12),'Revenue and costs'!N129/'Assumptions'!$J$151,0)-IF(AND(9&gt;=(13-'Assumptions'!$J$151),9&lt;=12),SUM('Revenue and costs'!O129:U129)/'Assumptions'!$J$151,0)-IF(9=(13-'Assumptions'!$J$151)-1,'Revenue and costs'!V129+'Revenue and costs'!Y129+'Revenue and costs'!AE129,0)-'Segment tax'!G43/12</x:f>
        <x:v>4563.2978550654525</x:v>
      </x:c>
      <x:c r="N62" s="24" t="n">
        <x:f>M62+IF(AND(10&gt;=(13-'Assumptions'!$J$148)+'Assumptions'!$AF$148,10&lt;=12),'Revenue and costs'!N126/'Assumptions'!$J$148,0)-IF(AND(10&gt;=(13-'Assumptions'!$J$148),10&lt;=12),SUM('Revenue and costs'!O126:U126)/'Assumptions'!$J$148,0)-IF(10=(13-'Assumptions'!$J$148)-1,'Revenue and costs'!V126+'Revenue and costs'!Y126+'Revenue and costs'!AE126,0)+IF(AND(10&gt;=(13-'Assumptions'!$J$149)+'Assumptions'!$AF$149,10&lt;=12),'Revenue and costs'!N127/'Assumptions'!$J$149,0)-IF(AND(10&gt;=(13-'Assumptions'!$J$149),10&lt;=12),SUM('Revenue and costs'!O127:U127)/'Assumptions'!$J$149,0)-IF(10=(13-'Assumptions'!$J$149)-1,'Revenue and costs'!V127+'Revenue and costs'!Y127+'Revenue and costs'!AE127,0)+IF(AND(10&gt;=(13-'Assumptions'!$J$150)+'Assumptions'!$AF$150,10&lt;=12),'Revenue and costs'!N128/'Assumptions'!$J$150,0)-IF(AND(10&gt;=(13-'Assumptions'!$J$150),10&lt;=12),SUM('Revenue and costs'!O128:U128)/'Assumptions'!$J$150,0)-IF(10=(13-'Assumptions'!$J$150)-1,'Revenue and costs'!V128+'Revenue and costs'!Y128+'Revenue and costs'!AE128,0)+IF(AND(10&gt;=(13-'Assumptions'!$J$151)+'Assumptions'!$AF$151,10&lt;=12),'Revenue and costs'!N129/'Assumptions'!$J$151,0)-IF(AND(10&gt;=(13-'Assumptions'!$J$151),10&lt;=12),SUM('Revenue and costs'!O129:U129)/'Assumptions'!$J$151,0)-IF(10=(13-'Assumptions'!$J$151)-1,'Revenue and costs'!V129+'Revenue and costs'!Y129+'Revenue and costs'!AE129,0)-'Segment tax'!G43/12</x:f>
        <x:v>7416.830241565045</x:v>
      </x:c>
      <x:c r="O62" s="24" t="n">
        <x:f>N62+IF(AND(11&gt;=(13-'Assumptions'!$J$148)+'Assumptions'!$AF$148,11&lt;=12),'Revenue and costs'!N126/'Assumptions'!$J$148,0)-IF(AND(11&gt;=(13-'Assumptions'!$J$148),11&lt;=12),SUM('Revenue and costs'!O126:U126)/'Assumptions'!$J$148,0)-IF(11=(13-'Assumptions'!$J$148)-1,'Revenue and costs'!V126+'Revenue and costs'!Y126+'Revenue and costs'!AE126,0)+IF(AND(11&gt;=(13-'Assumptions'!$J$149)+'Assumptions'!$AF$149,11&lt;=12),'Revenue and costs'!N127/'Assumptions'!$J$149,0)-IF(AND(11&gt;=(13-'Assumptions'!$J$149),11&lt;=12),SUM('Revenue and costs'!O127:U127)/'Assumptions'!$J$149,0)-IF(11=(13-'Assumptions'!$J$149)-1,'Revenue and costs'!V127+'Revenue and costs'!Y127+'Revenue and costs'!AE127,0)+IF(AND(11&gt;=(13-'Assumptions'!$J$150)+'Assumptions'!$AF$150,11&lt;=12),'Revenue and costs'!N128/'Assumptions'!$J$150,0)-IF(AND(11&gt;=(13-'Assumptions'!$J$150),11&lt;=12),SUM('Revenue and costs'!O128:U128)/'Assumptions'!$J$150,0)-IF(11=(13-'Assumptions'!$J$150)-1,'Revenue and costs'!V128+'Revenue and costs'!Y128+'Revenue and costs'!AE128,0)+IF(AND(11&gt;=(13-'Assumptions'!$J$151)+'Assumptions'!$AF$151,11&lt;=12),'Revenue and costs'!N129/'Assumptions'!$J$151,0)-IF(AND(11&gt;=(13-'Assumptions'!$J$151),11&lt;=12),SUM('Revenue and costs'!O129:U129)/'Assumptions'!$J$151,0)-IF(11=(13-'Assumptions'!$J$151)-1,'Revenue and costs'!V129+'Revenue and costs'!Y129+'Revenue and costs'!AE129,0)-'Segment tax'!G43/12</x:f>
        <x:v>10270.362628064637</x:v>
      </x:c>
      <x:c r="P62" s="24" t="n">
        <x:f>O62+IF(AND(12&gt;=(13-'Assumptions'!$J$148)+'Assumptions'!$AF$148,12&lt;=12),'Revenue and costs'!N126/'Assumptions'!$J$148,0)-IF(AND(12&gt;=(13-'Assumptions'!$J$148),12&lt;=12),SUM('Revenue and costs'!O126:U126)/'Assumptions'!$J$148,0)-IF(12=(13-'Assumptions'!$J$148)-1,'Revenue and costs'!V126+'Revenue and costs'!Y126+'Revenue and costs'!AE126,0)+IF(AND(12&gt;=(13-'Assumptions'!$J$149)+'Assumptions'!$AF$149,12&lt;=12),'Revenue and costs'!N127/'Assumptions'!$J$149,0)-IF(AND(12&gt;=(13-'Assumptions'!$J$149),12&lt;=12),SUM('Revenue and costs'!O127:U127)/'Assumptions'!$J$149,0)-IF(12=(13-'Assumptions'!$J$149)-1,'Revenue and costs'!V127+'Revenue and costs'!Y127+'Revenue and costs'!AE127,0)+IF(AND(12&gt;=(13-'Assumptions'!$J$150)+'Assumptions'!$AF$150,12&lt;=12),'Revenue and costs'!N128/'Assumptions'!$J$150,0)-IF(AND(12&gt;=(13-'Assumptions'!$J$150),12&lt;=12),SUM('Revenue and costs'!O128:U128)/'Assumptions'!$J$150,0)-IF(12=(13-'Assumptions'!$J$150)-1,'Revenue and costs'!V128+'Revenue and costs'!Y128+'Revenue and costs'!AE128,0)+IF(AND(12&gt;=(13-'Assumptions'!$J$151)+'Assumptions'!$AF$151,12&lt;=12),'Revenue and costs'!N129/'Assumptions'!$J$151,0)-IF(AND(12&gt;=(13-'Assumptions'!$J$151),12&lt;=12),SUM('Revenue and costs'!O129:U129)/'Assumptions'!$J$151,0)-IF(12=(13-'Assumptions'!$J$151)-1,'Revenue and costs'!V129+'Revenue and costs'!Y129+'Revenue and costs'!AE129,0)-'Segment tax'!G43/12-'Segment tax'!L43</x:f>
        <x:v>8380.355657018024</x:v>
      </x:c>
      <x:c r="Q62" s="24" t="n">
        <x:f>MAX(0,-MIN(D62:P62))</x:f>
        <x:v>2519.0974107658476</x:v>
      </x:c>
    </x:row>
    <x:row r="63" ht="30" customHeight="1">
      <x:c r="A63" s="1"/>
      <x:c r="B63" s="1"/>
      <x:c r="C63" s="23" t="str">
        <x:v>FinBot research</x:v>
      </x:c>
      <x:c r="D63" s="24" t="n">
        <x:f>IF(AND(0&gt;=(13-'Assumptions'!$J$152)+'Assumptions'!$AF$152,0&lt;=12),'Revenue and costs'!N130/'Assumptions'!$J$152,0)-IF(AND(0&gt;=(13-'Assumptions'!$J$152),0&lt;=12),SUM('Revenue and costs'!O130:U130)/'Assumptions'!$J$152,0)-IF(0=(13-'Assumptions'!$J$152)-1,'Revenue and costs'!V130+'Revenue and costs'!Y130+'Revenue and costs'!AE130,0)-IF('Income statement'!D50=0,1/39,'Segment tax'!E44/'Income statement'!D50)*'Cash and capital'!D13</x:f>
        <x:v>-2.4870506267314534</x:v>
      </x:c>
      <x:c r="E63" s="24" t="n">
        <x:f>D63+IF(AND(1&gt;=(13-'Assumptions'!$J$152)+'Assumptions'!$AF$152,1&lt;=12),'Revenue and costs'!N130/'Assumptions'!$J$152,0)-IF(AND(1&gt;=(13-'Assumptions'!$J$152),1&lt;=12),SUM('Revenue and costs'!O130:U130)/'Assumptions'!$J$152,0)-IF(1=(13-'Assumptions'!$J$152)-1,'Revenue and costs'!V130+'Revenue and costs'!Y130+'Revenue and costs'!AE130,0)-'Segment tax'!G44/12</x:f>
        <x:v>-12.12851688969372</x:v>
      </x:c>
      <x:c r="F63" s="24" t="n">
        <x:f>E63+IF(AND(2&gt;=(13-'Assumptions'!$J$152)+'Assumptions'!$AF$152,2&lt;=12),'Revenue and costs'!N130/'Assumptions'!$J$152,0)-IF(AND(2&gt;=(13-'Assumptions'!$J$152),2&lt;=12),SUM('Revenue and costs'!O130:U130)/'Assumptions'!$J$152,0)-IF(2=(13-'Assumptions'!$J$152)-1,'Revenue and costs'!V130+'Revenue and costs'!Y130+'Revenue and costs'!AE130,0)-'Segment tax'!G44/12</x:f>
        <x:v>-21.76998315265599</x:v>
      </x:c>
      <x:c r="G63" s="24" t="n">
        <x:f>F63+IF(AND(3&gt;=(13-'Assumptions'!$J$152)+'Assumptions'!$AF$152,3&lt;=12),'Revenue and costs'!N130/'Assumptions'!$J$152,0)-IF(AND(3&gt;=(13-'Assumptions'!$J$152),3&lt;=12),SUM('Revenue and costs'!O130:U130)/'Assumptions'!$J$152,0)-IF(3=(13-'Assumptions'!$J$152)-1,'Revenue and costs'!V130+'Revenue and costs'!Y130+'Revenue and costs'!AE130,0)-'Segment tax'!G44/12</x:f>
        <x:v>-31.411449415618257</x:v>
      </x:c>
      <x:c r="H63" s="24" t="n">
        <x:f>G63+IF(AND(4&gt;=(13-'Assumptions'!$J$152)+'Assumptions'!$AF$152,4&lt;=12),'Revenue and costs'!N130/'Assumptions'!$J$152,0)-IF(AND(4&gt;=(13-'Assumptions'!$J$152),4&lt;=12),SUM('Revenue and costs'!O130:U130)/'Assumptions'!$J$152,0)-IF(4=(13-'Assumptions'!$J$152)-1,'Revenue and costs'!V130+'Revenue and costs'!Y130+'Revenue and costs'!AE130,0)-'Segment tax'!G44/12</x:f>
        <x:v>-41.052915678580526</x:v>
      </x:c>
      <x:c r="I63" s="24" t="n">
        <x:f>H63+IF(AND(5&gt;=(13-'Assumptions'!$J$152)+'Assumptions'!$AF$152,5&lt;=12),'Revenue and costs'!N130/'Assumptions'!$J$152,0)-IF(AND(5&gt;=(13-'Assumptions'!$J$152),5&lt;=12),SUM('Revenue and costs'!O130:U130)/'Assumptions'!$J$152,0)-IF(5=(13-'Assumptions'!$J$152)-1,'Revenue and costs'!V130+'Revenue and costs'!Y130+'Revenue and costs'!AE130,0)-'Segment tax'!G44/12</x:f>
        <x:v>-50.694381941542794</x:v>
      </x:c>
      <x:c r="J63" s="24" t="n">
        <x:f>I63+IF(AND(6&gt;=(13-'Assumptions'!$J$152)+'Assumptions'!$AF$152,6&lt;=12),'Revenue and costs'!N130/'Assumptions'!$J$152,0)-IF(AND(6&gt;=(13-'Assumptions'!$J$152),6&lt;=12),SUM('Revenue and costs'!O130:U130)/'Assumptions'!$J$152,0)-IF(6=(13-'Assumptions'!$J$152)-1,'Revenue and costs'!V130+'Revenue and costs'!Y130+'Revenue and costs'!AE130,0)-'Segment tax'!G44/12</x:f>
        <x:v>-60.33584820450506</x:v>
      </x:c>
      <x:c r="K63" s="24" t="n">
        <x:f>J63+IF(AND(7&gt;=(13-'Assumptions'!$J$152)+'Assumptions'!$AF$152,7&lt;=12),'Revenue and costs'!N130/'Assumptions'!$J$152,0)-IF(AND(7&gt;=(13-'Assumptions'!$J$152),7&lt;=12),SUM('Revenue and costs'!O130:U130)/'Assumptions'!$J$152,0)-IF(7=(13-'Assumptions'!$J$152)-1,'Revenue and costs'!V130+'Revenue and costs'!Y130+'Revenue and costs'!AE130,0)-'Segment tax'!G44/12</x:f>
        <x:v>25.847685532532694</x:v>
      </x:c>
      <x:c r="L63" s="24" t="n">
        <x:f>K63+IF(AND(8&gt;=(13-'Assumptions'!$J$152)+'Assumptions'!$AF$152,8&lt;=12),'Revenue and costs'!N130/'Assumptions'!$J$152,0)-IF(AND(8&gt;=(13-'Assumptions'!$J$152),8&lt;=12),SUM('Revenue and costs'!O130:U130)/'Assumptions'!$J$152,0)-IF(8=(13-'Assumptions'!$J$152)-1,'Revenue and costs'!V130+'Revenue and costs'!Y130+'Revenue and costs'!AE130,0)-'Segment tax'!G44/12</x:f>
        <x:v>112.03121926957044</x:v>
      </x:c>
      <x:c r="M63" s="24" t="n">
        <x:f>L63+IF(AND(9&gt;=(13-'Assumptions'!$J$152)+'Assumptions'!$AF$152,9&lt;=12),'Revenue and costs'!N130/'Assumptions'!$J$152,0)-IF(AND(9&gt;=(13-'Assumptions'!$J$152),9&lt;=12),SUM('Revenue and costs'!O130:U130)/'Assumptions'!$J$152,0)-IF(9=(13-'Assumptions'!$J$152)-1,'Revenue and costs'!V130+'Revenue and costs'!Y130+'Revenue and costs'!AE130,0)-'Segment tax'!G44/12</x:f>
        <x:v>198.2147530066082</x:v>
      </x:c>
      <x:c r="N63" s="24" t="n">
        <x:f>M63+IF(AND(10&gt;=(13-'Assumptions'!$J$152)+'Assumptions'!$AF$152,10&lt;=12),'Revenue and costs'!N130/'Assumptions'!$J$152,0)-IF(AND(10&gt;=(13-'Assumptions'!$J$152),10&lt;=12),SUM('Revenue and costs'!O130:U130)/'Assumptions'!$J$152,0)-IF(10=(13-'Assumptions'!$J$152)-1,'Revenue and costs'!V130+'Revenue and costs'!Y130+'Revenue and costs'!AE130,0)-'Segment tax'!G44/12</x:f>
        <x:v>284.39828674364594</x:v>
      </x:c>
      <x:c r="O63" s="24" t="n">
        <x:f>N63+IF(AND(11&gt;=(13-'Assumptions'!$J$152)+'Assumptions'!$AF$152,11&lt;=12),'Revenue and costs'!N130/'Assumptions'!$J$152,0)-IF(AND(11&gt;=(13-'Assumptions'!$J$152),11&lt;=12),SUM('Revenue and costs'!O130:U130)/'Assumptions'!$J$152,0)-IF(11=(13-'Assumptions'!$J$152)-1,'Revenue and costs'!V130+'Revenue and costs'!Y130+'Revenue and costs'!AE130,0)-'Segment tax'!G44/12</x:f>
        <x:v>370.58182048068363</x:v>
      </x:c>
      <x:c r="P63" s="24" t="n">
        <x:f>O63+IF(AND(12&gt;=(13-'Assumptions'!$J$152)+'Assumptions'!$AF$152,12&lt;=12),'Revenue and costs'!N130/'Assumptions'!$J$152,0)-IF(AND(12&gt;=(13-'Assumptions'!$J$152),12&lt;=12),SUM('Revenue and costs'!O130:U130)/'Assumptions'!$J$152,0)-IF(12=(13-'Assumptions'!$J$152)-1,'Revenue and costs'!V130+'Revenue and costs'!Y130+'Revenue and costs'!AE130,0)-'Segment tax'!G44/12-'Segment tax'!L44</x:f>
        <x:v>342.1595072255025</x:v>
      </x:c>
      <x:c r="Q63" s="24" t="n">
        <x:f>MAX(0,-MIN(D63:P63))</x:f>
        <x:v>60.33584820450506</x:v>
      </x:c>
    </x:row>
    <x:row r="64" ht="30" customHeight="1">
      <x:c r="A64" s="1"/>
      <x:c r="B64" s="1"/>
      <x:c r="C64" s="23" t="str">
        <x:v>Functional Analysis</x:v>
      </x:c>
      <x:c r="D64" s="24" t="n">
        <x:f>IF(AND(0&gt;=(13-'Assumptions'!$J$153)+'Assumptions'!$AF$153,0&lt;=12),'Revenue and costs'!N131/'Assumptions'!$J$153,0)-IF(AND(0&gt;=(13-'Assumptions'!$J$153),0&lt;=12),SUM('Revenue and costs'!O131:U131)/'Assumptions'!$J$153,0)-IF(0=(13-'Assumptions'!$J$153)-1,'Revenue and costs'!V131+'Revenue and costs'!Y131+'Revenue and costs'!AE131,0)+IF(AND(0&gt;=(13-'Assumptions'!$J$154)+'Assumptions'!$AF$154,0&lt;=12),'Revenue and costs'!N132/'Assumptions'!$J$154,0)-IF(AND(0&gt;=(13-'Assumptions'!$J$154),0&lt;=12),SUM('Revenue and costs'!O132:U132)/'Assumptions'!$J$154,0)-IF(0=(13-'Assumptions'!$J$154)-1,'Revenue and costs'!V132+'Revenue and costs'!Y132+'Revenue and costs'!AE132,0)-IF('Income statement'!D50=0,1/39,'Segment tax'!E45/'Income statement'!D50)*'Cash and capital'!D13</x:f>
        <x:v>-5.805976807921358</x:v>
      </x:c>
      <x:c r="E64" s="24" t="n">
        <x:f>D64+IF(AND(1&gt;=(13-'Assumptions'!$J$153)+'Assumptions'!$AF$153,1&lt;=12),'Revenue and costs'!N131/'Assumptions'!$J$153,0)-IF(AND(1&gt;=(13-'Assumptions'!$J$153),1&lt;=12),SUM('Revenue and costs'!O131:U131)/'Assumptions'!$J$153,0)-IF(1=(13-'Assumptions'!$J$153)-1,'Revenue and costs'!V131+'Revenue and costs'!Y131+'Revenue and costs'!AE131,0)+IF(AND(1&gt;=(13-'Assumptions'!$J$154)+'Assumptions'!$AF$154,1&lt;=12),'Revenue and costs'!N132/'Assumptions'!$J$154,0)-IF(AND(1&gt;=(13-'Assumptions'!$J$154),1&lt;=12),SUM('Revenue and costs'!O132:U132)/'Assumptions'!$J$154,0)-IF(1=(13-'Assumptions'!$J$154)-1,'Revenue and costs'!V132+'Revenue and costs'!Y132+'Revenue and costs'!AE132,0)-'Segment tax'!G45/12</x:f>
        <x:v>-28.313813566629822</x:v>
      </x:c>
      <x:c r="F64" s="24" t="n">
        <x:f>E64+IF(AND(2&gt;=(13-'Assumptions'!$J$153)+'Assumptions'!$AF$153,2&lt;=12),'Revenue and costs'!N131/'Assumptions'!$J$153,0)-IF(AND(2&gt;=(13-'Assumptions'!$J$153),2&lt;=12),SUM('Revenue and costs'!O131:U131)/'Assumptions'!$J$153,0)-IF(2=(13-'Assumptions'!$J$153)-1,'Revenue and costs'!V131+'Revenue and costs'!Y131+'Revenue and costs'!AE131,0)+IF(AND(2&gt;=(13-'Assumptions'!$J$154)+'Assumptions'!$AF$154,2&lt;=12),'Revenue and costs'!N132/'Assumptions'!$J$154,0)-IF(AND(2&gt;=(13-'Assumptions'!$J$154),2&lt;=12),SUM('Revenue and costs'!O132:U132)/'Assumptions'!$J$154,0)-IF(2=(13-'Assumptions'!$J$154)-1,'Revenue and costs'!V132+'Revenue and costs'!Y132+'Revenue and costs'!AE132,0)-'Segment tax'!G45/12</x:f>
        <x:v>-50.82165032533828</x:v>
      </x:c>
      <x:c r="G64" s="24" t="n">
        <x:f>F64+IF(AND(3&gt;=(13-'Assumptions'!$J$153)+'Assumptions'!$AF$153,3&lt;=12),'Revenue and costs'!N131/'Assumptions'!$J$153,0)-IF(AND(3&gt;=(13-'Assumptions'!$J$153),3&lt;=12),SUM('Revenue and costs'!O131:U131)/'Assumptions'!$J$153,0)-IF(3=(13-'Assumptions'!$J$153)-1,'Revenue and costs'!V131+'Revenue and costs'!Y131+'Revenue and costs'!AE131,0)+IF(AND(3&gt;=(13-'Assumptions'!$J$154)+'Assumptions'!$AF$154,3&lt;=12),'Revenue and costs'!N132/'Assumptions'!$J$154,0)-IF(AND(3&gt;=(13-'Assumptions'!$J$154),3&lt;=12),SUM('Revenue and costs'!O132:U132)/'Assumptions'!$J$154,0)-IF(3=(13-'Assumptions'!$J$154)-1,'Revenue and costs'!V132+'Revenue and costs'!Y132+'Revenue and costs'!AE132,0)-'Segment tax'!G45/12</x:f>
        <x:v>-73.32948708404675</x:v>
      </x:c>
      <x:c r="H64" s="24" t="n">
        <x:f>G64+IF(AND(4&gt;=(13-'Assumptions'!$J$153)+'Assumptions'!$AF$153,4&lt;=12),'Revenue and costs'!N131/'Assumptions'!$J$153,0)-IF(AND(4&gt;=(13-'Assumptions'!$J$153),4&lt;=12),SUM('Revenue and costs'!O131:U131)/'Assumptions'!$J$153,0)-IF(4=(13-'Assumptions'!$J$153)-1,'Revenue and costs'!V131+'Revenue and costs'!Y131+'Revenue and costs'!AE131,0)+IF(AND(4&gt;=(13-'Assumptions'!$J$154)+'Assumptions'!$AF$154,4&lt;=12),'Revenue and costs'!N132/'Assumptions'!$J$154,0)-IF(AND(4&gt;=(13-'Assumptions'!$J$154),4&lt;=12),SUM('Revenue and costs'!O132:U132)/'Assumptions'!$J$154,0)-IF(4=(13-'Assumptions'!$J$154)-1,'Revenue and costs'!V132+'Revenue and costs'!Y132+'Revenue and costs'!AE132,0)-'Segment tax'!G45/12</x:f>
        <x:v>-95.83732384275521</x:v>
      </x:c>
      <x:c r="I64" s="24" t="n">
        <x:f>H64+IF(AND(5&gt;=(13-'Assumptions'!$J$153)+'Assumptions'!$AF$153,5&lt;=12),'Revenue and costs'!N131/'Assumptions'!$J$153,0)-IF(AND(5&gt;=(13-'Assumptions'!$J$153),5&lt;=12),SUM('Revenue and costs'!O131:U131)/'Assumptions'!$J$153,0)-IF(5=(13-'Assumptions'!$J$153)-1,'Revenue and costs'!V131+'Revenue and costs'!Y131+'Revenue and costs'!AE131,0)+IF(AND(5&gt;=(13-'Assumptions'!$J$154)+'Assumptions'!$AF$154,5&lt;=12),'Revenue and costs'!N132/'Assumptions'!$J$154,0)-IF(AND(5&gt;=(13-'Assumptions'!$J$154),5&lt;=12),SUM('Revenue and costs'!O132:U132)/'Assumptions'!$J$154,0)-IF(5=(13-'Assumptions'!$J$154)-1,'Revenue and costs'!V132+'Revenue and costs'!Y132+'Revenue and costs'!AE132,0)-'Segment tax'!G45/12</x:f>
        <x:v>-118.34516060146368</x:v>
      </x:c>
      <x:c r="J64" s="24" t="n">
        <x:f>I64+IF(AND(6&gt;=(13-'Assumptions'!$J$153)+'Assumptions'!$AF$153,6&lt;=12),'Revenue and costs'!N131/'Assumptions'!$J$153,0)-IF(AND(6&gt;=(13-'Assumptions'!$J$153),6&lt;=12),SUM('Revenue and costs'!O131:U131)/'Assumptions'!$J$153,0)-IF(6=(13-'Assumptions'!$J$153)-1,'Revenue and costs'!V131+'Revenue and costs'!Y131+'Revenue and costs'!AE131,0)+IF(AND(6&gt;=(13-'Assumptions'!$J$154)+'Assumptions'!$AF$154,6&lt;=12),'Revenue and costs'!N132/'Assumptions'!$J$154,0)-IF(AND(6&gt;=(13-'Assumptions'!$J$154),6&lt;=12),SUM('Revenue and costs'!O132:U132)/'Assumptions'!$J$154,0)-IF(6=(13-'Assumptions'!$J$154)-1,'Revenue and costs'!V132+'Revenue and costs'!Y132+'Revenue and costs'!AE132,0)-'Segment tax'!G45/12</x:f>
        <x:v>-140.85299736017214</x:v>
      </x:c>
      <x:c r="K64" s="24" t="n">
        <x:f>J64+IF(AND(7&gt;=(13-'Assumptions'!$J$153)+'Assumptions'!$AF$153,7&lt;=12),'Revenue and costs'!N131/'Assumptions'!$J$153,0)-IF(AND(7&gt;=(13-'Assumptions'!$J$153),7&lt;=12),SUM('Revenue and costs'!O131:U131)/'Assumptions'!$J$153,0)-IF(7=(13-'Assumptions'!$J$153)-1,'Revenue and costs'!V131+'Revenue and costs'!Y131+'Revenue and costs'!AE131,0)+IF(AND(7&gt;=(13-'Assumptions'!$J$154)+'Assumptions'!$AF$154,7&lt;=12),'Revenue and costs'!N132/'Assumptions'!$J$154,0)-IF(AND(7&gt;=(13-'Assumptions'!$J$154),7&lt;=12),SUM('Revenue and costs'!O132:U132)/'Assumptions'!$J$154,0)-IF(7=(13-'Assumptions'!$J$154)-1,'Revenue and costs'!V132+'Revenue and costs'!Y132+'Revenue and costs'!AE132,0)-'Segment tax'!G45/12</x:f>
        <x:v>-123.74743411888065</x:v>
      </x:c>
      <x:c r="L64" s="24" t="n">
        <x:f>K64+IF(AND(8&gt;=(13-'Assumptions'!$J$153)+'Assumptions'!$AF$153,8&lt;=12),'Revenue and costs'!N131/'Assumptions'!$J$153,0)-IF(AND(8&gt;=(13-'Assumptions'!$J$153),8&lt;=12),SUM('Revenue and costs'!O131:U131)/'Assumptions'!$J$153,0)-IF(8=(13-'Assumptions'!$J$153)-1,'Revenue and costs'!V131+'Revenue and costs'!Y131+'Revenue and costs'!AE131,0)+IF(AND(8&gt;=(13-'Assumptions'!$J$154)+'Assumptions'!$AF$154,8&lt;=12),'Revenue and costs'!N132/'Assumptions'!$J$154,0)-IF(AND(8&gt;=(13-'Assumptions'!$J$154),8&lt;=12),SUM('Revenue and costs'!O132:U132)/'Assumptions'!$J$154,0)-IF(8=(13-'Assumptions'!$J$154)-1,'Revenue and costs'!V132+'Revenue and costs'!Y132+'Revenue and costs'!AE132,0)-'Segment tax'!G45/12</x:f>
        <x:v>181.44812912241082</x:v>
      </x:c>
      <x:c r="M64" s="24" t="n">
        <x:f>L64+IF(AND(9&gt;=(13-'Assumptions'!$J$153)+'Assumptions'!$AF$153,9&lt;=12),'Revenue and costs'!N131/'Assumptions'!$J$153,0)-IF(AND(9&gt;=(13-'Assumptions'!$J$153),9&lt;=12),SUM('Revenue and costs'!O131:U131)/'Assumptions'!$J$153,0)-IF(9=(13-'Assumptions'!$J$153)-1,'Revenue and costs'!V131+'Revenue and costs'!Y131+'Revenue and costs'!AE131,0)+IF(AND(9&gt;=(13-'Assumptions'!$J$154)+'Assumptions'!$AF$154,9&lt;=12),'Revenue and costs'!N132/'Assumptions'!$J$154,0)-IF(AND(9&gt;=(13-'Assumptions'!$J$154),9&lt;=12),SUM('Revenue and costs'!O132:U132)/'Assumptions'!$J$154,0)-IF(9=(13-'Assumptions'!$J$154)-1,'Revenue and costs'!V132+'Revenue and costs'!Y132+'Revenue and costs'!AE132,0)-'Segment tax'!G45/12</x:f>
        <x:v>486.64369236370214</x:v>
      </x:c>
      <x:c r="N64" s="24" t="n">
        <x:f>M64+IF(AND(10&gt;=(13-'Assumptions'!$J$153)+'Assumptions'!$AF$153,10&lt;=12),'Revenue and costs'!N131/'Assumptions'!$J$153,0)-IF(AND(10&gt;=(13-'Assumptions'!$J$153),10&lt;=12),SUM('Revenue and costs'!O131:U131)/'Assumptions'!$J$153,0)-IF(10=(13-'Assumptions'!$J$153)-1,'Revenue and costs'!V131+'Revenue and costs'!Y131+'Revenue and costs'!AE131,0)+IF(AND(10&gt;=(13-'Assumptions'!$J$154)+'Assumptions'!$AF$154,10&lt;=12),'Revenue and costs'!N132/'Assumptions'!$J$154,0)-IF(AND(10&gt;=(13-'Assumptions'!$J$154),10&lt;=12),SUM('Revenue and costs'!O132:U132)/'Assumptions'!$J$154,0)-IF(10=(13-'Assumptions'!$J$154)-1,'Revenue and costs'!V132+'Revenue and costs'!Y132+'Revenue and costs'!AE132,0)-'Segment tax'!G45/12</x:f>
        <x:v>791.8392556049936</x:v>
      </x:c>
      <x:c r="O64" s="24" t="n">
        <x:f>N64+IF(AND(11&gt;=(13-'Assumptions'!$J$153)+'Assumptions'!$AF$153,11&lt;=12),'Revenue and costs'!N131/'Assumptions'!$J$153,0)-IF(AND(11&gt;=(13-'Assumptions'!$J$153),11&lt;=12),SUM('Revenue and costs'!O131:U131)/'Assumptions'!$J$153,0)-IF(11=(13-'Assumptions'!$J$153)-1,'Revenue and costs'!V131+'Revenue and costs'!Y131+'Revenue and costs'!AE131,0)+IF(AND(11&gt;=(13-'Assumptions'!$J$154)+'Assumptions'!$AF$154,11&lt;=12),'Revenue and costs'!N132/'Assumptions'!$J$154,0)-IF(AND(11&gt;=(13-'Assumptions'!$J$154),11&lt;=12),SUM('Revenue and costs'!O132:U132)/'Assumptions'!$J$154,0)-IF(11=(13-'Assumptions'!$J$154)-1,'Revenue and costs'!V132+'Revenue and costs'!Y132+'Revenue and costs'!AE132,0)-'Segment tax'!G45/12</x:f>
        <x:v>1097.0348188462851</x:v>
      </x:c>
      <x:c r="P64" s="24" t="n">
        <x:f>O64+IF(AND(12&gt;=(13-'Assumptions'!$J$153)+'Assumptions'!$AF$153,12&lt;=12),'Revenue and costs'!N131/'Assumptions'!$J$153,0)-IF(AND(12&gt;=(13-'Assumptions'!$J$153),12&lt;=12),SUM('Revenue and costs'!O131:U131)/'Assumptions'!$J$153,0)-IF(12=(13-'Assumptions'!$J$153)-1,'Revenue and costs'!V131+'Revenue and costs'!Y131+'Revenue and costs'!AE131,0)+IF(AND(12&gt;=(13-'Assumptions'!$J$154)+'Assumptions'!$AF$154,12&lt;=12),'Revenue and costs'!N132/'Assumptions'!$J$154,0)-IF(AND(12&gt;=(13-'Assumptions'!$J$154),12&lt;=12),SUM('Revenue and costs'!O132:U132)/'Assumptions'!$J$154,0)-IF(12=(13-'Assumptions'!$J$154)-1,'Revenue and costs'!V132+'Revenue and costs'!Y132+'Revenue and costs'!AE132,0)-'Segment tax'!G45/12-'Segment tax'!L45</x:f>
        <x:v>978.6826237643622</x:v>
      </x:c>
      <x:c r="Q64" s="24" t="n">
        <x:f>MAX(0,-MIN(D64:P64))</x:f>
        <x:v>140.85299736017214</x:v>
      </x:c>
    </x:row>
    <x:row r="65" ht="30" customHeight="1">
      <x:c r="A65" s="1"/>
      <x:c r="B65" s="1"/>
      <x:c r="C65" s="23" t="str">
        <x:v>Independent candy game</x:v>
      </x:c>
      <x:c r="D65" s="24" t="n">
        <x:f>IF(AND(0&gt;=(13-'Assumptions'!$J$155)+'Assumptions'!$AF$155,0&lt;=12),'Revenue and costs'!N133/'Assumptions'!$J$155,0)-IF(AND(0&gt;=(13-'Assumptions'!$J$155),0&lt;=12),SUM('Revenue and costs'!O133:U133)/'Assumptions'!$J$155,0)-IF(0=(13-'Assumptions'!$J$155)-1,'Revenue and costs'!V133+'Revenue and costs'!Y133+'Revenue and costs'!AE133,0)-IF('Income statement'!D50=0,1/39,'Segment tax'!E46/'Income statement'!D50)*'Cash and capital'!D13</x:f>
        <x:v>-2.13972114265344</x:v>
      </x:c>
      <x:c r="E65" s="24" t="n">
        <x:f>D65+IF(AND(1&gt;=(13-'Assumptions'!$J$155)+'Assumptions'!$AF$155,1&lt;=12),'Revenue and costs'!N133/'Assumptions'!$J$155,0)-IF(AND(1&gt;=(13-'Assumptions'!$J$155),1&lt;=12),SUM('Revenue and costs'!O133:U133)/'Assumptions'!$J$155,0)-IF(1=(13-'Assumptions'!$J$155)-1,'Revenue and costs'!V133+'Revenue and costs'!Y133+'Revenue and costs'!AE133,0)-'Segment tax'!G46/12</x:f>
        <x:v>-10.434706772339943</x:v>
      </x:c>
      <x:c r="F65" s="24" t="n">
        <x:f>E65+IF(AND(2&gt;=(13-'Assumptions'!$J$155)+'Assumptions'!$AF$155,2&lt;=12),'Revenue and costs'!N133/'Assumptions'!$J$155,0)-IF(AND(2&gt;=(13-'Assumptions'!$J$155),2&lt;=12),SUM('Revenue and costs'!O133:U133)/'Assumptions'!$J$155,0)-IF(2=(13-'Assumptions'!$J$155)-1,'Revenue and costs'!V133+'Revenue and costs'!Y133+'Revenue and costs'!AE133,0)-'Segment tax'!G46/12</x:f>
        <x:v>-18.729692402026444</x:v>
      </x:c>
      <x:c r="G65" s="24" t="n">
        <x:f>F65+IF(AND(3&gt;=(13-'Assumptions'!$J$155)+'Assumptions'!$AF$155,3&lt;=12),'Revenue and costs'!N133/'Assumptions'!$J$155,0)-IF(AND(3&gt;=(13-'Assumptions'!$J$155),3&lt;=12),SUM('Revenue and costs'!O133:U133)/'Assumptions'!$J$155,0)-IF(3=(13-'Assumptions'!$J$155)-1,'Revenue and costs'!V133+'Revenue and costs'!Y133+'Revenue and costs'!AE133,0)-'Segment tax'!G46/12</x:f>
        <x:v>-27.024678031712945</x:v>
      </x:c>
      <x:c r="H65" s="24" t="n">
        <x:f>G65+IF(AND(4&gt;=(13-'Assumptions'!$J$155)+'Assumptions'!$AF$155,4&lt;=12),'Revenue and costs'!N133/'Assumptions'!$J$155,0)-IF(AND(4&gt;=(13-'Assumptions'!$J$155),4&lt;=12),SUM('Revenue and costs'!O133:U133)/'Assumptions'!$J$155,0)-IF(4=(13-'Assumptions'!$J$155)-1,'Revenue and costs'!V133+'Revenue and costs'!Y133+'Revenue and costs'!AE133,0)-'Segment tax'!G46/12</x:f>
        <x:v>-35.319663661399446</x:v>
      </x:c>
      <x:c r="I65" s="24" t="n">
        <x:f>H65+IF(AND(5&gt;=(13-'Assumptions'!$J$155)+'Assumptions'!$AF$155,5&lt;=12),'Revenue and costs'!N133/'Assumptions'!$J$155,0)-IF(AND(5&gt;=(13-'Assumptions'!$J$155),5&lt;=12),SUM('Revenue and costs'!O133:U133)/'Assumptions'!$J$155,0)-IF(5=(13-'Assumptions'!$J$155)-1,'Revenue and costs'!V133+'Revenue and costs'!Y133+'Revenue and costs'!AE133,0)-'Segment tax'!G46/12</x:f>
        <x:v>-43.61464929108595</x:v>
      </x:c>
      <x:c r="J65" s="24" t="n">
        <x:f>I65+IF(AND(6&gt;=(13-'Assumptions'!$J$155)+'Assumptions'!$AF$155,6&lt;=12),'Revenue and costs'!N133/'Assumptions'!$J$155,0)-IF(AND(6&gt;=(13-'Assumptions'!$J$155),6&lt;=12),SUM('Revenue and costs'!O133:U133)/'Assumptions'!$J$155,0)-IF(6=(13-'Assumptions'!$J$155)-1,'Revenue and costs'!V133+'Revenue and costs'!Y133+'Revenue and costs'!AE133,0)-'Segment tax'!G46/12</x:f>
        <x:v>-51.90963492077245</x:v>
      </x:c>
      <x:c r="K65" s="24" t="n">
        <x:f>J65+IF(AND(7&gt;=(13-'Assumptions'!$J$155)+'Assumptions'!$AF$155,7&lt;=12),'Revenue and costs'!N133/'Assumptions'!$J$155,0)-IF(AND(7&gt;=(13-'Assumptions'!$J$155),7&lt;=12),SUM('Revenue and costs'!O133:U133)/'Assumptions'!$J$155,0)-IF(7=(13-'Assumptions'!$J$155)-1,'Revenue and costs'!V133+'Revenue and costs'!Y133+'Revenue and costs'!AE133,0)-'Segment tax'!G46/12</x:f>
        <x:v>-37.52587055045894</x:v>
      </x:c>
      <x:c r="L65" s="24" t="n">
        <x:f>K65+IF(AND(8&gt;=(13-'Assumptions'!$J$155)+'Assumptions'!$AF$155,8&lt;=12),'Revenue and costs'!N133/'Assumptions'!$J$155,0)-IF(AND(8&gt;=(13-'Assumptions'!$J$155),8&lt;=12),SUM('Revenue and costs'!O133:U133)/'Assumptions'!$J$155,0)-IF(8=(13-'Assumptions'!$J$155)-1,'Revenue and costs'!V133+'Revenue and costs'!Y133+'Revenue and costs'!AE133,0)-'Segment tax'!G46/12</x:f>
        <x:v>-23.142106180145426</x:v>
      </x:c>
      <x:c r="M65" s="24" t="n">
        <x:f>L65+IF(AND(9&gt;=(13-'Assumptions'!$J$155)+'Assumptions'!$AF$155,9&lt;=12),'Revenue and costs'!N133/'Assumptions'!$J$155,0)-IF(AND(9&gt;=(13-'Assumptions'!$J$155),9&lt;=12),SUM('Revenue and costs'!O133:U133)/'Assumptions'!$J$155,0)-IF(9=(13-'Assumptions'!$J$155)-1,'Revenue and costs'!V133+'Revenue and costs'!Y133+'Revenue and costs'!AE133,0)-'Segment tax'!G46/12</x:f>
        <x:v>-8.758341809831913</x:v>
      </x:c>
      <x:c r="N65" s="24" t="n">
        <x:f>M65+IF(AND(10&gt;=(13-'Assumptions'!$J$155)+'Assumptions'!$AF$155,10&lt;=12),'Revenue and costs'!N133/'Assumptions'!$J$155,0)-IF(AND(10&gt;=(13-'Assumptions'!$J$155),10&lt;=12),SUM('Revenue and costs'!O133:U133)/'Assumptions'!$J$155,0)-IF(10=(13-'Assumptions'!$J$155)-1,'Revenue and costs'!V133+'Revenue and costs'!Y133+'Revenue and costs'!AE133,0)-'Segment tax'!G46/12</x:f>
        <x:v>5.625422560481601</x:v>
      </x:c>
      <x:c r="O65" s="24" t="n">
        <x:f>N65+IF(AND(11&gt;=(13-'Assumptions'!$J$155)+'Assumptions'!$AF$155,11&lt;=12),'Revenue and costs'!N133/'Assumptions'!$J$155,0)-IF(AND(11&gt;=(13-'Assumptions'!$J$155),11&lt;=12),SUM('Revenue and costs'!O133:U133)/'Assumptions'!$J$155,0)-IF(11=(13-'Assumptions'!$J$155)-1,'Revenue and costs'!V133+'Revenue and costs'!Y133+'Revenue and costs'!AE133,0)-'Segment tax'!G46/12</x:f>
        <x:v>20.009186930795117</x:v>
      </x:c>
      <x:c r="P65" s="24" t="n">
        <x:f>O65+IF(AND(12&gt;=(13-'Assumptions'!$J$155)+'Assumptions'!$AF$155,12&lt;=12),'Revenue and costs'!N133/'Assumptions'!$J$155,0)-IF(AND(12&gt;=(13-'Assumptions'!$J$155),12&lt;=12),SUM('Revenue and costs'!O133:U133)/'Assumptions'!$J$155,0)-IF(12=(13-'Assumptions'!$J$155)-1,'Revenue and costs'!V133+'Revenue and costs'!Y133+'Revenue and costs'!AE133,0)-'Segment tax'!G46/12-'Segment tax'!L46</x:f>
        <x:v>25.438093285389257</x:v>
      </x:c>
      <x:c r="Q65" s="24" t="n">
        <x:f>MAX(0,-MIN(D65:P65))</x:f>
        <x:v>51.90963492077245</x:v>
      </x:c>
    </x:row>
    <x:row r="66" ht="30" customHeight="1">
      <x:c r="A66" s="1"/>
      <x:c r="B66" s="1"/>
      <x:c r="C66" s="23"/>
      <x:c r="D66" s="24"/>
      <x:c r="E66" s="24"/>
      <x:c r="F66" s="24"/>
      <x:c r="G66" s="24"/>
      <x:c r="H66" s="24"/>
      <x:c r="I66" s="24"/>
      <x:c r="J66" s="24"/>
      <x:c r="K66" s="24"/>
      <x:c r="L66" s="24"/>
      <x:c r="M66" s="24"/>
      <x:c r="N66" s="24"/>
      <x:c r="O66" s="24"/>
      <x:c r="P66" s="24"/>
      <x:c r="Q66" s="24"/>
    </x:row>
    <x:row r="67" ht="30" customHeight="1">
      <x:c r="A67" s="1"/>
      <x:c r="B67" s="1"/>
      <x:c r="C67" s="23"/>
      <x:c r="D67" s="24"/>
      <x:c r="E67" s="24"/>
      <x:c r="F67" s="24"/>
      <x:c r="G67" s="24"/>
      <x:c r="H67" s="24"/>
      <x:c r="I67" s="24"/>
      <x:c r="J67" s="24"/>
      <x:c r="K67" s="24"/>
      <x:c r="L67" s="24"/>
      <x:c r="M67" s="24"/>
      <x:c r="N67" s="24"/>
      <x:c r="O67" s="24"/>
      <x:c r="P67" s="24"/>
      <x:c r="Q67" s="24"/>
    </x:row>
    <x:row r="68" ht="30" customHeight="1">
      <x:c r="A68" s="1"/>
      <x:c r="B68" s="1"/>
      <x:c r="C68" s="23" t="str">
        <x:v>Sum of separate family requirements (no pooling assumed)</x:v>
      </x:c>
      <x:c r="D68" s="24"/>
      <x:c r="E68" s="24"/>
      <x:c r="F68" s="24"/>
      <x:c r="G68" s="24"/>
      <x:c r="H68" s="24"/>
      <x:c r="I68" s="24"/>
      <x:c r="J68" s="24"/>
      <x:c r="K68" s="24"/>
      <x:c r="L68" s="24"/>
      <x:c r="M68" s="24"/>
      <x:c r="N68" s="24"/>
      <x:c r="O68" s="24"/>
      <x:c r="P68" s="24"/>
      <x:c r="Q68" s="24" t="n">
        <x:f>SUM(Q27:Q65)</x:f>
        <x:v>62049.54491510344</x:v>
      </x:c>
    </x:row>
    <x:row r="69" ht="16" customHeight="1">
      <x:c r="A69" s="1"/>
      <x:c r="B69" s="1"/>
      <x:c r="C69" s="1"/>
      <x:c r="D69" s="10"/>
      <x:c r="E69" s="10"/>
      <x:c r="F69" s="10"/>
      <x:c r="G69" s="10"/>
      <x:c r="H69" s="10"/>
      <x:c r="I69" s="10"/>
      <x:c r="J69" s="10"/>
      <x:c r="K69" s="10"/>
      <x:c r="L69" s="10"/>
      <x:c r="M69" s="10"/>
      <x:c r="N69" s="10"/>
      <x:c r="O69" s="10"/>
      <x:c r="P69" s="10"/>
      <x:c r="Q69" s="10"/>
    </x:row>
    <x:row r="70" ht="16" customHeight="1">
      <x:c r="A70" s="1"/>
      <x:c r="B70" s="1"/>
      <x:c r="C70" s="1"/>
      <x:c r="D70" s="10"/>
      <x:c r="E70" s="10"/>
      <x:c r="F70" s="10"/>
      <x:c r="G70" s="10"/>
      <x:c r="H70" s="10"/>
      <x:c r="I70" s="10"/>
      <x:c r="J70" s="10"/>
      <x:c r="K70" s="10"/>
      <x:c r="L70" s="10"/>
      <x:c r="M70" s="10"/>
      <x:c r="N70" s="10"/>
      <x:c r="O70" s="10"/>
      <x:c r="P70" s="10"/>
      <x:c r="Q70" s="10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6" hidden="0" customWidth="1"/>
    <x:col min="4" max="4" width="54" hidden="0" customWidth="1"/>
    <x:col min="5" max="5" width="48" hidden="0" customWidth="1"/>
    <x:col min="6" max="6" width="48" hidden="0" customWidth="1"/>
    <x:col min="7" max="7" width="48" hidden="0" customWidth="1"/>
    <x:col min="8" max="8" width="48" hidden="0" customWidth="1"/>
  </x:cols>
  <x:sheetData>
    <x:row r="1" ht="16" customHeight="1">
      <x:c r="A1" s="1"/>
      <x:c r="B1" s="1"/>
      <x:c r="C1" s="1"/>
      <x:c r="D1" s="1"/>
      <x:c r="E1" s="1"/>
      <x:c r="F1" s="1"/>
      <x:c r="G1" s="1"/>
      <x:c r="H1" s="1"/>
    </x:row>
    <x:row r="2" ht="16" customHeight="1">
      <x:c r="A2" s="1"/>
      <x:c r="B2" s="1"/>
      <x:c r="C2" s="2" t="str">
        <x:v>Catalog coverage</x:v>
      </x:c>
      <x:c r="D2" s="2"/>
      <x:c r="E2" s="2"/>
      <x:c r="F2" s="2"/>
      <x:c r="G2" s="2"/>
      <x:c r="H2" s="2"/>
    </x:row>
    <x:row r="3" ht="16" customHeight="1">
      <x:c r="A3" s="1"/>
      <x:c r="B3" s="1"/>
      <x:c r="C3" s="3"/>
      <x:c r="D3" s="3"/>
      <x:c r="E3" s="3"/>
      <x:c r="F3" s="3"/>
      <x:c r="G3" s="3"/>
      <x:c r="H3" s="3"/>
    </x:row>
    <x:row r="4" ht="16" customHeight="1">
      <x:c r="A4" s="1"/>
      <x:c r="B4" s="1"/>
      <x:c r="C4" s="1" t="str">
        <x:v>Dot comparison assumptions. USD. Not an owner or AF&amp;I budget.</x:v>
      </x:c>
      <x:c r="D4" s="1"/>
      <x:c r="E4" s="1"/>
      <x:c r="F4" s="1"/>
      <x:c r="G4" s="1"/>
      <x:c r="H4" s="1"/>
    </x:row>
    <x:row r="5" ht="16" customHeight="1">
      <x:c r="A5" s="1"/>
      <x:c r="B5" s="1"/>
      <x:c r="C5" s="1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  <x:c r="H5" s="1"/>
    </x:row>
    <x:row r="6" ht="16" customHeight="1">
      <x:c r="A6" s="1"/>
      <x:c r="B6" s="1"/>
      <x:c r="C6" s="1"/>
      <x:c r="D6" s="1"/>
      <x:c r="E6" s="1"/>
      <x:c r="F6" s="1"/>
      <x:c r="G6" s="1"/>
      <x:c r="H6" s="1"/>
    </x:row>
    <x:row r="7" ht="43" customHeight="1">
      <x:c r="A7" s="1"/>
      <x:c r="B7" s="1"/>
      <x:c r="C7" s="20" t="str">
        <x:v>Scope / family</x:v>
      </x:c>
      <x:c r="D7" s="20" t="str">
        <x:v>Treatment</x:v>
      </x:c>
      <x:c r="E7" s="20" t="str">
        <x:v>Reason</x:v>
      </x:c>
      <x:c r="F7" s="20"/>
      <x:c r="G7" s="20"/>
      <x:c r="H7" s="20"/>
    </x:row>
    <x:row r="8" ht="24" hidden="0" customHeight="1">
      <x:c r="A8" s="1"/>
      <x:c r="B8" s="1"/>
      <x:c r="C8" s="23" t="str">
        <x:v>International local-seller marketplace</x:v>
      </x:c>
      <x:c r="D8" s="24" t="str">
        <x:v>FIN-04</x:v>
      </x:c>
      <x:c r="E8" s="24" t="str">
        <x:v>Separate unnamed Africa/India expansion; no accepted operating scope or price</x:v>
      </x:c>
      <x:c r="F8" s="24"/>
      <x:c r="G8" s="24"/>
      <x:c r="H8" s="24"/>
    </x:row>
    <x:row r="9" ht="15" hidden="0" customHeight="1">
      <x:c r="A9" s="1"/>
      <x:c r="B9" s="1"/>
      <x:c r="C9" s="23" t="str">
        <x:v>S’otality Liberia feasibility</x:v>
      </x:c>
      <x:c r="D9" s="24" t="str">
        <x:v>FIN-20</x:v>
      </x:c>
      <x:c r="E9" s="24" t="str">
        <x:v>Feasibility only; no paid client mandate</x:v>
      </x:c>
      <x:c r="F9" s="24"/>
      <x:c r="G9" s="24"/>
      <x:c r="H9" s="24"/>
    </x:row>
    <x:row r="10" ht="15" hidden="0" customHeight="1">
      <x:c r="A10" s="1"/>
      <x:c r="B10" s="1"/>
      <x:c r="C10" s="23" t="str">
        <x:v>VraiSkill Red Alert production</x:v>
      </x:c>
      <x:c r="D10" s="24" t="str">
        <x:v>FIN-12</x:v>
      </x:c>
      <x:c r="E10" s="24" t="str">
        <x:v>Allocated course production cost; no additional sale</x:v>
      </x:c>
      <x:c r="F10" s="24"/>
      <x:c r="G10" s="24"/>
      <x:c r="H10" s="24"/>
    </x:row>
    <x:row r="11" ht="15" hidden="0" customHeight="1">
      <x:c r="A11" s="1"/>
      <x:c r="B11" s="1"/>
      <x:c r="C11" s="23" t="str">
        <x:v>Semajes optional BPA handoff</x:v>
      </x:c>
      <x:c r="D11" s="24" t="str">
        <x:v>FIN-23</x:v>
      </x:c>
      <x:c r="E11" s="24" t="str">
        <x:v>BPA professional engagement counted in BPA only</x:v>
      </x:c>
      <x:c r="F11" s="24"/>
      <x:c r="G11" s="24"/>
      <x:c r="H11" s="24"/>
    </x:row>
    <x:row r="12" ht="15" hidden="0" customHeight="1">
      <x:c r="A12" s="1"/>
      <x:c r="B12" s="1"/>
      <x:c r="C12" s="23" t="str">
        <x:v>Tomato Chronicles</x:v>
      </x:c>
      <x:c r="D12" s="24" t="str">
        <x:v>FIN-31</x:v>
      </x:c>
      <x:c r="E12" s="24" t="str">
        <x:v>Retained pause</x:v>
      </x:c>
      <x:c r="F12" s="24"/>
      <x:c r="G12" s="24"/>
      <x:c r="H12" s="24"/>
    </x:row>
    <x:row r="13" ht="15" hidden="0" customHeight="1">
      <x:c r="A13" s="1"/>
      <x:c r="B13" s="1"/>
      <x:c r="C13" s="23" t="str">
        <x:v>MasterMind</x:v>
      </x:c>
      <x:c r="D13" s="24" t="str">
        <x:v>FIN-32</x:v>
      </x:c>
      <x:c r="E13" s="24" t="str">
        <x:v>Retained pause</x:v>
      </x:c>
      <x:c r="F13" s="24"/>
      <x:c r="G13" s="24"/>
      <x:c r="H13" s="24"/>
    </x:row>
    <x:row r="14" ht="15" hidden="0" customHeight="1">
      <x:c r="A14" s="1"/>
      <x:c r="B14" s="1"/>
      <x:c r="C14" s="23" t="str">
        <x:v>Swifty</x:v>
      </x:c>
      <x:c r="D14" s="24" t="str">
        <x:v>FIN-33</x:v>
      </x:c>
      <x:c r="E14" s="24" t="str">
        <x:v>Retained pause</x:v>
      </x:c>
      <x:c r="F14" s="24"/>
      <x:c r="G14" s="24"/>
      <x:c r="H14" s="24"/>
    </x:row>
    <x:row r="15" ht="15" hidden="0" customHeight="1">
      <x:c r="A15" s="1"/>
      <x:c r="B15" s="1"/>
      <x:c r="C15" s="23" t="str">
        <x:v>Natur-ai-Vox</x:v>
      </x:c>
      <x:c r="D15" s="24" t="str">
        <x:v>FIN-34</x:v>
      </x:c>
      <x:c r="E15" s="24" t="str">
        <x:v>Retained pause</x:v>
      </x:c>
      <x:c r="F15" s="24"/>
      <x:c r="G15" s="24"/>
      <x:c r="H15" s="24"/>
    </x:row>
    <x:row r="16" ht="15" hidden="0" customHeight="1">
      <x:c r="A16" s="1"/>
      <x:c r="B16" s="1"/>
      <x:c r="C16" s="23" t="str">
        <x:v>Manufacturer-branded candy pitch</x:v>
      </x:c>
      <x:c r="D16" s="24" t="str">
        <x:v>FIN-37</x:v>
      </x:c>
      <x:c r="E16" s="24" t="str">
        <x:v>No manufacturer license or signed commercial agreement</x:v>
      </x:c>
      <x:c r="F16" s="24"/>
      <x:c r="G16" s="24"/>
      <x:c r="H16" s="24"/>
    </x:row>
    <x:row r="17" ht="15" hidden="0" customHeight="1">
      <x:c r="A17" s="1"/>
      <x:c r="B17" s="1"/>
      <x:c r="C17" s="23" t="str">
        <x:v>Fiefé jewelry, watches, fragrance and physical maisons</x:v>
      </x:c>
      <x:c r="D17" s="24" t="str">
        <x:v>FIN-28</x:v>
      </x:c>
      <x:c r="E17" s="24" t="str">
        <x:v>Long-term charter concepts without defined sellable offer</x:v>
      </x:c>
      <x:c r="F17" s="24"/>
      <x:c r="G17" s="24"/>
      <x:c r="H17" s="24"/>
    </x:row>
    <x:row r="18" ht="15" hidden="0" customHeight="1">
      <x:c r="A18" s="1"/>
      <x:c r="B18" s="1"/>
      <x:c r="C18" s="23" t="str">
        <x:v>Model Life Atelier and editorial modules</x:v>
      </x:c>
      <x:c r="D18" s="24" t="str">
        <x:v>FIN-13</x:v>
      </x:c>
      <x:c r="E18" s="24" t="str">
        <x:v>Included product modules; no duplicate subscription</x:v>
      </x:c>
      <x:c r="F18" s="24"/>
      <x:c r="G18" s="24"/>
      <x:c r="H18" s="24"/>
    </x:row>
    <x:row r="19" ht="15" hidden="0" customHeight="1">
      <x:c r="A19" s="1"/>
      <x:c r="B19" s="1"/>
      <x:c r="C19" s="23" t="str">
        <x:v>ETV persona and assistant capabilities</x:v>
      </x:c>
      <x:c r="D19" s="24" t="str">
        <x:v>FIN-02</x:v>
      </x:c>
      <x:c r="E19" s="24" t="str">
        <x:v>Internal capability and training, not extra product sales</x:v>
      </x:c>
      <x:c r="F19" s="24"/>
      <x:c r="G19" s="24"/>
      <x:c r="H19" s="24"/>
    </x:row>
    <x:row r="20" ht="24" hidden="0" customHeight="1">
      <x:c r="A20" s="1"/>
      <x:c r="B20" s="1"/>
      <x:c r="C20" s="23" t="str">
        <x:v>Dance Of…</x:v>
      </x:c>
      <x:c r="D20" s="24" t="str">
        <x:v>FIN-26</x:v>
      </x:c>
      <x:c r="E20" s="24" t="str">
        <x:v>Production project included within LesPetitFilms; no separate license presumed</x:v>
      </x:c>
      <x:c r="F20" s="24"/>
      <x:c r="G20" s="24"/>
      <x:c r="H20" s="24"/>
    </x:row>
    <x:row r="21" ht="15" hidden="0" customHeight="1">
      <x:c r="A21" s="1"/>
      <x:c r="B21" s="1"/>
      <x:c r="C21" s="23" t="str">
        <x:v>Sovereign Core and Qzotic Command</x:v>
      </x:c>
      <x:c r="D21" s="24" t="str">
        <x:v>FIN-30</x:v>
      </x:c>
      <x:c r="E21" s="24" t="str">
        <x:v>Internal research and technical infrastructure; trading gains excluded</x:v>
      </x:c>
      <x:c r="F21" s="24"/>
      <x:c r="G21" s="24"/>
      <x:c r="H21" s="24"/>
    </x:row>
    <x:row r="22" ht="15" hidden="0" customHeight="1">
      <x:c r="A22" s="1"/>
      <x:c r="B22" s="1"/>
      <x:c r="C22" s="23"/>
      <x:c r="D22" s="24"/>
      <x:c r="E22" s="24"/>
      <x:c r="F22" s="24"/>
      <x:c r="G22" s="24"/>
      <x:c r="H22" s="24"/>
    </x:row>
    <x:row r="23" ht="15" hidden="0" customHeight="1">
      <x:c r="A23" s="1"/>
      <x:c r="B23" s="1"/>
      <x:c r="C23" s="23"/>
      <x:c r="D23" s="24"/>
      <x:c r="E23" s="24"/>
      <x:c r="F23" s="24"/>
      <x:c r="G23" s="24"/>
      <x:c r="H23" s="24"/>
    </x:row>
    <x:row r="24" ht="15" hidden="0" customHeight="1">
      <x:c r="A24" s="1"/>
      <x:c r="B24" s="1"/>
      <x:c r="C24" s="23" t="str">
        <x:v>Commercial stream IDs</x:v>
      </x:c>
      <x:c r="D24" s="24"/>
      <x:c r="E24" s="24"/>
      <x:c r="F24" s="24"/>
      <x:c r="G24" s="24"/>
      <x:c r="H24" s="24"/>
    </x:row>
    <x:row r="25" ht="15" hidden="0" customHeight="1">
      <x:c r="A25" s="1"/>
      <x:c r="B25" s="1"/>
      <x:c r="C25" s="23" t="str">
        <x:v>Stream ID</x:v>
      </x:c>
      <x:c r="D25" s="24" t="str">
        <x:v>Family</x:v>
      </x:c>
      <x:c r="E25" s="24" t="str">
        <x:v>Product</x:v>
      </x:c>
      <x:c r="F25" s="24" t="str">
        <x:v>Scope</x:v>
      </x:c>
      <x:c r="G25" s="24" t="str">
        <x:v>Catalog keys</x:v>
      </x:c>
      <x:c r="H25" s="24"/>
    </x:row>
    <x:row r="26" ht="15" hidden="0" customHeight="1">
      <x:c r="A26" s="1"/>
      <x:c r="B26" s="1"/>
      <x:c r="C26" s="23" t="str">
        <x:v>DOT-001</x:v>
      </x:c>
      <x:c r="D26" s="24" t="str">
        <x:v>ETV courses</x:v>
      </x:c>
      <x:c r="E26" s="24" t="str">
        <x:v>Course 11: Grounded FAQ Assistant</x:v>
      </x:c>
      <x:c r="F26" s="24" t="str">
        <x:v>FIN-01</x:v>
      </x:c>
      <x:c r="G26" s="24" t="str">
        <x:v>learn__etv_course__11</x:v>
      </x:c>
      <x:c r="H26" s="24"/>
    </x:row>
    <x:row r="27" ht="84" hidden="0" customHeight="1">
      <x:c r="A27" s="1"/>
      <x:c r="B27" s="1"/>
      <x:c r="C27" s="23" t="str">
        <x:v>DOT-002</x:v>
      </x:c>
      <x:c r="D27" s="24" t="str">
        <x:v>ETV courses</x:v>
      </x:c>
      <x:c r="E27" s="24" t="str">
        <x:v>Other 19 quoted course editions</x:v>
      </x:c>
      <x:c r="F27" s="24" t="str">
        <x:v>FIN-01</x:v>
      </x:c>
      <x:c r="G27" s="24" t="str">
        <x:v>learn__etv_course__01, learn__etv_course__02, learn__etv_course__03, learn__etv_course__04, learn__etv_course__05, learn__etv_course__06, learn__etv_course__07, learn__etv_course__08, learn__etv_course__09, learn__etv_course__10, learn__etv_course__12, learn__etv_course__13, learn__etv_course__14, learn__etv_course__15, learn__etv_course__16, learn__etv_course__17, learn__etv_course__18, learn__etv_course__19, learn__etv_course__20</x:v>
      </x:c>
      <x:c r="H27" s="24"/>
    </x:row>
    <x:row r="28" ht="15" hidden="0" customHeight="1">
      <x:c r="A28" s="1"/>
      <x:c r="B28" s="1"/>
      <x:c r="C28" s="23" t="str">
        <x:v>DOT-003</x:v>
      </x:c>
      <x:c r="D28" s="24" t="str">
        <x:v>ETV services</x:v>
      </x:c>
      <x:c r="E28" s="24" t="str">
        <x:v>Site and inquiry journey</x:v>
      </x:c>
      <x:c r="F28" s="24" t="str">
        <x:v>FIN-02</x:v>
      </x:c>
      <x:c r="G28" s="24" t="str"/>
      <x:c r="H28" s="24"/>
    </x:row>
    <x:row r="29" ht="15" hidden="0" customHeight="1">
      <x:c r="A29" s="1"/>
      <x:c r="B29" s="1"/>
      <x:c r="C29" s="23" t="str">
        <x:v>DOT-004</x:v>
      </x:c>
      <x:c r="D29" s="24" t="str">
        <x:v>ETV services</x:v>
      </x:c>
      <x:c r="E29" s="24" t="str">
        <x:v>FAQ and workflow bots</x:v>
      </x:c>
      <x:c r="F29" s="24" t="str">
        <x:v>FIN-02</x:v>
      </x:c>
      <x:c r="G29" s="24" t="str"/>
      <x:c r="H29" s="24"/>
    </x:row>
    <x:row r="30" ht="15" hidden="0" customHeight="1">
      <x:c r="A30" s="1"/>
      <x:c r="B30" s="1"/>
      <x:c r="C30" s="23" t="str">
        <x:v>DOT-005</x:v>
      </x:c>
      <x:c r="D30" s="24" t="str">
        <x:v>ETV services</x:v>
      </x:c>
      <x:c r="E30" s="24" t="str">
        <x:v>Operations and controls</x:v>
      </x:c>
      <x:c r="F30" s="24" t="str">
        <x:v>FIN-02</x:v>
      </x:c>
      <x:c r="G30" s="24" t="str"/>
      <x:c r="H30" s="24"/>
    </x:row>
    <x:row r="31" ht="15" hidden="0" customHeight="1">
      <x:c r="A31" s="1"/>
      <x:c r="B31" s="1"/>
      <x:c r="C31" s="23" t="str">
        <x:v>DOT-006</x:v>
      </x:c>
      <x:c r="D31" s="24" t="str">
        <x:v>ETV services</x:v>
      </x:c>
      <x:c r="E31" s="24" t="str">
        <x:v>Team practice</x:v>
      </x:c>
      <x:c r="F31" s="24" t="str">
        <x:v>FIN-02</x:v>
      </x:c>
      <x:c r="G31" s="24" t="str"/>
      <x:c r="H31" s="24"/>
    </x:row>
    <x:row r="32" ht="15" hidden="0" customHeight="1">
      <x:c r="A32" s="1"/>
      <x:c r="B32" s="1"/>
      <x:c r="C32" s="23" t="str">
        <x:v>DOT-007</x:v>
      </x:c>
      <x:c r="D32" s="24" t="str">
        <x:v>BPA professional services</x:v>
      </x:c>
      <x:c r="E32" s="24" t="str">
        <x:v>CPA consultation</x:v>
      </x:c>
      <x:c r="F32" s="24" t="str">
        <x:v>FIN-03</x:v>
      </x:c>
      <x:c r="G32" s="24" t="str"/>
      <x:c r="H32" s="24"/>
    </x:row>
    <x:row r="33" ht="15" hidden="0" customHeight="1">
      <x:c r="A33" s="1"/>
      <x:c r="B33" s="1"/>
      <x:c r="C33" s="23" t="str">
        <x:v>DOT-008</x:v>
      </x:c>
      <x:c r="D33" s="24" t="str">
        <x:v>BPA professional services</x:v>
      </x:c>
      <x:c r="E33" s="24" t="str">
        <x:v>Accounting diagnostic</x:v>
      </x:c>
      <x:c r="F33" s="24" t="str">
        <x:v>FIN-03</x:v>
      </x:c>
      <x:c r="G33" s="24" t="str"/>
      <x:c r="H33" s="24"/>
    </x:row>
    <x:row r="34" ht="15" hidden="0" customHeight="1">
      <x:c r="A34" s="1"/>
      <x:c r="B34" s="1"/>
      <x:c r="C34" s="23" t="str">
        <x:v>DOT-009</x:v>
      </x:c>
      <x:c r="D34" s="24" t="str">
        <x:v>BPA professional services</x:v>
      </x:c>
      <x:c r="E34" s="24" t="str">
        <x:v>Business formation readiness</x:v>
      </x:c>
      <x:c r="F34" s="24" t="str">
        <x:v>FIN-03</x:v>
      </x:c>
      <x:c r="G34" s="24" t="str"/>
      <x:c r="H34" s="24"/>
    </x:row>
    <x:row r="35" ht="15" hidden="0" customHeight="1">
      <x:c r="A35" s="1"/>
      <x:c r="B35" s="1"/>
      <x:c r="C35" s="23" t="str">
        <x:v>DOT-010</x:v>
      </x:c>
      <x:c r="D35" s="24" t="str">
        <x:v>BPA professional services</x:v>
      </x:c>
      <x:c r="E35" s="24" t="str">
        <x:v>Budget and cash-flow forecast</x:v>
      </x:c>
      <x:c r="F35" s="24" t="str">
        <x:v>FIN-03</x:v>
      </x:c>
      <x:c r="G35" s="24" t="str"/>
      <x:c r="H35" s="24"/>
    </x:row>
    <x:row r="36" ht="15" hidden="0" customHeight="1">
      <x:c r="A36" s="1"/>
      <x:c r="B36" s="1"/>
      <x:c r="C36" s="23" t="str">
        <x:v>DOT-011</x:v>
      </x:c>
      <x:c r="D36" s="24" t="str">
        <x:v>BPA professional services</x:v>
      </x:c>
      <x:c r="E36" s="24" t="str">
        <x:v>Bookkeeping Essentials monthly</x:v>
      </x:c>
      <x:c r="F36" s="24" t="str">
        <x:v>FIN-03</x:v>
      </x:c>
      <x:c r="G36" s="24" t="str"/>
      <x:c r="H36" s="24"/>
    </x:row>
    <x:row r="37" ht="15" hidden="0" customHeight="1">
      <x:c r="A37" s="1"/>
      <x:c r="B37" s="1"/>
      <x:c r="C37" s="23" t="str">
        <x:v>DOT-012</x:v>
      </x:c>
      <x:c r="D37" s="24" t="str">
        <x:v>BPA professional services</x:v>
      </x:c>
      <x:c r="E37" s="24" t="str">
        <x:v>Bookkeeping Growth monthly</x:v>
      </x:c>
      <x:c r="F37" s="24" t="str">
        <x:v>FIN-03</x:v>
      </x:c>
      <x:c r="G37" s="24" t="str"/>
      <x:c r="H37" s="24"/>
    </x:row>
    <x:row r="38" ht="15" hidden="0" customHeight="1">
      <x:c r="A38" s="1"/>
      <x:c r="B38" s="1"/>
      <x:c r="C38" s="23" t="str">
        <x:v>DOT-013</x:v>
      </x:c>
      <x:c r="D38" s="24" t="str">
        <x:v>BPA professional services</x:v>
      </x:c>
      <x:c r="E38" s="24" t="str">
        <x:v>Controller CAS monthly</x:v>
      </x:c>
      <x:c r="F38" s="24" t="str">
        <x:v>FIN-03</x:v>
      </x:c>
      <x:c r="G38" s="24" t="str"/>
      <x:c r="H38" s="24"/>
    </x:row>
    <x:row r="39" ht="15" hidden="0" customHeight="1">
      <x:c r="A39" s="1"/>
      <x:c r="B39" s="1"/>
      <x:c r="C39" s="23" t="str">
        <x:v>DOT-014</x:v>
      </x:c>
      <x:c r="D39" s="24" t="str">
        <x:v>BPA professional services</x:v>
      </x:c>
      <x:c r="E39" s="24" t="str">
        <x:v>Virtual CFO monthly</x:v>
      </x:c>
      <x:c r="F39" s="24" t="str">
        <x:v>FIN-03</x:v>
      </x:c>
      <x:c r="G39" s="24" t="str"/>
      <x:c r="H39" s="24"/>
    </x:row>
    <x:row r="40" ht="15" hidden="0" customHeight="1">
      <x:c r="A40" s="1"/>
      <x:c r="B40" s="1"/>
      <x:c r="C40" s="23" t="str">
        <x:v>DOT-015</x:v>
      </x:c>
      <x:c r="D40" s="24" t="str">
        <x:v>BPA professional services</x:v>
      </x:c>
      <x:c r="E40" s="24" t="str">
        <x:v>Catch-up and cleanup</x:v>
      </x:c>
      <x:c r="F40" s="24" t="str">
        <x:v>FIN-03</x:v>
      </x:c>
      <x:c r="G40" s="24" t="str"/>
      <x:c r="H40" s="24"/>
    </x:row>
    <x:row r="41" ht="15" hidden="0" customHeight="1">
      <x:c r="A41" s="1"/>
      <x:c r="B41" s="1"/>
      <x:c r="C41" s="23" t="str">
        <x:v>DOT-016</x:v>
      </x:c>
      <x:c r="D41" s="24" t="str">
        <x:v>BPA professional services</x:v>
      </x:c>
      <x:c r="E41" s="24" t="str">
        <x:v>Foreign-statement conversion</x:v>
      </x:c>
      <x:c r="F41" s="24" t="str">
        <x:v>FIN-03</x:v>
      </x:c>
      <x:c r="G41" s="24" t="str"/>
      <x:c r="H41" s="24"/>
    </x:row>
    <x:row r="42" ht="15" hidden="0" customHeight="1">
      <x:c r="A42" s="1"/>
      <x:c r="B42" s="1"/>
      <x:c r="C42" s="23" t="str">
        <x:v>DOT-017</x:v>
      </x:c>
      <x:c r="D42" s="24" t="str">
        <x:v>BPA professional services</x:v>
      </x:c>
      <x:c r="E42" s="24" t="str">
        <x:v>Multi-currency accounts mapping</x:v>
      </x:c>
      <x:c r="F42" s="24" t="str">
        <x:v>FIN-03</x:v>
      </x:c>
      <x:c r="G42" s="24" t="str"/>
      <x:c r="H42" s="24"/>
    </x:row>
    <x:row r="43" ht="15" hidden="0" customHeight="1">
      <x:c r="A43" s="1"/>
      <x:c r="B43" s="1"/>
      <x:c r="C43" s="23" t="str">
        <x:v>DOT-018</x:v>
      </x:c>
      <x:c r="D43" s="24" t="str">
        <x:v>BPA professional services</x:v>
      </x:c>
      <x:c r="E43" s="24" t="str">
        <x:v>Cross-border FX reconciliation</x:v>
      </x:c>
      <x:c r="F43" s="24" t="str">
        <x:v>FIN-03</x:v>
      </x:c>
      <x:c r="G43" s="24" t="str"/>
      <x:c r="H43" s="24"/>
    </x:row>
    <x:row r="44" ht="15" hidden="0" customHeight="1">
      <x:c r="A44" s="1"/>
      <x:c r="B44" s="1"/>
      <x:c r="C44" s="23" t="str">
        <x:v>DOT-019</x:v>
      </x:c>
      <x:c r="D44" s="24" t="str">
        <x:v>BPA professional services</x:v>
      </x:c>
      <x:c r="E44" s="24" t="str">
        <x:v>Data-room readiness</x:v>
      </x:c>
      <x:c r="F44" s="24" t="str">
        <x:v>FIN-03</x:v>
      </x:c>
      <x:c r="G44" s="24" t="str"/>
      <x:c r="H44" s="24"/>
    </x:row>
    <x:row r="45" ht="15" hidden="0" customHeight="1">
      <x:c r="A45" s="1"/>
      <x:c r="B45" s="1"/>
      <x:c r="C45" s="23" t="str">
        <x:v>DOT-020</x:v>
      </x:c>
      <x:c r="D45" s="24" t="str">
        <x:v>BPA professional services</x:v>
      </x:c>
      <x:c r="E45" s="24" t="str">
        <x:v>WISP basic</x:v>
      </x:c>
      <x:c r="F45" s="24" t="str">
        <x:v>FIN-03</x:v>
      </x:c>
      <x:c r="G45" s="24" t="str"/>
      <x:c r="H45" s="24"/>
    </x:row>
    <x:row r="46" ht="15" hidden="0" customHeight="1">
      <x:c r="A46" s="1"/>
      <x:c r="B46" s="1"/>
      <x:c r="C46" s="23" t="str">
        <x:v>DOT-021</x:v>
      </x:c>
      <x:c r="D46" s="24" t="str">
        <x:v>BPA professional services</x:v>
      </x:c>
      <x:c r="E46" s="24" t="str">
        <x:v>WISP comprehensive</x:v>
      </x:c>
      <x:c r="F46" s="24" t="str">
        <x:v>FIN-03</x:v>
      </x:c>
      <x:c r="G46" s="24" t="str"/>
      <x:c r="H46" s="24"/>
    </x:row>
    <x:row r="47" ht="15" hidden="0" customHeight="1">
      <x:c r="A47" s="1"/>
      <x:c r="B47" s="1"/>
      <x:c r="C47" s="23" t="str">
        <x:v>DOT-022</x:v>
      </x:c>
      <x:c r="D47" s="24" t="str">
        <x:v>BPA professional services</x:v>
      </x:c>
      <x:c r="E47" s="24" t="str">
        <x:v>Individual tax planning</x:v>
      </x:c>
      <x:c r="F47" s="24" t="str">
        <x:v>FIN-03</x:v>
      </x:c>
      <x:c r="G47" s="24" t="str"/>
      <x:c r="H47" s="24"/>
    </x:row>
    <x:row r="48" ht="15" hidden="0" customHeight="1">
      <x:c r="A48" s="1"/>
      <x:c r="B48" s="1"/>
      <x:c r="C48" s="23" t="str">
        <x:v>DOT-023</x:v>
      </x:c>
      <x:c r="D48" s="24" t="str">
        <x:v>BPA professional services</x:v>
      </x:c>
      <x:c r="E48" s="24" t="str">
        <x:v>Business tax planning</x:v>
      </x:c>
      <x:c r="F48" s="24" t="str">
        <x:v>FIN-03</x:v>
      </x:c>
      <x:c r="G48" s="24" t="str"/>
      <x:c r="H48" s="24"/>
    </x:row>
    <x:row r="49" ht="15" hidden="0" customHeight="1">
      <x:c r="A49" s="1"/>
      <x:c r="B49" s="1"/>
      <x:c r="C49" s="23" t="str">
        <x:v>DOT-024</x:v>
      </x:c>
      <x:c r="D49" s="24" t="str">
        <x:v>BPA professional services</x:v>
      </x:c>
      <x:c r="E49" s="24" t="str">
        <x:v>Form 1040 basic</x:v>
      </x:c>
      <x:c r="F49" s="24" t="str">
        <x:v>FIN-03</x:v>
      </x:c>
      <x:c r="G49" s="24" t="str"/>
      <x:c r="H49" s="24"/>
    </x:row>
    <x:row r="50" ht="15" hidden="0" customHeight="1">
      <x:c r="A50" s="1"/>
      <x:c r="B50" s="1"/>
      <x:c r="C50" s="23" t="str">
        <x:v>DOT-025</x:v>
      </x:c>
      <x:c r="D50" s="24" t="str">
        <x:v>BPA professional services</x:v>
      </x:c>
      <x:c r="E50" s="24" t="str">
        <x:v>Form 1040 complex</x:v>
      </x:c>
      <x:c r="F50" s="24" t="str">
        <x:v>FIN-03</x:v>
      </x:c>
      <x:c r="G50" s="24" t="str"/>
      <x:c r="H50" s="24"/>
    </x:row>
    <x:row r="51" ht="15" hidden="0" customHeight="1">
      <x:c r="A51" s="1"/>
      <x:c r="B51" s="1"/>
      <x:c r="C51" s="23" t="str">
        <x:v>DOT-026</x:v>
      </x:c>
      <x:c r="D51" s="24" t="str">
        <x:v>BPA professional services</x:v>
      </x:c>
      <x:c r="E51" s="24" t="str">
        <x:v>Form 1065</x:v>
      </x:c>
      <x:c r="F51" s="24" t="str">
        <x:v>FIN-03</x:v>
      </x:c>
      <x:c r="G51" s="24" t="str"/>
      <x:c r="H51" s="24"/>
    </x:row>
    <x:row r="52" ht="15" hidden="0" customHeight="1">
      <x:c r="A52" s="1"/>
      <x:c r="B52" s="1"/>
      <x:c r="C52" s="23" t="str">
        <x:v>DOT-027</x:v>
      </x:c>
      <x:c r="D52" s="24" t="str">
        <x:v>BPA professional services</x:v>
      </x:c>
      <x:c r="E52" s="24" t="str">
        <x:v>Form 1120-S</x:v>
      </x:c>
      <x:c r="F52" s="24" t="str">
        <x:v>FIN-03</x:v>
      </x:c>
      <x:c r="G52" s="24" t="str"/>
      <x:c r="H52" s="24"/>
    </x:row>
    <x:row r="53" ht="15" hidden="0" customHeight="1">
      <x:c r="A53" s="1"/>
      <x:c r="B53" s="1"/>
      <x:c r="C53" s="23" t="str">
        <x:v>DOT-028</x:v>
      </x:c>
      <x:c r="D53" s="24" t="str">
        <x:v>BPA professional services</x:v>
      </x:c>
      <x:c r="E53" s="24" t="str">
        <x:v>Form 1120</x:v>
      </x:c>
      <x:c r="F53" s="24" t="str">
        <x:v>FIN-03</x:v>
      </x:c>
      <x:c r="G53" s="24" t="str"/>
      <x:c r="H53" s="24"/>
    </x:row>
    <x:row r="54" ht="15" hidden="0" customHeight="1">
      <x:c r="A54" s="1"/>
      <x:c r="B54" s="1"/>
      <x:c r="C54" s="23" t="str">
        <x:v>DOT-029</x:v>
      </x:c>
      <x:c r="D54" s="24" t="str">
        <x:v>BPA professional services</x:v>
      </x:c>
      <x:c r="E54" s="24" t="str">
        <x:v>State return add-on</x:v>
      </x:c>
      <x:c r="F54" s="24" t="str">
        <x:v>FIN-03</x:v>
      </x:c>
      <x:c r="G54" s="24" t="str"/>
      <x:c r="H54" s="24"/>
    </x:row>
    <x:row r="55" ht="15" hidden="0" customHeight="1">
      <x:c r="A55" s="1"/>
      <x:c r="B55" s="1"/>
      <x:c r="C55" s="23" t="str">
        <x:v>DOT-030</x:v>
      </x:c>
      <x:c r="D55" s="24" t="str">
        <x:v>BPA professional services</x:v>
      </x:c>
      <x:c r="E55" s="24" t="str">
        <x:v>Amended return</x:v>
      </x:c>
      <x:c r="F55" s="24" t="str">
        <x:v>FIN-03</x:v>
      </x:c>
      <x:c r="G55" s="24" t="str"/>
      <x:c r="H55" s="24"/>
    </x:row>
    <x:row r="56" ht="15" hidden="0" customHeight="1">
      <x:c r="A56" s="1"/>
      <x:c r="B56" s="1"/>
      <x:c r="C56" s="23" t="str">
        <x:v>DOT-031</x:v>
      </x:c>
      <x:c r="D56" s="24" t="str">
        <x:v>BPA professional services</x:v>
      </x:c>
      <x:c r="E56" s="24" t="str">
        <x:v>Internal audit, SOX, IT and AI governance</x:v>
      </x:c>
      <x:c r="F56" s="24" t="str">
        <x:v>FIN-03</x:v>
      </x:c>
      <x:c r="G56" s="24" t="str"/>
      <x:c r="H56" s="24"/>
    </x:row>
    <x:row r="57" ht="15" hidden="0" customHeight="1">
      <x:c r="A57" s="1"/>
      <x:c r="B57" s="1"/>
      <x:c r="C57" s="23" t="str">
        <x:v>DOT-032</x:v>
      </x:c>
      <x:c r="D57" s="24" t="str">
        <x:v>BPA professional services</x:v>
      </x:c>
      <x:c r="E57" s="24" t="str">
        <x:v>Institutional process advisory</x:v>
      </x:c>
      <x:c r="F57" s="24" t="str">
        <x:v>FIN-03</x:v>
      </x:c>
      <x:c r="G57" s="24" t="str"/>
      <x:c r="H57" s="24"/>
    </x:row>
    <x:row r="58" ht="15" hidden="0" customHeight="1">
      <x:c r="A58" s="1"/>
      <x:c r="B58" s="1"/>
      <x:c r="C58" s="23" t="str">
        <x:v>DOT-033</x:v>
      </x:c>
      <x:c r="D58" s="24" t="str">
        <x:v>CornerFlow</x:v>
      </x:c>
      <x:c r="E58" s="24" t="str">
        <x:v>Merchant subscription</x:v>
      </x:c>
      <x:c r="F58" s="24" t="str">
        <x:v>FIN-04</x:v>
      </x:c>
      <x:c r="G58" s="24" t="str"/>
      <x:c r="H58" s="24"/>
    </x:row>
    <x:row r="59" ht="15" hidden="0" customHeight="1">
      <x:c r="A59" s="1"/>
      <x:c r="B59" s="1"/>
      <x:c r="C59" s="23" t="str">
        <x:v>DOT-034</x:v>
      </x:c>
      <x:c r="D59" s="24" t="str">
        <x:v>CornerFlow</x:v>
      </x:c>
      <x:c r="E59" s="24" t="str">
        <x:v>Separately scoped onboarding</x:v>
      </x:c>
      <x:c r="F59" s="24" t="str">
        <x:v>FIN-04</x:v>
      </x:c>
      <x:c r="G59" s="24" t="str"/>
      <x:c r="H59" s="24"/>
    </x:row>
    <x:row r="60" ht="15" hidden="0" customHeight="1">
      <x:c r="A60" s="1"/>
      <x:c r="B60" s="1"/>
      <x:c r="C60" s="23" t="str">
        <x:v>DOT-035</x:v>
      </x:c>
      <x:c r="D60" s="24" t="str">
        <x:v>Spindle</x:v>
      </x:c>
      <x:c r="E60" s="24" t="str">
        <x:v>Merchant subscription</x:v>
      </x:c>
      <x:c r="F60" s="24" t="str">
        <x:v>FIN-06</x:v>
      </x:c>
      <x:c r="G60" s="24" t="str"/>
      <x:c r="H60" s="24"/>
    </x:row>
    <x:row r="61" ht="15" hidden="0" customHeight="1">
      <x:c r="A61" s="1"/>
      <x:c r="B61" s="1"/>
      <x:c r="C61" s="23" t="str">
        <x:v>DOT-036</x:v>
      </x:c>
      <x:c r="D61" s="24" t="str">
        <x:v>Spindle</x:v>
      </x:c>
      <x:c r="E61" s="24" t="str">
        <x:v>Separately scoped onboarding</x:v>
      </x:c>
      <x:c r="F61" s="24" t="str">
        <x:v>FIN-06</x:v>
      </x:c>
      <x:c r="G61" s="24" t="str"/>
      <x:c r="H61" s="24"/>
    </x:row>
    <x:row r="62" ht="15" hidden="0" customHeight="1">
      <x:c r="A62" s="1"/>
      <x:c r="B62" s="1"/>
      <x:c r="C62" s="23" t="str">
        <x:v>DOT-037</x:v>
      </x:c>
      <x:c r="D62" s="24" t="str">
        <x:v>Maison Contour</x:v>
      </x:c>
      <x:c r="E62" s="24" t="str">
        <x:v>Merchant subscription</x:v>
      </x:c>
      <x:c r="F62" s="24" t="str">
        <x:v>FIN-07</x:v>
      </x:c>
      <x:c r="G62" s="24" t="str"/>
      <x:c r="H62" s="24"/>
    </x:row>
    <x:row r="63" ht="15" hidden="0" customHeight="1">
      <x:c r="A63" s="1"/>
      <x:c r="B63" s="1"/>
      <x:c r="C63" s="23" t="str">
        <x:v>DOT-038</x:v>
      </x:c>
      <x:c r="D63" s="24" t="str">
        <x:v>Maison Contour</x:v>
      </x:c>
      <x:c r="E63" s="24" t="str">
        <x:v>Separately scoped onboarding</x:v>
      </x:c>
      <x:c r="F63" s="24" t="str">
        <x:v>FIN-07</x:v>
      </x:c>
      <x:c r="G63" s="24" t="str"/>
      <x:c r="H63" s="24"/>
    </x:row>
    <x:row r="64" ht="15" hidden="0" customHeight="1">
      <x:c r="A64" s="1"/>
      <x:c r="B64" s="1"/>
      <x:c r="C64" s="23" t="str">
        <x:v>DOT-039</x:v>
      </x:c>
      <x:c r="D64" s="24" t="str">
        <x:v>DishLoom US</x:v>
      </x:c>
      <x:c r="E64" s="24" t="str">
        <x:v>Vendor subscription</x:v>
      </x:c>
      <x:c r="F64" s="24" t="str">
        <x:v>FIN-04</x:v>
      </x:c>
      <x:c r="G64" s="24" t="str"/>
      <x:c r="H64" s="24"/>
    </x:row>
    <x:row r="65" ht="15" hidden="0" customHeight="1">
      <x:c r="A65" s="1"/>
      <x:c r="B65" s="1"/>
      <x:c r="C65" s="23" t="str">
        <x:v>DOT-040</x:v>
      </x:c>
      <x:c r="D65" s="24" t="str">
        <x:v>DishLoom US</x:v>
      </x:c>
      <x:c r="E65" s="24" t="str">
        <x:v>Customer membership</x:v>
      </x:c>
      <x:c r="F65" s="24" t="str">
        <x:v>FIN-04</x:v>
      </x:c>
      <x:c r="G65" s="24" t="str"/>
      <x:c r="H65" s="24"/>
    </x:row>
    <x:row r="66" ht="15" hidden="0" customHeight="1">
      <x:c r="A66" s="1"/>
      <x:c r="B66" s="1"/>
      <x:c r="C66" s="23" t="str">
        <x:v>DOT-041</x:v>
      </x:c>
      <x:c r="D66" s="24" t="str">
        <x:v>DishLoom US</x:v>
      </x:c>
      <x:c r="E66" s="24" t="str">
        <x:v>Culinary marketplace commission</x:v>
      </x:c>
      <x:c r="F66" s="24" t="str">
        <x:v>FIN-04</x:v>
      </x:c>
      <x:c r="G66" s="24" t="str"/>
      <x:c r="H66" s="24"/>
    </x:row>
    <x:row r="67" ht="15" hidden="0" customHeight="1">
      <x:c r="A67" s="1"/>
      <x:c r="B67" s="1"/>
      <x:c r="C67" s="23" t="str">
        <x:v>DOT-042</x:v>
      </x:c>
      <x:c r="D67" s="24" t="str">
        <x:v>Is Makes Travel Easy</x:v>
      </x:c>
      <x:c r="E67" s="24" t="str">
        <x:v>Trip-bound host and guest access</x:v>
      </x:c>
      <x:c r="F67" s="24" t="str">
        <x:v>FIN-05</x:v>
      </x:c>
      <x:c r="G67" s="24" t="str"/>
      <x:c r="H67" s="24"/>
    </x:row>
    <x:row r="68" ht="15" hidden="0" customHeight="1">
      <x:c r="A68" s="1"/>
      <x:c r="B68" s="1"/>
      <x:c r="C68" s="23" t="str">
        <x:v>DOT-043</x:v>
      </x:c>
      <x:c r="D68" s="24" t="str">
        <x:v>Is Makes Travel Easy</x:v>
      </x:c>
      <x:c r="E68" s="24" t="str">
        <x:v>Professional access subscription</x:v>
      </x:c>
      <x:c r="F68" s="24" t="str">
        <x:v>FIN-05</x:v>
      </x:c>
      <x:c r="G68" s="24" t="str"/>
      <x:c r="H68" s="24"/>
    </x:row>
    <x:row r="69" ht="15" hidden="0" customHeight="1">
      <x:c r="A69" s="1"/>
      <x:c r="B69" s="1"/>
      <x:c r="C69" s="23" t="str">
        <x:v>DOT-044</x:v>
      </x:c>
      <x:c r="D69" s="24" t="str">
        <x:v>Is Makes Travel Easy</x:v>
      </x:c>
      <x:c r="E69" s="24" t="str">
        <x:v>Provider advertising</x:v>
      </x:c>
      <x:c r="F69" s="24" t="str">
        <x:v>FIN-05</x:v>
      </x:c>
      <x:c r="G69" s="24" t="str"/>
      <x:c r="H69" s="24"/>
    </x:row>
    <x:row r="70" ht="15" hidden="0" customHeight="1">
      <x:c r="A70" s="1"/>
      <x:c r="B70" s="1"/>
      <x:c r="C70" s="23" t="str">
        <x:v>DOT-045</x:v>
      </x:c>
      <x:c r="D70" s="24" t="str">
        <x:v>Is Makes Travel Easy</x:v>
      </x:c>
      <x:c r="E70" s="24" t="str">
        <x:v>Host transaction commissions</x:v>
      </x:c>
      <x:c r="F70" s="24" t="str">
        <x:v>FIN-05</x:v>
      </x:c>
      <x:c r="G70" s="24" t="str"/>
      <x:c r="H70" s="24"/>
    </x:row>
    <x:row r="71" ht="15" hidden="0" customHeight="1">
      <x:c r="A71" s="1"/>
      <x:c r="B71" s="1"/>
      <x:c r="C71" s="23" t="str">
        <x:v>DOT-046</x:v>
      </x:c>
      <x:c r="D71" s="24" t="str">
        <x:v>Turbo Tax - Made Easy!</x:v>
      </x:c>
      <x:c r="E71" s="24" t="str">
        <x:v>Core bundle</x:v>
      </x:c>
      <x:c r="F71" s="24" t="str">
        <x:v>FIN-08</x:v>
      </x:c>
      <x:c r="G71" s="24" t="str">
        <x:v>learn__ll_adult__concept_01</x:v>
      </x:c>
      <x:c r="H71" s="24"/>
    </x:row>
    <x:row r="72" ht="15" hidden="0" customHeight="1">
      <x:c r="A72" s="1"/>
      <x:c r="B72" s="1"/>
      <x:c r="C72" s="23" t="str">
        <x:v>DOT-047</x:v>
      </x:c>
      <x:c r="D72" s="24" t="str">
        <x:v>LavaLearning adult</x:v>
      </x:c>
      <x:c r="E72" s="24" t="str">
        <x:v>Trust Me? Test Me. parent bundle</x:v>
      </x:c>
      <x:c r="F72" s="24" t="str">
        <x:v>FIN-08</x:v>
      </x:c>
      <x:c r="G72" s="24" t="str">
        <x:v>learn__ll_adult__concept_02</x:v>
      </x:c>
      <x:c r="H72" s="24"/>
    </x:row>
    <x:row r="73" ht="84" hidden="0" customHeight="1">
      <x:c r="A73" s="1"/>
      <x:c r="B73" s="1"/>
      <x:c r="C73" s="23" t="str">
        <x:v>DOT-048</x:v>
      </x:c>
      <x:c r="D73" s="24" t="str">
        <x:v>Turbo Tax - Made Easy!</x:v>
      </x:c>
      <x:c r="E73" s="24" t="str">
        <x:v>Standalone T01–T20 topics, outside bundle purchases</x:v>
      </x:c>
      <x:c r="F73" s="24" t="str">
        <x:v>FIN-08</x:v>
      </x:c>
      <x:c r="G73" s="24" t="str">
        <x:v>learn__ll_adult__t01, learn__ll_adult__t02, learn__ll_adult__t03, learn__ll_adult__t04, learn__ll_adult__t05, learn__ll_adult__t06, learn__ll_adult__t07, learn__ll_adult__t08, learn__ll_adult__t09, learn__ll_adult__t10, learn__ll_adult__t11, learn__ll_adult__t12, learn__ll_adult__t13, learn__ll_adult__t14, learn__ll_adult__t15, learn__ll_adult__t16, learn__ll_adult__t17, learn__ll_adult__t18, learn__ll_adult__t19, learn__ll_adult__t20</x:v>
      </x:c>
      <x:c r="H73" s="24"/>
    </x:row>
    <x:row r="74" ht="48" hidden="0" customHeight="1">
      <x:c r="A74" s="1"/>
      <x:c r="B74" s="1"/>
      <x:c r="C74" s="23" t="str">
        <x:v>DOT-049</x:v>
      </x:c>
      <x:c r="D74" s="24" t="str">
        <x:v>Turbo Tax - Made Easy!</x:v>
      </x:c>
      <x:c r="E74" s="24" t="str">
        <x:v>Standalone T21–T30 later topics</x:v>
      </x:c>
      <x:c r="F74" s="24" t="str">
        <x:v>FIN-08</x:v>
      </x:c>
      <x:c r="G74" s="24" t="str">
        <x:v>learn__ll_adult__t21, learn__ll_adult__t22, learn__ll_adult__t23, learn__ll_adult__t24, learn__ll_adult__t25, learn__ll_adult__t26, learn__ll_adult__t27, learn__ll_adult__t28, learn__ll_adult__t29, learn__ll_adult__t30</x:v>
      </x:c>
      <x:c r="H74" s="24"/>
    </x:row>
    <x:row r="75" ht="120" hidden="0" customHeight="1">
      <x:c r="A75" s="1"/>
      <x:c r="B75" s="1"/>
      <x:c r="C75" s="23" t="str">
        <x:v>DOT-050</x:v>
      </x:c>
      <x:c r="D75" s="24" t="str">
        <x:v>LavaLearning adult</x:v>
      </x:c>
      <x:c r="E75" s="24" t="str">
        <x:v>Standalone L01–L30 adult topics</x:v>
      </x:c>
      <x:c r="F75" s="24" t="str">
        <x:v>FIN-08</x:v>
      </x:c>
      <x:c r="G75" s="24" t="str">
        <x:v>learn__ll_adult__l01, learn__ll_adult__l02, learn__ll_adult__l03, learn__ll_adult__l04, learn__ll_adult__l05, learn__ll_adult__l06, learn__ll_adult__l07, learn__ll_adult__l08, learn__ll_adult__l09, learn__ll_adult__l10, learn__ll_adult__l11, learn__ll_adult__l12, learn__ll_adult__l13, learn__ll_adult__l14, learn__ll_adult__l15, learn__ll_adult__l16, learn__ll_adult__l17, learn__ll_adult__l18, learn__ll_adult__l19, learn__ll_adult__l20, learn__ll_adult__l21, learn__ll_adult__l22, learn__ll_adult__l23, learn__ll_adult__l24, learn__ll_adult__l25, learn__ll_adult__l26, learn__ll_adult__l27, learn__ll_adult__l28, learn__ll_adult__l29, learn__ll_adult__l30</x:v>
      </x:c>
      <x:c r="H75" s="24"/>
    </x:row>
    <x:row r="76" ht="15" hidden="0" customHeight="1">
      <x:c r="A76" s="1"/>
      <x:c r="B76" s="1"/>
      <x:c r="C76" s="23" t="str">
        <x:v>DOT-051</x:v>
      </x:c>
      <x:c r="D76" s="24" t="str">
        <x:v>LavaLearning adult</x:v>
      </x:c>
      <x:c r="E76" s="24" t="str">
        <x:v>AI Workpaper Check educational access</x:v>
      </x:c>
      <x:c r="F76" s="24" t="str">
        <x:v>FIN-08</x:v>
      </x:c>
      <x:c r="G76" s="24" t="str"/>
      <x:c r="H76" s="24"/>
    </x:row>
    <x:row r="77" ht="15" hidden="0" customHeight="1">
      <x:c r="A77" s="1"/>
      <x:c r="B77" s="1"/>
      <x:c r="C77" s="23" t="str">
        <x:v>DOT-052</x:v>
      </x:c>
      <x:c r="D77" s="24" t="str">
        <x:v>LavaLearning Model Life</x:v>
      </x:c>
      <x:c r="E77" s="24" t="str">
        <x:v>Separately sold branded learning</x:v>
      </x:c>
      <x:c r="F77" s="24" t="str">
        <x:v>FIN-08</x:v>
      </x:c>
      <x:c r="G77" s="24" t="str"/>
      <x:c r="H77" s="24"/>
    </x:row>
    <x:row r="78" ht="15" hidden="0" customHeight="1">
      <x:c r="A78" s="1"/>
      <x:c r="B78" s="1"/>
      <x:c r="C78" s="23" t="str">
        <x:v>DOT-053</x:v>
      </x:c>
      <x:c r="D78" s="24" t="str">
        <x:v>LavaLearning Kids</x:v>
      </x:c>
      <x:c r="E78" s="24" t="str">
        <x:v>Guardian-purchased learning packs</x:v>
      </x:c>
      <x:c r="F78" s="24" t="str">
        <x:v>FIN-09</x:v>
      </x:c>
      <x:c r="G78" s="24" t="str"/>
      <x:c r="H78" s="24"/>
    </x:row>
    <x:row r="79" ht="15" hidden="0" customHeight="1">
      <x:c r="A79" s="1"/>
      <x:c r="B79" s="1"/>
      <x:c r="C79" s="23" t="str">
        <x:v>DOT-054</x:v>
      </x:c>
      <x:c r="D79" s="24" t="str">
        <x:v>VraiSkill adult</x:v>
      </x:c>
      <x:c r="E79" s="24" t="str">
        <x:v>Standalone adult course purchases</x:v>
      </x:c>
      <x:c r="F79" s="24" t="str">
        <x:v>FIN-10</x:v>
      </x:c>
      <x:c r="G79" s="24" t="str"/>
      <x:c r="H79" s="24"/>
    </x:row>
    <x:row r="80" ht="15" hidden="0" customHeight="1">
      <x:c r="A80" s="1"/>
      <x:c r="B80" s="1"/>
      <x:c r="C80" s="23" t="str">
        <x:v>DOT-055</x:v>
      </x:c>
      <x:c r="D80" s="24" t="str">
        <x:v>VraiSkill adult</x:v>
      </x:c>
      <x:c r="E80" s="24" t="str">
        <x:v>Three-course bundles, separate purchase cohorts</x:v>
      </x:c>
      <x:c r="F80" s="24" t="str">
        <x:v>FIN-10</x:v>
      </x:c>
      <x:c r="G80" s="24" t="str"/>
      <x:c r="H80" s="24"/>
    </x:row>
    <x:row r="81" ht="15" hidden="0" customHeight="1">
      <x:c r="A81" s="1"/>
      <x:c r="B81" s="1"/>
      <x:c r="C81" s="23" t="str">
        <x:v>DOT-056</x:v>
      </x:c>
      <x:c r="D81" s="24" t="str">
        <x:v>VraiSkill teen</x:v>
      </x:c>
      <x:c r="E81" s="24" t="str">
        <x:v>Guardian-purchased teen learning packs</x:v>
      </x:c>
      <x:c r="F81" s="24" t="str">
        <x:v>FIN-11</x:v>
      </x:c>
      <x:c r="G81" s="24" t="str"/>
      <x:c r="H81" s="24"/>
    </x:row>
    <x:row r="82" ht="15" hidden="0" customHeight="1">
      <x:c r="A82" s="1"/>
      <x:c r="B82" s="1"/>
      <x:c r="C82" s="23" t="str">
        <x:v>DOT-057</x:v>
      </x:c>
      <x:c r="D82" s="24" t="str">
        <x:v>VraiSkill Model Life</x:v>
      </x:c>
      <x:c r="E82" s="24" t="str">
        <x:v>Separately sold branded learning</x:v>
      </x:c>
      <x:c r="F82" s="24" t="str">
        <x:v>FIN-13</x:v>
      </x:c>
      <x:c r="G82" s="24" t="str"/>
      <x:c r="H82" s="24"/>
    </x:row>
    <x:row r="83" ht="15" hidden="0" customHeight="1">
      <x:c r="A83" s="1"/>
      <x:c r="B83" s="1"/>
      <x:c r="C83" s="23" t="str">
        <x:v>DOT-058</x:v>
      </x:c>
      <x:c r="D83" s="24" t="str">
        <x:v>Model Life</x:v>
      </x:c>
      <x:c r="E83" s="24" t="str">
        <x:v>Model subscription</x:v>
      </x:c>
      <x:c r="F83" s="24" t="str">
        <x:v>FIN-13</x:v>
      </x:c>
      <x:c r="G83" s="24" t="str"/>
      <x:c r="H83" s="24"/>
    </x:row>
    <x:row r="84" ht="15" hidden="0" customHeight="1">
      <x:c r="A84" s="1"/>
      <x:c r="B84" s="1"/>
      <x:c r="C84" s="23" t="str">
        <x:v>DOT-059</x:v>
      </x:c>
      <x:c r="D84" s="24" t="str">
        <x:v>Model Life</x:v>
      </x:c>
      <x:c r="E84" s="24" t="str">
        <x:v>Agency and booker subscription</x:v>
      </x:c>
      <x:c r="F84" s="24" t="str">
        <x:v>FIN-13</x:v>
      </x:c>
      <x:c r="G84" s="24" t="str"/>
      <x:c r="H84" s="24"/>
    </x:row>
    <x:row r="85" ht="15" hidden="0" customHeight="1">
      <x:c r="A85" s="1"/>
      <x:c r="B85" s="1"/>
      <x:c r="C85" s="23" t="str">
        <x:v>DOT-060</x:v>
      </x:c>
      <x:c r="D85" s="24" t="str">
        <x:v>Model Life</x:v>
      </x:c>
      <x:c r="E85" s="24" t="str">
        <x:v>Casting subscription</x:v>
      </x:c>
      <x:c r="F85" s="24" t="str">
        <x:v>FIN-13</x:v>
      </x:c>
      <x:c r="G85" s="24" t="str"/>
      <x:c r="H85" s="24"/>
    </x:row>
    <x:row r="86" ht="15" hidden="0" customHeight="1">
      <x:c r="A86" s="1"/>
      <x:c r="B86" s="1"/>
      <x:c r="C86" s="23" t="str">
        <x:v>DOT-061</x:v>
      </x:c>
      <x:c r="D86" s="24" t="str">
        <x:v>Model Life</x:v>
      </x:c>
      <x:c r="E86" s="24" t="str">
        <x:v>Brand subscription</x:v>
      </x:c>
      <x:c r="F86" s="24" t="str">
        <x:v>FIN-13</x:v>
      </x:c>
      <x:c r="G86" s="24" t="str"/>
      <x:c r="H86" s="24"/>
    </x:row>
    <x:row r="87" ht="15" hidden="0" customHeight="1">
      <x:c r="A87" s="1"/>
      <x:c r="B87" s="1"/>
      <x:c r="C87" s="23" t="str">
        <x:v>DOT-062</x:v>
      </x:c>
      <x:c r="D87" s="24" t="str">
        <x:v>Model Life</x:v>
      </x:c>
      <x:c r="E87" s="24" t="str">
        <x:v>Marketing subscription</x:v>
      </x:c>
      <x:c r="F87" s="24" t="str">
        <x:v>FIN-13</x:v>
      </x:c>
      <x:c r="G87" s="24" t="str"/>
      <x:c r="H87" s="24"/>
    </x:row>
    <x:row r="88" ht="15" hidden="0" customHeight="1">
      <x:c r="A88" s="1"/>
      <x:c r="B88" s="1"/>
      <x:c r="C88" s="23" t="str">
        <x:v>DOT-063</x:v>
      </x:c>
      <x:c r="D88" s="24" t="str">
        <x:v>S’otality cleaning</x:v>
      </x:c>
      <x:c r="E88" s="24" t="str">
        <x:v>Studio one-time</x:v>
      </x:c>
      <x:c r="F88" s="24" t="str">
        <x:v>FIN-14</x:v>
      </x:c>
      <x:c r="G88" s="24" t="str"/>
      <x:c r="H88" s="24"/>
    </x:row>
    <x:row r="89" ht="15" hidden="0" customHeight="1">
      <x:c r="A89" s="1"/>
      <x:c r="B89" s="1"/>
      <x:c r="C89" s="23" t="str">
        <x:v>DOT-064</x:v>
      </x:c>
      <x:c r="D89" s="24" t="str">
        <x:v>S’otality cleaning</x:v>
      </x:c>
      <x:c r="E89" s="24" t="str">
        <x:v>Studio recurring visits</x:v>
      </x:c>
      <x:c r="F89" s="24" t="str">
        <x:v>FIN-14</x:v>
      </x:c>
      <x:c r="G89" s="24" t="str"/>
      <x:c r="H89" s="24"/>
    </x:row>
    <x:row r="90" ht="15" hidden="0" customHeight="1">
      <x:c r="A90" s="1"/>
      <x:c r="B90" s="1"/>
      <x:c r="C90" s="23" t="str">
        <x:v>DOT-065</x:v>
      </x:c>
      <x:c r="D90" s="24" t="str">
        <x:v>S’otality cleaning</x:v>
      </x:c>
      <x:c r="E90" s="24" t="str">
        <x:v>One-bedroom one-time</x:v>
      </x:c>
      <x:c r="F90" s="24" t="str">
        <x:v>FIN-14</x:v>
      </x:c>
      <x:c r="G90" s="24" t="str"/>
      <x:c r="H90" s="24"/>
    </x:row>
    <x:row r="91" ht="15" hidden="0" customHeight="1">
      <x:c r="A91" s="1"/>
      <x:c r="B91" s="1"/>
      <x:c r="C91" s="23" t="str">
        <x:v>DOT-066</x:v>
      </x:c>
      <x:c r="D91" s="24" t="str">
        <x:v>S’otality cleaning</x:v>
      </x:c>
      <x:c r="E91" s="24" t="str">
        <x:v>One-bedroom recurring visits</x:v>
      </x:c>
      <x:c r="F91" s="24" t="str">
        <x:v>FIN-14</x:v>
      </x:c>
      <x:c r="G91" s="24" t="str"/>
      <x:c r="H91" s="24"/>
    </x:row>
    <x:row r="92" ht="15" hidden="0" customHeight="1">
      <x:c r="A92" s="1"/>
      <x:c r="B92" s="1"/>
      <x:c r="C92" s="23" t="str">
        <x:v>DOT-067</x:v>
      </x:c>
      <x:c r="D92" s="24" t="str">
        <x:v>S’otality cleaning</x:v>
      </x:c>
      <x:c r="E92" s="24" t="str">
        <x:v>Two-bedroom one-time</x:v>
      </x:c>
      <x:c r="F92" s="24" t="str">
        <x:v>FIN-14</x:v>
      </x:c>
      <x:c r="G92" s="24" t="str"/>
      <x:c r="H92" s="24"/>
    </x:row>
    <x:row r="93" ht="15" hidden="0" customHeight="1">
      <x:c r="A93" s="1"/>
      <x:c r="B93" s="1"/>
      <x:c r="C93" s="23" t="str">
        <x:v>DOT-068</x:v>
      </x:c>
      <x:c r="D93" s="24" t="str">
        <x:v>S’otality cleaning</x:v>
      </x:c>
      <x:c r="E93" s="24" t="str">
        <x:v>Two-bedroom recurring visits</x:v>
      </x:c>
      <x:c r="F93" s="24" t="str">
        <x:v>FIN-14</x:v>
      </x:c>
      <x:c r="G93" s="24" t="str"/>
      <x:c r="H93" s="24"/>
    </x:row>
    <x:row r="94" ht="15" hidden="0" customHeight="1">
      <x:c r="A94" s="1"/>
      <x:c r="B94" s="1"/>
      <x:c r="C94" s="23" t="str">
        <x:v>DOT-069</x:v>
      </x:c>
      <x:c r="D94" s="24" t="str">
        <x:v>S’otality cleaning</x:v>
      </x:c>
      <x:c r="E94" s="24" t="str">
        <x:v>Specialty cleaning</x:v>
      </x:c>
      <x:c r="F94" s="24" t="str">
        <x:v>FIN-14</x:v>
      </x:c>
      <x:c r="G94" s="24" t="str"/>
      <x:c r="H94" s="24"/>
    </x:row>
    <x:row r="95" ht="15" hidden="0" customHeight="1">
      <x:c r="A95" s="1"/>
      <x:c r="B95" s="1"/>
      <x:c r="C95" s="23" t="str">
        <x:v>DOT-070</x:v>
      </x:c>
      <x:c r="D95" s="24" t="str">
        <x:v>S’otality laundry</x:v>
      </x:c>
      <x:c r="E95" s="24" t="str">
        <x:v>Laundry order coordination</x:v>
      </x:c>
      <x:c r="F95" s="24" t="str">
        <x:v>FIN-14</x:v>
      </x:c>
      <x:c r="G95" s="24" t="str"/>
      <x:c r="H95" s="24"/>
    </x:row>
    <x:row r="96" ht="15" hidden="0" customHeight="1">
      <x:c r="A96" s="1"/>
      <x:c r="B96" s="1"/>
      <x:c r="C96" s="23" t="str">
        <x:v>DOT-071</x:v>
      </x:c>
      <x:c r="D96" s="24" t="str">
        <x:v>S’otality Personal Chef</x:v>
      </x:c>
      <x:c r="E96" s="24" t="str">
        <x:v>Chef session or small event</x:v>
      </x:c>
      <x:c r="F96" s="24" t="str">
        <x:v>FIN-15</x:v>
      </x:c>
      <x:c r="G96" s="24" t="str"/>
      <x:c r="H96" s="24"/>
    </x:row>
    <x:row r="97" ht="15" hidden="0" customHeight="1">
      <x:c r="A97" s="1"/>
      <x:c r="B97" s="1"/>
      <x:c r="C97" s="23" t="str">
        <x:v>DOT-072</x:v>
      </x:c>
      <x:c r="D97" s="24" t="str">
        <x:v>S’otality interiors</x:v>
      </x:c>
      <x:c r="E97" s="24" t="str">
        <x:v>Interior design project</x:v>
      </x:c>
      <x:c r="F97" s="24" t="str">
        <x:v>FIN-18</x:v>
      </x:c>
      <x:c r="G97" s="24" t="str"/>
      <x:c r="H97" s="24"/>
    </x:row>
    <x:row r="98" ht="15" hidden="0" customHeight="1">
      <x:c r="A98" s="1"/>
      <x:c r="B98" s="1"/>
      <x:c r="C98" s="23" t="str">
        <x:v>DOT-073</x:v>
      </x:c>
      <x:c r="D98" s="24" t="str">
        <x:v>S’otality interiors</x:v>
      </x:c>
      <x:c r="E98" s="24" t="str">
        <x:v>Organizing service</x:v>
      </x:c>
      <x:c r="F98" s="24" t="str">
        <x:v>FIN-18</x:v>
      </x:c>
      <x:c r="G98" s="24" t="str"/>
      <x:c r="H98" s="24"/>
    </x:row>
    <x:row r="99" ht="15" hidden="0" customHeight="1">
      <x:c r="A99" s="1"/>
      <x:c r="B99" s="1"/>
      <x:c r="C99" s="23" t="str">
        <x:v>DOT-074</x:v>
      </x:c>
      <x:c r="D99" s="24" t="str">
        <x:v>S’otality interiors</x:v>
      </x:c>
      <x:c r="E99" s="24" t="str">
        <x:v>Procurement commission</x:v>
      </x:c>
      <x:c r="F99" s="24" t="str">
        <x:v>FIN-18</x:v>
      </x:c>
      <x:c r="G99" s="24" t="str"/>
      <x:c r="H99" s="24"/>
    </x:row>
    <x:row r="100" ht="15" hidden="0" customHeight="1">
      <x:c r="A100" s="1"/>
      <x:c r="B100" s="1"/>
      <x:c r="C100" s="23" t="str">
        <x:v>DOT-075</x:v>
      </x:c>
      <x:c r="D100" s="24" t="str">
        <x:v>S’otality concierge</x:v>
      </x:c>
      <x:c r="E100" s="24" t="str">
        <x:v>Concierge request</x:v>
      </x:c>
      <x:c r="F100" s="24" t="str">
        <x:v>FIN-19</x:v>
      </x:c>
      <x:c r="G100" s="24" t="str"/>
      <x:c r="H100" s="24"/>
    </x:row>
    <x:row r="101" ht="15" hidden="0" customHeight="1">
      <x:c r="A101" s="1"/>
      <x:c r="B101" s="1"/>
      <x:c r="C101" s="23" t="str">
        <x:v>DOT-076</x:v>
      </x:c>
      <x:c r="D101" s="24" t="str">
        <x:v>S’otality administration</x:v>
      </x:c>
      <x:c r="E101" s="24" t="str">
        <x:v>Administrative support hour</x:v>
      </x:c>
      <x:c r="F101" s="24" t="str">
        <x:v>FIN-19</x:v>
      </x:c>
      <x:c r="G101" s="24" t="str"/>
      <x:c r="H101" s="24"/>
    </x:row>
    <x:row r="102" ht="15" hidden="0" customHeight="1">
      <x:c r="A102" s="1"/>
      <x:c r="B102" s="1"/>
      <x:c r="C102" s="23" t="str">
        <x:v>DOT-077</x:v>
      </x:c>
      <x:c r="D102" s="24" t="str">
        <x:v>S’otality bike tours</x:v>
      </x:c>
      <x:c r="E102" s="24" t="str">
        <x:v>Downtown tour ticket</x:v>
      </x:c>
      <x:c r="F102" s="24" t="str">
        <x:v>FIN-19</x:v>
      </x:c>
      <x:c r="G102" s="24" t="str"/>
      <x:c r="H102" s="24"/>
    </x:row>
    <x:row r="103" ht="15" hidden="0" customHeight="1">
      <x:c r="A103" s="1"/>
      <x:c r="B103" s="1"/>
      <x:c r="C103" s="23" t="str">
        <x:v>DOT-078</x:v>
      </x:c>
      <x:c r="D103" s="24" t="str">
        <x:v>S’otality editorial</x:v>
      </x:c>
      <x:c r="E103" s="24" t="str">
        <x:v>Content license</x:v>
      </x:c>
      <x:c r="F103" s="24" t="str">
        <x:v>FIN-16</x:v>
      </x:c>
      <x:c r="G103" s="24" t="str"/>
      <x:c r="H103" s="24"/>
    </x:row>
    <x:row r="104" ht="15" hidden="0" customHeight="1">
      <x:c r="A104" s="1"/>
      <x:c r="B104" s="1"/>
      <x:c r="C104" s="23" t="str">
        <x:v>DOT-079</x:v>
      </x:c>
      <x:c r="D104" s="24" t="str">
        <x:v>S’otality editorial</x:v>
      </x:c>
      <x:c r="E104" s="24" t="str">
        <x:v>Sponsorship campaign</x:v>
      </x:c>
      <x:c r="F104" s="24" t="str">
        <x:v>FIN-16</x:v>
      </x:c>
      <x:c r="G104" s="24" t="str"/>
      <x:c r="H104" s="24"/>
    </x:row>
    <x:row r="105" ht="15" hidden="0" customHeight="1">
      <x:c r="A105" s="1"/>
      <x:c r="B105" s="1"/>
      <x:c r="C105" s="23" t="str">
        <x:v>DOT-080</x:v>
      </x:c>
      <x:c r="D105" s="24" t="str">
        <x:v>Tomato Odyssey</x:v>
      </x:c>
      <x:c r="E105" s="24" t="str">
        <x:v>Content license</x:v>
      </x:c>
      <x:c r="F105" s="24" t="str">
        <x:v>FIN-17</x:v>
      </x:c>
      <x:c r="G105" s="24" t="str"/>
      <x:c r="H105" s="24"/>
    </x:row>
    <x:row r="106" ht="15" hidden="0" customHeight="1">
      <x:c r="A106" s="1"/>
      <x:c r="B106" s="1"/>
      <x:c r="C106" s="23" t="str">
        <x:v>DOT-081</x:v>
      </x:c>
      <x:c r="D106" s="24" t="str">
        <x:v>Tomato Odyssey</x:v>
      </x:c>
      <x:c r="E106" s="24" t="str">
        <x:v>Sponsorship campaign</x:v>
      </x:c>
      <x:c r="F106" s="24" t="str">
        <x:v>FIN-17</x:v>
      </x:c>
      <x:c r="G106" s="24" t="str"/>
      <x:c r="H106" s="24"/>
    </x:row>
    <x:row r="107" ht="15" hidden="0" customHeight="1">
      <x:c r="A107" s="1"/>
      <x:c r="B107" s="1"/>
      <x:c r="C107" s="23" t="str">
        <x:v>DOT-082</x:v>
      </x:c>
      <x:c r="D107" s="24" t="str">
        <x:v>Semajes Studio</x:v>
      </x:c>
      <x:c r="E107" s="24" t="str">
        <x:v>Focused photography commission</x:v>
      </x:c>
      <x:c r="F107" s="24" t="str">
        <x:v>FIN-21</x:v>
      </x:c>
      <x:c r="G107" s="24" t="str"/>
      <x:c r="H107" s="24"/>
    </x:row>
    <x:row r="108" ht="15" hidden="0" customHeight="1">
      <x:c r="A108" s="1"/>
      <x:c r="B108" s="1"/>
      <x:c r="C108" s="23" t="str">
        <x:v>DOT-083</x:v>
      </x:c>
      <x:c r="D108" s="24" t="str">
        <x:v>Semajes Studio</x:v>
      </x:c>
      <x:c r="E108" s="24" t="str">
        <x:v>Signature photography commission</x:v>
      </x:c>
      <x:c r="F108" s="24" t="str">
        <x:v>FIN-21</x:v>
      </x:c>
      <x:c r="G108" s="24" t="str"/>
      <x:c r="H108" s="24"/>
    </x:row>
    <x:row r="109" ht="15" hidden="0" customHeight="1">
      <x:c r="A109" s="1"/>
      <x:c r="B109" s="1"/>
      <x:c r="C109" s="23" t="str">
        <x:v>DOT-084</x:v>
      </x:c>
      <x:c r="D109" s="24" t="str">
        <x:v>Semajes Studio</x:v>
      </x:c>
      <x:c r="E109" s="24" t="str">
        <x:v>Personal image license</x:v>
      </x:c>
      <x:c r="F109" s="24" t="str">
        <x:v>FIN-21</x:v>
      </x:c>
      <x:c r="G109" s="24" t="str"/>
      <x:c r="H109" s="24"/>
    </x:row>
    <x:row r="110" ht="15" hidden="0" customHeight="1">
      <x:c r="A110" s="1"/>
      <x:c r="B110" s="1"/>
      <x:c r="C110" s="23" t="str">
        <x:v>DOT-085</x:v>
      </x:c>
      <x:c r="D110" s="24" t="str">
        <x:v>Semajes Studio</x:v>
      </x:c>
      <x:c r="E110" s="24" t="str">
        <x:v>Editorial image license</x:v>
      </x:c>
      <x:c r="F110" s="24" t="str">
        <x:v>FIN-21</x:v>
      </x:c>
      <x:c r="G110" s="24" t="str"/>
      <x:c r="H110" s="24"/>
    </x:row>
    <x:row r="111" ht="15" hidden="0" customHeight="1">
      <x:c r="A111" s="1"/>
      <x:c r="B111" s="1"/>
      <x:c r="C111" s="23" t="str">
        <x:v>DOT-086</x:v>
      </x:c>
      <x:c r="D111" s="24" t="str">
        <x:v>Semajes Studio</x:v>
      </x:c>
      <x:c r="E111" s="24" t="str">
        <x:v>Commercial image license</x:v>
      </x:c>
      <x:c r="F111" s="24" t="str">
        <x:v>FIN-21</x:v>
      </x:c>
      <x:c r="G111" s="24" t="str"/>
      <x:c r="H111" s="24"/>
    </x:row>
    <x:row r="112" ht="15" hidden="0" customHeight="1">
      <x:c r="A112" s="1"/>
      <x:c r="B112" s="1"/>
      <x:c r="C112" s="23" t="str">
        <x:v>DOT-087</x:v>
      </x:c>
      <x:c r="D112" s="24" t="str">
        <x:v>Semajes Studio</x:v>
      </x:c>
      <x:c r="E112" s="24" t="str">
        <x:v>Unframed print</x:v>
      </x:c>
      <x:c r="F112" s="24" t="str">
        <x:v>FIN-21</x:v>
      </x:c>
      <x:c r="G112" s="24" t="str"/>
      <x:c r="H112" s="24"/>
    </x:row>
    <x:row r="113" ht="15" hidden="0" customHeight="1">
      <x:c r="A113" s="1"/>
      <x:c r="B113" s="1"/>
      <x:c r="C113" s="23" t="str">
        <x:v>DOT-088</x:v>
      </x:c>
      <x:c r="D113" s="24" t="str">
        <x:v>Semajes Studio</x:v>
      </x:c>
      <x:c r="E113" s="24" t="str">
        <x:v>Framed print</x:v>
      </x:c>
      <x:c r="F113" s="24" t="str">
        <x:v>FIN-21</x:v>
      </x:c>
      <x:c r="G113" s="24" t="str"/>
      <x:c r="H113" s="24"/>
    </x:row>
    <x:row r="114" ht="15" hidden="0" customHeight="1">
      <x:c r="A114" s="1"/>
      <x:c r="B114" s="1"/>
      <x:c r="C114" s="23" t="str">
        <x:v>DOT-089</x:v>
      </x:c>
      <x:c r="D114" s="24" t="str">
        <x:v>Semajes Studio</x:v>
      </x:c>
      <x:c r="E114" s="24" t="str">
        <x:v>Custom framing only</x:v>
      </x:c>
      <x:c r="F114" s="24" t="str">
        <x:v>FIN-21</x:v>
      </x:c>
      <x:c r="G114" s="24" t="str"/>
      <x:c r="H114" s="24"/>
    </x:row>
    <x:row r="115" ht="15" hidden="0" customHeight="1">
      <x:c r="A115" s="1"/>
      <x:c r="B115" s="1"/>
      <x:c r="C115" s="23" t="str">
        <x:v>DOT-090</x:v>
      </x:c>
      <x:c r="D115" s="24" t="str">
        <x:v>Semajes Marketplace</x:v>
      </x:c>
      <x:c r="E115" s="24" t="str">
        <x:v>Combined client and vendor booking fees</x:v>
      </x:c>
      <x:c r="F115" s="24" t="str">
        <x:v>FIN-22</x:v>
      </x:c>
      <x:c r="G115" s="24" t="str"/>
      <x:c r="H115" s="24"/>
    </x:row>
    <x:row r="116" ht="15" hidden="0" customHeight="1">
      <x:c r="A116" s="1"/>
      <x:c r="B116" s="1"/>
      <x:c r="C116" s="23" t="str">
        <x:v>DOT-091</x:v>
      </x:c>
      <x:c r="D116" s="24" t="str">
        <x:v>Semajes Marketplace</x:v>
      </x:c>
      <x:c r="E116" s="24" t="str">
        <x:v>Third-party gallery license commission</x:v>
      </x:c>
      <x:c r="F116" s="24" t="str">
        <x:v>FIN-22</x:v>
      </x:c>
      <x:c r="G116" s="24" t="str"/>
      <x:c r="H116" s="24"/>
    </x:row>
    <x:row r="117" ht="15" hidden="0" customHeight="1">
      <x:c r="A117" s="1"/>
      <x:c r="B117" s="1"/>
      <x:c r="C117" s="23" t="str">
        <x:v>DOT-092</x:v>
      </x:c>
      <x:c r="D117" s="24" t="str">
        <x:v>Semajes Marketplace</x:v>
      </x:c>
      <x:c r="E117" s="24" t="str">
        <x:v>Third-party print and frame commission</x:v>
      </x:c>
      <x:c r="F117" s="24" t="str">
        <x:v>FIN-22</x:v>
      </x:c>
      <x:c r="G117" s="24" t="str"/>
      <x:c r="H117" s="24"/>
    </x:row>
    <x:row r="118" ht="15" hidden="0" customHeight="1">
      <x:c r="A118" s="1"/>
      <x:c r="B118" s="1"/>
      <x:c r="C118" s="23" t="str">
        <x:v>DOT-093</x:v>
      </x:c>
      <x:c r="D118" s="24" t="str">
        <x:v>Semajes Marketplace</x:v>
      </x:c>
      <x:c r="E118" s="24" t="str">
        <x:v>Talent booking commission</x:v>
      </x:c>
      <x:c r="F118" s="24" t="str">
        <x:v>FIN-22</x:v>
      </x:c>
      <x:c r="G118" s="24" t="str"/>
      <x:c r="H118" s="24"/>
    </x:row>
    <x:row r="119" ht="15" hidden="0" customHeight="1">
      <x:c r="A119" s="1"/>
      <x:c r="B119" s="1"/>
      <x:c r="C119" s="23" t="str">
        <x:v>DOT-094</x:v>
      </x:c>
      <x:c r="D119" s="24" t="str">
        <x:v>Semajes premium and media</x:v>
      </x:c>
      <x:c r="E119" s="24" t="str">
        <x:v>Records Export subscription</x:v>
      </x:c>
      <x:c r="F119" s="24" t="str">
        <x:v>FIN-22</x:v>
      </x:c>
      <x:c r="G119" s="24" t="str"/>
      <x:c r="H119" s="24"/>
    </x:row>
    <x:row r="120" ht="15" hidden="0" customHeight="1">
      <x:c r="A120" s="1"/>
      <x:c r="B120" s="1"/>
      <x:c r="C120" s="23" t="str">
        <x:v>DOT-095</x:v>
      </x:c>
      <x:c r="D120" s="24" t="str">
        <x:v>Semajes premium and media</x:v>
      </x:c>
      <x:c r="E120" s="24" t="str">
        <x:v>Connected Finance subscription</x:v>
      </x:c>
      <x:c r="F120" s="24" t="str">
        <x:v>FIN-22</x:v>
      </x:c>
      <x:c r="G120" s="24" t="str"/>
      <x:c r="H120" s="24"/>
    </x:row>
    <x:row r="121" ht="15" hidden="0" customHeight="1">
      <x:c r="A121" s="1"/>
      <x:c r="B121" s="1"/>
      <x:c r="C121" s="23" t="str">
        <x:v>DOT-096</x:v>
      </x:c>
      <x:c r="D121" s="24" t="str">
        <x:v>Semajes premium and media</x:v>
      </x:c>
      <x:c r="E121" s="24" t="str">
        <x:v>Smart Books subscription</x:v>
      </x:c>
      <x:c r="F121" s="24" t="str">
        <x:v>FIN-22</x:v>
      </x:c>
      <x:c r="G121" s="24" t="str"/>
      <x:c r="H121" s="24"/>
    </x:row>
    <x:row r="122" ht="15" hidden="0" customHeight="1">
      <x:c r="A122" s="1"/>
      <x:c r="B122" s="1"/>
      <x:c r="C122" s="23" t="str">
        <x:v>DOT-097</x:v>
      </x:c>
      <x:c r="D122" s="24" t="str">
        <x:v>Semajes premium and media</x:v>
      </x:c>
      <x:c r="E122" s="24" t="str">
        <x:v>Guided portfolio builder</x:v>
      </x:c>
      <x:c r="F122" s="24" t="str">
        <x:v>FIN-22</x:v>
      </x:c>
      <x:c r="G122" s="24" t="str"/>
      <x:c r="H122" s="24"/>
    </x:row>
    <x:row r="123" ht="15" hidden="0" customHeight="1">
      <x:c r="A123" s="1"/>
      <x:c r="B123" s="1"/>
      <x:c r="C123" s="23" t="str">
        <x:v>DOT-098</x:v>
      </x:c>
      <x:c r="D123" s="24" t="str">
        <x:v>Semajes premium and media</x:v>
      </x:c>
      <x:c r="E123" s="24" t="str">
        <x:v>Concierge portfolio assist</x:v>
      </x:c>
      <x:c r="F123" s="24" t="str">
        <x:v>FIN-22</x:v>
      </x:c>
      <x:c r="G123" s="24" t="str"/>
      <x:c r="H123" s="24"/>
    </x:row>
    <x:row r="124" ht="15" hidden="0" customHeight="1">
      <x:c r="A124" s="1"/>
      <x:c r="B124" s="1"/>
      <x:c r="C124" s="23" t="str">
        <x:v>DOT-099</x:v>
      </x:c>
      <x:c r="D124" s="24" t="str">
        <x:v>Semajes premium and media</x:v>
      </x:c>
      <x:c r="E124" s="24" t="str">
        <x:v>Self-build submission</x:v>
      </x:c>
      <x:c r="F124" s="24" t="str">
        <x:v>FIN-22</x:v>
      </x:c>
      <x:c r="G124" s="24" t="str"/>
      <x:c r="H124" s="24"/>
    </x:row>
    <x:row r="125" ht="15" hidden="0" customHeight="1">
      <x:c r="A125" s="1"/>
      <x:c r="B125" s="1"/>
      <x:c r="C125" s="23" t="str">
        <x:v>DOT-100</x:v>
      </x:c>
      <x:c r="D125" s="24" t="str">
        <x:v>Semajes courses</x:v>
      </x:c>
      <x:c r="E125" s="24" t="str">
        <x:v>Exposure With Intention</x:v>
      </x:c>
      <x:c r="F125" s="24" t="str">
        <x:v>FIN-35</x:v>
      </x:c>
      <x:c r="G125" s="24" t="str"/>
      <x:c r="H125" s="24"/>
    </x:row>
    <x:row r="126" ht="15" hidden="0" customHeight="1">
      <x:c r="A126" s="1"/>
      <x:c r="B126" s="1"/>
      <x:c r="C126" s="23" t="str">
        <x:v>DOT-101</x:v>
      </x:c>
      <x:c r="D126" s="24" t="str">
        <x:v>Sleepy Face</x:v>
      </x:c>
      <x:c r="E126" s="24" t="str">
        <x:v>T-shirts</x:v>
      </x:c>
      <x:c r="F126" s="24" t="str">
        <x:v>FIN-24</x:v>
      </x:c>
      <x:c r="G126" s="24" t="str"/>
      <x:c r="H126" s="24"/>
    </x:row>
    <x:row r="127" ht="15" hidden="0" customHeight="1">
      <x:c r="A127" s="1"/>
      <x:c r="B127" s="1"/>
      <x:c r="C127" s="23" t="str">
        <x:v>DOT-102</x:v>
      </x:c>
      <x:c r="D127" s="24" t="str">
        <x:v>Sleepy Face</x:v>
      </x:c>
      <x:c r="E127" s="24" t="str">
        <x:v>Sweatshirts and hoodies</x:v>
      </x:c>
      <x:c r="F127" s="24" t="str">
        <x:v>FIN-24</x:v>
      </x:c>
      <x:c r="G127" s="24" t="str"/>
      <x:c r="H127" s="24"/>
    </x:row>
    <x:row r="128" ht="15" hidden="0" customHeight="1">
      <x:c r="A128" s="1"/>
      <x:c r="B128" s="1"/>
      <x:c r="C128" s="23" t="str">
        <x:v>DOT-103</x:v>
      </x:c>
      <x:c r="D128" s="24" t="str">
        <x:v>Sleepy Face</x:v>
      </x:c>
      <x:c r="E128" s="24" t="str">
        <x:v>Knitwear</x:v>
      </x:c>
      <x:c r="F128" s="24" t="str">
        <x:v>FIN-24</x:v>
      </x:c>
      <x:c r="G128" s="24" t="str"/>
      <x:c r="H128" s="24"/>
    </x:row>
    <x:row r="129" ht="15" hidden="0" customHeight="1">
      <x:c r="A129" s="1"/>
      <x:c r="B129" s="1"/>
      <x:c r="C129" s="23" t="str">
        <x:v>DOT-104</x:v>
      </x:c>
      <x:c r="D129" s="24" t="str">
        <x:v>Sleepy Face</x:v>
      </x:c>
      <x:c r="E129" s="24" t="str">
        <x:v>Headwear</x:v>
      </x:c>
      <x:c r="F129" s="24" t="str">
        <x:v>FIN-24</x:v>
      </x:c>
      <x:c r="G129" s="24" t="str"/>
      <x:c r="H129" s="24"/>
    </x:row>
    <x:row r="130" ht="15" hidden="0" customHeight="1">
      <x:c r="A130" s="1"/>
      <x:c r="B130" s="1"/>
      <x:c r="C130" s="23" t="str">
        <x:v>DOT-105</x:v>
      </x:c>
      <x:c r="D130" s="24" t="str">
        <x:v>Sleepy Face</x:v>
      </x:c>
      <x:c r="E130" s="24" t="str">
        <x:v>Reserved eyewear families</x:v>
      </x:c>
      <x:c r="F130" s="24" t="str">
        <x:v>FIN-24</x:v>
      </x:c>
      <x:c r="G130" s="24" t="str"/>
      <x:c r="H130" s="24"/>
    </x:row>
    <x:row r="131" ht="15" hidden="0" customHeight="1">
      <x:c r="A131" s="1"/>
      <x:c r="B131" s="1"/>
      <x:c r="C131" s="23" t="str">
        <x:v>DOT-106</x:v>
      </x:c>
      <x:c r="D131" s="24" t="str">
        <x:v>QzoticMusic</x:v>
      </x:c>
      <x:c r="E131" s="24" t="str">
        <x:v>Non-audio supporter subscription</x:v>
      </x:c>
      <x:c r="F131" s="24" t="str">
        <x:v>FIN-25</x:v>
      </x:c>
      <x:c r="G131" s="24" t="str"/>
      <x:c r="H131" s="24"/>
    </x:row>
    <x:row r="132" ht="15" hidden="0" customHeight="1">
      <x:c r="A132" s="1"/>
      <x:c r="B132" s="1"/>
      <x:c r="C132" s="23" t="str">
        <x:v>DOT-107</x:v>
      </x:c>
      <x:c r="D132" s="24" t="str">
        <x:v>QzoticMusic</x:v>
      </x:c>
      <x:c r="E132" s="24" t="str">
        <x:v>Artist-authorized event tickets</x:v>
      </x:c>
      <x:c r="F132" s="24" t="str">
        <x:v>FIN-25</x:v>
      </x:c>
      <x:c r="G132" s="24" t="str"/>
      <x:c r="H132" s="24"/>
    </x:row>
    <x:row r="133" ht="15" hidden="0" customHeight="1">
      <x:c r="A133" s="1"/>
      <x:c r="B133" s="1"/>
      <x:c r="C133" s="23" t="str">
        <x:v>DOT-108</x:v>
      </x:c>
      <x:c r="D133" s="24" t="str">
        <x:v>QzoticMusic</x:v>
      </x:c>
      <x:c r="E133" s="24" t="str">
        <x:v>Cultural sponsorship</x:v>
      </x:c>
      <x:c r="F133" s="24" t="str">
        <x:v>FIN-25</x:v>
      </x:c>
      <x:c r="G133" s="24" t="str"/>
      <x:c r="H133" s="24"/>
    </x:row>
    <x:row r="134" ht="15" hidden="0" customHeight="1">
      <x:c r="A134" s="1"/>
      <x:c r="B134" s="1"/>
      <x:c r="C134" s="23" t="str">
        <x:v>DOT-109</x:v>
      </x:c>
      <x:c r="D134" s="24" t="str">
        <x:v>LesPetitFilms</x:v>
      </x:c>
      <x:c r="E134" s="24" t="str">
        <x:v>Commissioned branded short</x:v>
      </x:c>
      <x:c r="F134" s="24" t="str">
        <x:v>FIN-26</x:v>
      </x:c>
      <x:c r="G134" s="24" t="str"/>
      <x:c r="H134" s="24"/>
    </x:row>
    <x:row r="135" ht="15" hidden="0" customHeight="1">
      <x:c r="A135" s="1"/>
      <x:c r="B135" s="1"/>
      <x:c r="C135" s="23" t="str">
        <x:v>DOT-110</x:v>
      </x:c>
      <x:c r="D135" s="24" t="str">
        <x:v>LesPetitFilms</x:v>
      </x:c>
      <x:c r="E135" s="24" t="str">
        <x:v>Sponsored curated program</x:v>
      </x:c>
      <x:c r="F135" s="24" t="str">
        <x:v>FIN-26</x:v>
      </x:c>
      <x:c r="G135" s="24" t="str"/>
      <x:c r="H135" s="24"/>
    </x:row>
    <x:row r="136" ht="15" hidden="0" customHeight="1">
      <x:c r="A136" s="1"/>
      <x:c r="B136" s="1"/>
      <x:c r="C136" s="23" t="str">
        <x:v>DOT-111</x:v>
      </x:c>
      <x:c r="D136" s="24" t="str">
        <x:v>LesPetitFilms</x:v>
      </x:c>
      <x:c r="E136" s="24" t="str">
        <x:v>Micro-cinema and taxi distribution license</x:v>
      </x:c>
      <x:c r="F136" s="24" t="str">
        <x:v>FIN-26</x:v>
      </x:c>
      <x:c r="G136" s="24" t="str"/>
      <x:c r="H136" s="24"/>
    </x:row>
    <x:row r="137" ht="15" hidden="0" customHeight="1">
      <x:c r="A137" s="1"/>
      <x:c r="B137" s="1"/>
      <x:c r="C137" s="23" t="str">
        <x:v>DOT-112</x:v>
      </x:c>
      <x:c r="D137" s="24" t="str">
        <x:v>Learn Anglais</x:v>
      </x:c>
      <x:c r="E137" s="24" t="str">
        <x:v>Adult conversation, 60 minutes</x:v>
      </x:c>
      <x:c r="F137" s="24" t="str">
        <x:v>FIN-27</x:v>
      </x:c>
      <x:c r="G137" s="24" t="str"/>
      <x:c r="H137" s="24"/>
    </x:row>
    <x:row r="138" ht="15" hidden="0" customHeight="1">
      <x:c r="A138" s="1"/>
      <x:c r="B138" s="1"/>
      <x:c r="C138" s="23" t="str">
        <x:v>DOT-113</x:v>
      </x:c>
      <x:c r="D138" s="24" t="str">
        <x:v>Learn Anglais</x:v>
      </x:c>
      <x:c r="E138" s="24" t="str">
        <x:v>Teacher-led lesson, 60 minutes</x:v>
      </x:c>
      <x:c r="F138" s="24" t="str">
        <x:v>FIN-27</x:v>
      </x:c>
      <x:c r="G138" s="24" t="str"/>
      <x:c r="H138" s="24"/>
    </x:row>
    <x:row r="139" ht="15" hidden="0" customHeight="1">
      <x:c r="A139" s="1"/>
      <x:c r="B139" s="1"/>
      <x:c r="C139" s="23" t="str">
        <x:v>DOT-114</x:v>
      </x:c>
      <x:c r="D139" s="24" t="str">
        <x:v>Learn Anglais</x:v>
      </x:c>
      <x:c r="E139" s="24" t="str">
        <x:v>Self-study learning access</x:v>
      </x:c>
      <x:c r="F139" s="24" t="str">
        <x:v>FIN-27</x:v>
      </x:c>
      <x:c r="G139" s="24" t="str"/>
      <x:c r="H139" s="24"/>
    </x:row>
    <x:row r="140" ht="15" hidden="0" customHeight="1">
      <x:c r="A140" s="1"/>
      <x:c r="B140" s="1"/>
      <x:c r="C140" s="23" t="str">
        <x:v>DOT-115</x:v>
      </x:c>
      <x:c r="D140" s="24" t="str">
        <x:v>Learn Anglais</x:v>
      </x:c>
      <x:c r="E140" s="24" t="str">
        <x:v>Teen safeguarded conversation fee</x:v>
      </x:c>
      <x:c r="F140" s="24" t="str">
        <x:v>FIN-27</x:v>
      </x:c>
      <x:c r="G140" s="24" t="str"/>
      <x:c r="H140" s="24"/>
    </x:row>
    <x:row r="141" ht="15" hidden="0" customHeight="1">
      <x:c r="A141" s="1"/>
      <x:c r="B141" s="1"/>
      <x:c r="C141" s="23" t="str">
        <x:v>DOT-116</x:v>
      </x:c>
      <x:c r="D141" s="24" t="str">
        <x:v>Fiefé</x:v>
      </x:c>
      <x:c r="E141" s="24" t="str">
        <x:v>Scarves and accessories</x:v>
      </x:c>
      <x:c r="F141" s="24" t="str">
        <x:v>FIN-28</x:v>
      </x:c>
      <x:c r="G141" s="24" t="str"/>
      <x:c r="H141" s="24"/>
    </x:row>
    <x:row r="142" ht="15" hidden="0" customHeight="1">
      <x:c r="A142" s="1"/>
      <x:c r="B142" s="1"/>
      <x:c r="C142" s="23" t="str">
        <x:v>DOT-117</x:v>
      </x:c>
      <x:c r="D142" s="24" t="str">
        <x:v>Fiefé</x:v>
      </x:c>
      <x:c r="E142" s="24" t="str">
        <x:v>Ties and menswear accessories</x:v>
      </x:c>
      <x:c r="F142" s="24" t="str">
        <x:v>FIN-28</x:v>
      </x:c>
      <x:c r="G142" s="24" t="str"/>
      <x:c r="H142" s="24"/>
    </x:row>
    <x:row r="143" ht="15" hidden="0" customHeight="1">
      <x:c r="A143" s="1"/>
      <x:c r="B143" s="1"/>
      <x:c r="C143" s="23" t="str">
        <x:v>DOT-118</x:v>
      </x:c>
      <x:c r="D143" s="24" t="str">
        <x:v>Fiefé Design</x:v>
      </x:c>
      <x:c r="E143" s="24" t="str">
        <x:v>Private bespoke couture</x:v>
      </x:c>
      <x:c r="F143" s="24" t="str">
        <x:v>FIN-28</x:v>
      </x:c>
      <x:c r="G143" s="24" t="str"/>
      <x:c r="H143" s="24"/>
    </x:row>
    <x:row r="144" ht="15" hidden="0" customHeight="1">
      <x:c r="A144" s="1"/>
      <x:c r="B144" s="1"/>
      <x:c r="C144" s="23" t="str">
        <x:v>DOT-119</x:v>
      </x:c>
      <x:c r="D144" s="24" t="str">
        <x:v>OsezArt</x:v>
      </x:c>
      <x:c r="E144" s="24" t="str">
        <x:v>Artwork brokerage commission</x:v>
      </x:c>
      <x:c r="F144" s="24" t="str">
        <x:v>FIN-29</x:v>
      </x:c>
      <x:c r="G144" s="24" t="str"/>
      <x:c r="H144" s="24"/>
    </x:row>
    <x:row r="145" ht="15" hidden="0" customHeight="1">
      <x:c r="A145" s="1"/>
      <x:c r="B145" s="1"/>
      <x:c r="C145" s="23" t="str">
        <x:v>DOT-120</x:v>
      </x:c>
      <x:c r="D145" s="24" t="str">
        <x:v>OsezArt</x:v>
      </x:c>
      <x:c r="E145" s="24" t="str">
        <x:v>Institutional education and training</x:v>
      </x:c>
      <x:c r="F145" s="24" t="str">
        <x:v>FIN-29</x:v>
      </x:c>
      <x:c r="G145" s="24" t="str"/>
      <x:c r="H145" s="24"/>
    </x:row>
    <x:row r="146" ht="15" hidden="0" customHeight="1">
      <x:c r="A146" s="1"/>
      <x:c r="B146" s="1"/>
      <x:c r="C146" s="23" t="str">
        <x:v>DOT-121</x:v>
      </x:c>
      <x:c r="D146" s="24" t="str">
        <x:v>OsezArt</x:v>
      </x:c>
      <x:c r="E146" s="24" t="str">
        <x:v>Exhibition and installation advisory</x:v>
      </x:c>
      <x:c r="F146" s="24" t="str">
        <x:v>FIN-29</x:v>
      </x:c>
      <x:c r="G146" s="24" t="str"/>
      <x:c r="H146" s="24"/>
    </x:row>
    <x:row r="147" ht="15" hidden="0" customHeight="1">
      <x:c r="A147" s="1"/>
      <x:c r="B147" s="1"/>
      <x:c r="C147" s="23" t="str">
        <x:v>DOT-122</x:v>
      </x:c>
      <x:c r="D147" s="24" t="str">
        <x:v>OsezArt</x:v>
      </x:c>
      <x:c r="E147" s="24" t="str">
        <x:v>Museum-development consulting</x:v>
      </x:c>
      <x:c r="F147" s="24" t="str">
        <x:v>FIN-29</x:v>
      </x:c>
      <x:c r="G147" s="24" t="str"/>
      <x:c r="H147" s="24"/>
    </x:row>
    <x:row r="148" ht="15" hidden="0" customHeight="1">
      <x:c r="A148" s="1"/>
      <x:c r="B148" s="1"/>
      <x:c r="C148" s="23" t="str">
        <x:v>DOT-123</x:v>
      </x:c>
      <x:c r="D148" s="24" t="str">
        <x:v>FinBot research</x:v>
      </x:c>
      <x:c r="E148" s="24" t="str">
        <x:v>Cleared information subscription, conditional</x:v>
      </x:c>
      <x:c r="F148" s="24" t="str">
        <x:v>FIN-30</x:v>
      </x:c>
      <x:c r="G148" s="24" t="str"/>
      <x:c r="H148" s="24"/>
    </x:row>
    <x:row r="149" ht="15" hidden="0" customHeight="1">
      <x:c r="A149" s="1"/>
      <x:c r="B149" s="1"/>
      <x:c r="C149" s="23" t="str">
        <x:v>DOT-124</x:v>
      </x:c>
      <x:c r="D149" s="24" t="str">
        <x:v>Functional Analysis</x:v>
      </x:c>
      <x:c r="E149" s="24" t="str">
        <x:v>Personal reflection license</x:v>
      </x:c>
      <x:c r="F149" s="24" t="str">
        <x:v>FIN-36</x:v>
      </x:c>
      <x:c r="G149" s="24" t="str"/>
      <x:c r="H149" s="24"/>
    </x:row>
    <x:row r="150" ht="15" hidden="0" customHeight="1">
      <x:c r="A150" s="1"/>
      <x:c r="B150" s="1"/>
      <x:c r="C150" s="23" t="str">
        <x:v>DOT-125</x:v>
      </x:c>
      <x:c r="D150" s="24" t="str">
        <x:v>Functional Analysis</x:v>
      </x:c>
      <x:c r="E150" s="24" t="str">
        <x:v>Facilitated reflection and export</x:v>
      </x:c>
      <x:c r="F150" s="24" t="str">
        <x:v>FIN-36</x:v>
      </x:c>
      <x:c r="G150" s="24" t="str"/>
      <x:c r="H150" s="24"/>
    </x:row>
    <x:row r="151" ht="15" hidden="0" customHeight="1">
      <x:c r="A151" s="1"/>
      <x:c r="B151" s="1"/>
      <x:c r="C151" s="23" t="str">
        <x:v>DOT-126</x:v>
      </x:c>
      <x:c r="D151" s="24" t="str">
        <x:v>Independent candy game</x:v>
      </x:c>
      <x:c r="E151" s="24" t="str">
        <x:v>Independent consumer access</x:v>
      </x:c>
      <x:c r="F151" s="24" t="str">
        <x:v>FIN-37</x:v>
      </x:c>
      <x:c r="G151" s="24" t="str"/>
      <x:c r="H151" s="24"/>
    </x:row>
    <x:row r="152" ht="15" hidden="0" customHeight="1">
      <x:c r="A152" s="1"/>
      <x:c r="B152" s="1"/>
      <x:c r="C152" s="23" t="str">
        <x:v>DOT-127</x:v>
      </x:c>
      <x:c r="D152" s="24" t="str">
        <x:v>Learn Anglais</x:v>
      </x:c>
      <x:c r="E152" s="24" t="str">
        <x:v>Adult conversation, 30 minutes</x:v>
      </x:c>
      <x:c r="F152" s="24" t="str">
        <x:v>FIN-27</x:v>
      </x:c>
      <x:c r="G152" s="24" t="str"/>
      <x:c r="H152" s="24"/>
    </x:row>
    <x:row r="153" ht="15" hidden="0" customHeight="1">
      <x:c r="A153" s="1"/>
      <x:c r="B153" s="1"/>
      <x:c r="C153" s="23" t="str">
        <x:v>DOT-128</x:v>
      </x:c>
      <x:c r="D153" s="24" t="str">
        <x:v>Learn Anglais</x:v>
      </x:c>
      <x:c r="E153" s="24" t="str">
        <x:v>Teacher-led lesson, 120 minutes</x:v>
      </x:c>
      <x:c r="F153" s="24" t="str">
        <x:v>FIN-27</x:v>
      </x:c>
      <x:c r="G153" s="24" t="str"/>
      <x:c r="H153" s="24"/>
    </x:row>
    <x:row r="154" ht="15" hidden="0" customHeight="1">
      <x:c r="A154" s="1"/>
      <x:c r="B154" s="1"/>
      <x:c r="C154" s="23"/>
      <x:c r="D154" s="24"/>
      <x:c r="E154" s="24"/>
      <x:c r="F154" s="24"/>
      <x:c r="G154" s="24"/>
      <x:c r="H154" s="24"/>
    </x:row>
    <x:row r="155" ht="15" hidden="0" customHeight="1">
      <x:c r="A155" s="1"/>
      <x:c r="B155" s="1"/>
      <x:c r="C155" s="23"/>
      <x:c r="D155" s="24"/>
      <x:c r="E155" s="24"/>
      <x:c r="F155" s="24"/>
      <x:c r="G155" s="24"/>
      <x:c r="H155" s="24"/>
    </x:row>
    <x:row r="156" ht="15" hidden="0" customHeight="1">
      <x:c r="A156" s="1"/>
      <x:c r="B156" s="1"/>
      <x:c r="C156" s="23"/>
      <x:c r="D156" s="24"/>
      <x:c r="E156" s="24"/>
      <x:c r="F156" s="24"/>
      <x:c r="G156" s="24"/>
      <x:c r="H156" s="24"/>
    </x:row>
    <x:row r="157" ht="15" hidden="0" customHeight="1">
      <x:c r="A157" s="1"/>
      <x:c r="B157" s="1"/>
      <x:c r="C157" s="23"/>
      <x:c r="D157" s="24"/>
      <x:c r="E157" s="24"/>
      <x:c r="F157" s="24"/>
      <x:c r="G157" s="24"/>
      <x:c r="H157" s="24"/>
    </x:row>
    <x:row r="158" ht="15" hidden="0" customHeight="1">
      <x:c r="A158" s="1"/>
      <x:c r="B158" s="1"/>
      <x:c r="C158" s="23"/>
      <x:c r="D158" s="24"/>
      <x:c r="E158" s="24"/>
      <x:c r="F158" s="24"/>
      <x:c r="G158" s="24"/>
      <x:c r="H158" s="24"/>
    </x:row>
    <x:row r="159" ht="15" hidden="0" customHeight="1">
      <x:c r="A159" s="1"/>
      <x:c r="B159" s="1"/>
      <x:c r="C159" s="23"/>
      <x:c r="D159" s="24"/>
      <x:c r="E159" s="24"/>
      <x:c r="F159" s="24"/>
      <x:c r="G159" s="24"/>
      <x:c r="H159" s="24"/>
    </x:row>
    <x:row r="160" ht="15" hidden="0" customHeight="1">
      <x:c r="A160" s="1"/>
      <x:c r="B160" s="1"/>
      <x:c r="C160" s="23"/>
      <x:c r="D160" s="24"/>
      <x:c r="E160" s="24"/>
      <x:c r="F160" s="24"/>
      <x:c r="G160" s="24"/>
      <x:c r="H160" s="24"/>
    </x:row>
    <x:row r="161" ht="15" hidden="0" customHeight="1">
      <x:c r="A161" s="1"/>
      <x:c r="B161" s="1"/>
      <x:c r="C161" s="23"/>
      <x:c r="D161" s="24"/>
      <x:c r="E161" s="24"/>
      <x:c r="F161" s="24"/>
      <x:c r="G161" s="24"/>
      <x:c r="H161" s="24"/>
    </x:row>
    <x:row r="162" ht="15" hidden="0" customHeight="1">
      <x:c r="A162" s="1"/>
      <x:c r="B162" s="1"/>
      <x:c r="C162" s="23"/>
      <x:c r="D162" s="24"/>
      <x:c r="E162" s="24"/>
      <x:c r="F162" s="24"/>
      <x:c r="G162" s="24"/>
      <x:c r="H162" s="24"/>
    </x:row>
    <x:row r="163" ht="15" hidden="0" customHeight="1">
      <x:c r="A163" s="1"/>
      <x:c r="B163" s="1"/>
      <x:c r="C163" s="23"/>
      <x:c r="D163" s="24"/>
      <x:c r="E163" s="24"/>
      <x:c r="F163" s="24"/>
      <x:c r="G163" s="24"/>
      <x:c r="H163" s="24"/>
    </x:row>
    <x:row r="164" ht="15" hidden="0" customHeight="1">
      <x:c r="A164" s="1"/>
      <x:c r="B164" s="1"/>
      <x:c r="C164" s="23" t="str">
        <x:v>Catalog key</x:v>
      </x:c>
      <x:c r="D164" s="24" t="str">
        <x:v>Catalog name</x:v>
      </x:c>
      <x:c r="E164" s="24" t="str">
        <x:v>Mapped stream IDs</x:v>
      </x:c>
      <x:c r="F164" s="24" t="str">
        <x:v>Disposition</x:v>
      </x:c>
      <x:c r="G164" s="24" t="str">
        <x:v>Non-revenue treatment</x:v>
      </x:c>
      <x:c r="H164" s="24" t="str">
        <x:v>Basis</x:v>
      </x:c>
    </x:row>
    <x:row r="165" ht="24" hidden="0" customHeight="1">
      <x:c r="A165" s="1"/>
      <x:c r="B165" s="1"/>
      <x:c r="C165" s="23" t="str">
        <x:v>sem_studio_focused</x:v>
      </x:c>
      <x:c r="D165" s="24" t="str">
        <x:v>Focused commission session</x:v>
      </x:c>
      <x:c r="E165" s="24" t="str">
        <x:v>DOT-082</x:v>
      </x:c>
      <x:c r="F165" s="24" t="str">
        <x:v>mapped_named_product</x:v>
      </x:c>
      <x:c r="G165" s="24" t="str"/>
      <x:c r="H165" s="24" t="str">
        <x:v>Exact named photography/license/physical output identity. Included rights or framing are not also independent sales.</x:v>
      </x:c>
    </x:row>
    <x:row r="166" ht="24" hidden="0" customHeight="1">
      <x:c r="A166" s="1"/>
      <x:c r="B166" s="1"/>
      <x:c r="C166" s="23" t="str">
        <x:v>sem_studio_signature</x:v>
      </x:c>
      <x:c r="D166" s="24" t="str">
        <x:v>Signature commission session</x:v>
      </x:c>
      <x:c r="E166" s="24" t="str">
        <x:v>DOT-083</x:v>
      </x:c>
      <x:c r="F166" s="24" t="str">
        <x:v>mapped_named_product</x:v>
      </x:c>
      <x:c r="G166" s="24" t="str"/>
      <x:c r="H166" s="24" t="str">
        <x:v>Exact named photography/license/physical output identity. Included rights or framing are not also independent sales.</x:v>
      </x:c>
    </x:row>
    <x:row r="167" ht="24" hidden="0" customHeight="1">
      <x:c r="A167" s="1"/>
      <x:c r="B167" s="1"/>
      <x:c r="C167" s="23" t="str">
        <x:v>sem_studio_license_personal</x:v>
      </x:c>
      <x:c r="D167" s="24" t="str">
        <x:v>Personal image license</x:v>
      </x:c>
      <x:c r="E167" s="24" t="str">
        <x:v>DOT-084</x:v>
      </x:c>
      <x:c r="F167" s="24" t="str">
        <x:v>mapped_named_product</x:v>
      </x:c>
      <x:c r="G167" s="24" t="str"/>
      <x:c r="H167" s="24" t="str">
        <x:v>Exact named photography/license/physical output identity. Included rights or framing are not also independent sales.</x:v>
      </x:c>
    </x:row>
    <x:row r="168" ht="24" hidden="0" customHeight="1">
      <x:c r="A168" s="1"/>
      <x:c r="B168" s="1"/>
      <x:c r="C168" s="23" t="str">
        <x:v>sem_studio_license_editorial</x:v>
      </x:c>
      <x:c r="D168" s="24" t="str">
        <x:v>Editorial image license</x:v>
      </x:c>
      <x:c r="E168" s="24" t="str">
        <x:v>DOT-085</x:v>
      </x:c>
      <x:c r="F168" s="24" t="str">
        <x:v>mapped_named_product</x:v>
      </x:c>
      <x:c r="G168" s="24" t="str"/>
      <x:c r="H168" s="24" t="str">
        <x:v>Exact named photography/license/physical output identity. Included rights or framing are not also independent sales.</x:v>
      </x:c>
    </x:row>
    <x:row r="169" ht="24" hidden="0" customHeight="1">
      <x:c r="A169" s="1"/>
      <x:c r="B169" s="1"/>
      <x:c r="C169" s="23" t="str">
        <x:v>sem_studio_license_commercial</x:v>
      </x:c>
      <x:c r="D169" s="24" t="str">
        <x:v>Commercial image license</x:v>
      </x:c>
      <x:c r="E169" s="24" t="str">
        <x:v>DOT-086</x:v>
      </x:c>
      <x:c r="F169" s="24" t="str">
        <x:v>mapped_named_product</x:v>
      </x:c>
      <x:c r="G169" s="24" t="str"/>
      <x:c r="H169" s="24" t="str">
        <x:v>Exact named photography/license/physical output identity. Included rights or framing are not also independent sales.</x:v>
      </x:c>
    </x:row>
    <x:row r="170" ht="24" hidden="0" customHeight="1">
      <x:c r="A170" s="1"/>
      <x:c r="B170" s="1"/>
      <x:c r="C170" s="23" t="str">
        <x:v>sem_studio_print_unframed</x:v>
      </x:c>
      <x:c r="D170" s="24" t="str">
        <x:v>Unframed print</x:v>
      </x:c>
      <x:c r="E170" s="24" t="str">
        <x:v>DOT-087</x:v>
      </x:c>
      <x:c r="F170" s="24" t="str">
        <x:v>mapped_named_product</x:v>
      </x:c>
      <x:c r="G170" s="24" t="str"/>
      <x:c r="H170" s="24" t="str">
        <x:v>Exact named photography/license/physical output identity. Included rights or framing are not also independent sales.</x:v>
      </x:c>
    </x:row>
    <x:row r="171" ht="24" hidden="0" customHeight="1">
      <x:c r="A171" s="1"/>
      <x:c r="B171" s="1"/>
      <x:c r="C171" s="23" t="str">
        <x:v>sem_studio_print_framed</x:v>
      </x:c>
      <x:c r="D171" s="24" t="str">
        <x:v>Standard framed print</x:v>
      </x:c>
      <x:c r="E171" s="24" t="str">
        <x:v>DOT-088</x:v>
      </x:c>
      <x:c r="F171" s="24" t="str">
        <x:v>mapped_named_product</x:v>
      </x:c>
      <x:c r="G171" s="24" t="str"/>
      <x:c r="H171" s="24" t="str">
        <x:v>Exact named photography/license/physical output identity. Included rights or framing are not also independent sales.</x:v>
      </x:c>
    </x:row>
    <x:row r="172" ht="24" hidden="0" customHeight="1">
      <x:c r="A172" s="1"/>
      <x:c r="B172" s="1"/>
      <x:c r="C172" s="23" t="str">
        <x:v>sem_studio_frame_custom</x:v>
      </x:c>
      <x:c r="D172" s="24" t="str">
        <x:v>Custom framing quote</x:v>
      </x:c>
      <x:c r="E172" s="24" t="str">
        <x:v>DOT-089</x:v>
      </x:c>
      <x:c r="F172" s="24" t="str">
        <x:v>mapped_named_product</x:v>
      </x:c>
      <x:c r="G172" s="24" t="str"/>
      <x:c r="H172" s="24" t="str">
        <x:v>Exact named photography/license/physical output identity. Included rights or framing are not also independent sales.</x:v>
      </x:c>
    </x:row>
    <x:row r="173" ht="24" hidden="0" customHeight="1">
      <x:c r="A173" s="1"/>
      <x:c r="B173" s="1"/>
      <x:c r="C173" s="23" t="str">
        <x:v>sem_market_booking</x:v>
      </x:c>
      <x:c r="D173" s="24" t="str">
        <x:v>Booking service</x:v>
      </x:c>
      <x:c r="E173" s="24" t="str">
        <x:v>DOT-090</x:v>
      </x:c>
      <x:c r="F173" s="24" t="str">
        <x:v>combined_booking_fee_components</x:v>
      </x:c>
      <x:c r="G173" s="24" t="str"/>
      <x:c r="H173" s="24" t="str">
        <x:v>Three source records represent one booking pool and combined platform fee calculation; gross booking value is not platform revenue.</x:v>
      </x:c>
    </x:row>
    <x:row r="174" ht="24" hidden="0" customHeight="1">
      <x:c r="A174" s="1"/>
      <x:c r="B174" s="1"/>
      <x:c r="C174" s="23" t="str">
        <x:v>sem_market_vendor_fee</x:v>
      </x:c>
      <x:c r="D174" s="24" t="str">
        <x:v>Vendor service fee</x:v>
      </x:c>
      <x:c r="E174" s="24" t="str">
        <x:v>DOT-090</x:v>
      </x:c>
      <x:c r="F174" s="24" t="str">
        <x:v>combined_booking_fee_components</x:v>
      </x:c>
      <x:c r="G174" s="24" t="str"/>
      <x:c r="H174" s="24" t="str">
        <x:v>Three source records represent one booking pool and combined platform fee calculation; gross booking value is not platform revenue.</x:v>
      </x:c>
    </x:row>
    <x:row r="175" ht="24" hidden="0" customHeight="1">
      <x:c r="A175" s="1"/>
      <x:c r="B175" s="1"/>
      <x:c r="C175" s="23" t="str">
        <x:v>sem_market_client_fee</x:v>
      </x:c>
      <x:c r="D175" s="24" t="str">
        <x:v>Client service fee</x:v>
      </x:c>
      <x:c r="E175" s="24" t="str">
        <x:v>DOT-090</x:v>
      </x:c>
      <x:c r="F175" s="24" t="str">
        <x:v>combined_booking_fee_components</x:v>
      </x:c>
      <x:c r="G175" s="24" t="str"/>
      <x:c r="H175" s="24" t="str">
        <x:v>Three source records represent one booking pool and combined platform fee calculation; gross booking value is not platform revenue.</x:v>
      </x:c>
    </x:row>
    <x:row r="176" ht="24" hidden="0" customHeight="1">
      <x:c r="A176" s="1"/>
      <x:c r="B176" s="1"/>
      <x:c r="C176" s="23" t="str">
        <x:v>sem_market_download_addon</x:v>
      </x:c>
      <x:c r="D176" s="24" t="str">
        <x:v>Gallery licensed download add-on</x:v>
      </x:c>
      <x:c r="E176" s="24" t="str">
        <x:v>DOT-091</x:v>
      </x:c>
      <x:c r="F176" s="24" t="str">
        <x:v>mapped_named_product</x:v>
      </x:c>
      <x:c r="G176" s="24" t="str"/>
      <x:c r="H176" s="24" t="str">
        <x:v>Named product identity; premium tiers and portfolio modes need mutually exclusive or explicitly incremental entitlements, not automatic stacking.</x:v>
      </x:c>
    </x:row>
    <x:row r="177" ht="24" hidden="0" customHeight="1">
      <x:c r="A177" s="1"/>
      <x:c r="B177" s="1"/>
      <x:c r="C177" s="23" t="str">
        <x:v>sem_market_print_addon</x:v>
      </x:c>
      <x:c r="D177" s="24" t="str">
        <x:v>Gallery print and frame add-on</x:v>
      </x:c>
      <x:c r="E177" s="24" t="str">
        <x:v>DOT-092</x:v>
      </x:c>
      <x:c r="F177" s="24" t="str">
        <x:v>mapped_named_product</x:v>
      </x:c>
      <x:c r="G177" s="24" t="str"/>
      <x:c r="H177" s="24" t="str">
        <x:v>Named product identity; premium tiers and portfolio modes need mutually exclusive or explicitly incremental entitlements, not automatic stacking.</x:v>
      </x:c>
    </x:row>
    <x:row r="178" ht="24" hidden="0" customHeight="1">
      <x:c r="A178" s="1"/>
      <x:c r="B178" s="1"/>
      <x:c r="C178" s="23" t="str">
        <x:v>sem_market_talent_booking</x:v>
      </x:c>
      <x:c r="D178" s="24" t="str">
        <x:v>Model or talent booking</x:v>
      </x:c>
      <x:c r="E178" s="24" t="str">
        <x:v>DOT-093</x:v>
      </x:c>
      <x:c r="F178" s="24" t="str">
        <x:v>mapped_named_product</x:v>
      </x:c>
      <x:c r="G178" s="24" t="str"/>
      <x:c r="H178" s="24" t="str">
        <x:v>Named product identity; premium tiers and portfolio modes need mutually exclusive or explicitly incremental entitlements, not automatic stacking.</x:v>
      </x:c>
    </x:row>
    <x:row r="179" ht="36" hidden="0" customHeight="1">
      <x:c r="A179" s="1"/>
      <x:c r="B179" s="1"/>
      <x:c r="C179" s="23" t="str">
        <x:v>sem_premium_l0</x:v>
      </x:c>
      <x:c r="D179" s="24" t="str">
        <x:v>Commerce Core</x:v>
      </x:c>
      <x:c r="E179" s="24" t="str">
        <x:v>DOT-090</x:v>
      </x:c>
      <x:c r="F179" s="24" t="str">
        <x:v>implicit_included_component_needs_explicit_label</x:v>
      </x:c>
      <x:c r="G179" s="24" t="str"/>
      <x:c r="H179" s="24" t="str">
        <x:v>Commerce Core is included in booking economics. Draft has no separately named nonrevenue row; add an explicit included label rather than new revenue.</x:v>
      </x:c>
    </x:row>
    <x:row r="180" ht="24" hidden="0" customHeight="1">
      <x:c r="A180" s="1"/>
      <x:c r="B180" s="1"/>
      <x:c r="C180" s="23" t="str">
        <x:v>sem_premium_l1</x:v>
      </x:c>
      <x:c r="D180" s="24" t="str">
        <x:v>Records Export</x:v>
      </x:c>
      <x:c r="E180" s="24" t="str">
        <x:v>DOT-094</x:v>
      </x:c>
      <x:c r="F180" s="24" t="str">
        <x:v>mapped_named_product</x:v>
      </x:c>
      <x:c r="G180" s="24" t="str"/>
      <x:c r="H180" s="24" t="str">
        <x:v>Named product identity; premium tiers and portfolio modes need mutually exclusive or explicitly incremental entitlements, not automatic stacking.</x:v>
      </x:c>
    </x:row>
    <x:row r="181" ht="24" hidden="0" customHeight="1">
      <x:c r="A181" s="1"/>
      <x:c r="B181" s="1"/>
      <x:c r="C181" s="23" t="str">
        <x:v>sem_premium_l2</x:v>
      </x:c>
      <x:c r="D181" s="24" t="str">
        <x:v>Connected Finance</x:v>
      </x:c>
      <x:c r="E181" s="24" t="str">
        <x:v>DOT-095</x:v>
      </x:c>
      <x:c r="F181" s="24" t="str">
        <x:v>mapped_named_product</x:v>
      </x:c>
      <x:c r="G181" s="24" t="str"/>
      <x:c r="H181" s="24" t="str">
        <x:v>Named product identity; premium tiers and portfolio modes need mutually exclusive or explicitly incremental entitlements, not automatic stacking.</x:v>
      </x:c>
    </x:row>
    <x:row r="182" ht="24" hidden="0" customHeight="1">
      <x:c r="A182" s="1"/>
      <x:c r="B182" s="1"/>
      <x:c r="C182" s="23" t="str">
        <x:v>sem_premium_l3</x:v>
      </x:c>
      <x:c r="D182" s="24" t="str">
        <x:v>Smart Books</x:v>
      </x:c>
      <x:c r="E182" s="24" t="str">
        <x:v>DOT-096</x:v>
      </x:c>
      <x:c r="F182" s="24" t="str">
        <x:v>mapped_named_product</x:v>
      </x:c>
      <x:c r="G182" s="24" t="str"/>
      <x:c r="H182" s="24" t="str">
        <x:v>Named product identity; premium tiers and portfolio modes need mutually exclusive or explicitly incremental entitlements, not automatic stacking.</x:v>
      </x:c>
    </x:row>
    <x:row r="183" ht="24" hidden="0" customHeight="1">
      <x:c r="A183" s="1"/>
      <x:c r="B183" s="1"/>
      <x:c r="C183" s="23" t="str">
        <x:v>sem_premium_l4</x:v>
      </x:c>
      <x:c r="D183" s="24" t="str">
        <x:v>Professional services handoff</x:v>
      </x:c>
      <x:c r="E183" s="24" t="str"/>
      <x:c r="F183" s="24" t="str">
        <x:v>nonrevenue_professional_handoff</x:v>
      </x:c>
      <x:c r="G183" s="24" t="str">
        <x:v>Semajes optional BPA handoff</x:v>
      </x:c>
      <x:c r="H183" s="24" t="str">
        <x:v>Professional bills separately; no Semajes professional fee. BPA revenue is counted in its own engagement streams only.</x:v>
      </x:c>
    </x:row>
    <x:row r="184" ht="24" hidden="0" customHeight="1">
      <x:c r="A184" s="1"/>
      <x:c r="B184" s="1"/>
      <x:c r="C184" s="23" t="str">
        <x:v>sem_portfolio_guided</x:v>
      </x:c>
      <x:c r="D184" s="24" t="str">
        <x:v>Guided Builder</x:v>
      </x:c>
      <x:c r="E184" s="24" t="str">
        <x:v>DOT-097</x:v>
      </x:c>
      <x:c r="F184" s="24" t="str">
        <x:v>mapped_named_product</x:v>
      </x:c>
      <x:c r="G184" s="24" t="str"/>
      <x:c r="H184" s="24" t="str">
        <x:v>Named product identity; premium tiers and portfolio modes need mutually exclusive or explicitly incremental entitlements, not automatic stacking.</x:v>
      </x:c>
    </x:row>
    <x:row r="185" ht="24" hidden="0" customHeight="1">
      <x:c r="A185" s="1"/>
      <x:c r="B185" s="1"/>
      <x:c r="C185" s="23" t="str">
        <x:v>sem_portfolio_concierge</x:v>
      </x:c>
      <x:c r="D185" s="24" t="str">
        <x:v>Concierge Assist</x:v>
      </x:c>
      <x:c r="E185" s="24" t="str">
        <x:v>DOT-098</x:v>
      </x:c>
      <x:c r="F185" s="24" t="str">
        <x:v>mapped_named_product</x:v>
      </x:c>
      <x:c r="G185" s="24" t="str"/>
      <x:c r="H185" s="24" t="str">
        <x:v>Named product identity; premium tiers and portfolio modes need mutually exclusive or explicitly incremental entitlements, not automatic stacking.</x:v>
      </x:c>
    </x:row>
    <x:row r="186" ht="24" hidden="0" customHeight="1">
      <x:c r="A186" s="1"/>
      <x:c r="B186" s="1"/>
      <x:c r="C186" s="23" t="str">
        <x:v>sem_portfolio_self</x:v>
      </x:c>
      <x:c r="D186" s="24" t="str">
        <x:v>Self-Build and Submit</x:v>
      </x:c>
      <x:c r="E186" s="24" t="str">
        <x:v>DOT-099</x:v>
      </x:c>
      <x:c r="F186" s="24" t="str">
        <x:v>mapped_named_product</x:v>
      </x:c>
      <x:c r="G186" s="24" t="str"/>
      <x:c r="H186" s="24" t="str">
        <x:v>Named product identity; premium tiers and portfolio modes need mutually exclusive or explicitly incremental entitlements, not automatic stacking.</x:v>
      </x:c>
    </x:row>
    <x:row r="187" ht="24" hidden="0" customHeight="1">
      <x:c r="A187" s="1"/>
      <x:c r="B187" s="1"/>
      <x:c r="C187" s="23" t="str">
        <x:v>sem_course_exposure</x:v>
      </x:c>
      <x:c r="D187" s="24" t="str">
        <x:v>Exposure With Intention</x:v>
      </x:c>
      <x:c r="E187" s="24" t="str">
        <x:v>DOT-100</x:v>
      </x:c>
      <x:c r="F187" s="24" t="str">
        <x:v>mapped_named_product</x:v>
      </x:c>
      <x:c r="G187" s="24" t="str"/>
      <x:c r="H187" s="24" t="str">
        <x:v>Named product identity; premium tiers and portfolio modes need mutually exclusive or explicitly incremental entitlements, not automatic stacking.</x:v>
      </x:c>
    </x:row>
    <x:row r="188" ht="15" hidden="0" customHeight="1">
      <x:c r="A188" s="1"/>
      <x:c r="B188" s="1"/>
      <x:c r="C188" s="23" t="str">
        <x:v>sem_optional_bpa_vendor</x:v>
      </x:c>
      <x:c r="D188" s="24" t="str">
        <x:v>Optional BPA vendor route</x:v>
      </x:c>
      <x:c r="E188" s="24" t="str"/>
      <x:c r="F188" s="24" t="str">
        <x:v>explicit_nonrevenue</x:v>
      </x:c>
      <x:c r="G188" s="24" t="str">
        <x:v>Semajes optional BPA handoff</x:v>
      </x:c>
      <x:c r="H188" s="24" t="str">
        <x:v>Optional pathway, not a separate paid business.</x:v>
      </x:c>
    </x:row>
    <x:row r="189" ht="24" hidden="0" customHeight="1">
      <x:c r="A189" s="1"/>
      <x:c r="B189" s="1"/>
      <x:c r="C189" s="23" t="str">
        <x:v>bpa_consultation</x:v>
      </x:c>
      <x:c r="D189" s="24" t="str">
        <x:v>Initial CPA consultation 50 minutes</x:v>
      </x:c>
      <x:c r="E189" s="24" t="str">
        <x:v>DOT-007</x:v>
      </x:c>
      <x:c r="F189" s="24" t="str">
        <x:v>mapped_named_product</x:v>
      </x:c>
      <x:c r="G189" s="24" t="str"/>
      <x:c r="H189" s="24" t="str">
        <x:v>Manual one-to-one service identity mapping; price-source conformity is audited separately below.</x:v>
      </x:c>
    </x:row>
    <x:row r="190" ht="24" hidden="0" customHeight="1">
      <x:c r="A190" s="1"/>
      <x:c r="B190" s="1"/>
      <x:c r="C190" s="23" t="str">
        <x:v>bpa_diagnostic</x:v>
      </x:c>
      <x:c r="D190" s="24" t="str">
        <x:v>Small-business accounting diagnostic</x:v>
      </x:c>
      <x:c r="E190" s="24" t="str">
        <x:v>DOT-008</x:v>
      </x:c>
      <x:c r="F190" s="24" t="str">
        <x:v>mapped_named_product</x:v>
      </x:c>
      <x:c r="G190" s="24" t="str"/>
      <x:c r="H190" s="24" t="str">
        <x:v>Manual one-to-one service identity mapping; price-source conformity is audited separately below.</x:v>
      </x:c>
    </x:row>
    <x:row r="191" ht="24" hidden="0" customHeight="1">
      <x:c r="A191" s="1"/>
      <x:c r="B191" s="1"/>
      <x:c r="C191" s="23" t="str">
        <x:v>bpa_formation</x:v>
      </x:c>
      <x:c r="D191" s="24" t="str">
        <x:v>Business-formation accounting readiness</x:v>
      </x:c>
      <x:c r="E191" s="24" t="str">
        <x:v>DOT-009</x:v>
      </x:c>
      <x:c r="F191" s="24" t="str">
        <x:v>mapped_named_product</x:v>
      </x:c>
      <x:c r="G191" s="24" t="str"/>
      <x:c r="H191" s="24" t="str">
        <x:v>Manual one-to-one service identity mapping; price-source conformity is audited separately below.</x:v>
      </x:c>
    </x:row>
    <x:row r="192" ht="24" hidden="0" customHeight="1">
      <x:c r="A192" s="1"/>
      <x:c r="B192" s="1"/>
      <x:c r="C192" s="23" t="str">
        <x:v>bpa_forecast</x:v>
      </x:c>
      <x:c r="D192" s="24" t="str">
        <x:v>Budget or cash-flow forecast</x:v>
      </x:c>
      <x:c r="E192" s="24" t="str">
        <x:v>DOT-010</x:v>
      </x:c>
      <x:c r="F192" s="24" t="str">
        <x:v>mapped_named_product</x:v>
      </x:c>
      <x:c r="G192" s="24" t="str"/>
      <x:c r="H192" s="24" t="str">
        <x:v>Manual one-to-one service identity mapping; price-source conformity is audited separately below.</x:v>
      </x:c>
    </x:row>
    <x:row r="193" ht="24" hidden="0" customHeight="1">
      <x:c r="A193" s="1"/>
      <x:c r="B193" s="1"/>
      <x:c r="C193" s="23" t="str">
        <x:v>bpa_books_essential</x:v>
      </x:c>
      <x:c r="D193" s="24" t="str">
        <x:v>Bookkeeping Essentials</x:v>
      </x:c>
      <x:c r="E193" s="24" t="str">
        <x:v>DOT-011</x:v>
      </x:c>
      <x:c r="F193" s="24" t="str">
        <x:v>mapped_named_product</x:v>
      </x:c>
      <x:c r="G193" s="24" t="str"/>
      <x:c r="H193" s="24" t="str">
        <x:v>Manual one-to-one service identity mapping; price-source conformity is audited separately below.</x:v>
      </x:c>
    </x:row>
    <x:row r="194" ht="24" hidden="0" customHeight="1">
      <x:c r="A194" s="1"/>
      <x:c r="B194" s="1"/>
      <x:c r="C194" s="23" t="str">
        <x:v>bpa_books_growth</x:v>
      </x:c>
      <x:c r="D194" s="24" t="str">
        <x:v>Bookkeeping Growth</x:v>
      </x:c>
      <x:c r="E194" s="24" t="str">
        <x:v>DOT-012</x:v>
      </x:c>
      <x:c r="F194" s="24" t="str">
        <x:v>mapped_named_product</x:v>
      </x:c>
      <x:c r="G194" s="24" t="str"/>
      <x:c r="H194" s="24" t="str">
        <x:v>Manual one-to-one service identity mapping; price-source conformity is audited separately below.</x:v>
      </x:c>
    </x:row>
    <x:row r="195" ht="24" hidden="0" customHeight="1">
      <x:c r="A195" s="1"/>
      <x:c r="B195" s="1"/>
      <x:c r="C195" s="23" t="str">
        <x:v>bpa_controller</x:v>
      </x:c>
      <x:c r="D195" s="24" t="str">
        <x:v>Controller CAS support</x:v>
      </x:c>
      <x:c r="E195" s="24" t="str">
        <x:v>DOT-013</x:v>
      </x:c>
      <x:c r="F195" s="24" t="str">
        <x:v>mapped_named_product</x:v>
      </x:c>
      <x:c r="G195" s="24" t="str"/>
      <x:c r="H195" s="24" t="str">
        <x:v>Manual one-to-one service identity mapping; price-source conformity is audited separately below.</x:v>
      </x:c>
    </x:row>
    <x:row r="196" ht="24" hidden="0" customHeight="1">
      <x:c r="A196" s="1"/>
      <x:c r="B196" s="1"/>
      <x:c r="C196" s="23" t="str">
        <x:v>bpa_cfo</x:v>
      </x:c>
      <x:c r="D196" s="24" t="str">
        <x:v>Virtual CFO advisory</x:v>
      </x:c>
      <x:c r="E196" s="24" t="str">
        <x:v>DOT-014</x:v>
      </x:c>
      <x:c r="F196" s="24" t="str">
        <x:v>mapped_named_product</x:v>
      </x:c>
      <x:c r="G196" s="24" t="str"/>
      <x:c r="H196" s="24" t="str">
        <x:v>Manual one-to-one service identity mapping; price-source conformity is audited separately below.</x:v>
      </x:c>
    </x:row>
    <x:row r="197" ht="24" hidden="0" customHeight="1">
      <x:c r="A197" s="1"/>
      <x:c r="B197" s="1"/>
      <x:c r="C197" s="23" t="str">
        <x:v>bpa_cleanup</x:v>
      </x:c>
      <x:c r="D197" s="24" t="str">
        <x:v>Catch-up or cleanup bookkeeping</x:v>
      </x:c>
      <x:c r="E197" s="24" t="str">
        <x:v>DOT-015</x:v>
      </x:c>
      <x:c r="F197" s="24" t="str">
        <x:v>mapped_named_product</x:v>
      </x:c>
      <x:c r="G197" s="24" t="str"/>
      <x:c r="H197" s="24" t="str">
        <x:v>Manual one-to-one service identity mapping; price-source conformity is audited separately below.</x:v>
      </x:c>
    </x:row>
    <x:row r="198" ht="24" hidden="0" customHeight="1">
      <x:c r="A198" s="1"/>
      <x:c r="B198" s="1"/>
      <x:c r="C198" s="23" t="str">
        <x:v>bpa_foreign_statement</x:v>
      </x:c>
      <x:c r="D198" s="24" t="str">
        <x:v>Foreign-statement presentation conversion</x:v>
      </x:c>
      <x:c r="E198" s="24" t="str">
        <x:v>DOT-016</x:v>
      </x:c>
      <x:c r="F198" s="24" t="str">
        <x:v>mapped_named_product</x:v>
      </x:c>
      <x:c r="G198" s="24" t="str"/>
      <x:c r="H198" s="24" t="str">
        <x:v>Manual one-to-one service identity mapping; price-source conformity is audited separately below.</x:v>
      </x:c>
    </x:row>
    <x:row r="199" ht="24" hidden="0" customHeight="1">
      <x:c r="A199" s="1"/>
      <x:c r="B199" s="1"/>
      <x:c r="C199" s="23" t="str">
        <x:v>bpa_currency_coa</x:v>
      </x:c>
      <x:c r="D199" s="24" t="str">
        <x:v>Multi-currency chart-of-accounts mapping</x:v>
      </x:c>
      <x:c r="E199" s="24" t="str">
        <x:v>DOT-017</x:v>
      </x:c>
      <x:c r="F199" s="24" t="str">
        <x:v>mapped_named_product</x:v>
      </x:c>
      <x:c r="G199" s="24" t="str"/>
      <x:c r="H199" s="24" t="str">
        <x:v>Manual one-to-one service identity mapping; price-source conformity is audited separately below.</x:v>
      </x:c>
    </x:row>
    <x:row r="200" ht="24" hidden="0" customHeight="1">
      <x:c r="A200" s="1"/>
      <x:c r="B200" s="1"/>
      <x:c r="C200" s="23" t="str">
        <x:v>bpa_fx_reconcile</x:v>
      </x:c>
      <x:c r="D200" s="24" t="str">
        <x:v>Cross-border invoice FX reconciliation</x:v>
      </x:c>
      <x:c r="E200" s="24" t="str">
        <x:v>DOT-018</x:v>
      </x:c>
      <x:c r="F200" s="24" t="str">
        <x:v>mapped_named_product</x:v>
      </x:c>
      <x:c r="G200" s="24" t="str"/>
      <x:c r="H200" s="24" t="str">
        <x:v>Manual one-to-one service identity mapping; price-source conformity is audited separately below.</x:v>
      </x:c>
    </x:row>
    <x:row r="201" ht="24" hidden="0" customHeight="1">
      <x:c r="A201" s="1"/>
      <x:c r="B201" s="1"/>
      <x:c r="C201" s="23" t="str">
        <x:v>bpa_dataroom</x:v>
      </x:c>
      <x:c r="D201" s="24" t="str">
        <x:v>Transaction data-room readiness</x:v>
      </x:c>
      <x:c r="E201" s="24" t="str">
        <x:v>DOT-019</x:v>
      </x:c>
      <x:c r="F201" s="24" t="str">
        <x:v>mapped_named_product</x:v>
      </x:c>
      <x:c r="G201" s="24" t="str"/>
      <x:c r="H201" s="24" t="str">
        <x:v>Manual one-to-one service identity mapping; price-source conformity is audited separately below.</x:v>
      </x:c>
    </x:row>
    <x:row r="202" ht="24" hidden="0" customHeight="1">
      <x:c r="A202" s="1"/>
      <x:c r="B202" s="1"/>
      <x:c r="C202" s="23" t="str">
        <x:v>bpa_wisp_basic</x:v>
      </x:c>
      <x:c r="D202" s="24" t="str">
        <x:v>WISP readiness assessment basic</x:v>
      </x:c>
      <x:c r="E202" s="24" t="str">
        <x:v>DOT-020</x:v>
      </x:c>
      <x:c r="F202" s="24" t="str">
        <x:v>mapped_named_product</x:v>
      </x:c>
      <x:c r="G202" s="24" t="str"/>
      <x:c r="H202" s="24" t="str">
        <x:v>Manual one-to-one service identity mapping; price-source conformity is audited separately below.</x:v>
      </x:c>
    </x:row>
    <x:row r="203" ht="24" hidden="0" customHeight="1">
      <x:c r="A203" s="1"/>
      <x:c r="B203" s="1"/>
      <x:c r="C203" s="23" t="str">
        <x:v>bpa_wisp_comprehensive</x:v>
      </x:c>
      <x:c r="D203" s="24" t="str">
        <x:v>WISP readiness assessment comprehensive</x:v>
      </x:c>
      <x:c r="E203" s="24" t="str">
        <x:v>DOT-021</x:v>
      </x:c>
      <x:c r="F203" s="24" t="str">
        <x:v>mapped_named_product</x:v>
      </x:c>
      <x:c r="G203" s="24" t="str"/>
      <x:c r="H203" s="24" t="str">
        <x:v>Manual one-to-one service identity mapping; price-source conformity is audited separately below.</x:v>
      </x:c>
    </x:row>
    <x:row r="204" ht="24" hidden="0" customHeight="1">
      <x:c r="A204" s="1"/>
      <x:c r="B204" s="1"/>
      <x:c r="C204" s="23" t="str">
        <x:v>bpa_tax_plan_individual</x:v>
      </x:c>
      <x:c r="D204" s="24" t="str">
        <x:v>Individual tax planning</x:v>
      </x:c>
      <x:c r="E204" s="24" t="str">
        <x:v>DOT-022</x:v>
      </x:c>
      <x:c r="F204" s="24" t="str">
        <x:v>mapped_named_product</x:v>
      </x:c>
      <x:c r="G204" s="24" t="str"/>
      <x:c r="H204" s="24" t="str">
        <x:v>Manual one-to-one service identity mapping; price-source conformity is audited separately below.</x:v>
      </x:c>
    </x:row>
    <x:row r="205" ht="24" hidden="0" customHeight="1">
      <x:c r="A205" s="1"/>
      <x:c r="B205" s="1"/>
      <x:c r="C205" s="23" t="str">
        <x:v>bpa_tax_plan_business</x:v>
      </x:c>
      <x:c r="D205" s="24" t="str">
        <x:v>Business tax planning</x:v>
      </x:c>
      <x:c r="E205" s="24" t="str">
        <x:v>DOT-023</x:v>
      </x:c>
      <x:c r="F205" s="24" t="str">
        <x:v>mapped_named_product</x:v>
      </x:c>
      <x:c r="G205" s="24" t="str"/>
      <x:c r="H205" s="24" t="str">
        <x:v>Manual one-to-one service identity mapping; price-source conformity is audited separately below.</x:v>
      </x:c>
    </x:row>
    <x:row r="206" ht="24" hidden="0" customHeight="1">
      <x:c r="A206" s="1"/>
      <x:c r="B206" s="1"/>
      <x:c r="C206" s="23" t="str">
        <x:v>bpa_1040_basic</x:v>
      </x:c>
      <x:c r="D206" s="24" t="str">
        <x:v>Basic Form 1040</x:v>
      </x:c>
      <x:c r="E206" s="24" t="str">
        <x:v>DOT-024</x:v>
      </x:c>
      <x:c r="F206" s="24" t="str">
        <x:v>mapped_named_product</x:v>
      </x:c>
      <x:c r="G206" s="24" t="str"/>
      <x:c r="H206" s="24" t="str">
        <x:v>Manual one-to-one service identity mapping; price-source conformity is audited separately below.</x:v>
      </x:c>
    </x:row>
    <x:row r="207" ht="24" hidden="0" customHeight="1">
      <x:c r="A207" s="1"/>
      <x:c r="B207" s="1"/>
      <x:c r="C207" s="23" t="str">
        <x:v>bpa_1040_complex</x:v>
      </x:c>
      <x:c r="D207" s="24" t="str">
        <x:v>Complex Form 1040</x:v>
      </x:c>
      <x:c r="E207" s="24" t="str">
        <x:v>DOT-025</x:v>
      </x:c>
      <x:c r="F207" s="24" t="str">
        <x:v>mapped_named_product</x:v>
      </x:c>
      <x:c r="G207" s="24" t="str"/>
      <x:c r="H207" s="24" t="str">
        <x:v>Manual one-to-one service identity mapping; price-source conformity is audited separately below.</x:v>
      </x:c>
    </x:row>
    <x:row r="208" ht="24" hidden="0" customHeight="1">
      <x:c r="A208" s="1"/>
      <x:c r="B208" s="1"/>
      <x:c r="C208" s="23" t="str">
        <x:v>bpa_1065</x:v>
      </x:c>
      <x:c r="D208" s="24" t="str">
        <x:v>Form 1065</x:v>
      </x:c>
      <x:c r="E208" s="24" t="str">
        <x:v>DOT-026</x:v>
      </x:c>
      <x:c r="F208" s="24" t="str">
        <x:v>mapped_named_product</x:v>
      </x:c>
      <x:c r="G208" s="24" t="str"/>
      <x:c r="H208" s="24" t="str">
        <x:v>Manual one-to-one service identity mapping; price-source conformity is audited separately below.</x:v>
      </x:c>
    </x:row>
    <x:row r="209" ht="24" hidden="0" customHeight="1">
      <x:c r="A209" s="1"/>
      <x:c r="B209" s="1"/>
      <x:c r="C209" s="23" t="str">
        <x:v>bpa_1120s</x:v>
      </x:c>
      <x:c r="D209" s="24" t="str">
        <x:v>Form 1120-S</x:v>
      </x:c>
      <x:c r="E209" s="24" t="str">
        <x:v>DOT-027</x:v>
      </x:c>
      <x:c r="F209" s="24" t="str">
        <x:v>mapped_named_product</x:v>
      </x:c>
      <x:c r="G209" s="24" t="str"/>
      <x:c r="H209" s="24" t="str">
        <x:v>Manual one-to-one service identity mapping; price-source conformity is audited separately below.</x:v>
      </x:c>
    </x:row>
    <x:row r="210" ht="24" hidden="0" customHeight="1">
      <x:c r="A210" s="1"/>
      <x:c r="B210" s="1"/>
      <x:c r="C210" s="23" t="str">
        <x:v>bpa_1120</x:v>
      </x:c>
      <x:c r="D210" s="24" t="str">
        <x:v>Form 1120</x:v>
      </x:c>
      <x:c r="E210" s="24" t="str">
        <x:v>DOT-028</x:v>
      </x:c>
      <x:c r="F210" s="24" t="str">
        <x:v>mapped_named_product</x:v>
      </x:c>
      <x:c r="G210" s="24" t="str"/>
      <x:c r="H210" s="24" t="str">
        <x:v>Manual one-to-one service identity mapping; price-source conformity is audited separately below.</x:v>
      </x:c>
    </x:row>
    <x:row r="211" ht="24" hidden="0" customHeight="1">
      <x:c r="A211" s="1"/>
      <x:c r="B211" s="1"/>
      <x:c r="C211" s="23" t="str">
        <x:v>bpa_state_return</x:v>
      </x:c>
      <x:c r="D211" s="24" t="str">
        <x:v>State return</x:v>
      </x:c>
      <x:c r="E211" s="24" t="str">
        <x:v>DOT-029</x:v>
      </x:c>
      <x:c r="F211" s="24" t="str">
        <x:v>mapped_named_product</x:v>
      </x:c>
      <x:c r="G211" s="24" t="str"/>
      <x:c r="H211" s="24" t="str">
        <x:v>Manual one-to-one service identity mapping; price-source conformity is audited separately below.</x:v>
      </x:c>
    </x:row>
    <x:row r="212" ht="24" hidden="0" customHeight="1">
      <x:c r="A212" s="1"/>
      <x:c r="B212" s="1"/>
      <x:c r="C212" s="23" t="str">
        <x:v>bpa_amended</x:v>
      </x:c>
      <x:c r="D212" s="24" t="str">
        <x:v>Amended return</x:v>
      </x:c>
      <x:c r="E212" s="24" t="str">
        <x:v>DOT-030</x:v>
      </x:c>
      <x:c r="F212" s="24" t="str">
        <x:v>mapped_named_product</x:v>
      </x:c>
      <x:c r="G212" s="24" t="str"/>
      <x:c r="H212" s="24" t="str">
        <x:v>Manual one-to-one service identity mapping; price-source conformity is audited separately below.</x:v>
      </x:c>
    </x:row>
    <x:row r="213" ht="36" hidden="0" customHeight="1">
      <x:c r="A213" s="1"/>
      <x:c r="B213" s="1"/>
      <x:c r="C213" s="23" t="str">
        <x:v>sot_clean_studio_one_time</x:v>
      </x:c>
      <x:c r="D213" s="24" t="str">
        <x:v>Studio standard apartment cleaning one time</x:v>
      </x:c>
      <x:c r="E213" s="24" t="str">
        <x:v>DOT-063</x:v>
      </x:c>
      <x:c r="F213" s="24" t="str">
        <x:v>mapped_named_product</x:v>
      </x:c>
      <x:c r="G213" s="24" t="str"/>
      <x:c r="H213" s="24" t="str">
        <x:v>Exact apartment/frequency identity or specialty-service mapping. Visits counted once; repeat-frequency variants do not multiply the same delivered visit.</x:v>
      </x:c>
    </x:row>
    <x:row r="214" ht="36" hidden="0" customHeight="1">
      <x:c r="A214" s="1"/>
      <x:c r="B214" s="1"/>
      <x:c r="C214" s="23" t="str">
        <x:v>sot_clean_studio_recurring</x:v>
      </x:c>
      <x:c r="D214" s="24" t="str">
        <x:v>Studio standard apartment cleaning recurring</x:v>
      </x:c>
      <x:c r="E214" s="24" t="str">
        <x:v>DOT-064</x:v>
      </x:c>
      <x:c r="F214" s="24" t="str">
        <x:v>mapped_named_product</x:v>
      </x:c>
      <x:c r="G214" s="24" t="str"/>
      <x:c r="H214" s="24" t="str">
        <x:v>Exact apartment/frequency identity or specialty-service mapping. Visits counted once; repeat-frequency variants do not multiply the same delivered visit.</x:v>
      </x:c>
    </x:row>
    <x:row r="215" ht="36" hidden="0" customHeight="1">
      <x:c r="A215" s="1"/>
      <x:c r="B215" s="1"/>
      <x:c r="C215" s="23" t="str">
        <x:v>sot_clean_one_bedroom_one_time</x:v>
      </x:c>
      <x:c r="D215" s="24" t="str">
        <x:v>One Bedroom standard apartment cleaning one time</x:v>
      </x:c>
      <x:c r="E215" s="24" t="str">
        <x:v>DOT-065</x:v>
      </x:c>
      <x:c r="F215" s="24" t="str">
        <x:v>mapped_named_product</x:v>
      </x:c>
      <x:c r="G215" s="24" t="str"/>
      <x:c r="H215" s="24" t="str">
        <x:v>Exact apartment/frequency identity or specialty-service mapping. Visits counted once; repeat-frequency variants do not multiply the same delivered visit.</x:v>
      </x:c>
    </x:row>
    <x:row r="216" ht="36" hidden="0" customHeight="1">
      <x:c r="A216" s="1"/>
      <x:c r="B216" s="1"/>
      <x:c r="C216" s="23" t="str">
        <x:v>sot_clean_one_bedroom_recurring</x:v>
      </x:c>
      <x:c r="D216" s="24" t="str">
        <x:v>One Bedroom standard apartment cleaning recurring</x:v>
      </x:c>
      <x:c r="E216" s="24" t="str">
        <x:v>DOT-066</x:v>
      </x:c>
      <x:c r="F216" s="24" t="str">
        <x:v>mapped_named_product</x:v>
      </x:c>
      <x:c r="G216" s="24" t="str"/>
      <x:c r="H216" s="24" t="str">
        <x:v>Exact apartment/frequency identity or specialty-service mapping. Visits counted once; repeat-frequency variants do not multiply the same delivered visit.</x:v>
      </x:c>
    </x:row>
    <x:row r="217" ht="36" hidden="0" customHeight="1">
      <x:c r="A217" s="1"/>
      <x:c r="B217" s="1"/>
      <x:c r="C217" s="23" t="str">
        <x:v>sot_clean_two_bedroom_one_time</x:v>
      </x:c>
      <x:c r="D217" s="24" t="str">
        <x:v>Two Bedroom standard apartment cleaning one time</x:v>
      </x:c>
      <x:c r="E217" s="24" t="str">
        <x:v>DOT-067</x:v>
      </x:c>
      <x:c r="F217" s="24" t="str">
        <x:v>mapped_named_product</x:v>
      </x:c>
      <x:c r="G217" s="24" t="str"/>
      <x:c r="H217" s="24" t="str">
        <x:v>Exact apartment/frequency identity or specialty-service mapping. Visits counted once; repeat-frequency variants do not multiply the same delivered visit.</x:v>
      </x:c>
    </x:row>
    <x:row r="218" ht="36" hidden="0" customHeight="1">
      <x:c r="A218" s="1"/>
      <x:c r="B218" s="1"/>
      <x:c r="C218" s="23" t="str">
        <x:v>sot_clean_two_bedroom_recurring</x:v>
      </x:c>
      <x:c r="D218" s="24" t="str">
        <x:v>Two Bedroom standard apartment cleaning recurring</x:v>
      </x:c>
      <x:c r="E218" s="24" t="str">
        <x:v>DOT-068</x:v>
      </x:c>
      <x:c r="F218" s="24" t="str">
        <x:v>mapped_named_product</x:v>
      </x:c>
      <x:c r="G218" s="24" t="str"/>
      <x:c r="H218" s="24" t="str">
        <x:v>Exact apartment/frequency identity or specialty-service mapping. Visits counted once; repeat-frequency variants do not multiply the same delivered visit.</x:v>
      </x:c>
    </x:row>
    <x:row r="219" ht="36" hidden="0" customHeight="1">
      <x:c r="A219" s="1"/>
      <x:c r="B219" s="1"/>
      <x:c r="C219" s="23" t="str">
        <x:v>sot_clean_specialty</x:v>
      </x:c>
      <x:c r="D219" s="24" t="str">
        <x:v>Deep or specialty cleaning quote</x:v>
      </x:c>
      <x:c r="E219" s="24" t="str">
        <x:v>DOT-069</x:v>
      </x:c>
      <x:c r="F219" s="24" t="str">
        <x:v>mapped_named_product</x:v>
      </x:c>
      <x:c r="G219" s="24" t="str"/>
      <x:c r="H219" s="24" t="str">
        <x:v>Exact apartment/frequency identity or specialty-service mapping. Visits counted once; repeat-frequency variants do not multiply the same delivered visit.</x:v>
      </x:c>
    </x:row>
    <x:row r="220" ht="15" hidden="0" customHeight="1">
      <x:c r="A220" s="1"/>
      <x:c r="B220" s="1"/>
      <x:c r="C220" s="23" t="str">
        <x:v>sot_chef</x:v>
      </x:c>
      <x:c r="D220" s="24" t="str">
        <x:v>Personal Chef proposal</x:v>
      </x:c>
      <x:c r="E220" s="24" t="str">
        <x:v>DOT-071</x:v>
      </x:c>
      <x:c r="F220" s="24" t="str">
        <x:v>mapped_named_product</x:v>
      </x:c>
      <x:c r="G220" s="24" t="str"/>
      <x:c r="H220" s="24" t="str">
        <x:v>Exact named service, content license or sponsorship identity.</x:v>
      </x:c>
    </x:row>
    <x:row r="221" ht="15" hidden="0" customHeight="1">
      <x:c r="A221" s="1"/>
      <x:c r="B221" s="1"/>
      <x:c r="C221" s="23" t="str">
        <x:v>sot_editorial_license</x:v>
      </x:c>
      <x:c r="D221" s="24" t="str">
        <x:v>Editorial content license</x:v>
      </x:c>
      <x:c r="E221" s="24" t="str">
        <x:v>DOT-078</x:v>
      </x:c>
      <x:c r="F221" s="24" t="str">
        <x:v>mapped_named_product</x:v>
      </x:c>
      <x:c r="G221" s="24" t="str"/>
      <x:c r="H221" s="24" t="str">
        <x:v>Exact named service, content license or sponsorship identity.</x:v>
      </x:c>
    </x:row>
    <x:row r="222" ht="15" hidden="0" customHeight="1">
      <x:c r="A222" s="1"/>
      <x:c r="B222" s="1"/>
      <x:c r="C222" s="23" t="str">
        <x:v>sot_editorial_sponsor</x:v>
      </x:c>
      <x:c r="D222" s="24" t="str">
        <x:v>Editorial sponsorship</x:v>
      </x:c>
      <x:c r="E222" s="24" t="str">
        <x:v>DOT-079</x:v>
      </x:c>
      <x:c r="F222" s="24" t="str">
        <x:v>mapped_named_product</x:v>
      </x:c>
      <x:c r="G222" s="24" t="str"/>
      <x:c r="H222" s="24" t="str">
        <x:v>Exact named service, content license or sponsorship identity.</x:v>
      </x:c>
    </x:row>
    <x:row r="223" ht="15" hidden="0" customHeight="1">
      <x:c r="A223" s="1"/>
      <x:c r="B223" s="1"/>
      <x:c r="C223" s="23" t="str">
        <x:v>sot_odyssey_license</x:v>
      </x:c>
      <x:c r="D223" s="24" t="str">
        <x:v>Tomato Odyssey series license</x:v>
      </x:c>
      <x:c r="E223" s="24" t="str">
        <x:v>DOT-080</x:v>
      </x:c>
      <x:c r="F223" s="24" t="str">
        <x:v>mapped_named_product</x:v>
      </x:c>
      <x:c r="G223" s="24" t="str"/>
      <x:c r="H223" s="24" t="str">
        <x:v>Exact named service, content license or sponsorship identity.</x:v>
      </x:c>
    </x:row>
    <x:row r="224" ht="15" hidden="0" customHeight="1">
      <x:c r="A224" s="1"/>
      <x:c r="B224" s="1"/>
      <x:c r="C224" s="23" t="str">
        <x:v>sot_odyssey_sponsor</x:v>
      </x:c>
      <x:c r="D224" s="24" t="str">
        <x:v>Tomato Odyssey sponsorship</x:v>
      </x:c>
      <x:c r="E224" s="24" t="str">
        <x:v>DOT-081</x:v>
      </x:c>
      <x:c r="F224" s="24" t="str">
        <x:v>mapped_named_product</x:v>
      </x:c>
      <x:c r="G224" s="24" t="str"/>
      <x:c r="H224" s="24" t="str">
        <x:v>Exact named service, content license or sponsorship identity.</x:v>
      </x:c>
    </x:row>
    <x:row r="225" ht="36" hidden="0" customHeight="1">
      <x:c r="A225" s="1"/>
      <x:c r="B225" s="1"/>
      <x:c r="C225" s="23" t="str">
        <x:v>sot_interiors</x:v>
      </x:c>
      <x:c r="D225" s="24" t="str">
        <x:v>Interior design and organizing project</x:v>
      </x:c>
      <x:c r="E225" s="24" t="str">
        <x:v>DOT-072, DOT-073</x:v>
      </x:c>
      <x:c r="F225" s="24" t="str">
        <x:v>compound_service_subdivision</x:v>
      </x:c>
      <x:c r="G225" s="24" t="str"/>
      <x:c r="H225" s="24" t="str">
        <x:v>Source explicitly says interior design and organizing project; procurement DOT-074 is a separate expanded hypothesis, not another copy of the project fee.</x:v>
      </x:c>
    </x:row>
    <x:row r="226" ht="15" hidden="0" customHeight="1">
      <x:c r="A226" s="1"/>
      <x:c r="B226" s="1"/>
      <x:c r="C226" s="23" t="str">
        <x:v>sot_concierge</x:v>
      </x:c>
      <x:c r="D226" s="24" t="str">
        <x:v>Concierge service request</x:v>
      </x:c>
      <x:c r="E226" s="24" t="str">
        <x:v>DOT-075</x:v>
      </x:c>
      <x:c r="F226" s="24" t="str">
        <x:v>mapped_named_product</x:v>
      </x:c>
      <x:c r="G226" s="24" t="str"/>
      <x:c r="H226" s="24" t="str">
        <x:v>Exact named service, content license or sponsorship identity.</x:v>
      </x:c>
    </x:row>
    <x:row r="227" ht="15" hidden="0" customHeight="1">
      <x:c r="A227" s="1"/>
      <x:c r="B227" s="1"/>
      <x:c r="C227" s="23" t="str">
        <x:v>sot_liberia</x:v>
      </x:c>
      <x:c r="D227" s="24" t="str">
        <x:v>Liberia feasibility workstream</x:v>
      </x:c>
      <x:c r="E227" s="24" t="str"/>
      <x:c r="F227" s="24" t="str">
        <x:v>explicit_nonrevenue</x:v>
      </x:c>
      <x:c r="G227" s="24" t="str">
        <x:v>S’otality Liberia feasibility</x:v>
      </x:c>
      <x:c r="H227" s="24" t="str">
        <x:v>Feasibility only, no paid mandate.</x:v>
      </x:c>
    </x:row>
    <x:row r="228" ht="15" hidden="0" customHeight="1">
      <x:c r="A228" s="1"/>
      <x:c r="B228" s="1"/>
      <x:c r="C228" s="23" t="str">
        <x:v>sleep_slot_C01</x:v>
      </x:c>
      <x:c r="D228" s="24" t="str">
        <x:v>Black low-wordmark tee</x:v>
      </x:c>
      <x:c r="E228" s="24" t="str">
        <x:v>DOT-101</x:v>
      </x:c>
      <x:c r="F228" s="24" t="str">
        <x:v>pooled_named_product_category</x:v>
      </x:c>
      <x:c r="G228" s="24" t="str"/>
      <x:c r="H228" s="24" t="str">
        <x:v>Title explicitly identifies tee; units are a category total, not per design.</x:v>
      </x:c>
    </x:row>
    <x:row r="229" ht="24" hidden="0" customHeight="1">
      <x:c r="A229" s="1"/>
      <x:c r="B229" s="1"/>
      <x:c r="C229" s="23" t="str">
        <x:v>sleep_slot_C02</x:v>
      </x:c>
      <x:c r="D229" s="24" t="str">
        <x:v>Black V-Hoodie</x:v>
      </x:c>
      <x:c r="E229" s="24" t="str">
        <x:v>DOT-102</x:v>
      </x:c>
      <x:c r="F229" s="24" t="str">
        <x:v>pooled_named_product_category</x:v>
      </x:c>
      <x:c r="G229" s="24" t="str"/>
      <x:c r="H229" s="24" t="str">
        <x:v>Title identifies hoodie, sweatshirt or fleece; units are category total, not per design.</x:v>
      </x:c>
    </x:row>
    <x:row r="230" ht="24" hidden="0" customHeight="1">
      <x:c r="A230" s="1"/>
      <x:c r="B230" s="1"/>
      <x:c r="C230" s="23" t="str">
        <x:v>sleep_slot_C03</x:v>
      </x:c>
      <x:c r="D230" s="24" t="str">
        <x:v>Centered hoodie with V-Sleeves</x:v>
      </x:c>
      <x:c r="E230" s="24" t="str">
        <x:v>DOT-102</x:v>
      </x:c>
      <x:c r="F230" s="24" t="str">
        <x:v>pooled_named_product_category</x:v>
      </x:c>
      <x:c r="G230" s="24" t="str"/>
      <x:c r="H230" s="24" t="str">
        <x:v>Title identifies hoodie, sweatshirt or fleece; units are category total, not per design.</x:v>
      </x:c>
    </x:row>
    <x:row r="231" ht="24" hidden="0" customHeight="1">
      <x:c r="A231" s="1"/>
      <x:c r="B231" s="1"/>
      <x:c r="C231" s="23" t="str">
        <x:v>sleep_slot_C04</x:v>
      </x:c>
      <x:c r="D231" s="24" t="str">
        <x:v>Cropped mineral gray sweatshirt</x:v>
      </x:c>
      <x:c r="E231" s="24" t="str">
        <x:v>DOT-102</x:v>
      </x:c>
      <x:c r="F231" s="24" t="str">
        <x:v>pooled_named_product_category</x:v>
      </x:c>
      <x:c r="G231" s="24" t="str"/>
      <x:c r="H231" s="24" t="str">
        <x:v>Title identifies hoodie, sweatshirt or fleece; units are category total, not per design.</x:v>
      </x:c>
    </x:row>
    <x:row r="232" ht="24" hidden="0" customHeight="1">
      <x:c r="A232" s="1"/>
      <x:c r="B232" s="1"/>
      <x:c r="C232" s="23" t="str">
        <x:v>sleep_slot_C05</x:v>
      </x:c>
      <x:c r="D232" s="24" t="str">
        <x:v>Deep Black hoodie</x:v>
      </x:c>
      <x:c r="E232" s="24" t="str">
        <x:v>DOT-102</x:v>
      </x:c>
      <x:c r="F232" s="24" t="str">
        <x:v>pooled_named_product_category</x:v>
      </x:c>
      <x:c r="G232" s="24" t="str"/>
      <x:c r="H232" s="24" t="str">
        <x:v>Title identifies hoodie, sweatshirt or fleece; units are category total, not per design.</x:v>
      </x:c>
    </x:row>
    <x:row r="233" ht="15" hidden="0" customHeight="1">
      <x:c r="A233" s="1"/>
      <x:c r="B233" s="1"/>
      <x:c r="C233" s="23" t="str">
        <x:v>sleep_slot_C06</x:v>
      </x:c>
      <x:c r="D233" s="24" t="str">
        <x:v>Signal Knit 01 sweater</x:v>
      </x:c>
      <x:c r="E233" s="24" t="str">
        <x:v>DOT-103</x:v>
      </x:c>
      <x:c r="F233" s="24" t="str">
        <x:v>pooled_named_product_category</x:v>
      </x:c>
      <x:c r="G233" s="24" t="str"/>
      <x:c r="H233" s="24" t="str">
        <x:v>Title explicitly identifies sweater; units are a category total.</x:v>
      </x:c>
    </x:row>
    <x:row r="234" ht="24" hidden="0" customHeight="1">
      <x:c r="A234" s="1"/>
      <x:c r="B234" s="1"/>
      <x:c r="C234" s="23" t="str">
        <x:v>sleep_slot_C07</x:v>
      </x:c>
      <x:c r="D234" s="24" t="str">
        <x:v>Black Sleeve-Signature sweatshirt</x:v>
      </x:c>
      <x:c r="E234" s="24" t="str">
        <x:v>DOT-102</x:v>
      </x:c>
      <x:c r="F234" s="24" t="str">
        <x:v>pooled_named_product_category</x:v>
      </x:c>
      <x:c r="G234" s="24" t="str"/>
      <x:c r="H234" s="24" t="str">
        <x:v>Title identifies hoodie, sweatshirt or fleece; units are category total, not per design.</x:v>
      </x:c>
    </x:row>
    <x:row r="235" ht="24" hidden="0" customHeight="1">
      <x:c r="A235" s="1"/>
      <x:c r="B235" s="1"/>
      <x:c r="C235" s="23" t="str">
        <x:v>sleep_slot_C08</x:v>
      </x:c>
      <x:c r="D235" s="24" t="str">
        <x:v>Contour V sweatshirt</x:v>
      </x:c>
      <x:c r="E235" s="24" t="str">
        <x:v>DOT-102</x:v>
      </x:c>
      <x:c r="F235" s="24" t="str">
        <x:v>pooled_named_product_category</x:v>
      </x:c>
      <x:c r="G235" s="24" t="str"/>
      <x:c r="H235" s="24" t="str">
        <x:v>Title identifies hoodie, sweatshirt or fleece; units are category total, not per design.</x:v>
      </x:c>
    </x:row>
    <x:row r="236" ht="24" hidden="0" customHeight="1">
      <x:c r="A236" s="1"/>
      <x:c r="B236" s="1"/>
      <x:c r="C236" s="23" t="str">
        <x:v>sleep_slot_C09</x:v>
      </x:c>
      <x:c r="D236" s="24" t="str">
        <x:v>Oversized wordmark sweatshirt</x:v>
      </x:c>
      <x:c r="E236" s="24" t="str">
        <x:v>DOT-102</x:v>
      </x:c>
      <x:c r="F236" s="24" t="str">
        <x:v>pooled_named_product_category</x:v>
      </x:c>
      <x:c r="G236" s="24" t="str"/>
      <x:c r="H236" s="24" t="str">
        <x:v>Title identifies hoodie, sweatshirt or fleece; units are category total, not per design.</x:v>
      </x:c>
    </x:row>
    <x:row r="237" ht="36" hidden="0" customHeight="1">
      <x:c r="A237" s="1"/>
      <x:c r="B237" s="1"/>
      <x:c r="C237" s="23" t="str">
        <x:v>sleep_slot_C10</x:v>
      </x:c>
      <x:c r="D237" s="24" t="str">
        <x:v>Silent Aviator</x:v>
      </x:c>
      <x:c r="E237" s="24" t="str">
        <x:v>DOT-101, DOT-102, DOT-103</x:v>
      </x:c>
      <x:c r="F237" s="24" t="str">
        <x:v>unresolved_product_category</x:v>
      </x:c>
      <x:c r="G237" s="24" t="str"/>
      <x:c r="H237" s="24" t="str">
        <x:v>C10 Silent Aviator, C11 Sleeve Lettering and C12 White Contour V do not identify garment category in extracted source. Do not blindly force all into hoodies; obtain category or use an explicitly mixed apparel pool.</x:v>
      </x:c>
    </x:row>
    <x:row r="238" ht="36" hidden="0" customHeight="1">
      <x:c r="A238" s="1"/>
      <x:c r="B238" s="1"/>
      <x:c r="C238" s="23" t="str">
        <x:v>sleep_slot_C11</x:v>
      </x:c>
      <x:c r="D238" s="24" t="str">
        <x:v>Sleeve Lettering</x:v>
      </x:c>
      <x:c r="E238" s="24" t="str">
        <x:v>DOT-101, DOT-102, DOT-103</x:v>
      </x:c>
      <x:c r="F238" s="24" t="str">
        <x:v>unresolved_product_category</x:v>
      </x:c>
      <x:c r="G238" s="24" t="str"/>
      <x:c r="H238" s="24" t="str">
        <x:v>C10 Silent Aviator, C11 Sleeve Lettering and C12 White Contour V do not identify garment category in extracted source. Do not blindly force all into hoodies; obtain category or use an explicitly mixed apparel pool.</x:v>
      </x:c>
    </x:row>
    <x:row r="239" ht="36" hidden="0" customHeight="1">
      <x:c r="A239" s="1"/>
      <x:c r="B239" s="1"/>
      <x:c r="C239" s="23" t="str">
        <x:v>sleep_slot_C12</x:v>
      </x:c>
      <x:c r="D239" s="24" t="str">
        <x:v>White Contour V</x:v>
      </x:c>
      <x:c r="E239" s="24" t="str">
        <x:v>DOT-101, DOT-102, DOT-103</x:v>
      </x:c>
      <x:c r="F239" s="24" t="str">
        <x:v>unresolved_product_category</x:v>
      </x:c>
      <x:c r="G239" s="24" t="str"/>
      <x:c r="H239" s="24" t="str">
        <x:v>C10 Silent Aviator, C11 Sleeve Lettering and C12 White Contour V do not identify garment category in extracted source. Do not blindly force all into hoodies; obtain category or use an explicitly mixed apparel pool.</x:v>
      </x:c>
    </x:row>
    <x:row r="240" ht="24" hidden="0" customHeight="1">
      <x:c r="A240" s="1"/>
      <x:c r="B240" s="1"/>
      <x:c r="C240" s="23" t="str">
        <x:v>sleep_slot_C13</x:v>
      </x:c>
      <x:c r="D240" s="24" t="str">
        <x:v>White V-silhouette fleece</x:v>
      </x:c>
      <x:c r="E240" s="24" t="str">
        <x:v>DOT-102</x:v>
      </x:c>
      <x:c r="F240" s="24" t="str">
        <x:v>pooled_named_product_category</x:v>
      </x:c>
      <x:c r="G240" s="24" t="str"/>
      <x:c r="H240" s="24" t="str">
        <x:v>Title identifies hoodie, sweatshirt or fleece; units are category total, not per design.</x:v>
      </x:c>
    </x:row>
    <x:row r="241" ht="24" hidden="0" customHeight="1">
      <x:c r="A241" s="1"/>
      <x:c r="B241" s="1"/>
      <x:c r="C241" s="23" t="str">
        <x:v>sleep_slot_C14</x:v>
      </x:c>
      <x:c r="D241" s="24" t="str">
        <x:v>White V-silhouette hoodie</x:v>
      </x:c>
      <x:c r="E241" s="24" t="str">
        <x:v>DOT-102</x:v>
      </x:c>
      <x:c r="F241" s="24" t="str">
        <x:v>pooled_named_product_category</x:v>
      </x:c>
      <x:c r="G241" s="24" t="str"/>
      <x:c r="H241" s="24" t="str">
        <x:v>Title identifies hoodie, sweatshirt or fleece; units are category total, not per design.</x:v>
      </x:c>
    </x:row>
    <x:row r="242" ht="24" hidden="0" customHeight="1">
      <x:c r="A242" s="1"/>
      <x:c r="B242" s="1"/>
      <x:c r="C242" s="23" t="str">
        <x:v>sleep_slot_C15</x:v>
      </x:c>
      <x:c r="D242" s="24" t="str">
        <x:v>White V-Sleeve hoodie</x:v>
      </x:c>
      <x:c r="E242" s="24" t="str">
        <x:v>DOT-102</x:v>
      </x:c>
      <x:c r="F242" s="24" t="str">
        <x:v>pooled_named_product_category</x:v>
      </x:c>
      <x:c r="G242" s="24" t="str"/>
      <x:c r="H242" s="24" t="str">
        <x:v>Title identifies hoodie, sweatshirt or fleece; units are category total, not per design.</x:v>
      </x:c>
    </x:row>
    <x:row r="243" ht="24" hidden="0" customHeight="1">
      <x:c r="A243" s="1"/>
      <x:c r="B243" s="1"/>
      <x:c r="C243" s="23" t="str">
        <x:v>sleep_slot_H01</x:v>
      </x:c>
      <x:c r="D243" s="24" t="str">
        <x:v>Premium luxury cap family: archive09/10/15</x:v>
      </x:c>
      <x:c r="E243" s="24" t="str">
        <x:v>DOT-104</x:v>
      </x:c>
      <x:c r="F243" s="24" t="str">
        <x:v>pooled_named_product_category</x:v>
      </x:c>
      <x:c r="G243" s="24" t="str"/>
      <x:c r="H243" s="24" t="str">
        <x:v>Headwear family fits Headwear stream; archived variants are not separate repeated sales targets.</x:v>
      </x:c>
    </x:row>
    <x:row r="244" ht="24" hidden="0" customHeight="1">
      <x:c r="A244" s="1"/>
      <x:c r="B244" s="1"/>
      <x:c r="C244" s="23" t="str">
        <x:v>sleep_slot_H02</x:v>
      </x:c>
      <x:c r="D244" s="24" t="str">
        <x:v>Five-panel structured cap family: archive13/14/37</x:v>
      </x:c>
      <x:c r="E244" s="24" t="str">
        <x:v>DOT-104</x:v>
      </x:c>
      <x:c r="F244" s="24" t="str">
        <x:v>pooled_named_product_category</x:v>
      </x:c>
      <x:c r="G244" s="24" t="str"/>
      <x:c r="H244" s="24" t="str">
        <x:v>Headwear family fits Headwear stream; archived variants are not separate repeated sales targets.</x:v>
      </x:c>
    </x:row>
    <x:row r="245" ht="24" hidden="0" customHeight="1">
      <x:c r="A245" s="1"/>
      <x:c r="B245" s="1"/>
      <x:c r="C245" s="23" t="str">
        <x:v>sleep_slot_H03</x:v>
      </x:c>
      <x:c r="D245" s="24" t="str">
        <x:v>Cross-Fold Beanie: archive19</x:v>
      </x:c>
      <x:c r="E245" s="24" t="str">
        <x:v>DOT-104</x:v>
      </x:c>
      <x:c r="F245" s="24" t="str">
        <x:v>pooled_named_product_category</x:v>
      </x:c>
      <x:c r="G245" s="24" t="str"/>
      <x:c r="H245" s="24" t="str">
        <x:v>Headwear family fits Headwear stream; archived variants are not separate repeated sales targets.</x:v>
      </x:c>
    </x:row>
    <x:row r="246" ht="24" hidden="0" customHeight="1">
      <x:c r="A246" s="1"/>
      <x:c r="B246" s="1"/>
      <x:c r="C246" s="23" t="str">
        <x:v>sleep_slot_H04</x:v>
      </x:c>
      <x:c r="D246" s="24" t="str">
        <x:v>Wide-brim family: archive26/29</x:v>
      </x:c>
      <x:c r="E246" s="24" t="str">
        <x:v>DOT-104</x:v>
      </x:c>
      <x:c r="F246" s="24" t="str">
        <x:v>pooled_named_product_category</x:v>
      </x:c>
      <x:c r="G246" s="24" t="str"/>
      <x:c r="H246" s="24" t="str">
        <x:v>Headwear family fits Headwear stream; archived variants are not separate repeated sales targets.</x:v>
      </x:c>
    </x:row>
    <x:row r="247" ht="24" hidden="0" customHeight="1">
      <x:c r="A247" s="1"/>
      <x:c r="B247" s="1"/>
      <x:c r="C247" s="23" t="str">
        <x:v>sleep_slot_H05</x:v>
      </x:c>
      <x:c r="D247" s="24" t="str">
        <x:v>Night Shield Cap: archive30</x:v>
      </x:c>
      <x:c r="E247" s="24" t="str">
        <x:v>DOT-104</x:v>
      </x:c>
      <x:c r="F247" s="24" t="str">
        <x:v>pooled_named_product_category</x:v>
      </x:c>
      <x:c r="G247" s="24" t="str"/>
      <x:c r="H247" s="24" t="str">
        <x:v>Headwear family fits Headwear stream; archived variants are not separate repeated sales targets.</x:v>
      </x:c>
    </x:row>
    <x:row r="248" ht="24" hidden="0" customHeight="1">
      <x:c r="A248" s="1"/>
      <x:c r="B248" s="1"/>
      <x:c r="C248" s="23" t="str">
        <x:v>sleep_slot_S01</x:v>
      </x:c>
      <x:c r="D248" s="24" t="str">
        <x:v>Orbit Round</x:v>
      </x:c>
      <x:c r="E248" s="24" t="str">
        <x:v>DOT-105</x:v>
      </x:c>
      <x:c r="F248" s="24" t="str">
        <x:v>reserved_family_conditional_hypothesis</x:v>
      </x:c>
      <x:c r="G248" s="24" t="str"/>
      <x:c r="H248" s="24" t="str">
        <x:v>Reserved eyewear family is explicitly modeled as hypothetical conditional commercialization, not a frozen SKU or approved launch.</x:v>
      </x:c>
    </x:row>
    <x:row r="249" ht="24" hidden="0" customHeight="1">
      <x:c r="A249" s="1"/>
      <x:c r="B249" s="1"/>
      <x:c r="C249" s="23" t="str">
        <x:v>sleep_slot_S02</x:v>
      </x:c>
      <x:c r="D249" s="24" t="str">
        <x:v>Riviera Color</x:v>
      </x:c>
      <x:c r="E249" s="24" t="str">
        <x:v>DOT-105</x:v>
      </x:c>
      <x:c r="F249" s="24" t="str">
        <x:v>reserved_family_conditional_hypothesis</x:v>
      </x:c>
      <x:c r="G249" s="24" t="str"/>
      <x:c r="H249" s="24" t="str">
        <x:v>Reserved eyewear family is explicitly modeled as hypothetical conditional commercialization, not a frozen SKU or approved launch.</x:v>
      </x:c>
    </x:row>
    <x:row r="250" ht="24" hidden="0" customHeight="1">
      <x:c r="A250" s="1"/>
      <x:c r="B250" s="1"/>
      <x:c r="C250" s="23" t="str">
        <x:v>sleep_slot_S03</x:v>
      </x:c>
      <x:c r="D250" s="24" t="str">
        <x:v>Mod Cat-Eye</x:v>
      </x:c>
      <x:c r="E250" s="24" t="str">
        <x:v>DOT-105</x:v>
      </x:c>
      <x:c r="F250" s="24" t="str">
        <x:v>reserved_family_conditional_hypothesis</x:v>
      </x:c>
      <x:c r="G250" s="24" t="str"/>
      <x:c r="H250" s="24" t="str">
        <x:v>Reserved eyewear family is explicitly modeled as hypothetical conditional commercialization, not a frozen SKU or approved launch.</x:v>
      </x:c>
    </x:row>
    <x:row r="251" ht="24" hidden="0" customHeight="1">
      <x:c r="A251" s="1"/>
      <x:c r="B251" s="1"/>
      <x:c r="C251" s="23" t="str">
        <x:v>sleep_slot_S04</x:v>
      </x:c>
      <x:c r="D251" s="24" t="str">
        <x:v>Jet-Set Navigator</x:v>
      </x:c>
      <x:c r="E251" s="24" t="str">
        <x:v>DOT-105</x:v>
      </x:c>
      <x:c r="F251" s="24" t="str">
        <x:v>reserved_family_conditional_hypothesis</x:v>
      </x:c>
      <x:c r="G251" s="24" t="str"/>
      <x:c r="H251" s="24" t="str">
        <x:v>Reserved eyewear family is explicitly modeled as hypothetical conditional commercialization, not a frozen SKU or approved launch.</x:v>
      </x:c>
    </x:row>
    <x:row r="252" ht="24" hidden="0" customHeight="1">
      <x:c r="A252" s="1"/>
      <x:c r="B252" s="1"/>
      <x:c r="C252" s="23" t="str">
        <x:v>sleep_slot_S05</x:v>
      </x:c>
      <x:c r="D252" s="24" t="str">
        <x:v>Space Shield</x:v>
      </x:c>
      <x:c r="E252" s="24" t="str">
        <x:v>DOT-105</x:v>
      </x:c>
      <x:c r="F252" s="24" t="str">
        <x:v>reserved_family_conditional_hypothesis</x:v>
      </x:c>
      <x:c r="G252" s="24" t="str"/>
      <x:c r="H252" s="24" t="str">
        <x:v>Reserved eyewear family is explicitly modeled as hypothetical conditional commercialization, not a frozen SKU or approved launch.</x:v>
      </x:c>
    </x:row>
    <x:row r="253" ht="24" hidden="0" customHeight="1">
      <x:c r="A253" s="1"/>
      <x:c r="B253" s="1"/>
      <x:c r="C253" s="23" t="str">
        <x:v>learn__ll_adult__concept_01</x:v>
      </x:c>
      <x:c r="D253" s="24" t="str">
        <x:v>TurboTax — Made Easy! 2026</x:v>
      </x:c>
      <x:c r="E253" s="24" t="str">
        <x:v>DOT-046</x:v>
      </x:c>
      <x:c r="F253" s="24" t="str">
        <x:v>explicit_catalog_key</x:v>
      </x:c>
      <x:c r="G253" s="24" t="str"/>
      <x:c r="H253" s="24" t="str">
        <x:v>Draft explicitly lists this catalog key. Pooled stream units are totals, not quantities per catalog member.</x:v>
      </x:c>
    </x:row>
    <x:row r="254" ht="24" hidden="0" customHeight="1">
      <x:c r="A254" s="1"/>
      <x:c r="B254" s="1"/>
      <x:c r="C254" s="23" t="str">
        <x:v>learn__ll_adult__concept_02</x:v>
      </x:c>
      <x:c r="D254" s="24" t="str">
        <x:v>Trust Me? Test Me.</x:v>
      </x:c>
      <x:c r="E254" s="24" t="str">
        <x:v>DOT-047</x:v>
      </x:c>
      <x:c r="F254" s="24" t="str">
        <x:v>explicit_catalog_key</x:v>
      </x:c>
      <x:c r="G254" s="24" t="str"/>
      <x:c r="H254" s="24" t="str">
        <x:v>Draft explicitly lists this catalog key. Pooled stream units are totals, not quantities per catalog member.</x:v>
      </x:c>
    </x:row>
    <x:row r="255" ht="24" hidden="0" customHeight="1">
      <x:c r="A255" s="1"/>
      <x:c r="B255" s="1"/>
      <x:c r="C255" s="23" t="str">
        <x:v>learn__ll_adult__t01</x:v>
      </x:c>
      <x:c r="D255" s="24" t="str">
        <x:v>Tax Year or Filing Year?</x:v>
      </x:c>
      <x:c r="E255" s="24" t="str">
        <x:v>DOT-048</x:v>
      </x:c>
      <x:c r="F255" s="24" t="str">
        <x:v>explicit_catalog_key_in_pooled_stream</x:v>
      </x:c>
      <x:c r="G255" s="24" t="str"/>
      <x:c r="H255" s="24" t="str">
        <x:v>Draft explicitly lists this catalog key. Pooled stream units are totals, not quantities per catalog member.</x:v>
      </x:c>
    </x:row>
    <x:row r="256" ht="24" hidden="0" customHeight="1">
      <x:c r="A256" s="1"/>
      <x:c r="B256" s="1"/>
      <x:c r="C256" s="23" t="str">
        <x:v>learn__ll_adult__t02</x:v>
      </x:c>
      <x:c r="D256" s="24" t="str">
        <x:v>Gather Before You Enter</x:v>
      </x:c>
      <x:c r="E256" s="24" t="str">
        <x:v>DOT-048</x:v>
      </x:c>
      <x:c r="F256" s="24" t="str">
        <x:v>explicit_catalog_key_in_pooled_stream</x:v>
      </x:c>
      <x:c r="G256" s="24" t="str"/>
      <x:c r="H256" s="24" t="str">
        <x:v>Draft explicitly lists this catalog key. Pooled stream units are totals, not quantities per catalog member.</x:v>
      </x:c>
    </x:row>
    <x:row r="257" ht="24" hidden="0" customHeight="1">
      <x:c r="A257" s="1"/>
      <x:c r="B257" s="1"/>
      <x:c r="C257" s="23" t="str">
        <x:v>learn__ll_adult__t03</x:v>
      </x:c>
      <x:c r="D257" s="24" t="str">
        <x:v>W-2 Cross-Check</x:v>
      </x:c>
      <x:c r="E257" s="24" t="str">
        <x:v>DOT-048</x:v>
      </x:c>
      <x:c r="F257" s="24" t="str">
        <x:v>explicit_catalog_key_in_pooled_stream</x:v>
      </x:c>
      <x:c r="G257" s="24" t="str"/>
      <x:c r="H257" s="24" t="str">
        <x:v>Draft explicitly lists this catalog key. Pooled stream units are totals, not quantities per catalog member.</x:v>
      </x:c>
    </x:row>
    <x:row r="258" ht="24" hidden="0" customHeight="1">
      <x:c r="A258" s="1"/>
      <x:c r="B258" s="1"/>
      <x:c r="C258" s="23" t="str">
        <x:v>learn__ll_adult__t04</x:v>
      </x:c>
      <x:c r="D258" s="24" t="str">
        <x:v>Filing Status Facts</x:v>
      </x:c>
      <x:c r="E258" s="24" t="str">
        <x:v>DOT-048</x:v>
      </x:c>
      <x:c r="F258" s="24" t="str">
        <x:v>explicit_catalog_key_in_pooled_stream</x:v>
      </x:c>
      <x:c r="G258" s="24" t="str"/>
      <x:c r="H258" s="24" t="str">
        <x:v>Draft explicitly lists this catalog key. Pooled stream units are totals, not quantities per catalog member.</x:v>
      </x:c>
    </x:row>
    <x:row r="259" ht="24" hidden="0" customHeight="1">
      <x:c r="A259" s="1"/>
      <x:c r="B259" s="1"/>
      <x:c r="C259" s="23" t="str">
        <x:v>learn__ll_adult__t05</x:v>
      </x:c>
      <x:c r="D259" s="24" t="str">
        <x:v>Dependent Claim Prerequisites</x:v>
      </x:c>
      <x:c r="E259" s="24" t="str">
        <x:v>DOT-048</x:v>
      </x:c>
      <x:c r="F259" s="24" t="str">
        <x:v>explicit_catalog_key_in_pooled_stream</x:v>
      </x:c>
      <x:c r="G259" s="24" t="str"/>
      <x:c r="H259" s="24" t="str">
        <x:v>Draft explicitly lists this catalog key. Pooled stream units are totals, not quantities per catalog member.</x:v>
      </x:c>
    </x:row>
    <x:row r="260" ht="24" hidden="0" customHeight="1">
      <x:c r="A260" s="1"/>
      <x:c r="B260" s="1"/>
      <x:c r="C260" s="23" t="str">
        <x:v>learn__ll_adult__t06</x:v>
      </x:c>
      <x:c r="D260" s="24" t="str">
        <x:v>Interest Income Inventory</x:v>
      </x:c>
      <x:c r="E260" s="24" t="str">
        <x:v>DOT-048</x:v>
      </x:c>
      <x:c r="F260" s="24" t="str">
        <x:v>explicit_catalog_key_in_pooled_stream</x:v>
      </x:c>
      <x:c r="G260" s="24" t="str"/>
      <x:c r="H260" s="24" t="str">
        <x:v>Draft explicitly lists this catalog key. Pooled stream units are totals, not quantities per catalog member.</x:v>
      </x:c>
    </x:row>
    <x:row r="261" ht="24" hidden="0" customHeight="1">
      <x:c r="A261" s="1"/>
      <x:c r="B261" s="1"/>
      <x:c r="C261" s="23" t="str">
        <x:v>learn__ll_adult__t07</x:v>
      </x:c>
      <x:c r="D261" s="24" t="str">
        <x:v>Dividend Record Match</x:v>
      </x:c>
      <x:c r="E261" s="24" t="str">
        <x:v>DOT-048</x:v>
      </x:c>
      <x:c r="F261" s="24" t="str">
        <x:v>explicit_catalog_key_in_pooled_stream</x:v>
      </x:c>
      <x:c r="G261" s="24" t="str"/>
      <x:c r="H261" s="24" t="str">
        <x:v>Draft explicitly lists this catalog key. Pooled stream units are totals, not quantities per catalog member.</x:v>
      </x:c>
    </x:row>
    <x:row r="262" ht="24" hidden="0" customHeight="1">
      <x:c r="A262" s="1"/>
      <x:c r="B262" s="1"/>
      <x:c r="C262" s="23" t="str">
        <x:v>learn__ll_adult__t08</x:v>
      </x:c>
      <x:c r="D262" s="24" t="str">
        <x:v>Retirement Distribution Questions</x:v>
      </x:c>
      <x:c r="E262" s="24" t="str">
        <x:v>DOT-048</x:v>
      </x:c>
      <x:c r="F262" s="24" t="str">
        <x:v>explicit_catalog_key_in_pooled_stream</x:v>
      </x:c>
      <x:c r="G262" s="24" t="str"/>
      <x:c r="H262" s="24" t="str">
        <x:v>Draft explicitly lists this catalog key. Pooled stream units are totals, not quantities per catalog member.</x:v>
      </x:c>
    </x:row>
    <x:row r="263" ht="24" hidden="0" customHeight="1">
      <x:c r="A263" s="1"/>
      <x:c r="B263" s="1"/>
      <x:c r="C263" s="23" t="str">
        <x:v>learn__ll_adult__t09</x:v>
      </x:c>
      <x:c r="D263" s="24" t="str">
        <x:v>Side-Income Boundary</x:v>
      </x:c>
      <x:c r="E263" s="24" t="str">
        <x:v>DOT-048</x:v>
      </x:c>
      <x:c r="F263" s="24" t="str">
        <x:v>explicit_catalog_key_in_pooled_stream</x:v>
      </x:c>
      <x:c r="G263" s="24" t="str"/>
      <x:c r="H263" s="24" t="str">
        <x:v>Draft explicitly lists this catalog key. Pooled stream units are totals, not quantities per catalog member.</x:v>
      </x:c>
    </x:row>
    <x:row r="264" ht="24" hidden="0" customHeight="1">
      <x:c r="A264" s="1"/>
      <x:c r="B264" s="1"/>
      <x:c r="C264" s="23" t="str">
        <x:v>learn__ll_adult__t10</x:v>
      </x:c>
      <x:c r="D264" s="24" t="str">
        <x:v>Deduction Document Triage</x:v>
      </x:c>
      <x:c r="E264" s="24" t="str">
        <x:v>DOT-048</x:v>
      </x:c>
      <x:c r="F264" s="24" t="str">
        <x:v>explicit_catalog_key_in_pooled_stream</x:v>
      </x:c>
      <x:c r="G264" s="24" t="str"/>
      <x:c r="H264" s="24" t="str">
        <x:v>Draft explicitly lists this catalog key. Pooled stream units are totals, not quantities per catalog member.</x:v>
      </x:c>
    </x:row>
    <x:row r="265" ht="24" hidden="0" customHeight="1">
      <x:c r="A265" s="1"/>
      <x:c r="B265" s="1"/>
      <x:c r="C265" s="23" t="str">
        <x:v>learn__ll_adult__t11</x:v>
      </x:c>
      <x:c r="D265" s="24" t="str">
        <x:v>Education Credit Document Check</x:v>
      </x:c>
      <x:c r="E265" s="24" t="str">
        <x:v>DOT-048</x:v>
      </x:c>
      <x:c r="F265" s="24" t="str">
        <x:v>explicit_catalog_key_in_pooled_stream</x:v>
      </x:c>
      <x:c r="G265" s="24" t="str"/>
      <x:c r="H265" s="24" t="str">
        <x:v>Draft explicitly lists this catalog key. Pooled stream units are totals, not quantities per catalog member.</x:v>
      </x:c>
    </x:row>
    <x:row r="266" ht="24" hidden="0" customHeight="1">
      <x:c r="A266" s="1"/>
      <x:c r="B266" s="1"/>
      <x:c r="C266" s="23" t="str">
        <x:v>learn__ll_adult__t12</x:v>
      </x:c>
      <x:c r="D266" s="24" t="str">
        <x:v>Child Credit Question Map</x:v>
      </x:c>
      <x:c r="E266" s="24" t="str">
        <x:v>DOT-048</x:v>
      </x:c>
      <x:c r="F266" s="24" t="str">
        <x:v>explicit_catalog_key_in_pooled_stream</x:v>
      </x:c>
      <x:c r="G266" s="24" t="str"/>
      <x:c r="H266" s="24" t="str">
        <x:v>Draft explicitly lists this catalog key. Pooled stream units are totals, not quantities per catalog member.</x:v>
      </x:c>
    </x:row>
    <x:row r="267" ht="24" hidden="0" customHeight="1">
      <x:c r="A267" s="1"/>
      <x:c r="B267" s="1"/>
      <x:c r="C267" s="23" t="str">
        <x:v>learn__ll_adult__t13</x:v>
      </x:c>
      <x:c r="D267" s="24" t="str">
        <x:v>EITC Stop Check</x:v>
      </x:c>
      <x:c r="E267" s="24" t="str">
        <x:v>DOT-048</x:v>
      </x:c>
      <x:c r="F267" s="24" t="str">
        <x:v>explicit_catalog_key_in_pooled_stream</x:v>
      </x:c>
      <x:c r="G267" s="24" t="str"/>
      <x:c r="H267" s="24" t="str">
        <x:v>Draft explicitly lists this catalog key. Pooled stream units are totals, not quantities per catalog member.</x:v>
      </x:c>
    </x:row>
    <x:row r="268" ht="24" hidden="0" customHeight="1">
      <x:c r="A268" s="1"/>
      <x:c r="B268" s="1"/>
      <x:c r="C268" s="23" t="str">
        <x:v>learn__ll_adult__t14</x:v>
      </x:c>
      <x:c r="D268" s="24" t="str">
        <x:v>Withholding and Payment Trail</x:v>
      </x:c>
      <x:c r="E268" s="24" t="str">
        <x:v>DOT-048</x:v>
      </x:c>
      <x:c r="F268" s="24" t="str">
        <x:v>explicit_catalog_key_in_pooled_stream</x:v>
      </x:c>
      <x:c r="G268" s="24" t="str"/>
      <x:c r="H268" s="24" t="str">
        <x:v>Draft explicitly lists this catalog key. Pooled stream units are totals, not quantities per catalog member.</x:v>
      </x:c>
    </x:row>
    <x:row r="269" ht="24" hidden="0" customHeight="1">
      <x:c r="A269" s="1"/>
      <x:c r="B269" s="1"/>
      <x:c r="C269" s="23" t="str">
        <x:v>learn__ll_adult__t15</x:v>
      </x:c>
      <x:c r="D269" s="24" t="str">
        <x:v>Choose a Disclosed Product</x:v>
      </x:c>
      <x:c r="E269" s="24" t="str">
        <x:v>DOT-048</x:v>
      </x:c>
      <x:c r="F269" s="24" t="str">
        <x:v>explicit_catalog_key_in_pooled_stream</x:v>
      </x:c>
      <x:c r="G269" s="24" t="str"/>
      <x:c r="H269" s="24" t="str">
        <x:v>Draft explicitly lists this catalog key. Pooled stream units are totals, not quantities per catalog member.</x:v>
      </x:c>
    </x:row>
    <x:row r="270" ht="24" hidden="0" customHeight="1">
      <x:c r="A270" s="1"/>
      <x:c r="B270" s="1"/>
      <x:c r="C270" s="23" t="str">
        <x:v>learn__ll_adult__t16</x:v>
      </x:c>
      <x:c r="D270" s="24" t="str">
        <x:v>Navigate the Verified Edition</x:v>
      </x:c>
      <x:c r="E270" s="24" t="str">
        <x:v>DOT-048</x:v>
      </x:c>
      <x:c r="F270" s="24" t="str">
        <x:v>explicit_catalog_key_in_pooled_stream</x:v>
      </x:c>
      <x:c r="G270" s="24" t="str"/>
      <x:c r="H270" s="24" t="str">
        <x:v>Draft explicitly lists this catalog key. Pooled stream units are totals, not quantities per catalog member.</x:v>
      </x:c>
    </x:row>
    <x:row r="271" ht="24" hidden="0" customHeight="1">
      <x:c r="A271" s="1"/>
      <x:c r="B271" s="1"/>
      <x:c r="C271" s="23" t="str">
        <x:v>learn__ll_adult__t17</x:v>
      </x:c>
      <x:c r="D271" s="24" t="str">
        <x:v>Find the Transposed Digit</x:v>
      </x:c>
      <x:c r="E271" s="24" t="str">
        <x:v>DOT-048</x:v>
      </x:c>
      <x:c r="F271" s="24" t="str">
        <x:v>explicit_catalog_key_in_pooled_stream</x:v>
      </x:c>
      <x:c r="G271" s="24" t="str"/>
      <x:c r="H271" s="24" t="str">
        <x:v>Draft explicitly lists this catalog key. Pooled stream units are totals, not quantities per catalog member.</x:v>
      </x:c>
    </x:row>
    <x:row r="272" ht="24" hidden="0" customHeight="1">
      <x:c r="A272" s="1"/>
      <x:c r="B272" s="1"/>
      <x:c r="C272" s="23" t="str">
        <x:v>learn__ll_adult__t18</x:v>
      </x:c>
      <x:c r="D272" s="24" t="str">
        <x:v>Review the Form, Not Just the Refund</x:v>
      </x:c>
      <x:c r="E272" s="24" t="str">
        <x:v>DOT-048</x:v>
      </x:c>
      <x:c r="F272" s="24" t="str">
        <x:v>explicit_catalog_key_in_pooled_stream</x:v>
      </x:c>
      <x:c r="G272" s="24" t="str"/>
      <x:c r="H272" s="24" t="str">
        <x:v>Draft explicitly lists this catalog key. Pooled stream units are totals, not quantities per catalog member.</x:v>
      </x:c>
    </x:row>
    <x:row r="273" ht="24" hidden="0" customHeight="1">
      <x:c r="A273" s="1"/>
      <x:c r="B273" s="1"/>
      <x:c r="C273" s="23" t="str">
        <x:v>learn__ll_adult__t19</x:v>
      </x:c>
      <x:c r="D273" s="24" t="str">
        <x:v>Verify Refund or Payment Details</x:v>
      </x:c>
      <x:c r="E273" s="24" t="str">
        <x:v>DOT-048</x:v>
      </x:c>
      <x:c r="F273" s="24" t="str">
        <x:v>explicit_catalog_key_in_pooled_stream</x:v>
      </x:c>
      <x:c r="G273" s="24" t="str"/>
      <x:c r="H273" s="24" t="str">
        <x:v>Draft explicitly lists this catalog key. Pooled stream units are totals, not quantities per catalog member.</x:v>
      </x:c>
    </x:row>
    <x:row r="274" ht="24" hidden="0" customHeight="1">
      <x:c r="A274" s="1"/>
      <x:c r="B274" s="1"/>
      <x:c r="C274" s="23" t="str">
        <x:v>learn__ll_adult__t20</x:v>
      </x:c>
      <x:c r="D274" s="24" t="str">
        <x:v>Authorize or Hold E-Filing</x:v>
      </x:c>
      <x:c r="E274" s="24" t="str">
        <x:v>DOT-048</x:v>
      </x:c>
      <x:c r="F274" s="24" t="str">
        <x:v>explicit_catalog_key_in_pooled_stream</x:v>
      </x:c>
      <x:c r="G274" s="24" t="str"/>
      <x:c r="H274" s="24" t="str">
        <x:v>Draft explicitly lists this catalog key. Pooled stream units are totals, not quantities per catalog member.</x:v>
      </x:c>
    </x:row>
    <x:row r="275" ht="24" hidden="0" customHeight="1">
      <x:c r="A275" s="1"/>
      <x:c r="B275" s="1"/>
      <x:c r="C275" s="23" t="str">
        <x:v>learn__ll_adult__t21</x:v>
      </x:c>
      <x:c r="D275" s="24" t="str">
        <x:v>2026 Form 1040 Changes</x:v>
      </x:c>
      <x:c r="E275" s="24" t="str">
        <x:v>DOT-049</x:v>
      </x:c>
      <x:c r="F275" s="24" t="str">
        <x:v>explicit_catalog_key_in_pooled_stream</x:v>
      </x:c>
      <x:c r="G275" s="24" t="str"/>
      <x:c r="H275" s="24" t="str">
        <x:v>Draft explicitly lists this catalog key. Pooled stream units are totals, not quantities per catalog member.</x:v>
      </x:c>
    </x:row>
    <x:row r="276" ht="24" hidden="0" customHeight="1">
      <x:c r="A276" s="1"/>
      <x:c r="B276" s="1"/>
      <x:c r="C276" s="23" t="str">
        <x:v>learn__ll_adult__t22</x:v>
      </x:c>
      <x:c r="D276" s="24" t="str">
        <x:v>2026 Standard Deduction Check</x:v>
      </x:c>
      <x:c r="E276" s="24" t="str">
        <x:v>DOT-049</x:v>
      </x:c>
      <x:c r="F276" s="24" t="str">
        <x:v>explicit_catalog_key_in_pooled_stream</x:v>
      </x:c>
      <x:c r="G276" s="24" t="str"/>
      <x:c r="H276" s="24" t="str">
        <x:v>Draft explicitly lists this catalog key. Pooled stream units are totals, not quantities per catalog member.</x:v>
      </x:c>
    </x:row>
    <x:row r="277" ht="24" hidden="0" customHeight="1">
      <x:c r="A277" s="1"/>
      <x:c r="B277" s="1"/>
      <x:c r="C277" s="23" t="str">
        <x:v>learn__ll_adult__t23</x:v>
      </x:c>
      <x:c r="D277" s="24" t="str">
        <x:v>2026 Child and Other Dependent Credit Check</x:v>
      </x:c>
      <x:c r="E277" s="24" t="str">
        <x:v>DOT-049</x:v>
      </x:c>
      <x:c r="F277" s="24" t="str">
        <x:v>explicit_catalog_key_in_pooled_stream</x:v>
      </x:c>
      <x:c r="G277" s="24" t="str"/>
      <x:c r="H277" s="24" t="str">
        <x:v>Draft explicitly lists this catalog key. Pooled stream units are totals, not quantities per catalog member.</x:v>
      </x:c>
    </x:row>
    <x:row r="278" ht="24" hidden="0" customHeight="1">
      <x:c r="A278" s="1"/>
      <x:c r="B278" s="1"/>
      <x:c r="C278" s="23" t="str">
        <x:v>learn__ll_adult__t24</x:v>
      </x:c>
      <x:c r="D278" s="24" t="str">
        <x:v>2026 EITC Eligibility Boundaries</x:v>
      </x:c>
      <x:c r="E278" s="24" t="str">
        <x:v>DOT-049</x:v>
      </x:c>
      <x:c r="F278" s="24" t="str">
        <x:v>explicit_catalog_key_in_pooled_stream</x:v>
      </x:c>
      <x:c r="G278" s="24" t="str"/>
      <x:c r="H278" s="24" t="str">
        <x:v>Draft explicitly lists this catalog key. Pooled stream units are totals, not quantities per catalog member.</x:v>
      </x:c>
    </x:row>
    <x:row r="279" ht="24" hidden="0" customHeight="1">
      <x:c r="A279" s="1"/>
      <x:c r="B279" s="1"/>
      <x:c r="C279" s="23" t="str">
        <x:v>learn__ll_adult__t25</x:v>
      </x:c>
      <x:c r="D279" s="24" t="str">
        <x:v>2026 Education Credit Review</x:v>
      </x:c>
      <x:c r="E279" s="24" t="str">
        <x:v>DOT-049</x:v>
      </x:c>
      <x:c r="F279" s="24" t="str">
        <x:v>explicit_catalog_key_in_pooled_stream</x:v>
      </x:c>
      <x:c r="G279" s="24" t="str"/>
      <x:c r="H279" s="24" t="str">
        <x:v>Draft explicitly lists this catalog key. Pooled stream units are totals, not quantities per catalog member.</x:v>
      </x:c>
    </x:row>
    <x:row r="280" ht="24" hidden="0" customHeight="1">
      <x:c r="A280" s="1"/>
      <x:c r="B280" s="1"/>
      <x:c r="C280" s="23" t="str">
        <x:v>learn__ll_adult__t26</x:v>
      </x:c>
      <x:c r="D280" s="24" t="str">
        <x:v>2026 Retirement and Roth Reporting</x:v>
      </x:c>
      <x:c r="E280" s="24" t="str">
        <x:v>DOT-049</x:v>
      </x:c>
      <x:c r="F280" s="24" t="str">
        <x:v>explicit_catalog_key_in_pooled_stream</x:v>
      </x:c>
      <x:c r="G280" s="24" t="str"/>
      <x:c r="H280" s="24" t="str">
        <x:v>Draft explicitly lists this catalog key. Pooled stream units are totals, not quantities per catalog member.</x:v>
      </x:c>
    </x:row>
    <x:row r="281" ht="24" hidden="0" customHeight="1">
      <x:c r="A281" s="1"/>
      <x:c r="B281" s="1"/>
      <x:c r="C281" s="23" t="str">
        <x:v>learn__ll_adult__t27</x:v>
      </x:c>
      <x:c r="D281" s="24" t="str">
        <x:v>2026 Marketplace Reconciliation</x:v>
      </x:c>
      <x:c r="E281" s="24" t="str">
        <x:v>DOT-049</x:v>
      </x:c>
      <x:c r="F281" s="24" t="str">
        <x:v>explicit_catalog_key_in_pooled_stream</x:v>
      </x:c>
      <x:c r="G281" s="24" t="str"/>
      <x:c r="H281" s="24" t="str">
        <x:v>Draft explicitly lists this catalog key. Pooled stream units are totals, not quantities per catalog member.</x:v>
      </x:c>
    </x:row>
    <x:row r="282" ht="24" hidden="0" customHeight="1">
      <x:c r="A282" s="1"/>
      <x:c r="B282" s="1"/>
      <x:c r="C282" s="23" t="str">
        <x:v>learn__ll_adult__t28</x:v>
      </x:c>
      <x:c r="D282" s="24" t="str">
        <x:v>2026 Self-Employment Escalation</x:v>
      </x:c>
      <x:c r="E282" s="24" t="str">
        <x:v>DOT-049</x:v>
      </x:c>
      <x:c r="F282" s="24" t="str">
        <x:v>explicit_catalog_key_in_pooled_stream</x:v>
      </x:c>
      <x:c r="G282" s="24" t="str"/>
      <x:c r="H282" s="24" t="str">
        <x:v>Draft explicitly lists this catalog key. Pooled stream units are totals, not quantities per catalog member.</x:v>
      </x:c>
    </x:row>
    <x:row r="283" ht="24" hidden="0" customHeight="1">
      <x:c r="A283" s="1"/>
      <x:c r="B283" s="1"/>
      <x:c r="C283" s="23" t="str">
        <x:v>learn__ll_adult__t29</x:v>
      </x:c>
      <x:c r="D283" s="24" t="str">
        <x:v>2026 State Filing Difference</x:v>
      </x:c>
      <x:c r="E283" s="24" t="str">
        <x:v>DOT-049</x:v>
      </x:c>
      <x:c r="F283" s="24" t="str">
        <x:v>explicit_catalog_key_in_pooled_stream</x:v>
      </x:c>
      <x:c r="G283" s="24" t="str"/>
      <x:c r="H283" s="24" t="str">
        <x:v>Draft explicitly lists this catalog key. Pooled stream units are totals, not quantities per catalog member.</x:v>
      </x:c>
    </x:row>
    <x:row r="284" ht="24" hidden="0" customHeight="1">
      <x:c r="A284" s="1"/>
      <x:c r="B284" s="1"/>
      <x:c r="C284" s="23" t="str">
        <x:v>learn__ll_adult__t30</x:v>
      </x:c>
      <x:c r="D284" s="24" t="str">
        <x:v>2026 TurboTax Interface Walkthrough</x:v>
      </x:c>
      <x:c r="E284" s="24" t="str">
        <x:v>DOT-049</x:v>
      </x:c>
      <x:c r="F284" s="24" t="str">
        <x:v>explicit_catalog_key_in_pooled_stream</x:v>
      </x:c>
      <x:c r="G284" s="24" t="str"/>
      <x:c r="H284" s="24" t="str">
        <x:v>Draft explicitly lists this catalog key. Pooled stream units are totals, not quantities per catalog member.</x:v>
      </x:c>
    </x:row>
    <x:row r="285" ht="24" hidden="0" customHeight="1">
      <x:c r="A285" s="1"/>
      <x:c r="B285" s="1"/>
      <x:c r="C285" s="23" t="str">
        <x:v>learn__ll_adult__l01</x:v>
      </x:c>
      <x:c r="D285" s="24" t="str">
        <x:v>Reconcile Right: Match the Balances</x:v>
      </x:c>
      <x:c r="E285" s="24" t="str">
        <x:v>DOT-050</x:v>
      </x:c>
      <x:c r="F285" s="24" t="str">
        <x:v>explicit_catalog_key_in_pooled_stream</x:v>
      </x:c>
      <x:c r="G285" s="24" t="str"/>
      <x:c r="H285" s="24" t="str">
        <x:v>Draft explicitly lists this catalog key. Pooled stream units are totals, not quantities per catalog member.</x:v>
      </x:c>
    </x:row>
    <x:row r="286" ht="24" hidden="0" customHeight="1">
      <x:c r="A286" s="1"/>
      <x:c r="B286" s="1"/>
      <x:c r="C286" s="23" t="str">
        <x:v>learn__ll_adult__l02</x:v>
      </x:c>
      <x:c r="D286" s="24" t="str">
        <x:v>Find the Duplicate Charge</x:v>
      </x:c>
      <x:c r="E286" s="24" t="str">
        <x:v>DOT-050</x:v>
      </x:c>
      <x:c r="F286" s="24" t="str">
        <x:v>explicit_catalog_key_in_pooled_stream</x:v>
      </x:c>
      <x:c r="G286" s="24" t="str"/>
      <x:c r="H286" s="24" t="str">
        <x:v>Draft explicitly lists this catalog key. Pooled stream units are totals, not quantities per catalog member.</x:v>
      </x:c>
    </x:row>
    <x:row r="287" ht="24" hidden="0" customHeight="1">
      <x:c r="A287" s="1"/>
      <x:c r="B287" s="1"/>
      <x:c r="C287" s="23" t="str">
        <x:v>learn__ll_adult__l03</x:v>
      </x:c>
      <x:c r="D287" s="24" t="str">
        <x:v>Close With Evidence</x:v>
      </x:c>
      <x:c r="E287" s="24" t="str">
        <x:v>DOT-050</x:v>
      </x:c>
      <x:c r="F287" s="24" t="str">
        <x:v>explicit_catalog_key_in_pooled_stream</x:v>
      </x:c>
      <x:c r="G287" s="24" t="str"/>
      <x:c r="H287" s="24" t="str">
        <x:v>Draft explicitly lists this catalog key. Pooled stream units are totals, not quantities per catalog member.</x:v>
      </x:c>
    </x:row>
    <x:row r="288" ht="24" hidden="0" customHeight="1">
      <x:c r="A288" s="1"/>
      <x:c r="B288" s="1"/>
      <x:c r="C288" s="23" t="str">
        <x:v>learn__ll_adult__l04</x:v>
      </x:c>
      <x:c r="D288" s="24" t="str">
        <x:v>Light, Meter, Go!</x:v>
      </x:c>
      <x:c r="E288" s="24" t="str">
        <x:v>DOT-050</x:v>
      </x:c>
      <x:c r="F288" s="24" t="str">
        <x:v>explicit_catalog_key_in_pooled_stream</x:v>
      </x:c>
      <x:c r="G288" s="24" t="str"/>
      <x:c r="H288" s="24" t="str">
        <x:v>Draft explicitly lists this catalog key. Pooled stream units are totals, not quantities per catalog member.</x:v>
      </x:c>
    </x:row>
    <x:row r="289" ht="24" hidden="0" customHeight="1">
      <x:c r="A289" s="1"/>
      <x:c r="B289" s="1"/>
      <x:c r="C289" s="23" t="str">
        <x:v>learn__ll_adult__l05</x:v>
      </x:c>
      <x:c r="D289" s="24" t="str">
        <x:v>Photograph With a Purpose</x:v>
      </x:c>
      <x:c r="E289" s="24" t="str">
        <x:v>DOT-050</x:v>
      </x:c>
      <x:c r="F289" s="24" t="str">
        <x:v>explicit_catalog_key_in_pooled_stream</x:v>
      </x:c>
      <x:c r="G289" s="24" t="str"/>
      <x:c r="H289" s="24" t="str">
        <x:v>Draft explicitly lists this catalog key. Pooled stream units are totals, not quantities per catalog member.</x:v>
      </x:c>
    </x:row>
    <x:row r="290" ht="24" hidden="0" customHeight="1">
      <x:c r="A290" s="1"/>
      <x:c r="B290" s="1"/>
      <x:c r="C290" s="23" t="str">
        <x:v>learn__ll_adult__l06</x:v>
      </x:c>
      <x:c r="D290" s="24" t="str">
        <x:v>Diagnose the Blur</x:v>
      </x:c>
      <x:c r="E290" s="24" t="str">
        <x:v>DOT-050</x:v>
      </x:c>
      <x:c r="F290" s="24" t="str">
        <x:v>explicit_catalog_key_in_pooled_stream</x:v>
      </x:c>
      <x:c r="G290" s="24" t="str"/>
      <x:c r="H290" s="24" t="str">
        <x:v>Draft explicitly lists this catalog key. Pooled stream units are totals, not quantities per catalog member.</x:v>
      </x:c>
    </x:row>
    <x:row r="291" ht="24" hidden="0" customHeight="1">
      <x:c r="A291" s="1"/>
      <x:c r="B291" s="1"/>
      <x:c r="C291" s="23" t="str">
        <x:v>learn__ll_adult__l07</x:v>
      </x:c>
      <x:c r="D291" s="24" t="str">
        <x:v>Color Without Mud</x:v>
      </x:c>
      <x:c r="E291" s="24" t="str">
        <x:v>DOT-050</x:v>
      </x:c>
      <x:c r="F291" s="24" t="str">
        <x:v>explicit_catalog_key_in_pooled_stream</x:v>
      </x:c>
      <x:c r="G291" s="24" t="str"/>
      <x:c r="H291" s="24" t="str">
        <x:v>Draft explicitly lists this catalog key. Pooled stream units are totals, not quantities per catalog member.</x:v>
      </x:c>
    </x:row>
    <x:row r="292" ht="24" hidden="0" customHeight="1">
      <x:c r="A292" s="1"/>
      <x:c r="B292" s="1"/>
      <x:c r="C292" s="23" t="str">
        <x:v>learn__ll_adult__l08</x:v>
      </x:c>
      <x:c r="D292" s="24" t="str">
        <x:v>Test the Undertone</x:v>
      </x:c>
      <x:c r="E292" s="24" t="str">
        <x:v>DOT-050</x:v>
      </x:c>
      <x:c r="F292" s="24" t="str">
        <x:v>explicit_catalog_key_in_pooled_stream</x:v>
      </x:c>
      <x:c r="G292" s="24" t="str"/>
      <x:c r="H292" s="24" t="str">
        <x:v>Draft explicitly lists this catalog key. Pooled stream units are totals, not quantities per catalog member.</x:v>
      </x:c>
    </x:row>
    <x:row r="293" ht="24" hidden="0" customHeight="1">
      <x:c r="A293" s="1"/>
      <x:c r="B293" s="1"/>
      <x:c r="C293" s="23" t="str">
        <x:v>learn__ll_adult__l09</x:v>
      </x:c>
      <x:c r="D293" s="24" t="str">
        <x:v>Composition That Moves</x:v>
      </x:c>
      <x:c r="E293" s="24" t="str">
        <x:v>DOT-050</x:v>
      </x:c>
      <x:c r="F293" s="24" t="str">
        <x:v>explicit_catalog_key_in_pooled_stream</x:v>
      </x:c>
      <x:c r="G293" s="24" t="str"/>
      <x:c r="H293" s="24" t="str">
        <x:v>Draft explicitly lists this catalog key. Pooled stream units are totals, not quantities per catalog member.</x:v>
      </x:c>
    </x:row>
    <x:row r="294" ht="24" hidden="0" customHeight="1">
      <x:c r="A294" s="1"/>
      <x:c r="B294" s="1"/>
      <x:c r="C294" s="23" t="str">
        <x:v>learn__ll_adult__l10</x:v>
      </x:c>
      <x:c r="D294" s="24" t="str">
        <x:v>Fit Before Finish</x:v>
      </x:c>
      <x:c r="E294" s="24" t="str">
        <x:v>DOT-050</x:v>
      </x:c>
      <x:c r="F294" s="24" t="str">
        <x:v>explicit_catalog_key_in_pooled_stream</x:v>
      </x:c>
      <x:c r="G294" s="24" t="str"/>
      <x:c r="H294" s="24" t="str">
        <x:v>Draft explicitly lists this catalog key. Pooled stream units are totals, not quantities per catalog member.</x:v>
      </x:c>
    </x:row>
    <x:row r="295" ht="24" hidden="0" customHeight="1">
      <x:c r="A295" s="1"/>
      <x:c r="B295" s="1"/>
      <x:c r="C295" s="23" t="str">
        <x:v>learn__ll_adult__l11</x:v>
      </x:c>
      <x:c r="D295" s="24" t="str">
        <x:v>Measure Twice, Cut Once</x:v>
      </x:c>
      <x:c r="E295" s="24" t="str">
        <x:v>DOT-050</x:v>
      </x:c>
      <x:c r="F295" s="24" t="str">
        <x:v>explicit_catalog_key_in_pooled_stream</x:v>
      </x:c>
      <x:c r="G295" s="24" t="str"/>
      <x:c r="H295" s="24" t="str">
        <x:v>Draft explicitly lists this catalog key. Pooled stream units are totals, not quantities per catalog member.</x:v>
      </x:c>
    </x:row>
    <x:row r="296" ht="24" hidden="0" customHeight="1">
      <x:c r="A296" s="1"/>
      <x:c r="B296" s="1"/>
      <x:c r="C296" s="23" t="str">
        <x:v>learn__ll_adult__l12</x:v>
      </x:c>
      <x:c r="D296" s="24" t="str">
        <x:v>Fabric for the Silhouette</x:v>
      </x:c>
      <x:c r="E296" s="24" t="str">
        <x:v>DOT-050</x:v>
      </x:c>
      <x:c r="F296" s="24" t="str">
        <x:v>explicit_catalog_key_in_pooled_stream</x:v>
      </x:c>
      <x:c r="G296" s="24" t="str"/>
      <x:c r="H296" s="24" t="str">
        <x:v>Draft explicitly lists this catalog key. Pooled stream units are totals, not quantities per catalog member.</x:v>
      </x:c>
    </x:row>
    <x:row r="297" ht="24" hidden="0" customHeight="1">
      <x:c r="A297" s="1"/>
      <x:c r="B297" s="1"/>
      <x:c r="C297" s="23" t="str">
        <x:v>learn__ll_adult__l13</x:v>
      </x:c>
      <x:c r="D297" s="24" t="str">
        <x:v>Trust Me? Test Me.</x:v>
      </x:c>
      <x:c r="E297" s="24" t="str">
        <x:v>DOT-050</x:v>
      </x:c>
      <x:c r="F297" s="24" t="str">
        <x:v>explicit_catalog_key_in_pooled_stream</x:v>
      </x:c>
      <x:c r="G297" s="24" t="str"/>
      <x:c r="H297" s="24" t="str">
        <x:v>Draft explicitly lists this catalog key. Pooled stream units are totals, not quantities per catalog member.</x:v>
      </x:c>
    </x:row>
    <x:row r="298" ht="24" hidden="0" customHeight="1">
      <x:c r="A298" s="1"/>
      <x:c r="B298" s="1"/>
      <x:c r="C298" s="23" t="str">
        <x:v>learn__ll_adult__l14</x:v>
      </x:c>
      <x:c r="D298" s="24" t="str">
        <x:v>Trace the Bug</x:v>
      </x:c>
      <x:c r="E298" s="24" t="str">
        <x:v>DOT-050</x:v>
      </x:c>
      <x:c r="F298" s="24" t="str">
        <x:v>explicit_catalog_key_in_pooled_stream</x:v>
      </x:c>
      <x:c r="G298" s="24" t="str"/>
      <x:c r="H298" s="24" t="str">
        <x:v>Draft explicitly lists this catalog key. Pooled stream units are totals, not quantities per catalog member.</x:v>
      </x:c>
    </x:row>
    <x:row r="299" ht="24" hidden="0" customHeight="1">
      <x:c r="A299" s="1"/>
      <x:c r="B299" s="1"/>
      <x:c r="C299" s="23" t="str">
        <x:v>learn__ll_adult__l15</x:v>
      </x:c>
      <x:c r="D299" s="24" t="str">
        <x:v>Ship Without Surprises</x:v>
      </x:c>
      <x:c r="E299" s="24" t="str">
        <x:v>DOT-050</x:v>
      </x:c>
      <x:c r="F299" s="24" t="str">
        <x:v>explicit_catalog_key_in_pooled_stream</x:v>
      </x:c>
      <x:c r="G299" s="24" t="str"/>
      <x:c r="H299" s="24" t="str">
        <x:v>Draft explicitly lists this catalog key. Pooled stream units are totals, not quantities per catalog member.</x:v>
      </x:c>
    </x:row>
    <x:row r="300" ht="24" hidden="0" customHeight="1">
      <x:c r="A300" s="1"/>
      <x:c r="B300" s="1"/>
      <x:c r="C300" s="23" t="str">
        <x:v>learn__ll_adult__l16</x:v>
      </x:c>
      <x:c r="D300" s="24" t="str">
        <x:v>Type With Intent</x:v>
      </x:c>
      <x:c r="E300" s="24" t="str">
        <x:v>DOT-050</x:v>
      </x:c>
      <x:c r="F300" s="24" t="str">
        <x:v>explicit_catalog_key_in_pooled_stream</x:v>
      </x:c>
      <x:c r="G300" s="24" t="str"/>
      <x:c r="H300" s="24" t="str">
        <x:v>Draft explicitly lists this catalog key. Pooled stream units are totals, not quantities per catalog member.</x:v>
      </x:c>
    </x:row>
    <x:row r="301" ht="24" hidden="0" customHeight="1">
      <x:c r="A301" s="1"/>
      <x:c r="B301" s="1"/>
      <x:c r="C301" s="23" t="str">
        <x:v>learn__ll_adult__l17</x:v>
      </x:c>
      <x:c r="D301" s="24" t="str">
        <x:v>Layouts That Lead</x:v>
      </x:c>
      <x:c r="E301" s="24" t="str">
        <x:v>DOT-050</x:v>
      </x:c>
      <x:c r="F301" s="24" t="str">
        <x:v>explicit_catalog_key_in_pooled_stream</x:v>
      </x:c>
      <x:c r="G301" s="24" t="str"/>
      <x:c r="H301" s="24" t="str">
        <x:v>Draft explicitly lists this catalog key. Pooled stream units are totals, not quantities per catalog member.</x:v>
      </x:c>
    </x:row>
    <x:row r="302" ht="24" hidden="0" customHeight="1">
      <x:c r="A302" s="1"/>
      <x:c r="B302" s="1"/>
      <x:c r="C302" s="23" t="str">
        <x:v>learn__ll_adult__l18</x:v>
      </x:c>
      <x:c r="D302" s="24" t="str">
        <x:v>Contrast That Reads</x:v>
      </x:c>
      <x:c r="E302" s="24" t="str">
        <x:v>DOT-050</x:v>
      </x:c>
      <x:c r="F302" s="24" t="str">
        <x:v>explicit_catalog_key_in_pooled_stream</x:v>
      </x:c>
      <x:c r="G302" s="24" t="str"/>
      <x:c r="H302" s="24" t="str">
        <x:v>Draft explicitly lists this catalog key. Pooled stream units are totals, not quantities per catalog member.</x:v>
      </x:c>
    </x:row>
    <x:row r="303" ht="24" hidden="0" customHeight="1">
      <x:c r="A303" s="1"/>
      <x:c r="B303" s="1"/>
      <x:c r="C303" s="23" t="str">
        <x:v>learn__ll_adult__l19</x:v>
      </x:c>
      <x:c r="D303" s="24" t="str">
        <x:v>Price for Profit</x:v>
      </x:c>
      <x:c r="E303" s="24" t="str">
        <x:v>DOT-050</x:v>
      </x:c>
      <x:c r="F303" s="24" t="str">
        <x:v>explicit_catalog_key_in_pooled_stream</x:v>
      </x:c>
      <x:c r="G303" s="24" t="str"/>
      <x:c r="H303" s="24" t="str">
        <x:v>Draft explicitly lists this catalog key. Pooled stream units are totals, not quantities per catalog member.</x:v>
      </x:c>
    </x:row>
    <x:row r="304" ht="24" hidden="0" customHeight="1">
      <x:c r="A304" s="1"/>
      <x:c r="B304" s="1"/>
      <x:c r="C304" s="23" t="str">
        <x:v>learn__ll_adult__l20</x:v>
      </x:c>
      <x:c r="D304" s="24" t="str">
        <x:v>Cash Before Crisis</x:v>
      </x:c>
      <x:c r="E304" s="24" t="str">
        <x:v>DOT-050</x:v>
      </x:c>
      <x:c r="F304" s="24" t="str">
        <x:v>explicit_catalog_key_in_pooled_stream</x:v>
      </x:c>
      <x:c r="G304" s="24" t="str"/>
      <x:c r="H304" s="24" t="str">
        <x:v>Draft explicitly lists this catalog key. Pooled stream units are totals, not quantities per catalog member.</x:v>
      </x:c>
    </x:row>
    <x:row r="305" ht="24" hidden="0" customHeight="1">
      <x:c r="A305" s="1"/>
      <x:c r="B305" s="1"/>
      <x:c r="C305" s="23" t="str">
        <x:v>learn__ll_adult__l21</x:v>
      </x:c>
      <x:c r="D305" s="24" t="str">
        <x:v>First Sale Blueprint</x:v>
      </x:c>
      <x:c r="E305" s="24" t="str">
        <x:v>DOT-050</x:v>
      </x:c>
      <x:c r="F305" s="24" t="str">
        <x:v>explicit_catalog_key_in_pooled_stream</x:v>
      </x:c>
      <x:c r="G305" s="24" t="str"/>
      <x:c r="H305" s="24" t="str">
        <x:v>Draft explicitly lists this catalog key. Pooled stream units are totals, not quantities per catalog member.</x:v>
      </x:c>
    </x:row>
    <x:row r="306" ht="24" hidden="0" customHeight="1">
      <x:c r="A306" s="1"/>
      <x:c r="B306" s="1"/>
      <x:c r="C306" s="23" t="str">
        <x:v>learn__ll_adult__l22</x:v>
      </x:c>
      <x:c r="D306" s="24" t="str">
        <x:v>Mix With Space</x:v>
      </x:c>
      <x:c r="E306" s="24" t="str">
        <x:v>DOT-050</x:v>
      </x:c>
      <x:c r="F306" s="24" t="str">
        <x:v>explicit_catalog_key_in_pooled_stream</x:v>
      </x:c>
      <x:c r="G306" s="24" t="str"/>
      <x:c r="H306" s="24" t="str">
        <x:v>Draft explicitly lists this catalog key. Pooled stream units are totals, not quantities per catalog member.</x:v>
      </x:c>
    </x:row>
    <x:row r="307" ht="24" hidden="0" customHeight="1">
      <x:c r="A307" s="1"/>
      <x:c r="B307" s="1"/>
      <x:c r="C307" s="23" t="str">
        <x:v>learn__ll_adult__l23</x:v>
      </x:c>
      <x:c r="D307" s="24" t="str">
        <x:v>Gain Before Effects</x:v>
      </x:c>
      <x:c r="E307" s="24" t="str">
        <x:v>DOT-050</x:v>
      </x:c>
      <x:c r="F307" s="24" t="str">
        <x:v>explicit_catalog_key_in_pooled_stream</x:v>
      </x:c>
      <x:c r="G307" s="24" t="str"/>
      <x:c r="H307" s="24" t="str">
        <x:v>Draft explicitly lists this catalog key. Pooled stream units are totals, not quantities per catalog member.</x:v>
      </x:c>
    </x:row>
    <x:row r="308" ht="24" hidden="0" customHeight="1">
      <x:c r="A308" s="1"/>
      <x:c r="B308" s="1"/>
      <x:c r="C308" s="23" t="str">
        <x:v>learn__ll_adult__l24</x:v>
      </x:c>
      <x:c r="D308" s="24" t="str">
        <x:v>Stereo With Intent</x:v>
      </x:c>
      <x:c r="E308" s="24" t="str">
        <x:v>DOT-050</x:v>
      </x:c>
      <x:c r="F308" s="24" t="str">
        <x:v>explicit_catalog_key_in_pooled_stream</x:v>
      </x:c>
      <x:c r="G308" s="24" t="str"/>
      <x:c r="H308" s="24" t="str">
        <x:v>Draft explicitly lists this catalog key. Pooled stream units are totals, not quantities per catalog member.</x:v>
      </x:c>
    </x:row>
    <x:row r="309" ht="24" hidden="0" customHeight="1">
      <x:c r="A309" s="1"/>
      <x:c r="B309" s="1"/>
      <x:c r="C309" s="23" t="str">
        <x:v>learn__ll_adult__l25</x:v>
      </x:c>
      <x:c r="D309" s="24" t="str">
        <x:v>Five-Star Recovery</x:v>
      </x:c>
      <x:c r="E309" s="24" t="str">
        <x:v>DOT-050</x:v>
      </x:c>
      <x:c r="F309" s="24" t="str">
        <x:v>explicit_catalog_key_in_pooled_stream</x:v>
      </x:c>
      <x:c r="G309" s="24" t="str"/>
      <x:c r="H309" s="24" t="str">
        <x:v>Draft explicitly lists this catalog key. Pooled stream units are totals, not quantities per catalog member.</x:v>
      </x:c>
    </x:row>
    <x:row r="310" ht="24" hidden="0" customHeight="1">
      <x:c r="A310" s="1"/>
      <x:c r="B310" s="1"/>
      <x:c r="C310" s="23" t="str">
        <x:v>learn__ll_adult__l26</x:v>
      </x:c>
      <x:c r="D310" s="24" t="str">
        <x:v>The Perfect Turnover</x:v>
      </x:c>
      <x:c r="E310" s="24" t="str">
        <x:v>DOT-050</x:v>
      </x:c>
      <x:c r="F310" s="24" t="str">
        <x:v>explicit_catalog_key_in_pooled_stream</x:v>
      </x:c>
      <x:c r="G310" s="24" t="str"/>
      <x:c r="H310" s="24" t="str">
        <x:v>Draft explicitly lists this catalog key. Pooled stream units are totals, not quantities per catalog member.</x:v>
      </x:c>
    </x:row>
    <x:row r="311" ht="24" hidden="0" customHeight="1">
      <x:c r="A311" s="1"/>
      <x:c r="B311" s="1"/>
      <x:c r="C311" s="23" t="str">
        <x:v>learn__ll_adult__l27</x:v>
      </x:c>
      <x:c r="D311" s="24" t="str">
        <x:v>Prompt, Check, Prove</x:v>
      </x:c>
      <x:c r="E311" s="24" t="str">
        <x:v>DOT-050</x:v>
      </x:c>
      <x:c r="F311" s="24" t="str">
        <x:v>explicit_catalog_key_in_pooled_stream</x:v>
      </x:c>
      <x:c r="G311" s="24" t="str"/>
      <x:c r="H311" s="24" t="str">
        <x:v>Draft explicitly lists this catalog key. Pooled stream units are totals, not quantities per catalog member.</x:v>
      </x:c>
    </x:row>
    <x:row r="312" ht="24" hidden="0" customHeight="1">
      <x:c r="A312" s="1"/>
      <x:c r="B312" s="1"/>
      <x:c r="C312" s="23" t="str">
        <x:v>learn__ll_adult__l28</x:v>
      </x:c>
      <x:c r="D312" s="24" t="str">
        <x:v>Clean Data, Clear Answer</x:v>
      </x:c>
      <x:c r="E312" s="24" t="str">
        <x:v>DOT-050</x:v>
      </x:c>
      <x:c r="F312" s="24" t="str">
        <x:v>explicit_catalog_key_in_pooled_stream</x:v>
      </x:c>
      <x:c r="G312" s="24" t="str"/>
      <x:c r="H312" s="24" t="str">
        <x:v>Draft explicitly lists this catalog key. Pooled stream units are totals, not quantities per catalog member.</x:v>
      </x:c>
    </x:row>
    <x:row r="313" ht="24" hidden="0" customHeight="1">
      <x:c r="A313" s="1"/>
      <x:c r="B313" s="1"/>
      <x:c r="C313" s="23" t="str">
        <x:v>learn__ll_adult__l29</x:v>
      </x:c>
      <x:c r="D313" s="24" t="str">
        <x:v>Say It So It Lands</x:v>
      </x:c>
      <x:c r="E313" s="24" t="str">
        <x:v>DOT-050</x:v>
      </x:c>
      <x:c r="F313" s="24" t="str">
        <x:v>explicit_catalog_key_in_pooled_stream</x:v>
      </x:c>
      <x:c r="G313" s="24" t="str"/>
      <x:c r="H313" s="24" t="str">
        <x:v>Draft explicitly lists this catalog key. Pooled stream units are totals, not quantities per catalog member.</x:v>
      </x:c>
    </x:row>
    <x:row r="314" ht="24" hidden="0" customHeight="1">
      <x:c r="A314" s="1"/>
      <x:c r="B314" s="1"/>
      <x:c r="C314" s="23" t="str">
        <x:v>learn__ll_adult__l30</x:v>
      </x:c>
      <x:c r="D314" s="24" t="str">
        <x:v>Write for Action</x:v>
      </x:c>
      <x:c r="E314" s="24" t="str">
        <x:v>DOT-050</x:v>
      </x:c>
      <x:c r="F314" s="24" t="str">
        <x:v>explicit_catalog_key_in_pooled_stream</x:v>
      </x:c>
      <x:c r="G314" s="24" t="str"/>
      <x:c r="H314" s="24" t="str">
        <x:v>Draft explicitly lists this catalog key. Pooled stream units are totals, not quantities per catalog member.</x:v>
      </x:c>
    </x:row>
    <x:row r="315" ht="24" hidden="0" customHeight="1">
      <x:c r="A315" s="1"/>
      <x:c r="B315" s="1"/>
      <x:c r="C315" s="23" t="str">
        <x:v>learn__ll_kids__llk_23_001</x:v>
      </x:c>
      <x:c r="D315" s="24" t="str">
        <x:v>Little Voices: Hello, Colors!</x:v>
      </x:c>
      <x:c r="E315" s="24" t="str">
        <x:v>DOT-053</x:v>
      </x:c>
      <x:c r="F315" s="24" t="str">
        <x:v>pooled_catalog_family</x:v>
      </x:c>
      <x:c r="G315" s="24" t="str"/>
      <x:c r="H315" s="24" t="str">
        <x:v>20 source units represented by one guardian-purchase pool; no per-title sales mix or language multiplier is established.</x:v>
      </x:c>
    </x:row>
    <x:row r="316" ht="24" hidden="0" customHeight="1">
      <x:c r="A316" s="1"/>
      <x:c r="B316" s="1"/>
      <x:c r="C316" s="23" t="str">
        <x:v>learn__ll_kids__llk_23_002</x:v>
      </x:c>
      <x:c r="D316" s="24" t="str">
        <x:v>Little Voices: Hello, Hello!</x:v>
      </x:c>
      <x:c r="E316" s="24" t="str">
        <x:v>DOT-053</x:v>
      </x:c>
      <x:c r="F316" s="24" t="str">
        <x:v>pooled_catalog_family</x:v>
      </x:c>
      <x:c r="G316" s="24" t="str"/>
      <x:c r="H316" s="24" t="str">
        <x:v>20 source units represented by one guardian-purchase pool; no per-title sales mix or language multiplier is established.</x:v>
      </x:c>
    </x:row>
    <x:row r="317" ht="24" hidden="0" customHeight="1">
      <x:c r="A317" s="1"/>
      <x:c r="B317" s="1"/>
      <x:c r="C317" s="23" t="str">
        <x:v>learn__ll_kids__llk_23_003</x:v>
      </x:c>
      <x:c r="D317" s="24" t="str">
        <x:v>Animal Sounds Around the World</x:v>
      </x:c>
      <x:c r="E317" s="24" t="str">
        <x:v>DOT-053</x:v>
      </x:c>
      <x:c r="F317" s="24" t="str">
        <x:v>pooled_catalog_family</x:v>
      </x:c>
      <x:c r="G317" s="24" t="str"/>
      <x:c r="H317" s="24" t="str">
        <x:v>20 source units represented by one guardian-purchase pool; no per-title sales mix or language multiplier is established.</x:v>
      </x:c>
    </x:row>
    <x:row r="318" ht="24" hidden="0" customHeight="1">
      <x:c r="A318" s="1"/>
      <x:c r="B318" s="1"/>
      <x:c r="C318" s="23" t="str">
        <x:v>learn__ll_kids__llk_23_004</x:v>
      </x:c>
      <x:c r="D318" s="24" t="str">
        <x:v>My First Feelings</x:v>
      </x:c>
      <x:c r="E318" s="24" t="str">
        <x:v>DOT-053</x:v>
      </x:c>
      <x:c r="F318" s="24" t="str">
        <x:v>pooled_catalog_family</x:v>
      </x:c>
      <x:c r="G318" s="24" t="str"/>
      <x:c r="H318" s="24" t="str">
        <x:v>20 source units represented by one guardian-purchase pool; no per-title sales mix or language multiplier is established.</x:v>
      </x:c>
    </x:row>
    <x:row r="319" ht="24" hidden="0" customHeight="1">
      <x:c r="A319" s="1"/>
      <x:c r="B319" s="1"/>
      <x:c r="C319" s="23" t="str">
        <x:v>learn__ll_kids__llk_23_005</x:v>
      </x:c>
      <x:c r="D319" s="24" t="str">
        <x:v>Please, Thank You, Yay!</x:v>
      </x:c>
      <x:c r="E319" s="24" t="str">
        <x:v>DOT-053</x:v>
      </x:c>
      <x:c r="F319" s="24" t="str">
        <x:v>pooled_catalog_family</x:v>
      </x:c>
      <x:c r="G319" s="24" t="str"/>
      <x:c r="H319" s="24" t="str">
        <x:v>20 source units represented by one guardian-purchase pool; no per-title sales mix or language multiplier is established.</x:v>
      </x:c>
    </x:row>
    <x:row r="320" ht="24" hidden="0" customHeight="1">
      <x:c r="A320" s="1"/>
      <x:c r="B320" s="1"/>
      <x:c r="C320" s="23" t="str">
        <x:v>learn__ll_kids__llk_45_001</x:v>
      </x:c>
      <x:c r="D320" s="24" t="str">
        <x:v>Letter Sound Safari</x:v>
      </x:c>
      <x:c r="E320" s="24" t="str">
        <x:v>DOT-053</x:v>
      </x:c>
      <x:c r="F320" s="24" t="str">
        <x:v>pooled_catalog_family</x:v>
      </x:c>
      <x:c r="G320" s="24" t="str"/>
      <x:c r="H320" s="24" t="str">
        <x:v>20 source units represented by one guardian-purchase pool; no per-title sales mix or language multiplier is established.</x:v>
      </x:c>
    </x:row>
    <x:row r="321" ht="24" hidden="0" customHeight="1">
      <x:c r="A321" s="1"/>
      <x:c r="B321" s="1"/>
      <x:c r="C321" s="23" t="str">
        <x:v>learn__ll_kids__llk_45_002</x:v>
      </x:c>
      <x:c r="D321" s="24" t="str">
        <x:v>Count &amp; Bounce</x:v>
      </x:c>
      <x:c r="E321" s="24" t="str">
        <x:v>DOT-053</x:v>
      </x:c>
      <x:c r="F321" s="24" t="str">
        <x:v>pooled_catalog_family</x:v>
      </x:c>
      <x:c r="G321" s="24" t="str"/>
      <x:c r="H321" s="24" t="str">
        <x:v>20 source units represented by one guardian-purchase pool; no per-title sales mix or language multiplier is established.</x:v>
      </x:c>
    </x:row>
    <x:row r="322" ht="24" hidden="0" customHeight="1">
      <x:c r="A322" s="1"/>
      <x:c r="B322" s="1"/>
      <x:c r="C322" s="23" t="str">
        <x:v>learn__ll_kids__llk_45_003</x:v>
      </x:c>
      <x:c r="D322" s="24" t="str">
        <x:v>Shape Builders</x:v>
      </x:c>
      <x:c r="E322" s="24" t="str">
        <x:v>DOT-053</x:v>
      </x:c>
      <x:c r="F322" s="24" t="str">
        <x:v>pooled_catalog_family</x:v>
      </x:c>
      <x:c r="G322" s="24" t="str"/>
      <x:c r="H322" s="24" t="str">
        <x:v>20 source units represented by one guardian-purchase pool; no per-title sales mix or language multiplier is established.</x:v>
      </x:c>
    </x:row>
    <x:row r="323" ht="24" hidden="0" customHeight="1">
      <x:c r="A323" s="1"/>
      <x:c r="B323" s="1"/>
      <x:c r="C323" s="23" t="str">
        <x:v>learn__ll_kids__llk_45_004</x:v>
      </x:c>
      <x:c r="D323" s="24" t="str">
        <x:v>Manners at the Magic Table</x:v>
      </x:c>
      <x:c r="E323" s="24" t="str">
        <x:v>DOT-053</x:v>
      </x:c>
      <x:c r="F323" s="24" t="str">
        <x:v>pooled_catalog_family</x:v>
      </x:c>
      <x:c r="G323" s="24" t="str"/>
      <x:c r="H323" s="24" t="str">
        <x:v>20 source units represented by one guardian-purchase pool; no per-title sales mix or language multiplier is established.</x:v>
      </x:c>
    </x:row>
    <x:row r="324" ht="24" hidden="0" customHeight="1">
      <x:c r="A324" s="1"/>
      <x:c r="B324" s="1"/>
      <x:c r="C324" s="23" t="str">
        <x:v>learn__ll_kids__llk_45_005</x:v>
      </x:c>
      <x:c r="D324" s="24" t="str">
        <x:v>My Big World Map</x:v>
      </x:c>
      <x:c r="E324" s="24" t="str">
        <x:v>DOT-053</x:v>
      </x:c>
      <x:c r="F324" s="24" t="str">
        <x:v>pooled_catalog_family</x:v>
      </x:c>
      <x:c r="G324" s="24" t="str"/>
      <x:c r="H324" s="24" t="str">
        <x:v>20 source units represented by one guardian-purchase pool; no per-title sales mix or language multiplier is established.</x:v>
      </x:c>
    </x:row>
    <x:row r="325" ht="24" hidden="0" customHeight="1">
      <x:c r="A325" s="1"/>
      <x:c r="B325" s="1"/>
      <x:c r="C325" s="23" t="str">
        <x:v>learn__ll_kids__llk_68_001</x:v>
      </x:c>
      <x:c r="D325" s="24" t="str">
        <x:v>Reading Detective: Clue Words</x:v>
      </x:c>
      <x:c r="E325" s="24" t="str">
        <x:v>DOT-053</x:v>
      </x:c>
      <x:c r="F325" s="24" t="str">
        <x:v>pooled_catalog_family</x:v>
      </x:c>
      <x:c r="G325" s="24" t="str"/>
      <x:c r="H325" s="24" t="str">
        <x:v>20 source units represented by one guardian-purchase pool; no per-title sales mix or language multiplier is established.</x:v>
      </x:c>
    </x:row>
    <x:row r="326" ht="24" hidden="0" customHeight="1">
      <x:c r="A326" s="1"/>
      <x:c r="B326" s="1"/>
      <x:c r="C326" s="23" t="str">
        <x:v>learn__ll_kids__llk_68_002</x:v>
      </x:c>
      <x:c r="D326" s="24" t="str">
        <x:v>Sentence Builders</x:v>
      </x:c>
      <x:c r="E326" s="24" t="str">
        <x:v>DOT-053</x:v>
      </x:c>
      <x:c r="F326" s="24" t="str">
        <x:v>pooled_catalog_family</x:v>
      </x:c>
      <x:c r="G326" s="24" t="str"/>
      <x:c r="H326" s="24" t="str">
        <x:v>20 source units represented by one guardian-purchase pool; no per-title sales mix or language multiplier is established.</x:v>
      </x:c>
    </x:row>
    <x:row r="327" ht="24" hidden="0" customHeight="1">
      <x:c r="A327" s="1"/>
      <x:c r="B327" s="1"/>
      <x:c r="C327" s="23" t="str">
        <x:v>learn__ll_kids__llk_68_003</x:v>
      </x:c>
      <x:c r="D327" s="24" t="str">
        <x:v>Paint With Feeling</x:v>
      </x:c>
      <x:c r="E327" s="24" t="str">
        <x:v>DOT-053</x:v>
      </x:c>
      <x:c r="F327" s="24" t="str">
        <x:v>pooled_catalog_family</x:v>
      </x:c>
      <x:c r="G327" s="24" t="str"/>
      <x:c r="H327" s="24" t="str">
        <x:v>20 source units represented by one guardian-purchase pool; no per-title sales mix or language multiplier is established.</x:v>
      </x:c>
    </x:row>
    <x:row r="328" ht="24" hidden="0" customHeight="1">
      <x:c r="A328" s="1"/>
      <x:c r="B328" s="1"/>
      <x:c r="C328" s="23" t="str">
        <x:v>learn__ll_kids__llk_68_004</x:v>
      </x:c>
      <x:c r="D328" s="24" t="str">
        <x:v>Brave Voice Club</x:v>
      </x:c>
      <x:c r="E328" s="24" t="str">
        <x:v>DOT-053</x:v>
      </x:c>
      <x:c r="F328" s="24" t="str">
        <x:v>pooled_catalog_family</x:v>
      </x:c>
      <x:c r="G328" s="24" t="str"/>
      <x:c r="H328" s="24" t="str">
        <x:v>20 source units represented by one guardian-purchase pool; no per-title sales mix or language multiplier is established.</x:v>
      </x:c>
    </x:row>
    <x:row r="329" ht="24" hidden="0" customHeight="1">
      <x:c r="A329" s="1"/>
      <x:c r="B329" s="1"/>
      <x:c r="C329" s="23" t="str">
        <x:v>learn__ll_kids__llk_68_005</x:v>
      </x:c>
      <x:c r="D329" s="24" t="str">
        <x:v>Money Mission: Needs, Wants, Save!</x:v>
      </x:c>
      <x:c r="E329" s="24" t="str">
        <x:v>DOT-053</x:v>
      </x:c>
      <x:c r="F329" s="24" t="str">
        <x:v>pooled_catalog_family</x:v>
      </x:c>
      <x:c r="G329" s="24" t="str"/>
      <x:c r="H329" s="24" t="str">
        <x:v>20 source units represented by one guardian-purchase pool; no per-title sales mix or language multiplier is established.</x:v>
      </x:c>
    </x:row>
    <x:row r="330" ht="24" hidden="0" customHeight="1">
      <x:c r="A330" s="1"/>
      <x:c r="B330" s="1"/>
      <x:c r="C330" s="23" t="str">
        <x:v>learn__ll_kids__llk_910_001</x:v>
      </x:c>
      <x:c r="D330" s="24" t="str">
        <x:v>Story Studio: Beginning, Middle, Wow!</x:v>
      </x:c>
      <x:c r="E330" s="24" t="str">
        <x:v>DOT-053</x:v>
      </x:c>
      <x:c r="F330" s="24" t="str">
        <x:v>pooled_catalog_family</x:v>
      </x:c>
      <x:c r="G330" s="24" t="str"/>
      <x:c r="H330" s="24" t="str">
        <x:v>20 source units represented by one guardian-purchase pool; no per-title sales mix or language multiplier is established.</x:v>
      </x:c>
    </x:row>
    <x:row r="331" ht="24" hidden="0" customHeight="1">
      <x:c r="A331" s="1"/>
      <x:c r="B331" s="1"/>
      <x:c r="C331" s="23" t="str">
        <x:v>learn__ll_kids__llk_910_002</x:v>
      </x:c>
      <x:c r="D331" s="24" t="str">
        <x:v>Sketch Like a Designer</x:v>
      </x:c>
      <x:c r="E331" s="24" t="str">
        <x:v>DOT-053</x:v>
      </x:c>
      <x:c r="F331" s="24" t="str">
        <x:v>pooled_catalog_family</x:v>
      </x:c>
      <x:c r="G331" s="24" t="str"/>
      <x:c r="H331" s="24" t="str">
        <x:v>20 source units represented by one guardian-purchase pool; no per-title sales mix or language multiplier is established.</x:v>
      </x:c>
    </x:row>
    <x:row r="332" ht="24" hidden="0" customHeight="1">
      <x:c r="A332" s="1"/>
      <x:c r="B332" s="1"/>
      <x:c r="C332" s="23" t="str">
        <x:v>learn__ll_kids__llk_910_004</x:v>
      </x:c>
      <x:c r="D332" s="24" t="str">
        <x:v>Digital Explorer</x:v>
      </x:c>
      <x:c r="E332" s="24" t="str">
        <x:v>DOT-053</x:v>
      </x:c>
      <x:c r="F332" s="24" t="str">
        <x:v>pooled_catalog_family</x:v>
      </x:c>
      <x:c r="G332" s="24" t="str"/>
      <x:c r="H332" s="24" t="str">
        <x:v>20 source units represented by one guardian-purchase pool; no per-title sales mix or language multiplier is established.</x:v>
      </x:c>
    </x:row>
    <x:row r="333" ht="24" hidden="0" customHeight="1">
      <x:c r="A333" s="1"/>
      <x:c r="B333" s="1"/>
      <x:c r="C333" s="23" t="str">
        <x:v>learn__ll_kids__llk_1112_001</x:v>
      </x:c>
      <x:c r="D333" s="24" t="str">
        <x:v>Speak With Confidence</x:v>
      </x:c>
      <x:c r="E333" s="24" t="str">
        <x:v>DOT-053</x:v>
      </x:c>
      <x:c r="F333" s="24" t="str">
        <x:v>pooled_catalog_family</x:v>
      </x:c>
      <x:c r="G333" s="24" t="str"/>
      <x:c r="H333" s="24" t="str">
        <x:v>20 source units represented by one guardian-purchase pool; no per-title sales mix or language multiplier is established.</x:v>
      </x:c>
    </x:row>
    <x:row r="334" ht="24" hidden="0" customHeight="1">
      <x:c r="A334" s="1"/>
      <x:c r="B334" s="1"/>
      <x:c r="C334" s="23" t="str">
        <x:v>learn__ll_kids__llk_1112_002</x:v>
      </x:c>
      <x:c r="D334" s="24" t="str">
        <x:v>Research Detectives</x:v>
      </x:c>
      <x:c r="E334" s="24" t="str">
        <x:v>DOT-053</x:v>
      </x:c>
      <x:c r="F334" s="24" t="str">
        <x:v>pooled_catalog_family</x:v>
      </x:c>
      <x:c r="G334" s="24" t="str"/>
      <x:c r="H334" s="24" t="str">
        <x:v>20 source units represented by one guardian-purchase pool; no per-title sales mix or language multiplier is established.</x:v>
      </x:c>
    </x:row>
    <x:row r="335" ht="36" hidden="0" customHeight="1">
      <x:c r="A335" s="1"/>
      <x:c r="B335" s="1"/>
      <x:c r="C335" s="23" t="str">
        <x:v>learn__vs_adult__r01</x:v>
      </x:c>
      <x:c r="D335" s="24" t="str">
        <x:v>Audit an Argument</x:v>
      </x:c>
      <x:c r="E335" s="24" t="str">
        <x:v>DOT-054, DOT-055</x:v>
      </x:c>
      <x:c r="F335" s="24" t="str">
        <x:v>pooled_alternative_purchase_cohorts</x:v>
      </x:c>
      <x:c r="G335" s="24" t="str"/>
      <x:c r="H335" s="24" t="str">
        <x:v>Same 50-course catalog supports standalone and three-course bundles. Count bundle receipts once, exclude included seats from standalone volume and allocate disjoint cohorts.</x:v>
      </x:c>
    </x:row>
    <x:row r="336" ht="36" hidden="0" customHeight="1">
      <x:c r="A336" s="1"/>
      <x:c r="B336" s="1"/>
      <x:c r="C336" s="23" t="str">
        <x:v>learn__vs_adult__r02</x:v>
      </x:c>
      <x:c r="D336" s="24" t="str">
        <x:v>Map Counterevidence</x:v>
      </x:c>
      <x:c r="E336" s="24" t="str">
        <x:v>DOT-054, DOT-055</x:v>
      </x:c>
      <x:c r="F336" s="24" t="str">
        <x:v>pooled_alternative_purchase_cohorts</x:v>
      </x:c>
      <x:c r="G336" s="24" t="str"/>
      <x:c r="H336" s="24" t="str">
        <x:v>Same 50-course catalog supports standalone and three-course bundles. Count bundle receipts once, exclude included seats from standalone volume and allocate disjoint cohorts.</x:v>
      </x:c>
    </x:row>
    <x:row r="337" ht="36" hidden="0" customHeight="1">
      <x:c r="A337" s="1"/>
      <x:c r="B337" s="1"/>
      <x:c r="C337" s="23" t="str">
        <x:v>learn__vs_adult__r03</x:v>
      </x:c>
      <x:c r="D337" s="24" t="str">
        <x:v>Calibrate a Claim</x:v>
      </x:c>
      <x:c r="E337" s="24" t="str">
        <x:v>DOT-054, DOT-055</x:v>
      </x:c>
      <x:c r="F337" s="24" t="str">
        <x:v>pooled_alternative_purchase_cohorts</x:v>
      </x:c>
      <x:c r="G337" s="24" t="str"/>
      <x:c r="H337" s="24" t="str">
        <x:v>Same 50-course catalog supports standalone and three-course bundles. Count bundle receipts once, exclude included seats from standalone volume and allocate disjoint cohorts.</x:v>
      </x:c>
    </x:row>
    <x:row r="338" ht="36" hidden="0" customHeight="1">
      <x:c r="A338" s="1"/>
      <x:c r="B338" s="1"/>
      <x:c r="C338" s="23" t="str">
        <x:v>learn__vs_adult__a01</x:v>
      </x:c>
      <x:c r="D338" s="24" t="str">
        <x:v>Verify Before Reliance</x:v>
      </x:c>
      <x:c r="E338" s="24" t="str">
        <x:v>DOT-054, DOT-055</x:v>
      </x:c>
      <x:c r="F338" s="24" t="str">
        <x:v>pooled_alternative_purchase_cohorts</x:v>
      </x:c>
      <x:c r="G338" s="24" t="str"/>
      <x:c r="H338" s="24" t="str">
        <x:v>Same 50-course catalog supports standalone and three-course bundles. Count bundle receipts once, exclude included seats from standalone volume and allocate disjoint cohorts.</x:v>
      </x:c>
    </x:row>
    <x:row r="339" ht="36" hidden="0" customHeight="1">
      <x:c r="A339" s="1"/>
      <x:c r="B339" s="1"/>
      <x:c r="C339" s="23" t="str">
        <x:v>learn__vs_adult__a02</x:v>
      </x:c>
      <x:c r="D339" s="24" t="str">
        <x:v>Prompt Traceability</x:v>
      </x:c>
      <x:c r="E339" s="24" t="str">
        <x:v>DOT-054, DOT-055</x:v>
      </x:c>
      <x:c r="F339" s="24" t="str">
        <x:v>pooled_alternative_purchase_cohorts</x:v>
      </x:c>
      <x:c r="G339" s="24" t="str"/>
      <x:c r="H339" s="24" t="str">
        <x:v>Same 50-course catalog supports standalone and three-course bundles. Count bundle receipts once, exclude included seats from standalone volume and allocate disjoint cohorts.</x:v>
      </x:c>
    </x:row>
    <x:row r="340" ht="36" hidden="0" customHeight="1">
      <x:c r="A340" s="1"/>
      <x:c r="B340" s="1"/>
      <x:c r="C340" s="23" t="str">
        <x:v>learn__vs_adult__a03</x:v>
      </x:c>
      <x:c r="D340" s="24" t="str">
        <x:v>Test a Model Change</x:v>
      </x:c>
      <x:c r="E340" s="24" t="str">
        <x:v>DOT-054, DOT-055</x:v>
      </x:c>
      <x:c r="F340" s="24" t="str">
        <x:v>pooled_alternative_purchase_cohorts</x:v>
      </x:c>
      <x:c r="G340" s="24" t="str"/>
      <x:c r="H340" s="24" t="str">
        <x:v>Same 50-course catalog supports standalone and three-course bundles. Count bundle receipts once, exclude included seats from standalone volume and allocate disjoint cohorts.</x:v>
      </x:c>
    </x:row>
    <x:row r="341" ht="36" hidden="0" customHeight="1">
      <x:c r="A341" s="1"/>
      <x:c r="B341" s="1"/>
      <x:c r="C341" s="23" t="str">
        <x:v>learn__vs_adult__s01</x:v>
      </x:c>
      <x:c r="D341" s="24" t="str">
        <x:v>Debug From Evidence</x:v>
      </x:c>
      <x:c r="E341" s="24" t="str">
        <x:v>DOT-054, DOT-055</x:v>
      </x:c>
      <x:c r="F341" s="24" t="str">
        <x:v>pooled_alternative_purchase_cohorts</x:v>
      </x:c>
      <x:c r="G341" s="24" t="str"/>
      <x:c r="H341" s="24" t="str">
        <x:v>Same 50-course catalog supports standalone and three-course bundles. Count bundle receipts once, exclude included seats from standalone volume and allocate disjoint cohorts.</x:v>
      </x:c>
    </x:row>
    <x:row r="342" ht="36" hidden="0" customHeight="1">
      <x:c r="A342" s="1"/>
      <x:c r="B342" s="1"/>
      <x:c r="C342" s="23" t="str">
        <x:v>learn__vs_adult__s02</x:v>
      </x:c>
      <x:c r="D342" s="24" t="str">
        <x:v>Threat Model a Feature</x:v>
      </x:c>
      <x:c r="E342" s="24" t="str">
        <x:v>DOT-054, DOT-055</x:v>
      </x:c>
      <x:c r="F342" s="24" t="str">
        <x:v>pooled_alternative_purchase_cohorts</x:v>
      </x:c>
      <x:c r="G342" s="24" t="str"/>
      <x:c r="H342" s="24" t="str">
        <x:v>Same 50-course catalog supports standalone and three-course bundles. Count bundle receipts once, exclude included seats from standalone volume and allocate disjoint cohorts.</x:v>
      </x:c>
    </x:row>
    <x:row r="343" ht="36" hidden="0" customHeight="1">
      <x:c r="A343" s="1"/>
      <x:c r="B343" s="1"/>
      <x:c r="C343" s="23" t="str">
        <x:v>learn__vs_adult__s03</x:v>
      </x:c>
      <x:c r="D343" s="24" t="str">
        <x:v>Verify a Patch</x:v>
      </x:c>
      <x:c r="E343" s="24" t="str">
        <x:v>DOT-054, DOT-055</x:v>
      </x:c>
      <x:c r="F343" s="24" t="str">
        <x:v>pooled_alternative_purchase_cohorts</x:v>
      </x:c>
      <x:c r="G343" s="24" t="str"/>
      <x:c r="H343" s="24" t="str">
        <x:v>Same 50-course catalog supports standalone and three-course bundles. Count bundle receipts once, exclude included seats from standalone volume and allocate disjoint cohorts.</x:v>
      </x:c>
    </x:row>
    <x:row r="344" ht="36" hidden="0" customHeight="1">
      <x:c r="A344" s="1"/>
      <x:c r="B344" s="1"/>
      <x:c r="C344" s="23" t="str">
        <x:v>learn__vs_adult__d01</x:v>
      </x:c>
      <x:c r="D344" s="24" t="str">
        <x:v>Question the Denominator</x:v>
      </x:c>
      <x:c r="E344" s="24" t="str">
        <x:v>DOT-054, DOT-055</x:v>
      </x:c>
      <x:c r="F344" s="24" t="str">
        <x:v>pooled_alternative_purchase_cohorts</x:v>
      </x:c>
      <x:c r="G344" s="24" t="str"/>
      <x:c r="H344" s="24" t="str">
        <x:v>Same 50-course catalog supports standalone and three-course bundles. Count bundle receipts once, exclude included seats from standalone volume and allocate disjoint cohorts.</x:v>
      </x:c>
    </x:row>
    <x:row r="345" ht="36" hidden="0" customHeight="1">
      <x:c r="A345" s="1"/>
      <x:c r="B345" s="1"/>
      <x:c r="C345" s="23" t="str">
        <x:v>learn__vs_adult__d02</x:v>
      </x:c>
      <x:c r="D345" s="24" t="str">
        <x:v>Audit a Sample</x:v>
      </x:c>
      <x:c r="E345" s="24" t="str">
        <x:v>DOT-054, DOT-055</x:v>
      </x:c>
      <x:c r="F345" s="24" t="str">
        <x:v>pooled_alternative_purchase_cohorts</x:v>
      </x:c>
      <x:c r="G345" s="24" t="str"/>
      <x:c r="H345" s="24" t="str">
        <x:v>Same 50-course catalog supports standalone and three-course bundles. Count bundle receipts once, exclude included seats from standalone volume and allocate disjoint cohorts.</x:v>
      </x:c>
    </x:row>
    <x:row r="346" ht="36" hidden="0" customHeight="1">
      <x:c r="A346" s="1"/>
      <x:c r="B346" s="1"/>
      <x:c r="C346" s="23" t="str">
        <x:v>learn__vs_adult__d03</x:v>
      </x:c>
      <x:c r="D346" s="24" t="str">
        <x:v>Chart Without Distortion</x:v>
      </x:c>
      <x:c r="E346" s="24" t="str">
        <x:v>DOT-054, DOT-055</x:v>
      </x:c>
      <x:c r="F346" s="24" t="str">
        <x:v>pooled_alternative_purchase_cohorts</x:v>
      </x:c>
      <x:c r="G346" s="24" t="str"/>
      <x:c r="H346" s="24" t="str">
        <x:v>Same 50-course catalog supports standalone and three-course bundles. Count bundle receipts once, exclude included seats from standalone volume and allocate disjoint cohorts.</x:v>
      </x:c>
    </x:row>
    <x:row r="347" ht="36" hidden="0" customHeight="1">
      <x:c r="A347" s="1"/>
      <x:c r="B347" s="1"/>
      <x:c r="C347" s="23" t="str">
        <x:v>learn__vs_adult__f01</x:v>
      </x:c>
      <x:c r="D347" s="24" t="str">
        <x:v>Price Under Constraints</x:v>
      </x:c>
      <x:c r="E347" s="24" t="str">
        <x:v>DOT-054, DOT-055</x:v>
      </x:c>
      <x:c r="F347" s="24" t="str">
        <x:v>pooled_alternative_purchase_cohorts</x:v>
      </x:c>
      <x:c r="G347" s="24" t="str"/>
      <x:c r="H347" s="24" t="str">
        <x:v>Same 50-course catalog supports standalone and three-course bundles. Count bundle receipts once, exclude included seats from standalone volume and allocate disjoint cohorts.</x:v>
      </x:c>
    </x:row>
    <x:row r="348" ht="36" hidden="0" customHeight="1">
      <x:c r="A348" s="1"/>
      <x:c r="B348" s="1"/>
      <x:c r="C348" s="23" t="str">
        <x:v>learn__vs_adult__f02</x:v>
      </x:c>
      <x:c r="D348" s="24" t="str">
        <x:v>Cash Runway Stress</x:v>
      </x:c>
      <x:c r="E348" s="24" t="str">
        <x:v>DOT-054, DOT-055</x:v>
      </x:c>
      <x:c r="F348" s="24" t="str">
        <x:v>pooled_alternative_purchase_cohorts</x:v>
      </x:c>
      <x:c r="G348" s="24" t="str"/>
      <x:c r="H348" s="24" t="str">
        <x:v>Same 50-course catalog supports standalone and three-course bundles. Count bundle receipts once, exclude included seats from standalone volume and allocate disjoint cohorts.</x:v>
      </x:c>
    </x:row>
    <x:row r="349" ht="36" hidden="0" customHeight="1">
      <x:c r="A349" s="1"/>
      <x:c r="B349" s="1"/>
      <x:c r="C349" s="23" t="str">
        <x:v>learn__vs_adult__f03</x:v>
      </x:c>
      <x:c r="D349" s="24" t="str">
        <x:v>Compare Funding Choices</x:v>
      </x:c>
      <x:c r="E349" s="24" t="str">
        <x:v>DOT-054, DOT-055</x:v>
      </x:c>
      <x:c r="F349" s="24" t="str">
        <x:v>pooled_alternative_purchase_cohorts</x:v>
      </x:c>
      <x:c r="G349" s="24" t="str"/>
      <x:c r="H349" s="24" t="str">
        <x:v>Same 50-course catalog supports standalone and three-course bundles. Count bundle receipts once, exclude included seats from standalone volume and allocate disjoint cohorts.</x:v>
      </x:c>
    </x:row>
    <x:row r="350" ht="36" hidden="0" customHeight="1">
      <x:c r="A350" s="1"/>
      <x:c r="B350" s="1"/>
      <x:c r="C350" s="23" t="str">
        <x:v>learn__vs_adult__c01</x:v>
      </x:c>
      <x:c r="D350" s="24" t="str">
        <x:v>Reconcile and Explain</x:v>
      </x:c>
      <x:c r="E350" s="24" t="str">
        <x:v>DOT-054, DOT-055</x:v>
      </x:c>
      <x:c r="F350" s="24" t="str">
        <x:v>pooled_alternative_purchase_cohorts</x:v>
      </x:c>
      <x:c r="G350" s="24" t="str"/>
      <x:c r="H350" s="24" t="str">
        <x:v>Same 50-course catalog supports standalone and three-course bundles. Count bundle receipts once, exclude included seats from standalone volume and allocate disjoint cohorts.</x:v>
      </x:c>
    </x:row>
    <x:row r="351" ht="36" hidden="0" customHeight="1">
      <x:c r="A351" s="1"/>
      <x:c r="B351" s="1"/>
      <x:c r="C351" s="23" t="str">
        <x:v>learn__vs_adult__c02</x:v>
      </x:c>
      <x:c r="D351" s="24" t="str">
        <x:v>Trace Entry to Source</x:v>
      </x:c>
      <x:c r="E351" s="24" t="str">
        <x:v>DOT-054, DOT-055</x:v>
      </x:c>
      <x:c r="F351" s="24" t="str">
        <x:v>pooled_alternative_purchase_cohorts</x:v>
      </x:c>
      <x:c r="G351" s="24" t="str"/>
      <x:c r="H351" s="24" t="str">
        <x:v>Same 50-course catalog supports standalone and three-course bundles. Count bundle receipts once, exclude included seats from standalone volume and allocate disjoint cohorts.</x:v>
      </x:c>
    </x:row>
    <x:row r="352" ht="36" hidden="0" customHeight="1">
      <x:c r="A352" s="1"/>
      <x:c r="B352" s="1"/>
      <x:c r="C352" s="23" t="str">
        <x:v>learn__vs_adult__c03</x:v>
      </x:c>
      <x:c r="D352" s="24" t="str">
        <x:v>Tax Source Triage</x:v>
      </x:c>
      <x:c r="E352" s="24" t="str">
        <x:v>DOT-054, DOT-055</x:v>
      </x:c>
      <x:c r="F352" s="24" t="str">
        <x:v>pooled_alternative_purchase_cohorts</x:v>
      </x:c>
      <x:c r="G352" s="24" t="str"/>
      <x:c r="H352" s="24" t="str">
        <x:v>Same 50-course catalog supports standalone and three-course bundles. Count bundle receipts once, exclude included seats from standalone volume and allocate disjoint cohorts.</x:v>
      </x:c>
    </x:row>
    <x:row r="353" ht="36" hidden="0" customHeight="1">
      <x:c r="A353" s="1"/>
      <x:c r="B353" s="1"/>
      <x:c r="C353" s="23" t="str">
        <x:v>learn__vs_adult__sc01</x:v>
      </x:c>
      <x:c r="D353" s="24" t="str">
        <x:v>Design the Falsifier</x:v>
      </x:c>
      <x:c r="E353" s="24" t="str">
        <x:v>DOT-054, DOT-055</x:v>
      </x:c>
      <x:c r="F353" s="24" t="str">
        <x:v>pooled_alternative_purchase_cohorts</x:v>
      </x:c>
      <x:c r="G353" s="24" t="str"/>
      <x:c r="H353" s="24" t="str">
        <x:v>Same 50-course catalog supports standalone and three-course bundles. Count bundle receipts once, exclude included seats from standalone volume and allocate disjoint cohorts.</x:v>
      </x:c>
    </x:row>
    <x:row r="354" ht="36" hidden="0" customHeight="1">
      <x:c r="A354" s="1"/>
      <x:c r="B354" s="1"/>
      <x:c r="C354" s="23" t="str">
        <x:v>learn__vs_adult__sc02</x:v>
      </x:c>
      <x:c r="D354" s="24" t="str">
        <x:v>Reproduce a Measure</x:v>
      </x:c>
      <x:c r="E354" s="24" t="str">
        <x:v>DOT-054, DOT-055</x:v>
      </x:c>
      <x:c r="F354" s="24" t="str">
        <x:v>pooled_alternative_purchase_cohorts</x:v>
      </x:c>
      <x:c r="G354" s="24" t="str"/>
      <x:c r="H354" s="24" t="str">
        <x:v>Same 50-course catalog supports standalone and three-course bundles. Count bundle receipts once, exclude included seats from standalone volume and allocate disjoint cohorts.</x:v>
      </x:c>
    </x:row>
    <x:row r="355" ht="36" hidden="0" customHeight="1">
      <x:c r="A355" s="1"/>
      <x:c r="B355" s="1"/>
      <x:c r="C355" s="23" t="str">
        <x:v>learn__vs_adult__sc03</x:v>
      </x:c>
      <x:c r="D355" s="24" t="str">
        <x:v>Separate Cause From Association</x:v>
      </x:c>
      <x:c r="E355" s="24" t="str">
        <x:v>DOT-054, DOT-055</x:v>
      </x:c>
      <x:c r="F355" s="24" t="str">
        <x:v>pooled_alternative_purchase_cohorts</x:v>
      </x:c>
      <x:c r="G355" s="24" t="str"/>
      <x:c r="H355" s="24" t="str">
        <x:v>Same 50-course catalog supports standalone and three-course bundles. Count bundle receipts once, exclude included seats from standalone volume and allocate disjoint cohorts.</x:v>
      </x:c>
    </x:row>
    <x:row r="356" ht="36" hidden="0" customHeight="1">
      <x:c r="A356" s="1"/>
      <x:c r="B356" s="1"/>
      <x:c r="C356" s="23" t="str">
        <x:v>learn__vs_adult__v01</x:v>
      </x:c>
      <x:c r="D356" s="24" t="str">
        <x:v>Design a Readable Choice</x:v>
      </x:c>
      <x:c r="E356" s="24" t="str">
        <x:v>DOT-054, DOT-055</x:v>
      </x:c>
      <x:c r="F356" s="24" t="str">
        <x:v>pooled_alternative_purchase_cohorts</x:v>
      </x:c>
      <x:c r="G356" s="24" t="str"/>
      <x:c r="H356" s="24" t="str">
        <x:v>Same 50-course catalog supports standalone and three-course bundles. Count bundle receipts once, exclude included seats from standalone volume and allocate disjoint cohorts.</x:v>
      </x:c>
    </x:row>
    <x:row r="357" ht="36" hidden="0" customHeight="1">
      <x:c r="A357" s="1"/>
      <x:c r="B357" s="1"/>
      <x:c r="C357" s="23" t="str">
        <x:v>learn__vs_adult__v02</x:v>
      </x:c>
      <x:c r="D357" s="24" t="str">
        <x:v>Contrast in Context</x:v>
      </x:c>
      <x:c r="E357" s="24" t="str">
        <x:v>DOT-054, DOT-055</x:v>
      </x:c>
      <x:c r="F357" s="24" t="str">
        <x:v>pooled_alternative_purchase_cohorts</x:v>
      </x:c>
      <x:c r="G357" s="24" t="str"/>
      <x:c r="H357" s="24" t="str">
        <x:v>Same 50-course catalog supports standalone and three-course bundles. Count bundle receipts once, exclude included seats from standalone volume and allocate disjoint cohorts.</x:v>
      </x:c>
    </x:row>
    <x:row r="358" ht="36" hidden="0" customHeight="1">
      <x:c r="A358" s="1"/>
      <x:c r="B358" s="1"/>
      <x:c r="C358" s="23" t="str">
        <x:v>learn__vs_adult__v03</x:v>
      </x:c>
      <x:c r="D358" s="24" t="str">
        <x:v>Diagram an Argument</x:v>
      </x:c>
      <x:c r="E358" s="24" t="str">
        <x:v>DOT-054, DOT-055</x:v>
      </x:c>
      <x:c r="F358" s="24" t="str">
        <x:v>pooled_alternative_purchase_cohorts</x:v>
      </x:c>
      <x:c r="G358" s="24" t="str"/>
      <x:c r="H358" s="24" t="str">
        <x:v>Same 50-course catalog supports standalone and three-course bundles. Count bundle receipts once, exclude included seats from standalone volume and allocate disjoint cohorts.</x:v>
      </x:c>
    </x:row>
    <x:row r="359" ht="36" hidden="0" customHeight="1">
      <x:c r="A359" s="1"/>
      <x:c r="B359" s="1"/>
      <x:c r="C359" s="23" t="str">
        <x:v>learn__vs_adult__m01</x:v>
      </x:c>
      <x:c r="D359" s="24" t="str">
        <x:v>Map the Signal</x:v>
      </x:c>
      <x:c r="E359" s="24" t="str">
        <x:v>DOT-054, DOT-055</x:v>
      </x:c>
      <x:c r="F359" s="24" t="str">
        <x:v>pooled_alternative_purchase_cohorts</x:v>
      </x:c>
      <x:c r="G359" s="24" t="str"/>
      <x:c r="H359" s="24" t="str">
        <x:v>Same 50-course catalog supports standalone and three-course bundles. Count bundle receipts once, exclude included seats from standalone volume and allocate disjoint cohorts.</x:v>
      </x:c>
    </x:row>
    <x:row r="360" ht="36" hidden="0" customHeight="1">
      <x:c r="A360" s="1"/>
      <x:c r="B360" s="1"/>
      <x:c r="C360" s="23" t="str">
        <x:v>learn__vs_adult__m02</x:v>
      </x:c>
      <x:c r="D360" s="24" t="str">
        <x:v>Separate Noise and Evidence</x:v>
      </x:c>
      <x:c r="E360" s="24" t="str">
        <x:v>DOT-054, DOT-055</x:v>
      </x:c>
      <x:c r="F360" s="24" t="str">
        <x:v>pooled_alternative_purchase_cohorts</x:v>
      </x:c>
      <x:c r="G360" s="24" t="str"/>
      <x:c r="H360" s="24" t="str">
        <x:v>Same 50-course catalog supports standalone and three-course bundles. Count bundle receipts once, exclude included seats from standalone volume and allocate disjoint cohorts.</x:v>
      </x:c>
    </x:row>
    <x:row r="361" ht="36" hidden="0" customHeight="1">
      <x:c r="A361" s="1"/>
      <x:c r="B361" s="1"/>
      <x:c r="C361" s="23" t="str">
        <x:v>learn__vs_adult__o01</x:v>
      </x:c>
      <x:c r="D361" s="24" t="str">
        <x:v>Find the Failure Point</x:v>
      </x:c>
      <x:c r="E361" s="24" t="str">
        <x:v>DOT-054, DOT-055</x:v>
      </x:c>
      <x:c r="F361" s="24" t="str">
        <x:v>pooled_alternative_purchase_cohorts</x:v>
      </x:c>
      <x:c r="G361" s="24" t="str"/>
      <x:c r="H361" s="24" t="str">
        <x:v>Same 50-course catalog supports standalone and three-course bundles. Count bundle receipts once, exclude included seats from standalone volume and allocate disjoint cohorts.</x:v>
      </x:c>
    </x:row>
    <x:row r="362" ht="36" hidden="0" customHeight="1">
      <x:c r="A362" s="1"/>
      <x:c r="B362" s="1"/>
      <x:c r="C362" s="23" t="str">
        <x:v>learn__vs_adult__o02</x:v>
      </x:c>
      <x:c r="D362" s="24" t="str">
        <x:v>Test a Capacity Bottleneck</x:v>
      </x:c>
      <x:c r="E362" s="24" t="str">
        <x:v>DOT-054, DOT-055</x:v>
      </x:c>
      <x:c r="F362" s="24" t="str">
        <x:v>pooled_alternative_purchase_cohorts</x:v>
      </x:c>
      <x:c r="G362" s="24" t="str"/>
      <x:c r="H362" s="24" t="str">
        <x:v>Same 50-course catalog supports standalone and three-course bundles. Count bundle receipts once, exclude included seats from standalone volume and allocate disjoint cohorts.</x:v>
      </x:c>
    </x:row>
    <x:row r="363" ht="36" hidden="0" customHeight="1">
      <x:c r="A363" s="1"/>
      <x:c r="B363" s="1"/>
      <x:c r="C363" s="23" t="str">
        <x:v>learn__vs_adult__o03</x:v>
      </x:c>
      <x:c r="D363" s="24" t="str">
        <x:v>Escalate With Evidence</x:v>
      </x:c>
      <x:c r="E363" s="24" t="str">
        <x:v>DOT-054, DOT-055</x:v>
      </x:c>
      <x:c r="F363" s="24" t="str">
        <x:v>pooled_alternative_purchase_cohorts</x:v>
      </x:c>
      <x:c r="G363" s="24" t="str"/>
      <x:c r="H363" s="24" t="str">
        <x:v>Same 50-course catalog supports standalone and three-course bundles. Count bundle receipts once, exclude included seats from standalone volume and allocate disjoint cohorts.</x:v>
      </x:c>
    </x:row>
    <x:row r="364" ht="36" hidden="0" customHeight="1">
      <x:c r="A364" s="1"/>
      <x:c r="B364" s="1"/>
      <x:c r="C364" s="23" t="str">
        <x:v>learn__vs_adult__g01</x:v>
      </x:c>
      <x:c r="D364" s="24" t="str">
        <x:v>Separate Decision Rights</x:v>
      </x:c>
      <x:c r="E364" s="24" t="str">
        <x:v>DOT-054, DOT-055</x:v>
      </x:c>
      <x:c r="F364" s="24" t="str">
        <x:v>pooled_alternative_purchase_cohorts</x:v>
      </x:c>
      <x:c r="G364" s="24" t="str"/>
      <x:c r="H364" s="24" t="str">
        <x:v>Same 50-course catalog supports standalone and three-course bundles. Count bundle receipts once, exclude included seats from standalone volume and allocate disjoint cohorts.</x:v>
      </x:c>
    </x:row>
    <x:row r="365" ht="36" hidden="0" customHeight="1">
      <x:c r="A365" s="1"/>
      <x:c r="B365" s="1"/>
      <x:c r="C365" s="23" t="str">
        <x:v>learn__vs_adult__g02</x:v>
      </x:c>
      <x:c r="D365" s="24" t="str">
        <x:v>Evidence a Control</x:v>
      </x:c>
      <x:c r="E365" s="24" t="str">
        <x:v>DOT-054, DOT-055</x:v>
      </x:c>
      <x:c r="F365" s="24" t="str">
        <x:v>pooled_alternative_purchase_cohorts</x:v>
      </x:c>
      <x:c r="G365" s="24" t="str"/>
      <x:c r="H365" s="24" t="str">
        <x:v>Same 50-course catalog supports standalone and three-course bundles. Count bundle receipts once, exclude included seats from standalone volume and allocate disjoint cohorts.</x:v>
      </x:c>
    </x:row>
    <x:row r="366" ht="36" hidden="0" customHeight="1">
      <x:c r="A366" s="1"/>
      <x:c r="B366" s="1"/>
      <x:c r="C366" s="23" t="str">
        <x:v>learn__vs_adult__g03</x:v>
      </x:c>
      <x:c r="D366" s="24" t="str">
        <x:v>Challenge an Exception</x:v>
      </x:c>
      <x:c r="E366" s="24" t="str">
        <x:v>DOT-054, DOT-055</x:v>
      </x:c>
      <x:c r="F366" s="24" t="str">
        <x:v>pooled_alternative_purchase_cohorts</x:v>
      </x:c>
      <x:c r="G366" s="24" t="str"/>
      <x:c r="H366" s="24" t="str">
        <x:v>Same 50-course catalog supports standalone and three-course bundles. Count bundle receipts once, exclude included seats from standalone volume and allocate disjoint cohorts.</x:v>
      </x:c>
    </x:row>
    <x:row r="367" ht="36" hidden="0" customHeight="1">
      <x:c r="A367" s="1"/>
      <x:c r="B367" s="1"/>
      <x:c r="C367" s="23" t="str">
        <x:v>learn__vs_adult__l01</x:v>
      </x:c>
      <x:c r="D367" s="24" t="str">
        <x:v>L’objection mesurée — French</x:v>
      </x:c>
      <x:c r="E367" s="24" t="str">
        <x:v>DOT-054, DOT-055</x:v>
      </x:c>
      <x:c r="F367" s="24" t="str">
        <x:v>pooled_alternative_purchase_cohorts</x:v>
      </x:c>
      <x:c r="G367" s="24" t="str"/>
      <x:c r="H367" s="24" t="str">
        <x:v>Same 50-course catalog supports standalone and three-course bundles. Count bundle receipts once, exclude included seats from standalone volume and allocate disjoint cohorts.</x:v>
      </x:c>
    </x:row>
    <x:row r="368" ht="36" hidden="0" customHeight="1">
      <x:c r="A368" s="1"/>
      <x:c r="B368" s="1"/>
      <x:c r="C368" s="23" t="str">
        <x:v>learn__vs_adult__l02</x:v>
      </x:c>
      <x:c r="D368" s="24" t="str">
        <x:v>The qualified decision brief — English</x:v>
      </x:c>
      <x:c r="E368" s="24" t="str">
        <x:v>DOT-054, DOT-055</x:v>
      </x:c>
      <x:c r="F368" s="24" t="str">
        <x:v>pooled_alternative_purchase_cohorts</x:v>
      </x:c>
      <x:c r="G368" s="24" t="str"/>
      <x:c r="H368" s="24" t="str">
        <x:v>Same 50-course catalog supports standalone and three-course bundles. Count bundle receipts once, exclude included seats from standalone volume and allocate disjoint cohorts.</x:v>
      </x:c>
    </x:row>
    <x:row r="369" ht="36" hidden="0" customHeight="1">
      <x:c r="A369" s="1"/>
      <x:c r="B369" s="1"/>
      <x:c r="C369" s="23" t="str">
        <x:v>learn__vs_adult__l03</x:v>
      </x:c>
      <x:c r="D369" s="24" t="str">
        <x:v>Aclarar antes de aprobar — Spanish</x:v>
      </x:c>
      <x:c r="E369" s="24" t="str">
        <x:v>DOT-054, DOT-055</x:v>
      </x:c>
      <x:c r="F369" s="24" t="str">
        <x:v>pooled_alternative_purchase_cohorts</x:v>
      </x:c>
      <x:c r="G369" s="24" t="str"/>
      <x:c r="H369" s="24" t="str">
        <x:v>Same 50-course catalog supports standalone and three-course bundles. Count bundle receipts once, exclude included seats from standalone volume and allocate disjoint cohorts.</x:v>
      </x:c>
    </x:row>
    <x:row r="370" ht="36" hidden="0" customHeight="1">
      <x:c r="A370" s="1"/>
      <x:c r="B370" s="1"/>
      <x:c r="C370" s="23" t="str">
        <x:v>learn__vs_adult__l04</x:v>
      </x:c>
      <x:c r="D370" s="24" t="str">
        <x:v>Request a Reason — German</x:v>
      </x:c>
      <x:c r="E370" s="24" t="str">
        <x:v>DOT-054, DOT-055</x:v>
      </x:c>
      <x:c r="F370" s="24" t="str">
        <x:v>pooled_alternative_purchase_cohorts</x:v>
      </x:c>
      <x:c r="G370" s="24" t="str"/>
      <x:c r="H370" s="24" t="str">
        <x:v>Same 50-course catalog supports standalone and three-course bundles. Count bundle receipts once, exclude included seats from standalone volume and allocate disjoint cohorts.</x:v>
      </x:c>
    </x:row>
    <x:row r="371" ht="36" hidden="0" customHeight="1">
      <x:c r="A371" s="1"/>
      <x:c r="B371" s="1"/>
      <x:c r="C371" s="23" t="str">
        <x:v>learn__vs_adult__l05</x:v>
      </x:c>
      <x:c r="D371" s="24" t="str">
        <x:v>Clarify a Decision — Portuguese</x:v>
      </x:c>
      <x:c r="E371" s="24" t="str">
        <x:v>DOT-054, DOT-055</x:v>
      </x:c>
      <x:c r="F371" s="24" t="str">
        <x:v>pooled_alternative_purchase_cohorts</x:v>
      </x:c>
      <x:c r="G371" s="24" t="str"/>
      <x:c r="H371" s="24" t="str">
        <x:v>Same 50-course catalog supports standalone and three-course bundles. Count bundle receipts once, exclude included seats from standalone volume and allocate disjoint cohorts.</x:v>
      </x:c>
    </x:row>
    <x:row r="372" ht="36" hidden="0" customHeight="1">
      <x:c r="A372" s="1"/>
      <x:c r="B372" s="1"/>
      <x:c r="C372" s="23" t="str">
        <x:v>learn__vs_adult__l06</x:v>
      </x:c>
      <x:c r="D372" s="24" t="str">
        <x:v>Nuancer une incertitude — French</x:v>
      </x:c>
      <x:c r="E372" s="24" t="str">
        <x:v>DOT-054, DOT-055</x:v>
      </x:c>
      <x:c r="F372" s="24" t="str">
        <x:v>pooled_alternative_purchase_cohorts</x:v>
      </x:c>
      <x:c r="G372" s="24" t="str"/>
      <x:c r="H372" s="24" t="str">
        <x:v>Same 50-course catalog supports standalone and three-course bundles. Count bundle receipts once, exclude included seats from standalone volume and allocate disjoint cohorts.</x:v>
      </x:c>
    </x:row>
    <x:row r="373" ht="36" hidden="0" customHeight="1">
      <x:c r="A373" s="1"/>
      <x:c r="B373" s="1"/>
      <x:c r="C373" s="23" t="str">
        <x:v>learn__vs_adult__l07</x:v>
      </x:c>
      <x:c r="D373" s="24" t="str">
        <x:v>Négocier la portée — French</x:v>
      </x:c>
      <x:c r="E373" s="24" t="str">
        <x:v>DOT-054, DOT-055</x:v>
      </x:c>
      <x:c r="F373" s="24" t="str">
        <x:v>pooled_alternative_purchase_cohorts</x:v>
      </x:c>
      <x:c r="G373" s="24" t="str"/>
      <x:c r="H373" s="24" t="str">
        <x:v>Same 50-course catalog supports standalone and three-course bundles. Count bundle receipts once, exclude included seats from standalone volume and allocate disjoint cohorts.</x:v>
      </x:c>
    </x:row>
    <x:row r="374" ht="36" hidden="0" customHeight="1">
      <x:c r="A374" s="1"/>
      <x:c r="B374" s="1"/>
      <x:c r="C374" s="23" t="str">
        <x:v>learn__vs_adult__l08</x:v>
      </x:c>
      <x:c r="D374" s="24" t="str">
        <x:v>Synthétiser l'objection — French</x:v>
      </x:c>
      <x:c r="E374" s="24" t="str">
        <x:v>DOT-054, DOT-055</x:v>
      </x:c>
      <x:c r="F374" s="24" t="str">
        <x:v>pooled_alternative_purchase_cohorts</x:v>
      </x:c>
      <x:c r="G374" s="24" t="str"/>
      <x:c r="H374" s="24" t="str">
        <x:v>Same 50-course catalog supports standalone and three-course bundles. Count bundle receipts once, exclude included seats from standalone volume and allocate disjoint cohorts.</x:v>
      </x:c>
    </x:row>
    <x:row r="375" ht="36" hidden="0" customHeight="1">
      <x:c r="A375" s="1"/>
      <x:c r="B375" s="1"/>
      <x:c r="C375" s="23" t="str">
        <x:v>learn__vs_adult__l09</x:v>
      </x:c>
      <x:c r="D375" s="24" t="str">
        <x:v>Qualify the Claim — English</x:v>
      </x:c>
      <x:c r="E375" s="24" t="str">
        <x:v>DOT-054, DOT-055</x:v>
      </x:c>
      <x:c r="F375" s="24" t="str">
        <x:v>pooled_alternative_purchase_cohorts</x:v>
      </x:c>
      <x:c r="G375" s="24" t="str"/>
      <x:c r="H375" s="24" t="str">
        <x:v>Same 50-course catalog supports standalone and three-course bundles. Count bundle receipts once, exclude included seats from standalone volume and allocate disjoint cohorts.</x:v>
      </x:c>
    </x:row>
    <x:row r="376" ht="36" hidden="0" customHeight="1">
      <x:c r="A376" s="1"/>
      <x:c r="B376" s="1"/>
      <x:c r="C376" s="23" t="str">
        <x:v>learn__vs_adult__l10</x:v>
      </x:c>
      <x:c r="D376" s="24" t="str">
        <x:v>Ask for Evidence — English</x:v>
      </x:c>
      <x:c r="E376" s="24" t="str">
        <x:v>DOT-054, DOT-055</x:v>
      </x:c>
      <x:c r="F376" s="24" t="str">
        <x:v>pooled_alternative_purchase_cohorts</x:v>
      </x:c>
      <x:c r="G376" s="24" t="str"/>
      <x:c r="H376" s="24" t="str">
        <x:v>Same 50-course catalog supports standalone and three-course bundles. Count bundle receipts once, exclude included seats from standalone volume and allocate disjoint cohorts.</x:v>
      </x:c>
    </x:row>
    <x:row r="377" ht="36" hidden="0" customHeight="1">
      <x:c r="A377" s="1"/>
      <x:c r="B377" s="1"/>
      <x:c r="C377" s="23" t="str">
        <x:v>learn__vs_adult__l11</x:v>
      </x:c>
      <x:c r="D377" s="24" t="str">
        <x:v>Write a Decision Note — English</x:v>
      </x:c>
      <x:c r="E377" s="24" t="str">
        <x:v>DOT-054, DOT-055</x:v>
      </x:c>
      <x:c r="F377" s="24" t="str">
        <x:v>pooled_alternative_purchase_cohorts</x:v>
      </x:c>
      <x:c r="G377" s="24" t="str"/>
      <x:c r="H377" s="24" t="str">
        <x:v>Same 50-course catalog supports standalone and three-course bundles. Count bundle receipts once, exclude included seats from standalone volume and allocate disjoint cohorts.</x:v>
      </x:c>
    </x:row>
    <x:row r="378" ht="36" hidden="0" customHeight="1">
      <x:c r="A378" s="1"/>
      <x:c r="B378" s="1"/>
      <x:c r="C378" s="23" t="str">
        <x:v>learn__vs_adult__l12</x:v>
      </x:c>
      <x:c r="D378" s="24" t="str">
        <x:v>Escalar un riesgo — Spanish</x:v>
      </x:c>
      <x:c r="E378" s="24" t="str">
        <x:v>DOT-054, DOT-055</x:v>
      </x:c>
      <x:c r="F378" s="24" t="str">
        <x:v>pooled_alternative_purchase_cohorts</x:v>
      </x:c>
      <x:c r="G378" s="24" t="str"/>
      <x:c r="H378" s="24" t="str">
        <x:v>Same 50-course catalog supports standalone and three-course bundles. Count bundle receipts once, exclude included seats from standalone volume and allocate disjoint cohorts.</x:v>
      </x:c>
    </x:row>
    <x:row r="379" ht="36" hidden="0" customHeight="1">
      <x:c r="A379" s="1"/>
      <x:c r="B379" s="1"/>
      <x:c r="C379" s="23" t="str">
        <x:v>learn__vs_adult__l13</x:v>
      </x:c>
      <x:c r="D379" s="24" t="str">
        <x:v>Acordar el plazo — Spanish</x:v>
      </x:c>
      <x:c r="E379" s="24" t="str">
        <x:v>DOT-054, DOT-055</x:v>
      </x:c>
      <x:c r="F379" s="24" t="str">
        <x:v>pooled_alternative_purchase_cohorts</x:v>
      </x:c>
      <x:c r="G379" s="24" t="str"/>
      <x:c r="H379" s="24" t="str">
        <x:v>Same 50-course catalog supports standalone and three-course bundles. Count bundle receipts once, exclude included seats from standalone volume and allocate disjoint cohorts.</x:v>
      </x:c>
    </x:row>
    <x:row r="380" ht="36" hidden="0" customHeight="1">
      <x:c r="A380" s="1"/>
      <x:c r="B380" s="1"/>
      <x:c r="C380" s="23" t="str">
        <x:v>learn__vs_adult__l14</x:v>
      </x:c>
      <x:c r="D380" s="24" t="str">
        <x:v>Comparar alternativas — Spanish</x:v>
      </x:c>
      <x:c r="E380" s="24" t="str">
        <x:v>DOT-054, DOT-055</x:v>
      </x:c>
      <x:c r="F380" s="24" t="str">
        <x:v>pooled_alternative_purchase_cohorts</x:v>
      </x:c>
      <x:c r="G380" s="24" t="str"/>
      <x:c r="H380" s="24" t="str">
        <x:v>Same 50-course catalog supports standalone and three-course bundles. Count bundle receipts once, exclude included seats from standalone volume and allocate disjoint cohorts.</x:v>
      </x:c>
    </x:row>
    <x:row r="381" ht="36" hidden="0" customHeight="1">
      <x:c r="A381" s="1"/>
      <x:c r="B381" s="1"/>
      <x:c r="C381" s="23" t="str">
        <x:v>learn__vs_adult__l15</x:v>
      </x:c>
      <x:c r="D381" s="24" t="str">
        <x:v>Bound a Claim — German</x:v>
      </x:c>
      <x:c r="E381" s="24" t="str">
        <x:v>DOT-054, DOT-055</x:v>
      </x:c>
      <x:c r="F381" s="24" t="str">
        <x:v>pooled_alternative_purchase_cohorts</x:v>
      </x:c>
      <x:c r="G381" s="24" t="str"/>
      <x:c r="H381" s="24" t="str">
        <x:v>Same 50-course catalog supports standalone and three-course bundles. Count bundle receipts once, exclude included seats from standalone volume and allocate disjoint cohorts.</x:v>
      </x:c>
    </x:row>
    <x:row r="382" ht="36" hidden="0" customHeight="1">
      <x:c r="A382" s="1"/>
      <x:c r="B382" s="1"/>
      <x:c r="C382" s="23" t="str">
        <x:v>learn__vs_adult__l16</x:v>
      </x:c>
      <x:c r="D382" s="24" t="str">
        <x:v>Record a Decision — German</x:v>
      </x:c>
      <x:c r="E382" s="24" t="str">
        <x:v>DOT-054, DOT-055</x:v>
      </x:c>
      <x:c r="F382" s="24" t="str">
        <x:v>pooled_alternative_purchase_cohorts</x:v>
      </x:c>
      <x:c r="G382" s="24" t="str"/>
      <x:c r="H382" s="24" t="str">
        <x:v>Same 50-course catalog supports standalone and three-course bundles. Count bundle receipts once, exclude included seats from standalone volume and allocate disjoint cohorts.</x:v>
      </x:c>
    </x:row>
    <x:row r="383" ht="36" hidden="0" customHeight="1">
      <x:c r="A383" s="1"/>
      <x:c r="B383" s="1"/>
      <x:c r="C383" s="23" t="str">
        <x:v>learn__vs_adult__l17</x:v>
      </x:c>
      <x:c r="D383" s="24" t="str">
        <x:v>Ask for Evidence — Portuguese</x:v>
      </x:c>
      <x:c r="E383" s="24" t="str">
        <x:v>DOT-054, DOT-055</x:v>
      </x:c>
      <x:c r="F383" s="24" t="str">
        <x:v>pooled_alternative_purchase_cohorts</x:v>
      </x:c>
      <x:c r="G383" s="24" t="str"/>
      <x:c r="H383" s="24" t="str">
        <x:v>Same 50-course catalog supports standalone and three-course bundles. Count bundle receipts once, exclude included seats from standalone volume and allocate disjoint cohorts.</x:v>
      </x:c>
    </x:row>
    <x:row r="384" ht="36" hidden="0" customHeight="1">
      <x:c r="A384" s="1"/>
      <x:c r="B384" s="1"/>
      <x:c r="C384" s="23" t="str">
        <x:v>learn__vs_adult__l18</x:v>
      </x:c>
      <x:c r="D384" s="24" t="str">
        <x:v>Resolve an Exception — Portuguese</x:v>
      </x:c>
      <x:c r="E384" s="24" t="str">
        <x:v>DOT-054, DOT-055</x:v>
      </x:c>
      <x:c r="F384" s="24" t="str">
        <x:v>pooled_alternative_purchase_cohorts</x:v>
      </x:c>
      <x:c r="G384" s="24" t="str"/>
      <x:c r="H384" s="24" t="str">
        <x:v>Same 50-course catalog supports standalone and three-course bundles. Count bundle receipts once, exclude included seats from standalone volume and allocate disjoint cohorts.</x:v>
      </x:c>
    </x:row>
    <x:row r="385" ht="24" hidden="0" customHeight="1">
      <x:c r="A385" s="1"/>
      <x:c r="B385" s="1"/>
      <x:c r="C385" s="23" t="str">
        <x:v>learn__vs_teen__t01</x:v>
      </x:c>
      <x:c r="D385" s="24" t="str">
        <x:v>The Signal &amp; the Voice</x:v>
      </x:c>
      <x:c r="E385" s="24" t="str">
        <x:v>DOT-056</x:v>
      </x:c>
      <x:c r="F385" s="24" t="str">
        <x:v>pooled_catalog_family</x:v>
      </x:c>
      <x:c r="G385" s="24" t="str"/>
      <x:c r="H385" s="24" t="str">
        <x:v>50 teen units represented by one guardian-purchase pool; no per-title sales mix is established.</x:v>
      </x:c>
    </x:row>
    <x:row r="386" ht="24" hidden="0" customHeight="1">
      <x:c r="A386" s="1"/>
      <x:c r="B386" s="1"/>
      <x:c r="C386" s="23" t="str">
        <x:v>learn__vs_teen__t02</x:v>
      </x:c>
      <x:c r="D386" s="24" t="str">
        <x:v>Ask Before Deciding</x:v>
      </x:c>
      <x:c r="E386" s="24" t="str">
        <x:v>DOT-056</x:v>
      </x:c>
      <x:c r="F386" s="24" t="str">
        <x:v>pooled_catalog_family</x:v>
      </x:c>
      <x:c r="G386" s="24" t="str"/>
      <x:c r="H386" s="24" t="str">
        <x:v>50 teen units represented by one guardian-purchase pool; no per-title sales mix is established.</x:v>
      </x:c>
    </x:row>
    <x:row r="387" ht="24" hidden="0" customHeight="1">
      <x:c r="A387" s="1"/>
      <x:c r="B387" s="1"/>
      <x:c r="C387" s="23" t="str">
        <x:v>learn__vs_teen__t03</x:v>
      </x:c>
      <x:c r="D387" s="24" t="str">
        <x:v>Find the Key Detail</x:v>
      </x:c>
      <x:c r="E387" s="24" t="str">
        <x:v>DOT-056</x:v>
      </x:c>
      <x:c r="F387" s="24" t="str">
        <x:v>pooled_catalog_family</x:v>
      </x:c>
      <x:c r="G387" s="24" t="str"/>
      <x:c r="H387" s="24" t="str">
        <x:v>50 teen units represented by one guardian-purchase pool; no per-title sales mix is established.</x:v>
      </x:c>
    </x:row>
    <x:row r="388" ht="24" hidden="0" customHeight="1">
      <x:c r="A388" s="1"/>
      <x:c r="B388" s="1"/>
      <x:c r="C388" s="23" t="str">
        <x:v>learn__vs_teen__t04</x:v>
      </x:c>
      <x:c r="D388" s="24" t="str">
        <x:v>Compare Two Accounts</x:v>
      </x:c>
      <x:c r="E388" s="24" t="str">
        <x:v>DOT-056</x:v>
      </x:c>
      <x:c r="F388" s="24" t="str">
        <x:v>pooled_catalog_family</x:v>
      </x:c>
      <x:c r="G388" s="24" t="str"/>
      <x:c r="H388" s="24" t="str">
        <x:v>50 teen units represented by one guardian-purchase pool; no per-title sales mix is established.</x:v>
      </x:c>
    </x:row>
    <x:row r="389" ht="24" hidden="0" customHeight="1">
      <x:c r="A389" s="1"/>
      <x:c r="B389" s="1"/>
      <x:c r="C389" s="23" t="str">
        <x:v>learn__vs_teen__t05</x:v>
      </x:c>
      <x:c r="D389" s="24" t="str">
        <x:v>Describe and Clarify</x:v>
      </x:c>
      <x:c r="E389" s="24" t="str">
        <x:v>DOT-056</x:v>
      </x:c>
      <x:c r="F389" s="24" t="str">
        <x:v>pooled_catalog_family</x:v>
      </x:c>
      <x:c r="G389" s="24" t="str"/>
      <x:c r="H389" s="24" t="str">
        <x:v>50 teen units represented by one guardian-purchase pool; no per-title sales mix is established.</x:v>
      </x:c>
    </x:row>
    <x:row r="390" ht="24" hidden="0" customHeight="1">
      <x:c r="A390" s="1"/>
      <x:c r="B390" s="1"/>
      <x:c r="C390" s="23" t="str">
        <x:v>learn__vs_teen__t06</x:v>
      </x:c>
      <x:c r="D390" s="24" t="str">
        <x:v>Decode the Inscription</x:v>
      </x:c>
      <x:c r="E390" s="24" t="str">
        <x:v>DOT-056</x:v>
      </x:c>
      <x:c r="F390" s="24" t="str">
        <x:v>pooled_catalog_family</x:v>
      </x:c>
      <x:c r="G390" s="24" t="str"/>
      <x:c r="H390" s="24" t="str">
        <x:v>50 teen units represented by one guardian-purchase pool; no per-title sales mix is established.</x:v>
      </x:c>
    </x:row>
    <x:row r="391" ht="24" hidden="0" customHeight="1">
      <x:c r="A391" s="1"/>
      <x:c r="B391" s="1"/>
      <x:c r="C391" s="23" t="str">
        <x:v>learn__vs_teen__t07</x:v>
      </x:c>
      <x:c r="D391" s="24" t="str">
        <x:v>Who Was Counted?</x:v>
      </x:c>
      <x:c r="E391" s="24" t="str">
        <x:v>DOT-056</x:v>
      </x:c>
      <x:c r="F391" s="24" t="str">
        <x:v>pooled_catalog_family</x:v>
      </x:c>
      <x:c r="G391" s="24" t="str"/>
      <x:c r="H391" s="24" t="str">
        <x:v>50 teen units represented by one guardian-purchase pool; no per-title sales mix is established.</x:v>
      </x:c>
    </x:row>
    <x:row r="392" ht="24" hidden="0" customHeight="1">
      <x:c r="A392" s="1"/>
      <x:c r="B392" s="1"/>
      <x:c r="C392" s="23" t="str">
        <x:v>learn__vs_teen__t08</x:v>
      </x:c>
      <x:c r="D392" s="24" t="str">
        <x:v>Read the Route</x:v>
      </x:c>
      <x:c r="E392" s="24" t="str">
        <x:v>DOT-056</x:v>
      </x:c>
      <x:c r="F392" s="24" t="str">
        <x:v>pooled_catalog_family</x:v>
      </x:c>
      <x:c r="G392" s="24" t="str"/>
      <x:c r="H392" s="24" t="str">
        <x:v>50 teen units represented by one guardian-purchase pool; no per-title sales mix is established.</x:v>
      </x:c>
    </x:row>
    <x:row r="393" ht="24" hidden="0" customHeight="1">
      <x:c r="A393" s="1"/>
      <x:c r="B393" s="1"/>
      <x:c r="C393" s="23" t="str">
        <x:v>learn__vs_teen__t09</x:v>
      </x:c>
      <x:c r="D393" s="24" t="str">
        <x:v>Test the Rival Idea</x:v>
      </x:c>
      <x:c r="E393" s="24" t="str">
        <x:v>DOT-056</x:v>
      </x:c>
      <x:c r="F393" s="24" t="str">
        <x:v>pooled_catalog_family</x:v>
      </x:c>
      <x:c r="G393" s="24" t="str"/>
      <x:c r="H393" s="24" t="str">
        <x:v>50 teen units represented by one guardian-purchase pool; no per-title sales mix is established.</x:v>
      </x:c>
    </x:row>
    <x:row r="394" ht="24" hidden="0" customHeight="1">
      <x:c r="A394" s="1"/>
      <x:c r="B394" s="1"/>
      <x:c r="C394" s="23" t="str">
        <x:v>learn__vs_teen__t10</x:v>
      </x:c>
      <x:c r="D394" s="24" t="str">
        <x:v>State a Boundary</x:v>
      </x:c>
      <x:c r="E394" s="24" t="str">
        <x:v>DOT-056</x:v>
      </x:c>
      <x:c r="F394" s="24" t="str">
        <x:v>pooled_catalog_family</x:v>
      </x:c>
      <x:c r="G394" s="24" t="str"/>
      <x:c r="H394" s="24" t="str">
        <x:v>50 teen units represented by one guardian-purchase pool; no per-title sales mix is established.</x:v>
      </x:c>
    </x:row>
    <x:row r="395" ht="24" hidden="0" customHeight="1">
      <x:c r="A395" s="1"/>
      <x:c r="B395" s="1"/>
      <x:c r="C395" s="23" t="str">
        <x:v>learn__vs_teen__t11</x:v>
      </x:c>
      <x:c r="D395" s="24" t="str">
        <x:v>Read Between the Lines</x:v>
      </x:c>
      <x:c r="E395" s="24" t="str">
        <x:v>DOT-056</x:v>
      </x:c>
      <x:c r="F395" s="24" t="str">
        <x:v>pooled_catalog_family</x:v>
      </x:c>
      <x:c r="G395" s="24" t="str"/>
      <x:c r="H395" s="24" t="str">
        <x:v>50 teen units represented by one guardian-purchase pool; no per-title sales mix is established.</x:v>
      </x:c>
    </x:row>
    <x:row r="396" ht="24" hidden="0" customHeight="1">
      <x:c r="A396" s="1"/>
      <x:c r="B396" s="1"/>
      <x:c r="C396" s="23" t="str">
        <x:v>learn__vs_teen__t12</x:v>
      </x:c>
      <x:c r="D396" s="24" t="str">
        <x:v>Nuancer une incertitude</x:v>
      </x:c>
      <x:c r="E396" s="24" t="str">
        <x:v>DOT-056</x:v>
      </x:c>
      <x:c r="F396" s="24" t="str">
        <x:v>pooled_catalog_family</x:v>
      </x:c>
      <x:c r="G396" s="24" t="str"/>
      <x:c r="H396" s="24" t="str">
        <x:v>50 teen units represented by one guardian-purchase pool; no per-title sales mix is established.</x:v>
      </x:c>
    </x:row>
    <x:row r="397" ht="24" hidden="0" customHeight="1">
      <x:c r="A397" s="1"/>
      <x:c r="B397" s="1"/>
      <x:c r="C397" s="23" t="str">
        <x:v>learn__vs_teen__t13</x:v>
      </x:c>
      <x:c r="D397" s="24" t="str">
        <x:v>Draw the Evidence</x:v>
      </x:c>
      <x:c r="E397" s="24" t="str">
        <x:v>DOT-056</x:v>
      </x:c>
      <x:c r="F397" s="24" t="str">
        <x:v>pooled_catalog_family</x:v>
      </x:c>
      <x:c r="G397" s="24" t="str"/>
      <x:c r="H397" s="24" t="str">
        <x:v>50 teen units represented by one guardian-purchase pool; no per-title sales mix is established.</x:v>
      </x:c>
    </x:row>
    <x:row r="398" ht="24" hidden="0" customHeight="1">
      <x:c r="A398" s="1"/>
      <x:c r="B398" s="1"/>
      <x:c r="C398" s="23" t="str">
        <x:v>learn__vs_teen__t14</x:v>
      </x:c>
      <x:c r="D398" s="24" t="str">
        <x:v>Ratios in the Real World</x:v>
      </x:c>
      <x:c r="E398" s="24" t="str">
        <x:v>DOT-056</x:v>
      </x:c>
      <x:c r="F398" s="24" t="str">
        <x:v>pooled_catalog_family</x:v>
      </x:c>
      <x:c r="G398" s="24" t="str"/>
      <x:c r="H398" s="24" t="str">
        <x:v>50 teen units represented by one guardian-purchase pool; no per-title sales mix is established.</x:v>
      </x:c>
    </x:row>
    <x:row r="399" ht="24" hidden="0" customHeight="1">
      <x:c r="A399" s="1"/>
      <x:c r="B399" s="1"/>
      <x:c r="C399" s="23" t="str">
        <x:v>learn__vs_teen__t15</x:v>
      </x:c>
      <x:c r="D399" s="24" t="str">
        <x:v>Map the Claim</x:v>
      </x:c>
      <x:c r="E399" s="24" t="str">
        <x:v>DOT-056</x:v>
      </x:c>
      <x:c r="F399" s="24" t="str">
        <x:v>pooled_catalog_family</x:v>
      </x:c>
      <x:c r="G399" s="24" t="str"/>
      <x:c r="H399" s="24" t="str">
        <x:v>50 teen units represented by one guardian-purchase pool; no per-title sales mix is established.</x:v>
      </x:c>
    </x:row>
    <x:row r="400" ht="24" hidden="0" customHeight="1">
      <x:c r="A400" s="1"/>
      <x:c r="B400" s="1"/>
      <x:c r="C400" s="23" t="str">
        <x:v>learn__vs_teen__t16</x:v>
      </x:c>
      <x:c r="D400" s="24" t="str">
        <x:v>Spot the Confounder</x:v>
      </x:c>
      <x:c r="E400" s="24" t="str">
        <x:v>DOT-056</x:v>
      </x:c>
      <x:c r="F400" s="24" t="str">
        <x:v>pooled_catalog_family</x:v>
      </x:c>
      <x:c r="G400" s="24" t="str"/>
      <x:c r="H400" s="24" t="str">
        <x:v>50 teen units represented by one guardian-purchase pool; no per-title sales mix is established.</x:v>
      </x:c>
    </x:row>
    <x:row r="401" ht="24" hidden="0" customHeight="1">
      <x:c r="A401" s="1"/>
      <x:c r="B401" s="1"/>
      <x:c r="C401" s="23" t="str">
        <x:v>learn__vs_teen__t17</x:v>
      </x:c>
      <x:c r="D401" s="24" t="str">
        <x:v>Make the Choice Visible</x:v>
      </x:c>
      <x:c r="E401" s="24" t="str">
        <x:v>DOT-056</x:v>
      </x:c>
      <x:c r="F401" s="24" t="str">
        <x:v>pooled_catalog_family</x:v>
      </x:c>
      <x:c r="G401" s="24" t="str"/>
      <x:c r="H401" s="24" t="str">
        <x:v>50 teen units represented by one guardian-purchase pool; no per-title sales mix is established.</x:v>
      </x:c>
    </x:row>
    <x:row r="402" ht="24" hidden="0" customHeight="1">
      <x:c r="A402" s="1"/>
      <x:c r="B402" s="1"/>
      <x:c r="C402" s="23" t="str">
        <x:v>learn__vs_teen__t18</x:v>
      </x:c>
      <x:c r="D402" s="24" t="str">
        <x:v>Verify the Headline</x:v>
      </x:c>
      <x:c r="E402" s="24" t="str">
        <x:v>DOT-056</x:v>
      </x:c>
      <x:c r="F402" s="24" t="str">
        <x:v>pooled_catalog_family</x:v>
      </x:c>
      <x:c r="G402" s="24" t="str"/>
      <x:c r="H402" s="24" t="str">
        <x:v>50 teen units represented by one guardian-purchase pool; no per-title sales mix is established.</x:v>
      </x:c>
    </x:row>
    <x:row r="403" ht="24" hidden="0" customHeight="1">
      <x:c r="A403" s="1"/>
      <x:c r="B403" s="1"/>
      <x:c r="C403" s="23" t="str">
        <x:v>learn__vs_teen__t19</x:v>
      </x:c>
      <x:c r="D403" s="24" t="str">
        <x:v>Repair the Chart</x:v>
      </x:c>
      <x:c r="E403" s="24" t="str">
        <x:v>DOT-056</x:v>
      </x:c>
      <x:c r="F403" s="24" t="str">
        <x:v>pooled_catalog_family</x:v>
      </x:c>
      <x:c r="G403" s="24" t="str"/>
      <x:c r="H403" s="24" t="str">
        <x:v>50 teen units represented by one guardian-purchase pool; no per-title sales mix is established.</x:v>
      </x:c>
    </x:row>
    <x:row r="404" ht="24" hidden="0" customHeight="1">
      <x:c r="A404" s="1"/>
      <x:c r="B404" s="1"/>
      <x:c r="C404" s="23" t="str">
        <x:v>learn__vs_teen__t20</x:v>
      </x:c>
      <x:c r="D404" s="24" t="str">
        <x:v>Share With Care</x:v>
      </x:c>
      <x:c r="E404" s="24" t="str">
        <x:v>DOT-056</x:v>
      </x:c>
      <x:c r="F404" s="24" t="str">
        <x:v>pooled_catalog_family</x:v>
      </x:c>
      <x:c r="G404" s="24" t="str"/>
      <x:c r="H404" s="24" t="str">
        <x:v>50 teen units represented by one guardian-purchase pool; no per-title sales mix is established.</x:v>
      </x:c>
    </x:row>
    <x:row r="405" ht="24" hidden="0" customHeight="1">
      <x:c r="A405" s="1"/>
      <x:c r="B405" s="1"/>
      <x:c r="C405" s="23" t="str">
        <x:v>learn__vs_teen__t21</x:v>
      </x:c>
      <x:c r="D405" s="24" t="str">
        <x:v>Poetry With a Purpose — revise imagery, rhythm and intended meaning</x:v>
      </x:c>
      <x:c r="E405" s="24" t="str">
        <x:v>DOT-056</x:v>
      </x:c>
      <x:c r="F405" s="24" t="str">
        <x:v>pooled_catalog_family</x:v>
      </x:c>
      <x:c r="G405" s="24" t="str"/>
      <x:c r="H405" s="24" t="str">
        <x:v>50 teen units represented by one guardian-purchase pool; no per-title sales mix is established.</x:v>
      </x:c>
    </x:row>
    <x:row r="406" ht="24" hidden="0" customHeight="1">
      <x:c r="A406" s="1"/>
      <x:c r="B406" s="1"/>
      <x:c r="C406" s="23" t="str">
        <x:v>learn__vs_teen__t22</x:v>
      </x:c>
      <x:c r="D406" s="24" t="str">
        <x:v>Résumer sans déformer — summarize two differing views faithfully</x:v>
      </x:c>
      <x:c r="E406" s="24" t="str">
        <x:v>DOT-056</x:v>
      </x:c>
      <x:c r="F406" s="24" t="str">
        <x:v>pooled_catalog_family</x:v>
      </x:c>
      <x:c r="G406" s="24" t="str"/>
      <x:c r="H406" s="24" t="str">
        <x:v>50 teen units represented by one guardian-purchase pool; no per-title sales mix is established.</x:v>
      </x:c>
    </x:row>
    <x:row r="407" ht="24" hidden="0" customHeight="1">
      <x:c r="A407" s="1"/>
      <x:c r="B407" s="1"/>
      <x:c r="C407" s="23" t="str">
        <x:v>learn__vs_teen__t23</x:v>
      </x:c>
      <x:c r="D407" s="24" t="str">
        <x:v>Ask for a Reason — request an explanation and distinguish fact from opinion</x:v>
      </x:c>
      <x:c r="E407" s="24" t="str">
        <x:v>DOT-056</x:v>
      </x:c>
      <x:c r="F407" s="24" t="str">
        <x:v>pooled_catalog_family</x:v>
      </x:c>
      <x:c r="G407" s="24" t="str"/>
      <x:c r="H407" s="24" t="str">
        <x:v>50 teen units represented by one guardian-purchase pool; no per-title sales mix is established.</x:v>
      </x:c>
    </x:row>
    <x:row r="408" ht="24" hidden="0" customHeight="1">
      <x:c r="A408" s="1"/>
      <x:c r="B408" s="1"/>
      <x:c r="C408" s="23" t="str">
        <x:v>learn__vs_teen__t24</x:v>
      </x:c>
      <x:c r="D408" s="24" t="str">
        <x:v>Tell the Sequence — narrate a before/after event with correct time cues</x:v>
      </x:c>
      <x:c r="E408" s="24" t="str">
        <x:v>DOT-056</x:v>
      </x:c>
      <x:c r="F408" s="24" t="str">
        <x:v>pooled_catalog_family</x:v>
      </x:c>
      <x:c r="G408" s="24" t="str"/>
      <x:c r="H408" s="24" t="str">
        <x:v>50 teen units represented by one guardian-purchase pool; no per-title sales mix is established.</x:v>
      </x:c>
    </x:row>
    <x:row r="409" ht="24" hidden="0" customHeight="1">
      <x:c r="A409" s="1"/>
      <x:c r="B409" s="1"/>
      <x:c r="C409" s="23" t="str">
        <x:v>learn__vs_teen__t25</x:v>
      </x:c>
      <x:c r="D409" s="24" t="str">
        <x:v>State the Condition — ask what must happen before agreeing</x:v>
      </x:c>
      <x:c r="E409" s="24" t="str">
        <x:v>DOT-056</x:v>
      </x:c>
      <x:c r="F409" s="24" t="str">
        <x:v>pooled_catalog_family</x:v>
      </x:c>
      <x:c r="G409" s="24" t="str"/>
      <x:c r="H409" s="24" t="str">
        <x:v>50 teen units represented by one guardian-purchase pool; no per-title sales mix is established.</x:v>
      </x:c>
    </x:row>
    <x:row r="410" ht="24" hidden="0" customHeight="1">
      <x:c r="A410" s="1"/>
      <x:c r="B410" s="1"/>
      <x:c r="C410" s="23" t="str">
        <x:v>learn__vs_teen__t26</x:v>
      </x:c>
      <x:c r="D410" s="24" t="str">
        <x:v>Write the Update — report a change and its practical effect</x:v>
      </x:c>
      <x:c r="E410" s="24" t="str">
        <x:v>DOT-056</x:v>
      </x:c>
      <x:c r="F410" s="24" t="str">
        <x:v>pooled_catalog_family</x:v>
      </x:c>
      <x:c r="G410" s="24" t="str"/>
      <x:c r="H410" s="24" t="str">
        <x:v>50 teen units represented by one guardian-purchase pool; no per-title sales mix is established.</x:v>
      </x:c>
    </x:row>
    <x:row r="411" ht="24" hidden="0" customHeight="1">
      <x:c r="A411" s="1"/>
      <x:c r="B411" s="1"/>
      <x:c r="C411" s="23" t="str">
        <x:v>learn__vs_teen__t27</x:v>
      </x:c>
      <x:c r="D411" s="24" t="str">
        <x:v>Compare the Choices — explain a preference and its evidence</x:v>
      </x:c>
      <x:c r="E411" s="24" t="str">
        <x:v>DOT-056</x:v>
      </x:c>
      <x:c r="F411" s="24" t="str">
        <x:v>pooled_catalog_family</x:v>
      </x:c>
      <x:c r="G411" s="24" t="str"/>
      <x:c r="H411" s="24" t="str">
        <x:v>50 teen units represented by one guardian-purchase pool; no per-title sales mix is established.</x:v>
      </x:c>
    </x:row>
    <x:row r="412" ht="24" hidden="0" customHeight="1">
      <x:c r="A412" s="1"/>
      <x:c r="B412" s="1"/>
      <x:c r="C412" s="23" t="str">
        <x:v>learn__vs_teen__t28</x:v>
      </x:c>
      <x:c r="D412" s="24" t="str">
        <x:v>Tell the Story — order a short narrative and revise ambiguity</x:v>
      </x:c>
      <x:c r="E412" s="24" t="str">
        <x:v>DOT-056</x:v>
      </x:c>
      <x:c r="F412" s="24" t="str">
        <x:v>pooled_catalog_family</x:v>
      </x:c>
      <x:c r="G412" s="24" t="str"/>
      <x:c r="H412" s="24" t="str">
        <x:v>50 teen units represented by one guardian-purchase pool; no per-title sales mix is established.</x:v>
      </x:c>
    </x:row>
    <x:row r="413" ht="24" hidden="0" customHeight="1">
      <x:c r="A413" s="1"/>
      <x:c r="B413" s="1"/>
      <x:c r="C413" s="23" t="str">
        <x:v>learn__vs_teen__t29</x:v>
      </x:c>
      <x:c r="D413" s="24" t="str">
        <x:v>Follow the Verb — use tense cues to sequence two actions</x:v>
      </x:c>
      <x:c r="E413" s="24" t="str">
        <x:v>DOT-056</x:v>
      </x:c>
      <x:c r="F413" s="24" t="str">
        <x:v>pooled_catalog_family</x:v>
      </x:c>
      <x:c r="G413" s="24" t="str"/>
      <x:c r="H413" s="24" t="str">
        <x:v>50 teen units represented by one guardian-purchase pool; no per-title sales mix is established.</x:v>
      </x:c>
    </x:row>
    <x:row r="414" ht="24" hidden="0" customHeight="1">
      <x:c r="A414" s="1"/>
      <x:c r="B414" s="1"/>
      <x:c r="C414" s="23" t="str">
        <x:v>learn__vs_teen__t30</x:v>
      </x:c>
      <x:c r="D414" s="24" t="str">
        <x:v>Read Two Versions — defend a translation and name ambiguity</x:v>
      </x:c>
      <x:c r="E414" s="24" t="str">
        <x:v>DOT-056</x:v>
      </x:c>
      <x:c r="F414" s="24" t="str">
        <x:v>pooled_catalog_family</x:v>
      </x:c>
      <x:c r="G414" s="24" t="str"/>
      <x:c r="H414" s="24" t="str">
        <x:v>50 teen units represented by one guardian-purchase pool; no per-title sales mix is established.</x:v>
      </x:c>
    </x:row>
    <x:row r="415" ht="24" hidden="0" customHeight="1">
      <x:c r="A415" s="1"/>
      <x:c r="B415" s="1"/>
      <x:c r="C415" s="23" t="str">
        <x:v>learn__vs_teen__t31</x:v>
      </x:c>
      <x:c r="D415" s="24" t="str">
        <x:v>Estimate, Then Calculate — compare estimate with exact result</x:v>
      </x:c>
      <x:c r="E415" s="24" t="str">
        <x:v>DOT-056</x:v>
      </x:c>
      <x:c r="F415" s="24" t="str">
        <x:v>pooled_catalog_family</x:v>
      </x:c>
      <x:c r="G415" s="24" t="str"/>
      <x:c r="H415" s="24" t="str">
        <x:v>50 teen units represented by one guardian-purchase pool; no per-title sales mix is established.</x:v>
      </x:c>
    </x:row>
    <x:row r="416" ht="24" hidden="0" customHeight="1">
      <x:c r="A416" s="1"/>
      <x:c r="B416" s="1"/>
      <x:c r="C416" s="23" t="str">
        <x:v>learn__vs_teen__t32</x:v>
      </x:c>
      <x:c r="D416" s="24" t="str">
        <x:v>Probability Without Promises — describe a chance and its denominator</x:v>
      </x:c>
      <x:c r="E416" s="24" t="str">
        <x:v>DOT-056</x:v>
      </x:c>
      <x:c r="F416" s="24" t="str">
        <x:v>pooled_catalog_family</x:v>
      </x:c>
      <x:c r="G416" s="24" t="str"/>
      <x:c r="H416" s="24" t="str">
        <x:v>50 teen units represented by one guardian-purchase pool; no per-title sales mix is established.</x:v>
      </x:c>
    </x:row>
    <x:row r="417" ht="24" hidden="0" customHeight="1">
      <x:c r="A417" s="1"/>
      <x:c r="B417" s="1"/>
      <x:c r="C417" s="23" t="str">
        <x:v>learn__vs_teen__t33</x:v>
      </x:c>
      <x:c r="D417" s="24" t="str">
        <x:v>Explain the Pattern — justify a sequence rule with counterexample</x:v>
      </x:c>
      <x:c r="E417" s="24" t="str">
        <x:v>DOT-056</x:v>
      </x:c>
      <x:c r="F417" s="24" t="str">
        <x:v>pooled_catalog_family</x:v>
      </x:c>
      <x:c r="G417" s="24" t="str"/>
      <x:c r="H417" s="24" t="str">
        <x:v>50 teen units represented by one guardian-purchase pool; no per-title sales mix is established.</x:v>
      </x:c>
    </x:row>
    <x:row r="418" ht="24" hidden="0" customHeight="1">
      <x:c r="A418" s="1"/>
      <x:c r="B418" s="1"/>
      <x:c r="C418" s="23" t="str">
        <x:v>learn__vs_teen__t34</x:v>
      </x:c>
      <x:c r="D418" s="24" t="str">
        <x:v>Read the Climate Graph — compare seasons and cite units</x:v>
      </x:c>
      <x:c r="E418" s="24" t="str">
        <x:v>DOT-056</x:v>
      </x:c>
      <x:c r="F418" s="24" t="str">
        <x:v>pooled_catalog_family</x:v>
      </x:c>
      <x:c r="G418" s="24" t="str"/>
      <x:c r="H418" s="24" t="str">
        <x:v>50 teen units represented by one guardian-purchase pool; no per-title sales mix is established.</x:v>
      </x:c>
    </x:row>
    <x:row r="419" ht="24" hidden="0" customHeight="1">
      <x:c r="A419" s="1"/>
      <x:c r="B419" s="1"/>
      <x:c r="C419" s="23" t="str">
        <x:v>learn__vs_teen__t35</x:v>
      </x:c>
      <x:c r="D419" s="24" t="str">
        <x:v>Trace a Supply Route — identify route, scale and missing context</x:v>
      </x:c>
      <x:c r="E419" s="24" t="str">
        <x:v>DOT-056</x:v>
      </x:c>
      <x:c r="F419" s="24" t="str">
        <x:v>pooled_catalog_family</x:v>
      </x:c>
      <x:c r="G419" s="24" t="str"/>
      <x:c r="H419" s="24" t="str">
        <x:v>50 teen units represented by one guardian-purchase pool; no per-title sales mix is established.</x:v>
      </x:c>
    </x:row>
    <x:row r="420" ht="24" hidden="0" customHeight="1">
      <x:c r="A420" s="1"/>
      <x:c r="B420" s="1"/>
      <x:c r="C420" s="23" t="str">
        <x:v>learn__vs_teen__t36</x:v>
      </x:c>
      <x:c r="D420" s="24" t="str">
        <x:v>Repeat the Measure — specify units, tool limits and repeats</x:v>
      </x:c>
      <x:c r="E420" s="24" t="str">
        <x:v>DOT-056</x:v>
      </x:c>
      <x:c r="F420" s="24" t="str">
        <x:v>pooled_catalog_family</x:v>
      </x:c>
      <x:c r="G420" s="24" t="str"/>
      <x:c r="H420" s="24" t="str">
        <x:v>50 teen units represented by one guardian-purchase pool; no per-title sales mix is established.</x:v>
      </x:c>
    </x:row>
    <x:row r="421" ht="24" hidden="0" customHeight="1">
      <x:c r="A421" s="1"/>
      <x:c r="B421" s="1"/>
      <x:c r="C421" s="23" t="str">
        <x:v>learn__vs_teen__t37</x:v>
      </x:c>
      <x:c r="D421" s="24" t="str">
        <x:v>Separate Cause and Coincidence — propose an alternative explanation</x:v>
      </x:c>
      <x:c r="E421" s="24" t="str">
        <x:v>DOT-056</x:v>
      </x:c>
      <x:c r="F421" s="24" t="str">
        <x:v>pooled_catalog_family</x:v>
      </x:c>
      <x:c r="G421" s="24" t="str"/>
      <x:c r="H421" s="24" t="str">
        <x:v>50 teen units represented by one guardian-purchase pool; no per-title sales mix is established.</x:v>
      </x:c>
    </x:row>
    <x:row r="422" ht="24" hidden="0" customHeight="1">
      <x:c r="A422" s="1"/>
      <x:c r="B422" s="1"/>
      <x:c r="C422" s="23" t="str">
        <x:v>learn__vs_teen__t38</x:v>
      </x:c>
      <x:c r="D422" s="24" t="str">
        <x:v>Build a Model — state what a small model predicts and omits</x:v>
      </x:c>
      <x:c r="E422" s="24" t="str">
        <x:v>DOT-056</x:v>
      </x:c>
      <x:c r="F422" s="24" t="str">
        <x:v>pooled_catalog_family</x:v>
      </x:c>
      <x:c r="G422" s="24" t="str"/>
      <x:c r="H422" s="24" t="str">
        <x:v>50 teen units represented by one guardian-purchase pool; no per-title sales mix is established.</x:v>
      </x:c>
    </x:row>
    <x:row r="423" ht="24" hidden="0" customHeight="1">
      <x:c r="A423" s="1"/>
      <x:c r="B423" s="1"/>
      <x:c r="C423" s="23" t="str">
        <x:v>learn__vs_teen__t39</x:v>
      </x:c>
      <x:c r="D423" s="24" t="str">
        <x:v>Color as Evidence — mix and record a repeatable color choice</x:v>
      </x:c>
      <x:c r="E423" s="24" t="str">
        <x:v>DOT-056</x:v>
      </x:c>
      <x:c r="F423" s="24" t="str">
        <x:v>pooled_catalog_family</x:v>
      </x:c>
      <x:c r="G423" s="24" t="str"/>
      <x:c r="H423" s="24" t="str">
        <x:v>50 teen units represented by one guardian-purchase pool; no per-title sales mix is established.</x:v>
      </x:c>
    </x:row>
    <x:row r="424" ht="24" hidden="0" customHeight="1">
      <x:c r="A424" s="1"/>
      <x:c r="B424" s="1"/>
      <x:c r="C424" s="23" t="str">
        <x:v>learn__vs_teen__t40</x:v>
      </x:c>
      <x:c r="D424" s="24" t="str">
        <x:v>Gesture and Proportion — revise a figure using measured relationships</x:v>
      </x:c>
      <x:c r="E424" s="24" t="str">
        <x:v>DOT-056</x:v>
      </x:c>
      <x:c r="F424" s="24" t="str">
        <x:v>pooled_catalog_family</x:v>
      </x:c>
      <x:c r="G424" s="24" t="str"/>
      <x:c r="H424" s="24" t="str">
        <x:v>50 teen units represented by one guardian-purchase pool; no per-title sales mix is established.</x:v>
      </x:c>
    </x:row>
    <x:row r="425" ht="24" hidden="0" customHeight="1">
      <x:c r="A425" s="1"/>
      <x:c r="B425" s="1"/>
      <x:c r="C425" s="23" t="str">
        <x:v>learn__vs_teen__t41</x:v>
      </x:c>
      <x:c r="D425" s="24" t="str">
        <x:v>Contrast and Attention — test a layout's readable order</x:v>
      </x:c>
      <x:c r="E425" s="24" t="str">
        <x:v>DOT-056</x:v>
      </x:c>
      <x:c r="F425" s="24" t="str">
        <x:v>pooled_catalog_family</x:v>
      </x:c>
      <x:c r="G425" s="24" t="str"/>
      <x:c r="H425" s="24" t="str">
        <x:v>50 teen units represented by one guardian-purchase pool; no per-title sales mix is established.</x:v>
      </x:c>
    </x:row>
    <x:row r="426" ht="24" hidden="0" customHeight="1">
      <x:c r="A426" s="1"/>
      <x:c r="B426" s="1"/>
      <x:c r="C426" s="23" t="str">
        <x:v>learn__vs_teen__t42</x:v>
      </x:c>
      <x:c r="D426" s="24" t="str">
        <x:v>Revise a Claim — qualify a statement and improve its evidence</x:v>
      </x:c>
      <x:c r="E426" s="24" t="str">
        <x:v>DOT-056</x:v>
      </x:c>
      <x:c r="F426" s="24" t="str">
        <x:v>pooled_catalog_family</x:v>
      </x:c>
      <x:c r="G426" s="24" t="str"/>
      <x:c r="H426" s="24" t="str">
        <x:v>50 teen units represented by one guardian-purchase pool; no per-title sales mix is established.</x:v>
      </x:c>
    </x:row>
    <x:row r="427" ht="24" hidden="0" customHeight="1">
      <x:c r="A427" s="1"/>
      <x:c r="B427" s="1"/>
      <x:c r="C427" s="23" t="str">
        <x:v>learn__vs_teen__t43</x:v>
      </x:c>
      <x:c r="D427" s="24" t="str">
        <x:v>Disagree Without Contempt — write a specific dissent and next step</x:v>
      </x:c>
      <x:c r="E427" s="24" t="str">
        <x:v>DOT-056</x:v>
      </x:c>
      <x:c r="F427" s="24" t="str">
        <x:v>pooled_catalog_family</x:v>
      </x:c>
      <x:c r="G427" s="24" t="str"/>
      <x:c r="H427" s="24" t="str">
        <x:v>50 teen units represented by one guardian-purchase pool; no per-title sales mix is established.</x:v>
      </x:c>
    </x:row>
    <x:row r="428" ht="24" hidden="0" customHeight="1">
      <x:c r="A428" s="1"/>
      <x:c r="B428" s="1"/>
      <x:c r="C428" s="23" t="str">
        <x:v>learn__vs_teen__t44</x:v>
      </x:c>
      <x:c r="D428" s="24" t="str">
        <x:v>Repair a Misunderstanding — restate both views and ask a clarifier</x:v>
      </x:c>
      <x:c r="E428" s="24" t="str">
        <x:v>DOT-056</x:v>
      </x:c>
      <x:c r="F428" s="24" t="str">
        <x:v>pooled_catalog_family</x:v>
      </x:c>
      <x:c r="G428" s="24" t="str"/>
      <x:c r="H428" s="24" t="str">
        <x:v>50 teen units represented by one guardian-purchase pool; no per-title sales mix is established.</x:v>
      </x:c>
    </x:row>
    <x:row r="429" ht="24" hidden="0" customHeight="1">
      <x:c r="A429" s="1"/>
      <x:c r="B429" s="1"/>
      <x:c r="C429" s="23" t="str">
        <x:v>learn__vs_teen__t45</x:v>
      </x:c>
      <x:c r="D429" s="24" t="str">
        <x:v>Context and Courtesy — select a respectful form for a real task</x:v>
      </x:c>
      <x:c r="E429" s="24" t="str">
        <x:v>DOT-056</x:v>
      </x:c>
      <x:c r="F429" s="24" t="str">
        <x:v>pooled_catalog_family</x:v>
      </x:c>
      <x:c r="G429" s="24" t="str"/>
      <x:c r="H429" s="24" t="str">
        <x:v>50 teen units represented by one guardian-purchase pool; no per-title sales mix is established.</x:v>
      </x:c>
    </x:row>
    <x:row r="430" ht="24" hidden="0" customHeight="1">
      <x:c r="A430" s="1"/>
      <x:c r="B430" s="1"/>
      <x:c r="C430" s="23" t="str">
        <x:v>learn__vs_teen__t46</x:v>
      </x:c>
      <x:c r="D430" s="24" t="str">
        <x:v>Inspect a Source — find author, date and primary support</x:v>
      </x:c>
      <x:c r="E430" s="24" t="str">
        <x:v>DOT-056</x:v>
      </x:c>
      <x:c r="F430" s="24" t="str">
        <x:v>pooled_catalog_family</x:v>
      </x:c>
      <x:c r="G430" s="24" t="str"/>
      <x:c r="H430" s="24" t="str">
        <x:v>50 teen units represented by one guardian-purchase pool; no per-title sales mix is established.</x:v>
      </x:c>
    </x:row>
    <x:row r="431" ht="24" hidden="0" customHeight="1">
      <x:c r="A431" s="1"/>
      <x:c r="B431" s="1"/>
      <x:c r="C431" s="23" t="str">
        <x:v>learn__vs_teen__t47</x:v>
      </x:c>
      <x:c r="D431" s="24" t="str">
        <x:v>Debug the Instructions — trace a simple sequence and correct a fault</x:v>
      </x:c>
      <x:c r="E431" s="24" t="str">
        <x:v>DOT-056</x:v>
      </x:c>
      <x:c r="F431" s="24" t="str">
        <x:v>pooled_catalog_family</x:v>
      </x:c>
      <x:c r="G431" s="24" t="str"/>
      <x:c r="H431" s="24" t="str">
        <x:v>50 teen units represented by one guardian-purchase pool; no per-title sales mix is established.</x:v>
      </x:c>
    </x:row>
    <x:row r="432" ht="24" hidden="0" customHeight="1">
      <x:c r="A432" s="1"/>
      <x:c r="B432" s="1"/>
      <x:c r="C432" s="23" t="str">
        <x:v>learn__vs_teen__t48</x:v>
      </x:c>
      <x:c r="D432" s="24" t="str">
        <x:v>Plan a Small Budget — balance fictional choices under a limit</x:v>
      </x:c>
      <x:c r="E432" s="24" t="str">
        <x:v>DOT-056</x:v>
      </x:c>
      <x:c r="F432" s="24" t="str">
        <x:v>pooled_catalog_family</x:v>
      </x:c>
      <x:c r="G432" s="24" t="str"/>
      <x:c r="H432" s="24" t="str">
        <x:v>50 teen units represented by one guardian-purchase pool; no per-title sales mix is established.</x:v>
      </x:c>
    </x:row>
    <x:row r="433" ht="24" hidden="0" customHeight="1">
      <x:c r="A433" s="1"/>
      <x:c r="B433" s="1"/>
      <x:c r="C433" s="23" t="str">
        <x:v>learn__vs_teen__t49</x:v>
      </x:c>
      <x:c r="D433" s="24" t="str">
        <x:v>Two Accounts, One Event — compare viewpoints and source limits</x:v>
      </x:c>
      <x:c r="E433" s="24" t="str">
        <x:v>DOT-056</x:v>
      </x:c>
      <x:c r="F433" s="24" t="str">
        <x:v>pooled_catalog_family</x:v>
      </x:c>
      <x:c r="G433" s="24" t="str"/>
      <x:c r="H433" s="24" t="str">
        <x:v>50 teen units represented by one guardian-purchase pool; no per-title sales mix is established.</x:v>
      </x:c>
    </x:row>
    <x:row r="434" ht="24" hidden="0" customHeight="1">
      <x:c r="A434" s="1"/>
      <x:c r="B434" s="1"/>
      <x:c r="C434" s="23" t="str">
        <x:v>learn__vs_teen__t50</x:v>
      </x:c>
      <x:c r="D434" s="24" t="str">
        <x:v>Defend a Choice — combine two skills in a new fictional case</x:v>
      </x:c>
      <x:c r="E434" s="24" t="str">
        <x:v>DOT-056</x:v>
      </x:c>
      <x:c r="F434" s="24" t="str">
        <x:v>pooled_catalog_family</x:v>
      </x:c>
      <x:c r="G434" s="24" t="str"/>
      <x:c r="H434" s="24" t="str">
        <x:v>50 teen units represented by one guardian-purchase pool; no per-title sales mix is established.</x:v>
      </x:c>
    </x:row>
    <x:row r="435" ht="36" hidden="0" customHeight="1">
      <x:c r="A435" s="1"/>
      <x:c r="B435" s="1"/>
      <x:c r="C435" s="23" t="str">
        <x:v>learn__vs_modellife__ml_vs_01</x:v>
      </x:c>
      <x:c r="D435" s="24" t="str">
        <x:v>Source exercise ML-VS-01 (title not recovered)</x:v>
      </x:c>
      <x:c r="E435" s="24" t="str"/>
      <x:c r="F435" s="24" t="str">
        <x:v>explicit_nonrevenue_standalone_candidate_disabled</x:v>
      </x:c>
      <x:c r="G435" s="24" t="str">
        <x:v>Model Life Atelier and editorial modules</x:v>
      </x:c>
      <x:c r="H435" s="24" t="str">
        <x:v>Five source records are authoring modules, not separate revenue SKUs. Fresh exact entitlement evidence is needed before mapping them as separately sold branded learning.</x:v>
      </x:c>
    </x:row>
    <x:row r="436" ht="36" hidden="0" customHeight="1">
      <x:c r="A436" s="1"/>
      <x:c r="B436" s="1"/>
      <x:c r="C436" s="23" t="str">
        <x:v>learn__vs_modellife__ml_vs_02</x:v>
      </x:c>
      <x:c r="D436" s="24" t="str">
        <x:v>Source exercise ML-VS-02 (title not recovered)</x:v>
      </x:c>
      <x:c r="E436" s="24" t="str"/>
      <x:c r="F436" s="24" t="str">
        <x:v>explicit_nonrevenue_standalone_candidate_disabled</x:v>
      </x:c>
      <x:c r="G436" s="24" t="str">
        <x:v>Model Life Atelier and editorial modules</x:v>
      </x:c>
      <x:c r="H436" s="24" t="str">
        <x:v>Five source records are authoring modules, not separate revenue SKUs. Fresh exact entitlement evidence is needed before mapping them as separately sold branded learning.</x:v>
      </x:c>
    </x:row>
    <x:row r="437" ht="36" hidden="0" customHeight="1">
      <x:c r="A437" s="1"/>
      <x:c r="B437" s="1"/>
      <x:c r="C437" s="23" t="str">
        <x:v>learn__vs_modellife__ml_vs_03</x:v>
      </x:c>
      <x:c r="D437" s="24" t="str">
        <x:v>Source exercise ML-VS-03 (title not recovered)</x:v>
      </x:c>
      <x:c r="E437" s="24" t="str"/>
      <x:c r="F437" s="24" t="str">
        <x:v>explicit_nonrevenue_standalone_candidate_disabled</x:v>
      </x:c>
      <x:c r="G437" s="24" t="str">
        <x:v>Model Life Atelier and editorial modules</x:v>
      </x:c>
      <x:c r="H437" s="24" t="str">
        <x:v>Five source records are authoring modules, not separate revenue SKUs. Fresh exact entitlement evidence is needed before mapping them as separately sold branded learning.</x:v>
      </x:c>
    </x:row>
    <x:row r="438" ht="36" hidden="0" customHeight="1">
      <x:c r="A438" s="1"/>
      <x:c r="B438" s="1"/>
      <x:c r="C438" s="23" t="str">
        <x:v>learn__vs_modellife__ml_vs_04</x:v>
      </x:c>
      <x:c r="D438" s="24" t="str">
        <x:v>Source exercise ML-VS-04 (title not recovered)</x:v>
      </x:c>
      <x:c r="E438" s="24" t="str"/>
      <x:c r="F438" s="24" t="str">
        <x:v>explicit_nonrevenue_standalone_candidate_disabled</x:v>
      </x:c>
      <x:c r="G438" s="24" t="str">
        <x:v>Model Life Atelier and editorial modules</x:v>
      </x:c>
      <x:c r="H438" s="24" t="str">
        <x:v>Five source records are authoring modules, not separate revenue SKUs. Fresh exact entitlement evidence is needed before mapping them as separately sold branded learning.</x:v>
      </x:c>
    </x:row>
    <x:row r="439" ht="36" hidden="0" customHeight="1">
      <x:c r="A439" s="1"/>
      <x:c r="B439" s="1"/>
      <x:c r="C439" s="23" t="str">
        <x:v>learn__vs_modellife__ml_vs_05</x:v>
      </x:c>
      <x:c r="D439" s="24" t="str">
        <x:v>Source exercise ML-VS-05 (title not recovered)</x:v>
      </x:c>
      <x:c r="E439" s="24" t="str"/>
      <x:c r="F439" s="24" t="str">
        <x:v>explicit_nonrevenue_standalone_candidate_disabled</x:v>
      </x:c>
      <x:c r="G439" s="24" t="str">
        <x:v>Model Life Atelier and editorial modules</x:v>
      </x:c>
      <x:c r="H439" s="24" t="str">
        <x:v>Five source records are authoring modules, not separate revenue SKUs. Fresh exact entitlement evidence is needed before mapping them as separately sold branded learning.</x:v>
      </x:c>
    </x:row>
    <x:row r="440" ht="24" hidden="0" customHeight="1">
      <x:c r="A440" s="1"/>
      <x:c r="B440" s="1"/>
      <x:c r="C440" s="23" t="str">
        <x:v>learn__etv_course__01</x:v>
      </x:c>
      <x:c r="D440" s="24" t="str">
        <x:v>AI Website Strategy for Professional Firms</x:v>
      </x:c>
      <x:c r="E440" s="24" t="str">
        <x:v>DOT-002</x:v>
      </x:c>
      <x:c r="F440" s="24" t="str">
        <x:v>explicit_catalog_key_in_pooled_stream</x:v>
      </x:c>
      <x:c r="G440" s="24" t="str"/>
      <x:c r="H440" s="24" t="str">
        <x:v>Draft explicitly lists this catalog key. Pooled stream units are totals, not quantities per catalog member.</x:v>
      </x:c>
    </x:row>
    <x:row r="441" ht="24" hidden="0" customHeight="1">
      <x:c r="A441" s="1"/>
      <x:c r="B441" s="1"/>
      <x:c r="C441" s="23" t="str">
        <x:v>learn__etv_course__02</x:v>
      </x:c>
      <x:c r="D441" s="24" t="str">
        <x:v>Professional Site Information Architecture</x:v>
      </x:c>
      <x:c r="E441" s="24" t="str">
        <x:v>DOT-002</x:v>
      </x:c>
      <x:c r="F441" s="24" t="str">
        <x:v>explicit_catalog_key_in_pooled_stream</x:v>
      </x:c>
      <x:c r="G441" s="24" t="str"/>
      <x:c r="H441" s="24" t="str">
        <x:v>Draft explicitly lists this catalog key. Pooled stream units are totals, not quantities per catalog member.</x:v>
      </x:c>
    </x:row>
    <x:row r="442" ht="24" hidden="0" customHeight="1">
      <x:c r="A442" s="1"/>
      <x:c r="B442" s="1"/>
      <x:c r="C442" s="23" t="str">
        <x:v>learn__etv_course__03</x:v>
      </x:c>
      <x:c r="D442" s="24" t="str">
        <x:v>AI Assisted Website Production</x:v>
      </x:c>
      <x:c r="E442" s="24" t="str">
        <x:v>DOT-002</x:v>
      </x:c>
      <x:c r="F442" s="24" t="str">
        <x:v>explicit_catalog_key_in_pooled_stream</x:v>
      </x:c>
      <x:c r="G442" s="24" t="str"/>
      <x:c r="H442" s="24" t="str">
        <x:v>Draft explicitly lists this catalog key. Pooled stream units are totals, not quantities per catalog member.</x:v>
      </x:c>
    </x:row>
    <x:row r="443" ht="24" hidden="0" customHeight="1">
      <x:c r="A443" s="1"/>
      <x:c r="B443" s="1"/>
      <x:c r="C443" s="23" t="str">
        <x:v>learn__etv_course__04</x:v>
      </x:c>
      <x:c r="D443" s="24" t="str">
        <x:v>Trustworthy Service Copy</x:v>
      </x:c>
      <x:c r="E443" s="24" t="str">
        <x:v>DOT-002</x:v>
      </x:c>
      <x:c r="F443" s="24" t="str">
        <x:v>explicit_catalog_key_in_pooled_stream</x:v>
      </x:c>
      <x:c r="G443" s="24" t="str"/>
      <x:c r="H443" s="24" t="str">
        <x:v>Draft explicitly lists this catalog key. Pooled stream units are totals, not quantities per catalog member.</x:v>
      </x:c>
    </x:row>
    <x:row r="444" ht="24" hidden="0" customHeight="1">
      <x:c r="A444" s="1"/>
      <x:c r="B444" s="1"/>
      <x:c r="C444" s="23" t="str">
        <x:v>learn__etv_course__05</x:v>
      </x:c>
      <x:c r="D444" s="24" t="str">
        <x:v>Accessible Website Basics</x:v>
      </x:c>
      <x:c r="E444" s="24" t="str">
        <x:v>DOT-002</x:v>
      </x:c>
      <x:c r="F444" s="24" t="str">
        <x:v>explicit_catalog_key_in_pooled_stream</x:v>
      </x:c>
      <x:c r="G444" s="24" t="str"/>
      <x:c r="H444" s="24" t="str">
        <x:v>Draft explicitly lists this catalog key. Pooled stream units are totals, not quantities per catalog member.</x:v>
      </x:c>
    </x:row>
    <x:row r="445" ht="24" hidden="0" customHeight="1">
      <x:c r="A445" s="1"/>
      <x:c r="B445" s="1"/>
      <x:c r="C445" s="23" t="str">
        <x:v>learn__etv_course__06</x:v>
      </x:c>
      <x:c r="D445" s="24" t="str">
        <x:v>Privacy and Consent for Intake</x:v>
      </x:c>
      <x:c r="E445" s="24" t="str">
        <x:v>DOT-002</x:v>
      </x:c>
      <x:c r="F445" s="24" t="str">
        <x:v>explicit_catalog_key_in_pooled_stream</x:v>
      </x:c>
      <x:c r="G445" s="24" t="str"/>
      <x:c r="H445" s="24" t="str">
        <x:v>Draft explicitly lists this catalog key. Pooled stream units are totals, not quantities per catalog member.</x:v>
      </x:c>
    </x:row>
    <x:row r="446" ht="24" hidden="0" customHeight="1">
      <x:c r="A446" s="1"/>
      <x:c r="B446" s="1"/>
      <x:c r="C446" s="23" t="str">
        <x:v>learn__etv_course__07</x:v>
      </x:c>
      <x:c r="D446" s="24" t="str">
        <x:v>Smart Intake Form Design</x:v>
      </x:c>
      <x:c r="E446" s="24" t="str">
        <x:v>DOT-002</x:v>
      </x:c>
      <x:c r="F446" s="24" t="str">
        <x:v>explicit_catalog_key_in_pooled_stream</x:v>
      </x:c>
      <x:c r="G446" s="24" t="str"/>
      <x:c r="H446" s="24" t="str">
        <x:v>Draft explicitly lists this catalog key. Pooled stream units are totals, not quantities per catalog member.</x:v>
      </x:c>
    </x:row>
    <x:row r="447" ht="24" hidden="0" customHeight="1">
      <x:c r="A447" s="1"/>
      <x:c r="B447" s="1"/>
      <x:c r="C447" s="23" t="str">
        <x:v>learn__etv_course__08</x:v>
      </x:c>
      <x:c r="D447" s="24" t="str">
        <x:v>Lead Qualification Without Bias</x:v>
      </x:c>
      <x:c r="E447" s="24" t="str">
        <x:v>DOT-002</x:v>
      </x:c>
      <x:c r="F447" s="24" t="str">
        <x:v>explicit_catalog_key_in_pooled_stream</x:v>
      </x:c>
      <x:c r="G447" s="24" t="str"/>
      <x:c r="H447" s="24" t="str">
        <x:v>Draft explicitly lists this catalog key. Pooled stream units are totals, not quantities per catalog member.</x:v>
      </x:c>
    </x:row>
    <x:row r="448" ht="24" hidden="0" customHeight="1">
      <x:c r="A448" s="1"/>
      <x:c r="B448" s="1"/>
      <x:c r="C448" s="23" t="str">
        <x:v>learn__etv_course__09</x:v>
      </x:c>
      <x:c r="D448" s="24" t="str">
        <x:v>Scheduling and Reminders</x:v>
      </x:c>
      <x:c r="E448" s="24" t="str">
        <x:v>DOT-002</x:v>
      </x:c>
      <x:c r="F448" s="24" t="str">
        <x:v>explicit_catalog_key_in_pooled_stream</x:v>
      </x:c>
      <x:c r="G448" s="24" t="str"/>
      <x:c r="H448" s="24" t="str">
        <x:v>Draft explicitly lists this catalog key. Pooled stream units are totals, not quantities per catalog member.</x:v>
      </x:c>
    </x:row>
    <x:row r="449" ht="24" hidden="0" customHeight="1">
      <x:c r="A449" s="1"/>
      <x:c r="B449" s="1"/>
      <x:c r="C449" s="23" t="str">
        <x:v>learn__etv_course__10</x:v>
      </x:c>
      <x:c r="D449" s="24" t="str">
        <x:v>CRM and Workflow Integration</x:v>
      </x:c>
      <x:c r="E449" s="24" t="str">
        <x:v>DOT-002</x:v>
      </x:c>
      <x:c r="F449" s="24" t="str">
        <x:v>explicit_catalog_key_in_pooled_stream</x:v>
      </x:c>
      <x:c r="G449" s="24" t="str"/>
      <x:c r="H449" s="24" t="str">
        <x:v>Draft explicitly lists this catalog key. Pooled stream units are totals, not quantities per catalog member.</x:v>
      </x:c>
    </x:row>
    <x:row r="450" ht="24" hidden="0" customHeight="1">
      <x:c r="A450" s="1"/>
      <x:c r="B450" s="1"/>
      <x:c r="C450" s="23" t="str">
        <x:v>learn__etv_course__11</x:v>
      </x:c>
      <x:c r="D450" s="24" t="str">
        <x:v>Grounded FAQ Assistant</x:v>
      </x:c>
      <x:c r="E450" s="24" t="str">
        <x:v>DOT-001</x:v>
      </x:c>
      <x:c r="F450" s="24" t="str">
        <x:v>explicit_catalog_key</x:v>
      </x:c>
      <x:c r="G450" s="24" t="str"/>
      <x:c r="H450" s="24" t="str">
        <x:v>Draft explicitly lists this catalog key. Pooled stream units are totals, not quantities per catalog member.</x:v>
      </x:c>
    </x:row>
    <x:row r="451" ht="24" hidden="0" customHeight="1">
      <x:c r="A451" s="1"/>
      <x:c r="B451" s="1"/>
      <x:c r="C451" s="23" t="str">
        <x:v>learn__etv_course__12</x:v>
      </x:c>
      <x:c r="D451" s="24" t="str">
        <x:v>Human Handoff and Service Recovery</x:v>
      </x:c>
      <x:c r="E451" s="24" t="str">
        <x:v>DOT-002</x:v>
      </x:c>
      <x:c r="F451" s="24" t="str">
        <x:v>explicit_catalog_key_in_pooled_stream</x:v>
      </x:c>
      <x:c r="G451" s="24" t="str"/>
      <x:c r="H451" s="24" t="str">
        <x:v>Draft explicitly lists this catalog key. Pooled stream units are totals, not quantities per catalog member.</x:v>
      </x:c>
    </x:row>
    <x:row r="452" ht="24" hidden="0" customHeight="1">
      <x:c r="A452" s="1"/>
      <x:c r="B452" s="1"/>
      <x:c r="C452" s="23" t="str">
        <x:v>learn__etv_course__13</x:v>
      </x:c>
      <x:c r="D452" s="24" t="str">
        <x:v>Multilingual Client Intake</x:v>
      </x:c>
      <x:c r="E452" s="24" t="str">
        <x:v>DOT-002</x:v>
      </x:c>
      <x:c r="F452" s="24" t="str">
        <x:v>explicit_catalog_key_in_pooled_stream</x:v>
      </x:c>
      <x:c r="G452" s="24" t="str"/>
      <x:c r="H452" s="24" t="str">
        <x:v>Draft explicitly lists this catalog key. Pooled stream units are totals, not quantities per catalog member.</x:v>
      </x:c>
    </x:row>
    <x:row r="453" ht="24" hidden="0" customHeight="1">
      <x:c r="A453" s="1"/>
      <x:c r="B453" s="1"/>
      <x:c r="C453" s="23" t="str">
        <x:v>learn__etv_course__14</x:v>
      </x:c>
      <x:c r="D453" s="24" t="str">
        <x:v>Secure Client Document Collection</x:v>
      </x:c>
      <x:c r="E453" s="24" t="str">
        <x:v>DOT-002</x:v>
      </x:c>
      <x:c r="F453" s="24" t="str">
        <x:v>explicit_catalog_key_in_pooled_stream</x:v>
      </x:c>
      <x:c r="G453" s="24" t="str"/>
      <x:c r="H453" s="24" t="str">
        <x:v>Draft explicitly lists this catalog key. Pooled stream units are totals, not quantities per catalog member.</x:v>
      </x:c>
    </x:row>
    <x:row r="454" ht="24" hidden="0" customHeight="1">
      <x:c r="A454" s="1"/>
      <x:c r="B454" s="1"/>
      <x:c r="C454" s="23" t="str">
        <x:v>learn__etv_course__15</x:v>
      </x:c>
      <x:c r="D454" s="24" t="str">
        <x:v>Local Discovery and Search Content</x:v>
      </x:c>
      <x:c r="E454" s="24" t="str">
        <x:v>DOT-002</x:v>
      </x:c>
      <x:c r="F454" s="24" t="str">
        <x:v>explicit_catalog_key_in_pooled_stream</x:v>
      </x:c>
      <x:c r="G454" s="24" t="str"/>
      <x:c r="H454" s="24" t="str">
        <x:v>Draft explicitly lists this catalog key. Pooled stream units are totals, not quantities per catalog member.</x:v>
      </x:c>
    </x:row>
    <x:row r="455" ht="24" hidden="0" customHeight="1">
      <x:c r="A455" s="1"/>
      <x:c r="B455" s="1"/>
      <x:c r="C455" s="23" t="str">
        <x:v>learn__etv_course__16</x:v>
      </x:c>
      <x:c r="D455" s="24" t="str">
        <x:v>Conversion and Service Analytics</x:v>
      </x:c>
      <x:c r="E455" s="24" t="str">
        <x:v>DOT-002</x:v>
      </x:c>
      <x:c r="F455" s="24" t="str">
        <x:v>explicit_catalog_key_in_pooled_stream</x:v>
      </x:c>
      <x:c r="G455" s="24" t="str"/>
      <x:c r="H455" s="24" t="str">
        <x:v>Draft explicitly lists this catalog key. Pooled stream units are totals, not quantities per catalog member.</x:v>
      </x:c>
    </x:row>
    <x:row r="456" ht="24" hidden="0" customHeight="1">
      <x:c r="A456" s="1"/>
      <x:c r="B456" s="1"/>
      <x:c r="C456" s="23" t="str">
        <x:v>learn__etv_course__17</x:v>
      </x:c>
      <x:c r="D456" s="24" t="str">
        <x:v>AI Answer Testing and Monitoring</x:v>
      </x:c>
      <x:c r="E456" s="24" t="str">
        <x:v>DOT-002</x:v>
      </x:c>
      <x:c r="F456" s="24" t="str">
        <x:v>explicit_catalog_key_in_pooled_stream</x:v>
      </x:c>
      <x:c r="G456" s="24" t="str"/>
      <x:c r="H456" s="24" t="str">
        <x:v>Draft explicitly lists this catalog key. Pooled stream units are totals, not quantities per catalog member.</x:v>
      </x:c>
    </x:row>
    <x:row r="457" ht="24" hidden="0" customHeight="1">
      <x:c r="A457" s="1"/>
      <x:c r="B457" s="1"/>
      <x:c r="C457" s="23" t="str">
        <x:v>learn__etv_course__18</x:v>
      </x:c>
      <x:c r="D457" s="24" t="str">
        <x:v>AI Governance Readiness for Firms</x:v>
      </x:c>
      <x:c r="E457" s="24" t="str">
        <x:v>DOT-002</x:v>
      </x:c>
      <x:c r="F457" s="24" t="str">
        <x:v>explicit_catalog_key_in_pooled_stream</x:v>
      </x:c>
      <x:c r="G457" s="24" t="str"/>
      <x:c r="H457" s="24" t="str">
        <x:v>Draft explicitly lists this catalog key. Pooled stream units are totals, not quantities per catalog member.</x:v>
      </x:c>
    </x:row>
    <x:row r="458" ht="24" hidden="0" customHeight="1">
      <x:c r="A458" s="1"/>
      <x:c r="B458" s="1"/>
      <x:c r="C458" s="23" t="str">
        <x:v>learn__etv_course__19</x:v>
      </x:c>
      <x:c r="D458" s="24" t="str">
        <x:v>Staff Practice: AI Intake and Escalation</x:v>
      </x:c>
      <x:c r="E458" s="24" t="str">
        <x:v>DOT-002</x:v>
      </x:c>
      <x:c r="F458" s="24" t="str">
        <x:v>explicit_catalog_key_in_pooled_stream</x:v>
      </x:c>
      <x:c r="G458" s="24" t="str"/>
      <x:c r="H458" s="24" t="str">
        <x:v>Draft explicitly lists this catalog key. Pooled stream units are totals, not quantities per catalog member.</x:v>
      </x:c>
    </x:row>
    <x:row r="459" ht="24" hidden="0" customHeight="1">
      <x:c r="A459" s="1"/>
      <x:c r="B459" s="1"/>
      <x:c r="C459" s="23" t="str">
        <x:v>learn__etv_course__20</x:v>
      </x:c>
      <x:c r="D459" s="24" t="str">
        <x:v>Owner Practice: Measuring Site and AI ROI</x:v>
      </x:c>
      <x:c r="E459" s="24" t="str">
        <x:v>DOT-002</x:v>
      </x:c>
      <x:c r="F459" s="24" t="str">
        <x:v>explicit_catalog_key_in_pooled_stream</x:v>
      </x:c>
      <x:c r="G459" s="24" t="str"/>
      <x:c r="H459" s="24" t="str">
        <x:v>Draft explicitly lists this catalog key. Pooled stream units are totals, not quantities per catalog member.</x:v>
      </x:c>
    </x:row>
    <x:row r="460" ht="24" hidden="0" customHeight="1">
      <x:c r="A460" s="1"/>
      <x:c r="B460" s="1"/>
      <x:c r="C460" s="23" t="str">
        <x:v>learn__learn_anglais__concept_01</x:v>
      </x:c>
      <x:c r="D460" s="24" t="str">
        <x:v>Adult conversation 30 minutes</x:v>
      </x:c>
      <x:c r="E460" s="24" t="str">
        <x:v>DOT-127</x:v>
      </x:c>
      <x:c r="F460" s="24" t="str">
        <x:v>mapped_named_duration_variant</x:v>
      </x:c>
      <x:c r="G460" s="24" t="str"/>
      <x:c r="H460" s="24" t="str">
        <x:v>Exact 30-minute adult conversation stream appended; $24 remains historical illustration, not approved price.</x:v>
      </x:c>
    </x:row>
    <x:row r="461" ht="15" hidden="0" customHeight="1">
      <x:c r="A461" s="1"/>
      <x:c r="B461" s="1"/>
      <x:c r="C461" s="23" t="str">
        <x:v>learn__learn_anglais__concept_02</x:v>
      </x:c>
      <x:c r="D461" s="24" t="str">
        <x:v>Adult conversation 60 minutes</x:v>
      </x:c>
      <x:c r="E461" s="24" t="str">
        <x:v>DOT-112</x:v>
      </x:c>
      <x:c r="F461" s="24" t="str">
        <x:v>mapped_named_duration_variant</x:v>
      </x:c>
      <x:c r="G461" s="24" t="str"/>
      <x:c r="H461" s="24" t="str">
        <x:v>Exact 60-minute adult conversation, $45 historical illustration.</x:v>
      </x:c>
    </x:row>
    <x:row r="462" ht="15" hidden="0" customHeight="1">
      <x:c r="A462" s="1"/>
      <x:c r="B462" s="1"/>
      <x:c r="C462" s="23" t="str">
        <x:v>learn__learn_anglais__concept_03</x:v>
      </x:c>
      <x:c r="D462" s="24" t="str">
        <x:v>Teacher lesson 60 minutes</x:v>
      </x:c>
      <x:c r="E462" s="24" t="str">
        <x:v>DOT-113</x:v>
      </x:c>
      <x:c r="F462" s="24" t="str">
        <x:v>mapped_named_duration_variant</x:v>
      </x:c>
      <x:c r="G462" s="24" t="str"/>
      <x:c r="H462" s="24" t="str">
        <x:v>Exact 60-minute teacher-led lesson, $85 historical illustration.</x:v>
      </x:c>
    </x:row>
    <x:row r="463" ht="15" hidden="0" customHeight="1">
      <x:c r="A463" s="1"/>
      <x:c r="B463" s="1"/>
      <x:c r="C463" s="23" t="str">
        <x:v>learn__learn_anglais__concept_04</x:v>
      </x:c>
      <x:c r="D463" s="24" t="str">
        <x:v>Teacher lesson 120 minutes</x:v>
      </x:c>
      <x:c r="E463" s="24" t="str">
        <x:v>DOT-128</x:v>
      </x:c>
      <x:c r="F463" s="24" t="str">
        <x:v>mapped_named_duration_variant</x:v>
      </x:c>
      <x:c r="G463" s="24" t="str"/>
      <x:c r="H463" s="24" t="str">
        <x:v>Exact 120-minute teacher-led lesson appended, $165 historical illustration.</x:v>
      </x:c>
    </x:row>
    <x:row r="464" ht="24" hidden="0" customHeight="1">
      <x:c r="A464" s="1"/>
      <x:c r="B464" s="1"/>
      <x:c r="C464" s="23" t="str">
        <x:v>learn__learn_anglais__concept_05</x:v>
      </x:c>
      <x:c r="D464" s="24" t="str">
        <x:v>Self-study module</x:v>
      </x:c>
      <x:c r="E464" s="24" t="str">
        <x:v>DOT-114</x:v>
      </x:c>
      <x:c r="F464" s="24" t="str">
        <x:v>mapped_named_product</x:v>
      </x:c>
      <x:c r="G464" s="24" t="str"/>
      <x:c r="H464" s="24" t="str">
        <x:v>Self-study module is distinct; draft price is a Dot assumption rather than recovered $29 illustration.</x:v>
      </x:c>
    </x:row>
    <x:row r="465" ht="24" hidden="0" customHeight="1">
      <x:c r="A465" s="1"/>
      <x:c r="B465" s="1"/>
      <x:c r="C465" s="23" t="str">
        <x:v>learn__modellife_lesson__model_01</x:v>
      </x:c>
      <x:c r="D465" s="24" t="str">
        <x:v>Read the Call Sheet</x:v>
      </x:c>
      <x:c r="E465" s="24" t="str">
        <x:v>DOT-058</x:v>
      </x:c>
      <x:c r="F465" s="24" t="str">
        <x:v>included_role_lesson_component</x:v>
      </x:c>
      <x:c r="G465" s="24" t="str">
        <x:v>Model Life Atelier and editorial modules</x:v>
      </x:c>
      <x:c r="H465" s="24" t="str">
        <x:v>Included lesson under role entitlement; cost/module allocation only, no extra sale.</x:v>
      </x:c>
    </x:row>
    <x:row r="466" ht="24" hidden="0" customHeight="1">
      <x:c r="A466" s="1"/>
      <x:c r="B466" s="1"/>
      <x:c r="C466" s="23" t="str">
        <x:v>learn__modellife_lesson__model_02</x:v>
      </x:c>
      <x:c r="D466" s="24" t="str">
        <x:v>Casting Arrival</x:v>
      </x:c>
      <x:c r="E466" s="24" t="str">
        <x:v>DOT-058</x:v>
      </x:c>
      <x:c r="F466" s="24" t="str">
        <x:v>included_role_lesson_component</x:v>
      </x:c>
      <x:c r="G466" s="24" t="str">
        <x:v>Model Life Atelier and editorial modules</x:v>
      </x:c>
      <x:c r="H466" s="24" t="str">
        <x:v>Included lesson under role entitlement; cost/module allocation only, no extra sale.</x:v>
      </x:c>
    </x:row>
    <x:row r="467" ht="24" hidden="0" customHeight="1">
      <x:c r="A467" s="1"/>
      <x:c r="B467" s="1"/>
      <x:c r="C467" s="23" t="str">
        <x:v>learn__modellife_lesson__agency_01</x:v>
      </x:c>
      <x:c r="D467" s="24" t="str">
        <x:v>The Call Sheet</x:v>
      </x:c>
      <x:c r="E467" s="24" t="str">
        <x:v>DOT-059</x:v>
      </x:c>
      <x:c r="F467" s="24" t="str">
        <x:v>included_role_lesson_component</x:v>
      </x:c>
      <x:c r="G467" s="24" t="str">
        <x:v>Model Life Atelier and editorial modules</x:v>
      </x:c>
      <x:c r="H467" s="24" t="str">
        <x:v>Included lesson under role entitlement; cost/module allocation only, no extra sale.</x:v>
      </x:c>
    </x:row>
    <x:row r="468" ht="24" hidden="0" customHeight="1">
      <x:c r="A468" s="1"/>
      <x:c r="B468" s="1"/>
      <x:c r="C468" s="23" t="str">
        <x:v>learn__modellife_lesson__agency_02</x:v>
      </x:c>
      <x:c r="D468" s="24" t="str">
        <x:v>The Brief</x:v>
      </x:c>
      <x:c r="E468" s="24" t="str">
        <x:v>DOT-059</x:v>
      </x:c>
      <x:c r="F468" s="24" t="str">
        <x:v>included_role_lesson_component</x:v>
      </x:c>
      <x:c r="G468" s="24" t="str">
        <x:v>Model Life Atelier and editorial modules</x:v>
      </x:c>
      <x:c r="H468" s="24" t="str">
        <x:v>Included lesson under role entitlement; cost/module allocation only, no extra sale.</x:v>
      </x:c>
    </x:row>
    <x:row r="469" ht="24" hidden="0" customHeight="1">
      <x:c r="A469" s="1"/>
      <x:c r="B469" s="1"/>
      <x:c r="C469" s="23" t="str">
        <x:v>learn__modellife_lesson__casting_01</x:v>
      </x:c>
      <x:c r="D469" s="24" t="str">
        <x:v>A Fair Casting</x:v>
      </x:c>
      <x:c r="E469" s="24" t="str">
        <x:v>DOT-060</x:v>
      </x:c>
      <x:c r="F469" s="24" t="str">
        <x:v>included_role_lesson_component</x:v>
      </x:c>
      <x:c r="G469" s="24" t="str">
        <x:v>Model Life Atelier and editorial modules</x:v>
      </x:c>
      <x:c r="H469" s="24" t="str">
        <x:v>Included lesson under role entitlement; cost/module allocation only, no extra sale.</x:v>
      </x:c>
    </x:row>
    <x:row r="470" ht="24" hidden="0" customHeight="1">
      <x:c r="A470" s="1"/>
      <x:c r="B470" s="1"/>
      <x:c r="C470" s="23" t="str">
        <x:v>learn__modellife_lesson__casting_02</x:v>
      </x:c>
      <x:c r="D470" s="24" t="str">
        <x:v>The Five Lenses</x:v>
      </x:c>
      <x:c r="E470" s="24" t="str">
        <x:v>DOT-060</x:v>
      </x:c>
      <x:c r="F470" s="24" t="str">
        <x:v>included_role_lesson_component</x:v>
      </x:c>
      <x:c r="G470" s="24" t="str">
        <x:v>Model Life Atelier and editorial modules</x:v>
      </x:c>
      <x:c r="H470" s="24" t="str">
        <x:v>Included lesson under role entitlement; cost/module allocation only, no extra sale.</x:v>
      </x:c>
    </x:row>
    <x:row r="471" ht="24" hidden="0" customHeight="1">
      <x:c r="A471" s="1"/>
      <x:c r="B471" s="1"/>
      <x:c r="C471" s="23" t="str">
        <x:v>learn__modellife_lesson__brand_01</x:v>
      </x:c>
      <x:c r="D471" s="24" t="str">
        <x:v>The House Brief</x:v>
      </x:c>
      <x:c r="E471" s="24" t="str">
        <x:v>DOT-061</x:v>
      </x:c>
      <x:c r="F471" s="24" t="str">
        <x:v>included_role_lesson_component</x:v>
      </x:c>
      <x:c r="G471" s="24" t="str">
        <x:v>Model Life Atelier and editorial modules</x:v>
      </x:c>
      <x:c r="H471" s="24" t="str">
        <x:v>Included lesson under role entitlement; cost/module allocation only, no extra sale.</x:v>
      </x:c>
    </x:row>
    <x:row r="472" ht="24" hidden="0" customHeight="1">
      <x:c r="A472" s="1"/>
      <x:c r="B472" s="1"/>
      <x:c r="C472" s="23" t="str">
        <x:v>learn__modellife_lesson__brand_02</x:v>
      </x:c>
      <x:c r="D472" s="24" t="str">
        <x:v>Fitting Room</x:v>
      </x:c>
      <x:c r="E472" s="24" t="str">
        <x:v>DOT-061</x:v>
      </x:c>
      <x:c r="F472" s="24" t="str">
        <x:v>included_role_lesson_component</x:v>
      </x:c>
      <x:c r="G472" s="24" t="str">
        <x:v>Model Life Atelier and editorial modules</x:v>
      </x:c>
      <x:c r="H472" s="24" t="str">
        <x:v>Included lesson under role entitlement; cost/module allocation only, no extra sale.</x:v>
      </x:c>
    </x:row>
    <x:row r="473" ht="24" hidden="0" customHeight="1">
      <x:c r="A473" s="1"/>
      <x:c r="B473" s="1"/>
      <x:c r="C473" s="23" t="str">
        <x:v>learn__modellife_lesson__marketing_01</x:v>
      </x:c>
      <x:c r="D473" s="24" t="str">
        <x:v>The Campaign Brief</x:v>
      </x:c>
      <x:c r="E473" s="24" t="str">
        <x:v>DOT-062</x:v>
      </x:c>
      <x:c r="F473" s="24" t="str">
        <x:v>included_role_lesson_component</x:v>
      </x:c>
      <x:c r="G473" s="24" t="str">
        <x:v>Model Life Atelier and editorial modules</x:v>
      </x:c>
      <x:c r="H473" s="24" t="str">
        <x:v>Included lesson under role entitlement; cost/module allocation only, no extra sale.</x:v>
      </x:c>
    </x:row>
    <x:row r="474" ht="24" hidden="0" customHeight="1">
      <x:c r="A474" s="1"/>
      <x:c r="B474" s="1"/>
      <x:c r="C474" s="23" t="str">
        <x:v>learn__modellife_lesson__marketing_02</x:v>
      </x:c>
      <x:c r="D474" s="24" t="str">
        <x:v>Project Access</x:v>
      </x:c>
      <x:c r="E474" s="24" t="str">
        <x:v>DOT-062</x:v>
      </x:c>
      <x:c r="F474" s="24" t="str">
        <x:v>included_role_lesson_component</x:v>
      </x:c>
      <x:c r="G474" s="24" t="str">
        <x:v>Model Life Atelier and editorial modules</x:v>
      </x:c>
      <x:c r="H474" s="24" t="str">
        <x:v>Included lesson under role entitlement; cost/module allocation only, no extra sale.</x:v>
      </x:c>
    </x:row>
    <x:row r="475" ht="24" hidden="0" customHeight="1">
      <x:c r="A475" s="1"/>
      <x:c r="B475" s="1"/>
      <x:c r="C475" s="23" t="str">
        <x:v>scope__fin_02</x:v>
      </x:c>
      <x:c r="D475" s="24" t="str">
        <x:v>ETV website app and assistant services</x:v>
      </x:c>
      <x:c r="E475" s="24" t="str">
        <x:v>DOT-003, DOT-004, DOT-005, DOT-006</x:v>
      </x:c>
      <x:c r="F475" s="24" t="str">
        <x:v>nonadditive_parent_summary</x:v>
      </x:c>
      <x:c r="G475" s="24" t="str">
        <x:v>ETV persona and assistant capabilities</x:v>
      </x:c>
      <x:c r="H475" s="24" t="str">
        <x:v>Parent scope summarizes four mapped current services; do not add parent revenue.</x:v>
      </x:c>
    </x:row>
    <x:row r="476" ht="24" hidden="0" customHeight="1">
      <x:c r="A476" s="1"/>
      <x:c r="B476" s="1"/>
      <x:c r="C476" s="23" t="str">
        <x:v>scope__fin_04</x:v>
      </x:c>
      <x:c r="D476" s="24" t="str">
        <x:v>CornerFlow and the DishLoom naming case</x:v>
      </x:c>
      <x:c r="E476" s="24" t="str">
        <x:v>DOT-033, DOT-034, DOT-039, DOT-040, DOT-041</x:v>
      </x:c>
      <x:c r="F476" s="24" t="str">
        <x:v>scope_subdivided_into_explicit_dot_hypotheses</x:v>
      </x:c>
      <x:c r="G476" s="24" t="str"/>
      <x:c r="H476" s="24" t="str">
        <x:v>CornerFlow retailer and DishLoom culinary scopes remain distinct; source contains no permanent SKU for these proposed subdivisions.</x:v>
      </x:c>
    </x:row>
    <x:row r="477" ht="36" hidden="0" customHeight="1">
      <x:c r="A477" s="1"/>
      <x:c r="B477" s="1"/>
      <x:c r="C477" s="23" t="str">
        <x:v>scope__fin_05</x:v>
      </x:c>
      <x:c r="D477" s="24" t="str">
        <x:v>Is Makes Travel Easy</x:v>
      </x:c>
      <x:c r="E477" s="24" t="str">
        <x:v>DOT-042, DOT-043, DOT-044, DOT-045</x:v>
      </x:c>
      <x:c r="F477" s="24" t="str">
        <x:v>scope_subdivided_into_explicit_dot_hypotheses</x:v>
      </x:c>
      <x:c r="G477" s="24" t="str"/>
      <x:c r="H477" s="24" t="str">
        <x:v>Trip-bound access, professional access, advertising and host-transaction mechanisms are separately identified draft hypotheses; source parent is not an additional sale.</x:v>
      </x:c>
    </x:row>
    <x:row r="478" ht="24" hidden="0" customHeight="1">
      <x:c r="A478" s="1"/>
      <x:c r="B478" s="1"/>
      <x:c r="C478" s="23" t="str">
        <x:v>scope__fin_06</x:v>
      </x:c>
      <x:c r="D478" s="24" t="str">
        <x:v>Spindle garment care</x:v>
      </x:c>
      <x:c r="E478" s="24" t="str">
        <x:v>DOT-035, DOT-036</x:v>
      </x:c>
      <x:c r="F478" s="24" t="str">
        <x:v>scope_subdivided_into_explicit_dot_hypotheses</x:v>
      </x:c>
      <x:c r="G478" s="24" t="str"/>
      <x:c r="H478" s="24" t="str">
        <x:v>Merchant service and separately scoped onboarding; onboarded customer may also subscribe, but same onboarding fee cannot recur monthly.</x:v>
      </x:c>
    </x:row>
    <x:row r="479" ht="24" hidden="0" customHeight="1">
      <x:c r="A479" s="1"/>
      <x:c r="B479" s="1"/>
      <x:c r="C479" s="23" t="str">
        <x:v>scope__fin_07</x:v>
      </x:c>
      <x:c r="D479" s="24" t="str">
        <x:v>Maison Contour</x:v>
      </x:c>
      <x:c r="E479" s="24" t="str">
        <x:v>DOT-037, DOT-038</x:v>
      </x:c>
      <x:c r="F479" s="24" t="str">
        <x:v>scope_subdivided_into_explicit_dot_hypotheses</x:v>
      </x:c>
      <x:c r="G479" s="24" t="str"/>
      <x:c r="H479" s="24" t="str">
        <x:v>Salon service and separately scoped onboarding; source parent is not an additional sale.</x:v>
      </x:c>
    </x:row>
    <x:row r="480" ht="15" hidden="0" customHeight="1">
      <x:c r="A480" s="1"/>
      <x:c r="B480" s="1"/>
      <x:c r="C480" s="23" t="str">
        <x:v>scope__fin_12</x:v>
      </x:c>
      <x:c r="D480" s="24" t="str">
        <x:v>VraiSkill Red Alert lane</x:v>
      </x:c>
      <x:c r="E480" s="24" t="str"/>
      <x:c r="F480" s="24" t="str">
        <x:v>explicit_nonrevenue</x:v>
      </x:c>
      <x:c r="G480" s="24" t="str">
        <x:v>VraiSkill Red Alert production</x:v>
      </x:c>
      <x:c r="H480" s="24" t="str">
        <x:v>Production lane only; course sale counted elsewhere.</x:v>
      </x:c>
    </x:row>
    <x:row r="481" ht="24" hidden="0" customHeight="1">
      <x:c r="A481" s="1"/>
      <x:c r="B481" s="1"/>
      <x:c r="C481" s="23" t="str">
        <x:v>scope__fin_13</x:v>
      </x:c>
      <x:c r="D481" s="24" t="str">
        <x:v>Model Life</x:v>
      </x:c>
      <x:c r="E481" s="24" t="str">
        <x:v>DOT-058, DOT-059, DOT-060, DOT-061, DOT-062</x:v>
      </x:c>
      <x:c r="F481" s="24" t="str">
        <x:v>parent_role_entitlement_hypotheses</x:v>
      </x:c>
      <x:c r="G481" s="24" t="str">
        <x:v>Model Life Atelier and editorial modules</x:v>
      </x:c>
      <x:c r="H481" s="24" t="str">
        <x:v>Distinct role subscriptions may be modeled once; no additional revenue for included authoring/Atelier modules.</x:v>
      </x:c>
    </x:row>
    <x:row r="482" ht="24" hidden="0" customHeight="1">
      <x:c r="A482" s="1"/>
      <x:c r="B482" s="1"/>
      <x:c r="C482" s="23" t="str">
        <x:v>scope__fin_25</x:v>
      </x:c>
      <x:c r="D482" s="24" t="str">
        <x:v>QzoticMusic and Saturday Lounge</x:v>
      </x:c>
      <x:c r="E482" s="24" t="str">
        <x:v>DOT-106, DOT-107, DOT-108</x:v>
      </x:c>
      <x:c r="F482" s="24" t="str">
        <x:v>scope_subdivided_into_explicit_dot_hypotheses</x:v>
      </x:c>
      <x:c r="G482" s="24" t="str"/>
      <x:c r="H482" s="24" t="str">
        <x:v>Supporter subscription, authorized event tickets and sponsorship are separately named draft mechanisms; these are not verified original SKUs.</x:v>
      </x:c>
    </x:row>
    <x:row r="483" ht="24" hidden="0" customHeight="1">
      <x:c r="A483" s="1"/>
      <x:c r="B483" s="1"/>
      <x:c r="C483" s="23" t="str">
        <x:v>scope__fin_26</x:v>
      </x:c>
      <x:c r="D483" s="24" t="str">
        <x:v>LesPetitFilms</x:v>
      </x:c>
      <x:c r="E483" s="24" t="str">
        <x:v>DOT-109, DOT-110, DOT-111</x:v>
      </x:c>
      <x:c r="F483" s="24" t="str">
        <x:v>scope_subdivided_into_explicit_dot_hypotheses</x:v>
      </x:c>
      <x:c r="G483" s="24" t="str"/>
      <x:c r="H483" s="24" t="str">
        <x:v>Commission, sponsored program and distribution license are separately named draft mechanisms; source parent is not extra revenue.</x:v>
      </x:c>
    </x:row>
    <x:row r="484" ht="24" hidden="0" customHeight="1">
      <x:c r="A484" s="1"/>
      <x:c r="B484" s="1"/>
      <x:c r="C484" s="23" t="str">
        <x:v>scope__fin_28</x:v>
      </x:c>
      <x:c r="D484" s="24" t="str">
        <x:v>Fiefe Design</x:v>
      </x:c>
      <x:c r="E484" s="24" t="str">
        <x:v>DOT-116, DOT-117, DOT-118</x:v>
      </x:c>
      <x:c r="F484" s="24" t="str">
        <x:v>scope_subdivided_into_explicit_dot_hypotheses</x:v>
      </x:c>
      <x:c r="G484" s="24" t="str"/>
      <x:c r="H484" s="24" t="str">
        <x:v>Scarves/accessories, ties/accessories and bespoke couture are draft subdivisions; verify accessory scopes are disjoint.</x:v>
      </x:c>
    </x:row>
    <x:row r="485" ht="24" hidden="0" customHeight="1">
      <x:c r="A485" s="1"/>
      <x:c r="B485" s="1"/>
      <x:c r="C485" s="23" t="str">
        <x:v>scope__fin_29</x:v>
      </x:c>
      <x:c r="D485" s="24" t="str">
        <x:v>OsezArt</x:v>
      </x:c>
      <x:c r="E485" s="24" t="str">
        <x:v>DOT-119, DOT-120, DOT-121, DOT-122</x:v>
      </x:c>
      <x:c r="F485" s="24" t="str">
        <x:v>scope_subdivided_into_explicit_dot_hypotheses</x:v>
      </x:c>
      <x:c r="G485" s="24" t="str"/>
      <x:c r="H485" s="24" t="str">
        <x:v>Brokerage, education, exhibition and museum consulting are draft subdivisions; source parent is not additional revenue.</x:v>
      </x:c>
    </x:row>
    <x:row r="486" ht="24" hidden="0" customHeight="1">
      <x:c r="A486" s="1"/>
      <x:c r="B486" s="1"/>
      <x:c r="C486" s="23" t="str">
        <x:v>scope__fin_30</x:v>
      </x:c>
      <x:c r="D486" s="24" t="str">
        <x:v>FinBot and trading signal service</x:v>
      </x:c>
      <x:c r="E486" s="24" t="str">
        <x:v>DOT-123</x:v>
      </x:c>
      <x:c r="F486" s="24" t="str">
        <x:v>scope_subdivided_into_explicit_dot_hypotheses</x:v>
      </x:c>
      <x:c r="G486" s="24" t="str"/>
      <x:c r="H486" s="24" t="str">
        <x:v>Only conditional information subscription maps to commercial source scope; internal trading infrastructure and investment gains are nonrevenue.</x:v>
      </x:c>
    </x:row>
    <x:row r="487" ht="15" hidden="0" customHeight="1">
      <x:c r="A487" s="1"/>
      <x:c r="B487" s="1"/>
      <x:c r="C487" s="23" t="str">
        <x:v>scope__fin_31</x:v>
      </x:c>
      <x:c r="D487" s="24" t="str">
        <x:v>Tomato Chronicles retained pause</x:v>
      </x:c>
      <x:c r="E487" s="24" t="str"/>
      <x:c r="F487" s="24" t="str">
        <x:v>explicit_nonrevenue</x:v>
      </x:c>
      <x:c r="G487" s="24" t="str">
        <x:v>Tomato Chronicles</x:v>
      </x:c>
      <x:c r="H487" s="24" t="str">
        <x:v>Retained pause preserved.</x:v>
      </x:c>
    </x:row>
    <x:row r="488" ht="15" hidden="0" customHeight="1">
      <x:c r="A488" s="1"/>
      <x:c r="B488" s="1"/>
      <x:c r="C488" s="23" t="str">
        <x:v>scope__fin_32</x:v>
      </x:c>
      <x:c r="D488" s="24" t="str">
        <x:v>MasterMind retained pause</x:v>
      </x:c>
      <x:c r="E488" s="24" t="str"/>
      <x:c r="F488" s="24" t="str">
        <x:v>explicit_nonrevenue</x:v>
      </x:c>
      <x:c r="G488" s="24" t="str">
        <x:v>MasterMind</x:v>
      </x:c>
      <x:c r="H488" s="24" t="str">
        <x:v>Retained pause preserved.</x:v>
      </x:c>
    </x:row>
    <x:row r="489" ht="15" hidden="0" customHeight="1">
      <x:c r="A489" s="1"/>
      <x:c r="B489" s="1"/>
      <x:c r="C489" s="23" t="str">
        <x:v>scope__fin_33</x:v>
      </x:c>
      <x:c r="D489" s="24" t="str">
        <x:v>Swifty budget and tax retained pause</x:v>
      </x:c>
      <x:c r="E489" s="24" t="str"/>
      <x:c r="F489" s="24" t="str">
        <x:v>explicit_nonrevenue</x:v>
      </x:c>
      <x:c r="G489" s="24" t="str">
        <x:v>Swifty</x:v>
      </x:c>
      <x:c r="H489" s="24" t="str">
        <x:v>Retained pause preserved.</x:v>
      </x:c>
    </x:row>
    <x:row r="490" ht="15" hidden="0" customHeight="1">
      <x:c r="A490" s="1"/>
      <x:c r="B490" s="1"/>
      <x:c r="C490" s="23" t="str">
        <x:v>scope__fin_34</x:v>
      </x:c>
      <x:c r="D490" s="24" t="str">
        <x:v>Natur ai Vox retained pause</x:v>
      </x:c>
      <x:c r="E490" s="24" t="str"/>
      <x:c r="F490" s="24" t="str">
        <x:v>explicit_nonrevenue</x:v>
      </x:c>
      <x:c r="G490" s="24" t="str">
        <x:v>Natur-ai-Vox</x:v>
      </x:c>
      <x:c r="H490" s="24" t="str">
        <x:v>Retained pause preserved.</x:v>
      </x:c>
    </x:row>
    <x:row r="491" ht="24" hidden="0" customHeight="1">
      <x:c r="A491" s="1"/>
      <x:c r="B491" s="1"/>
      <x:c r="C491" s="23" t="str">
        <x:v>scope__fin_36</x:v>
      </x:c>
      <x:c r="D491" s="24" t="str">
        <x:v>Functional Analysis</x:v>
      </x:c>
      <x:c r="E491" s="24" t="str">
        <x:v>DOT-124, DOT-125</x:v>
      </x:c>
      <x:c r="F491" s="24" t="str">
        <x:v>scope_subdivided_into_explicit_dot_hypotheses</x:v>
      </x:c>
      <x:c r="G491" s="24" t="str"/>
      <x:c r="H491" s="24" t="str">
        <x:v>Personal license and facilitated use are source-described separate hypotheses, not approved offers.</x:v>
      </x:c>
    </x:row>
    <x:row r="492" ht="15" hidden="0" customHeight="1">
      <x:c r="A492" s="1"/>
      <x:c r="B492" s="1"/>
      <x:c r="C492" s="23" t="str">
        <x:v>scope__fin_37__branded_pitch</x:v>
      </x:c>
      <x:c r="D492" s="24" t="str">
        <x:v>Private manufacturer-branded candy pitch</x:v>
      </x:c>
      <x:c r="E492" s="24" t="str"/>
      <x:c r="F492" s="24" t="str">
        <x:v>explicit_nonrevenue</x:v>
      </x:c>
      <x:c r="G492" s="24" t="str">
        <x:v>Manufacturer-branded candy pitch</x:v>
      </x:c>
      <x:c r="H492" s="24" t="str">
        <x:v>No manufacturer agreement; do not infer royalty revenue.</x:v>
      </x:c>
    </x:row>
    <x:row r="493" ht="24" hidden="0" customHeight="1">
      <x:c r="A493" s="1"/>
      <x:c r="B493" s="1"/>
      <x:c r="C493" s="23" t="str">
        <x:v>scope__fin_37__independent</x:v>
      </x:c>
      <x:c r="D493" s="24" t="str">
        <x:v>Independent ColorCircle working edition</x:v>
      </x:c>
      <x:c r="E493" s="24" t="str">
        <x:v>DOT-126</x:v>
      </x:c>
      <x:c r="F493" s="24" t="str">
        <x:v>scope_subdivided_into_explicit_dot_hypotheses</x:v>
      </x:c>
      <x:c r="G493" s="24" t="str"/>
      <x:c r="H493" s="24" t="str">
        <x:v>Independent consumer access is a Dot commercialization hypothesis, not an approved brand name or fixed price.</x:v>
      </x:c>
    </x:row>
    <x:row r="494" ht="36" hidden="0" customHeight="1">
      <x:c r="A494" s="1"/>
      <x:c r="B494" s="1"/>
      <x:c r="C494" s="23" t="str">
        <x:v>scope__fin_08__ai_workpaper_check</x:v>
      </x:c>
      <x:c r="D494" s="24" t="str">
        <x:v>AI Workpaper Check</x:v>
      </x:c>
      <x:c r="E494" s="24" t="str">
        <x:v>DOT-051</x:v>
      </x:c>
      <x:c r="F494" s="24" t="str">
        <x:v>unverified_new_commercial_entitlement</x:v>
      </x:c>
      <x:c r="G494" s="24" t="str"/>
      <x:c r="H494" s="24" t="str">
        <x:v>Source is an educational surface, not a verified separate SKU. DOT-051 creates a separate paid-access hypothesis; no inherited TTME/Trust Me authority applies.</x:v>
      </x:c>
    </x:row>
    <x:row r="495" ht="24" hidden="0" customHeight="1">
      <x:c r="A495" s="1"/>
      <x:c r="B495" s="1"/>
      <x:c r="C495" s="23" t="str">
        <x:v>learn__etv_service__etv_s001</x:v>
      </x:c>
      <x:c r="D495" s="24" t="str">
        <x:v>Site and inquiry journey</x:v>
      </x:c>
      <x:c r="E495" s="24" t="str">
        <x:v>DOT-003</x:v>
      </x:c>
      <x:c r="F495" s="24" t="str">
        <x:v>mapped_named_product</x:v>
      </x:c>
      <x:c r="G495" s="24" t="str"/>
      <x:c r="H495" s="24" t="str">
        <x:v>Exact current service name and scope; quote-based service, not historical five-concept catalog.</x:v>
      </x:c>
    </x:row>
    <x:row r="496" ht="24" hidden="0" customHeight="1">
      <x:c r="A496" s="1"/>
      <x:c r="B496" s="1"/>
      <x:c r="C496" s="23" t="str">
        <x:v>learn__etv_service__etv_s002</x:v>
      </x:c>
      <x:c r="D496" s="24" t="str">
        <x:v>FAQ and workflow bots</x:v>
      </x:c>
      <x:c r="E496" s="24" t="str">
        <x:v>DOT-004</x:v>
      </x:c>
      <x:c r="F496" s="24" t="str">
        <x:v>mapped_named_product</x:v>
      </x:c>
      <x:c r="G496" s="24" t="str"/>
      <x:c r="H496" s="24" t="str">
        <x:v>Exact current service name and scope; quote-based service, not historical five-concept catalog.</x:v>
      </x:c>
    </x:row>
    <x:row r="497" ht="24" hidden="0" customHeight="1">
      <x:c r="A497" s="1"/>
      <x:c r="B497" s="1"/>
      <x:c r="C497" s="23" t="str">
        <x:v>learn__etv_service__etv_s003</x:v>
      </x:c>
      <x:c r="D497" s="24" t="str">
        <x:v>Operations and controls</x:v>
      </x:c>
      <x:c r="E497" s="24" t="str">
        <x:v>DOT-005</x:v>
      </x:c>
      <x:c r="F497" s="24" t="str">
        <x:v>mapped_named_product</x:v>
      </x:c>
      <x:c r="G497" s="24" t="str"/>
      <x:c r="H497" s="24" t="str">
        <x:v>Exact current service name and scope; quote-based service, not historical five-concept catalog.</x:v>
      </x:c>
    </x:row>
    <x:row r="498" ht="24" hidden="0" customHeight="1">
      <x:c r="A498" s="1"/>
      <x:c r="B498" s="1"/>
      <x:c r="C498" s="23" t="str">
        <x:v>learn__etv_service__etv_s004</x:v>
      </x:c>
      <x:c r="D498" s="24" t="str">
        <x:v>Team practice</x:v>
      </x:c>
      <x:c r="E498" s="24" t="str">
        <x:v>DOT-006</x:v>
      </x:c>
      <x:c r="F498" s="24" t="str">
        <x:v>mapped_named_product</x:v>
      </x:c>
      <x:c r="G498" s="24" t="str"/>
      <x:c r="H498" s="24" t="str">
        <x:v>Exact current service name and scope; quote-based service, not historical five-concept catalog.</x:v>
      </x:c>
    </x:row>
    <x:row r="499" ht="16" customHeight="1">
      <x:c r="A499" s="1"/>
      <x:c r="B499" s="1"/>
      <x:c r="C499" s="1"/>
      <x:c r="D499" s="10"/>
      <x:c r="E499" s="10"/>
      <x:c r="F499" s="10"/>
      <x:c r="G499" s="10"/>
      <x:c r="H499" s="10"/>
    </x:row>
    <x:row r="500" ht="16" customHeight="1">
      <x:c r="A500" s="1"/>
      <x:c r="B500" s="1"/>
      <x:c r="C500" s="1"/>
      <x:c r="D500" s="10"/>
      <x:c r="E500" s="10"/>
      <x:c r="F500" s="10"/>
      <x:c r="G500" s="10"/>
      <x:c r="H500" s="10"/>
    </x:row>
    <x:row r="501" ht="16" customHeight="1">
      <x:c r="A501" s="1"/>
      <x:c r="B501" s="1"/>
      <x:c r="C501" s="1"/>
      <x:c r="D501" s="10"/>
      <x:c r="E501" s="10"/>
      <x:c r="F501" s="10"/>
      <x:c r="G501" s="10"/>
      <x:c r="H501" s="10"/>
    </x:row>
    <x:row r="502" ht="16" customHeight="1">
      <x:c r="A502" s="1"/>
      <x:c r="B502" s="1"/>
      <x:c r="C502" s="1"/>
      <x:c r="D502" s="10"/>
      <x:c r="E502" s="10"/>
      <x:c r="F502" s="10"/>
      <x:c r="G502" s="10"/>
      <x:c r="H502" s="10"/>
    </x:row>
    <x:row r="503" ht="16" customHeight="1">
      <x:c r="A503" s="1"/>
      <x:c r="B503" s="1"/>
      <x:c r="C503" s="1"/>
      <x:c r="D503" s="10"/>
      <x:c r="E503" s="10"/>
      <x:c r="F503" s="10"/>
      <x:c r="G503" s="10"/>
      <x:c r="H503" s="10"/>
    </x:row>
    <x:row r="504" ht="16" customHeight="1">
      <x:c r="A504" s="1"/>
      <x:c r="B504" s="1"/>
      <x:c r="C504" s="1"/>
      <x:c r="D504" s="10"/>
      <x:c r="E504" s="10"/>
      <x:c r="F504" s="10"/>
      <x:c r="G504" s="10"/>
      <x:c r="H504" s="10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22" hidden="0" customWidth="1"/>
    <x:col min="4" max="4" width="80" hidden="0" customWidth="1"/>
    <x:col min="5" max="5" width="28" hidden="0" customWidth="1"/>
    <x:col min="6" max="6" width="75" hidden="0" customWidth="1"/>
    <x:col min="7" max="7" width="75" hidden="0" customWidth="1"/>
  </x:cols>
  <x:sheetData>
    <x:row r="1" ht="16" customHeight="1">
      <x:c r="A1" s="1"/>
      <x:c r="B1" s="1"/>
      <x:c r="C1" s="1"/>
      <x:c r="D1" s="1"/>
      <x:c r="E1" s="1"/>
      <x:c r="F1" s="1"/>
      <x:c r="G1" s="1"/>
    </x:row>
    <x:row r="2" ht="16" customHeight="1">
      <x:c r="A2" s="1"/>
      <x:c r="B2" s="1"/>
      <x:c r="C2" s="2" t="str">
        <x:v>Source register</x:v>
      </x:c>
      <x:c r="D2" s="2"/>
      <x:c r="E2" s="2"/>
      <x:c r="F2" s="2"/>
      <x:c r="G2" s="2"/>
      <x:c r="H2" s="2"/>
    </x:row>
    <x:row r="3" ht="16" customHeight="1">
      <x:c r="A3" s="1"/>
      <x:c r="B3" s="1"/>
      <x:c r="C3" s="3"/>
      <x:c r="D3" s="3"/>
      <x:c r="E3" s="3"/>
      <x:c r="F3" s="3"/>
      <x:c r="G3" s="3"/>
      <x:c r="H3" s="4"/>
    </x:row>
    <x:row r="4" ht="16" customHeight="1">
      <x:c r="A4" s="1"/>
      <x:c r="B4" s="1"/>
      <x:c r="C4" s="1" t="str">
        <x:v>Dot comparison assumptions. USD. Not an owner or AF&amp;I budget.</x:v>
      </x:c>
      <x:c r="D4" s="1"/>
      <x:c r="E4" s="1"/>
      <x:c r="F4" s="1"/>
      <x:c r="G4" s="1"/>
    </x:row>
    <x:row r="5" ht="16" customHeight="1">
      <x:c r="A5" s="1"/>
      <x:c r="B5" s="1"/>
      <x:c r="C5" s="1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</x:row>
    <x:row r="6" ht="16" customHeight="1">
      <x:c r="A6" s="1"/>
      <x:c r="B6" s="1"/>
      <x:c r="C6" s="1"/>
      <x:c r="D6" s="1"/>
      <x:c r="E6" s="1"/>
      <x:c r="F6" s="1"/>
      <x:c r="G6" s="1"/>
    </x:row>
    <x:row r="7" ht="43" customHeight="1">
      <x:c r="A7" s="1"/>
      <x:c r="B7" s="1"/>
      <x:c r="C7" s="20" t="str">
        <x:v>Policy</x:v>
      </x:c>
      <x:c r="D7" s="20" t="str">
        <x:v>Definition</x:v>
      </x:c>
      <x:c r="E7" s="20"/>
      <x:c r="F7" s="20"/>
      <x:c r="G7" s="20"/>
    </x:row>
    <x:row r="8" ht="15" hidden="0" customHeight="1">
      <x:c r="A8" s="1"/>
      <x:c r="B8" s="1"/>
      <x:c r="C8" s="23" t="str">
        <x:v>identity</x:v>
      </x:c>
      <x:c r="D8" s="24" t="str">
        <x:v>Dot comparison budget, not owner submission, AF&amp;I approval or actual results</x:v>
      </x:c>
      <x:c r="E8" s="24"/>
      <x:c r="F8" s="24"/>
      <x:c r="G8" s="24"/>
    </x:row>
    <x:row r="9" ht="24" hidden="0" customHeight="1">
      <x:c r="A9" s="1"/>
      <x:c r="B9" s="1"/>
      <x:c r="C9" s="23" t="str">
        <x:v>years</x:v>
      </x:c>
      <x:c r="D9" s="24" t="str">
        <x:v>Year 1 is the first twelve-month comparison period from an unassigned common start. Hypothetical operating months do not set launch dates.</x:v>
      </x:c>
      <x:c r="E9" s="24"/>
      <x:c r="F9" s="24"/>
      <x:c r="G9" s="24"/>
    </x:row>
    <x:row r="10" ht="24" hidden="0" customHeight="1">
      <x:c r="A10" s="1"/>
      <x:c r="B10" s="1"/>
      <x:c r="C10" s="23" t="str">
        <x:v>cases</x:v>
      </x:c>
      <x:c r="D10" s="24" t="str">
        <x:v>Low: 50% volume, 90% assumed prices, 115% unit costs. Base: stated inputs. High: 150% volume, 110% assumed prices, 95% unit costs. Authorized price anchors stay unchanged across cases.</x:v>
      </x:c>
      <x:c r="E10" s="24"/>
      <x:c r="F10" s="24"/>
      <x:c r="G10" s="24"/>
    </x:row>
    <x:row r="11" ht="15" hidden="0" customHeight="1">
      <x:c r="A11" s="1"/>
      <x:c r="B11" s="1"/>
      <x:c r="C11" s="23" t="str">
        <x:v>uplift</x:v>
      </x:c>
      <x:c r="D11" s="24" t="str">
        <x:v>Separate +20% volume case. Costs and cash recompute from drivers; fixed costs are not mechanically increased.</x:v>
      </x:c>
      <x:c r="E11" s="24"/>
      <x:c r="F11" s="24"/>
      <x:c r="G11" s="24"/>
    </x:row>
    <x:row r="12" ht="24" hidden="0" customHeight="1">
      <x:c r="A12" s="1"/>
      <x:c r="B12" s="1"/>
      <x:c r="C12" s="23" t="str">
        <x:v>authority</x:v>
      </x:c>
      <x:c r="D12" s="24" t="str">
        <x:v>$0 external funding and no spending authority. Targets requiring cash or qualifications remain conditional. Existing earned cash is not assumed verified.</x:v>
      </x:c>
      <x:c r="E12" s="24"/>
      <x:c r="F12" s="24"/>
      <x:c r="G12" s="24"/>
    </x:row>
    <x:row r="13" ht="24" hidden="0" customHeight="1">
      <x:c r="A13" s="1"/>
      <x:c r="B13" s="1"/>
      <x:c r="C13" s="23" t="str">
        <x:v>scope</x:v>
      </x:c>
      <x:c r="D13" s="24" t="str">
        <x:v>Catalog families pool disjoint purchase cohorts; language variants and course counts do not multiply buyers. Marketplace gross order value is separate from net commission.</x:v>
      </x:c>
      <x:c r="E13" s="24"/>
      <x:c r="F13" s="24"/>
      <x:c r="G13" s="24"/>
    </x:row>
    <x:row r="14" ht="24" hidden="0" customHeight="1">
      <x:c r="A14" s="1"/>
      <x:c r="B14" s="1"/>
      <x:c r="C14" s="23" t="str">
        <x:v>labor</x:v>
      </x:c>
      <x:c r="D14" s="24" t="str">
        <x:v>Paid human delivery/support and specialist shared capacity are cash requirements, not staffed employees. Founder preparation and coordination are separately disclosed unpaid opportunity cost. AI departments are not fictitious paid people.</x:v>
      </x:c>
      <x:c r="E14" s="24"/>
      <x:c r="F14" s="24"/>
      <x:c r="G14" s="24"/>
    </x:row>
    <x:row r="15" ht="24" hidden="0" customHeight="1">
      <x:c r="A15" s="1"/>
      <x:c r="B15" s="1"/>
      <x:c r="C15" s="23" t="str">
        <x:v>tax</x:v>
      </x:c>
      <x:c r="D15" s="24" t="str">
        <x:v>25% illustrative provision on positive reporting-family profit after shared overhead and modeled same-family loss pools. Reporting families are not verified legal tax entities; no cross-family offset or tax compliance claim.</x:v>
      </x:c>
      <x:c r="E15" s="24"/>
      <x:c r="F15" s="24"/>
      <x:c r="G15" s="24"/>
    </x:row>
    <x:row r="16" ht="36" hidden="0" customHeight="1">
      <x:c r="A16" s="1"/>
      <x:c r="B16" s="1"/>
      <x:c r="C16" s="23" t="str">
        <x:v>long_horizon</x:v>
      </x:c>
      <x:c r="D16" s="24" t="str">
        <x:v>Repeat units plus new acquisition drive volume by stream type. Acquisition grows 10–20% through Year 5 and 3% thereafter. Assumed prices rise 2%, authorized/historical founder price anchors remain flat; unit costs rise 3%. No market-demand evidence supports these hypotheses.</x:v>
      </x:c>
      <x:c r="E16" s="24"/>
      <x:c r="F16" s="24"/>
      <x:c r="G16" s="24"/>
    </x:row>
    <x:row r="17" ht="24" hidden="0" customHeight="1">
      <x:c r="A17" s="1"/>
      <x:c r="B17" s="1"/>
      <x:c r="C17" s="23" t="str">
        <x:v>processing</x:v>
      </x:c>
      <x:c r="D17" s="24" t="str">
        <x:v>Stripe standard US domestic online card assumption: 2.9% + $0.30 per successful charge on gross customer charges. Original fees retained after refunds. International, FX, tax and non-card fees excluded; mix sensitivity required.</x:v>
      </x:c>
      <x:c r="E17" s="24"/>
      <x:c r="F17" s="24"/>
      <x:c r="G17" s="24"/>
    </x:row>
    <x:row r="18" ht="24" hidden="0" customHeight="1">
      <x:c r="A18" s="1"/>
      <x:c r="B18" s="1"/>
      <x:c r="C18" s="23" t="str">
        <x:v>coverage</x:v>
      </x:c>
      <x:c r="D18" s="24" t="str">
        <x:v>334 catalog records reviewed; conditional offers and included modules are not additive sales. Three Sleepy Face garment categories remain unclassified within total apparel, not omitted from the family target.</x:v>
      </x:c>
      <x:c r="E18" s="24"/>
      <x:c r="F18" s="24"/>
      <x:c r="G18" s="24"/>
    </x:row>
    <x:row r="19" ht="36" hidden="0" customHeight="1">
      <x:c r="A19" s="1"/>
      <x:c r="B19" s="1"/>
      <x:c r="C19" s="23" t="str">
        <x:v>acquisition</x:v>
      </x:c>
      <x:c r="D19" s="24" t="str">
        <x:v>Required product prospect opportunities use judgment conversions: digital/platform 5%, professional 20%, physical 3%, media 10%, hospitality 15%. No leads are verified. Recurring customer-months convert to customer equivalents; opportunities are not unique enterprise people.</x:v>
      </x:c>
      <x:c r="E19" s="24"/>
      <x:c r="F19" s="24"/>
      <x:c r="G19" s="24"/>
    </x:row>
    <x:row r="20" ht="24" hidden="0" customHeight="1">
      <x:c r="A20" s="1"/>
      <x:c r="B20" s="1"/>
      <x:c r="C20" s="23" t="str">
        <x:v>cash_scope</x:v>
      </x:c>
      <x:c r="D20" s="24" t="str">
        <x:v>Opening cash of zero is a scenario assumption, not a verified enterprise ledger. $0 external spending is policy. Separate family cash peaks are planning allocations, not legal-entity funding approvals.</x:v>
      </x:c>
      <x:c r="E20" s="24"/>
      <x:c r="F20" s="24"/>
      <x:c r="G20" s="24"/>
    </x:row>
    <x:row r="21" ht="24" hidden="0" customHeight="1">
      <x:c r="A21" s="1"/>
      <x:c r="B21" s="1"/>
      <x:c r="C21" s="23" t="str">
        <x:v>Unquantified excluded scope</x:v>
      </x:c>
      <x:c r="D21" s="24" t="str">
        <x:v>Additional unfinished application/course development has not been quantified. Reusable assets and stated prep allowances are assumed. Cash gaps are not complete launch quotes.</x:v>
      </x:c>
      <x:c r="E21" s="24"/>
      <x:c r="F21" s="24"/>
      <x:c r="G21" s="24"/>
    </x:row>
    <x:row r="22" ht="15" hidden="0" customHeight="1">
      <x:c r="A22" s="1"/>
      <x:c r="B22" s="1"/>
      <x:c r="C22" s="23" t="str">
        <x:v>Stream ID</x:v>
      </x:c>
      <x:c r="D22" s="24" t="str">
        <x:v>Price authority</x:v>
      </x:c>
      <x:c r="E22" s="24" t="str">
        <x:v>Confidence</x:v>
      </x:c>
      <x:c r="F22" s="24" t="str">
        <x:v>Source URL</x:v>
      </x:c>
      <x:c r="G22" s="24" t="str">
        <x:v>Cost basis</x:v>
      </x:c>
    </x:row>
    <x:row r="23" ht="36" hidden="0" customHeight="1">
      <x:c r="A23" s="1"/>
      <x:c r="B23" s="1"/>
      <x:c r="C23" s="23" t="str">
        <x:v>DOT-001</x:v>
      </x:c>
      <x:c r="D23" s="24" t="str">
        <x:v>Founder-authorized current interim price</x:v>
      </x:c>
      <x:c r="E23" s="24" t="str">
        <x:v>Low</x:v>
      </x:c>
      <x:c r="F23" s="24" t="str">
        <x:v>https://chatgpt.com/c/6ab524cd-2884-83e9-847f-8b44ab1a1a02</x:v>
      </x:c>
      <x:c r="G2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24" ht="36" hidden="0" customHeight="1">
      <x:c r="A24" s="1"/>
      <x:c r="B24" s="1"/>
      <x:c r="C24" s="23" t="str">
        <x:v>DOT-002</x:v>
      </x:c>
      <x:c r="D24" s="24" t="str">
        <x:v>Dot assumed average accepted quote; actual quote required</x:v>
      </x:c>
      <x:c r="E24" s="24" t="str">
        <x:v>Low</x:v>
      </x:c>
      <x:c r="F24" s="24" t="str">
        <x:v>https://chatgpt.com/c/6ab524cd-2884-83e9-847f-8b44ab1a1a02</x:v>
      </x:c>
      <x:c r="G2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25" ht="36" hidden="0" customHeight="1">
      <x:c r="A25" s="1"/>
      <x:c r="B25" s="1"/>
      <x:c r="C25" s="23" t="str">
        <x:v>DOT-003</x:v>
      </x:c>
      <x:c r="D25" s="24" t="str">
        <x:v>Dot average project quote; current catalog is quote-led</x:v>
      </x:c>
      <x:c r="E25" s="24" t="str">
        <x:v>Low</x:v>
      </x:c>
      <x:c r="F25" s="24" t="str">
        <x:v>https://chatgpt.com/c/6ab524cd-2884-83e9-847f-8b44ab1a1a02</x:v>
      </x:c>
      <x:c r="G2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26" ht="36" hidden="0" customHeight="1">
      <x:c r="A26" s="1"/>
      <x:c r="B26" s="1"/>
      <x:c r="C26" s="23" t="str">
        <x:v>DOT-004</x:v>
      </x:c>
      <x:c r="D26" s="24" t="str">
        <x:v>Dot average project quote; current catalog is quote-led</x:v>
      </x:c>
      <x:c r="E26" s="24" t="str">
        <x:v>Low</x:v>
      </x:c>
      <x:c r="F26" s="24" t="str">
        <x:v>https://chatgpt.com/c/6ab524cd-2884-83e9-847f-8b44ab1a1a02</x:v>
      </x:c>
      <x:c r="G2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27" ht="36" hidden="0" customHeight="1">
      <x:c r="A27" s="1"/>
      <x:c r="B27" s="1"/>
      <x:c r="C27" s="23" t="str">
        <x:v>DOT-005</x:v>
      </x:c>
      <x:c r="D27" s="24" t="str">
        <x:v>Dot average project quote; current catalog is quote-led</x:v>
      </x:c>
      <x:c r="E27" s="24" t="str">
        <x:v>Low</x:v>
      </x:c>
      <x:c r="F27" s="24" t="str">
        <x:v>https://chatgpt.com/c/6ab524cd-2884-83e9-847f-8b44ab1a1a02</x:v>
      </x:c>
      <x:c r="G2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28" ht="36" hidden="0" customHeight="1">
      <x:c r="A28" s="1"/>
      <x:c r="B28" s="1"/>
      <x:c r="C28" s="23" t="str">
        <x:v>DOT-006</x:v>
      </x:c>
      <x:c r="D28" s="24" t="str">
        <x:v>Dot average project quote; current catalog is quote-led</x:v>
      </x:c>
      <x:c r="E28" s="24" t="str">
        <x:v>Low</x:v>
      </x:c>
      <x:c r="F28" s="24" t="str">
        <x:v>https://chatgpt.com/c/6ab524cd-2884-83e9-847f-8b44ab1a1a02</x:v>
      </x:c>
      <x:c r="G2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29" ht="36" hidden="0" customHeight="1">
      <x:c r="A29" s="1"/>
      <x:c r="B29" s="1"/>
      <x:c r="C29" s="23" t="str">
        <x:v>DOT-007</x:v>
      </x:c>
      <x:c r="D29" s="24" t="str">
        <x:v>Owner-directed October 6 menu, including prior 20% increase; mandatory LGC pending. Starting fee where qualified; not guaranteed realized fee.</x:v>
      </x:c>
      <x:c r="E29" s="24" t="str">
        <x:v>Low</x:v>
      </x:c>
      <x:c r="F29" s="24" t="str">
        <x:v>https://chatgpt.com/c/6ab2166e-1dc4-83ea-8162-96d5755ac0a2
https://chatgpt.com/c/6ab2b83c-303c-83ea-8d5e-4be203cff113</x:v>
      </x:c>
      <x:c r="G2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30" ht="36" hidden="0" customHeight="1">
      <x:c r="A30" s="1"/>
      <x:c r="B30" s="1"/>
      <x:c r="C30" s="23" t="str">
        <x:v>DOT-008</x:v>
      </x:c>
      <x:c r="D30" s="24" t="str">
        <x:v>Owner-directed October 6 menu, including prior 20% increase; mandatory LGC pending. Starting fee where qualified; not guaranteed realized fee.</x:v>
      </x:c>
      <x:c r="E30" s="24" t="str">
        <x:v>Low</x:v>
      </x:c>
      <x:c r="F30" s="24" t="str">
        <x:v>https://chatgpt.com/c/6ab2166e-1dc4-83ea-8162-96d5755ac0a2
https://chatgpt.com/c/6ab2b83c-303c-83ea-8d5e-4be203cff113</x:v>
      </x:c>
      <x:c r="G3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31" ht="36" hidden="0" customHeight="1">
      <x:c r="A31" s="1"/>
      <x:c r="B31" s="1"/>
      <x:c r="C31" s="23" t="str">
        <x:v>DOT-009</x:v>
      </x:c>
      <x:c r="D31" s="24" t="str">
        <x:v>Owner-directed October 6 menu, including prior 20% increase; mandatory LGC pending. Starting fee where qualified; not guaranteed realized fee.</x:v>
      </x:c>
      <x:c r="E31" s="24" t="str">
        <x:v>Low</x:v>
      </x:c>
      <x:c r="F31" s="24" t="str">
        <x:v>https://chatgpt.com/c/6ab2166e-1dc4-83ea-8162-96d5755ac0a2
https://chatgpt.com/c/6ab2b83c-303c-83ea-8d5e-4be203cff113</x:v>
      </x:c>
      <x:c r="G3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32" ht="36" hidden="0" customHeight="1">
      <x:c r="A32" s="1"/>
      <x:c r="B32" s="1"/>
      <x:c r="C32" s="23" t="str">
        <x:v>DOT-010</x:v>
      </x:c>
      <x:c r="D32" s="24" t="str">
        <x:v>Owner-directed October 6 menu, including prior 20% increase; mandatory LGC pending. Starting fee where qualified; not guaranteed realized fee.</x:v>
      </x:c>
      <x:c r="E32" s="24" t="str">
        <x:v>Low</x:v>
      </x:c>
      <x:c r="F32" s="24" t="str">
        <x:v>https://chatgpt.com/c/6ab2166e-1dc4-83ea-8162-96d5755ac0a2
https://chatgpt.com/c/6ab2b83c-303c-83ea-8d5e-4be203cff113</x:v>
      </x:c>
      <x:c r="G3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33" ht="36" hidden="0" customHeight="1">
      <x:c r="A33" s="1"/>
      <x:c r="B33" s="1"/>
      <x:c r="C33" s="23" t="str">
        <x:v>DOT-011</x:v>
      </x:c>
      <x:c r="D33" s="24" t="str">
        <x:v>Owner-directed October 6 menu, including prior 20% increase; mandatory LGC pending. Starting fee where qualified; not guaranteed realized fee.</x:v>
      </x:c>
      <x:c r="E33" s="24" t="str">
        <x:v>Low</x:v>
      </x:c>
      <x:c r="F33" s="24" t="str">
        <x:v>https://chatgpt.com/c/6ab2166e-1dc4-83ea-8162-96d5755ac0a2
https://chatgpt.com/c/6ab2b83c-303c-83ea-8d5e-4be203cff113</x:v>
      </x:c>
      <x:c r="G3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34" ht="36" hidden="0" customHeight="1">
      <x:c r="A34" s="1"/>
      <x:c r="B34" s="1"/>
      <x:c r="C34" s="23" t="str">
        <x:v>DOT-012</x:v>
      </x:c>
      <x:c r="D34" s="24" t="str">
        <x:v>Owner-directed October 6 menu, including prior 20% increase; mandatory LGC pending. Starting fee where qualified; not guaranteed realized fee.</x:v>
      </x:c>
      <x:c r="E34" s="24" t="str">
        <x:v>Low</x:v>
      </x:c>
      <x:c r="F34" s="24" t="str">
        <x:v>https://chatgpt.com/c/6ab2166e-1dc4-83ea-8162-96d5755ac0a2
https://chatgpt.com/c/6ab2b83c-303c-83ea-8d5e-4be203cff113</x:v>
      </x:c>
      <x:c r="G3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35" ht="36" hidden="0" customHeight="1">
      <x:c r="A35" s="1"/>
      <x:c r="B35" s="1"/>
      <x:c r="C35" s="23" t="str">
        <x:v>DOT-013</x:v>
      </x:c>
      <x:c r="D35" s="24" t="str">
        <x:v>Owner-directed October 6 menu, including prior 20% increase; mandatory LGC pending. Starting fee where qualified; not guaranteed realized fee.</x:v>
      </x:c>
      <x:c r="E35" s="24" t="str">
        <x:v>Low</x:v>
      </x:c>
      <x:c r="F35" s="24" t="str">
        <x:v>https://chatgpt.com/c/6ab2166e-1dc4-83ea-8162-96d5755ac0a2
https://chatgpt.com/c/6ab2b83c-303c-83ea-8d5e-4be203cff113</x:v>
      </x:c>
      <x:c r="G3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36" ht="36" hidden="0" customHeight="1">
      <x:c r="A36" s="1"/>
      <x:c r="B36" s="1"/>
      <x:c r="C36" s="23" t="str">
        <x:v>DOT-014</x:v>
      </x:c>
      <x:c r="D36" s="24" t="str">
        <x:v>Owner-directed October 6 menu, including prior 20% increase; mandatory LGC pending. Starting fee where qualified; not guaranteed realized fee.</x:v>
      </x:c>
      <x:c r="E36" s="24" t="str">
        <x:v>Low</x:v>
      </x:c>
      <x:c r="F36" s="24" t="str">
        <x:v>https://chatgpt.com/c/6ab2166e-1dc4-83ea-8162-96d5755ac0a2
https://chatgpt.com/c/6ab2b83c-303c-83ea-8d5e-4be203cff113</x:v>
      </x:c>
      <x:c r="G3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37" ht="36" hidden="0" customHeight="1">
      <x:c r="A37" s="1"/>
      <x:c r="B37" s="1"/>
      <x:c r="C37" s="23" t="str">
        <x:v>DOT-015</x:v>
      </x:c>
      <x:c r="D37" s="24" t="str">
        <x:v>Owner-directed October 6 menu, including prior 20% increase; mandatory LGC pending. Starting fee where qualified; not guaranteed realized fee.</x:v>
      </x:c>
      <x:c r="E37" s="24" t="str">
        <x:v>Low</x:v>
      </x:c>
      <x:c r="F37" s="24" t="str">
        <x:v>https://chatgpt.com/c/6ab2166e-1dc4-83ea-8162-96d5755ac0a2
https://chatgpt.com/c/6ab2b83c-303c-83ea-8d5e-4be203cff113</x:v>
      </x:c>
      <x:c r="G3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38" ht="36" hidden="0" customHeight="1">
      <x:c r="A38" s="1"/>
      <x:c r="B38" s="1"/>
      <x:c r="C38" s="23" t="str">
        <x:v>DOT-016</x:v>
      </x:c>
      <x:c r="D38" s="24" t="str">
        <x:v>Owner-directed October 6 menu, including prior 20% increase; mandatory LGC pending. Starting fee where qualified; not guaranteed realized fee.</x:v>
      </x:c>
      <x:c r="E38" s="24" t="str">
        <x:v>Low</x:v>
      </x:c>
      <x:c r="F38" s="24" t="str">
        <x:v>https://chatgpt.com/c/6ab2166e-1dc4-83ea-8162-96d5755ac0a2
https://chatgpt.com/c/6ab2b83c-303c-83ea-8d5e-4be203cff113</x:v>
      </x:c>
      <x:c r="G3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39" ht="36" hidden="0" customHeight="1">
      <x:c r="A39" s="1"/>
      <x:c r="B39" s="1"/>
      <x:c r="C39" s="23" t="str">
        <x:v>DOT-017</x:v>
      </x:c>
      <x:c r="D39" s="24" t="str">
        <x:v>Owner-directed October 6 menu, including prior 20% increase; mandatory LGC pending. Starting fee where qualified; not guaranteed realized fee.</x:v>
      </x:c>
      <x:c r="E39" s="24" t="str">
        <x:v>Low</x:v>
      </x:c>
      <x:c r="F39" s="24" t="str">
        <x:v>https://chatgpt.com/c/6ab2166e-1dc4-83ea-8162-96d5755ac0a2
https://chatgpt.com/c/6ab2b83c-303c-83ea-8d5e-4be203cff113</x:v>
      </x:c>
      <x:c r="G3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40" ht="36" hidden="0" customHeight="1">
      <x:c r="A40" s="1"/>
      <x:c r="B40" s="1"/>
      <x:c r="C40" s="23" t="str">
        <x:v>DOT-018</x:v>
      </x:c>
      <x:c r="D40" s="24" t="str">
        <x:v>Owner-directed October 6 menu, including prior 20% increase; mandatory LGC pending. Starting fee where qualified; not guaranteed realized fee.</x:v>
      </x:c>
      <x:c r="E40" s="24" t="str">
        <x:v>Low</x:v>
      </x:c>
      <x:c r="F40" s="24" t="str">
        <x:v>https://chatgpt.com/c/6ab2166e-1dc4-83ea-8162-96d5755ac0a2
https://chatgpt.com/c/6ab2b83c-303c-83ea-8d5e-4be203cff113</x:v>
      </x:c>
      <x:c r="G4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41" ht="36" hidden="0" customHeight="1">
      <x:c r="A41" s="1"/>
      <x:c r="B41" s="1"/>
      <x:c r="C41" s="23" t="str">
        <x:v>DOT-019</x:v>
      </x:c>
      <x:c r="D41" s="24" t="str">
        <x:v>Owner-directed October 6 menu, including prior 20% increase; mandatory LGC pending. Starting fee where qualified; not guaranteed realized fee.</x:v>
      </x:c>
      <x:c r="E41" s="24" t="str">
        <x:v>Low</x:v>
      </x:c>
      <x:c r="F41" s="24" t="str">
        <x:v>https://chatgpt.com/c/6ab2166e-1dc4-83ea-8162-96d5755ac0a2
https://chatgpt.com/c/6ab2b83c-303c-83ea-8d5e-4be203cff113</x:v>
      </x:c>
      <x:c r="G4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42" ht="36" hidden="0" customHeight="1">
      <x:c r="A42" s="1"/>
      <x:c r="B42" s="1"/>
      <x:c r="C42" s="23" t="str">
        <x:v>DOT-020</x:v>
      </x:c>
      <x:c r="D42" s="24" t="str">
        <x:v>Owner-directed October 6 menu, including prior 20% increase; mandatory LGC pending. Starting fee where qualified; not guaranteed realized fee.</x:v>
      </x:c>
      <x:c r="E42" s="24" t="str">
        <x:v>Low</x:v>
      </x:c>
      <x:c r="F42" s="24" t="str">
        <x:v>https://chatgpt.com/c/6ab2166e-1dc4-83ea-8162-96d5755ac0a2
https://chatgpt.com/c/6ab2b83c-303c-83ea-8d5e-4be203cff113</x:v>
      </x:c>
      <x:c r="G4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43" ht="36" hidden="0" customHeight="1">
      <x:c r="A43" s="1"/>
      <x:c r="B43" s="1"/>
      <x:c r="C43" s="23" t="str">
        <x:v>DOT-021</x:v>
      </x:c>
      <x:c r="D43" s="24" t="str">
        <x:v>Owner-directed October 6 menu, including prior 20% increase; mandatory LGC pending. Starting fee where qualified; not guaranteed realized fee.</x:v>
      </x:c>
      <x:c r="E43" s="24" t="str">
        <x:v>Low</x:v>
      </x:c>
      <x:c r="F43" s="24" t="str">
        <x:v>https://chatgpt.com/c/6ab2166e-1dc4-83ea-8162-96d5755ac0a2
https://chatgpt.com/c/6ab2b83c-303c-83ea-8d5e-4be203cff113</x:v>
      </x:c>
      <x:c r="G4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44" ht="36" hidden="0" customHeight="1">
      <x:c r="A44" s="1"/>
      <x:c r="B44" s="1"/>
      <x:c r="C44" s="23" t="str">
        <x:v>DOT-022</x:v>
      </x:c>
      <x:c r="D44" s="24" t="str">
        <x:v>Owner-directed October 6 menu, including prior 20% increase; mandatory LGC pending. Starting fee where qualified; not guaranteed realized fee.</x:v>
      </x:c>
      <x:c r="E44" s="24" t="str">
        <x:v>Low</x:v>
      </x:c>
      <x:c r="F44" s="24" t="str">
        <x:v>https://chatgpt.com/c/6ab2166e-1dc4-83ea-8162-96d5755ac0a2
https://chatgpt.com/c/6ab2b83c-303c-83ea-8d5e-4be203cff113</x:v>
      </x:c>
      <x:c r="G4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45" ht="36" hidden="0" customHeight="1">
      <x:c r="A45" s="1"/>
      <x:c r="B45" s="1"/>
      <x:c r="C45" s="23" t="str">
        <x:v>DOT-023</x:v>
      </x:c>
      <x:c r="D45" s="24" t="str">
        <x:v>Owner-directed October 6 menu, including prior 20% increase; mandatory LGC pending. Starting fee where qualified; not guaranteed realized fee.</x:v>
      </x:c>
      <x:c r="E45" s="24" t="str">
        <x:v>Low</x:v>
      </x:c>
      <x:c r="F45" s="24" t="str">
        <x:v>https://chatgpt.com/c/6ab2166e-1dc4-83ea-8162-96d5755ac0a2
https://chatgpt.com/c/6ab2b83c-303c-83ea-8d5e-4be203cff113</x:v>
      </x:c>
      <x:c r="G4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46" ht="36" hidden="0" customHeight="1">
      <x:c r="A46" s="1"/>
      <x:c r="B46" s="1"/>
      <x:c r="C46" s="23" t="str">
        <x:v>DOT-024</x:v>
      </x:c>
      <x:c r="D46" s="24" t="str">
        <x:v>Owner-directed October 6 menu, including prior 20% increase; mandatory LGC pending. Starting fee where qualified; not guaranteed realized fee.</x:v>
      </x:c>
      <x:c r="E46" s="24" t="str">
        <x:v>Low</x:v>
      </x:c>
      <x:c r="F46" s="24" t="str">
        <x:v>https://chatgpt.com/c/6ab2166e-1dc4-83ea-8162-96d5755ac0a2
https://chatgpt.com/c/6ab2b83c-303c-83ea-8d5e-4be203cff113</x:v>
      </x:c>
      <x:c r="G4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47" ht="36" hidden="0" customHeight="1">
      <x:c r="A47" s="1"/>
      <x:c r="B47" s="1"/>
      <x:c r="C47" s="23" t="str">
        <x:v>DOT-025</x:v>
      </x:c>
      <x:c r="D47" s="24" t="str">
        <x:v>Owner-directed October 6 menu, including prior 20% increase; mandatory LGC pending. Starting fee where qualified; not guaranteed realized fee.</x:v>
      </x:c>
      <x:c r="E47" s="24" t="str">
        <x:v>Low</x:v>
      </x:c>
      <x:c r="F47" s="24" t="str">
        <x:v>https://chatgpt.com/c/6ab2166e-1dc4-83ea-8162-96d5755ac0a2
https://chatgpt.com/c/6ab2b83c-303c-83ea-8d5e-4be203cff113</x:v>
      </x:c>
      <x:c r="G4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48" ht="36" hidden="0" customHeight="1">
      <x:c r="A48" s="1"/>
      <x:c r="B48" s="1"/>
      <x:c r="C48" s="23" t="str">
        <x:v>DOT-026</x:v>
      </x:c>
      <x:c r="D48" s="24" t="str">
        <x:v>Owner-directed October 6 menu, including prior 20% increase; mandatory LGC pending. Starting fee where qualified; not guaranteed realized fee.</x:v>
      </x:c>
      <x:c r="E48" s="24" t="str">
        <x:v>Low</x:v>
      </x:c>
      <x:c r="F48" s="24" t="str">
        <x:v>https://chatgpt.com/c/6ab2166e-1dc4-83ea-8162-96d5755ac0a2
https://chatgpt.com/c/6ab2b83c-303c-83ea-8d5e-4be203cff113</x:v>
      </x:c>
      <x:c r="G4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49" ht="36" hidden="0" customHeight="1">
      <x:c r="A49" s="1"/>
      <x:c r="B49" s="1"/>
      <x:c r="C49" s="23" t="str">
        <x:v>DOT-027</x:v>
      </x:c>
      <x:c r="D49" s="24" t="str">
        <x:v>Owner-directed October 6 menu, including prior 20% increase; mandatory LGC pending. Starting fee where qualified; not guaranteed realized fee.</x:v>
      </x:c>
      <x:c r="E49" s="24" t="str">
        <x:v>Low</x:v>
      </x:c>
      <x:c r="F49" s="24" t="str">
        <x:v>https://chatgpt.com/c/6ab2166e-1dc4-83ea-8162-96d5755ac0a2
https://chatgpt.com/c/6ab2b83c-303c-83ea-8d5e-4be203cff113</x:v>
      </x:c>
      <x:c r="G4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50" ht="36" hidden="0" customHeight="1">
      <x:c r="A50" s="1"/>
      <x:c r="B50" s="1"/>
      <x:c r="C50" s="23" t="str">
        <x:v>DOT-028</x:v>
      </x:c>
      <x:c r="D50" s="24" t="str">
        <x:v>Owner-directed October 6 menu, including prior 20% increase; mandatory LGC pending. Starting fee where qualified; not guaranteed realized fee.</x:v>
      </x:c>
      <x:c r="E50" s="24" t="str">
        <x:v>Low</x:v>
      </x:c>
      <x:c r="F50" s="24" t="str">
        <x:v>https://chatgpt.com/c/6ab2166e-1dc4-83ea-8162-96d5755ac0a2
https://chatgpt.com/c/6ab2b83c-303c-83ea-8d5e-4be203cff113</x:v>
      </x:c>
      <x:c r="G5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51" ht="36" hidden="0" customHeight="1">
      <x:c r="A51" s="1"/>
      <x:c r="B51" s="1"/>
      <x:c r="C51" s="23" t="str">
        <x:v>DOT-029</x:v>
      </x:c>
      <x:c r="D51" s="24" t="str">
        <x:v>Owner-directed October 6 menu, including prior 20% increase; mandatory LGC pending. Starting fee where qualified; not guaranteed realized fee.</x:v>
      </x:c>
      <x:c r="E51" s="24" t="str">
        <x:v>Low</x:v>
      </x:c>
      <x:c r="F51" s="24" t="str">
        <x:v>https://chatgpt.com/c/6ab2166e-1dc4-83ea-8162-96d5755ac0a2
https://chatgpt.com/c/6ab2b83c-303c-83ea-8d5e-4be203cff113</x:v>
      </x:c>
      <x:c r="G5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52" ht="36" hidden="0" customHeight="1">
      <x:c r="A52" s="1"/>
      <x:c r="B52" s="1"/>
      <x:c r="C52" s="23" t="str">
        <x:v>DOT-030</x:v>
      </x:c>
      <x:c r="D52" s="24" t="str">
        <x:v>Dot judgment; exact quote and professional scope required</x:v>
      </x:c>
      <x:c r="E52" s="24" t="str">
        <x:v>Low</x:v>
      </x:c>
      <x:c r="F52" s="24" t="str">
        <x:v>https://chatgpt.com/c/6ab2166e-1dc4-83ea-8162-96d5755ac0a2
https://chatgpt.com/c/6ab2b83c-303c-83ea-8d5e-4be203cff113</x:v>
      </x:c>
      <x:c r="G5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53" ht="36" hidden="0" customHeight="1">
      <x:c r="A53" s="1"/>
      <x:c r="B53" s="1"/>
      <x:c r="C53" s="23" t="str">
        <x:v>DOT-031</x:v>
      </x:c>
      <x:c r="D53" s="24" t="str">
        <x:v>Dot judgment; exact quote and professional scope required</x:v>
      </x:c>
      <x:c r="E53" s="24" t="str">
        <x:v>Low</x:v>
      </x:c>
      <x:c r="F53" s="24" t="str">
        <x:v>https://chatgpt.com/c/6ab2166e-1dc4-83ea-8162-96d5755ac0a2
https://chatgpt.com/c/6ab2b83c-303c-83ea-8d5e-4be203cff113</x:v>
      </x:c>
      <x:c r="G5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54" ht="36" hidden="0" customHeight="1">
      <x:c r="A54" s="1"/>
      <x:c r="B54" s="1"/>
      <x:c r="C54" s="23" t="str">
        <x:v>DOT-032</x:v>
      </x:c>
      <x:c r="D54" s="24" t="str">
        <x:v>Dot judgment; exact quote and professional scope required</x:v>
      </x:c>
      <x:c r="E54" s="24" t="str">
        <x:v>Low</x:v>
      </x:c>
      <x:c r="F54" s="24" t="str">
        <x:v>https://chatgpt.com/c/6ab2166e-1dc4-83ea-8162-96d5755ac0a2
https://chatgpt.com/c/6ab2b83c-303c-83ea-8d5e-4be203cff113</x:v>
      </x:c>
      <x:c r="G5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55" ht="36" hidden="0" customHeight="1">
      <x:c r="A55" s="1"/>
      <x:c r="B55" s="1"/>
      <x:c r="C55" s="23" t="str">
        <x:v>DOT-033</x:v>
      </x:c>
      <x:c r="D55" s="24" t="str">
        <x:v>Dot judgment; not approved price</x:v>
      </x:c>
      <x:c r="E55" s="24" t="str">
        <x:v>Low</x:v>
      </x:c>
      <x:c r="F55" s="24" t="str">
        <x:v>https://chatgpt.com/c/6ab00481-2f58-83ea-888f-a391ad93f748
https://chatgpt.com/c/6ab02f97-5b10-83e9-a6da-bd9857d978a0</x:v>
      </x:c>
      <x:c r="G5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56" ht="36" hidden="0" customHeight="1">
      <x:c r="A56" s="1"/>
      <x:c r="B56" s="1"/>
      <x:c r="C56" s="23" t="str">
        <x:v>DOT-034</x:v>
      </x:c>
      <x:c r="D56" s="24" t="str">
        <x:v>Dot judgment; not approved price</x:v>
      </x:c>
      <x:c r="E56" s="24" t="str">
        <x:v>Low</x:v>
      </x:c>
      <x:c r="F56" s="24" t="str">
        <x:v>https://chatgpt.com/c/6ab00481-2f58-83ea-888f-a391ad93f748
https://chatgpt.com/c/6ab02f97-5b10-83e9-a6da-bd9857d978a0</x:v>
      </x:c>
      <x:c r="G5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57" ht="36" hidden="0" customHeight="1">
      <x:c r="A57" s="1"/>
      <x:c r="B57" s="1"/>
      <x:c r="C57" s="23" t="str">
        <x:v>DOT-035</x:v>
      </x:c>
      <x:c r="D57" s="24" t="str">
        <x:v>Dot judgment; not approved price</x:v>
      </x:c>
      <x:c r="E57" s="24" t="str">
        <x:v>Low</x:v>
      </x:c>
      <x:c r="F57" s="24" t="str">
        <x:v>https://chatgpt.com/c/6ab00481-2f58-83ea-888f-a391ad93f748
https://chatgpt.com/c/6ab02f97-5b10-83e9-a6da-bd9857d978a0</x:v>
      </x:c>
      <x:c r="G5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58" ht="36" hidden="0" customHeight="1">
      <x:c r="A58" s="1"/>
      <x:c r="B58" s="1"/>
      <x:c r="C58" s="23" t="str">
        <x:v>DOT-036</x:v>
      </x:c>
      <x:c r="D58" s="24" t="str">
        <x:v>Dot judgment; not approved price</x:v>
      </x:c>
      <x:c r="E58" s="24" t="str">
        <x:v>Low</x:v>
      </x:c>
      <x:c r="F58" s="24" t="str">
        <x:v>https://chatgpt.com/c/6ab00481-2f58-83ea-888f-a391ad93f748
https://chatgpt.com/c/6ab02f97-5b10-83e9-a6da-bd9857d978a0</x:v>
      </x:c>
      <x:c r="G5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59" ht="36" hidden="0" customHeight="1">
      <x:c r="A59" s="1"/>
      <x:c r="B59" s="1"/>
      <x:c r="C59" s="23" t="str">
        <x:v>DOT-037</x:v>
      </x:c>
      <x:c r="D59" s="24" t="str">
        <x:v>Dot judgment; not approved price</x:v>
      </x:c>
      <x:c r="E59" s="24" t="str">
        <x:v>Low</x:v>
      </x:c>
      <x:c r="F59" s="24" t="str">
        <x:v>https://chatgpt.com/c/6ab00481-2f58-83ea-888f-a391ad93f748
https://chatgpt.com/c/6ab02f97-5b10-83e9-a6da-bd9857d978a0</x:v>
      </x:c>
      <x:c r="G5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60" ht="36" hidden="0" customHeight="1">
      <x:c r="A60" s="1"/>
      <x:c r="B60" s="1"/>
      <x:c r="C60" s="23" t="str">
        <x:v>DOT-038</x:v>
      </x:c>
      <x:c r="D60" s="24" t="str">
        <x:v>Dot judgment; not approved price</x:v>
      </x:c>
      <x:c r="E60" s="24" t="str">
        <x:v>Low</x:v>
      </x:c>
      <x:c r="F60" s="24" t="str">
        <x:v>https://chatgpt.com/c/6ab00481-2f58-83ea-888f-a391ad93f748
https://chatgpt.com/c/6ab02f97-5b10-83e9-a6da-bd9857d978a0</x:v>
      </x:c>
      <x:c r="G6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61" ht="36" hidden="0" customHeight="1">
      <x:c r="A61" s="1"/>
      <x:c r="B61" s="1"/>
      <x:c r="C61" s="23" t="str">
        <x:v>DOT-039</x:v>
      </x:c>
      <x:c r="D61" s="24" t="str">
        <x:v>Dot judgment; not approved price</x:v>
      </x:c>
      <x:c r="E61" s="24" t="str">
        <x:v>Low</x:v>
      </x:c>
      <x:c r="F61" s="24" t="str">
        <x:v>https://chatgpt.com/c/6ab00481-2f58-83ea-888f-a391ad93f748
https://chatgpt.com/c/6ab02f97-5b10-83e9-a6da-bd9857d978a0</x:v>
      </x:c>
      <x:c r="G6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62" ht="36" hidden="0" customHeight="1">
      <x:c r="A62" s="1"/>
      <x:c r="B62" s="1"/>
      <x:c r="C62" s="23" t="str">
        <x:v>DOT-040</x:v>
      </x:c>
      <x:c r="D62" s="24" t="str">
        <x:v>Dot judgment; not approved price</x:v>
      </x:c>
      <x:c r="E62" s="24" t="str">
        <x:v>Low</x:v>
      </x:c>
      <x:c r="F62" s="24" t="str">
        <x:v>https://chatgpt.com/c/6ab00481-2f58-83ea-888f-a391ad93f748
https://chatgpt.com/c/6ab02f97-5b10-83e9-a6da-bd9857d978a0</x:v>
      </x:c>
      <x:c r="G6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63" ht="36" hidden="0" customHeight="1">
      <x:c r="A63" s="1"/>
      <x:c r="B63" s="1"/>
      <x:c r="C63" s="23" t="str">
        <x:v>DOT-041</x:v>
      </x:c>
      <x:c r="D63" s="24" t="str">
        <x:v>Dot judgment; not approved price</x:v>
      </x:c>
      <x:c r="E63" s="24" t="str">
        <x:v>Low</x:v>
      </x:c>
      <x:c r="F63" s="24" t="str">
        <x:v>https://chatgpt.com/c/6ab00481-2f58-83ea-888f-a391ad93f748
https://chatgpt.com/c/6ab02f97-5b10-83e9-a6da-bd9857d978a0</x:v>
      </x:c>
      <x:c r="G6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64" ht="36" hidden="0" customHeight="1">
      <x:c r="A64" s="1"/>
      <x:c r="B64" s="1"/>
      <x:c r="C64" s="23" t="str">
        <x:v>DOT-042</x:v>
      </x:c>
      <x:c r="D64" s="24" t="str">
        <x:v>Dot judgment; not approved price</x:v>
      </x:c>
      <x:c r="E64" s="24" t="str">
        <x:v>Low</x:v>
      </x:c>
      <x:c r="F64" s="24" t="str">
        <x:v>https://chatgpt.com/c/6aaff5cc-f4ec-83ea-bd7b-e25c7de6adc2
https://chatgpt.com/c/6ab029a2-4a78-83e9-b007-abf7909b0147</x:v>
      </x:c>
      <x:c r="G6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65" ht="36" hidden="0" customHeight="1">
      <x:c r="A65" s="1"/>
      <x:c r="B65" s="1"/>
      <x:c r="C65" s="23" t="str">
        <x:v>DOT-043</x:v>
      </x:c>
      <x:c r="D65" s="24" t="str">
        <x:v>Dot judgment; not approved price</x:v>
      </x:c>
      <x:c r="E65" s="24" t="str">
        <x:v>Low</x:v>
      </x:c>
      <x:c r="F65" s="24" t="str">
        <x:v>https://chatgpt.com/c/6aaff5cc-f4ec-83ea-bd7b-e25c7de6adc2
https://chatgpt.com/c/6ab029a2-4a78-83e9-b007-abf7909b0147</x:v>
      </x:c>
      <x:c r="G6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66" ht="36" hidden="0" customHeight="1">
      <x:c r="A66" s="1"/>
      <x:c r="B66" s="1"/>
      <x:c r="C66" s="23" t="str">
        <x:v>DOT-044</x:v>
      </x:c>
      <x:c r="D66" s="24" t="str">
        <x:v>Dot judgment; not approved price</x:v>
      </x:c>
      <x:c r="E66" s="24" t="str">
        <x:v>Low</x:v>
      </x:c>
      <x:c r="F66" s="24" t="str">
        <x:v>https://chatgpt.com/c/6aaff5cc-f4ec-83ea-bd7b-e25c7de6adc2
https://chatgpt.com/c/6ab029a2-4a78-83e9-b007-abf7909b0147</x:v>
      </x:c>
      <x:c r="G6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67" ht="36" hidden="0" customHeight="1">
      <x:c r="A67" s="1"/>
      <x:c r="B67" s="1"/>
      <x:c r="C67" s="23" t="str">
        <x:v>DOT-045</x:v>
      </x:c>
      <x:c r="D67" s="24" t="str">
        <x:v>Dot judgment; not approved price</x:v>
      </x:c>
      <x:c r="E67" s="24" t="str">
        <x:v>Low</x:v>
      </x:c>
      <x:c r="F67" s="24" t="str">
        <x:v>https://chatgpt.com/c/6aaff5cc-f4ec-83ea-bd7b-e25c7de6adc2
https://chatgpt.com/c/6ab029a2-4a78-83e9-b007-abf7909b0147</x:v>
      </x:c>
      <x:c r="G6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68" ht="36" hidden="0" customHeight="1">
      <x:c r="A68" s="1"/>
      <x:c r="B68" s="1"/>
      <x:c r="C68" s="23" t="str">
        <x:v>DOT-046</x:v>
      </x:c>
      <x:c r="D68" s="24" t="str">
        <x:v>Founder historical authorization; current edition binding pending</x:v>
      </x:c>
      <x:c r="E68" s="24" t="str">
        <x:v>Low</x:v>
      </x:c>
      <x:c r="F68" s="24" t="str">
        <x:v>https://chatgpt.com/c/6ab2c328-9204-83ea-969c-31c5395b21fd</x:v>
      </x:c>
      <x:c r="G6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69" ht="36" hidden="0" customHeight="1">
      <x:c r="A69" s="1"/>
      <x:c r="B69" s="1"/>
      <x:c r="C69" s="23" t="str">
        <x:v>DOT-047</x:v>
      </x:c>
      <x:c r="D69" s="24" t="str">
        <x:v>Founder historical authorization; not micro-course L13 price</x:v>
      </x:c>
      <x:c r="E69" s="24" t="str">
        <x:v>Low</x:v>
      </x:c>
      <x:c r="F69" s="24" t="str">
        <x:v>https://chatgpt.com/c/6ab2c328-9204-83ea-969c-31c5395b21fd</x:v>
      </x:c>
      <x:c r="G6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70" ht="36" hidden="0" customHeight="1">
      <x:c r="A70" s="1"/>
      <x:c r="B70" s="1"/>
      <x:c r="C70" s="23" t="str">
        <x:v>DOT-048</x:v>
      </x:c>
      <x:c r="D70" s="24" t="str">
        <x:v>Dot judgment; not approved price</x:v>
      </x:c>
      <x:c r="E70" s="24" t="str">
        <x:v>Low</x:v>
      </x:c>
      <x:c r="F70" s="24" t="str">
        <x:v>https://chatgpt.com/c/6ab2c328-9204-83ea-969c-31c5395b21fd</x:v>
      </x:c>
      <x:c r="G7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71" ht="36" hidden="0" customHeight="1">
      <x:c r="A71" s="1"/>
      <x:c r="B71" s="1"/>
      <x:c r="C71" s="23" t="str">
        <x:v>DOT-049</x:v>
      </x:c>
      <x:c r="D71" s="24" t="str">
        <x:v>Dot judgment; not approved price</x:v>
      </x:c>
      <x:c r="E71" s="24" t="str">
        <x:v>Low</x:v>
      </x:c>
      <x:c r="F71" s="24" t="str">
        <x:v>https://chatgpt.com/c/6ab2c328-9204-83ea-969c-31c5395b21fd</x:v>
      </x:c>
      <x:c r="G7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72" ht="36" hidden="0" customHeight="1">
      <x:c r="A72" s="1"/>
      <x:c r="B72" s="1"/>
      <x:c r="C72" s="23" t="str">
        <x:v>DOT-050</x:v>
      </x:c>
      <x:c r="D72" s="24" t="str">
        <x:v>Dot judgment; not approved price</x:v>
      </x:c>
      <x:c r="E72" s="24" t="str">
        <x:v>Low</x:v>
      </x:c>
      <x:c r="F72" s="24" t="str">
        <x:v>https://chatgpt.com/c/6ab2c328-9204-83ea-969c-31c5395b21fd</x:v>
      </x:c>
      <x:c r="G7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73" ht="36" hidden="0" customHeight="1">
      <x:c r="A73" s="1"/>
      <x:c r="B73" s="1"/>
      <x:c r="C73" s="23" t="str">
        <x:v>DOT-051</x:v>
      </x:c>
      <x:c r="D73" s="24" t="str">
        <x:v>Dot judgment; not approved price</x:v>
      </x:c>
      <x:c r="E73" s="24" t="str">
        <x:v>Low</x:v>
      </x:c>
      <x:c r="F73" s="24" t="str">
        <x:v>https://chatgpt.com/c/6ab2c328-9204-83ea-969c-31c5395b21fd</x:v>
      </x:c>
      <x:c r="G7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74" ht="36" hidden="0" customHeight="1">
      <x:c r="A74" s="1"/>
      <x:c r="B74" s="1"/>
      <x:c r="C74" s="23" t="str">
        <x:v>DOT-052</x:v>
      </x:c>
      <x:c r="D74" s="24" t="str">
        <x:v>Included learning module; no separate revenue</x:v>
      </x:c>
      <x:c r="E74" s="24" t="str">
        <x:v>Low</x:v>
      </x:c>
      <x:c r="F74" s="24" t="str">
        <x:v>https://chatgpt.com/c/6ab2c328-9204-83ea-969c-31c5395b21fd</x:v>
      </x:c>
      <x:c r="G7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75" ht="36" hidden="0" customHeight="1">
      <x:c r="A75" s="1"/>
      <x:c r="B75" s="1"/>
      <x:c r="C75" s="23" t="str">
        <x:v>DOT-053</x:v>
      </x:c>
      <x:c r="D75" s="24" t="str">
        <x:v>Dot judgment; not approved price</x:v>
      </x:c>
      <x:c r="E75" s="24" t="str">
        <x:v>Low</x:v>
      </x:c>
      <x:c r="F75" s="24" t="str">
        <x:v>https://chatgpt.com/c/6ab2c328-9204-83ea-969c-31c5395b21fd</x:v>
      </x:c>
      <x:c r="G7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76" ht="36" hidden="0" customHeight="1">
      <x:c r="A76" s="1"/>
      <x:c r="B76" s="1"/>
      <x:c r="C76" s="23" t="str">
        <x:v>DOT-054</x:v>
      </x:c>
      <x:c r="D76" s="24" t="str">
        <x:v>Historical proposal used as Dot assumption</x:v>
      </x:c>
      <x:c r="E76" s="24" t="str">
        <x:v>Low</x:v>
      </x:c>
      <x:c r="F76" s="24" t="str">
        <x:v>https://chatgpt.com/c/6ab4244d-1adc-83ea-a540-8e832bce784b</x:v>
      </x:c>
      <x:c r="G7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77" ht="36" hidden="0" customHeight="1">
      <x:c r="A77" s="1"/>
      <x:c r="B77" s="1"/>
      <x:c r="C77" s="23" t="str">
        <x:v>DOT-055</x:v>
      </x:c>
      <x:c r="D77" s="24" t="str">
        <x:v>Historical proposal used as Dot assumption</x:v>
      </x:c>
      <x:c r="E77" s="24" t="str">
        <x:v>Low</x:v>
      </x:c>
      <x:c r="F77" s="24" t="str">
        <x:v>https://chatgpt.com/c/6ab4244d-1adc-83ea-a540-8e832bce784b</x:v>
      </x:c>
      <x:c r="G7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78" ht="36" hidden="0" customHeight="1">
      <x:c r="A78" s="1"/>
      <x:c r="B78" s="1"/>
      <x:c r="C78" s="23" t="str">
        <x:v>DOT-056</x:v>
      </x:c>
      <x:c r="D78" s="24" t="str">
        <x:v>Dot judgment; not approved price</x:v>
      </x:c>
      <x:c r="E78" s="24" t="str">
        <x:v>Low</x:v>
      </x:c>
      <x:c r="F78" s="24" t="str">
        <x:v>https://chatgpt.com/c/6ab4244d-1adc-83ea-a540-8e832bce784b</x:v>
      </x:c>
      <x:c r="G7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79" ht="36" hidden="0" customHeight="1">
      <x:c r="A79" s="1"/>
      <x:c r="B79" s="1"/>
      <x:c r="C79" s="23" t="str">
        <x:v>DOT-057</x:v>
      </x:c>
      <x:c r="D79" s="24" t="str">
        <x:v>Included learning module; no separate revenue</x:v>
      </x:c>
      <x:c r="E79" s="24" t="str">
        <x:v>Low</x:v>
      </x:c>
      <x:c r="F79" s="24" t="str">
        <x:v>https://chatgpt.com/c/6abc2804-ef50-83ea-b63e-5f40e7d082ac
https://chatgpt.com/c/6ab5c689-2400-83ea-8316-f62380720684</x:v>
      </x:c>
      <x:c r="G7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80" ht="36" hidden="0" customHeight="1">
      <x:c r="A80" s="1"/>
      <x:c r="B80" s="1"/>
      <x:c r="C80" s="23" t="str">
        <x:v>DOT-058</x:v>
      </x:c>
      <x:c r="D80" s="24" t="str">
        <x:v>Dot judgment; not approved price</x:v>
      </x:c>
      <x:c r="E80" s="24" t="str">
        <x:v>Low</x:v>
      </x:c>
      <x:c r="F80" s="24" t="str">
        <x:v>https://chatgpt.com/c/6abc2804-ef50-83ea-b63e-5f40e7d082ac
https://chatgpt.com/c/6ab5c689-2400-83ea-8316-f62380720684</x:v>
      </x:c>
      <x:c r="G8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81" ht="36" hidden="0" customHeight="1">
      <x:c r="A81" s="1"/>
      <x:c r="B81" s="1"/>
      <x:c r="C81" s="23" t="str">
        <x:v>DOT-059</x:v>
      </x:c>
      <x:c r="D81" s="24" t="str">
        <x:v>Dot judgment; not approved price</x:v>
      </x:c>
      <x:c r="E81" s="24" t="str">
        <x:v>Low</x:v>
      </x:c>
      <x:c r="F81" s="24" t="str">
        <x:v>https://chatgpt.com/c/6abc2804-ef50-83ea-b63e-5f40e7d082ac
https://chatgpt.com/c/6ab5c689-2400-83ea-8316-f62380720684</x:v>
      </x:c>
      <x:c r="G8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82" ht="36" hidden="0" customHeight="1">
      <x:c r="A82" s="1"/>
      <x:c r="B82" s="1"/>
      <x:c r="C82" s="23" t="str">
        <x:v>DOT-060</x:v>
      </x:c>
      <x:c r="D82" s="24" t="str">
        <x:v>Dot judgment; not approved price</x:v>
      </x:c>
      <x:c r="E82" s="24" t="str">
        <x:v>Low</x:v>
      </x:c>
      <x:c r="F82" s="24" t="str">
        <x:v>https://chatgpt.com/c/6abc2804-ef50-83ea-b63e-5f40e7d082ac
https://chatgpt.com/c/6ab5c689-2400-83ea-8316-f62380720684</x:v>
      </x:c>
      <x:c r="G8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83" ht="36" hidden="0" customHeight="1">
      <x:c r="A83" s="1"/>
      <x:c r="B83" s="1"/>
      <x:c r="C83" s="23" t="str">
        <x:v>DOT-061</x:v>
      </x:c>
      <x:c r="D83" s="24" t="str">
        <x:v>Dot judgment; not approved price</x:v>
      </x:c>
      <x:c r="E83" s="24" t="str">
        <x:v>Low</x:v>
      </x:c>
      <x:c r="F83" s="24" t="str">
        <x:v>https://chatgpt.com/c/6abc2804-ef50-83ea-b63e-5f40e7d082ac
https://chatgpt.com/c/6ab5c689-2400-83ea-8316-f62380720684</x:v>
      </x:c>
      <x:c r="G8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84" ht="36" hidden="0" customHeight="1">
      <x:c r="A84" s="1"/>
      <x:c r="B84" s="1"/>
      <x:c r="C84" s="23" t="str">
        <x:v>DOT-062</x:v>
      </x:c>
      <x:c r="D84" s="24" t="str">
        <x:v>Dot judgment; not approved price</x:v>
      </x:c>
      <x:c r="E84" s="24" t="str">
        <x:v>Low</x:v>
      </x:c>
      <x:c r="F84" s="24" t="str">
        <x:v>https://chatgpt.com/c/6abc2804-ef50-83ea-b63e-5f40e7d082ac
https://chatgpt.com/c/6ab5c689-2400-83ea-8316-f62380720684</x:v>
      </x:c>
      <x:c r="G8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85" ht="36" hidden="0" customHeight="1">
      <x:c r="A85" s="1"/>
      <x:c r="B85" s="1"/>
      <x:c r="C85" s="23" t="str">
        <x:v>DOT-063</x:v>
      </x:c>
      <x:c r="D85" s="24" t="str">
        <x:v>Dot comparison price; historical cleaning anchors not current approval</x:v>
      </x:c>
      <x:c r="E85" s="24" t="str">
        <x:v>Low</x:v>
      </x:c>
      <x:c r="F85" s="24" t="str">
        <x:v>https://chatgpt.com/c/6ab220d2-d7b4-83ea-ba8b-1bde30b6a727</x:v>
      </x:c>
      <x:c r="G8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86" ht="36" hidden="0" customHeight="1">
      <x:c r="A86" s="1"/>
      <x:c r="B86" s="1"/>
      <x:c r="C86" s="23" t="str">
        <x:v>DOT-064</x:v>
      </x:c>
      <x:c r="D86" s="24" t="str">
        <x:v>Dot comparison price; historical cleaning anchors not current approval</x:v>
      </x:c>
      <x:c r="E86" s="24" t="str">
        <x:v>Low</x:v>
      </x:c>
      <x:c r="F86" s="24" t="str">
        <x:v>https://chatgpt.com/c/6ab220d2-d7b4-83ea-ba8b-1bde30b6a727</x:v>
      </x:c>
      <x:c r="G8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87" ht="36" hidden="0" customHeight="1">
      <x:c r="A87" s="1"/>
      <x:c r="B87" s="1"/>
      <x:c r="C87" s="23" t="str">
        <x:v>DOT-065</x:v>
      </x:c>
      <x:c r="D87" s="24" t="str">
        <x:v>Dot comparison price; historical cleaning anchors not current approval</x:v>
      </x:c>
      <x:c r="E87" s="24" t="str">
        <x:v>Low</x:v>
      </x:c>
      <x:c r="F87" s="24" t="str">
        <x:v>https://chatgpt.com/c/6ab220d2-d7b4-83ea-ba8b-1bde30b6a727</x:v>
      </x:c>
      <x:c r="G8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88" ht="36" hidden="0" customHeight="1">
      <x:c r="A88" s="1"/>
      <x:c r="B88" s="1"/>
      <x:c r="C88" s="23" t="str">
        <x:v>DOT-066</x:v>
      </x:c>
      <x:c r="D88" s="24" t="str">
        <x:v>Dot comparison price; historical cleaning anchors not current approval</x:v>
      </x:c>
      <x:c r="E88" s="24" t="str">
        <x:v>Low</x:v>
      </x:c>
      <x:c r="F88" s="24" t="str">
        <x:v>https://chatgpt.com/c/6ab220d2-d7b4-83ea-ba8b-1bde30b6a727</x:v>
      </x:c>
      <x:c r="G8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89" ht="36" hidden="0" customHeight="1">
      <x:c r="A89" s="1"/>
      <x:c r="B89" s="1"/>
      <x:c r="C89" s="23" t="str">
        <x:v>DOT-067</x:v>
      </x:c>
      <x:c r="D89" s="24" t="str">
        <x:v>Dot comparison price; historical cleaning anchors not current approval</x:v>
      </x:c>
      <x:c r="E89" s="24" t="str">
        <x:v>Low</x:v>
      </x:c>
      <x:c r="F89" s="24" t="str">
        <x:v>https://chatgpt.com/c/6ab220d2-d7b4-83ea-ba8b-1bde30b6a727</x:v>
      </x:c>
      <x:c r="G8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90" ht="36" hidden="0" customHeight="1">
      <x:c r="A90" s="1"/>
      <x:c r="B90" s="1"/>
      <x:c r="C90" s="23" t="str">
        <x:v>DOT-068</x:v>
      </x:c>
      <x:c r="D90" s="24" t="str">
        <x:v>Dot comparison price; historical cleaning anchors not current approval</x:v>
      </x:c>
      <x:c r="E90" s="24" t="str">
        <x:v>Low</x:v>
      </x:c>
      <x:c r="F90" s="24" t="str">
        <x:v>https://chatgpt.com/c/6ab220d2-d7b4-83ea-ba8b-1bde30b6a727</x:v>
      </x:c>
      <x:c r="G9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91" ht="36" hidden="0" customHeight="1">
      <x:c r="A91" s="1"/>
      <x:c r="B91" s="1"/>
      <x:c r="C91" s="23" t="str">
        <x:v>DOT-069</x:v>
      </x:c>
      <x:c r="D91" s="24" t="str">
        <x:v>Dot comparison price; historical cleaning anchors not current approval</x:v>
      </x:c>
      <x:c r="E91" s="24" t="str">
        <x:v>Low</x:v>
      </x:c>
      <x:c r="F91" s="24" t="str">
        <x:v>https://chatgpt.com/c/6ab220d2-d7b4-83ea-ba8b-1bde30b6a727</x:v>
      </x:c>
      <x:c r="G9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92" ht="36" hidden="0" customHeight="1">
      <x:c r="A92" s="1"/>
      <x:c r="B92" s="1"/>
      <x:c r="C92" s="23" t="str">
        <x:v>DOT-070</x:v>
      </x:c>
      <x:c r="D92" s="24" t="str">
        <x:v>Dot judgment; not approved price</x:v>
      </x:c>
      <x:c r="E92" s="24" t="str">
        <x:v>Low</x:v>
      </x:c>
      <x:c r="F92" s="24" t="str">
        <x:v>https://chatgpt.com/c/6ab220d2-d7b4-83ea-ba8b-1bde30b6a727</x:v>
      </x:c>
      <x:c r="G9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93" ht="36" hidden="0" customHeight="1">
      <x:c r="A93" s="1"/>
      <x:c r="B93" s="1"/>
      <x:c r="C93" s="23" t="str">
        <x:v>DOT-071</x:v>
      </x:c>
      <x:c r="D93" s="24" t="str">
        <x:v>Dot judgment; not approved price</x:v>
      </x:c>
      <x:c r="E93" s="24" t="str">
        <x:v>Low</x:v>
      </x:c>
      <x:c r="F93" s="24" t="str">
        <x:v>https://chatgpt.com/c/6ab220d2-d7b4-83ea-ba8b-1bde30b6a727</x:v>
      </x:c>
      <x:c r="G9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94" ht="36" hidden="0" customHeight="1">
      <x:c r="A94" s="1"/>
      <x:c r="B94" s="1"/>
      <x:c r="C94" s="23" t="str">
        <x:v>DOT-072</x:v>
      </x:c>
      <x:c r="D94" s="24" t="str">
        <x:v>Dot judgment; not approved price</x:v>
      </x:c>
      <x:c r="E94" s="24" t="str">
        <x:v>Low</x:v>
      </x:c>
      <x:c r="F94" s="24" t="str">
        <x:v>https://chatgpt.com/c/6ab220d2-d7b4-83ea-ba8b-1bde30b6a727</x:v>
      </x:c>
      <x:c r="G9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95" ht="36" hidden="0" customHeight="1">
      <x:c r="A95" s="1"/>
      <x:c r="B95" s="1"/>
      <x:c r="C95" s="23" t="str">
        <x:v>DOT-073</x:v>
      </x:c>
      <x:c r="D95" s="24" t="str">
        <x:v>Dot judgment; not approved price</x:v>
      </x:c>
      <x:c r="E95" s="24" t="str">
        <x:v>Low</x:v>
      </x:c>
      <x:c r="F95" s="24" t="str">
        <x:v>https://chatgpt.com/c/6ab220d2-d7b4-83ea-ba8b-1bde30b6a727</x:v>
      </x:c>
      <x:c r="G9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96" ht="36" hidden="0" customHeight="1">
      <x:c r="A96" s="1"/>
      <x:c r="B96" s="1"/>
      <x:c r="C96" s="23" t="str">
        <x:v>DOT-074</x:v>
      </x:c>
      <x:c r="D96" s="24" t="str">
        <x:v>Dot judgment; not approved price</x:v>
      </x:c>
      <x:c r="E96" s="24" t="str">
        <x:v>Low</x:v>
      </x:c>
      <x:c r="F96" s="24" t="str">
        <x:v>https://chatgpt.com/c/6ab220d2-d7b4-83ea-ba8b-1bde30b6a727</x:v>
      </x:c>
      <x:c r="G9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97" ht="36" hidden="0" customHeight="1">
      <x:c r="A97" s="1"/>
      <x:c r="B97" s="1"/>
      <x:c r="C97" s="23" t="str">
        <x:v>DOT-075</x:v>
      </x:c>
      <x:c r="D97" s="24" t="str">
        <x:v>Dot judgment; not approved price</x:v>
      </x:c>
      <x:c r="E97" s="24" t="str">
        <x:v>Low</x:v>
      </x:c>
      <x:c r="F97" s="24" t="str">
        <x:v>https://chatgpt.com/c/6ab220d2-d7b4-83ea-ba8b-1bde30b6a727</x:v>
      </x:c>
      <x:c r="G9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98" ht="36" hidden="0" customHeight="1">
      <x:c r="A98" s="1"/>
      <x:c r="B98" s="1"/>
      <x:c r="C98" s="23" t="str">
        <x:v>DOT-076</x:v>
      </x:c>
      <x:c r="D98" s="24" t="str">
        <x:v>Dot judgment; not approved price</x:v>
      </x:c>
      <x:c r="E98" s="24" t="str">
        <x:v>Low</x:v>
      </x:c>
      <x:c r="F98" s="24" t="str">
        <x:v>https://chatgpt.com/c/6ab220d2-d7b4-83ea-ba8b-1bde30b6a727</x:v>
      </x:c>
      <x:c r="G9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99" ht="36" hidden="0" customHeight="1">
      <x:c r="A99" s="1"/>
      <x:c r="B99" s="1"/>
      <x:c r="C99" s="23" t="str">
        <x:v>DOT-077</x:v>
      </x:c>
      <x:c r="D99" s="24" t="str">
        <x:v>Dot judgment; not approved price</x:v>
      </x:c>
      <x:c r="E99" s="24" t="str">
        <x:v>Low</x:v>
      </x:c>
      <x:c r="F99" s="24" t="str">
        <x:v>https://chatgpt.com/c/6ab220d2-d7b4-83ea-ba8b-1bde30b6a727</x:v>
      </x:c>
      <x:c r="G9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00" ht="36" hidden="0" customHeight="1">
      <x:c r="A100" s="1"/>
      <x:c r="B100" s="1"/>
      <x:c r="C100" s="23" t="str">
        <x:v>DOT-078</x:v>
      </x:c>
      <x:c r="D100" s="24" t="str">
        <x:v>Dot judgment; not approved price</x:v>
      </x:c>
      <x:c r="E100" s="24" t="str">
        <x:v>Low</x:v>
      </x:c>
      <x:c r="F100" s="24" t="str">
        <x:v>https://chatgpt.com/c/197b0209-96e7-43a8-b2fe-4e2f4f288ef7</x:v>
      </x:c>
      <x:c r="G10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01" ht="36" hidden="0" customHeight="1">
      <x:c r="A101" s="1"/>
      <x:c r="B101" s="1"/>
      <x:c r="C101" s="23" t="str">
        <x:v>DOT-079</x:v>
      </x:c>
      <x:c r="D101" s="24" t="str">
        <x:v>Dot judgment; not approved price</x:v>
      </x:c>
      <x:c r="E101" s="24" t="str">
        <x:v>Low</x:v>
      </x:c>
      <x:c r="F101" s="24" t="str">
        <x:v>https://chatgpt.com/c/197b0209-96e7-43a8-b2fe-4e2f4f288ef7</x:v>
      </x:c>
      <x:c r="G10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02" ht="36" hidden="0" customHeight="1">
      <x:c r="A102" s="1"/>
      <x:c r="B102" s="1"/>
      <x:c r="C102" s="23" t="str">
        <x:v>DOT-080</x:v>
      </x:c>
      <x:c r="D102" s="24" t="str">
        <x:v>Dot judgment; not approved price</x:v>
      </x:c>
      <x:c r="E102" s="24" t="str">
        <x:v>Low</x:v>
      </x:c>
      <x:c r="F102" s="24" t="str">
        <x:v>https://chatgpt.com/c/197b0209-96e7-43a8-b2fe-4e2f4f288ef7</x:v>
      </x:c>
      <x:c r="G10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03" ht="36" hidden="0" customHeight="1">
      <x:c r="A103" s="1"/>
      <x:c r="B103" s="1"/>
      <x:c r="C103" s="23" t="str">
        <x:v>DOT-081</x:v>
      </x:c>
      <x:c r="D103" s="24" t="str">
        <x:v>Dot judgment; not approved price</x:v>
      </x:c>
      <x:c r="E103" s="24" t="str">
        <x:v>Low</x:v>
      </x:c>
      <x:c r="F103" s="24" t="str">
        <x:v>https://chatgpt.com/c/197b0209-96e7-43a8-b2fe-4e2f4f288ef7</x:v>
      </x:c>
      <x:c r="G10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04" ht="36" hidden="0" customHeight="1">
      <x:c r="A104" s="1"/>
      <x:c r="B104" s="1"/>
      <x:c r="C104" s="23" t="str">
        <x:v>DOT-082</x:v>
      </x:c>
      <x:c r="D104" s="24" t="str">
        <x:v>Historical scenario anchor used as Dot assumption</x:v>
      </x:c>
      <x:c r="E104" s="24" t="str">
        <x:v>Low</x:v>
      </x:c>
      <x:c r="F104" s="24" t="str">
        <x:v>https://chatgpt.com/c/6ab2b83c-303c-83ea-8d5e-4be203cff113</x:v>
      </x:c>
      <x:c r="G10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05" ht="36" hidden="0" customHeight="1">
      <x:c r="A105" s="1"/>
      <x:c r="B105" s="1"/>
      <x:c r="C105" s="23" t="str">
        <x:v>DOT-083</x:v>
      </x:c>
      <x:c r="D105" s="24" t="str">
        <x:v>Dot judgment; not approved price</x:v>
      </x:c>
      <x:c r="E105" s="24" t="str">
        <x:v>Low</x:v>
      </x:c>
      <x:c r="F105" s="24" t="str">
        <x:v>https://chatgpt.com/c/6ab2b83c-303c-83ea-8d5e-4be203cff113</x:v>
      </x:c>
      <x:c r="G10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06" ht="36" hidden="0" customHeight="1">
      <x:c r="A106" s="1"/>
      <x:c r="B106" s="1"/>
      <x:c r="C106" s="23" t="str">
        <x:v>DOT-084</x:v>
      </x:c>
      <x:c r="D106" s="24" t="str">
        <x:v>Dot judgment; not approved price</x:v>
      </x:c>
      <x:c r="E106" s="24" t="str">
        <x:v>Low</x:v>
      </x:c>
      <x:c r="F106" s="24" t="str">
        <x:v>https://chatgpt.com/c/6ab2b83c-303c-83ea-8d5e-4be203cff113</x:v>
      </x:c>
      <x:c r="G10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07" ht="36" hidden="0" customHeight="1">
      <x:c r="A107" s="1"/>
      <x:c r="B107" s="1"/>
      <x:c r="C107" s="23" t="str">
        <x:v>DOT-085</x:v>
      </x:c>
      <x:c r="D107" s="24" t="str">
        <x:v>Dot judgment; not approved price</x:v>
      </x:c>
      <x:c r="E107" s="24" t="str">
        <x:v>Low</x:v>
      </x:c>
      <x:c r="F107" s="24" t="str">
        <x:v>https://chatgpt.com/c/6ab2b83c-303c-83ea-8d5e-4be203cff113</x:v>
      </x:c>
      <x:c r="G10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08" ht="36" hidden="0" customHeight="1">
      <x:c r="A108" s="1"/>
      <x:c r="B108" s="1"/>
      <x:c r="C108" s="23" t="str">
        <x:v>DOT-086</x:v>
      </x:c>
      <x:c r="D108" s="24" t="str">
        <x:v>Dot judgment; not approved price</x:v>
      </x:c>
      <x:c r="E108" s="24" t="str">
        <x:v>Low</x:v>
      </x:c>
      <x:c r="F108" s="24" t="str">
        <x:v>https://chatgpt.com/c/6ab2b83c-303c-83ea-8d5e-4be203cff113</x:v>
      </x:c>
      <x:c r="G10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09" ht="36" hidden="0" customHeight="1">
      <x:c r="A109" s="1"/>
      <x:c r="B109" s="1"/>
      <x:c r="C109" s="23" t="str">
        <x:v>DOT-087</x:v>
      </x:c>
      <x:c r="D109" s="24" t="str">
        <x:v>Dot judgment; not approved price</x:v>
      </x:c>
      <x:c r="E109" s="24" t="str">
        <x:v>Low</x:v>
      </x:c>
      <x:c r="F109" s="24" t="str">
        <x:v>https://chatgpt.com/c/6ab2b83c-303c-83ea-8d5e-4be203cff113</x:v>
      </x:c>
      <x:c r="G10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10" ht="36" hidden="0" customHeight="1">
      <x:c r="A110" s="1"/>
      <x:c r="B110" s="1"/>
      <x:c r="C110" s="23" t="str">
        <x:v>DOT-088</x:v>
      </x:c>
      <x:c r="D110" s="24" t="str">
        <x:v>Dot judgment; not approved price</x:v>
      </x:c>
      <x:c r="E110" s="24" t="str">
        <x:v>Low</x:v>
      </x:c>
      <x:c r="F110" s="24" t="str">
        <x:v>https://chatgpt.com/c/6ab2b83c-303c-83ea-8d5e-4be203cff113</x:v>
      </x:c>
      <x:c r="G11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11" ht="36" hidden="0" customHeight="1">
      <x:c r="A111" s="1"/>
      <x:c r="B111" s="1"/>
      <x:c r="C111" s="23" t="str">
        <x:v>DOT-089</x:v>
      </x:c>
      <x:c r="D111" s="24" t="str">
        <x:v>Dot judgment; not approved price</x:v>
      </x:c>
      <x:c r="E111" s="24" t="str">
        <x:v>Low</x:v>
      </x:c>
      <x:c r="F111" s="24" t="str">
        <x:v>https://chatgpt.com/c/6ab2b83c-303c-83ea-8d5e-4be203cff113</x:v>
      </x:c>
      <x:c r="G11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12" ht="36" hidden="0" customHeight="1">
      <x:c r="A112" s="1"/>
      <x:c r="B112" s="1"/>
      <x:c r="C112" s="23" t="str">
        <x:v>DOT-090</x:v>
      </x:c>
      <x:c r="D112" s="24" t="str">
        <x:v>Dot judgment; not approved price</x:v>
      </x:c>
      <x:c r="E112" s="24" t="str">
        <x:v>Low</x:v>
      </x:c>
      <x:c r="F112" s="24" t="str">
        <x:v>https://chatgpt.com/c/6ab2b83c-303c-83ea-8d5e-4be203cff113</x:v>
      </x:c>
      <x:c r="G11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13" ht="36" hidden="0" customHeight="1">
      <x:c r="A113" s="1"/>
      <x:c r="B113" s="1"/>
      <x:c r="C113" s="23" t="str">
        <x:v>DOT-091</x:v>
      </x:c>
      <x:c r="D113" s="24" t="str">
        <x:v>Dot judgment; not approved price</x:v>
      </x:c>
      <x:c r="E113" s="24" t="str">
        <x:v>Low</x:v>
      </x:c>
      <x:c r="F113" s="24" t="str">
        <x:v>https://chatgpt.com/c/6ab2b83c-303c-83ea-8d5e-4be203cff113</x:v>
      </x:c>
      <x:c r="G11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14" ht="36" hidden="0" customHeight="1">
      <x:c r="A114" s="1"/>
      <x:c r="B114" s="1"/>
      <x:c r="C114" s="23" t="str">
        <x:v>DOT-092</x:v>
      </x:c>
      <x:c r="D114" s="24" t="str">
        <x:v>Dot judgment; not approved price</x:v>
      </x:c>
      <x:c r="E114" s="24" t="str">
        <x:v>Low</x:v>
      </x:c>
      <x:c r="F114" s="24" t="str">
        <x:v>https://chatgpt.com/c/6ab2b83c-303c-83ea-8d5e-4be203cff113</x:v>
      </x:c>
      <x:c r="G11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15" ht="36" hidden="0" customHeight="1">
      <x:c r="A115" s="1"/>
      <x:c r="B115" s="1"/>
      <x:c r="C115" s="23" t="str">
        <x:v>DOT-093</x:v>
      </x:c>
      <x:c r="D115" s="24" t="str">
        <x:v>Dot judgment; not approved price</x:v>
      </x:c>
      <x:c r="E115" s="24" t="str">
        <x:v>Low</x:v>
      </x:c>
      <x:c r="F115" s="24" t="str">
        <x:v>https://chatgpt.com/c/6ab2b83c-303c-83ea-8d5e-4be203cff113</x:v>
      </x:c>
      <x:c r="G11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16" ht="36" hidden="0" customHeight="1">
      <x:c r="A116" s="1"/>
      <x:c r="B116" s="1"/>
      <x:c r="C116" s="23" t="str">
        <x:v>DOT-094</x:v>
      </x:c>
      <x:c r="D116" s="24" t="str">
        <x:v>Dot judgment; not approved price</x:v>
      </x:c>
      <x:c r="E116" s="24" t="str">
        <x:v>Low</x:v>
      </x:c>
      <x:c r="F116" s="24" t="str">
        <x:v>https://chatgpt.com/c/6ab2b83c-303c-83ea-8d5e-4be203cff113</x:v>
      </x:c>
      <x:c r="G11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17" ht="36" hidden="0" customHeight="1">
      <x:c r="A117" s="1"/>
      <x:c r="B117" s="1"/>
      <x:c r="C117" s="23" t="str">
        <x:v>DOT-095</x:v>
      </x:c>
      <x:c r="D117" s="24" t="str">
        <x:v>Dot judgment; not approved price</x:v>
      </x:c>
      <x:c r="E117" s="24" t="str">
        <x:v>Low</x:v>
      </x:c>
      <x:c r="F117" s="24" t="str">
        <x:v>https://chatgpt.com/c/6ab2b83c-303c-83ea-8d5e-4be203cff113</x:v>
      </x:c>
      <x:c r="G11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18" ht="36" hidden="0" customHeight="1">
      <x:c r="A118" s="1"/>
      <x:c r="B118" s="1"/>
      <x:c r="C118" s="23" t="str">
        <x:v>DOT-096</x:v>
      </x:c>
      <x:c r="D118" s="24" t="str">
        <x:v>Dot judgment; not approved price</x:v>
      </x:c>
      <x:c r="E118" s="24" t="str">
        <x:v>Low</x:v>
      </x:c>
      <x:c r="F118" s="24" t="str">
        <x:v>https://chatgpt.com/c/6ab2b83c-303c-83ea-8d5e-4be203cff113</x:v>
      </x:c>
      <x:c r="G11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19" ht="36" hidden="0" customHeight="1">
      <x:c r="A119" s="1"/>
      <x:c r="B119" s="1"/>
      <x:c r="C119" s="23" t="str">
        <x:v>DOT-097</x:v>
      </x:c>
      <x:c r="D119" s="24" t="str">
        <x:v>Dot judgment; not approved price</x:v>
      </x:c>
      <x:c r="E119" s="24" t="str">
        <x:v>Low</x:v>
      </x:c>
      <x:c r="F119" s="24" t="str">
        <x:v>https://chatgpt.com/c/6ab2b83c-303c-83ea-8d5e-4be203cff113</x:v>
      </x:c>
      <x:c r="G11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20" ht="36" hidden="0" customHeight="1">
      <x:c r="A120" s="1"/>
      <x:c r="B120" s="1"/>
      <x:c r="C120" s="23" t="str">
        <x:v>DOT-098</x:v>
      </x:c>
      <x:c r="D120" s="24" t="str">
        <x:v>Dot judgment; not approved price</x:v>
      </x:c>
      <x:c r="E120" s="24" t="str">
        <x:v>Low</x:v>
      </x:c>
      <x:c r="F120" s="24" t="str">
        <x:v>https://chatgpt.com/c/6ab2b83c-303c-83ea-8d5e-4be203cff113</x:v>
      </x:c>
      <x:c r="G12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21" ht="36" hidden="0" customHeight="1">
      <x:c r="A121" s="1"/>
      <x:c r="B121" s="1"/>
      <x:c r="C121" s="23" t="str">
        <x:v>DOT-099</x:v>
      </x:c>
      <x:c r="D121" s="24" t="str">
        <x:v>Dot judgment; not approved price</x:v>
      </x:c>
      <x:c r="E121" s="24" t="str">
        <x:v>Low</x:v>
      </x:c>
      <x:c r="F121" s="24" t="str">
        <x:v>https://chatgpt.com/c/6ab2b83c-303c-83ea-8d5e-4be203cff113</x:v>
      </x:c>
      <x:c r="G12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22" ht="36" hidden="0" customHeight="1">
      <x:c r="A122" s="1"/>
      <x:c r="B122" s="1"/>
      <x:c r="C122" s="23" t="str">
        <x:v>DOT-100</x:v>
      </x:c>
      <x:c r="D122" s="24" t="str">
        <x:v>Dot judgment; not approved price</x:v>
      </x:c>
      <x:c r="E122" s="24" t="str">
        <x:v>Low</x:v>
      </x:c>
      <x:c r="F122" s="24" t="str">
        <x:v>https://chatgpt.com/c/6ab2b83c-303c-83ea-8d5e-4be203cff113</x:v>
      </x:c>
      <x:c r="G12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23" ht="36" hidden="0" customHeight="1">
      <x:c r="A123" s="1"/>
      <x:c r="B123" s="1"/>
      <x:c r="C123" s="23" t="str">
        <x:v>DOT-101</x:v>
      </x:c>
      <x:c r="D123" s="24" t="str">
        <x:v>Dot judgment; not approved price</x:v>
      </x:c>
      <x:c r="E123" s="24" t="str">
        <x:v>Low</x:v>
      </x:c>
      <x:c r="F123" s="24" t="str">
        <x:v>https://chatgpt.com/c/6ab2b6ba-2204-83ea-a13b-489e83d9f257
https://chatgpt.com/c/6ab63f7c-6508-83ea-82af-2c5bd8e12369</x:v>
      </x:c>
      <x:c r="G12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24" ht="36" hidden="0" customHeight="1">
      <x:c r="A124" s="1"/>
      <x:c r="B124" s="1"/>
      <x:c r="C124" s="23" t="str">
        <x:v>DOT-102</x:v>
      </x:c>
      <x:c r="D124" s="24" t="str">
        <x:v>Dot judgment; not approved price</x:v>
      </x:c>
      <x:c r="E124" s="24" t="str">
        <x:v>Low</x:v>
      </x:c>
      <x:c r="F124" s="24" t="str">
        <x:v>https://chatgpt.com/c/6ab2b6ba-2204-83ea-a13b-489e83d9f257
https://chatgpt.com/c/6ab63f7c-6508-83ea-82af-2c5bd8e12369</x:v>
      </x:c>
      <x:c r="G12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25" ht="36" hidden="0" customHeight="1">
      <x:c r="A125" s="1"/>
      <x:c r="B125" s="1"/>
      <x:c r="C125" s="23" t="str">
        <x:v>DOT-103</x:v>
      </x:c>
      <x:c r="D125" s="24" t="str">
        <x:v>Dot judgment; not approved price</x:v>
      </x:c>
      <x:c r="E125" s="24" t="str">
        <x:v>Low</x:v>
      </x:c>
      <x:c r="F125" s="24" t="str">
        <x:v>https://chatgpt.com/c/6ab2b6ba-2204-83ea-a13b-489e83d9f257
https://chatgpt.com/c/6ab63f7c-6508-83ea-82af-2c5bd8e12369</x:v>
      </x:c>
      <x:c r="G12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26" ht="36" hidden="0" customHeight="1">
      <x:c r="A126" s="1"/>
      <x:c r="B126" s="1"/>
      <x:c r="C126" s="23" t="str">
        <x:v>DOT-104</x:v>
      </x:c>
      <x:c r="D126" s="24" t="str">
        <x:v>Dot judgment; not approved price</x:v>
      </x:c>
      <x:c r="E126" s="24" t="str">
        <x:v>Low</x:v>
      </x:c>
      <x:c r="F126" s="24" t="str">
        <x:v>https://chatgpt.com/c/6ab2b6ba-2204-83ea-a13b-489e83d9f257
https://chatgpt.com/c/6ab63f7c-6508-83ea-82af-2c5bd8e12369</x:v>
      </x:c>
      <x:c r="G12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27" ht="36" hidden="0" customHeight="1">
      <x:c r="A127" s="1"/>
      <x:c r="B127" s="1"/>
      <x:c r="C127" s="23" t="str">
        <x:v>DOT-105</x:v>
      </x:c>
      <x:c r="D127" s="24" t="str">
        <x:v>Dot judgment; not approved price</x:v>
      </x:c>
      <x:c r="E127" s="24" t="str">
        <x:v>Low</x:v>
      </x:c>
      <x:c r="F127" s="24" t="str">
        <x:v>https://chatgpt.com/c/6ab2b6ba-2204-83ea-a13b-489e83d9f257
https://chatgpt.com/c/6ab63f7c-6508-83ea-82af-2c5bd8e12369</x:v>
      </x:c>
      <x:c r="G12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28" ht="36" hidden="0" customHeight="1">
      <x:c r="A128" s="1"/>
      <x:c r="B128" s="1"/>
      <x:c r="C128" s="23" t="str">
        <x:v>DOT-106</x:v>
      </x:c>
      <x:c r="D128" s="24" t="str">
        <x:v>Historical proposal used as Dot assumption</x:v>
      </x:c>
      <x:c r="E128" s="24" t="str">
        <x:v>Low</x:v>
      </x:c>
      <x:c r="F128" s="24" t="str">
        <x:v>https://chatgpt.com/c/6ab2b4f7-b04c-83ea-aebd-6f99df77a775</x:v>
      </x:c>
      <x:c r="G12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29" ht="36" hidden="0" customHeight="1">
      <x:c r="A129" s="1"/>
      <x:c r="B129" s="1"/>
      <x:c r="C129" s="23" t="str">
        <x:v>DOT-107</x:v>
      </x:c>
      <x:c r="D129" s="24" t="str">
        <x:v>Dot judgment; not approved price</x:v>
      </x:c>
      <x:c r="E129" s="24" t="str">
        <x:v>Low</x:v>
      </x:c>
      <x:c r="F129" s="24" t="str">
        <x:v>https://chatgpt.com/c/6ab2b4f7-b04c-83ea-aebd-6f99df77a775</x:v>
      </x:c>
      <x:c r="G12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30" ht="36" hidden="0" customHeight="1">
      <x:c r="A130" s="1"/>
      <x:c r="B130" s="1"/>
      <x:c r="C130" s="23" t="str">
        <x:v>DOT-108</x:v>
      </x:c>
      <x:c r="D130" s="24" t="str">
        <x:v>Historical proposal used as Dot assumption</x:v>
      </x:c>
      <x:c r="E130" s="24" t="str">
        <x:v>Low</x:v>
      </x:c>
      <x:c r="F130" s="24" t="str">
        <x:v>https://chatgpt.com/c/6ab2b4f7-b04c-83ea-aebd-6f99df77a775</x:v>
      </x:c>
      <x:c r="G13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31" ht="36" hidden="0" customHeight="1">
      <x:c r="A131" s="1"/>
      <x:c r="B131" s="1"/>
      <x:c r="C131" s="23" t="str">
        <x:v>DOT-109</x:v>
      </x:c>
      <x:c r="D131" s="24" t="str">
        <x:v>Historical lower-bound concept used as Dot assumption</x:v>
      </x:c>
      <x:c r="E131" s="24" t="str">
        <x:v>Low</x:v>
      </x:c>
      <x:c r="F131" s="24" t="str">
        <x:v>https://chatgpt.com/c/6ab2b745-9244-83e9-aa91-8ad8e43c460b</x:v>
      </x:c>
      <x:c r="G13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32" ht="36" hidden="0" customHeight="1">
      <x:c r="A132" s="1"/>
      <x:c r="B132" s="1"/>
      <x:c r="C132" s="23" t="str">
        <x:v>DOT-110</x:v>
      </x:c>
      <x:c r="D132" s="24" t="str">
        <x:v>Dot judgment; not approved price</x:v>
      </x:c>
      <x:c r="E132" s="24" t="str">
        <x:v>Low</x:v>
      </x:c>
      <x:c r="F132" s="24" t="str">
        <x:v>https://chatgpt.com/c/6ab2b745-9244-83e9-aa91-8ad8e43c460b</x:v>
      </x:c>
      <x:c r="G13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33" ht="36" hidden="0" customHeight="1">
      <x:c r="A133" s="1"/>
      <x:c r="B133" s="1"/>
      <x:c r="C133" s="23" t="str">
        <x:v>DOT-111</x:v>
      </x:c>
      <x:c r="D133" s="24" t="str">
        <x:v>Dot judgment; not approved price</x:v>
      </x:c>
      <x:c r="E133" s="24" t="str">
        <x:v>Low</x:v>
      </x:c>
      <x:c r="F133" s="24" t="str">
        <x:v>https://chatgpt.com/c/6ab2b745-9244-83e9-aa91-8ad8e43c460b</x:v>
      </x:c>
      <x:c r="G13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34" ht="36" hidden="0" customHeight="1">
      <x:c r="A134" s="1"/>
      <x:c r="B134" s="1"/>
      <x:c r="C134" s="23" t="str">
        <x:v>DOT-112</x:v>
      </x:c>
      <x:c r="D134" s="24" t="str">
        <x:v>Historical session illustration used as Dot comparison assumption; not approved price</x:v>
      </x:c>
      <x:c r="E134" s="24" t="str">
        <x:v>Low</x:v>
      </x:c>
      <x:c r="F134" s="24" t="str">
        <x:v>https://chatgpt.com/c/6ab49ca5-0efc-83ea-a6bd-1782ba0c13e6</x:v>
      </x:c>
      <x:c r="G13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35" ht="36" hidden="0" customHeight="1">
      <x:c r="A135" s="1"/>
      <x:c r="B135" s="1"/>
      <x:c r="C135" s="23" t="str">
        <x:v>DOT-113</x:v>
      </x:c>
      <x:c r="D135" s="24" t="str">
        <x:v>Historical session illustration used as Dot comparison assumption; not approved price</x:v>
      </x:c>
      <x:c r="E135" s="24" t="str">
        <x:v>Low</x:v>
      </x:c>
      <x:c r="F135" s="24" t="str">
        <x:v>https://chatgpt.com/c/6ab49ca5-0efc-83ea-a6bd-1782ba0c13e6</x:v>
      </x:c>
      <x:c r="G13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36" ht="36" hidden="0" customHeight="1">
      <x:c r="A136" s="1"/>
      <x:c r="B136" s="1"/>
      <x:c r="C136" s="23" t="str">
        <x:v>DOT-114</x:v>
      </x:c>
      <x:c r="D136" s="24" t="str">
        <x:v>Historical session illustration used as Dot comparison assumption; not approved price</x:v>
      </x:c>
      <x:c r="E136" s="24" t="str">
        <x:v>Low</x:v>
      </x:c>
      <x:c r="F136" s="24" t="str">
        <x:v>https://chatgpt.com/c/6ab49ca5-0efc-83ea-a6bd-1782ba0c13e6</x:v>
      </x:c>
      <x:c r="G13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37" ht="36" hidden="0" customHeight="1">
      <x:c r="A137" s="1"/>
      <x:c r="B137" s="1"/>
      <x:c r="C137" s="23" t="str">
        <x:v>DOT-115</x:v>
      </x:c>
      <x:c r="D137" s="24" t="str">
        <x:v>Dot judgment; not approved price</x:v>
      </x:c>
      <x:c r="E137" s="24" t="str">
        <x:v>Low</x:v>
      </x:c>
      <x:c r="F137" s="24" t="str">
        <x:v>https://chatgpt.com/c/6ab49ca5-0efc-83ea-a6bd-1782ba0c13e6</x:v>
      </x:c>
      <x:c r="G13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38" ht="36" hidden="0" customHeight="1">
      <x:c r="A138" s="1"/>
      <x:c r="B138" s="1"/>
      <x:c r="C138" s="23" t="str">
        <x:v>DOT-116</x:v>
      </x:c>
      <x:c r="D138" s="24" t="str">
        <x:v>Dot judgment; not approved price</x:v>
      </x:c>
      <x:c r="E138" s="24" t="str">
        <x:v>Low</x:v>
      </x:c>
      <x:c r="F138" s="24" t="str">
        <x:v>https://chatgpt.com/c/6ab481bd-9488-83e9-97f5-5656b97d9182</x:v>
      </x:c>
      <x:c r="G13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39" ht="36" hidden="0" customHeight="1">
      <x:c r="A139" s="1"/>
      <x:c r="B139" s="1"/>
      <x:c r="C139" s="23" t="str">
        <x:v>DOT-117</x:v>
      </x:c>
      <x:c r="D139" s="24" t="str">
        <x:v>Dot judgment; not approved price</x:v>
      </x:c>
      <x:c r="E139" s="24" t="str">
        <x:v>Low</x:v>
      </x:c>
      <x:c r="F139" s="24" t="str">
        <x:v>https://chatgpt.com/c/6ab481bd-9488-83e9-97f5-5656b97d9182</x:v>
      </x:c>
      <x:c r="G13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40" ht="36" hidden="0" customHeight="1">
      <x:c r="A140" s="1"/>
      <x:c r="B140" s="1"/>
      <x:c r="C140" s="23" t="str">
        <x:v>DOT-118</x:v>
      </x:c>
      <x:c r="D140" s="24" t="str">
        <x:v>Dot judgment; not approved price</x:v>
      </x:c>
      <x:c r="E140" s="24" t="str">
        <x:v>Low</x:v>
      </x:c>
      <x:c r="F140" s="24" t="str">
        <x:v>https://chatgpt.com/c/6ab481bd-9488-83e9-97f5-5656b97d9182</x:v>
      </x:c>
      <x:c r="G14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41" ht="36" hidden="0" customHeight="1">
      <x:c r="A141" s="1"/>
      <x:c r="B141" s="1"/>
      <x:c r="C141" s="23" t="str">
        <x:v>DOT-119</x:v>
      </x:c>
      <x:c r="D141" s="24" t="str">
        <x:v>Dot judgment; not approved price</x:v>
      </x:c>
      <x:c r="E141" s="24" t="str">
        <x:v>Low</x:v>
      </x:c>
      <x:c r="F141" s="24" t="str">
        <x:v>https://chatgpt.com/c/6abed1e8-a540-83e9-bf0c-14e43009a730</x:v>
      </x:c>
      <x:c r="G141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42" ht="36" hidden="0" customHeight="1">
      <x:c r="A142" s="1"/>
      <x:c r="B142" s="1"/>
      <x:c r="C142" s="23" t="str">
        <x:v>DOT-120</x:v>
      </x:c>
      <x:c r="D142" s="24" t="str">
        <x:v>Dot judgment; not approved price</x:v>
      </x:c>
      <x:c r="E142" s="24" t="str">
        <x:v>Low</x:v>
      </x:c>
      <x:c r="F142" s="24" t="str">
        <x:v>https://chatgpt.com/c/6abed1e8-a540-83e9-bf0c-14e43009a730</x:v>
      </x:c>
      <x:c r="G142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43" ht="36" hidden="0" customHeight="1">
      <x:c r="A143" s="1"/>
      <x:c r="B143" s="1"/>
      <x:c r="C143" s="23" t="str">
        <x:v>DOT-121</x:v>
      </x:c>
      <x:c r="D143" s="24" t="str">
        <x:v>Dot judgment; not approved price</x:v>
      </x:c>
      <x:c r="E143" s="24" t="str">
        <x:v>Low</x:v>
      </x:c>
      <x:c r="F143" s="24" t="str">
        <x:v>https://chatgpt.com/c/6abed1e8-a540-83e9-bf0c-14e43009a730</x:v>
      </x:c>
      <x:c r="G143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44" ht="36" hidden="0" customHeight="1">
      <x:c r="A144" s="1"/>
      <x:c r="B144" s="1"/>
      <x:c r="C144" s="23" t="str">
        <x:v>DOT-122</x:v>
      </x:c>
      <x:c r="D144" s="24" t="str">
        <x:v>Dot judgment; not approved price</x:v>
      </x:c>
      <x:c r="E144" s="24" t="str">
        <x:v>Low</x:v>
      </x:c>
      <x:c r="F144" s="24" t="str">
        <x:v>https://chatgpt.com/c/6abed1e8-a540-83e9-bf0c-14e43009a730</x:v>
      </x:c>
      <x:c r="G144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45" ht="36" hidden="0" customHeight="1">
      <x:c r="A145" s="1"/>
      <x:c r="B145" s="1"/>
      <x:c r="C145" s="23" t="str">
        <x:v>DOT-123</x:v>
      </x:c>
      <x:c r="D145" s="24" t="str">
        <x:v>Dot judgment; not approved price</x:v>
      </x:c>
      <x:c r="E145" s="24" t="str">
        <x:v>Low</x:v>
      </x:c>
      <x:c r="F145" s="24" t="str">
        <x:v>https://chatgpt.com/c/6acfe325-dc14-83e9-b885-d3852dccf066
https://chatgpt.com/c/6ac233f7-5970-83ea-9365-e75a2d0cac7f</x:v>
      </x:c>
      <x:c r="G145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46" ht="36" hidden="0" customHeight="1">
      <x:c r="A146" s="1"/>
      <x:c r="B146" s="1"/>
      <x:c r="C146" s="23" t="str">
        <x:v>DOT-124</x:v>
      </x:c>
      <x:c r="D146" s="24" t="str">
        <x:v>Dot judgment; not approved price</x:v>
      </x:c>
      <x:c r="E146" s="24" t="str">
        <x:v>Low</x:v>
      </x:c>
      <x:c r="F146" s="24" t="str">
        <x:v>https://chatgpt.com/c/6ab8c3f7-d7d4-83ea-a177-731a3320268e</x:v>
      </x:c>
      <x:c r="G146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47" ht="36" hidden="0" customHeight="1">
      <x:c r="A147" s="1"/>
      <x:c r="B147" s="1"/>
      <x:c r="C147" s="23" t="str">
        <x:v>DOT-125</x:v>
      </x:c>
      <x:c r="D147" s="24" t="str">
        <x:v>Dot judgment; not approved price</x:v>
      </x:c>
      <x:c r="E147" s="24" t="str">
        <x:v>Low</x:v>
      </x:c>
      <x:c r="F147" s="24" t="str">
        <x:v>https://chatgpt.com/c/6ab8c3f7-d7d4-83ea-a177-731a3320268e</x:v>
      </x:c>
      <x:c r="G147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48" ht="36" hidden="0" customHeight="1">
      <x:c r="A148" s="1"/>
      <x:c r="B148" s="1"/>
      <x:c r="C148" s="23" t="str">
        <x:v>DOT-126</x:v>
      </x:c>
      <x:c r="D148" s="24" t="str">
        <x:v>Dot judgment; not approved price</x:v>
      </x:c>
      <x:c r="E148" s="24" t="str">
        <x:v>Low</x:v>
      </x:c>
      <x:c r="F148" s="24" t="str">
        <x:v>https://chatgpt.com/c/6ab8c3f7-d7d4-83ea-a177-731a3320268e</x:v>
      </x:c>
      <x:c r="G148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49" ht="36" hidden="0" customHeight="1">
      <x:c r="A149" s="1"/>
      <x:c r="B149" s="1"/>
      <x:c r="C149" s="23" t="str">
        <x:v>DOT-127</x:v>
      </x:c>
      <x:c r="D149" s="24" t="str">
        <x:v>Historical session illustration used as Dot comparison assumption; not approved price</x:v>
      </x:c>
      <x:c r="E149" s="24" t="str">
        <x:v>Low</x:v>
      </x:c>
      <x:c r="F149" s="24" t="str">
        <x:v>https://chatgpt.com/c/6ab49ca5-0efc-83ea-a6bd-1782ba0c13e6</x:v>
      </x:c>
      <x:c r="G149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50" ht="36" hidden="0" customHeight="1">
      <x:c r="A150" s="1"/>
      <x:c r="B150" s="1"/>
      <x:c r="C150" s="23" t="str">
        <x:v>DOT-128</x:v>
      </x:c>
      <x:c r="D150" s="24" t="str">
        <x:v>Historical session illustration used as Dot comparison assumption; not approved price</x:v>
      </x:c>
      <x:c r="E150" s="24" t="str">
        <x:v>Low</x:v>
      </x:c>
      <x:c r="F150" s="24" t="str">
        <x:v>https://chatgpt.com/c/6ab49ca5-0efc-83ea-a6bd-1782ba0c13e6</x:v>
      </x:c>
      <x:c r="G150" s="24" t="str">
        <x:v>Delivery and support hours are required paid human work allowances. Rate is a modeled fully loaded cost, not a provider quote. Materials and fixed costs are judgment allowances. Zero materials means digital delivery/no physical stock, not missing price.</x:v>
      </x:c>
    </x:row>
    <x:row r="151" ht="15" hidden="0" customHeight="1">
      <x:c r="A151" s="1"/>
      <x:c r="B151" s="1"/>
      <x:c r="C151" s="23"/>
      <x:c r="D151" s="24"/>
      <x:c r="E151" s="24"/>
      <x:c r="F151" s="24"/>
      <x:c r="G151" s="24"/>
    </x:row>
    <x:row r="152" ht="15" hidden="0" customHeight="1">
      <x:c r="A152" s="1"/>
      <x:c r="B152" s="1"/>
      <x:c r="C152" s="23"/>
      <x:c r="D152" s="24"/>
      <x:c r="E152" s="24"/>
      <x:c r="F152" s="24"/>
      <x:c r="G152" s="24"/>
    </x:row>
    <x:row r="153" ht="15" hidden="0" customHeight="1">
      <x:c r="A153" s="1"/>
      <x:c r="B153" s="1"/>
      <x:c r="C153" s="23"/>
      <x:c r="D153" s="24"/>
      <x:c r="E153" s="24"/>
      <x:c r="F153" s="24"/>
      <x:c r="G153" s="24"/>
    </x:row>
    <x:row r="154" ht="15" hidden="0" customHeight="1">
      <x:c r="A154" s="1"/>
      <x:c r="B154" s="1"/>
      <x:c r="C154" s="23"/>
      <x:c r="D154" s="24"/>
      <x:c r="E154" s="24"/>
      <x:c r="F154" s="24"/>
      <x:c r="G154" s="24"/>
    </x:row>
    <x:row r="155" ht="15" hidden="0" customHeight="1">
      <x:c r="A155" s="1"/>
      <x:c r="B155" s="1"/>
      <x:c r="C155" s="23" t="str">
        <x:v>Official benchmark</x:v>
      </x:c>
      <x:c r="D155" s="24" t="str">
        <x:v>Amount / basis</x:v>
      </x:c>
      <x:c r="E155" s="24" t="str">
        <x:v>Period</x:v>
      </x:c>
      <x:c r="F155" s="24" t="str">
        <x:v>Source URL</x:v>
      </x:c>
      <x:c r="G155" s="24" t="str">
        <x:v>Distinction from model judgment</x:v>
      </x:c>
    </x:row>
    <x:row r="156" ht="15" hidden="0" customHeight="1">
      <x:c r="A156" s="1"/>
      <x:c r="B156" s="1"/>
      <x:c r="C156" s="23" t="str">
        <x:v>Maids and housekeeping cleaners</x:v>
      </x:c>
      <x:c r="D156" s="24" t="n">
        <x:v>17.07</x:v>
      </x:c>
      <x:c r="E156" s="24" t="str">
        <x:v>May 2025</x:v>
      </x:c>
      <x:c r="F156" s="24" t="str">
        <x:v>https://www.bls.gov/news.release/ocwage.t01.htm</x:v>
      </x:c>
      <x:c r="G156" s="24" t="str">
        <x:v>US employee hourly wage/proxy. Model fully loaded human rate is a separate judgment, not a provider quote.</x:v>
      </x:c>
    </x:row>
    <x:row r="157" ht="15" hidden="0" customHeight="1">
      <x:c r="A157" s="1"/>
      <x:c r="B157" s="1"/>
      <x:c r="C157" s="23" t="str">
        <x:v>Photographers</x:v>
      </x:c>
      <x:c r="D157" s="24" t="n">
        <x:v>21.47</x:v>
      </x:c>
      <x:c r="E157" s="24" t="str">
        <x:v>May 2025</x:v>
      </x:c>
      <x:c r="F157" s="24" t="str">
        <x:v>https://www.bls.gov/ooh/media-and-communication/photographers.htm</x:v>
      </x:c>
      <x:c r="G157" s="24" t="str">
        <x:v>US employee hourly wage/proxy. Model fully loaded human rate is a separate judgment, not a provider quote.</x:v>
      </x:c>
    </x:row>
    <x:row r="158" ht="15" hidden="0" customHeight="1">
      <x:c r="A158" s="1"/>
      <x:c r="B158" s="1"/>
      <x:c r="C158" s="23" t="str">
        <x:v>Accountants and auditors</x:v>
      </x:c>
      <x:c r="D158" s="24" t="n">
        <x:v>40.23</x:v>
      </x:c>
      <x:c r="E158" s="24" t="str">
        <x:v>May 2025</x:v>
      </x:c>
      <x:c r="F158" s="24" t="str">
        <x:v>https://www.bls.gov/ooh/business-and-financial/accountants-and-auditors.htm</x:v>
      </x:c>
      <x:c r="G158" s="24" t="str">
        <x:v>US employee hourly wage/proxy. Model fully loaded human rate is a separate judgment, not a provider quote.</x:v>
      </x:c>
    </x:row>
    <x:row r="159" ht="15" hidden="0" customHeight="1">
      <x:c r="A159" s="1"/>
      <x:c r="B159" s="1"/>
      <x:c r="C159" s="23" t="str">
        <x:v>Chefs and head cooks</x:v>
      </x:c>
      <x:c r="D159" s="24" t="n">
        <x:v>30.03</x:v>
      </x:c>
      <x:c r="E159" s="24" t="str">
        <x:v>May 2025</x:v>
      </x:c>
      <x:c r="F159" s="24" t="str">
        <x:v>https://www.bls.gov/ooh/food-preparation-and-serving/chefs-and-head-cooks.htm</x:v>
      </x:c>
      <x:c r="G159" s="24" t="str">
        <x:v>US employee hourly wage/proxy. Model fully loaded human rate is a separate judgment, not a provider quote.</x:v>
      </x:c>
    </x:row>
    <x:row r="160" ht="15" hidden="0" customHeight="1">
      <x:c r="A160" s="1"/>
      <x:c r="B160" s="1"/>
      <x:c r="C160" s="23" t="str">
        <x:v>Tutors</x:v>
      </x:c>
      <x:c r="D160" s="24" t="n">
        <x:v>20.84</x:v>
      </x:c>
      <x:c r="E160" s="24" t="str">
        <x:v>May 2025</x:v>
      </x:c>
      <x:c r="F160" s="24" t="str">
        <x:v>https://www.bls.gov/ooh/education-training-and-library/tutors.htm</x:v>
      </x:c>
      <x:c r="G160" s="24" t="str">
        <x:v>US employee hourly wage/proxy. Model fully loaded human rate is a separate judgment, not a provider quote.</x:v>
      </x:c>
    </x:row>
    <x:row r="161" ht="24" hidden="0" customHeight="1">
      <x:c r="A161" s="1"/>
      <x:c r="B161" s="1"/>
      <x:c r="C161" s="23" t="str">
        <x:v>Training and development specialists</x:v>
      </x:c>
      <x:c r="D161" s="24" t="n">
        <x:v>33.31</x:v>
      </x:c>
      <x:c r="E161" s="24" t="str">
        <x:v>May 2025</x:v>
      </x:c>
      <x:c r="F161" s="24" t="str">
        <x:v>https://www.bls.gov/ooh/business-and-financial/training-and-development-specialists.htm</x:v>
      </x:c>
      <x:c r="G161" s="24" t="str">
        <x:v>US employee hourly wage/proxy. Model fully loaded human rate is a separate judgment, not a provider quote.</x:v>
      </x:c>
    </x:row>
    <x:row r="162" ht="15" hidden="0" customHeight="1">
      <x:c r="A162" s="1"/>
      <x:c r="B162" s="1"/>
      <x:c r="C162" s="23"/>
      <x:c r="D162" s="24"/>
      <x:c r="E162" s="24"/>
      <x:c r="F162" s="24"/>
      <x:c r="G162" s="24"/>
    </x:row>
    <x:row r="163" ht="24" hidden="0" customHeight="1">
      <x:c r="A163" s="1"/>
      <x:c r="B163" s="1"/>
      <x:c r="C163" s="23" t="str">
        <x:v>Stripe domestic online cards</x:v>
      </x:c>
      <x:c r="D163" s="24" t="str">
        <x:v>2.9% + $0.30</x:v>
      </x:c>
      <x:c r="E163" s="24" t="str">
        <x:v>Checked October 24, 2026</x:v>
      </x:c>
      <x:c r="F163" s="24" t="str">
        <x:v>https://stripe.com/pricing</x:v>
      </x:c>
      <x:c r="G163" s="24" t="str">
        <x:v>Assumes gross domestic successful charges; discounts modeled as post-charge credits. Extra platform/international fees not verified.</x:v>
      </x:c>
    </x:row>
    <x:row r="164" ht="24" hidden="0" customHeight="1">
      <x:c r="A164" s="1"/>
      <x:c r="B164" s="1"/>
      <x:c r="C164" s="23" t="str">
        <x:v>Private-industry compensation / wages</x:v>
      </x:c>
      <x:c r="D164" s="24" t="n">
        <x:v>1.4287020109689215</x:v>
      </x:c>
      <x:c r="E164" s="24" t="str">
        <x:v>June 2026</x:v>
      </x:c>
      <x:c r="F164" s="24" t="str">
        <x:v>https://www.bls.gov/news.release/ecec.nr0.htm</x:v>
      </x:c>
      <x:c r="G164" s="24" t="str">
        <x:v>Illustrative 1.4287 burden reference, not automatically added to already loaded model rates.</x:v>
      </x:c>
    </x:row>
    <x:row r="165" ht="15" hidden="0" customHeight="1">
      <x:c r="A165" s="1"/>
      <x:c r="B165" s="1"/>
      <x:c r="C165" s="23" t="str">
        <x:v>BPA owner pricing direction</x:v>
      </x:c>
      <x:c r="D165" s="24" t="str">
        <x:v>Prior 20% menu increase already included</x:v>
      </x:c>
      <x:c r="E165" s="24" t="str">
        <x:v>October 6, 2026</x:v>
      </x:c>
      <x:c r="F165" s="24" t="str">
        <x:v>https://chatgpt.com/c/6ab2166e-1dc4-83ea-8162-96d5755ac0a2?messageId=962f113f-b567-48e0-a7ab-eb0c1d6e5363</x:v>
      </x:c>
      <x:c r="G165" s="24" t="str">
        <x:v>LGC approval remains mandatory; starting fees are not guaranteed realized prices.</x:v>
      </x:c>
    </x:row>
    <x:row r="166" ht="15" hidden="0" customHeight="1">
      <x:c r="A166" s="1"/>
      <x:c r="B166" s="1"/>
      <x:c r="C166" s="23"/>
      <x:c r="D166" s="24"/>
      <x:c r="E166" s="24"/>
      <x:c r="F166" s="24"/>
      <x:c r="G166" s="24"/>
    </x:row>
    <x:row r="167" ht="15" hidden="0" customHeight="1">
      <x:c r="A167" s="1"/>
      <x:c r="B167" s="1"/>
      <x:c r="C167" s="23"/>
      <x:c r="D167" s="24"/>
      <x:c r="E167" s="24"/>
      <x:c r="F167" s="24"/>
      <x:c r="G167" s="24"/>
    </x:row>
    <x:row r="168" ht="15" hidden="0" customHeight="1">
      <x:c r="A168" s="1"/>
      <x:c r="B168" s="1"/>
      <x:c r="C168" s="23"/>
      <x:c r="D168" s="24"/>
      <x:c r="E168" s="24"/>
      <x:c r="F168" s="24"/>
      <x:c r="G168" s="24"/>
    </x:row>
    <x:row r="169" ht="15" hidden="0" customHeight="1">
      <x:c r="A169" s="1"/>
      <x:c r="B169" s="1"/>
      <x:c r="C169" s="23"/>
      <x:c r="D169" s="24"/>
      <x:c r="E169" s="24"/>
      <x:c r="F169" s="24"/>
      <x:c r="G169" s="24"/>
    </x:row>
    <x:row r="170" ht="15" hidden="0" customHeight="1">
      <x:c r="A170" s="1"/>
      <x:c r="B170" s="1"/>
      <x:c r="C170" s="23"/>
      <x:c r="D170" s="24"/>
      <x:c r="E170" s="24"/>
      <x:c r="F170" s="24"/>
      <x:c r="G170" s="24"/>
    </x:row>
    <x:row r="171" ht="15" hidden="0" customHeight="1">
      <x:c r="A171" s="1"/>
      <x:c r="B171" s="1"/>
      <x:c r="C171" s="23"/>
      <x:c r="D171" s="24"/>
      <x:c r="E171" s="24"/>
      <x:c r="F171" s="24"/>
      <x:c r="G171" s="24"/>
    </x:row>
    <x:row r="172" ht="15" hidden="0" customHeight="1">
      <x:c r="A172" s="1"/>
      <x:c r="B172" s="1"/>
      <x:c r="C172" s="23"/>
      <x:c r="D172" s="24"/>
      <x:c r="E172" s="24"/>
      <x:c r="F172" s="24"/>
      <x:c r="G172" s="24"/>
    </x:row>
    <x:row r="173" ht="15" hidden="0" customHeight="1">
      <x:c r="A173" s="1"/>
      <x:c r="B173" s="1"/>
      <x:c r="C173" s="23"/>
      <x:c r="D173" s="24"/>
      <x:c r="E173" s="24"/>
      <x:c r="F173" s="24"/>
      <x:c r="G173" s="24"/>
    </x:row>
    <x:row r="174" ht="15" hidden="0" customHeight="1">
      <x:c r="A174" s="1"/>
      <x:c r="B174" s="1"/>
      <x:c r="C174" s="23"/>
      <x:c r="D174" s="24"/>
      <x:c r="E174" s="24"/>
      <x:c r="F174" s="24"/>
      <x:c r="G174" s="24"/>
    </x:row>
    <x:row r="175" ht="15" hidden="0" customHeight="1">
      <x:c r="A175" s="1"/>
      <x:c r="B175" s="1"/>
      <x:c r="C175" s="23"/>
      <x:c r="D175" s="24"/>
      <x:c r="E175" s="24"/>
      <x:c r="F175" s="24"/>
      <x:c r="G175" s="24"/>
    </x:row>
    <x:row r="176" ht="15" hidden="0" customHeight="1">
      <x:c r="A176" s="1"/>
      <x:c r="B176" s="1"/>
      <x:c r="C176" s="23"/>
      <x:c r="D176" s="24"/>
      <x:c r="E176" s="24"/>
      <x:c r="F176" s="24"/>
      <x:c r="G176" s="24"/>
    </x:row>
    <x:row r="177" ht="15" hidden="0" customHeight="1">
      <x:c r="A177" s="1"/>
      <x:c r="B177" s="1"/>
      <x:c r="C177" s="23"/>
      <x:c r="D177" s="24"/>
      <x:c r="E177" s="24"/>
      <x:c r="F177" s="24"/>
      <x:c r="G177" s="24"/>
    </x:row>
    <x:row r="178" ht="15" hidden="0" customHeight="1">
      <x:c r="A178" s="1"/>
      <x:c r="B178" s="1"/>
      <x:c r="C178" s="23"/>
      <x:c r="D178" s="24"/>
      <x:c r="E178" s="24"/>
      <x:c r="F178" s="24"/>
      <x:c r="G178" s="24"/>
    </x:row>
    <x:row r="179" ht="15" hidden="0" customHeight="1">
      <x:c r="A179" s="1"/>
      <x:c r="B179" s="1"/>
      <x:c r="C179" s="23"/>
      <x:c r="D179" s="24"/>
      <x:c r="E179" s="24"/>
      <x:c r="F179" s="24"/>
      <x:c r="G179" s="24"/>
    </x:row>
    <x:row r="180" ht="15" hidden="0" customHeight="1">
      <x:c r="A180" s="1"/>
      <x:c r="B180" s="1"/>
      <x:c r="C180" s="23"/>
      <x:c r="D180" s="24"/>
      <x:c r="E180" s="24"/>
      <x:c r="F180" s="24"/>
      <x:c r="G180" s="24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55" hidden="0" customWidth="1"/>
    <x:col min="4" max="4" width="16" hidden="0" customWidth="1"/>
    <x:col min="5" max="5" width="65" hidden="0" customWidth="1"/>
    <x:col min="6" max="6" width="16" hidden="0" customWidth="1"/>
    <x:col min="7" max="7" width="16" hidden="0" customWidth="1"/>
  </x:cols>
  <x:sheetData>
    <x:row r="1" ht="16" customHeight="1">
      <x:c r="A1" s="1"/>
      <x:c r="B1" s="1"/>
      <x:c r="C1" s="1"/>
      <x:c r="D1" s="1"/>
      <x:c r="E1" s="1"/>
      <x:c r="F1" s="1"/>
      <x:c r="G1" s="1"/>
    </x:row>
    <x:row r="2" ht="16" customHeight="1">
      <x:c r="A2" s="1"/>
      <x:c r="B2" s="1"/>
      <x:c r="C2" s="2" t="str">
        <x:v>Forecast review</x:v>
      </x:c>
      <x:c r="D2" s="2"/>
      <x:c r="E2" s="2"/>
      <x:c r="F2" s="2"/>
      <x:c r="G2" s="2"/>
      <x:c r="H2" s="2"/>
    </x:row>
    <x:row r="3" ht="16" customHeight="1">
      <x:c r="A3" s="1"/>
      <x:c r="B3" s="1"/>
      <x:c r="C3" s="3"/>
      <x:c r="D3" s="3"/>
      <x:c r="E3" s="3"/>
      <x:c r="F3" s="3"/>
      <x:c r="G3" s="3"/>
      <x:c r="H3" s="4"/>
    </x:row>
    <x:row r="4" ht="16" customHeight="1">
      <x:c r="A4" s="1"/>
      <x:c r="B4" s="1"/>
      <x:c r="C4" s="1" t="str">
        <x:v>Dot comparison assumptions. USD. Not an owner or AF&amp;I budget.</x:v>
      </x:c>
      <x:c r="D4" s="1"/>
      <x:c r="E4" s="1"/>
      <x:c r="F4" s="1"/>
      <x:c r="G4" s="1"/>
    </x:row>
    <x:row r="5" ht="16" customHeight="1">
      <x:c r="A5" s="1"/>
      <x:c r="B5" s="1"/>
      <x:c r="C5" s="1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</x:row>
    <x:row r="6" ht="16" customHeight="1">
      <x:c r="A6" s="1"/>
      <x:c r="B6" s="1"/>
      <x:c r="C6" s="1"/>
      <x:c r="D6" s="1"/>
      <x:c r="E6" s="1"/>
      <x:c r="F6" s="1"/>
      <x:c r="G6" s="1"/>
    </x:row>
    <x:row r="7" ht="43" customHeight="1">
      <x:c r="A7" s="1"/>
      <x:c r="B7" s="1"/>
      <x:c r="C7" s="20" t="str">
        <x:v>Review</x:v>
      </x:c>
      <x:c r="D7" s="20" t="str">
        <x:v>Value</x:v>
      </x:c>
      <x:c r="E7" s="20" t="str">
        <x:v>Interpretation</x:v>
      </x:c>
      <x:c r="F7" s="20"/>
      <x:c r="G7" s="20"/>
    </x:row>
    <x:row r="8" ht="16" customHeight="1">
      <x:c r="A8" s="1"/>
      <x:c r="B8" s="1"/>
      <x:c r="C8" s="1" t="str">
        <x:v>Income statement net revenue equals stream build</x:v>
      </x:c>
      <x:c r="D8" s="10" t="n">
        <x:f>IF(ABS('Income statement'!D50-SUM('Revenue and costs'!N8:N135))&lt;0.005,0,'Income statement'!D50-SUM('Revenue and costs'!N8:N135))</x:f>
        <x:v>0</x:v>
      </x:c>
      <x:c r="E8" s="10" t="str">
        <x:v>Must equal zero</x:v>
      </x:c>
      <x:c r="F8" s="10"/>
      <x:c r="G8" s="10"/>
    </x:row>
    <x:row r="9" ht="16" customHeight="1">
      <x:c r="A9" s="1"/>
      <x:c r="B9" s="1"/>
      <x:c r="C9" s="1" t="str">
        <x:v>Cash Year 1 annual equals monthly closing</x:v>
      </x:c>
      <x:c r="D9" s="10" t="n">
        <x:f>IF(ABS('Cash and capital'!D15-'Monthly cash'!J20)&lt;0.005,0,'Cash and capital'!D15-'Monthly cash'!J20)</x:f>
        <x:v>0</x:v>
      </x:c>
      <x:c r="E9" s="10" t="str">
        <x:v>Must equal zero</x:v>
      </x:c>
      <x:c r="F9" s="10"/>
      <x:c r="G9" s="10"/>
    </x:row>
    <x:row r="10" ht="16" customHeight="1">
      <x:c r="A10" s="1"/>
      <x:c r="B10" s="1"/>
      <x:c r="C10" s="1" t="str">
        <x:v>Segment income reconciles enterprise pretax</x:v>
      </x:c>
      <x:c r="D10" s="10" t="n">
        <x:f>IF(ABS(SUM('Segment tax'!I8:I46)-'Income statement'!D84)&lt;0.005,0,SUM('Segment tax'!I8:I46)-'Income statement'!D84)</x:f>
        <x:v>0</x:v>
      </x:c>
      <x:c r="E10" s="10" t="str">
        <x:v>Must equal zero</x:v>
      </x:c>
      <x:c r="F10" s="10"/>
      <x:c r="G10" s="10"/>
    </x:row>
    <x:row r="11" ht="16" customHeight="1">
      <x:c r="A11" s="1"/>
      <x:c r="B11" s="1"/>
      <x:c r="C11" s="1" t="str">
        <x:v>Paid capacity not accepted (hours)</x:v>
      </x:c>
      <x:c r="D11" s="10" t="n">
        <x:f>'Cash and capital'!D26</x:f>
        <x:v>6976.338000000001</x:v>
      </x:c>
      <x:c r="E11" s="10" t="str">
        <x:v>Outstanding evidence, not a passed control</x:v>
      </x:c>
      <x:c r="F11" s="10"/>
      <x:c r="G11" s="10"/>
    </x:row>
    <x:row r="12" ht="16" customHeight="1">
      <x:c r="A12" s="1"/>
      <x:c r="B12" s="1"/>
      <x:c r="C12" s="1" t="str">
        <x:v>Missing owner submissions</x:v>
      </x:c>
      <x:c r="D12" s="10" t="n">
        <x:f>39</x:f>
        <x:v>39</x:v>
      </x:c>
      <x:c r="E12" s="10" t="str">
        <x:v>Outstanding evidence, not a passed control</x:v>
      </x:c>
      <x:c r="F12" s="10"/>
      <x:c r="G12" s="10"/>
    </x:row>
    <x:row r="13" ht="16" customHeight="1">
      <x:c r="A13" s="1"/>
      <x:c r="B13" s="1"/>
      <x:c r="C13" s="1"/>
      <x:c r="D13" s="10"/>
      <x:c r="E13" s="10"/>
      <x:c r="F13" s="10"/>
      <x:c r="G13" s="10"/>
    </x:row>
    <x:row r="14" ht="16" customHeight="1">
      <x:c r="A14" s="1"/>
      <x:c r="B14" s="1"/>
      <x:c r="C14" s="1"/>
      <x:c r="D14" s="10"/>
      <x:c r="E14" s="10"/>
      <x:c r="F14" s="10"/>
      <x:c r="G14" s="10"/>
    </x:row>
    <x:row r="15" ht="16" customHeight="1">
      <x:c r="A15" s="1"/>
      <x:c r="B15" s="1"/>
      <x:c r="C15" s="1" t="str">
        <x:v>All scenario prices, volumes, cost quantities and release timing require owner comparison; zero costs have explicit scope explanations.</x:v>
      </x:c>
      <x:c r="D15" s="10"/>
      <x:c r="E15" s="10"/>
      <x:c r="F15" s="10"/>
      <x:c r="G15" s="10"/>
    </x:row>
    <x:row r="16" ht="16" customHeight="1">
      <x:c r="A16" s="1"/>
      <x:c r="B16" s="1"/>
      <x:c r="C16" s="1"/>
      <x:c r="D16" s="10"/>
      <x:c r="E16" s="10"/>
      <x:c r="F16" s="10"/>
      <x:c r="G16" s="10"/>
    </x:row>
    <x:row r="17" ht="16" customHeight="1">
      <x:c r="A17" s="1"/>
      <x:c r="B17" s="1"/>
      <x:c r="C17" s="1"/>
      <x:c r="D17" s="10"/>
      <x:c r="E17" s="10"/>
      <x:c r="F17" s="10"/>
      <x:c r="G17" s="10"/>
    </x:row>
    <x:row r="18" ht="16" customHeight="1">
      <x:c r="A18" s="1"/>
      <x:c r="B18" s="1"/>
      <x:c r="C18" s="1"/>
      <x:c r="D18" s="10"/>
      <x:c r="E18" s="10"/>
      <x:c r="F18" s="10"/>
      <x:c r="G18" s="10"/>
    </x:row>
    <x:row r="19" ht="16" customHeight="1">
      <x:c r="A19" s="1"/>
      <x:c r="B19" s="1"/>
      <x:c r="C19" s="1"/>
      <x:c r="D19" s="10"/>
      <x:c r="E19" s="10"/>
      <x:c r="F19" s="10"/>
      <x:c r="G19" s="10"/>
    </x:row>
    <x:row r="20" ht="16" customHeight="1">
      <x:c r="A20" s="1"/>
      <x:c r="B20" s="1"/>
      <x:c r="C20" s="1"/>
      <x:c r="D20" s="10"/>
      <x:c r="E20" s="10"/>
      <x:c r="F20" s="10"/>
      <x:c r="G20" s="10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58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</x:cols>
  <x:sheetData>
    <x:row r="1" ht="17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17" customHeight="1">
      <x:c r="A2" s="1"/>
      <x:c r="B2" s="1"/>
      <x:c r="C2" s="2" t="str">
        <x:v>Balance sheet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</x:row>
    <x:row r="3" ht="17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</x:row>
    <x:row r="4" ht="17" customHeight="1">
      <x:c r="A4" s="1"/>
      <x:c r="B4" s="1"/>
      <x:c r="C4" s="1" t="str">
        <x:v>Conditional Dot target. USD. Assumed opening balances, not an actual enterprise ledger.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17" customHeight="1">
      <x:c r="A5" s="1"/>
      <x:c r="B5" s="1"/>
      <x:c r="C5" s="29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17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28" customHeight="1">
      <x:c r="A7" s="1"/>
      <x:c r="B7" s="1"/>
      <x:c r="C7" s="13" t="str">
        <x:v>Conditional target balance sheet</x:v>
      </x:c>
      <x:c r="D7" s="13" t="str">
        <x:v>Year 1</x:v>
      </x:c>
      <x:c r="E7" s="13" t="str">
        <x:v>Year 2</x:v>
      </x:c>
      <x:c r="F7" s="13" t="str">
        <x:v>Year 3</x:v>
      </x:c>
      <x:c r="G7" s="13" t="str">
        <x:v>Year 4</x:v>
      </x:c>
      <x:c r="H7" s="13" t="str">
        <x:v>Year 5</x:v>
      </x:c>
      <x:c r="I7" s="13" t="str">
        <x:v>Year 6</x:v>
      </x:c>
      <x:c r="J7" s="13" t="str">
        <x:v>Year 7</x:v>
      </x:c>
      <x:c r="K7" s="13" t="str">
        <x:v>Year 8</x:v>
      </x:c>
      <x:c r="L7" s="13" t="str">
        <x:v>Year 9</x:v>
      </x:c>
      <x:c r="M7" s="13" t="str">
        <x:v>Year 10</x:v>
      </x:c>
      <x:c r="N7" s="13" t="str">
        <x:v>Year 11</x:v>
      </x:c>
      <x:c r="O7" s="13" t="str">
        <x:v>Year 12</x:v>
      </x:c>
      <x:c r="P7" s="13" t="str">
        <x:v>Year 13</x:v>
      </x:c>
      <x:c r="Q7" s="13" t="str">
        <x:v>Year 14</x:v>
      </x:c>
      <x:c r="R7" s="13" t="str">
        <x:v>Year 15</x:v>
      </x:c>
      <x:c r="S7" s="13" t="str">
        <x:v>Year 16</x:v>
      </x:c>
      <x:c r="T7" s="13" t="str">
        <x:v>Year 17</x:v>
      </x:c>
      <x:c r="U7" s="13" t="str">
        <x:v>Year 18</x:v>
      </x:c>
      <x:c r="V7" s="13" t="str">
        <x:v>Year 19</x:v>
      </x:c>
      <x:c r="W7" s="13" t="str">
        <x:v>Year 20</x:v>
      </x:c>
    </x:row>
    <x:row r="8" ht="17" customHeight="1">
      <x:c r="A8" s="1"/>
      <x:c r="B8" s="1"/>
      <x:c r="C8" s="1" t="str">
        <x:v>ASSETS</x:v>
      </x:c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</x:row>
    <x:row r="9" ht="17" customHeight="1">
      <x:c r="A9" s="1"/>
      <x:c r="B9" s="1"/>
      <x:c r="C9" s="1" t="str">
        <x:v>Cash — conditional on target transactions occurring</x:v>
      </x:c>
      <x:c r="D9" s="10" t="n">
        <x:f>'Cash flow'!D30</x:f>
        <x:v>211548.67635744435</x:v>
      </x:c>
      <x:c r="E9" s="10" t="n">
        <x:f>'Cash flow'!E30</x:f>
        <x:v>623295.3460963145</x:v>
      </x:c>
      <x:c r="F9" s="10" t="n">
        <x:f>'Cash flow'!F30</x:f>
        <x:v>1102085.6146779447</x:v>
      </x:c>
      <x:c r="G9" s="10" t="n">
        <x:f>'Cash flow'!G30</x:f>
        <x:v>1659372.119450047</x:v>
      </x:c>
      <x:c r="H9" s="10" t="n">
        <x:f>'Cash flow'!H30</x:f>
        <x:v>2300000.507607698</x:v>
      </x:c>
      <x:c r="I9" s="10" t="n">
        <x:f>'Cash flow'!I30</x:f>
        <x:v>2992415.2703573806</x:v>
      </x:c>
      <x:c r="J9" s="10" t="n">
        <x:f>'Cash flow'!J30</x:f>
        <x:v>3718775.103534333</x:v>
      </x:c>
      <x:c r="K9" s="10" t="n">
        <x:f>'Cash flow'!K30</x:f>
        <x:v>4475110.600311261</x:v>
      </x:c>
      <x:c r="L9" s="10" t="n">
        <x:f>'Cash flow'!L30</x:f>
        <x:v>5255684.463470624</x:v>
      </x:c>
      <x:c r="M9" s="10" t="n">
        <x:f>'Cash flow'!M30</x:f>
        <x:v>6056268.43215165</x:v>
      </x:c>
      <x:c r="N9" s="10" t="n">
        <x:f>'Cash flow'!N30</x:f>
        <x:v>6879321.929930751</x:v>
      </x:c>
      <x:c r="O9" s="10" t="n">
        <x:f>'Cash flow'!O30</x:f>
        <x:v>7721874.611813073</x:v>
      </x:c>
      <x:c r="P9" s="10" t="n">
        <x:f>'Cash flow'!P30</x:f>
        <x:v>8581004.580823429</x:v>
      </x:c>
      <x:c r="Q9" s="10" t="n">
        <x:f>'Cash flow'!Q30</x:f>
        <x:v>9460270.03465211</x:v>
      </x:c>
      <x:c r="R9" s="10" t="n">
        <x:f>'Cash flow'!R30</x:f>
        <x:v>10356848.6726165</x:v>
      </x:c>
      <x:c r="S9" s="10" t="n">
        <x:f>'Cash flow'!S30</x:f>
        <x:v>11267708.401647026</x:v>
      </x:c>
      <x:c r="T9" s="10" t="n">
        <x:f>'Cash flow'!T30</x:f>
        <x:v>12196733.227969756</x:v>
      </x:c>
      <x:c r="U9" s="10" t="n">
        <x:f>'Cash flow'!U30</x:f>
        <x:v>13140724.36708938</x:v>
      </x:c>
      <x:c r="V9" s="10" t="n">
        <x:f>'Cash flow'!V30</x:f>
        <x:v>14096174.169576282</x:v>
      </x:c>
      <x:c r="W9" s="10" t="n">
        <x:f>'Cash flow'!W30</x:f>
        <x:v>15067070.87094056</x:v>
      </x:c>
    </x:row>
    <x:row r="10" ht="17" customHeight="1">
      <x:c r="A10" s="1"/>
      <x:c r="B10" s="1"/>
      <x:c r="C10" s="1" t="str">
        <x:v>Accounts receivable</x:v>
      </x:c>
      <x:c r="D10" s="10" t="n">
        <x:f>'Cash and capital'!D20</x:f>
        <x:v>62343.19333333334</x:v>
      </x:c>
      <x:c r="E10" s="10" t="n">
        <x:f>'Cash and capital'!E20</x:f>
        <x:v>57192.115485999995</x:v>
      </x:c>
      <x:c r="F10" s="10" t="n">
        <x:f>'Cash and capital'!F20</x:f>
        <x:v>67664.728331554</x:v>
      </x:c>
      <x:c r="G10" s="10" t="n">
        <x:f>'Cash and capital'!G20</x:f>
        <x:v>77169.69673353013</x:v>
      </x:c>
      <x:c r="H10" s="10" t="n">
        <x:f>'Cash and capital'!H20</x:f>
        <x:v>86728.60912652394</x:v>
      </x:c>
      <x:c r="I10" s="10" t="n">
        <x:f>'Cash and capital'!I20</x:f>
        <x:v>93414.88925934727</x:v>
      </x:c>
      <x:c r="J10" s="10" t="n">
        <x:f>'Cash and capital'!J20</x:f>
        <x:v>98792.69042421004</x:v>
      </x:c>
      <x:c r="K10" s="10" t="n">
        <x:f>'Cash and capital'!K20</x:f>
        <x:v>103618.9980036584</x:v>
      </x:c>
      <x:c r="L10" s="10" t="n">
        <x:f>'Cash and capital'!L20</x:f>
        <x:v>108266.9393821052</x:v>
      </x:c>
      <x:c r="M10" s="10" t="n">
        <x:f>'Cash and capital'!M20</x:f>
        <x:v>112924.44609252106</x:v>
      </x:c>
      <x:c r="N10" s="10" t="n">
        <x:f>'Cash and capital'!N20</x:f>
        <x:v>117689.16691139474</x:v>
      </x:c>
      <x:c r="O10" s="10" t="n">
        <x:f>'Cash and capital'!O20</x:f>
        <x:v>122614.46298102335</x:v>
      </x:c>
      <x:c r="P10" s="10" t="n">
        <x:f>'Cash and capital'!P20</x:f>
        <x:v>127731.94622379007</x:v>
      </x:c>
      <x:c r="Q10" s="10" t="n">
        <x:f>'Cash and capital'!Q20</x:f>
        <x:v>133062.62025251647</x:v>
      </x:c>
      <x:c r="R10" s="10" t="n">
        <x:f>'Cash and capital'!R20</x:f>
        <x:v>138622.42707417556</x:v>
      </x:c>
      <x:c r="S10" s="10" t="n">
        <x:f>'Cash and capital'!S20</x:f>
        <x:v>144425.0272854621</x:v>
      </x:c>
      <x:c r="T10" s="10" t="n">
        <x:f>'Cash and capital'!T20</x:f>
        <x:v>150483.20470760218</x:v>
      </x:c>
      <x:c r="U10" s="10" t="n">
        <x:f>'Cash and capital'!U20</x:f>
        <x:v>156809.5845523513</x:v>
      </x:c>
      <x:c r="V10" s="10" t="n">
        <x:f>'Cash and capital'!V20</x:f>
        <x:v>163417.00831252246</x:v>
      </x:c>
      <x:c r="W10" s="10" t="n">
        <x:f>'Cash and capital'!W20</x:f>
        <x:v>170318.73697401592</x:v>
      </x:c>
    </x:row>
    <x:row r="11" ht="17" customHeight="1">
      <x:c r="A11" s="1"/>
      <x:c r="B11" s="1"/>
      <x:c r="C11" s="1" t="str">
        <x:v>Inventory and prepaid materials — assumed</x:v>
      </x:c>
      <x:c r="D11" s="10" t="n">
        <x:f>'Cash and capital'!D21</x:f>
        <x:v>10533.333333333334</x:v>
      </x:c>
      <x:c r="E11" s="10" t="n">
        <x:f>'Cash and capital'!E21</x:f>
        <x:v>10001.106016666667</x:v>
      </x:c>
      <x:c r="F11" s="10" t="n">
        <x:f>'Cash and capital'!F21</x:f>
        <x:v>12560.114875609997</x:v>
      </x:c>
      <x:c r="G11" s="10" t="n">
        <x:f>'Cash and capital'!G21</x:f>
        <x:v>14804.227949702678</x:v>
      </x:c>
      <x:c r="H11" s="10" t="n">
        <x:f>'Cash and capital'!H21</x:f>
        <x:v>17143.709809643442</x:v>
      </x:c>
      <x:c r="I11" s="10" t="n">
        <x:f>'Cash and capital'!I21</x:f>
        <x:v>18707.910609713006</x:v>
      </x:c>
      <x:c r="J11" s="10" t="n">
        <x:f>'Cash and capital'!J21</x:f>
        <x:v>20050.787403620747</x:v>
      </x:c>
      <x:c r="K11" s="10" t="n">
        <x:f>'Cash and capital'!K21</x:f>
        <x:v>21359.342914329955</x:v>
      </x:c>
      <x:c r="L11" s="10" t="n">
        <x:f>'Cash and capital'!L21</x:f>
        <x:v>22701.40398215411</x:v>
      </x:c>
      <x:c r="M11" s="10" t="n">
        <x:f>'Cash and capital'!M21</x:f>
        <x:v>24105.024540458515</x:v>
      </x:c>
      <x:c r="N11" s="10" t="n">
        <x:f>'Cash and capital'!N21</x:f>
        <x:v>25584.474860399074</x:v>
      </x:c>
      <x:c r="O11" s="10" t="n">
        <x:f>'Cash and capital'!O21</x:f>
        <x:v>27149.042722146827</x:v>
      </x:c>
      <x:c r="P11" s="10" t="n">
        <x:f>'Cash and capital'!P21</x:f>
        <x:v>28806.174855844525</x:v>
      </x:c>
      <x:c r="Q11" s="10" t="n">
        <x:f>'Cash and capital'!Q21</x:f>
        <x:v>30562.68650221159</x:v>
      </x:c>
      <x:c r="R11" s="10" t="n">
        <x:f>'Cash and capital'!R21</x:f>
        <x:v>32425.275746145202</x:v>
      </x:c>
      <x:c r="S11" s="10" t="n">
        <x:f>'Cash and capital'!S21</x:f>
        <x:v>34400.769381206</x:v>
      </x:c>
      <x:c r="T11" s="10" t="n">
        <x:f>'Cash and capital'!T21</x:f>
        <x:v>36496.256250443395</x:v>
      </x:c>
      <x:c r="U11" s="10" t="n">
        <x:f>'Cash and capital'!U21</x:f>
        <x:v>38719.169506927356</x:v>
      </x:c>
      <x:c r="V11" s="10" t="n">
        <x:f>'Cash and capital'!V21</x:f>
        <x:v>41077.34421020029</x:v>
      </x:c>
      <x:c r="W11" s="10" t="n">
        <x:f>'Cash and capital'!W21</x:f>
        <x:v>43579.062656301045</x:v>
      </x:c>
    </x:row>
    <x:row r="12" ht="17" customHeight="1">
      <x:c r="A12" s="1"/>
      <x:c r="B12" s="1"/>
      <x:c r="C12" s="30" t="str">
        <x:v>Total current assets</x:v>
      </x:c>
      <x:c r="D12" s="31" t="n">
        <x:f>SUM(D9:D11)</x:f>
        <x:v>284425.203024111</x:v>
      </x:c>
      <x:c r="E12" s="31" t="n">
        <x:f>SUM(E9:E11)</x:f>
        <x:v>690488.5675989811</x:v>
      </x:c>
      <x:c r="F12" s="31" t="n">
        <x:f>SUM(F9:F11)</x:f>
        <x:v>1182310.4578851087</x:v>
      </x:c>
      <x:c r="G12" s="31" t="n">
        <x:f>SUM(G9:G11)</x:f>
        <x:v>1751346.0441332797</x:v>
      </x:c>
      <x:c r="H12" s="31" t="n">
        <x:f>SUM(H9:H11)</x:f>
        <x:v>2403872.8265438653</x:v>
      </x:c>
      <x:c r="I12" s="31" t="n">
        <x:f>SUM(I9:I11)</x:f>
        <x:v>3104538.0702264407</x:v>
      </x:c>
      <x:c r="J12" s="31" t="n">
        <x:f>SUM(J9:J11)</x:f>
        <x:v>3837618.5813621636</x:v>
      </x:c>
      <x:c r="K12" s="31" t="n">
        <x:f>SUM(K9:K11)</x:f>
        <x:v>4600088.941229249</x:v>
      </x:c>
      <x:c r="L12" s="31" t="n">
        <x:f>SUM(L9:L11)</x:f>
        <x:v>5386652.806834883</x:v>
      </x:c>
      <x:c r="M12" s="31" t="n">
        <x:f>SUM(M9:M11)</x:f>
        <x:v>6193297.90278463</x:v>
      </x:c>
      <x:c r="N12" s="31" t="n">
        <x:f>SUM(N9:N11)</x:f>
        <x:v>7022595.571702545</x:v>
      </x:c>
      <x:c r="O12" s="31" t="n">
        <x:f>SUM(O9:O11)</x:f>
        <x:v>7871638.117516243</x:v>
      </x:c>
      <x:c r="P12" s="31" t="n">
        <x:f>SUM(P9:P11)</x:f>
        <x:v>8737542.701903064</x:v>
      </x:c>
      <x:c r="Q12" s="31" t="n">
        <x:f>SUM(Q9:Q11)</x:f>
        <x:v>9623895.341406837</x:v>
      </x:c>
      <x:c r="R12" s="31" t="n">
        <x:f>SUM(R9:R11)</x:f>
        <x:v>10527896.37543682</x:v>
      </x:c>
      <x:c r="S12" s="31" t="n">
        <x:f>SUM(S9:S11)</x:f>
        <x:v>11446534.198313694</x:v>
      </x:c>
      <x:c r="T12" s="31" t="n">
        <x:f>SUM(T9:T11)</x:f>
        <x:v>12383712.688927801</x:v>
      </x:c>
      <x:c r="U12" s="31" t="n">
        <x:f>SUM(U9:U11)</x:f>
        <x:v>13336253.121148659</x:v>
      </x:c>
      <x:c r="V12" s="31" t="n">
        <x:f>SUM(V9:V11)</x:f>
        <x:v>14300668.522099005</x:v>
      </x:c>
      <x:c r="W12" s="31" t="n">
        <x:f>SUM(W9:W11)</x:f>
        <x:v>15280968.670570876</x:v>
      </x:c>
    </x:row>
    <x:row r="13" ht="17" customHeight="1">
      <x:c r="A13" s="1"/>
      <x:c r="B13" s="1"/>
      <x:c r="C13" s="1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0"/>
      <x:c r="T13" s="10"/>
      <x:c r="U13" s="10"/>
      <x:c r="V13" s="10"/>
      <x:c r="W13" s="10"/>
    </x:row>
    <x:row r="14" ht="17" customHeight="1">
      <x:c r="A14" s="1"/>
      <x:c r="B14" s="1"/>
      <x:c r="C14" s="1" t="str">
        <x:v>Gross property and equipment</x:v>
      </x:c>
      <x:c r="D14" s="10" t="n">
        <x:f>'Cash flow'!D17</x:f>
        <x:v>1500</x:v>
      </x:c>
      <x:c r="E14" s="10" t="n">
        <x:f>D14+'Cash flow'!E17</x:f>
        <x:v>1500</x:v>
      </x:c>
      <x:c r="F14" s="10" t="n">
        <x:f>E14+'Cash flow'!F17</x:f>
        <x:v>1500</x:v>
      </x:c>
      <x:c r="G14" s="10" t="n">
        <x:f>F14+'Cash flow'!G17</x:f>
        <x:v>3139.0905000000002</x:v>
      </x:c>
      <x:c r="H14" s="10" t="n">
        <x:f>G14+'Cash flow'!H17</x:f>
        <x:v>3139.0905000000002</x:v>
      </x:c>
      <x:c r="I14" s="10" t="n">
        <x:f>H14+'Cash flow'!I17</x:f>
        <x:v>3139.0905000000002</x:v>
      </x:c>
      <x:c r="J14" s="10" t="n">
        <x:f>I14+'Cash flow'!J17</x:f>
        <x:v>4930.1689447935005</x:v>
      </x:c>
      <x:c r="K14" s="10" t="n">
        <x:f>J14+'Cash flow'!K17</x:f>
        <x:v>4930.1689447935005</x:v>
      </x:c>
      <x:c r="L14" s="10" t="n">
        <x:f>K14+'Cash flow'!L17</x:f>
        <x:v>4930.1689447935005</x:v>
      </x:c>
      <x:c r="M14" s="10" t="n">
        <x:f>L14+'Cash flow'!M17</x:f>
        <x:v>6887.328720537368</x:v>
      </x:c>
      <x:c r="N14" s="10" t="n">
        <x:f>M14+'Cash flow'!N17</x:f>
        <x:v>6887.328720537368</x:v>
      </x:c>
      <x:c r="O14" s="10" t="n">
        <x:f>N14+'Cash flow'!O17</x:f>
        <x:v>6887.328720537368</x:v>
      </x:c>
      <x:c r="P14" s="10" t="n">
        <x:f>O14+'Cash flow'!P17</x:f>
        <x:v>9025.970050806638</x:v>
      </x:c>
      <x:c r="Q14" s="10" t="n">
        <x:f>P14+'Cash flow'!Q17</x:f>
        <x:v>9025.970050806638</x:v>
      </x:c>
      <x:c r="R14" s="10" t="n">
        <x:f>Q14+'Cash flow'!R17</x:f>
        <x:v>9025.970050806638</x:v>
      </x:c>
      <x:c r="S14" s="10" t="n">
        <x:f>R14+'Cash flow'!S17</x:f>
        <x:v>11362.921175707786</x:v>
      </x:c>
      <x:c r="T14" s="10" t="n">
        <x:f>S14+'Cash flow'!T17</x:f>
        <x:v>11362.921175707786</x:v>
      </x:c>
      <x:c r="U14" s="10" t="n">
        <x:f>T14+'Cash flow'!U17</x:f>
        <x:v>11362.921175707786</x:v>
      </x:c>
      <x:c r="V14" s="10" t="n">
        <x:f>U14+'Cash flow'!V17</x:f>
        <x:v>13916.570767567642</x:v>
      </x:c>
      <x:c r="W14" s="10" t="n">
        <x:f>V14+'Cash flow'!W17</x:f>
        <x:v>13916.570767567642</x:v>
      </x:c>
    </x:row>
    <x:row r="15" ht="17" customHeight="1">
      <x:c r="A15" s="1"/>
      <x:c r="B15" s="1"/>
      <x:c r="C15" s="1" t="str">
        <x:v>Less: accumulated depreciation</x:v>
      </x:c>
      <x:c r="D15" s="10" t="n">
        <x:f>'Cash flow'!D9</x:f>
        <x:v>500</x:v>
      </x:c>
      <x:c r="E15" s="10" t="n">
        <x:f>D15+'Cash flow'!E9</x:f>
        <x:v>1000</x:v>
      </x:c>
      <x:c r="F15" s="10" t="n">
        <x:f>E15+'Cash flow'!F9</x:f>
        <x:v>1500</x:v>
      </x:c>
      <x:c r="G15" s="10" t="n">
        <x:f>F15+'Cash flow'!G9</x:f>
        <x:v>2046.3635</x:v>
      </x:c>
      <x:c r="H15" s="10" t="n">
        <x:f>G15+'Cash flow'!H9</x:f>
        <x:v>2592.727</x:v>
      </x:c>
      <x:c r="I15" s="10" t="n">
        <x:f>H15+'Cash flow'!I9</x:f>
        <x:v>3139.0905</x:v>
      </x:c>
      <x:c r="J15" s="10" t="n">
        <x:f>I15+'Cash flow'!J9</x:f>
        <x:v>3736.1166482645</x:v>
      </x:c>
      <x:c r="K15" s="10" t="n">
        <x:f>J15+'Cash flow'!K9</x:f>
        <x:v>4333.142796529</x:v>
      </x:c>
      <x:c r="L15" s="10" t="n">
        <x:f>K15+'Cash flow'!L9</x:f>
        <x:v>4930.1689447935005</x:v>
      </x:c>
      <x:c r="M15" s="10" t="n">
        <x:f>L15+'Cash flow'!M9</x:f>
        <x:v>5582.555536708123</x:v>
      </x:c>
      <x:c r="N15" s="10" t="n">
        <x:f>M15+'Cash flow'!N9</x:f>
        <x:v>6234.942128622746</x:v>
      </x:c>
      <x:c r="O15" s="10" t="n">
        <x:f>N15+'Cash flow'!O9</x:f>
        <x:v>6887.328720537369</x:v>
      </x:c>
      <x:c r="P15" s="10" t="n">
        <x:f>O15+'Cash flow'!P9</x:f>
        <x:v>7600.209163960459</x:v>
      </x:c>
      <x:c r="Q15" s="10" t="n">
        <x:f>P15+'Cash flow'!Q9</x:f>
        <x:v>8313.089607383548</x:v>
      </x:c>
      <x:c r="R15" s="10" t="n">
        <x:f>Q15+'Cash flow'!R9</x:f>
        <x:v>9025.970050806638</x:v>
      </x:c>
      <x:c r="S15" s="10" t="n">
        <x:f>R15+'Cash flow'!S9</x:f>
        <x:v>9804.95375910702</x:v>
      </x:c>
      <x:c r="T15" s="10" t="n">
        <x:f>S15+'Cash flow'!T9</x:f>
        <x:v>10583.937467407402</x:v>
      </x:c>
      <x:c r="U15" s="10" t="n">
        <x:f>T15+'Cash flow'!U9</x:f>
        <x:v>11362.921175707785</x:v>
      </x:c>
      <x:c r="V15" s="10" t="n">
        <x:f>U15+'Cash flow'!V9</x:f>
        <x:v>12214.137706327736</x:v>
      </x:c>
      <x:c r="W15" s="10" t="n">
        <x:f>V15+'Cash flow'!W9</x:f>
        <x:v>13065.354236947689</x:v>
      </x:c>
    </x:row>
    <x:row r="16" ht="17" customHeight="1">
      <x:c r="A16" s="1"/>
      <x:c r="B16" s="1"/>
      <x:c r="C16" s="30" t="str">
        <x:v>Net property and equipment</x:v>
      </x:c>
      <x:c r="D16" s="31" t="n">
        <x:f>D14-D15</x:f>
        <x:v>1000</x:v>
      </x:c>
      <x:c r="E16" s="31" t="n">
        <x:f>E14-E15</x:f>
        <x:v>500</x:v>
      </x:c>
      <x:c r="F16" s="31" t="n">
        <x:f>F14-F15</x:f>
        <x:v>0</x:v>
      </x:c>
      <x:c r="G16" s="31" t="n">
        <x:f>G14-G15</x:f>
        <x:v>1092.7270000000003</x:v>
      </x:c>
      <x:c r="H16" s="31" t="n">
        <x:f>H14-H15</x:f>
        <x:v>546.3635000000004</x:v>
      </x:c>
      <x:c r="I16" s="31" t="n">
        <x:f>I14-I15</x:f>
        <x:v>4.547473508864641e-13</x:v>
      </x:c>
      <x:c r="J16" s="31" t="n">
        <x:f>J14-J15</x:f>
        <x:v>1194.0522965290006</x:v>
      </x:c>
      <x:c r="K16" s="31" t="n">
        <x:f>K14-K15</x:f>
        <x:v>597.0261482645001</x:v>
      </x:c>
      <x:c r="L16" s="31" t="n">
        <x:f>L14-L15</x:f>
        <x:v>0</x:v>
      </x:c>
      <x:c r="M16" s="31" t="n">
        <x:f>M14-M15</x:f>
        <x:v>1304.7731838292448</x:v>
      </x:c>
      <x:c r="N16" s="31" t="n">
        <x:f>N14-N15</x:f>
        <x:v>652.3865919146219</x:v>
      </x:c>
      <x:c r="O16" s="31" t="n">
        <x:f>O14-O15</x:f>
        <x:v>-9.094947017729282e-13</x:v>
      </x:c>
      <x:c r="P16" s="31" t="n">
        <x:f>P14-P15</x:f>
        <x:v>1425.7608868461793</x:v>
      </x:c>
      <x:c r="Q16" s="31" t="n">
        <x:f>Q14-Q15</x:f>
        <x:v>712.8804434230897</x:v>
      </x:c>
      <x:c r="R16" s="31" t="n">
        <x:f>R14-R15</x:f>
        <x:v>0</x:v>
      </x:c>
      <x:c r="S16" s="31" t="n">
        <x:f>S14-S15</x:f>
        <x:v>1557.9674166007662</x:v>
      </x:c>
      <x:c r="T16" s="31" t="n">
        <x:f>T14-T15</x:f>
        <x:v>778.983708300384</x:v>
      </x:c>
      <x:c r="U16" s="31" t="n">
        <x:f>U14-U15</x:f>
        <x:v>1.8189894035458565e-12</x:v>
      </x:c>
      <x:c r="V16" s="31" t="n">
        <x:f>V14-V15</x:f>
        <x:v>1702.4330612399062</x:v>
      </x:c>
      <x:c r="W16" s="31" t="n">
        <x:f>W14-W15</x:f>
        <x:v>851.2165306199531</x:v>
      </x:c>
    </x:row>
    <x:row r="17" ht="17" customHeight="1">
      <x:c r="A17" s="1"/>
      <x:c r="B17" s="1"/>
      <x:c r="C17" s="1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</x:row>
    <x:row r="18" ht="17" customHeight="1">
      <x:c r="A18" s="1"/>
      <x:c r="B18" s="1"/>
      <x:c r="C18" s="30" t="str">
        <x:v>Total assets</x:v>
      </x:c>
      <x:c r="D18" s="31" t="n">
        <x:f>D12+D16</x:f>
        <x:v>285425.203024111</x:v>
      </x:c>
      <x:c r="E18" s="31" t="n">
        <x:f>E12+E16</x:f>
        <x:v>690988.5675989811</x:v>
      </x:c>
      <x:c r="F18" s="31" t="n">
        <x:f>F12+F16</x:f>
        <x:v>1182310.4578851087</x:v>
      </x:c>
      <x:c r="G18" s="31" t="n">
        <x:f>G12+G16</x:f>
        <x:v>1752438.7711332797</x:v>
      </x:c>
      <x:c r="H18" s="31" t="n">
        <x:f>H12+H16</x:f>
        <x:v>2404419.1900438652</x:v>
      </x:c>
      <x:c r="I18" s="31" t="n">
        <x:f>I12+I16</x:f>
        <x:v>3104538.0702264407</x:v>
      </x:c>
      <x:c r="J18" s="31" t="n">
        <x:f>J12+J16</x:f>
        <x:v>3838812.6336586927</x:v>
      </x:c>
      <x:c r="K18" s="31" t="n">
        <x:f>K12+K16</x:f>
        <x:v>4600685.967377514</x:v>
      </x:c>
      <x:c r="L18" s="31" t="n">
        <x:f>L12+L16</x:f>
        <x:v>5386652.806834883</x:v>
      </x:c>
      <x:c r="M18" s="31" t="n">
        <x:f>M12+M16</x:f>
        <x:v>6194602.675968459</x:v>
      </x:c>
      <x:c r="N18" s="31" t="n">
        <x:f>N12+N16</x:f>
        <x:v>7023247.95829446</x:v>
      </x:c>
      <x:c r="O18" s="31" t="n">
        <x:f>O12+O16</x:f>
        <x:v>7871638.117516243</x:v>
      </x:c>
      <x:c r="P18" s="31" t="n">
        <x:f>P12+P16</x:f>
        <x:v>8738968.46278991</x:v>
      </x:c>
      <x:c r="Q18" s="31" t="n">
        <x:f>Q12+Q16</x:f>
        <x:v>9624608.221850261</x:v>
      </x:c>
      <x:c r="R18" s="31" t="n">
        <x:f>R12+R16</x:f>
        <x:v>10527896.37543682</x:v>
      </x:c>
      <x:c r="S18" s="31" t="n">
        <x:f>S12+S16</x:f>
        <x:v>11448092.165730296</x:v>
      </x:c>
      <x:c r="T18" s="31" t="n">
        <x:f>T12+T16</x:f>
        <x:v>12384491.672636101</x:v>
      </x:c>
      <x:c r="U18" s="31" t="n">
        <x:f>U12+U16</x:f>
        <x:v>13336253.121148659</x:v>
      </x:c>
      <x:c r="V18" s="31" t="n">
        <x:f>V12+V16</x:f>
        <x:v>14302370.955160245</x:v>
      </x:c>
      <x:c r="W18" s="31" t="n">
        <x:f>W12+W16</x:f>
        <x:v>15281819.887101496</x:v>
      </x:c>
    </x:row>
    <x:row r="19" ht="17" customHeight="1">
      <x:c r="A19" s="1"/>
      <x:c r="B19" s="1"/>
      <x:c r="C19" s="1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10"/>
      <x:c r="U19" s="10"/>
      <x:c r="V19" s="10"/>
      <x:c r="W19" s="10"/>
    </x:row>
    <x:row r="20" ht="17" customHeight="1">
      <x:c r="A20" s="1"/>
      <x:c r="B20" s="1"/>
      <x:c r="C20" s="1" t="str">
        <x:v>LIABILITIES</x:v>
      </x:c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0"/>
      <x:c r="T20" s="10"/>
      <x:c r="U20" s="10"/>
      <x:c r="V20" s="10"/>
      <x:c r="W20" s="10"/>
    </x:row>
    <x:row r="21" ht="17" customHeight="1">
      <x:c r="A21" s="1"/>
      <x:c r="B21" s="1"/>
      <x:c r="C21" s="1" t="str">
        <x:v>Accounts payable</x:v>
      </x:c>
      <x:c r="D21" s="10" t="n">
        <x:f>0</x:f>
        <x:v>0</x:v>
      </x:c>
      <x:c r="E21" s="10" t="n">
        <x:f>0</x:f>
        <x:v>0</x:v>
      </x:c>
      <x:c r="F21" s="10" t="n">
        <x:f>0</x:f>
        <x:v>0</x:v>
      </x:c>
      <x:c r="G21" s="10" t="n">
        <x:f>0</x:f>
        <x:v>0</x:v>
      </x:c>
      <x:c r="H21" s="10" t="n">
        <x:f>0</x:f>
        <x:v>0</x:v>
      </x:c>
      <x:c r="I21" s="10" t="n">
        <x:f>0</x:f>
        <x:v>0</x:v>
      </x:c>
      <x:c r="J21" s="10" t="n">
        <x:f>0</x:f>
        <x:v>0</x:v>
      </x:c>
      <x:c r="K21" s="10" t="n">
        <x:f>0</x:f>
        <x:v>0</x:v>
      </x:c>
      <x:c r="L21" s="10" t="n">
        <x:f>0</x:f>
        <x:v>0</x:v>
      </x:c>
      <x:c r="M21" s="10" t="n">
        <x:f>0</x:f>
        <x:v>0</x:v>
      </x:c>
      <x:c r="N21" s="10" t="n">
        <x:f>0</x:f>
        <x:v>0</x:v>
      </x:c>
      <x:c r="O21" s="10" t="n">
        <x:f>0</x:f>
        <x:v>0</x:v>
      </x:c>
      <x:c r="P21" s="10" t="n">
        <x:f>0</x:f>
        <x:v>0</x:v>
      </x:c>
      <x:c r="Q21" s="10" t="n">
        <x:f>0</x:f>
        <x:v>0</x:v>
      </x:c>
      <x:c r="R21" s="10" t="n">
        <x:f>0</x:f>
        <x:v>0</x:v>
      </x:c>
      <x:c r="S21" s="10" t="n">
        <x:f>0</x:f>
        <x:v>0</x:v>
      </x:c>
      <x:c r="T21" s="10" t="n">
        <x:f>0</x:f>
        <x:v>0</x:v>
      </x:c>
      <x:c r="U21" s="10" t="n">
        <x:f>0</x:f>
        <x:v>0</x:v>
      </x:c>
      <x:c r="V21" s="10" t="n">
        <x:f>0</x:f>
        <x:v>0</x:v>
      </x:c>
      <x:c r="W21" s="10" t="n">
        <x:f>0</x:f>
        <x:v>0</x:v>
      </x:c>
    </x:row>
    <x:row r="22" ht="17" customHeight="1">
      <x:c r="A22" s="1"/>
      <x:c r="B22" s="1"/>
      <x:c r="C22" s="1" t="str">
        <x:v>Deferred revenue</x:v>
      </x:c>
      <x:c r="D22" s="10" t="n">
        <x:f>0</x:f>
        <x:v>0</x:v>
      </x:c>
      <x:c r="E22" s="10" t="n">
        <x:f>0</x:f>
        <x:v>0</x:v>
      </x:c>
      <x:c r="F22" s="10" t="n">
        <x:f>0</x:f>
        <x:v>0</x:v>
      </x:c>
      <x:c r="G22" s="10" t="n">
        <x:f>0</x:f>
        <x:v>0</x:v>
      </x:c>
      <x:c r="H22" s="10" t="n">
        <x:f>0</x:f>
        <x:v>0</x:v>
      </x:c>
      <x:c r="I22" s="10" t="n">
        <x:f>0</x:f>
        <x:v>0</x:v>
      </x:c>
      <x:c r="J22" s="10" t="n">
        <x:f>0</x:f>
        <x:v>0</x:v>
      </x:c>
      <x:c r="K22" s="10" t="n">
        <x:f>0</x:f>
        <x:v>0</x:v>
      </x:c>
      <x:c r="L22" s="10" t="n">
        <x:f>0</x:f>
        <x:v>0</x:v>
      </x:c>
      <x:c r="M22" s="10" t="n">
        <x:f>0</x:f>
        <x:v>0</x:v>
      </x:c>
      <x:c r="N22" s="10" t="n">
        <x:f>0</x:f>
        <x:v>0</x:v>
      </x:c>
      <x:c r="O22" s="10" t="n">
        <x:f>0</x:f>
        <x:v>0</x:v>
      </x:c>
      <x:c r="P22" s="10" t="n">
        <x:f>0</x:f>
        <x:v>0</x:v>
      </x:c>
      <x:c r="Q22" s="10" t="n">
        <x:f>0</x:f>
        <x:v>0</x:v>
      </x:c>
      <x:c r="R22" s="10" t="n">
        <x:f>0</x:f>
        <x:v>0</x:v>
      </x:c>
      <x:c r="S22" s="10" t="n">
        <x:f>0</x:f>
        <x:v>0</x:v>
      </x:c>
      <x:c r="T22" s="10" t="n">
        <x:f>0</x:f>
        <x:v>0</x:v>
      </x:c>
      <x:c r="U22" s="10" t="n">
        <x:f>0</x:f>
        <x:v>0</x:v>
      </x:c>
      <x:c r="V22" s="10" t="n">
        <x:f>0</x:f>
        <x:v>0</x:v>
      </x:c>
      <x:c r="W22" s="10" t="n">
        <x:f>0</x:f>
        <x:v>0</x:v>
      </x:c>
    </x:row>
    <x:row r="23" ht="17" customHeight="1">
      <x:c r="A23" s="1"/>
      <x:c r="B23" s="1"/>
      <x:c r="C23" s="1" t="str">
        <x:v>Income tax payable</x:v>
      </x:c>
      <x:c r="D23" s="10" t="n">
        <x:f>0</x:f>
        <x:v>0</x:v>
      </x:c>
      <x:c r="E23" s="10" t="n">
        <x:f>0</x:f>
        <x:v>0</x:v>
      </x:c>
      <x:c r="F23" s="10" t="n">
        <x:f>0</x:f>
        <x:v>0</x:v>
      </x:c>
      <x:c r="G23" s="10" t="n">
        <x:f>0</x:f>
        <x:v>0</x:v>
      </x:c>
      <x:c r="H23" s="10" t="n">
        <x:f>0</x:f>
        <x:v>0</x:v>
      </x:c>
      <x:c r="I23" s="10" t="n">
        <x:f>0</x:f>
        <x:v>0</x:v>
      </x:c>
      <x:c r="J23" s="10" t="n">
        <x:f>0</x:f>
        <x:v>0</x:v>
      </x:c>
      <x:c r="K23" s="10" t="n">
        <x:f>0</x:f>
        <x:v>0</x:v>
      </x:c>
      <x:c r="L23" s="10" t="n">
        <x:f>0</x:f>
        <x:v>0</x:v>
      </x:c>
      <x:c r="M23" s="10" t="n">
        <x:f>0</x:f>
        <x:v>0</x:v>
      </x:c>
      <x:c r="N23" s="10" t="n">
        <x:f>0</x:f>
        <x:v>0</x:v>
      </x:c>
      <x:c r="O23" s="10" t="n">
        <x:f>0</x:f>
        <x:v>0</x:v>
      </x:c>
      <x:c r="P23" s="10" t="n">
        <x:f>0</x:f>
        <x:v>0</x:v>
      </x:c>
      <x:c r="Q23" s="10" t="n">
        <x:f>0</x:f>
        <x:v>0</x:v>
      </x:c>
      <x:c r="R23" s="10" t="n">
        <x:f>0</x:f>
        <x:v>0</x:v>
      </x:c>
      <x:c r="S23" s="10" t="n">
        <x:f>0</x:f>
        <x:v>0</x:v>
      </x:c>
      <x:c r="T23" s="10" t="n">
        <x:f>0</x:f>
        <x:v>0</x:v>
      </x:c>
      <x:c r="U23" s="10" t="n">
        <x:f>0</x:f>
        <x:v>0</x:v>
      </x:c>
      <x:c r="V23" s="10" t="n">
        <x:f>0</x:f>
        <x:v>0</x:v>
      </x:c>
      <x:c r="W23" s="10" t="n">
        <x:f>0</x:f>
        <x:v>0</x:v>
      </x:c>
    </x:row>
    <x:row r="24" ht="17" customHeight="1">
      <x:c r="A24" s="1"/>
      <x:c r="B24" s="1"/>
      <x:c r="C24" s="1" t="str">
        <x:v>Debt — no new financing assumed</x:v>
      </x:c>
      <x:c r="D24" s="10" t="n">
        <x:f>0</x:f>
        <x:v>0</x:v>
      </x:c>
      <x:c r="E24" s="10" t="n">
        <x:f>0</x:f>
        <x:v>0</x:v>
      </x:c>
      <x:c r="F24" s="10" t="n">
        <x:f>0</x:f>
        <x:v>0</x:v>
      </x:c>
      <x:c r="G24" s="10" t="n">
        <x:f>0</x:f>
        <x:v>0</x:v>
      </x:c>
      <x:c r="H24" s="10" t="n">
        <x:f>0</x:f>
        <x:v>0</x:v>
      </x:c>
      <x:c r="I24" s="10" t="n">
        <x:f>0</x:f>
        <x:v>0</x:v>
      </x:c>
      <x:c r="J24" s="10" t="n">
        <x:f>0</x:f>
        <x:v>0</x:v>
      </x:c>
      <x:c r="K24" s="10" t="n">
        <x:f>0</x:f>
        <x:v>0</x:v>
      </x:c>
      <x:c r="L24" s="10" t="n">
        <x:f>0</x:f>
        <x:v>0</x:v>
      </x:c>
      <x:c r="M24" s="10" t="n">
        <x:f>0</x:f>
        <x:v>0</x:v>
      </x:c>
      <x:c r="N24" s="10" t="n">
        <x:f>0</x:f>
        <x:v>0</x:v>
      </x:c>
      <x:c r="O24" s="10" t="n">
        <x:f>0</x:f>
        <x:v>0</x:v>
      </x:c>
      <x:c r="P24" s="10" t="n">
        <x:f>0</x:f>
        <x:v>0</x:v>
      </x:c>
      <x:c r="Q24" s="10" t="n">
        <x:f>0</x:f>
        <x:v>0</x:v>
      </x:c>
      <x:c r="R24" s="10" t="n">
        <x:f>0</x:f>
        <x:v>0</x:v>
      </x:c>
      <x:c r="S24" s="10" t="n">
        <x:f>0</x:f>
        <x:v>0</x:v>
      </x:c>
      <x:c r="T24" s="10" t="n">
        <x:f>0</x:f>
        <x:v>0</x:v>
      </x:c>
      <x:c r="U24" s="10" t="n">
        <x:f>0</x:f>
        <x:v>0</x:v>
      </x:c>
      <x:c r="V24" s="10" t="n">
        <x:f>0</x:f>
        <x:v>0</x:v>
      </x:c>
      <x:c r="W24" s="10" t="n">
        <x:f>0</x:f>
        <x:v>0</x:v>
      </x:c>
    </x:row>
    <x:row r="25" ht="17" customHeight="1">
      <x:c r="A25" s="1"/>
      <x:c r="B25" s="1"/>
      <x:c r="C25" s="30" t="str">
        <x:v>Total liabilities</x:v>
      </x:c>
      <x:c r="D25" s="31" t="n">
        <x:f>SUM(D21:D24)</x:f>
        <x:v>0</x:v>
      </x:c>
      <x:c r="E25" s="31" t="n">
        <x:f>SUM(E21:E24)</x:f>
        <x:v>0</x:v>
      </x:c>
      <x:c r="F25" s="31" t="n">
        <x:f>SUM(F21:F24)</x:f>
        <x:v>0</x:v>
      </x:c>
      <x:c r="G25" s="31" t="n">
        <x:f>SUM(G21:G24)</x:f>
        <x:v>0</x:v>
      </x:c>
      <x:c r="H25" s="31" t="n">
        <x:f>SUM(H21:H24)</x:f>
        <x:v>0</x:v>
      </x:c>
      <x:c r="I25" s="31" t="n">
        <x:f>SUM(I21:I24)</x:f>
        <x:v>0</x:v>
      </x:c>
      <x:c r="J25" s="31" t="n">
        <x:f>SUM(J21:J24)</x:f>
        <x:v>0</x:v>
      </x:c>
      <x:c r="K25" s="31" t="n">
        <x:f>SUM(K21:K24)</x:f>
        <x:v>0</x:v>
      </x:c>
      <x:c r="L25" s="31" t="n">
        <x:f>SUM(L21:L24)</x:f>
        <x:v>0</x:v>
      </x:c>
      <x:c r="M25" s="31" t="n">
        <x:f>SUM(M21:M24)</x:f>
        <x:v>0</x:v>
      </x:c>
      <x:c r="N25" s="31" t="n">
        <x:f>SUM(N21:N24)</x:f>
        <x:v>0</x:v>
      </x:c>
      <x:c r="O25" s="31" t="n">
        <x:f>SUM(O21:O24)</x:f>
        <x:v>0</x:v>
      </x:c>
      <x:c r="P25" s="31" t="n">
        <x:f>SUM(P21:P24)</x:f>
        <x:v>0</x:v>
      </x:c>
      <x:c r="Q25" s="31" t="n">
        <x:f>SUM(Q21:Q24)</x:f>
        <x:v>0</x:v>
      </x:c>
      <x:c r="R25" s="31" t="n">
        <x:f>SUM(R21:R24)</x:f>
        <x:v>0</x:v>
      </x:c>
      <x:c r="S25" s="31" t="n">
        <x:f>SUM(S21:S24)</x:f>
        <x:v>0</x:v>
      </x:c>
      <x:c r="T25" s="31" t="n">
        <x:f>SUM(T21:T24)</x:f>
        <x:v>0</x:v>
      </x:c>
      <x:c r="U25" s="31" t="n">
        <x:f>SUM(U21:U24)</x:f>
        <x:v>0</x:v>
      </x:c>
      <x:c r="V25" s="31" t="n">
        <x:f>SUM(V21:V24)</x:f>
        <x:v>0</x:v>
      </x:c>
      <x:c r="W25" s="31" t="n">
        <x:f>SUM(W21:W24)</x:f>
        <x:v>0</x:v>
      </x:c>
    </x:row>
    <x:row r="26" ht="17" customHeight="1">
      <x:c r="A26" s="1"/>
      <x:c r="B26" s="1"/>
      <x:c r="C26" s="1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0"/>
      <x:c r="T26" s="10"/>
      <x:c r="U26" s="10"/>
      <x:c r="V26" s="10"/>
      <x:c r="W26" s="10"/>
    </x:row>
    <x:row r="27" ht="17" customHeight="1">
      <x:c r="A27" s="1"/>
      <x:c r="B27" s="1"/>
      <x:c r="C27" s="1" t="str">
        <x:v>EQUITY</x:v>
      </x:c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0"/>
      <x:c r="T27" s="10"/>
      <x:c r="U27" s="10"/>
      <x:c r="V27" s="10"/>
      <x:c r="W27" s="10"/>
    </x:row>
    <x:row r="28" ht="17" customHeight="1">
      <x:c r="A28" s="1"/>
      <x:c r="B28" s="1"/>
      <x:c r="C28" s="1" t="str">
        <x:v>Paid-in capital — no new equity assumed</x:v>
      </x:c>
      <x:c r="D28" s="10" t="n">
        <x:f>0</x:f>
        <x:v>0</x:v>
      </x:c>
      <x:c r="E28" s="10" t="n">
        <x:f>0</x:f>
        <x:v>0</x:v>
      </x:c>
      <x:c r="F28" s="10" t="n">
        <x:f>0</x:f>
        <x:v>0</x:v>
      </x:c>
      <x:c r="G28" s="10" t="n">
        <x:f>0</x:f>
        <x:v>0</x:v>
      </x:c>
      <x:c r="H28" s="10" t="n">
        <x:f>0</x:f>
        <x:v>0</x:v>
      </x:c>
      <x:c r="I28" s="10" t="n">
        <x:f>0</x:f>
        <x:v>0</x:v>
      </x:c>
      <x:c r="J28" s="10" t="n">
        <x:f>0</x:f>
        <x:v>0</x:v>
      </x:c>
      <x:c r="K28" s="10" t="n">
        <x:f>0</x:f>
        <x:v>0</x:v>
      </x:c>
      <x:c r="L28" s="10" t="n">
        <x:f>0</x:f>
        <x:v>0</x:v>
      </x:c>
      <x:c r="M28" s="10" t="n">
        <x:f>0</x:f>
        <x:v>0</x:v>
      </x:c>
      <x:c r="N28" s="10" t="n">
        <x:f>0</x:f>
        <x:v>0</x:v>
      </x:c>
      <x:c r="O28" s="10" t="n">
        <x:f>0</x:f>
        <x:v>0</x:v>
      </x:c>
      <x:c r="P28" s="10" t="n">
        <x:f>0</x:f>
        <x:v>0</x:v>
      </x:c>
      <x:c r="Q28" s="10" t="n">
        <x:f>0</x:f>
        <x:v>0</x:v>
      </x:c>
      <x:c r="R28" s="10" t="n">
        <x:f>0</x:f>
        <x:v>0</x:v>
      </x:c>
      <x:c r="S28" s="10" t="n">
        <x:f>0</x:f>
        <x:v>0</x:v>
      </x:c>
      <x:c r="T28" s="10" t="n">
        <x:f>0</x:f>
        <x:v>0</x:v>
      </x:c>
      <x:c r="U28" s="10" t="n">
        <x:f>0</x:f>
        <x:v>0</x:v>
      </x:c>
      <x:c r="V28" s="10" t="n">
        <x:f>0</x:f>
        <x:v>0</x:v>
      </x:c>
      <x:c r="W28" s="10" t="n">
        <x:f>0</x:f>
        <x:v>0</x:v>
      </x:c>
    </x:row>
    <x:row r="29" ht="17" customHeight="1">
      <x:c r="A29" s="1"/>
      <x:c r="B29" s="1"/>
      <x:c r="C29" s="1" t="str">
        <x:v>Retained earnings / (accumulated losses)</x:v>
      </x:c>
      <x:c r="D29" s="10" t="n">
        <x:f>'Income statement'!D86</x:f>
        <x:v>285425.20302411105</x:v>
      </x:c>
      <x:c r="E29" s="10" t="n">
        <x:f>D29+'Income statement'!E86-'Cash flow'!E23</x:f>
        <x:v>690988.5675989811</x:v>
      </x:c>
      <x:c r="F29" s="10" t="n">
        <x:f>E29+'Income statement'!F86-'Cash flow'!F23</x:f>
        <x:v>1182310.4578851084</x:v>
      </x:c>
      <x:c r="G29" s="10" t="n">
        <x:f>F29+'Income statement'!G86-'Cash flow'!G23</x:f>
        <x:v>1752438.7711332794</x:v>
      </x:c>
      <x:c r="H29" s="10" t="n">
        <x:f>G29+'Income statement'!H86-'Cash flow'!H23</x:f>
        <x:v>2404419.190043865</x:v>
      </x:c>
      <x:c r="I29" s="10" t="n">
        <x:f>H29+'Income statement'!I86-'Cash flow'!I23</x:f>
        <x:v>3104538.07022644</x:v>
      </x:c>
      <x:c r="J29" s="10" t="n">
        <x:f>I29+'Income statement'!J86-'Cash flow'!J23</x:f>
        <x:v>3838812.6336586922</x:v>
      </x:c>
      <x:c r="K29" s="10" t="n">
        <x:f>J29+'Income statement'!K86-'Cash flow'!K23</x:f>
        <x:v>4600685.967377513</x:v>
      </x:c>
      <x:c r="L29" s="10" t="n">
        <x:f>K29+'Income statement'!L86-'Cash flow'!L23</x:f>
        <x:v>5386652.806834882</x:v>
      </x:c>
      <x:c r="M29" s="10" t="n">
        <x:f>L29+'Income statement'!M86-'Cash flow'!M23</x:f>
        <x:v>6194602.675968458</x:v>
      </x:c>
      <x:c r="N29" s="10" t="n">
        <x:f>M29+'Income statement'!N86-'Cash flow'!N23</x:f>
        <x:v>7023247.958294459</x:v>
      </x:c>
      <x:c r="O29" s="10" t="n">
        <x:f>N29+'Income statement'!O86-'Cash flow'!O23</x:f>
        <x:v>7871638.117516242</x:v>
      </x:c>
      <x:c r="P29" s="10" t="n">
        <x:f>O29+'Income statement'!P86-'Cash flow'!P23</x:f>
        <x:v>8738968.462789908</x:v>
      </x:c>
      <x:c r="Q29" s="10" t="n">
        <x:f>P29+'Income statement'!Q86-'Cash flow'!Q23</x:f>
        <x:v>9624608.22185026</x:v>
      </x:c>
      <x:c r="R29" s="10" t="n">
        <x:f>Q29+'Income statement'!R86-'Cash flow'!R23</x:f>
        <x:v>10527896.375436818</x:v>
      </x:c>
      <x:c r="S29" s="10" t="n">
        <x:f>R29+'Income statement'!S86-'Cash flow'!S23</x:f>
        <x:v>11448092.165730292</x:v>
      </x:c>
      <x:c r="T29" s="10" t="n">
        <x:f>S29+'Income statement'!T86-'Cash flow'!T23</x:f>
        <x:v>12384491.6726361</x:v>
      </x:c>
      <x:c r="U29" s="10" t="n">
        <x:f>T29+'Income statement'!U86-'Cash flow'!U23</x:f>
        <x:v>13336253.121148655</x:v>
      </x:c>
      <x:c r="V29" s="10" t="n">
        <x:f>U29+'Income statement'!V86-'Cash flow'!V23</x:f>
        <x:v>14302370.955160242</x:v>
      </x:c>
      <x:c r="W29" s="10" t="n">
        <x:f>V29+'Income statement'!W86-'Cash flow'!W23</x:f>
        <x:v>15281819.887101494</x:v>
      </x:c>
    </x:row>
    <x:row r="30" ht="17" customHeight="1">
      <x:c r="A30" s="1"/>
      <x:c r="B30" s="1"/>
      <x:c r="C30" s="30" t="str">
        <x:v>Total equity</x:v>
      </x:c>
      <x:c r="D30" s="31" t="n">
        <x:f>D28+D29</x:f>
        <x:v>285425.20302411105</x:v>
      </x:c>
      <x:c r="E30" s="31" t="n">
        <x:f>E28+E29</x:f>
        <x:v>690988.5675989811</x:v>
      </x:c>
      <x:c r="F30" s="31" t="n">
        <x:f>F28+F29</x:f>
        <x:v>1182310.4578851084</x:v>
      </x:c>
      <x:c r="G30" s="31" t="n">
        <x:f>G28+G29</x:f>
        <x:v>1752438.7711332794</x:v>
      </x:c>
      <x:c r="H30" s="31" t="n">
        <x:f>H28+H29</x:f>
        <x:v>2404419.190043865</x:v>
      </x:c>
      <x:c r="I30" s="31" t="n">
        <x:f>I28+I29</x:f>
        <x:v>3104538.07022644</x:v>
      </x:c>
      <x:c r="J30" s="31" t="n">
        <x:f>J28+J29</x:f>
        <x:v>3838812.6336586922</x:v>
      </x:c>
      <x:c r="K30" s="31" t="n">
        <x:f>K28+K29</x:f>
        <x:v>4600685.967377513</x:v>
      </x:c>
      <x:c r="L30" s="31" t="n">
        <x:f>L28+L29</x:f>
        <x:v>5386652.806834882</x:v>
      </x:c>
      <x:c r="M30" s="31" t="n">
        <x:f>M28+M29</x:f>
        <x:v>6194602.675968458</x:v>
      </x:c>
      <x:c r="N30" s="31" t="n">
        <x:f>N28+N29</x:f>
        <x:v>7023247.958294459</x:v>
      </x:c>
      <x:c r="O30" s="31" t="n">
        <x:f>O28+O29</x:f>
        <x:v>7871638.117516242</x:v>
      </x:c>
      <x:c r="P30" s="31" t="n">
        <x:f>P28+P29</x:f>
        <x:v>8738968.462789908</x:v>
      </x:c>
      <x:c r="Q30" s="31" t="n">
        <x:f>Q28+Q29</x:f>
        <x:v>9624608.22185026</x:v>
      </x:c>
      <x:c r="R30" s="31" t="n">
        <x:f>R28+R29</x:f>
        <x:v>10527896.375436818</x:v>
      </x:c>
      <x:c r="S30" s="31" t="n">
        <x:f>S28+S29</x:f>
        <x:v>11448092.165730292</x:v>
      </x:c>
      <x:c r="T30" s="31" t="n">
        <x:f>T28+T29</x:f>
        <x:v>12384491.6726361</x:v>
      </x:c>
      <x:c r="U30" s="31" t="n">
        <x:f>U28+U29</x:f>
        <x:v>13336253.121148655</x:v>
      </x:c>
      <x:c r="V30" s="31" t="n">
        <x:f>V28+V29</x:f>
        <x:v>14302370.955160242</x:v>
      </x:c>
      <x:c r="W30" s="31" t="n">
        <x:f>W28+W29</x:f>
        <x:v>15281819.887101494</x:v>
      </x:c>
    </x:row>
    <x:row r="31" ht="17" customHeight="1">
      <x:c r="A31" s="1"/>
      <x:c r="B31" s="1"/>
      <x:c r="C31" s="1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  <x:c r="O31" s="10"/>
      <x:c r="P31" s="10"/>
      <x:c r="Q31" s="10"/>
      <x:c r="R31" s="10"/>
      <x:c r="S31" s="10"/>
      <x:c r="T31" s="10"/>
      <x:c r="U31" s="10"/>
      <x:c r="V31" s="10"/>
      <x:c r="W31" s="10"/>
    </x:row>
    <x:row r="32" ht="17" customHeight="1">
      <x:c r="A32" s="1"/>
      <x:c r="B32" s="1"/>
      <x:c r="C32" s="30" t="str">
        <x:v>Total recognized liabilities and equity</x:v>
      </x:c>
      <x:c r="D32" s="31" t="n">
        <x:f>D25+D30</x:f>
        <x:v>285425.20302411105</x:v>
      </x:c>
      <x:c r="E32" s="31" t="n">
        <x:f>E25+E30</x:f>
        <x:v>690988.5675989811</x:v>
      </x:c>
      <x:c r="F32" s="31" t="n">
        <x:f>F25+F30</x:f>
        <x:v>1182310.4578851084</x:v>
      </x:c>
      <x:c r="G32" s="31" t="n">
        <x:f>G25+G30</x:f>
        <x:v>1752438.7711332794</x:v>
      </x:c>
      <x:c r="H32" s="31" t="n">
        <x:f>H25+H30</x:f>
        <x:v>2404419.190043865</x:v>
      </x:c>
      <x:c r="I32" s="31" t="n">
        <x:f>I25+I30</x:f>
        <x:v>3104538.07022644</x:v>
      </x:c>
      <x:c r="J32" s="31" t="n">
        <x:f>J25+J30</x:f>
        <x:v>3838812.6336586922</x:v>
      </x:c>
      <x:c r="K32" s="31" t="n">
        <x:f>K25+K30</x:f>
        <x:v>4600685.967377513</x:v>
      </x:c>
      <x:c r="L32" s="31" t="n">
        <x:f>L25+L30</x:f>
        <x:v>5386652.806834882</x:v>
      </x:c>
      <x:c r="M32" s="31" t="n">
        <x:f>M25+M30</x:f>
        <x:v>6194602.675968458</x:v>
      </x:c>
      <x:c r="N32" s="31" t="n">
        <x:f>N25+N30</x:f>
        <x:v>7023247.958294459</x:v>
      </x:c>
      <x:c r="O32" s="31" t="n">
        <x:f>O25+O30</x:f>
        <x:v>7871638.117516242</x:v>
      </x:c>
      <x:c r="P32" s="31" t="n">
        <x:f>P25+P30</x:f>
        <x:v>8738968.462789908</x:v>
      </x:c>
      <x:c r="Q32" s="31" t="n">
        <x:f>Q25+Q30</x:f>
        <x:v>9624608.22185026</x:v>
      </x:c>
      <x:c r="R32" s="31" t="n">
        <x:f>R25+R30</x:f>
        <x:v>10527896.375436818</x:v>
      </x:c>
      <x:c r="S32" s="31" t="n">
        <x:f>S25+S30</x:f>
        <x:v>11448092.165730292</x:v>
      </x:c>
      <x:c r="T32" s="31" t="n">
        <x:f>T25+T30</x:f>
        <x:v>12384491.6726361</x:v>
      </x:c>
      <x:c r="U32" s="31" t="n">
        <x:f>U25+U30</x:f>
        <x:v>13336253.121148655</x:v>
      </x:c>
      <x:c r="V32" s="31" t="n">
        <x:f>V25+V30</x:f>
        <x:v>14302370.955160242</x:v>
      </x:c>
      <x:c r="W32" s="31" t="n">
        <x:f>W25+W30</x:f>
        <x:v>15281819.887101494</x:v>
      </x:c>
    </x:row>
    <x:row r="33" ht="17" customHeight="1">
      <x:c r="A33" s="1"/>
      <x:c r="B33" s="1"/>
      <x:c r="C33" s="8" t="str">
        <x:v>FUNDING RECONCILIATION — OUTSIDE THE STATEMENT</x:v>
      </x:c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2"/>
      <x:c r="P33" s="12"/>
      <x:c r="Q33" s="12"/>
      <x:c r="R33" s="12"/>
      <x:c r="S33" s="12"/>
      <x:c r="T33" s="12"/>
      <x:c r="U33" s="12"/>
      <x:c r="V33" s="12"/>
      <x:c r="W33" s="12"/>
    </x:row>
    <x:row r="34" ht="17" customHeight="1">
      <x:c r="A34" s="1"/>
      <x:c r="B34" s="1"/>
      <x:c r="C34" s="30" t="str">
        <x:v>Assets less recognized liabilities and equity</x:v>
      </x:c>
      <x:c r="D34" s="32" t="n">
        <x:f>IF(ABS(D18-D32)&lt;0.005,0,D18-D32)</x:f>
        <x:v>0</x:v>
      </x:c>
      <x:c r="E34" s="32" t="n">
        <x:f>IF(ABS(E18-E32)&lt;0.005,0,E18-E32)</x:f>
        <x:v>0</x:v>
      </x:c>
      <x:c r="F34" s="32" t="n">
        <x:f>IF(ABS(F18-F32)&lt;0.005,0,F18-F32)</x:f>
        <x:v>0</x:v>
      </x:c>
      <x:c r="G34" s="32" t="n">
        <x:f>IF(ABS(G18-G32)&lt;0.005,0,G18-G32)</x:f>
        <x:v>0</x:v>
      </x:c>
      <x:c r="H34" s="32" t="n">
        <x:f>IF(ABS(H18-H32)&lt;0.005,0,H18-H32)</x:f>
        <x:v>0</x:v>
      </x:c>
      <x:c r="I34" s="32" t="n">
        <x:f>IF(ABS(I18-I32)&lt;0.005,0,I18-I32)</x:f>
        <x:v>0</x:v>
      </x:c>
      <x:c r="J34" s="32" t="n">
        <x:f>IF(ABS(J18-J32)&lt;0.005,0,J18-J32)</x:f>
        <x:v>0</x:v>
      </x:c>
      <x:c r="K34" s="32" t="n">
        <x:f>IF(ABS(K18-K32)&lt;0.005,0,K18-K32)</x:f>
        <x:v>0</x:v>
      </x:c>
      <x:c r="L34" s="32" t="n">
        <x:f>IF(ABS(L18-L32)&lt;0.005,0,L18-L32)</x:f>
        <x:v>0</x:v>
      </x:c>
      <x:c r="M34" s="32" t="n">
        <x:f>IF(ABS(M18-M32)&lt;0.005,0,M18-M32)</x:f>
        <x:v>0</x:v>
      </x:c>
      <x:c r="N34" s="32" t="n">
        <x:f>IF(ABS(N18-N32)&lt;0.005,0,N18-N32)</x:f>
        <x:v>0</x:v>
      </x:c>
      <x:c r="O34" s="32" t="n">
        <x:f>IF(ABS(O18-O32)&lt;0.005,0,O18-O32)</x:f>
        <x:v>0</x:v>
      </x:c>
      <x:c r="P34" s="32" t="n">
        <x:f>IF(ABS(P18-P32)&lt;0.005,0,P18-P32)</x:f>
        <x:v>0</x:v>
      </x:c>
      <x:c r="Q34" s="32" t="n">
        <x:f>IF(ABS(Q18-Q32)&lt;0.005,0,Q18-Q32)</x:f>
        <x:v>0</x:v>
      </x:c>
      <x:c r="R34" s="32" t="n">
        <x:f>IF(ABS(R18-R32)&lt;0.005,0,R18-R32)</x:f>
        <x:v>0</x:v>
      </x:c>
      <x:c r="S34" s="32" t="n">
        <x:f>IF(ABS(S18-S32)&lt;0.005,0,S18-S32)</x:f>
        <x:v>0</x:v>
      </x:c>
      <x:c r="T34" s="32" t="n">
        <x:f>IF(ABS(T18-T32)&lt;0.005,0,T18-T32)</x:f>
        <x:v>0</x:v>
      </x:c>
      <x:c r="U34" s="32" t="n">
        <x:f>IF(ABS(U18-U32)&lt;0.005,0,U18-U32)</x:f>
        <x:v>0</x:v>
      </x:c>
      <x:c r="V34" s="32" t="n">
        <x:f>IF(ABS(V18-V32)&lt;0.005,0,V18-V32)</x:f>
        <x:v>0</x:v>
      </x:c>
      <x:c r="W34" s="32" t="n">
        <x:f>IF(ABS(W18-W32)&lt;0.005,0,W18-W32)</x:f>
        <x:v>0</x:v>
      </x:c>
    </x:row>
    <x:row r="35" ht="17" customHeight="1">
      <x:c r="A35" s="1"/>
      <x:c r="B35" s="1"/>
      <x:c r="C35" s="30" t="str">
        <x:v>Unfunded requirement — outside recognized liabilities</x:v>
      </x:c>
      <x:c r="D35" s="32" t="n">
        <x:f>'Cash flow'!D31</x:f>
        <x:v>0</x:v>
      </x:c>
      <x:c r="E35" s="32" t="n">
        <x:f>'Cash flow'!E31</x:f>
        <x:v>0</x:v>
      </x:c>
      <x:c r="F35" s="32" t="n">
        <x:f>'Cash flow'!F31</x:f>
        <x:v>0</x:v>
      </x:c>
      <x:c r="G35" s="32" t="n">
        <x:f>'Cash flow'!G31</x:f>
        <x:v>0</x:v>
      </x:c>
      <x:c r="H35" s="32" t="n">
        <x:f>'Cash flow'!H31</x:f>
        <x:v>0</x:v>
      </x:c>
      <x:c r="I35" s="32" t="n">
        <x:f>'Cash flow'!I31</x:f>
        <x:v>0</x:v>
      </x:c>
      <x:c r="J35" s="32" t="n">
        <x:f>'Cash flow'!J31</x:f>
        <x:v>0</x:v>
      </x:c>
      <x:c r="K35" s="32" t="n">
        <x:f>'Cash flow'!K31</x:f>
        <x:v>0</x:v>
      </x:c>
      <x:c r="L35" s="32" t="n">
        <x:f>'Cash flow'!L31</x:f>
        <x:v>0</x:v>
      </x:c>
      <x:c r="M35" s="32" t="n">
        <x:f>'Cash flow'!M31</x:f>
        <x:v>0</x:v>
      </x:c>
      <x:c r="N35" s="32" t="n">
        <x:f>'Cash flow'!N31</x:f>
        <x:v>0</x:v>
      </x:c>
      <x:c r="O35" s="32" t="n">
        <x:f>'Cash flow'!O31</x:f>
        <x:v>0</x:v>
      </x:c>
      <x:c r="P35" s="32" t="n">
        <x:f>'Cash flow'!P31</x:f>
        <x:v>0</x:v>
      </x:c>
      <x:c r="Q35" s="32" t="n">
        <x:f>'Cash flow'!Q31</x:f>
        <x:v>0</x:v>
      </x:c>
      <x:c r="R35" s="32" t="n">
        <x:f>'Cash flow'!R31</x:f>
        <x:v>0</x:v>
      </x:c>
      <x:c r="S35" s="32" t="n">
        <x:f>'Cash flow'!S31</x:f>
        <x:v>0</x:v>
      </x:c>
      <x:c r="T35" s="32" t="n">
        <x:f>'Cash flow'!T31</x:f>
        <x:v>0</x:v>
      </x:c>
      <x:c r="U35" s="32" t="n">
        <x:f>'Cash flow'!U31</x:f>
        <x:v>0</x:v>
      </x:c>
      <x:c r="V35" s="32" t="n">
        <x:f>'Cash flow'!V31</x:f>
        <x:v>0</x:v>
      </x:c>
      <x:c r="W35" s="32" t="n">
        <x:f>'Cash flow'!W31</x:f>
        <x:v>0</x:v>
      </x:c>
    </x:row>
    <x:row r="36" ht="17" customHeight="1">
      <x:c r="A36" s="1"/>
      <x:c r="B36" s="1"/>
      <x:c r="C36" s="30" t="str">
        <x:v>Accounting residual after identifying unfunded gap</x:v>
      </x:c>
      <x:c r="D36" s="32" t="n">
        <x:f>IF(ABS(D34-D35)&lt;0.005,0,D34-D35)</x:f>
        <x:v>0</x:v>
      </x:c>
      <x:c r="E36" s="32" t="n">
        <x:f>IF(ABS(E34-E35)&lt;0.005,0,E34-E35)</x:f>
        <x:v>0</x:v>
      </x:c>
      <x:c r="F36" s="32" t="n">
        <x:f>IF(ABS(F34-F35)&lt;0.005,0,F34-F35)</x:f>
        <x:v>0</x:v>
      </x:c>
      <x:c r="G36" s="32" t="n">
        <x:f>IF(ABS(G34-G35)&lt;0.005,0,G34-G35)</x:f>
        <x:v>0</x:v>
      </x:c>
      <x:c r="H36" s="32" t="n">
        <x:f>IF(ABS(H34-H35)&lt;0.005,0,H34-H35)</x:f>
        <x:v>0</x:v>
      </x:c>
      <x:c r="I36" s="32" t="n">
        <x:f>IF(ABS(I34-I35)&lt;0.005,0,I34-I35)</x:f>
        <x:v>0</x:v>
      </x:c>
      <x:c r="J36" s="32" t="n">
        <x:f>IF(ABS(J34-J35)&lt;0.005,0,J34-J35)</x:f>
        <x:v>0</x:v>
      </x:c>
      <x:c r="K36" s="32" t="n">
        <x:f>IF(ABS(K34-K35)&lt;0.005,0,K34-K35)</x:f>
        <x:v>0</x:v>
      </x:c>
      <x:c r="L36" s="32" t="n">
        <x:f>IF(ABS(L34-L35)&lt;0.005,0,L34-L35)</x:f>
        <x:v>0</x:v>
      </x:c>
      <x:c r="M36" s="32" t="n">
        <x:f>IF(ABS(M34-M35)&lt;0.005,0,M34-M35)</x:f>
        <x:v>0</x:v>
      </x:c>
      <x:c r="N36" s="32" t="n">
        <x:f>IF(ABS(N34-N35)&lt;0.005,0,N34-N35)</x:f>
        <x:v>0</x:v>
      </x:c>
      <x:c r="O36" s="32" t="n">
        <x:f>IF(ABS(O34-O35)&lt;0.005,0,O34-O35)</x:f>
        <x:v>0</x:v>
      </x:c>
      <x:c r="P36" s="32" t="n">
        <x:f>IF(ABS(P34-P35)&lt;0.005,0,P34-P35)</x:f>
        <x:v>0</x:v>
      </x:c>
      <x:c r="Q36" s="32" t="n">
        <x:f>IF(ABS(Q34-Q35)&lt;0.005,0,Q34-Q35)</x:f>
        <x:v>0</x:v>
      </x:c>
      <x:c r="R36" s="32" t="n">
        <x:f>IF(ABS(R34-R35)&lt;0.005,0,R34-R35)</x:f>
        <x:v>0</x:v>
      </x:c>
      <x:c r="S36" s="32" t="n">
        <x:f>IF(ABS(S34-S35)&lt;0.005,0,S34-S35)</x:f>
        <x:v>0</x:v>
      </x:c>
      <x:c r="T36" s="32" t="n">
        <x:f>IF(ABS(T34-T35)&lt;0.005,0,T34-T35)</x:f>
        <x:v>0</x:v>
      </x:c>
      <x:c r="U36" s="32" t="n">
        <x:f>IF(ABS(U34-U35)&lt;0.005,0,U34-U35)</x:f>
        <x:v>0</x:v>
      </x:c>
      <x:c r="V36" s="32" t="n">
        <x:f>IF(ABS(V34-V35)&lt;0.005,0,V34-V35)</x:f>
        <x:v>0</x:v>
      </x:c>
      <x:c r="W36" s="32" t="n">
        <x:f>IF(ABS(W34-W35)&lt;0.005,0,W34-W35)</x:f>
        <x:v>0</x:v>
      </x:c>
    </x:row>
    <x:row r="37" ht="17" customHeight="1">
      <x:c r="A37" s="1"/>
      <x:c r="B37" s="1"/>
      <x:c r="C37" s="1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</x:row>
    <x:row r="38" ht="48" customHeight="1">
      <x:c r="A38" s="1"/>
      <x:c r="B38" s="1"/>
      <x:c r="C38" s="1" t="str">
        <x:v>Funding interpretation</x:v>
      </x:c>
      <x:c r="D38" s="34" t="str">
        <x:f>IF(D35&gt;0,"Unfunded residual; not a funded balance sheet","Annual identity reconciles; monthly cash gate unresolved")</x:f>
        <x:v>Annual identity reconciles; monthly cash gate unresolved</x:v>
      </x:c>
      <x:c r="E38" s="34" t="str">
        <x:f>IF(E35&gt;0,"Unfunded residual; not a funded balance sheet","Annual identity reconciles; monthly cash gate unresolved")</x:f>
        <x:v>Annual identity reconciles; monthly cash gate unresolved</x:v>
      </x:c>
      <x:c r="F38" s="34" t="str">
        <x:f>IF(F35&gt;0,"Unfunded residual; not a funded balance sheet","Annual identity reconciles; monthly cash gate unresolved")</x:f>
        <x:v>Annual identity reconciles; monthly cash gate unresolved</x:v>
      </x:c>
      <x:c r="G38" s="34" t="str">
        <x:f>IF(G35&gt;0,"Unfunded residual; not a funded balance sheet","Annual identity reconciles; monthly cash gate unresolved")</x:f>
        <x:v>Annual identity reconciles; monthly cash gate unresolved</x:v>
      </x:c>
      <x:c r="H38" s="34" t="str">
        <x:f>IF(H35&gt;0,"Unfunded residual; not a funded balance sheet","Annual identity reconciles; monthly cash gate unresolved")</x:f>
        <x:v>Annual identity reconciles; monthly cash gate unresolved</x:v>
      </x:c>
      <x:c r="I38" s="34" t="str">
        <x:f>IF(I35&gt;0,"Unfunded residual; not a funded balance sheet","Annual identity reconciles; monthly cash gate unresolved")</x:f>
        <x:v>Annual identity reconciles; monthly cash gate unresolved</x:v>
      </x:c>
      <x:c r="J38" s="34" t="str">
        <x:f>IF(J35&gt;0,"Unfunded residual; not a funded balance sheet","Annual identity reconciles; monthly cash gate unresolved")</x:f>
        <x:v>Annual identity reconciles; monthly cash gate unresolved</x:v>
      </x:c>
      <x:c r="K38" s="34" t="str">
        <x:f>IF(K35&gt;0,"Unfunded residual; not a funded balance sheet","Annual identity reconciles; monthly cash gate unresolved")</x:f>
        <x:v>Annual identity reconciles; monthly cash gate unresolved</x:v>
      </x:c>
      <x:c r="L38" s="34" t="str">
        <x:f>IF(L35&gt;0,"Unfunded residual; not a funded balance sheet","Annual identity reconciles; monthly cash gate unresolved")</x:f>
        <x:v>Annual identity reconciles; monthly cash gate unresolved</x:v>
      </x:c>
      <x:c r="M38" s="34" t="str">
        <x:f>IF(M35&gt;0,"Unfunded residual; not a funded balance sheet","Annual identity reconciles; monthly cash gate unresolved")</x:f>
        <x:v>Annual identity reconciles; monthly cash gate unresolved</x:v>
      </x:c>
      <x:c r="N38" s="34" t="str">
        <x:f>IF(N35&gt;0,"Unfunded residual; not a funded balance sheet","Annual identity reconciles; monthly cash gate unresolved")</x:f>
        <x:v>Annual identity reconciles; monthly cash gate unresolved</x:v>
      </x:c>
      <x:c r="O38" s="34" t="str">
        <x:f>IF(O35&gt;0,"Unfunded residual; not a funded balance sheet","Annual identity reconciles; monthly cash gate unresolved")</x:f>
        <x:v>Annual identity reconciles; monthly cash gate unresolved</x:v>
      </x:c>
      <x:c r="P38" s="34" t="str">
        <x:f>IF(P35&gt;0,"Unfunded residual; not a funded balance sheet","Annual identity reconciles; monthly cash gate unresolved")</x:f>
        <x:v>Annual identity reconciles; monthly cash gate unresolved</x:v>
      </x:c>
      <x:c r="Q38" s="34" t="str">
        <x:f>IF(Q35&gt;0,"Unfunded residual; not a funded balance sheet","Annual identity reconciles; monthly cash gate unresolved")</x:f>
        <x:v>Annual identity reconciles; monthly cash gate unresolved</x:v>
      </x:c>
      <x:c r="R38" s="34" t="str">
        <x:f>IF(R35&gt;0,"Unfunded residual; not a funded balance sheet","Annual identity reconciles; monthly cash gate unresolved")</x:f>
        <x:v>Annual identity reconciles; monthly cash gate unresolved</x:v>
      </x:c>
      <x:c r="S38" s="34" t="str">
        <x:f>IF(S35&gt;0,"Unfunded residual; not a funded balance sheet","Annual identity reconciles; monthly cash gate unresolved")</x:f>
        <x:v>Annual identity reconciles; monthly cash gate unresolved</x:v>
      </x:c>
      <x:c r="T38" s="34" t="str">
        <x:f>IF(T35&gt;0,"Unfunded residual; not a funded balance sheet","Annual identity reconciles; monthly cash gate unresolved")</x:f>
        <x:v>Annual identity reconciles; monthly cash gate unresolved</x:v>
      </x:c>
      <x:c r="U38" s="34" t="str">
        <x:f>IF(U35&gt;0,"Unfunded residual; not a funded balance sheet","Annual identity reconciles; monthly cash gate unresolved")</x:f>
        <x:v>Annual identity reconciles; monthly cash gate unresolved</x:v>
      </x:c>
      <x:c r="V38" s="34" t="str">
        <x:f>IF(V35&gt;0,"Unfunded residual; not a funded balance sheet","Annual identity reconciles; monthly cash gate unresolved")</x:f>
        <x:v>Annual identity reconciles; monthly cash gate unresolved</x:v>
      </x:c>
      <x:c r="W38" s="34" t="str">
        <x:f>IF(W35&gt;0,"Unfunded residual; not a funded balance sheet","Annual identity reconciles; monthly cash gate unresolved")</x:f>
        <x:v>Annual identity reconciles; monthly cash gate unresolved</x:v>
      </x:c>
    </x:row>
    <x:row r="39" ht="17" customHeight="1">
      <x:c r="A39" s="1"/>
      <x:c r="B39" s="1"/>
      <x:c r="C39" s="1"/>
      <x:c r="D39" s="10"/>
      <x:c r="E39" s="10"/>
      <x:c r="F39" s="10"/>
      <x:c r="G39" s="10"/>
      <x:c r="H39" s="10"/>
      <x:c r="I39" s="10"/>
      <x:c r="J39" s="10"/>
      <x:c r="K39" s="10"/>
      <x:c r="L39" s="10"/>
      <x:c r="M39" s="10"/>
      <x:c r="N39" s="10"/>
      <x:c r="O39" s="10"/>
      <x:c r="P39" s="10"/>
      <x:c r="Q39" s="10"/>
      <x:c r="R39" s="10"/>
      <x:c r="S39" s="10"/>
      <x:c r="T39" s="10"/>
      <x:c r="U39" s="10"/>
      <x:c r="V39" s="10"/>
      <x:c r="W39" s="10"/>
    </x:row>
    <x:row r="40" ht="17" customHeight="1">
      <x:c r="A40" s="1"/>
      <x:c r="B40" s="1"/>
      <x:c r="C40" s="1" t="str">
        <x:v>Positive year-end balances do not establish that early-month payroll, inventory or launch obligations can be funded.</x:v>
      </x:c>
      <x:c r="D40" s="10"/>
      <x:c r="E40" s="10"/>
      <x:c r="F40" s="10"/>
      <x:c r="G40" s="10"/>
      <x:c r="H40" s="10"/>
      <x:c r="I40" s="10"/>
      <x:c r="J40" s="10"/>
      <x:c r="K40" s="10"/>
      <x:c r="L40" s="10"/>
      <x:c r="M40" s="10"/>
      <x:c r="N40" s="10"/>
      <x:c r="O40" s="10"/>
      <x:c r="P40" s="10"/>
      <x:c r="Q40" s="10"/>
      <x:c r="R40" s="10"/>
      <x:c r="S40" s="10"/>
      <x:c r="T40" s="10"/>
      <x:c r="U40" s="10"/>
      <x:c r="V40" s="10"/>
      <x:c r="W40" s="10"/>
    </x:row>
    <x:row r="41" ht="17" customHeight="1">
      <x:c r="A41" s="1"/>
      <x:c r="B41" s="1"/>
      <x:c r="C41" s="1" t="str">
        <x:v>Amounts cover quantified comparison assumptions only. Additional unfinished development remains unquantified/excluded.</x:v>
      </x:c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10"/>
      <x:c r="O41" s="10"/>
      <x:c r="P41" s="10"/>
      <x:c r="Q41" s="10"/>
      <x:c r="R41" s="10"/>
      <x:c r="S41" s="10"/>
      <x:c r="T41" s="10"/>
      <x:c r="U41" s="10"/>
      <x:c r="V41" s="10"/>
      <x:c r="W41" s="10"/>
    </x:row>
    <x:row r="42" ht="17" customHeight="1">
      <x:c r="A42" s="1"/>
      <x:c r="B42" s="1"/>
      <x:c r="C42" s="1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  <x:c r="O42" s="10"/>
      <x:c r="P42" s="10"/>
      <x:c r="Q42" s="10"/>
      <x:c r="R42" s="10"/>
      <x:c r="S42" s="10"/>
      <x:c r="T42" s="10"/>
      <x:c r="U42" s="10"/>
      <x:c r="V42" s="10"/>
      <x:c r="W42" s="10"/>
    </x:row>
    <x:row r="43" ht="17" customHeight="1">
      <x:c r="A43" s="1"/>
      <x:c r="B43" s="1"/>
      <x:c r="C43" s="1"/>
      <x:c r="D43" s="10"/>
      <x:c r="E43" s="10"/>
      <x:c r="F43" s="10"/>
      <x:c r="G43" s="10"/>
      <x:c r="H43" s="10"/>
      <x:c r="I43" s="10"/>
      <x:c r="J43" s="10"/>
      <x:c r="K43" s="10"/>
      <x:c r="L43" s="10"/>
      <x:c r="M43" s="10"/>
      <x:c r="N43" s="10"/>
      <x:c r="O43" s="10"/>
      <x:c r="P43" s="10"/>
      <x:c r="Q43" s="10"/>
      <x:c r="R43" s="10"/>
      <x:c r="S43" s="10"/>
      <x:c r="T43" s="10"/>
      <x:c r="U43" s="10"/>
      <x:c r="V43" s="10"/>
      <x:c r="W43" s="10"/>
    </x:row>
    <x:row r="44" ht="17" customHeight="1">
      <x:c r="A44" s="1"/>
      <x:c r="B44" s="1"/>
      <x:c r="C44" s="1"/>
      <x:c r="D44" s="10"/>
      <x:c r="E44" s="10"/>
      <x:c r="F44" s="10"/>
      <x:c r="G44" s="10"/>
      <x:c r="H44" s="10"/>
      <x:c r="I44" s="10"/>
      <x:c r="J44" s="10"/>
      <x:c r="K44" s="10"/>
      <x:c r="L44" s="10"/>
      <x:c r="M44" s="10"/>
      <x:c r="N44" s="10"/>
      <x:c r="O44" s="10"/>
      <x:c r="P44" s="10"/>
      <x:c r="Q44" s="10"/>
      <x:c r="R44" s="10"/>
      <x:c r="S44" s="10"/>
      <x:c r="T44" s="10"/>
      <x:c r="U44" s="10"/>
      <x:c r="V44" s="10"/>
      <x:c r="W44" s="10"/>
    </x:row>
    <x:row r="45" ht="17" customHeight="1">
      <x:c r="A45" s="1"/>
      <x:c r="B45" s="1"/>
      <x:c r="C45" s="1"/>
      <x:c r="D45" s="10"/>
      <x:c r="E45" s="10"/>
      <x:c r="F45" s="10"/>
      <x:c r="G45" s="10"/>
      <x:c r="H45" s="10"/>
      <x:c r="I45" s="10"/>
      <x:c r="J45" s="10"/>
      <x:c r="K45" s="10"/>
      <x:c r="L45" s="10"/>
      <x:c r="M45" s="10"/>
      <x:c r="N45" s="10"/>
      <x:c r="O45" s="10"/>
      <x:c r="P45" s="10"/>
      <x:c r="Q45" s="10"/>
      <x:c r="R45" s="10"/>
      <x:c r="S45" s="10"/>
      <x:c r="T45" s="10"/>
      <x:c r="U45" s="10"/>
      <x:c r="V45" s="10"/>
      <x:c r="W45" s="10"/>
    </x:row>
    <x:row r="46" ht="17" customHeight="1">
      <x:c r="A46" s="1"/>
      <x:c r="B46" s="1"/>
      <x:c r="C46" s="1"/>
      <x:c r="D46" s="10"/>
      <x:c r="E46" s="10"/>
      <x:c r="F46" s="10"/>
      <x:c r="G46" s="10"/>
      <x:c r="H46" s="10"/>
      <x:c r="I46" s="10"/>
      <x:c r="J46" s="10"/>
      <x:c r="K46" s="10"/>
      <x:c r="L46" s="10"/>
      <x:c r="M46" s="10"/>
      <x:c r="N46" s="10"/>
      <x:c r="O46" s="10"/>
      <x:c r="P46" s="10"/>
      <x:c r="Q46" s="10"/>
      <x:c r="R46" s="10"/>
      <x:c r="S46" s="10"/>
      <x:c r="T46" s="10"/>
      <x:c r="U46" s="10"/>
      <x:c r="V46" s="10"/>
      <x:c r="W46" s="10"/>
    </x:row>
    <x:row r="47" ht="17" customHeight="1">
      <x:c r="A47" s="1"/>
      <x:c r="B47" s="1"/>
      <x:c r="C47" s="1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  <x:c r="N47" s="10"/>
      <x:c r="O47" s="10"/>
      <x:c r="P47" s="10"/>
      <x:c r="Q47" s="10"/>
      <x:c r="R47" s="10"/>
      <x:c r="S47" s="10"/>
      <x:c r="T47" s="10"/>
      <x:c r="U47" s="10"/>
      <x:c r="V47" s="10"/>
      <x:c r="W47" s="10"/>
    </x:row>
    <x:row r="48" ht="17" customHeight="1">
      <x:c r="A48" s="1"/>
      <x:c r="B48" s="1"/>
      <x:c r="C48" s="1"/>
      <x:c r="D48" s="10"/>
      <x:c r="E48" s="10"/>
      <x:c r="F48" s="10"/>
      <x:c r="G48" s="10"/>
      <x:c r="H48" s="10"/>
      <x:c r="I48" s="10"/>
      <x:c r="J48" s="10"/>
      <x:c r="K48" s="10"/>
      <x:c r="L48" s="10"/>
      <x:c r="M48" s="10"/>
      <x:c r="N48" s="10"/>
      <x:c r="O48" s="10"/>
      <x:c r="P48" s="10"/>
      <x:c r="Q48" s="10"/>
      <x:c r="R48" s="10"/>
      <x:c r="S48" s="10"/>
      <x:c r="T48" s="10"/>
      <x:c r="U48" s="10"/>
      <x:c r="V48" s="10"/>
      <x:c r="W48" s="10"/>
    </x:row>
    <x:row r="49" ht="17" customHeight="1">
      <x:c r="A49" s="1"/>
      <x:c r="B49" s="1"/>
      <x:c r="C49" s="1"/>
      <x:c r="D49" s="10"/>
      <x:c r="E49" s="10"/>
      <x:c r="F49" s="10"/>
      <x:c r="G49" s="10"/>
      <x:c r="H49" s="10"/>
      <x:c r="I49" s="10"/>
      <x:c r="J49" s="10"/>
      <x:c r="K49" s="10"/>
      <x:c r="L49" s="10"/>
      <x:c r="M49" s="10"/>
      <x:c r="N49" s="10"/>
      <x:c r="O49" s="10"/>
      <x:c r="P49" s="10"/>
      <x:c r="Q49" s="10"/>
      <x:c r="R49" s="10"/>
      <x:c r="S49" s="10"/>
      <x:c r="T49" s="10"/>
      <x:c r="U49" s="10"/>
      <x:c r="V49" s="10"/>
      <x:c r="W49" s="10"/>
    </x:row>
    <x:row r="50" ht="17" customHeight="1">
      <x:c r="A50" s="1"/>
      <x:c r="B50" s="1"/>
      <x:c r="C50" s="1"/>
      <x:c r="D50" s="10"/>
      <x:c r="E50" s="10"/>
      <x:c r="F50" s="10"/>
      <x:c r="G50" s="10"/>
      <x:c r="H50" s="10"/>
      <x:c r="I50" s="10"/>
      <x:c r="J50" s="10"/>
      <x:c r="K50" s="10"/>
      <x:c r="L50" s="10"/>
      <x:c r="M50" s="10"/>
      <x:c r="N50" s="10"/>
      <x:c r="O50" s="10"/>
      <x:c r="P50" s="10"/>
      <x:c r="Q50" s="10"/>
      <x:c r="R50" s="10"/>
      <x:c r="S50" s="10"/>
      <x:c r="T50" s="10"/>
      <x:c r="U50" s="10"/>
      <x:c r="V50" s="10"/>
      <x:c r="W50" s="10"/>
    </x:row>
    <x:row r="51" ht="17" customHeight="1">
      <x:c r="A51" s="1"/>
      <x:c r="B51" s="1"/>
      <x:c r="C51" s="1"/>
      <x:c r="D51" s="10"/>
      <x:c r="E51" s="10"/>
      <x:c r="F51" s="10"/>
      <x:c r="G51" s="10"/>
      <x:c r="H51" s="10"/>
      <x:c r="I51" s="10"/>
      <x:c r="J51" s="10"/>
      <x:c r="K51" s="10"/>
      <x:c r="L51" s="10"/>
      <x:c r="M51" s="10"/>
      <x:c r="N51" s="10"/>
      <x:c r="O51" s="10"/>
      <x:c r="P51" s="10"/>
      <x:c r="Q51" s="10"/>
      <x:c r="R51" s="10"/>
      <x:c r="S51" s="10"/>
      <x:c r="T51" s="10"/>
      <x:c r="U51" s="10"/>
      <x:c r="V51" s="10"/>
      <x:c r="W51" s="10"/>
    </x:row>
    <x:row r="52" ht="17" customHeight="1">
      <x:c r="A52" s="1"/>
      <x:c r="B52" s="1"/>
      <x:c r="C52" s="1"/>
      <x:c r="D52" s="10"/>
      <x:c r="E52" s="10"/>
      <x:c r="F52" s="10"/>
      <x:c r="G52" s="10"/>
      <x:c r="H52" s="10"/>
      <x:c r="I52" s="10"/>
      <x:c r="J52" s="10"/>
      <x:c r="K52" s="10"/>
      <x:c r="L52" s="10"/>
      <x:c r="M52" s="10"/>
      <x:c r="N52" s="10"/>
      <x:c r="O52" s="10"/>
      <x:c r="P52" s="10"/>
      <x:c r="Q52" s="10"/>
      <x:c r="R52" s="10"/>
      <x:c r="S52" s="10"/>
      <x:c r="T52" s="10"/>
      <x:c r="U52" s="10"/>
      <x:c r="V52" s="10"/>
      <x:c r="W52" s="10"/>
    </x:row>
    <x:row r="53" ht="17" customHeight="1">
      <x:c r="A53" s="1"/>
      <x:c r="B53" s="1"/>
      <x:c r="C53" s="1"/>
      <x:c r="D53" s="10"/>
      <x:c r="E53" s="10"/>
      <x:c r="F53" s="10"/>
      <x:c r="G53" s="10"/>
      <x:c r="H53" s="10"/>
      <x:c r="I53" s="10"/>
      <x:c r="J53" s="10"/>
      <x:c r="K53" s="10"/>
      <x:c r="L53" s="10"/>
      <x:c r="M53" s="10"/>
      <x:c r="N53" s="10"/>
      <x:c r="O53" s="10"/>
      <x:c r="P53" s="10"/>
      <x:c r="Q53" s="10"/>
      <x:c r="R53" s="10"/>
      <x:c r="S53" s="10"/>
      <x:c r="T53" s="10"/>
      <x:c r="U53" s="10"/>
      <x:c r="V53" s="10"/>
      <x:c r="W53" s="10"/>
    </x:row>
    <x:row r="54" ht="17" customHeight="1">
      <x:c r="A54" s="1"/>
      <x:c r="B54" s="1"/>
      <x:c r="C54" s="1"/>
      <x:c r="D54" s="10"/>
      <x:c r="E54" s="10"/>
      <x:c r="F54" s="10"/>
      <x:c r="G54" s="10"/>
      <x:c r="H54" s="10"/>
      <x:c r="I54" s="10"/>
      <x:c r="J54" s="10"/>
      <x:c r="K54" s="10"/>
      <x:c r="L54" s="10"/>
      <x:c r="M54" s="10"/>
      <x:c r="N54" s="10"/>
      <x:c r="O54" s="10"/>
      <x:c r="P54" s="10"/>
      <x:c r="Q54" s="10"/>
      <x:c r="R54" s="10"/>
      <x:c r="S54" s="10"/>
      <x:c r="T54" s="10"/>
      <x:c r="U54" s="10"/>
      <x:c r="V54" s="10"/>
      <x:c r="W54" s="10"/>
    </x:row>
    <x:row r="55" ht="17" customHeight="1">
      <x:c r="A55" s="1"/>
      <x:c r="B55" s="1"/>
      <x:c r="C55" s="1"/>
      <x:c r="D55" s="10"/>
      <x:c r="E55" s="10"/>
      <x:c r="F55" s="10"/>
      <x:c r="G55" s="10"/>
      <x:c r="H55" s="10"/>
      <x:c r="I55" s="10"/>
      <x:c r="J55" s="10"/>
      <x:c r="K55" s="10"/>
      <x:c r="L55" s="10"/>
      <x:c r="M55" s="10"/>
      <x:c r="N55" s="10"/>
      <x:c r="O55" s="10"/>
      <x:c r="P55" s="10"/>
      <x:c r="Q55" s="10"/>
      <x:c r="R55" s="10"/>
      <x:c r="S55" s="10"/>
      <x:c r="T55" s="10"/>
      <x:c r="U55" s="10"/>
      <x:c r="V55" s="10"/>
      <x:c r="W55" s="10"/>
    </x:row>
    <x:row r="56" ht="17" customHeight="1">
      <x:c r="A56" s="1"/>
      <x:c r="B56" s="1"/>
      <x:c r="C56" s="1"/>
      <x:c r="D56" s="10"/>
      <x:c r="E56" s="10"/>
      <x:c r="F56" s="10"/>
      <x:c r="G56" s="10"/>
      <x:c r="H56" s="10"/>
      <x:c r="I56" s="10"/>
      <x:c r="J56" s="10"/>
      <x:c r="K56" s="10"/>
      <x:c r="L56" s="10"/>
      <x:c r="M56" s="10"/>
      <x:c r="N56" s="10"/>
      <x:c r="O56" s="10"/>
      <x:c r="P56" s="10"/>
      <x:c r="Q56" s="10"/>
      <x:c r="R56" s="10"/>
      <x:c r="S56" s="10"/>
      <x:c r="T56" s="10"/>
      <x:c r="U56" s="10"/>
      <x:c r="V56" s="10"/>
      <x:c r="W56" s="10"/>
    </x:row>
    <x:row r="57" ht="17" customHeight="1">
      <x:c r="A57" s="1"/>
      <x:c r="B57" s="1"/>
      <x:c r="C57" s="1"/>
      <x:c r="D57" s="10"/>
      <x:c r="E57" s="10"/>
      <x:c r="F57" s="10"/>
      <x:c r="G57" s="10"/>
      <x:c r="H57" s="10"/>
      <x:c r="I57" s="10"/>
      <x:c r="J57" s="10"/>
      <x:c r="K57" s="10"/>
      <x:c r="L57" s="10"/>
      <x:c r="M57" s="10"/>
      <x:c r="N57" s="10"/>
      <x:c r="O57" s="10"/>
      <x:c r="P57" s="10"/>
      <x:c r="Q57" s="10"/>
      <x:c r="R57" s="10"/>
      <x:c r="S57" s="10"/>
      <x:c r="T57" s="10"/>
      <x:c r="U57" s="10"/>
      <x:c r="V57" s="10"/>
      <x:c r="W57" s="10"/>
    </x:row>
    <x:row r="58" ht="17" customHeight="1">
      <x:c r="A58" s="1"/>
      <x:c r="B58" s="1"/>
      <x:c r="C58" s="1"/>
      <x:c r="D58" s="10"/>
      <x:c r="E58" s="10"/>
      <x:c r="F58" s="10"/>
      <x:c r="G58" s="10"/>
      <x:c r="H58" s="10"/>
      <x:c r="I58" s="10"/>
      <x:c r="J58" s="10"/>
      <x:c r="K58" s="10"/>
      <x:c r="L58" s="10"/>
      <x:c r="M58" s="10"/>
      <x:c r="N58" s="10"/>
      <x:c r="O58" s="10"/>
      <x:c r="P58" s="10"/>
      <x:c r="Q58" s="10"/>
      <x:c r="R58" s="10"/>
      <x:c r="S58" s="10"/>
      <x:c r="T58" s="10"/>
      <x:c r="U58" s="10"/>
      <x:c r="V58" s="10"/>
      <x:c r="W58" s="10"/>
    </x:row>
    <x:row r="59" ht="17" customHeight="1">
      <x:c r="A59" s="1"/>
      <x:c r="B59" s="1"/>
      <x:c r="C59" s="1"/>
      <x:c r="D59" s="10"/>
      <x:c r="E59" s="10"/>
      <x:c r="F59" s="10"/>
      <x:c r="G59" s="10"/>
      <x:c r="H59" s="10"/>
      <x:c r="I59" s="10"/>
      <x:c r="J59" s="10"/>
      <x:c r="K59" s="10"/>
      <x:c r="L59" s="10"/>
      <x:c r="M59" s="10"/>
      <x:c r="N59" s="10"/>
      <x:c r="O59" s="10"/>
      <x:c r="P59" s="10"/>
      <x:c r="Q59" s="10"/>
      <x:c r="R59" s="10"/>
      <x:c r="S59" s="10"/>
      <x:c r="T59" s="10"/>
      <x:c r="U59" s="10"/>
      <x:c r="V59" s="10"/>
      <x:c r="W59" s="10"/>
    </x:row>
    <x:row r="60" ht="17" customHeight="1">
      <x:c r="A60" s="1"/>
      <x:c r="B60" s="1"/>
      <x:c r="C60" s="1"/>
      <x:c r="D60" s="10"/>
      <x:c r="E60" s="10"/>
      <x:c r="F60" s="10"/>
      <x:c r="G60" s="10"/>
      <x:c r="H60" s="10"/>
      <x:c r="I60" s="10"/>
      <x:c r="J60" s="10"/>
      <x:c r="K60" s="10"/>
      <x:c r="L60" s="10"/>
      <x:c r="M60" s="10"/>
      <x:c r="N60" s="10"/>
      <x:c r="O60" s="10"/>
      <x:c r="P60" s="10"/>
      <x:c r="Q60" s="10"/>
      <x:c r="R60" s="10"/>
      <x:c r="S60" s="10"/>
      <x:c r="T60" s="10"/>
      <x:c r="U60" s="10"/>
      <x:c r="V60" s="10"/>
      <x:c r="W60" s="10"/>
    </x:row>
    <x:row r="61" ht="17" customHeight="1">
      <x:c r="A61" s="1"/>
      <x:c r="B61" s="1"/>
      <x:c r="C61" s="1"/>
      <x:c r="D61" s="10"/>
      <x:c r="E61" s="10"/>
      <x:c r="F61" s="10"/>
      <x:c r="G61" s="10"/>
      <x:c r="H61" s="10"/>
      <x:c r="I61" s="10"/>
      <x:c r="J61" s="10"/>
      <x:c r="K61" s="10"/>
      <x:c r="L61" s="10"/>
      <x:c r="M61" s="10"/>
      <x:c r="N61" s="10"/>
      <x:c r="O61" s="10"/>
      <x:c r="P61" s="10"/>
      <x:c r="Q61" s="10"/>
      <x:c r="R61" s="10"/>
      <x:c r="S61" s="10"/>
      <x:c r="T61" s="10"/>
      <x:c r="U61" s="10"/>
      <x:c r="V61" s="10"/>
      <x:c r="W61" s="10"/>
    </x:row>
    <x:row r="62" ht="17" customHeight="1">
      <x:c r="A62" s="1"/>
      <x:c r="B62" s="1"/>
      <x:c r="C62" s="1"/>
      <x:c r="D62" s="10"/>
      <x:c r="E62" s="10"/>
      <x:c r="F62" s="10"/>
      <x:c r="G62" s="10"/>
      <x:c r="H62" s="10"/>
      <x:c r="I62" s="10"/>
      <x:c r="J62" s="10"/>
      <x:c r="K62" s="10"/>
      <x:c r="L62" s="10"/>
      <x:c r="M62" s="10"/>
      <x:c r="N62" s="10"/>
      <x:c r="O62" s="10"/>
      <x:c r="P62" s="10"/>
      <x:c r="Q62" s="10"/>
      <x:c r="R62" s="10"/>
      <x:c r="S62" s="10"/>
      <x:c r="T62" s="10"/>
      <x:c r="U62" s="10"/>
      <x:c r="V62" s="10"/>
      <x:c r="W62" s="10"/>
    </x:row>
    <x:row r="63" ht="17" customHeight="1">
      <x:c r="A63" s="1"/>
      <x:c r="B63" s="1"/>
      <x:c r="C63" s="1"/>
      <x:c r="D63" s="10"/>
      <x:c r="E63" s="10"/>
      <x:c r="F63" s="10"/>
      <x:c r="G63" s="10"/>
      <x:c r="H63" s="10"/>
      <x:c r="I63" s="10"/>
      <x:c r="J63" s="10"/>
      <x:c r="K63" s="10"/>
      <x:c r="L63" s="10"/>
      <x:c r="M63" s="10"/>
      <x:c r="N63" s="10"/>
      <x:c r="O63" s="10"/>
      <x:c r="P63" s="10"/>
      <x:c r="Q63" s="10"/>
      <x:c r="R63" s="10"/>
      <x:c r="S63" s="10"/>
      <x:c r="T63" s="10"/>
      <x:c r="U63" s="10"/>
      <x:c r="V63" s="10"/>
      <x:c r="W63" s="10"/>
    </x:row>
    <x:row r="64" ht="17" customHeight="1">
      <x:c r="A64" s="1"/>
      <x:c r="B64" s="1"/>
      <x:c r="C64" s="1"/>
      <x:c r="D64" s="10"/>
      <x:c r="E64" s="10"/>
      <x:c r="F64" s="10"/>
      <x:c r="G64" s="10"/>
      <x:c r="H64" s="10"/>
      <x:c r="I64" s="10"/>
      <x:c r="J64" s="10"/>
      <x:c r="K64" s="10"/>
      <x:c r="L64" s="10"/>
      <x:c r="M64" s="10"/>
      <x:c r="N64" s="10"/>
      <x:c r="O64" s="10"/>
      <x:c r="P64" s="10"/>
      <x:c r="Q64" s="10"/>
      <x:c r="R64" s="10"/>
      <x:c r="S64" s="10"/>
      <x:c r="T64" s="10"/>
      <x:c r="U64" s="10"/>
      <x:c r="V64" s="10"/>
      <x:c r="W64" s="10"/>
    </x:row>
    <x:row r="65" ht="17" customHeight="1">
      <x:c r="A65" s="1"/>
      <x:c r="B65" s="1"/>
      <x:c r="C65" s="1"/>
      <x:c r="D65" s="10"/>
      <x:c r="E65" s="10"/>
      <x:c r="F65" s="10"/>
      <x:c r="G65" s="10"/>
      <x:c r="H65" s="10"/>
      <x:c r="I65" s="10"/>
      <x:c r="J65" s="10"/>
      <x:c r="K65" s="10"/>
      <x:c r="L65" s="10"/>
      <x:c r="M65" s="10"/>
      <x:c r="N65" s="10"/>
      <x:c r="O65" s="10"/>
      <x:c r="P65" s="10"/>
      <x:c r="Q65" s="10"/>
      <x:c r="R65" s="10"/>
      <x:c r="S65" s="10"/>
      <x:c r="T65" s="10"/>
      <x:c r="U65" s="10"/>
      <x:c r="V65" s="10"/>
      <x:c r="W65" s="10"/>
    </x:row>
    <x:row r="66" ht="17" customHeight="1">
      <x:c r="A66" s="1"/>
      <x:c r="B66" s="1"/>
      <x:c r="C66" s="1"/>
      <x:c r="D66" s="10"/>
      <x:c r="E66" s="10"/>
      <x:c r="F66" s="10"/>
      <x:c r="G66" s="10"/>
      <x:c r="H66" s="10"/>
      <x:c r="I66" s="10"/>
      <x:c r="J66" s="10"/>
      <x:c r="K66" s="10"/>
      <x:c r="L66" s="10"/>
      <x:c r="M66" s="10"/>
      <x:c r="N66" s="10"/>
      <x:c r="O66" s="10"/>
      <x:c r="P66" s="10"/>
      <x:c r="Q66" s="10"/>
      <x:c r="R66" s="10"/>
      <x:c r="S66" s="10"/>
      <x:c r="T66" s="10"/>
      <x:c r="U66" s="10"/>
      <x:c r="V66" s="10"/>
      <x:c r="W66" s="10"/>
    </x:row>
    <x:row r="67" ht="17" customHeight="1">
      <x:c r="A67" s="1"/>
      <x:c r="B67" s="1"/>
      <x:c r="C67" s="1"/>
      <x:c r="D67" s="10"/>
      <x:c r="E67" s="10"/>
      <x:c r="F67" s="10"/>
      <x:c r="G67" s="10"/>
      <x:c r="H67" s="10"/>
      <x:c r="I67" s="10"/>
      <x:c r="J67" s="10"/>
      <x:c r="K67" s="10"/>
      <x:c r="L67" s="10"/>
      <x:c r="M67" s="10"/>
      <x:c r="N67" s="10"/>
      <x:c r="O67" s="10"/>
      <x:c r="P67" s="10"/>
      <x:c r="Q67" s="10"/>
      <x:c r="R67" s="10"/>
      <x:c r="S67" s="10"/>
      <x:c r="T67" s="10"/>
      <x:c r="U67" s="10"/>
      <x:c r="V67" s="10"/>
      <x:c r="W67" s="10"/>
    </x:row>
    <x:row r="68" ht="17" customHeight="1">
      <x:c r="A68" s="1"/>
      <x:c r="B68" s="1"/>
      <x:c r="C68" s="1"/>
      <x:c r="D68" s="10"/>
      <x:c r="E68" s="10"/>
      <x:c r="F68" s="10"/>
      <x:c r="G68" s="10"/>
      <x:c r="H68" s="10"/>
      <x:c r="I68" s="10"/>
      <x:c r="J68" s="10"/>
      <x:c r="K68" s="10"/>
      <x:c r="L68" s="10"/>
      <x:c r="M68" s="10"/>
      <x:c r="N68" s="10"/>
      <x:c r="O68" s="10"/>
      <x:c r="P68" s="10"/>
      <x:c r="Q68" s="10"/>
      <x:c r="R68" s="10"/>
      <x:c r="S68" s="10"/>
      <x:c r="T68" s="10"/>
      <x:c r="U68" s="10"/>
      <x:c r="V68" s="10"/>
      <x:c r="W68" s="10"/>
    </x:row>
    <x:row r="69" ht="17" customHeight="1">
      <x:c r="A69" s="1"/>
      <x:c r="B69" s="1"/>
      <x:c r="C69" s="1"/>
      <x:c r="D69" s="10"/>
      <x:c r="E69" s="10"/>
      <x:c r="F69" s="10"/>
      <x:c r="G69" s="10"/>
      <x:c r="H69" s="10"/>
      <x:c r="I69" s="10"/>
      <x:c r="J69" s="10"/>
      <x:c r="K69" s="10"/>
      <x:c r="L69" s="10"/>
      <x:c r="M69" s="10"/>
      <x:c r="N69" s="10"/>
      <x:c r="O69" s="10"/>
      <x:c r="P69" s="10"/>
      <x:c r="Q69" s="10"/>
      <x:c r="R69" s="10"/>
      <x:c r="S69" s="10"/>
      <x:c r="T69" s="10"/>
      <x:c r="U69" s="10"/>
      <x:c r="V69" s="10"/>
      <x:c r="W69" s="10"/>
    </x:row>
    <x:row r="70" ht="17" customHeight="1">
      <x:c r="A70" s="1"/>
      <x:c r="B70" s="1"/>
      <x:c r="C70" s="1"/>
      <x:c r="D70" s="10"/>
      <x:c r="E70" s="10"/>
      <x:c r="F70" s="10"/>
      <x:c r="G70" s="10"/>
      <x:c r="H70" s="10"/>
      <x:c r="I70" s="10"/>
      <x:c r="J70" s="10"/>
      <x:c r="K70" s="10"/>
      <x:c r="L70" s="10"/>
      <x:c r="M70" s="10"/>
      <x:c r="N70" s="10"/>
      <x:c r="O70" s="10"/>
      <x:c r="P70" s="10"/>
      <x:c r="Q70" s="10"/>
      <x:c r="R70" s="10"/>
      <x:c r="S70" s="10"/>
      <x:c r="T70" s="10"/>
      <x:c r="U70" s="10"/>
      <x:c r="V70" s="10"/>
      <x:c r="W70" s="10"/>
    </x:row>
    <x:row r="71" ht="17" customHeight="1">
      <x:c r="A71" s="1"/>
      <x:c r="B71" s="1"/>
      <x:c r="C71" s="1"/>
      <x:c r="D71" s="10"/>
      <x:c r="E71" s="10"/>
      <x:c r="F71" s="10"/>
      <x:c r="G71" s="10"/>
      <x:c r="H71" s="10"/>
      <x:c r="I71" s="10"/>
      <x:c r="J71" s="10"/>
      <x:c r="K71" s="10"/>
      <x:c r="L71" s="10"/>
      <x:c r="M71" s="10"/>
      <x:c r="N71" s="10"/>
      <x:c r="O71" s="10"/>
      <x:c r="P71" s="10"/>
      <x:c r="Q71" s="10"/>
      <x:c r="R71" s="10"/>
      <x:c r="S71" s="10"/>
      <x:c r="T71" s="10"/>
      <x:c r="U71" s="10"/>
      <x:c r="V71" s="10"/>
      <x:c r="W71" s="10"/>
    </x:row>
    <x:row r="72" ht="17" customHeight="1">
      <x:c r="A72" s="1"/>
      <x:c r="B72" s="1"/>
      <x:c r="C72" s="1"/>
      <x:c r="D72" s="10"/>
      <x:c r="E72" s="10"/>
      <x:c r="F72" s="10"/>
      <x:c r="G72" s="10"/>
      <x:c r="H72" s="10"/>
      <x:c r="I72" s="10"/>
      <x:c r="J72" s="10"/>
      <x:c r="K72" s="10"/>
      <x:c r="L72" s="10"/>
      <x:c r="M72" s="10"/>
      <x:c r="N72" s="10"/>
      <x:c r="O72" s="10"/>
      <x:c r="P72" s="10"/>
      <x:c r="Q72" s="10"/>
      <x:c r="R72" s="10"/>
      <x:c r="S72" s="10"/>
      <x:c r="T72" s="10"/>
      <x:c r="U72" s="10"/>
      <x:c r="V72" s="10"/>
      <x:c r="W72" s="10"/>
    </x:row>
    <x:row r="73" ht="17" customHeight="1">
      <x:c r="A73" s="1"/>
      <x:c r="B73" s="1"/>
      <x:c r="C73" s="1"/>
      <x:c r="D73" s="10"/>
      <x:c r="E73" s="10"/>
      <x:c r="F73" s="10"/>
      <x:c r="G73" s="10"/>
      <x:c r="H73" s="10"/>
      <x:c r="I73" s="10"/>
      <x:c r="J73" s="10"/>
      <x:c r="K73" s="10"/>
      <x:c r="L73" s="10"/>
      <x:c r="M73" s="10"/>
      <x:c r="N73" s="10"/>
      <x:c r="O73" s="10"/>
      <x:c r="P73" s="10"/>
      <x:c r="Q73" s="10"/>
      <x:c r="R73" s="10"/>
      <x:c r="S73" s="10"/>
      <x:c r="T73" s="10"/>
      <x:c r="U73" s="10"/>
      <x:c r="V73" s="10"/>
      <x:c r="W73" s="10"/>
    </x:row>
    <x:row r="74" ht="17" customHeight="1">
      <x:c r="A74" s="1"/>
      <x:c r="B74" s="1"/>
      <x:c r="C74" s="1"/>
      <x:c r="D74" s="10"/>
      <x:c r="E74" s="10"/>
      <x:c r="F74" s="10"/>
      <x:c r="G74" s="10"/>
      <x:c r="H74" s="10"/>
      <x:c r="I74" s="10"/>
      <x:c r="J74" s="10"/>
      <x:c r="K74" s="10"/>
      <x:c r="L74" s="10"/>
      <x:c r="M74" s="10"/>
      <x:c r="N74" s="10"/>
      <x:c r="O74" s="10"/>
      <x:c r="P74" s="10"/>
      <x:c r="Q74" s="10"/>
      <x:c r="R74" s="10"/>
      <x:c r="S74" s="10"/>
      <x:c r="T74" s="10"/>
      <x:c r="U74" s="10"/>
      <x:c r="V74" s="10"/>
      <x:c r="W74" s="10"/>
    </x:row>
    <x:row r="75" ht="17" customHeight="1">
      <x:c r="A75" s="1"/>
      <x:c r="B75" s="1"/>
      <x:c r="C75" s="1"/>
      <x:c r="D75" s="10"/>
      <x:c r="E75" s="10"/>
      <x:c r="F75" s="10"/>
      <x:c r="G75" s="10"/>
      <x:c r="H75" s="10"/>
      <x:c r="I75" s="10"/>
      <x:c r="J75" s="10"/>
      <x:c r="K75" s="10"/>
      <x:c r="L75" s="10"/>
      <x:c r="M75" s="10"/>
      <x:c r="N75" s="10"/>
      <x:c r="O75" s="10"/>
      <x:c r="P75" s="10"/>
      <x:c r="Q75" s="10"/>
      <x:c r="R75" s="10"/>
      <x:c r="S75" s="10"/>
      <x:c r="T75" s="10"/>
      <x:c r="U75" s="10"/>
      <x:c r="V75" s="10"/>
      <x:c r="W75" s="10"/>
    </x:row>
    <x:row r="76" ht="17" customHeight="1">
      <x:c r="A76" s="1"/>
      <x:c r="B76" s="1"/>
      <x:c r="C76" s="1"/>
      <x:c r="D76" s="10"/>
      <x:c r="E76" s="10"/>
      <x:c r="F76" s="10"/>
      <x:c r="G76" s="10"/>
      <x:c r="H76" s="10"/>
      <x:c r="I76" s="10"/>
      <x:c r="J76" s="10"/>
      <x:c r="K76" s="10"/>
      <x:c r="L76" s="10"/>
      <x:c r="M76" s="10"/>
      <x:c r="N76" s="10"/>
      <x:c r="O76" s="10"/>
      <x:c r="P76" s="10"/>
      <x:c r="Q76" s="10"/>
      <x:c r="R76" s="10"/>
      <x:c r="S76" s="10"/>
      <x:c r="T76" s="10"/>
      <x:c r="U76" s="10"/>
      <x:c r="V76" s="10"/>
      <x:c r="W76" s="10"/>
    </x:row>
    <x:row r="77" ht="17" customHeight="1">
      <x:c r="A77" s="1"/>
      <x:c r="B77" s="1"/>
      <x:c r="C77" s="1"/>
      <x:c r="D77" s="10"/>
      <x:c r="E77" s="10"/>
      <x:c r="F77" s="10"/>
      <x:c r="G77" s="10"/>
      <x:c r="H77" s="10"/>
      <x:c r="I77" s="10"/>
      <x:c r="J77" s="10"/>
      <x:c r="K77" s="10"/>
      <x:c r="L77" s="10"/>
      <x:c r="M77" s="10"/>
      <x:c r="N77" s="10"/>
      <x:c r="O77" s="10"/>
      <x:c r="P77" s="10"/>
      <x:c r="Q77" s="10"/>
      <x:c r="R77" s="10"/>
      <x:c r="S77" s="10"/>
      <x:c r="T77" s="10"/>
      <x:c r="U77" s="10"/>
      <x:c r="V77" s="10"/>
      <x:c r="W77" s="10"/>
    </x:row>
    <x:row r="78" ht="17" customHeight="1">
      <x:c r="A78" s="1"/>
      <x:c r="B78" s="1"/>
      <x:c r="C78" s="1"/>
      <x:c r="D78" s="10"/>
      <x:c r="E78" s="10"/>
      <x:c r="F78" s="10"/>
      <x:c r="G78" s="10"/>
      <x:c r="H78" s="10"/>
      <x:c r="I78" s="10"/>
      <x:c r="J78" s="10"/>
      <x:c r="K78" s="10"/>
      <x:c r="L78" s="10"/>
      <x:c r="M78" s="10"/>
      <x:c r="N78" s="10"/>
      <x:c r="O78" s="10"/>
      <x:c r="P78" s="10"/>
      <x:c r="Q78" s="10"/>
      <x:c r="R78" s="10"/>
      <x:c r="S78" s="10"/>
      <x:c r="T78" s="10"/>
      <x:c r="U78" s="10"/>
      <x:c r="V78" s="10"/>
      <x:c r="W78" s="10"/>
    </x:row>
    <x:row r="79" ht="17" customHeight="1">
      <x:c r="A79" s="1"/>
      <x:c r="B79" s="1"/>
      <x:c r="C79" s="1"/>
      <x:c r="D79" s="10"/>
      <x:c r="E79" s="10"/>
      <x:c r="F79" s="10"/>
      <x:c r="G79" s="10"/>
      <x:c r="H79" s="10"/>
      <x:c r="I79" s="10"/>
      <x:c r="J79" s="10"/>
      <x:c r="K79" s="10"/>
      <x:c r="L79" s="10"/>
      <x:c r="M79" s="10"/>
      <x:c r="N79" s="10"/>
      <x:c r="O79" s="10"/>
      <x:c r="P79" s="10"/>
      <x:c r="Q79" s="10"/>
      <x:c r="R79" s="10"/>
      <x:c r="S79" s="10"/>
      <x:c r="T79" s="10"/>
      <x:c r="U79" s="10"/>
      <x:c r="V79" s="10"/>
      <x:c r="W79" s="10"/>
    </x:row>
    <x:row r="80" ht="17" customHeight="1">
      <x:c r="A80" s="1"/>
      <x:c r="B80" s="1"/>
      <x:c r="C80" s="1"/>
      <x:c r="D80" s="10"/>
      <x:c r="E80" s="10"/>
      <x:c r="F80" s="10"/>
      <x:c r="G80" s="10"/>
      <x:c r="H80" s="10"/>
      <x:c r="I80" s="10"/>
      <x:c r="J80" s="10"/>
      <x:c r="K80" s="10"/>
      <x:c r="L80" s="10"/>
      <x:c r="M80" s="10"/>
      <x:c r="N80" s="10"/>
      <x:c r="O80" s="10"/>
      <x:c r="P80" s="10"/>
      <x:c r="Q80" s="10"/>
      <x:c r="R80" s="10"/>
      <x:c r="S80" s="10"/>
      <x:c r="T80" s="10"/>
      <x:c r="U80" s="10"/>
      <x:c r="V80" s="10"/>
      <x:c r="W80" s="10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58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</x:cols>
  <x:sheetData>
    <x:row r="1" ht="17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17" customHeight="1">
      <x:c r="A2" s="1"/>
      <x:c r="B2" s="1"/>
      <x:c r="C2" s="2" t="str">
        <x:v>Cash flow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</x:row>
    <x:row r="3" ht="17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</x:row>
    <x:row r="4" ht="17" customHeight="1">
      <x:c r="A4" s="1"/>
      <x:c r="B4" s="1"/>
      <x:c r="C4" s="1" t="str">
        <x:v>Conditional Dot target. USD. Assumed opening balances, not an actual enterprise ledger.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17" customHeight="1">
      <x:c r="A5" s="1"/>
      <x:c r="B5" s="1"/>
      <x:c r="C5" s="29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17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28" customHeight="1">
      <x:c r="A7" s="1"/>
      <x:c r="B7" s="1"/>
      <x:c r="C7" s="13" t="str">
        <x:v>Cash-flow statement</x:v>
      </x:c>
      <x:c r="D7" s="13" t="str">
        <x:v>Year 1</x:v>
      </x:c>
      <x:c r="E7" s="13" t="str">
        <x:v>Year 2</x:v>
      </x:c>
      <x:c r="F7" s="13" t="str">
        <x:v>Year 3</x:v>
      </x:c>
      <x:c r="G7" s="13" t="str">
        <x:v>Year 4</x:v>
      </x:c>
      <x:c r="H7" s="13" t="str">
        <x:v>Year 5</x:v>
      </x:c>
      <x:c r="I7" s="13" t="str">
        <x:v>Year 6</x:v>
      </x:c>
      <x:c r="J7" s="13" t="str">
        <x:v>Year 7</x:v>
      </x:c>
      <x:c r="K7" s="13" t="str">
        <x:v>Year 8</x:v>
      </x:c>
      <x:c r="L7" s="13" t="str">
        <x:v>Year 9</x:v>
      </x:c>
      <x:c r="M7" s="13" t="str">
        <x:v>Year 10</x:v>
      </x:c>
      <x:c r="N7" s="13" t="str">
        <x:v>Year 11</x:v>
      </x:c>
      <x:c r="O7" s="13" t="str">
        <x:v>Year 12</x:v>
      </x:c>
      <x:c r="P7" s="13" t="str">
        <x:v>Year 13</x:v>
      </x:c>
      <x:c r="Q7" s="13" t="str">
        <x:v>Year 14</x:v>
      </x:c>
      <x:c r="R7" s="13" t="str">
        <x:v>Year 15</x:v>
      </x:c>
      <x:c r="S7" s="13" t="str">
        <x:v>Year 16</x:v>
      </x:c>
      <x:c r="T7" s="13" t="str">
        <x:v>Year 17</x:v>
      </x:c>
      <x:c r="U7" s="13" t="str">
        <x:v>Year 18</x:v>
      </x:c>
      <x:c r="V7" s="13" t="str">
        <x:v>Year 19</x:v>
      </x:c>
      <x:c r="W7" s="13" t="str">
        <x:v>Year 20</x:v>
      </x:c>
    </x:row>
    <x:row r="8" ht="17" customHeight="1">
      <x:c r="A8" s="1"/>
      <x:c r="B8" s="1"/>
      <x:c r="C8" s="1" t="str">
        <x:v>Net income / (loss)</x:v>
      </x:c>
      <x:c r="D8" s="10" t="n">
        <x:f>'Income statement'!D86</x:f>
        <x:v>285425.20302411105</x:v>
      </x:c>
      <x:c r="E8" s="10" t="n">
        <x:f>'Income statement'!E86</x:f>
        <x:v>405563.3645748701</x:v>
      </x:c>
      <x:c r="F8" s="10" t="n">
        <x:f>'Income statement'!F86</x:f>
        <x:v>491321.89028612745</x:v>
      </x:c>
      <x:c r="G8" s="10" t="n">
        <x:f>'Income statement'!G86</x:f>
        <x:v>570128.3132481711</x:v>
      </x:c>
      <x:c r="H8" s="10" t="n">
        <x:f>'Income statement'!H86</x:f>
        <x:v>651980.4189105856</x:v>
      </x:c>
      <x:c r="I8" s="10" t="n">
        <x:f>'Income statement'!I86</x:f>
        <x:v>700118.8801825757</x:v>
      </x:c>
      <x:c r="J8" s="10" t="n">
        <x:f>'Income statement'!J86</x:f>
        <x:v>734274.5634322519</x:v>
      </x:c>
      <x:c r="K8" s="10" t="n">
        <x:f>'Income statement'!K86</x:f>
        <x:v>761873.3337188205</x:v>
      </x:c>
      <x:c r="L8" s="10" t="n">
        <x:f>'Income statement'!L86</x:f>
        <x:v>785966.8394573693</x:v>
      </x:c>
      <x:c r="M8" s="10" t="n">
        <x:f>'Income statement'!M86</x:f>
        <x:v>807949.8691335758</x:v>
      </x:c>
      <x:c r="N8" s="10" t="n">
        <x:f>'Income statement'!N86</x:f>
        <x:v>828645.282326001</x:v>
      </x:c>
      <x:c r="O8" s="10" t="n">
        <x:f>'Income statement'!O86</x:f>
        <x:v>848390.1592217835</x:v>
      </x:c>
      <x:c r="P8" s="10" t="n">
        <x:f>'Income statement'!P86</x:f>
        <x:v>867330.3452736663</x:v>
      </x:c>
      <x:c r="Q8" s="10" t="n">
        <x:f>'Income statement'!Q86</x:f>
        <x:v>885639.7590603516</x:v>
      </x:c>
      <x:c r="R8" s="10" t="n">
        <x:f>'Income statement'!R86</x:f>
        <x:v>903288.1535865595</x:v>
      </x:c>
      <x:c r="S8" s="10" t="n">
        <x:f>'Income statement'!S86</x:f>
        <x:v>920195.7902934733</x:v>
      </x:c>
      <x:c r="T8" s="10" t="n">
        <x:f>'Income statement'!T86</x:f>
        <x:v>936399.5069058081</x:v>
      </x:c>
      <x:c r="U8" s="10" t="n">
        <x:f>'Income statement'!U86</x:f>
        <x:v>951761.4485125559</x:v>
      </x:c>
      <x:c r="V8" s="10" t="n">
        <x:f>'Income statement'!V86</x:f>
        <x:v>966117.8340115855</x:v>
      </x:c>
      <x:c r="W8" s="10" t="n">
        <x:f>'Income statement'!W86</x:f>
        <x:v>979448.9319412527</x:v>
      </x:c>
    </x:row>
    <x:row r="9" ht="17" customHeight="1">
      <x:c r="A9" s="1"/>
      <x:c r="B9" s="1"/>
      <x:c r="C9" s="1" t="str">
        <x:v>Add: depreciation</x:v>
      </x:c>
      <x:c r="D9" s="10" t="n">
        <x:f>'Cash and capital'!D18</x:f>
        <x:v>500</x:v>
      </x:c>
      <x:c r="E9" s="10" t="n">
        <x:f>'Cash and capital'!E18</x:f>
        <x:v>500</x:v>
      </x:c>
      <x:c r="F9" s="10" t="n">
        <x:f>'Cash and capital'!F18</x:f>
        <x:v>500</x:v>
      </x:c>
      <x:c r="G9" s="10" t="n">
        <x:f>'Cash and capital'!G18</x:f>
        <x:v>546.3635</x:v>
      </x:c>
      <x:c r="H9" s="10" t="n">
        <x:f>'Cash and capital'!H18</x:f>
        <x:v>546.3635</x:v>
      </x:c>
      <x:c r="I9" s="10" t="n">
        <x:f>'Cash and capital'!I18</x:f>
        <x:v>546.3635</x:v>
      </x:c>
      <x:c r="J9" s="10" t="n">
        <x:f>'Cash and capital'!J18</x:f>
        <x:v>597.0261482645001</x:v>
      </x:c>
      <x:c r="K9" s="10" t="n">
        <x:f>'Cash and capital'!K18</x:f>
        <x:v>597.0261482645001</x:v>
      </x:c>
      <x:c r="L9" s="10" t="n">
        <x:f>'Cash and capital'!L18</x:f>
        <x:v>597.0261482645001</x:v>
      </x:c>
      <x:c r="M9" s="10" t="n">
        <x:f>'Cash and capital'!M18</x:f>
        <x:v>652.3865919146225</x:v>
      </x:c>
      <x:c r="N9" s="10" t="n">
        <x:f>'Cash and capital'!N18</x:f>
        <x:v>652.3865919146225</x:v>
      </x:c>
      <x:c r="O9" s="10" t="n">
        <x:f>'Cash and capital'!O18</x:f>
        <x:v>652.3865919146225</x:v>
      </x:c>
      <x:c r="P9" s="10" t="n">
        <x:f>'Cash and capital'!P18</x:f>
        <x:v>712.8804434230897</x:v>
      </x:c>
      <x:c r="Q9" s="10" t="n">
        <x:f>'Cash and capital'!Q18</x:f>
        <x:v>712.8804434230897</x:v>
      </x:c>
      <x:c r="R9" s="10" t="n">
        <x:f>'Cash and capital'!R18</x:f>
        <x:v>712.8804434230897</x:v>
      </x:c>
      <x:c r="S9" s="10" t="n">
        <x:f>'Cash and capital'!S18</x:f>
        <x:v>778.9837083003825</x:v>
      </x:c>
      <x:c r="T9" s="10" t="n">
        <x:f>'Cash and capital'!T18</x:f>
        <x:v>778.9837083003825</x:v>
      </x:c>
      <x:c r="U9" s="10" t="n">
        <x:f>'Cash and capital'!U18</x:f>
        <x:v>778.9837083003825</x:v>
      </x:c>
      <x:c r="V9" s="10" t="n">
        <x:f>'Cash and capital'!V18</x:f>
        <x:v>851.2165306199522</x:v>
      </x:c>
      <x:c r="W9" s="10" t="n">
        <x:f>'Cash and capital'!W18</x:f>
        <x:v>851.2165306199522</x:v>
      </x:c>
    </x:row>
    <x:row r="10" ht="17" customHeight="1">
      <x:c r="A10" s="1"/>
      <x:c r="B10" s="1"/>
      <x:c r="C10" s="1" t="str">
        <x:v>Increase / (decrease) in receivables</x:v>
      </x:c>
      <x:c r="D10" s="10" t="n">
        <x:f>'Cash and capital'!D20</x:f>
        <x:v>62343.19333333334</x:v>
      </x:c>
      <x:c r="E10" s="10" t="n">
        <x:f>'Cash and capital'!E20-'Cash and capital'!D20</x:f>
        <x:v>-5151.0778473333485</x:v>
      </x:c>
      <x:c r="F10" s="10" t="n">
        <x:f>'Cash and capital'!F20-'Cash and capital'!E20</x:f>
        <x:v>10472.612845554002</x:v>
      </x:c>
      <x:c r="G10" s="10" t="n">
        <x:f>'Cash and capital'!G20-'Cash and capital'!F20</x:f>
        <x:v>9504.968401976133</x:v>
      </x:c>
      <x:c r="H10" s="10" t="n">
        <x:f>'Cash and capital'!H20-'Cash and capital'!G20</x:f>
        <x:v>9558.912392993807</x:v>
      </x:c>
      <x:c r="I10" s="10" t="n">
        <x:f>'Cash and capital'!I20-'Cash and capital'!H20</x:f>
        <x:v>6686.280132823333</x:v>
      </x:c>
      <x:c r="J10" s="10" t="n">
        <x:f>'Cash and capital'!J20-'Cash and capital'!I20</x:f>
        <x:v>5377.801164862773</x:v>
      </x:c>
      <x:c r="K10" s="10" t="n">
        <x:f>'Cash and capital'!K20-'Cash and capital'!J20</x:f>
        <x:v>4826.307579448359</x:v>
      </x:c>
      <x:c r="L10" s="10" t="n">
        <x:f>'Cash and capital'!L20-'Cash and capital'!K20</x:f>
        <x:v>4647.941378446805</x:v>
      </x:c>
      <x:c r="M10" s="10" t="n">
        <x:f>'Cash and capital'!M20-'Cash and capital'!L20</x:f>
        <x:v>4657.506710415852</x:v>
      </x:c>
      <x:c r="N10" s="10" t="n">
        <x:f>'Cash and capital'!N20-'Cash and capital'!M20</x:f>
        <x:v>4764.720818873684</x:v>
      </x:c>
      <x:c r="O10" s="10" t="n">
        <x:f>'Cash and capital'!O20-'Cash and capital'!N20</x:f>
        <x:v>4925.296069628603</x:v>
      </x:c>
      <x:c r="P10" s="10" t="n">
        <x:f>'Cash and capital'!P20-'Cash and capital'!O20</x:f>
        <x:v>5117.483242766728</x:v>
      </x:c>
      <x:c r="Q10" s="10" t="n">
        <x:f>'Cash and capital'!Q20-'Cash and capital'!P20</x:f>
        <x:v>5330.6740287263965</x:v>
      </x:c>
      <x:c r="R10" s="10" t="n">
        <x:f>'Cash and capital'!R20-'Cash and capital'!Q20</x:f>
        <x:v>5559.806821659091</x:v>
      </x:c>
      <x:c r="S10" s="10" t="n">
        <x:f>'Cash and capital'!S20-'Cash and capital'!R20</x:f>
        <x:v>5802.600211286539</x:v>
      </x:c>
      <x:c r="T10" s="10" t="n">
        <x:f>'Cash and capital'!T20-'Cash and capital'!S20</x:f>
        <x:v>6058.177422140085</x:v>
      </x:c>
      <x:c r="U10" s="10" t="n">
        <x:f>'Cash and capital'!U20-'Cash and capital'!T20</x:f>
        <x:v>6326.3798447491135</x:v>
      </x:c>
      <x:c r="V10" s="10" t="n">
        <x:f>'Cash and capital'!V20-'Cash and capital'!U20</x:f>
        <x:v>6607.423760171165</x:v>
      </x:c>
      <x:c r="W10" s="10" t="n">
        <x:f>'Cash and capital'!W20-'Cash and capital'!V20</x:f>
        <x:v>6901.7286614934565</x:v>
      </x:c>
    </x:row>
    <x:row r="11" ht="17" customHeight="1">
      <x:c r="A11" s="1"/>
      <x:c r="B11" s="1"/>
      <x:c r="C11" s="1" t="str">
        <x:v>Increase / (decrease) in inventory and prepayments</x:v>
      </x:c>
      <x:c r="D11" s="10" t="n">
        <x:f>'Cash and capital'!D21</x:f>
        <x:v>10533.333333333334</x:v>
      </x:c>
      <x:c r="E11" s="10" t="n">
        <x:f>'Cash and capital'!E21-'Cash and capital'!D21</x:f>
        <x:v>-532.2273166666673</x:v>
      </x:c>
      <x:c r="F11" s="10" t="n">
        <x:f>'Cash and capital'!F21-'Cash and capital'!E21</x:f>
        <x:v>2559.008858943331</x:v>
      </x:c>
      <x:c r="G11" s="10" t="n">
        <x:f>'Cash and capital'!G21-'Cash and capital'!F21</x:f>
        <x:v>2244.11307409268</x:v>
      </x:c>
      <x:c r="H11" s="10" t="n">
        <x:f>'Cash and capital'!H21-'Cash and capital'!G21</x:f>
        <x:v>2339.4818599407645</x:v>
      </x:c>
      <x:c r="I11" s="10" t="n">
        <x:f>'Cash and capital'!I21-'Cash and capital'!H21</x:f>
        <x:v>1564.2008000695641</x:v>
      </x:c>
      <x:c r="J11" s="10" t="n">
        <x:f>'Cash and capital'!J21-'Cash and capital'!I21</x:f>
        <x:v>1342.8767939077406</x:v>
      </x:c>
      <x:c r="K11" s="10" t="n">
        <x:f>'Cash and capital'!K21-'Cash and capital'!J21</x:f>
        <x:v>1308.5555107092077</x:v>
      </x:c>
      <x:c r="L11" s="10" t="n">
        <x:f>'Cash and capital'!L21-'Cash and capital'!K21</x:f>
        <x:v>1342.0610678241537</x:v>
      </x:c>
      <x:c r="M11" s="10" t="n">
        <x:f>'Cash and capital'!M21-'Cash and capital'!L21</x:f>
        <x:v>1403.6205583044066</x:v>
      </x:c>
      <x:c r="N11" s="10" t="n">
        <x:f>'Cash and capital'!N21-'Cash and capital'!M21</x:f>
        <x:v>1479.450319940559</x:v>
      </x:c>
      <x:c r="O11" s="10" t="n">
        <x:f>'Cash and capital'!O21-'Cash and capital'!N21</x:f>
        <x:v>1564.5678617477533</x:v>
      </x:c>
      <x:c r="P11" s="10" t="n">
        <x:f>'Cash and capital'!P21-'Cash and capital'!O21</x:f>
        <x:v>1657.132133697698</x:v>
      </x:c>
      <x:c r="Q11" s="10" t="n">
        <x:f>'Cash and capital'!Q21-'Cash and capital'!P21</x:f>
        <x:v>1756.5116463670638</x:v>
      </x:c>
      <x:c r="R11" s="10" t="n">
        <x:f>'Cash and capital'!R21-'Cash and capital'!Q21</x:f>
        <x:v>1862.589243933613</x:v>
      </x:c>
      <x:c r="S11" s="10" t="n">
        <x:f>'Cash and capital'!S21-'Cash and capital'!R21</x:f>
        <x:v>1975.4936350608004</x:v>
      </x:c>
      <x:c r="T11" s="10" t="n">
        <x:f>'Cash and capital'!T21-'Cash and capital'!S21</x:f>
        <x:v>2095.486869237393</x:v>
      </x:c>
      <x:c r="U11" s="10" t="n">
        <x:f>'Cash and capital'!U21-'Cash and capital'!T21</x:f>
        <x:v>2222.91325648396</x:v>
      </x:c>
      <x:c r="V11" s="10" t="n">
        <x:f>'Cash and capital'!V21-'Cash and capital'!U21</x:f>
        <x:v>2358.1747032729327</x:v>
      </x:c>
      <x:c r="W11" s="10" t="n">
        <x:f>'Cash and capital'!W21-'Cash and capital'!V21</x:f>
        <x:v>2501.7184461007564</x:v>
      </x:c>
    </x:row>
    <x:row r="12" ht="17" customHeight="1">
      <x:c r="A12" s="1"/>
      <x:c r="B12" s="1"/>
      <x:c r="C12" s="1" t="str">
        <x:v>Increase / (decrease) in accounts payable</x:v>
      </x:c>
      <x:c r="D12" s="10" t="n">
        <x:f>0</x:f>
        <x:v>0</x:v>
      </x:c>
      <x:c r="E12" s="10" t="n">
        <x:f>0</x:f>
        <x:v>0</x:v>
      </x:c>
      <x:c r="F12" s="10" t="n">
        <x:f>0</x:f>
        <x:v>0</x:v>
      </x:c>
      <x:c r="G12" s="10" t="n">
        <x:f>0</x:f>
        <x:v>0</x:v>
      </x:c>
      <x:c r="H12" s="10" t="n">
        <x:f>0</x:f>
        <x:v>0</x:v>
      </x:c>
      <x:c r="I12" s="10" t="n">
        <x:f>0</x:f>
        <x:v>0</x:v>
      </x:c>
      <x:c r="J12" s="10" t="n">
        <x:f>0</x:f>
        <x:v>0</x:v>
      </x:c>
      <x:c r="K12" s="10" t="n">
        <x:f>0</x:f>
        <x:v>0</x:v>
      </x:c>
      <x:c r="L12" s="10" t="n">
        <x:f>0</x:f>
        <x:v>0</x:v>
      </x:c>
      <x:c r="M12" s="10" t="n">
        <x:f>0</x:f>
        <x:v>0</x:v>
      </x:c>
      <x:c r="N12" s="10" t="n">
        <x:f>0</x:f>
        <x:v>0</x:v>
      </x:c>
      <x:c r="O12" s="10" t="n">
        <x:f>0</x:f>
        <x:v>0</x:v>
      </x:c>
      <x:c r="P12" s="10" t="n">
        <x:f>0</x:f>
        <x:v>0</x:v>
      </x:c>
      <x:c r="Q12" s="10" t="n">
        <x:f>0</x:f>
        <x:v>0</x:v>
      </x:c>
      <x:c r="R12" s="10" t="n">
        <x:f>0</x:f>
        <x:v>0</x:v>
      </x:c>
      <x:c r="S12" s="10" t="n">
        <x:f>0</x:f>
        <x:v>0</x:v>
      </x:c>
      <x:c r="T12" s="10" t="n">
        <x:f>0</x:f>
        <x:v>0</x:v>
      </x:c>
      <x:c r="U12" s="10" t="n">
        <x:f>0</x:f>
        <x:v>0</x:v>
      </x:c>
      <x:c r="V12" s="10" t="n">
        <x:f>0</x:f>
        <x:v>0</x:v>
      </x:c>
      <x:c r="W12" s="10" t="n">
        <x:f>0</x:f>
        <x:v>0</x:v>
      </x:c>
    </x:row>
    <x:row r="13" ht="17" customHeight="1">
      <x:c r="A13" s="1"/>
      <x:c r="B13" s="1"/>
      <x:c r="C13" s="1" t="str">
        <x:v>Increase / (decrease) in deferred revenue</x:v>
      </x:c>
      <x:c r="D13" s="10" t="n">
        <x:f>0</x:f>
        <x:v>0</x:v>
      </x:c>
      <x:c r="E13" s="10" t="n">
        <x:f>0</x:f>
        <x:v>0</x:v>
      </x:c>
      <x:c r="F13" s="10" t="n">
        <x:f>0</x:f>
        <x:v>0</x:v>
      </x:c>
      <x:c r="G13" s="10" t="n">
        <x:f>0</x:f>
        <x:v>0</x:v>
      </x:c>
      <x:c r="H13" s="10" t="n">
        <x:f>0</x:f>
        <x:v>0</x:v>
      </x:c>
      <x:c r="I13" s="10" t="n">
        <x:f>0</x:f>
        <x:v>0</x:v>
      </x:c>
      <x:c r="J13" s="10" t="n">
        <x:f>0</x:f>
        <x:v>0</x:v>
      </x:c>
      <x:c r="K13" s="10" t="n">
        <x:f>0</x:f>
        <x:v>0</x:v>
      </x:c>
      <x:c r="L13" s="10" t="n">
        <x:f>0</x:f>
        <x:v>0</x:v>
      </x:c>
      <x:c r="M13" s="10" t="n">
        <x:f>0</x:f>
        <x:v>0</x:v>
      </x:c>
      <x:c r="N13" s="10" t="n">
        <x:f>0</x:f>
        <x:v>0</x:v>
      </x:c>
      <x:c r="O13" s="10" t="n">
        <x:f>0</x:f>
        <x:v>0</x:v>
      </x:c>
      <x:c r="P13" s="10" t="n">
        <x:f>0</x:f>
        <x:v>0</x:v>
      </x:c>
      <x:c r="Q13" s="10" t="n">
        <x:f>0</x:f>
        <x:v>0</x:v>
      </x:c>
      <x:c r="R13" s="10" t="n">
        <x:f>0</x:f>
        <x:v>0</x:v>
      </x:c>
      <x:c r="S13" s="10" t="n">
        <x:f>0</x:f>
        <x:v>0</x:v>
      </x:c>
      <x:c r="T13" s="10" t="n">
        <x:f>0</x:f>
        <x:v>0</x:v>
      </x:c>
      <x:c r="U13" s="10" t="n">
        <x:f>0</x:f>
        <x:v>0</x:v>
      </x:c>
      <x:c r="V13" s="10" t="n">
        <x:f>0</x:f>
        <x:v>0</x:v>
      </x:c>
      <x:c r="W13" s="10" t="n">
        <x:f>0</x:f>
        <x:v>0</x:v>
      </x:c>
    </x:row>
    <x:row r="14" ht="17" customHeight="1">
      <x:c r="A14" s="1"/>
      <x:c r="B14" s="1"/>
      <x:c r="C14" s="1" t="str">
        <x:v>Increase / (decrease) in income tax payable</x:v>
      </x:c>
      <x:c r="D14" s="10" t="n">
        <x:f>0</x:f>
        <x:v>0</x:v>
      </x:c>
      <x:c r="E14" s="10" t="n">
        <x:f>0</x:f>
        <x:v>0</x:v>
      </x:c>
      <x:c r="F14" s="10" t="n">
        <x:f>0</x:f>
        <x:v>0</x:v>
      </x:c>
      <x:c r="G14" s="10" t="n">
        <x:f>0</x:f>
        <x:v>0</x:v>
      </x:c>
      <x:c r="H14" s="10" t="n">
        <x:f>0</x:f>
        <x:v>0</x:v>
      </x:c>
      <x:c r="I14" s="10" t="n">
        <x:f>0</x:f>
        <x:v>0</x:v>
      </x:c>
      <x:c r="J14" s="10" t="n">
        <x:f>0</x:f>
        <x:v>0</x:v>
      </x:c>
      <x:c r="K14" s="10" t="n">
        <x:f>0</x:f>
        <x:v>0</x:v>
      </x:c>
      <x:c r="L14" s="10" t="n">
        <x:f>0</x:f>
        <x:v>0</x:v>
      </x:c>
      <x:c r="M14" s="10" t="n">
        <x:f>0</x:f>
        <x:v>0</x:v>
      </x:c>
      <x:c r="N14" s="10" t="n">
        <x:f>0</x:f>
        <x:v>0</x:v>
      </x:c>
      <x:c r="O14" s="10" t="n">
        <x:f>0</x:f>
        <x:v>0</x:v>
      </x:c>
      <x:c r="P14" s="10" t="n">
        <x:f>0</x:f>
        <x:v>0</x:v>
      </x:c>
      <x:c r="Q14" s="10" t="n">
        <x:f>0</x:f>
        <x:v>0</x:v>
      </x:c>
      <x:c r="R14" s="10" t="n">
        <x:f>0</x:f>
        <x:v>0</x:v>
      </x:c>
      <x:c r="S14" s="10" t="n">
        <x:f>0</x:f>
        <x:v>0</x:v>
      </x:c>
      <x:c r="T14" s="10" t="n">
        <x:f>0</x:f>
        <x:v>0</x:v>
      </x:c>
      <x:c r="U14" s="10" t="n">
        <x:f>0</x:f>
        <x:v>0</x:v>
      </x:c>
      <x:c r="V14" s="10" t="n">
        <x:f>0</x:f>
        <x:v>0</x:v>
      </x:c>
      <x:c r="W14" s="10" t="n">
        <x:f>0</x:f>
        <x:v>0</x:v>
      </x:c>
    </x:row>
    <x:row r="15" ht="17" customHeight="1">
      <x:c r="A15" s="1"/>
      <x:c r="B15" s="1"/>
      <x:c r="C15" s="30" t="str">
        <x:v>Net cash from / (used in) operating activities</x:v>
      </x:c>
      <x:c r="D15" s="31" t="n">
        <x:f>D8+D9-D10-D11+D12+D13+D14</x:f>
        <x:v>213048.67635744435</x:v>
      </x:c>
      <x:c r="E15" s="31" t="n">
        <x:f>E8+E9-E10-E11+E12+E13+E14</x:f>
        <x:v>411746.6697388701</x:v>
      </x:c>
      <x:c r="F15" s="31" t="n">
        <x:f>F8+F9-F10-F11+F12+F13+F14</x:f>
        <x:v>478790.2685816301</x:v>
      </x:c>
      <x:c r="G15" s="31" t="n">
        <x:f>G8+G9-G10-G11+G12+G13+G14</x:f>
        <x:v>558925.5952721023</x:v>
      </x:c>
      <x:c r="H15" s="31" t="n">
        <x:f>H8+H9-H10-H11+H12+H13+H14</x:f>
        <x:v>640628.388157651</x:v>
      </x:c>
      <x:c r="I15" s="31" t="n">
        <x:f>I8+I9-I10-I11+I12+I13+I14</x:f>
        <x:v>692414.7627496826</x:v>
      </x:c>
      <x:c r="J15" s="31" t="n">
        <x:f>J8+J9-J10-J11+J12+J13+J14</x:f>
        <x:v>728150.9116217459</x:v>
      </x:c>
      <x:c r="K15" s="31" t="n">
        <x:f>K8+K9-K10-K11+K12+K13+K14</x:f>
        <x:v>756335.4967769275</x:v>
      </x:c>
      <x:c r="L15" s="31" t="n">
        <x:f>L8+L9-L10-L11+L12+L13+L14</x:f>
        <x:v>780573.8631593629</x:v>
      </x:c>
      <x:c r="M15" s="31" t="n">
        <x:f>M8+M9-M10-M11+M12+M13+M14</x:f>
        <x:v>802541.1284567702</x:v>
      </x:c>
      <x:c r="N15" s="31" t="n">
        <x:f>N8+N9-N10-N11+N12+N13+N14</x:f>
        <x:v>823053.4977791012</x:v>
      </x:c>
      <x:c r="O15" s="31" t="n">
        <x:f>O8+O9-O10-O11+O12+O13+O14</x:f>
        <x:v>842552.6818823218</x:v>
      </x:c>
      <x:c r="P15" s="31" t="n">
        <x:f>P8+P9-P10-P11+P12+P13+P14</x:f>
        <x:v>861268.6103406249</x:v>
      </x:c>
      <x:c r="Q15" s="31" t="n">
        <x:f>Q8+Q9-Q10-Q11+Q12+Q13+Q14</x:f>
        <x:v>879265.4538286813</x:v>
      </x:c>
      <x:c r="R15" s="31" t="n">
        <x:f>R8+R9-R10-R11+R12+R13+R14</x:f>
        <x:v>896578.6379643899</x:v>
      </x:c>
      <x:c r="S15" s="31" t="n">
        <x:f>S8+S9-S10-S11+S12+S13+S14</x:f>
        <x:v>913196.6801554263</x:v>
      </x:c>
      <x:c r="T15" s="31" t="n">
        <x:f>T8+T9-T10-T11+T12+T13+T14</x:f>
        <x:v>929024.8263227311</x:v>
      </x:c>
      <x:c r="U15" s="31" t="n">
        <x:f>U8+U9-U10-U11+U12+U13+U14</x:f>
        <x:v>943991.1391196232</x:v>
      </x:c>
      <x:c r="V15" s="31" t="n">
        <x:f>V8+V9-V10-V11+V12+V13+V14</x:f>
        <x:v>958003.4520787613</x:v>
      </x:c>
      <x:c r="W15" s="31" t="n">
        <x:f>W8+W9-W10-W11+W12+W13+W14</x:f>
        <x:v>970896.7013642784</x:v>
      </x:c>
    </x:row>
    <x:row r="16" ht="17" customHeight="1">
      <x:c r="A16" s="1"/>
      <x:c r="B16" s="1"/>
      <x:c r="C16" s="1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</x:row>
    <x:row r="17" ht="17" customHeight="1">
      <x:c r="A17" s="1"/>
      <x:c r="B17" s="1"/>
      <x:c r="C17" s="1" t="str">
        <x:v>Capital expenditure</x:v>
      </x:c>
      <x:c r="D17" s="10" t="n">
        <x:f>'Cash and capital'!D13</x:f>
        <x:v>1500</x:v>
      </x:c>
      <x:c r="E17" s="10" t="n">
        <x:f>'Cash and capital'!E13</x:f>
        <x:v>0</x:v>
      </x:c>
      <x:c r="F17" s="10" t="n">
        <x:f>'Cash and capital'!F13</x:f>
        <x:v>0</x:v>
      </x:c>
      <x:c r="G17" s="10" t="n">
        <x:f>'Cash and capital'!G13</x:f>
        <x:v>1639.0905</x:v>
      </x:c>
      <x:c r="H17" s="10" t="n">
        <x:f>'Cash and capital'!H13</x:f>
        <x:v>0</x:v>
      </x:c>
      <x:c r="I17" s="10" t="n">
        <x:f>'Cash and capital'!I13</x:f>
        <x:v>0</x:v>
      </x:c>
      <x:c r="J17" s="10" t="n">
        <x:f>'Cash and capital'!J13</x:f>
        <x:v>1791.0784447935002</x:v>
      </x:c>
      <x:c r="K17" s="10" t="n">
        <x:f>'Cash and capital'!K13</x:f>
        <x:v>0</x:v>
      </x:c>
      <x:c r="L17" s="10" t="n">
        <x:f>'Cash and capital'!L13</x:f>
        <x:v>0</x:v>
      </x:c>
      <x:c r="M17" s="10" t="n">
        <x:f>'Cash and capital'!M13</x:f>
        <x:v>1957.1597757438674</x:v>
      </x:c>
      <x:c r="N17" s="10" t="n">
        <x:f>'Cash and capital'!N13</x:f>
        <x:v>0</x:v>
      </x:c>
      <x:c r="O17" s="10" t="n">
        <x:f>'Cash and capital'!O13</x:f>
        <x:v>0</x:v>
      </x:c>
      <x:c r="P17" s="10" t="n">
        <x:f>'Cash and capital'!P13</x:f>
        <x:v>2138.641330269269</x:v>
      </x:c>
      <x:c r="Q17" s="10" t="n">
        <x:f>'Cash and capital'!Q13</x:f>
        <x:v>0</x:v>
      </x:c>
      <x:c r="R17" s="10" t="n">
        <x:f>'Cash and capital'!R13</x:f>
        <x:v>0</x:v>
      </x:c>
      <x:c r="S17" s="10" t="n">
        <x:f>'Cash and capital'!S13</x:f>
        <x:v>2336.9511249011475</x:v>
      </x:c>
      <x:c r="T17" s="10" t="n">
        <x:f>'Cash and capital'!T13</x:f>
        <x:v>0</x:v>
      </x:c>
      <x:c r="U17" s="10" t="n">
        <x:f>'Cash and capital'!U13</x:f>
        <x:v>0</x:v>
      </x:c>
      <x:c r="V17" s="10" t="n">
        <x:f>'Cash and capital'!V13</x:f>
        <x:v>2553.6495918598566</x:v>
      </x:c>
      <x:c r="W17" s="10" t="n">
        <x:f>'Cash and capital'!W13</x:f>
        <x:v>0</x:v>
      </x:c>
    </x:row>
    <x:row r="18" ht="17" customHeight="1">
      <x:c r="A18" s="1"/>
      <x:c r="B18" s="1"/>
      <x:c r="C18" s="30" t="str">
        <x:v>Net cash from / (used in) investing activities</x:v>
      </x:c>
      <x:c r="D18" s="31" t="n">
        <x:f>-D17</x:f>
        <x:v>-1500</x:v>
      </x:c>
      <x:c r="E18" s="31" t="n">
        <x:f>-E17</x:f>
        <x:v>0</x:v>
      </x:c>
      <x:c r="F18" s="31" t="n">
        <x:f>-F17</x:f>
        <x:v>0</x:v>
      </x:c>
      <x:c r="G18" s="31" t="n">
        <x:f>-G17</x:f>
        <x:v>-1639.0905</x:v>
      </x:c>
      <x:c r="H18" s="31" t="n">
        <x:f>-H17</x:f>
        <x:v>0</x:v>
      </x:c>
      <x:c r="I18" s="31" t="n">
        <x:f>-I17</x:f>
        <x:v>0</x:v>
      </x:c>
      <x:c r="J18" s="31" t="n">
        <x:f>-J17</x:f>
        <x:v>-1791.0784447935002</x:v>
      </x:c>
      <x:c r="K18" s="31" t="n">
        <x:f>-K17</x:f>
        <x:v>0</x:v>
      </x:c>
      <x:c r="L18" s="31" t="n">
        <x:f>-L17</x:f>
        <x:v>0</x:v>
      </x:c>
      <x:c r="M18" s="31" t="n">
        <x:f>-M17</x:f>
        <x:v>-1957.1597757438674</x:v>
      </x:c>
      <x:c r="N18" s="31" t="n">
        <x:f>-N17</x:f>
        <x:v>0</x:v>
      </x:c>
      <x:c r="O18" s="31" t="n">
        <x:f>-O17</x:f>
        <x:v>0</x:v>
      </x:c>
      <x:c r="P18" s="31" t="n">
        <x:f>-P17</x:f>
        <x:v>-2138.641330269269</x:v>
      </x:c>
      <x:c r="Q18" s="31" t="n">
        <x:f>-Q17</x:f>
        <x:v>0</x:v>
      </x:c>
      <x:c r="R18" s="31" t="n">
        <x:f>-R17</x:f>
        <x:v>0</x:v>
      </x:c>
      <x:c r="S18" s="31" t="n">
        <x:f>-S17</x:f>
        <x:v>-2336.9511249011475</x:v>
      </x:c>
      <x:c r="T18" s="31" t="n">
        <x:f>-T17</x:f>
        <x:v>0</x:v>
      </x:c>
      <x:c r="U18" s="31" t="n">
        <x:f>-U17</x:f>
        <x:v>0</x:v>
      </x:c>
      <x:c r="V18" s="31" t="n">
        <x:f>-V17</x:f>
        <x:v>-2553.6495918598566</x:v>
      </x:c>
      <x:c r="W18" s="31" t="n">
        <x:f>-W17</x:f>
        <x:v>0</x:v>
      </x:c>
    </x:row>
    <x:row r="19" ht="17" customHeight="1">
      <x:c r="A19" s="1"/>
      <x:c r="B19" s="1"/>
      <x:c r="C19" s="1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10"/>
      <x:c r="U19" s="10"/>
      <x:c r="V19" s="10"/>
      <x:c r="W19" s="10"/>
    </x:row>
    <x:row r="20" ht="17" customHeight="1">
      <x:c r="A20" s="1"/>
      <x:c r="B20" s="1"/>
      <x:c r="C20" s="1" t="str">
        <x:v>Debt proceeds</x:v>
      </x:c>
      <x:c r="D20" s="10" t="n">
        <x:f>0</x:f>
        <x:v>0</x:v>
      </x:c>
      <x:c r="E20" s="10" t="n">
        <x:f>0</x:f>
        <x:v>0</x:v>
      </x:c>
      <x:c r="F20" s="10" t="n">
        <x:f>0</x:f>
        <x:v>0</x:v>
      </x:c>
      <x:c r="G20" s="10" t="n">
        <x:f>0</x:f>
        <x:v>0</x:v>
      </x:c>
      <x:c r="H20" s="10" t="n">
        <x:f>0</x:f>
        <x:v>0</x:v>
      </x:c>
      <x:c r="I20" s="10" t="n">
        <x:f>0</x:f>
        <x:v>0</x:v>
      </x:c>
      <x:c r="J20" s="10" t="n">
        <x:f>0</x:f>
        <x:v>0</x:v>
      </x:c>
      <x:c r="K20" s="10" t="n">
        <x:f>0</x:f>
        <x:v>0</x:v>
      </x:c>
      <x:c r="L20" s="10" t="n">
        <x:f>0</x:f>
        <x:v>0</x:v>
      </x:c>
      <x:c r="M20" s="10" t="n">
        <x:f>0</x:f>
        <x:v>0</x:v>
      </x:c>
      <x:c r="N20" s="10" t="n">
        <x:f>0</x:f>
        <x:v>0</x:v>
      </x:c>
      <x:c r="O20" s="10" t="n">
        <x:f>0</x:f>
        <x:v>0</x:v>
      </x:c>
      <x:c r="P20" s="10" t="n">
        <x:f>0</x:f>
        <x:v>0</x:v>
      </x:c>
      <x:c r="Q20" s="10" t="n">
        <x:f>0</x:f>
        <x:v>0</x:v>
      </x:c>
      <x:c r="R20" s="10" t="n">
        <x:f>0</x:f>
        <x:v>0</x:v>
      </x:c>
      <x:c r="S20" s="10" t="n">
        <x:f>0</x:f>
        <x:v>0</x:v>
      </x:c>
      <x:c r="T20" s="10" t="n">
        <x:f>0</x:f>
        <x:v>0</x:v>
      </x:c>
      <x:c r="U20" s="10" t="n">
        <x:f>0</x:f>
        <x:v>0</x:v>
      </x:c>
      <x:c r="V20" s="10" t="n">
        <x:f>0</x:f>
        <x:v>0</x:v>
      </x:c>
      <x:c r="W20" s="10" t="n">
        <x:f>0</x:f>
        <x:v>0</x:v>
      </x:c>
    </x:row>
    <x:row r="21" ht="17" customHeight="1">
      <x:c r="A21" s="1"/>
      <x:c r="B21" s="1"/>
      <x:c r="C21" s="1" t="str">
        <x:v>Debt principal repayments</x:v>
      </x:c>
      <x:c r="D21" s="10" t="n">
        <x:f>0</x:f>
        <x:v>0</x:v>
      </x:c>
      <x:c r="E21" s="10" t="n">
        <x:f>0</x:f>
        <x:v>0</x:v>
      </x:c>
      <x:c r="F21" s="10" t="n">
        <x:f>0</x:f>
        <x:v>0</x:v>
      </x:c>
      <x:c r="G21" s="10" t="n">
        <x:f>0</x:f>
        <x:v>0</x:v>
      </x:c>
      <x:c r="H21" s="10" t="n">
        <x:f>0</x:f>
        <x:v>0</x:v>
      </x:c>
      <x:c r="I21" s="10" t="n">
        <x:f>0</x:f>
        <x:v>0</x:v>
      </x:c>
      <x:c r="J21" s="10" t="n">
        <x:f>0</x:f>
        <x:v>0</x:v>
      </x:c>
      <x:c r="K21" s="10" t="n">
        <x:f>0</x:f>
        <x:v>0</x:v>
      </x:c>
      <x:c r="L21" s="10" t="n">
        <x:f>0</x:f>
        <x:v>0</x:v>
      </x:c>
      <x:c r="M21" s="10" t="n">
        <x:f>0</x:f>
        <x:v>0</x:v>
      </x:c>
      <x:c r="N21" s="10" t="n">
        <x:f>0</x:f>
        <x:v>0</x:v>
      </x:c>
      <x:c r="O21" s="10" t="n">
        <x:f>0</x:f>
        <x:v>0</x:v>
      </x:c>
      <x:c r="P21" s="10" t="n">
        <x:f>0</x:f>
        <x:v>0</x:v>
      </x:c>
      <x:c r="Q21" s="10" t="n">
        <x:f>0</x:f>
        <x:v>0</x:v>
      </x:c>
      <x:c r="R21" s="10" t="n">
        <x:f>0</x:f>
        <x:v>0</x:v>
      </x:c>
      <x:c r="S21" s="10" t="n">
        <x:f>0</x:f>
        <x:v>0</x:v>
      </x:c>
      <x:c r="T21" s="10" t="n">
        <x:f>0</x:f>
        <x:v>0</x:v>
      </x:c>
      <x:c r="U21" s="10" t="n">
        <x:f>0</x:f>
        <x:v>0</x:v>
      </x:c>
      <x:c r="V21" s="10" t="n">
        <x:f>0</x:f>
        <x:v>0</x:v>
      </x:c>
      <x:c r="W21" s="10" t="n">
        <x:f>0</x:f>
        <x:v>0</x:v>
      </x:c>
    </x:row>
    <x:row r="22" ht="17" customHeight="1">
      <x:c r="A22" s="1"/>
      <x:c r="B22" s="1"/>
      <x:c r="C22" s="1" t="str">
        <x:v>Equity contributions</x:v>
      </x:c>
      <x:c r="D22" s="10" t="n">
        <x:f>0</x:f>
        <x:v>0</x:v>
      </x:c>
      <x:c r="E22" s="10" t="n">
        <x:f>0</x:f>
        <x:v>0</x:v>
      </x:c>
      <x:c r="F22" s="10" t="n">
        <x:f>0</x:f>
        <x:v>0</x:v>
      </x:c>
      <x:c r="G22" s="10" t="n">
        <x:f>0</x:f>
        <x:v>0</x:v>
      </x:c>
      <x:c r="H22" s="10" t="n">
        <x:f>0</x:f>
        <x:v>0</x:v>
      </x:c>
      <x:c r="I22" s="10" t="n">
        <x:f>0</x:f>
        <x:v>0</x:v>
      </x:c>
      <x:c r="J22" s="10" t="n">
        <x:f>0</x:f>
        <x:v>0</x:v>
      </x:c>
      <x:c r="K22" s="10" t="n">
        <x:f>0</x:f>
        <x:v>0</x:v>
      </x:c>
      <x:c r="L22" s="10" t="n">
        <x:f>0</x:f>
        <x:v>0</x:v>
      </x:c>
      <x:c r="M22" s="10" t="n">
        <x:f>0</x:f>
        <x:v>0</x:v>
      </x:c>
      <x:c r="N22" s="10" t="n">
        <x:f>0</x:f>
        <x:v>0</x:v>
      </x:c>
      <x:c r="O22" s="10" t="n">
        <x:f>0</x:f>
        <x:v>0</x:v>
      </x:c>
      <x:c r="P22" s="10" t="n">
        <x:f>0</x:f>
        <x:v>0</x:v>
      </x:c>
      <x:c r="Q22" s="10" t="n">
        <x:f>0</x:f>
        <x:v>0</x:v>
      </x:c>
      <x:c r="R22" s="10" t="n">
        <x:f>0</x:f>
        <x:v>0</x:v>
      </x:c>
      <x:c r="S22" s="10" t="n">
        <x:f>0</x:f>
        <x:v>0</x:v>
      </x:c>
      <x:c r="T22" s="10" t="n">
        <x:f>0</x:f>
        <x:v>0</x:v>
      </x:c>
      <x:c r="U22" s="10" t="n">
        <x:f>0</x:f>
        <x:v>0</x:v>
      </x:c>
      <x:c r="V22" s="10" t="n">
        <x:f>0</x:f>
        <x:v>0</x:v>
      </x:c>
      <x:c r="W22" s="10" t="n">
        <x:f>0</x:f>
        <x:v>0</x:v>
      </x:c>
    </x:row>
    <x:row r="23" ht="17" customHeight="1">
      <x:c r="A23" s="1"/>
      <x:c r="B23" s="1"/>
      <x:c r="C23" s="1" t="str">
        <x:v>Distributions / dividends</x:v>
      </x:c>
      <x:c r="D23" s="10" t="n">
        <x:f>0</x:f>
        <x:v>0</x:v>
      </x:c>
      <x:c r="E23" s="10" t="n">
        <x:f>0</x:f>
        <x:v>0</x:v>
      </x:c>
      <x:c r="F23" s="10" t="n">
        <x:f>0</x:f>
        <x:v>0</x:v>
      </x:c>
      <x:c r="G23" s="10" t="n">
        <x:f>0</x:f>
        <x:v>0</x:v>
      </x:c>
      <x:c r="H23" s="10" t="n">
        <x:f>0</x:f>
        <x:v>0</x:v>
      </x:c>
      <x:c r="I23" s="10" t="n">
        <x:f>0</x:f>
        <x:v>0</x:v>
      </x:c>
      <x:c r="J23" s="10" t="n">
        <x:f>0</x:f>
        <x:v>0</x:v>
      </x:c>
      <x:c r="K23" s="10" t="n">
        <x:f>0</x:f>
        <x:v>0</x:v>
      </x:c>
      <x:c r="L23" s="10" t="n">
        <x:f>0</x:f>
        <x:v>0</x:v>
      </x:c>
      <x:c r="M23" s="10" t="n">
        <x:f>0</x:f>
        <x:v>0</x:v>
      </x:c>
      <x:c r="N23" s="10" t="n">
        <x:f>0</x:f>
        <x:v>0</x:v>
      </x:c>
      <x:c r="O23" s="10" t="n">
        <x:f>0</x:f>
        <x:v>0</x:v>
      </x:c>
      <x:c r="P23" s="10" t="n">
        <x:f>0</x:f>
        <x:v>0</x:v>
      </x:c>
      <x:c r="Q23" s="10" t="n">
        <x:f>0</x:f>
        <x:v>0</x:v>
      </x:c>
      <x:c r="R23" s="10" t="n">
        <x:f>0</x:f>
        <x:v>0</x:v>
      </x:c>
      <x:c r="S23" s="10" t="n">
        <x:f>0</x:f>
        <x:v>0</x:v>
      </x:c>
      <x:c r="T23" s="10" t="n">
        <x:f>0</x:f>
        <x:v>0</x:v>
      </x:c>
      <x:c r="U23" s="10" t="n">
        <x:f>0</x:f>
        <x:v>0</x:v>
      </x:c>
      <x:c r="V23" s="10" t="n">
        <x:f>0</x:f>
        <x:v>0</x:v>
      </x:c>
      <x:c r="W23" s="10" t="n">
        <x:f>0</x:f>
        <x:v>0</x:v>
      </x:c>
    </x:row>
    <x:row r="24" ht="17" customHeight="1">
      <x:c r="A24" s="1"/>
      <x:c r="B24" s="1"/>
      <x:c r="C24" s="30" t="str">
        <x:v>Net cash from / (used in) financing activities</x:v>
      </x:c>
      <x:c r="D24" s="31" t="n">
        <x:f>D20-D21+D22-D23</x:f>
        <x:v>0</x:v>
      </x:c>
      <x:c r="E24" s="31" t="n">
        <x:f>E20-E21+E22-E23</x:f>
        <x:v>0</x:v>
      </x:c>
      <x:c r="F24" s="31" t="n">
        <x:f>F20-F21+F22-F23</x:f>
        <x:v>0</x:v>
      </x:c>
      <x:c r="G24" s="31" t="n">
        <x:f>G20-G21+G22-G23</x:f>
        <x:v>0</x:v>
      </x:c>
      <x:c r="H24" s="31" t="n">
        <x:f>H20-H21+H22-H23</x:f>
        <x:v>0</x:v>
      </x:c>
      <x:c r="I24" s="31" t="n">
        <x:f>I20-I21+I22-I23</x:f>
        <x:v>0</x:v>
      </x:c>
      <x:c r="J24" s="31" t="n">
        <x:f>J20-J21+J22-J23</x:f>
        <x:v>0</x:v>
      </x:c>
      <x:c r="K24" s="31" t="n">
        <x:f>K20-K21+K22-K23</x:f>
        <x:v>0</x:v>
      </x:c>
      <x:c r="L24" s="31" t="n">
        <x:f>L20-L21+L22-L23</x:f>
        <x:v>0</x:v>
      </x:c>
      <x:c r="M24" s="31" t="n">
        <x:f>M20-M21+M22-M23</x:f>
        <x:v>0</x:v>
      </x:c>
      <x:c r="N24" s="31" t="n">
        <x:f>N20-N21+N22-N23</x:f>
        <x:v>0</x:v>
      </x:c>
      <x:c r="O24" s="31" t="n">
        <x:f>O20-O21+O22-O23</x:f>
        <x:v>0</x:v>
      </x:c>
      <x:c r="P24" s="31" t="n">
        <x:f>P20-P21+P22-P23</x:f>
        <x:v>0</x:v>
      </x:c>
      <x:c r="Q24" s="31" t="n">
        <x:f>Q20-Q21+Q22-Q23</x:f>
        <x:v>0</x:v>
      </x:c>
      <x:c r="R24" s="31" t="n">
        <x:f>R20-R21+R22-R23</x:f>
        <x:v>0</x:v>
      </x:c>
      <x:c r="S24" s="31" t="n">
        <x:f>S20-S21+S22-S23</x:f>
        <x:v>0</x:v>
      </x:c>
      <x:c r="T24" s="31" t="n">
        <x:f>T20-T21+T22-T23</x:f>
        <x:v>0</x:v>
      </x:c>
      <x:c r="U24" s="31" t="n">
        <x:f>U20-U21+U22-U23</x:f>
        <x:v>0</x:v>
      </x:c>
      <x:c r="V24" s="31" t="n">
        <x:f>V20-V21+V22-V23</x:f>
        <x:v>0</x:v>
      </x:c>
      <x:c r="W24" s="31" t="n">
        <x:f>W20-W21+W22-W23</x:f>
        <x:v>0</x:v>
      </x:c>
    </x:row>
    <x:row r="25" ht="17" customHeight="1">
      <x:c r="A25" s="1"/>
      <x:c r="B25" s="1"/>
      <x:c r="C25" s="1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  <x:c r="T25" s="10"/>
      <x:c r="U25" s="10"/>
      <x:c r="V25" s="10"/>
      <x:c r="W25" s="10"/>
    </x:row>
    <x:row r="26" ht="17" customHeight="1">
      <x:c r="A26" s="1"/>
      <x:c r="B26" s="1"/>
      <x:c r="C26" s="30" t="str">
        <x:v>Net change before unresolved financing</x:v>
      </x:c>
      <x:c r="D26" s="31" t="n">
        <x:f>D15+D18+D24</x:f>
        <x:v>211548.67635744435</x:v>
      </x:c>
      <x:c r="E26" s="31" t="n">
        <x:f>E15+E18+E24</x:f>
        <x:v>411746.6697388701</x:v>
      </x:c>
      <x:c r="F26" s="31" t="n">
        <x:f>F15+F18+F24</x:f>
        <x:v>478790.2685816301</x:v>
      </x:c>
      <x:c r="G26" s="31" t="n">
        <x:f>G15+G18+G24</x:f>
        <x:v>557286.5047721022</x:v>
      </x:c>
      <x:c r="H26" s="31" t="n">
        <x:f>H15+H18+H24</x:f>
        <x:v>640628.388157651</x:v>
      </x:c>
      <x:c r="I26" s="31" t="n">
        <x:f>I15+I18+I24</x:f>
        <x:v>692414.7627496826</x:v>
      </x:c>
      <x:c r="J26" s="31" t="n">
        <x:f>J15+J18+J24</x:f>
        <x:v>726359.8331769524</x:v>
      </x:c>
      <x:c r="K26" s="31" t="n">
        <x:f>K15+K18+K24</x:f>
        <x:v>756335.4967769275</x:v>
      </x:c>
      <x:c r="L26" s="31" t="n">
        <x:f>L15+L18+L24</x:f>
        <x:v>780573.8631593629</x:v>
      </x:c>
      <x:c r="M26" s="31" t="n">
        <x:f>M15+M18+M24</x:f>
        <x:v>800583.9686810264</x:v>
      </x:c>
      <x:c r="N26" s="31" t="n">
        <x:f>N15+N18+N24</x:f>
        <x:v>823053.4977791012</x:v>
      </x:c>
      <x:c r="O26" s="31" t="n">
        <x:f>O15+O18+O24</x:f>
        <x:v>842552.6818823218</x:v>
      </x:c>
      <x:c r="P26" s="31" t="n">
        <x:f>P15+P18+P24</x:f>
        <x:v>859129.9690103556</x:v>
      </x:c>
      <x:c r="Q26" s="31" t="n">
        <x:f>Q15+Q18+Q24</x:f>
        <x:v>879265.4538286813</x:v>
      </x:c>
      <x:c r="R26" s="31" t="n">
        <x:f>R15+R18+R24</x:f>
        <x:v>896578.6379643899</x:v>
      </x:c>
      <x:c r="S26" s="31" t="n">
        <x:f>S15+S18+S24</x:f>
        <x:v>910859.7290305251</x:v>
      </x:c>
      <x:c r="T26" s="31" t="n">
        <x:f>T15+T18+T24</x:f>
        <x:v>929024.8263227311</x:v>
      </x:c>
      <x:c r="U26" s="31" t="n">
        <x:f>U15+U18+U24</x:f>
        <x:v>943991.1391196232</x:v>
      </x:c>
      <x:c r="V26" s="31" t="n">
        <x:f>V15+V18+V24</x:f>
        <x:v>955449.8024869014</x:v>
      </x:c>
      <x:c r="W26" s="31" t="n">
        <x:f>W15+W18+W24</x:f>
        <x:v>970896.7013642784</x:v>
      </x:c>
    </x:row>
    <x:row r="27" ht="17" customHeight="1">
      <x:c r="A27" s="1"/>
      <x:c r="B27" s="1"/>
      <x:c r="C27" s="1" t="str">
        <x:v>Opening signed cash diagnostic</x:v>
      </x:c>
      <x:c r="D27" s="10" t="n">
        <x:f>'Assumptions'!$D$17</x:f>
        <x:v>0</x:v>
      </x:c>
      <x:c r="E27" s="10" t="n">
        <x:f>D28</x:f>
        <x:v>211548.67635744435</x:v>
      </x:c>
      <x:c r="F27" s="10" t="n">
        <x:f>E28</x:f>
        <x:v>623295.3460963145</x:v>
      </x:c>
      <x:c r="G27" s="10" t="n">
        <x:f>F28</x:f>
        <x:v>1102085.6146779447</x:v>
      </x:c>
      <x:c r="H27" s="10" t="n">
        <x:f>G28</x:f>
        <x:v>1659372.119450047</x:v>
      </x:c>
      <x:c r="I27" s="10" t="n">
        <x:f>H28</x:f>
        <x:v>2300000.507607698</x:v>
      </x:c>
      <x:c r="J27" s="10" t="n">
        <x:f>I28</x:f>
        <x:v>2992415.2703573806</x:v>
      </x:c>
      <x:c r="K27" s="10" t="n">
        <x:f>J28</x:f>
        <x:v>3718775.103534333</x:v>
      </x:c>
      <x:c r="L27" s="10" t="n">
        <x:f>K28</x:f>
        <x:v>4475110.600311261</x:v>
      </x:c>
      <x:c r="M27" s="10" t="n">
        <x:f>L28</x:f>
        <x:v>5255684.463470624</x:v>
      </x:c>
      <x:c r="N27" s="10" t="n">
        <x:f>M28</x:f>
        <x:v>6056268.43215165</x:v>
      </x:c>
      <x:c r="O27" s="10" t="n">
        <x:f>N28</x:f>
        <x:v>6879321.929930751</x:v>
      </x:c>
      <x:c r="P27" s="10" t="n">
        <x:f>O28</x:f>
        <x:v>7721874.611813073</x:v>
      </x:c>
      <x:c r="Q27" s="10" t="n">
        <x:f>P28</x:f>
        <x:v>8581004.580823429</x:v>
      </x:c>
      <x:c r="R27" s="10" t="n">
        <x:f>Q28</x:f>
        <x:v>9460270.03465211</x:v>
      </x:c>
      <x:c r="S27" s="10" t="n">
        <x:f>R28</x:f>
        <x:v>10356848.6726165</x:v>
      </x:c>
      <x:c r="T27" s="10" t="n">
        <x:f>S28</x:f>
        <x:v>11267708.401647026</x:v>
      </x:c>
      <x:c r="U27" s="10" t="n">
        <x:f>T28</x:f>
        <x:v>12196733.227969756</x:v>
      </x:c>
      <x:c r="V27" s="10" t="n">
        <x:f>U28</x:f>
        <x:v>13140724.36708938</x:v>
      </x:c>
      <x:c r="W27" s="10" t="n">
        <x:f>V28</x:f>
        <x:v>14096174.169576282</x:v>
      </x:c>
    </x:row>
    <x:row r="28" ht="17" customHeight="1">
      <x:c r="A28" s="1"/>
      <x:c r="B28" s="1"/>
      <x:c r="C28" s="30" t="str">
        <x:v>Closing signed cash diagnostic before financing</x:v>
      </x:c>
      <x:c r="D28" s="31" t="n">
        <x:f>D27+D26</x:f>
        <x:v>211548.67635744435</x:v>
      </x:c>
      <x:c r="E28" s="31" t="n">
        <x:f>E27+E26</x:f>
        <x:v>623295.3460963145</x:v>
      </x:c>
      <x:c r="F28" s="31" t="n">
        <x:f>F27+F26</x:f>
        <x:v>1102085.6146779447</x:v>
      </x:c>
      <x:c r="G28" s="31" t="n">
        <x:f>G27+G26</x:f>
        <x:v>1659372.119450047</x:v>
      </x:c>
      <x:c r="H28" s="31" t="n">
        <x:f>H27+H26</x:f>
        <x:v>2300000.507607698</x:v>
      </x:c>
      <x:c r="I28" s="31" t="n">
        <x:f>I27+I26</x:f>
        <x:v>2992415.2703573806</x:v>
      </x:c>
      <x:c r="J28" s="31" t="n">
        <x:f>J27+J26</x:f>
        <x:v>3718775.103534333</x:v>
      </x:c>
      <x:c r="K28" s="31" t="n">
        <x:f>K27+K26</x:f>
        <x:v>4475110.600311261</x:v>
      </x:c>
      <x:c r="L28" s="31" t="n">
        <x:f>L27+L26</x:f>
        <x:v>5255684.463470624</x:v>
      </x:c>
      <x:c r="M28" s="31" t="n">
        <x:f>M27+M26</x:f>
        <x:v>6056268.43215165</x:v>
      </x:c>
      <x:c r="N28" s="31" t="n">
        <x:f>N27+N26</x:f>
        <x:v>6879321.929930751</x:v>
      </x:c>
      <x:c r="O28" s="31" t="n">
        <x:f>O27+O26</x:f>
        <x:v>7721874.611813073</x:v>
      </x:c>
      <x:c r="P28" s="31" t="n">
        <x:f>P27+P26</x:f>
        <x:v>8581004.580823429</x:v>
      </x:c>
      <x:c r="Q28" s="31" t="n">
        <x:f>Q27+Q26</x:f>
        <x:v>9460270.03465211</x:v>
      </x:c>
      <x:c r="R28" s="31" t="n">
        <x:f>R27+R26</x:f>
        <x:v>10356848.6726165</x:v>
      </x:c>
      <x:c r="S28" s="31" t="n">
        <x:f>S27+S26</x:f>
        <x:v>11267708.401647026</x:v>
      </x:c>
      <x:c r="T28" s="31" t="n">
        <x:f>T27+T26</x:f>
        <x:v>12196733.227969756</x:v>
      </x:c>
      <x:c r="U28" s="31" t="n">
        <x:f>U27+U26</x:f>
        <x:v>13140724.36708938</x:v>
      </x:c>
      <x:c r="V28" s="31" t="n">
        <x:f>V27+V26</x:f>
        <x:v>14096174.169576282</x:v>
      </x:c>
      <x:c r="W28" s="31" t="n">
        <x:f>W27+W26</x:f>
        <x:v>15067070.87094056</x:v>
      </x:c>
    </x:row>
    <x:row r="29" ht="17" customHeight="1">
      <x:c r="A29" s="1"/>
      <x:c r="B29" s="1"/>
      <x:c r="C29" s="1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10"/>
      <x:c r="O29" s="10"/>
      <x:c r="P29" s="10"/>
      <x:c r="Q29" s="10"/>
      <x:c r="R29" s="10"/>
      <x:c r="S29" s="10"/>
      <x:c r="T29" s="10"/>
      <x:c r="U29" s="10"/>
      <x:c r="V29" s="10"/>
      <x:c r="W29" s="10"/>
    </x:row>
    <x:row r="30" ht="17" customHeight="1">
      <x:c r="A30" s="1"/>
      <x:c r="B30" s="1"/>
      <x:c r="C30" s="30" t="str">
        <x:v>Nonnegative cash available in target balance sheet</x:v>
      </x:c>
      <x:c r="D30" s="31" t="n">
        <x:f>MAX(0,D28)</x:f>
        <x:v>211548.67635744435</x:v>
      </x:c>
      <x:c r="E30" s="31" t="n">
        <x:f>MAX(0,E28)</x:f>
        <x:v>623295.3460963145</x:v>
      </x:c>
      <x:c r="F30" s="31" t="n">
        <x:f>MAX(0,F28)</x:f>
        <x:v>1102085.6146779447</x:v>
      </x:c>
      <x:c r="G30" s="31" t="n">
        <x:f>MAX(0,G28)</x:f>
        <x:v>1659372.119450047</x:v>
      </x:c>
      <x:c r="H30" s="31" t="n">
        <x:f>MAX(0,H28)</x:f>
        <x:v>2300000.507607698</x:v>
      </x:c>
      <x:c r="I30" s="31" t="n">
        <x:f>MAX(0,I28)</x:f>
        <x:v>2992415.2703573806</x:v>
      </x:c>
      <x:c r="J30" s="31" t="n">
        <x:f>MAX(0,J28)</x:f>
        <x:v>3718775.103534333</x:v>
      </x:c>
      <x:c r="K30" s="31" t="n">
        <x:f>MAX(0,K28)</x:f>
        <x:v>4475110.600311261</x:v>
      </x:c>
      <x:c r="L30" s="31" t="n">
        <x:f>MAX(0,L28)</x:f>
        <x:v>5255684.463470624</x:v>
      </x:c>
      <x:c r="M30" s="31" t="n">
        <x:f>MAX(0,M28)</x:f>
        <x:v>6056268.43215165</x:v>
      </x:c>
      <x:c r="N30" s="31" t="n">
        <x:f>MAX(0,N28)</x:f>
        <x:v>6879321.929930751</x:v>
      </x:c>
      <x:c r="O30" s="31" t="n">
        <x:f>MAX(0,O28)</x:f>
        <x:v>7721874.611813073</x:v>
      </x:c>
      <x:c r="P30" s="31" t="n">
        <x:f>MAX(0,P28)</x:f>
        <x:v>8581004.580823429</x:v>
      </x:c>
      <x:c r="Q30" s="31" t="n">
        <x:f>MAX(0,Q28)</x:f>
        <x:v>9460270.03465211</x:v>
      </x:c>
      <x:c r="R30" s="31" t="n">
        <x:f>MAX(0,R28)</x:f>
        <x:v>10356848.6726165</x:v>
      </x:c>
      <x:c r="S30" s="31" t="n">
        <x:f>MAX(0,S28)</x:f>
        <x:v>11267708.401647026</x:v>
      </x:c>
      <x:c r="T30" s="31" t="n">
        <x:f>MAX(0,T28)</x:f>
        <x:v>12196733.227969756</x:v>
      </x:c>
      <x:c r="U30" s="31" t="n">
        <x:f>MAX(0,U28)</x:f>
        <x:v>13140724.36708938</x:v>
      </x:c>
      <x:c r="V30" s="31" t="n">
        <x:f>MAX(0,V28)</x:f>
        <x:v>14096174.169576282</x:v>
      </x:c>
      <x:c r="W30" s="31" t="n">
        <x:f>MAX(0,W28)</x:f>
        <x:v>15067070.87094056</x:v>
      </x:c>
    </x:row>
    <x:row r="31" ht="17" customHeight="1">
      <x:c r="A31" s="1"/>
      <x:c r="B31" s="1"/>
      <x:c r="C31" s="30" t="str">
        <x:v>Unfunded closing cash deficit — not arranged financing</x:v>
      </x:c>
      <x:c r="D31" s="31" t="n">
        <x:f>MAX(0,-D28)</x:f>
        <x:v>0</x:v>
      </x:c>
      <x:c r="E31" s="31" t="n">
        <x:f>MAX(0,-E28)</x:f>
        <x:v>0</x:v>
      </x:c>
      <x:c r="F31" s="31" t="n">
        <x:f>MAX(0,-F28)</x:f>
        <x:v>0</x:v>
      </x:c>
      <x:c r="G31" s="31" t="n">
        <x:f>MAX(0,-G28)</x:f>
        <x:v>0</x:v>
      </x:c>
      <x:c r="H31" s="31" t="n">
        <x:f>MAX(0,-H28)</x:f>
        <x:v>0</x:v>
      </x:c>
      <x:c r="I31" s="31" t="n">
        <x:f>MAX(0,-I28)</x:f>
        <x:v>0</x:v>
      </x:c>
      <x:c r="J31" s="31" t="n">
        <x:f>MAX(0,-J28)</x:f>
        <x:v>0</x:v>
      </x:c>
      <x:c r="K31" s="31" t="n">
        <x:f>MAX(0,-K28)</x:f>
        <x:v>0</x:v>
      </x:c>
      <x:c r="L31" s="31" t="n">
        <x:f>MAX(0,-L28)</x:f>
        <x:v>0</x:v>
      </x:c>
      <x:c r="M31" s="31" t="n">
        <x:f>MAX(0,-M28)</x:f>
        <x:v>0</x:v>
      </x:c>
      <x:c r="N31" s="31" t="n">
        <x:f>MAX(0,-N28)</x:f>
        <x:v>0</x:v>
      </x:c>
      <x:c r="O31" s="31" t="n">
        <x:f>MAX(0,-O28)</x:f>
        <x:v>0</x:v>
      </x:c>
      <x:c r="P31" s="31" t="n">
        <x:f>MAX(0,-P28)</x:f>
        <x:v>0</x:v>
      </x:c>
      <x:c r="Q31" s="31" t="n">
        <x:f>MAX(0,-Q28)</x:f>
        <x:v>0</x:v>
      </x:c>
      <x:c r="R31" s="31" t="n">
        <x:f>MAX(0,-R28)</x:f>
        <x:v>0</x:v>
      </x:c>
      <x:c r="S31" s="31" t="n">
        <x:f>MAX(0,-S28)</x:f>
        <x:v>0</x:v>
      </x:c>
      <x:c r="T31" s="31" t="n">
        <x:f>MAX(0,-T28)</x:f>
        <x:v>0</x:v>
      </x:c>
      <x:c r="U31" s="31" t="n">
        <x:f>MAX(0,-U28)</x:f>
        <x:v>0</x:v>
      </x:c>
      <x:c r="V31" s="31" t="n">
        <x:f>MAX(0,-V28)</x:f>
        <x:v>0</x:v>
      </x:c>
      <x:c r="W31" s="31" t="n">
        <x:f>MAX(0,-W28)</x:f>
        <x:v>0</x:v>
      </x:c>
    </x:row>
    <x:row r="32" ht="17" customHeight="1">
      <x:c r="A32" s="1"/>
      <x:c r="B32" s="1"/>
      <x:c r="C32" s="1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10"/>
      <x:c r="O32" s="10"/>
      <x:c r="P32" s="10"/>
      <x:c r="Q32" s="10"/>
      <x:c r="R32" s="10"/>
      <x:c r="S32" s="10"/>
      <x:c r="T32" s="10"/>
      <x:c r="U32" s="10"/>
      <x:c r="V32" s="10"/>
      <x:c r="W32" s="10"/>
    </x:row>
    <x:row r="33" ht="17" customHeight="1">
      <x:c r="A33" s="1"/>
      <x:c r="B33" s="1"/>
      <x:c r="C33" s="1" t="str">
        <x:v>Year 1 monthly pooled peak shortfall</x:v>
      </x:c>
      <x:c r="D33" s="10" t="n">
        <x:f>'Monthly cash'!$K$20</x:f>
        <x:v>25216.872599999995</x:v>
      </x:c>
      <x:c r="E33" s="10" t="n">
        <x:f>'Monthly cash'!$K$20</x:f>
        <x:v>25216.872599999995</x:v>
      </x:c>
      <x:c r="F33" s="10" t="n">
        <x:f>'Monthly cash'!$K$20</x:f>
        <x:v>25216.872599999995</x:v>
      </x:c>
      <x:c r="G33" s="10" t="n">
        <x:f>'Monthly cash'!$K$20</x:f>
        <x:v>25216.872599999995</x:v>
      </x:c>
      <x:c r="H33" s="10" t="n">
        <x:f>'Monthly cash'!$K$20</x:f>
        <x:v>25216.872599999995</x:v>
      </x:c>
      <x:c r="I33" s="10" t="n">
        <x:f>'Monthly cash'!$K$20</x:f>
        <x:v>25216.872599999995</x:v>
      </x:c>
      <x:c r="J33" s="10" t="n">
        <x:f>'Monthly cash'!$K$20</x:f>
        <x:v>25216.872599999995</x:v>
      </x:c>
      <x:c r="K33" s="10" t="n">
        <x:f>'Monthly cash'!$K$20</x:f>
        <x:v>25216.872599999995</x:v>
      </x:c>
      <x:c r="L33" s="10" t="n">
        <x:f>'Monthly cash'!$K$20</x:f>
        <x:v>25216.872599999995</x:v>
      </x:c>
      <x:c r="M33" s="10" t="n">
        <x:f>'Monthly cash'!$K$20</x:f>
        <x:v>25216.872599999995</x:v>
      </x:c>
      <x:c r="N33" s="10" t="n">
        <x:f>'Monthly cash'!$K$20</x:f>
        <x:v>25216.872599999995</x:v>
      </x:c>
      <x:c r="O33" s="10" t="n">
        <x:f>'Monthly cash'!$K$20</x:f>
        <x:v>25216.872599999995</x:v>
      </x:c>
      <x:c r="P33" s="10" t="n">
        <x:f>'Monthly cash'!$K$20</x:f>
        <x:v>25216.872599999995</x:v>
      </x:c>
      <x:c r="Q33" s="10" t="n">
        <x:f>'Monthly cash'!$K$20</x:f>
        <x:v>25216.872599999995</x:v>
      </x:c>
      <x:c r="R33" s="10" t="n">
        <x:f>'Monthly cash'!$K$20</x:f>
        <x:v>25216.872599999995</x:v>
      </x:c>
      <x:c r="S33" s="10" t="n">
        <x:f>'Monthly cash'!$K$20</x:f>
        <x:v>25216.872599999995</x:v>
      </x:c>
      <x:c r="T33" s="10" t="n">
        <x:f>'Monthly cash'!$K$20</x:f>
        <x:v>25216.872599999995</x:v>
      </x:c>
      <x:c r="U33" s="10" t="n">
        <x:f>'Monthly cash'!$K$20</x:f>
        <x:v>25216.872599999995</x:v>
      </x:c>
      <x:c r="V33" s="10" t="n">
        <x:f>'Monthly cash'!$K$20</x:f>
        <x:v>25216.872599999995</x:v>
      </x:c>
      <x:c r="W33" s="10" t="n">
        <x:f>'Monthly cash'!$K$20</x:f>
        <x:v>25216.872599999995</x:v>
      </x:c>
    </x:row>
    <x:row r="34" ht="17" customHeight="1">
      <x:c r="A34" s="1"/>
      <x:c r="B34" s="1"/>
      <x:c r="C34" s="1" t="str">
        <x:v>Target cash gate satisfied by verified funds?</x:v>
      </x:c>
      <x:c r="D34" s="33" t="str">
        <x:v>Not established</x:v>
      </x:c>
      <x:c r="E34" s="33" t="str">
        <x:v>Not established</x:v>
      </x:c>
      <x:c r="F34" s="33" t="str">
        <x:v>Not established</x:v>
      </x:c>
      <x:c r="G34" s="33" t="str">
        <x:v>Not established</x:v>
      </x:c>
      <x:c r="H34" s="33" t="str">
        <x:v>Not established</x:v>
      </x:c>
      <x:c r="I34" s="33" t="str">
        <x:v>Not established</x:v>
      </x:c>
      <x:c r="J34" s="33" t="str">
        <x:v>Not established</x:v>
      </x:c>
      <x:c r="K34" s="33" t="str">
        <x:v>Not established</x:v>
      </x:c>
      <x:c r="L34" s="33" t="str">
        <x:v>Not established</x:v>
      </x:c>
      <x:c r="M34" s="33" t="str">
        <x:v>Not established</x:v>
      </x:c>
      <x:c r="N34" s="33" t="str">
        <x:v>Not established</x:v>
      </x:c>
      <x:c r="O34" s="33" t="str">
        <x:v>Not established</x:v>
      </x:c>
      <x:c r="P34" s="33" t="str">
        <x:v>Not established</x:v>
      </x:c>
      <x:c r="Q34" s="33" t="str">
        <x:v>Not established</x:v>
      </x:c>
      <x:c r="R34" s="33" t="str">
        <x:v>Not established</x:v>
      </x:c>
      <x:c r="S34" s="33" t="str">
        <x:v>Not established</x:v>
      </x:c>
      <x:c r="T34" s="33" t="str">
        <x:v>Not established</x:v>
      </x:c>
      <x:c r="U34" s="33" t="str">
        <x:v>Not established</x:v>
      </x:c>
      <x:c r="V34" s="33" t="str">
        <x:v>Not established</x:v>
      </x:c>
      <x:c r="W34" s="33" t="str">
        <x:v>Not established</x:v>
      </x:c>
    </x:row>
    <x:row r="35" ht="17" customHeight="1">
      <x:c r="A35" s="1"/>
      <x:c r="B35" s="1"/>
      <x:c r="C35" s="1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</x:row>
    <x:row r="36" ht="17" customHeight="1">
      <x:c r="A36" s="1"/>
      <x:c r="B36" s="1"/>
      <x:c r="C36" s="30" t="str">
        <x:v>Cash-flow / balance-sheet cash reconciliation</x:v>
      </x:c>
      <x:c r="D36" s="32" t="n">
        <x:f>D30-'Balance sheet'!D9</x:f>
        <x:v>0</x:v>
      </x:c>
      <x:c r="E36" s="32" t="n">
        <x:f>E30-'Balance sheet'!E9</x:f>
        <x:v>0</x:v>
      </x:c>
      <x:c r="F36" s="32" t="n">
        <x:f>F30-'Balance sheet'!F9</x:f>
        <x:v>0</x:v>
      </x:c>
      <x:c r="G36" s="32" t="n">
        <x:f>G30-'Balance sheet'!G9</x:f>
        <x:v>0</x:v>
      </x:c>
      <x:c r="H36" s="32" t="n">
        <x:f>H30-'Balance sheet'!H9</x:f>
        <x:v>0</x:v>
      </x:c>
      <x:c r="I36" s="32" t="n">
        <x:f>I30-'Balance sheet'!I9</x:f>
        <x:v>0</x:v>
      </x:c>
      <x:c r="J36" s="32" t="n">
        <x:f>J30-'Balance sheet'!J9</x:f>
        <x:v>0</x:v>
      </x:c>
      <x:c r="K36" s="32" t="n">
        <x:f>K30-'Balance sheet'!K9</x:f>
        <x:v>0</x:v>
      </x:c>
      <x:c r="L36" s="32" t="n">
        <x:f>L30-'Balance sheet'!L9</x:f>
        <x:v>0</x:v>
      </x:c>
      <x:c r="M36" s="32" t="n">
        <x:f>M30-'Balance sheet'!M9</x:f>
        <x:v>0</x:v>
      </x:c>
      <x:c r="N36" s="32" t="n">
        <x:f>N30-'Balance sheet'!N9</x:f>
        <x:v>0</x:v>
      </x:c>
      <x:c r="O36" s="32" t="n">
        <x:f>O30-'Balance sheet'!O9</x:f>
        <x:v>0</x:v>
      </x:c>
      <x:c r="P36" s="32" t="n">
        <x:f>P30-'Balance sheet'!P9</x:f>
        <x:v>0</x:v>
      </x:c>
      <x:c r="Q36" s="32" t="n">
        <x:f>Q30-'Balance sheet'!Q9</x:f>
        <x:v>0</x:v>
      </x:c>
      <x:c r="R36" s="32" t="n">
        <x:f>R30-'Balance sheet'!R9</x:f>
        <x:v>0</x:v>
      </x:c>
      <x:c r="S36" s="32" t="n">
        <x:f>S30-'Balance sheet'!S9</x:f>
        <x:v>0</x:v>
      </x:c>
      <x:c r="T36" s="32" t="n">
        <x:f>T30-'Balance sheet'!T9</x:f>
        <x:v>0</x:v>
      </x:c>
      <x:c r="U36" s="32" t="n">
        <x:f>U30-'Balance sheet'!U9</x:f>
        <x:v>0</x:v>
      </x:c>
      <x:c r="V36" s="32" t="n">
        <x:f>V30-'Balance sheet'!V9</x:f>
        <x:v>0</x:v>
      </x:c>
      <x:c r="W36" s="32" t="n">
        <x:f>W30-'Balance sheet'!W9</x:f>
        <x:v>0</x:v>
      </x:c>
    </x:row>
    <x:row r="37" ht="17" customHeight="1">
      <x:c r="A37" s="1"/>
      <x:c r="B37" s="1"/>
      <x:c r="C37" s="30" t="str">
        <x:v>Cash deficit / balance-sheet residual reconciliation</x:v>
      </x:c>
      <x:c r="D37" s="32" t="n">
        <x:f>D31-'Balance sheet'!D35</x:f>
        <x:v>0</x:v>
      </x:c>
      <x:c r="E37" s="32" t="n">
        <x:f>E31-'Balance sheet'!E35</x:f>
        <x:v>0</x:v>
      </x:c>
      <x:c r="F37" s="32" t="n">
        <x:f>F31-'Balance sheet'!F35</x:f>
        <x:v>0</x:v>
      </x:c>
      <x:c r="G37" s="32" t="n">
        <x:f>G31-'Balance sheet'!G35</x:f>
        <x:v>0</x:v>
      </x:c>
      <x:c r="H37" s="32" t="n">
        <x:f>H31-'Balance sheet'!H35</x:f>
        <x:v>0</x:v>
      </x:c>
      <x:c r="I37" s="32" t="n">
        <x:f>I31-'Balance sheet'!I35</x:f>
        <x:v>0</x:v>
      </x:c>
      <x:c r="J37" s="32" t="n">
        <x:f>J31-'Balance sheet'!J35</x:f>
        <x:v>0</x:v>
      </x:c>
      <x:c r="K37" s="32" t="n">
        <x:f>K31-'Balance sheet'!K35</x:f>
        <x:v>0</x:v>
      </x:c>
      <x:c r="L37" s="32" t="n">
        <x:f>L31-'Balance sheet'!L35</x:f>
        <x:v>0</x:v>
      </x:c>
      <x:c r="M37" s="32" t="n">
        <x:f>M31-'Balance sheet'!M35</x:f>
        <x:v>0</x:v>
      </x:c>
      <x:c r="N37" s="32" t="n">
        <x:f>N31-'Balance sheet'!N35</x:f>
        <x:v>0</x:v>
      </x:c>
      <x:c r="O37" s="32" t="n">
        <x:f>O31-'Balance sheet'!O35</x:f>
        <x:v>0</x:v>
      </x:c>
      <x:c r="P37" s="32" t="n">
        <x:f>P31-'Balance sheet'!P35</x:f>
        <x:v>0</x:v>
      </x:c>
      <x:c r="Q37" s="32" t="n">
        <x:f>Q31-'Balance sheet'!Q35</x:f>
        <x:v>0</x:v>
      </x:c>
      <x:c r="R37" s="32" t="n">
        <x:f>R31-'Balance sheet'!R35</x:f>
        <x:v>0</x:v>
      </x:c>
      <x:c r="S37" s="32" t="n">
        <x:f>S31-'Balance sheet'!S35</x:f>
        <x:v>0</x:v>
      </x:c>
      <x:c r="T37" s="32" t="n">
        <x:f>T31-'Balance sheet'!T35</x:f>
        <x:v>0</x:v>
      </x:c>
      <x:c r="U37" s="32" t="n">
        <x:f>U31-'Balance sheet'!U35</x:f>
        <x:v>0</x:v>
      </x:c>
      <x:c r="V37" s="32" t="n">
        <x:f>V31-'Balance sheet'!V35</x:f>
        <x:v>0</x:v>
      </x:c>
      <x:c r="W37" s="32" t="n">
        <x:f>W31-'Balance sheet'!W35</x:f>
        <x:v>0</x:v>
      </x:c>
    </x:row>
    <x:row r="38" ht="48" customHeight="1">
      <x:c r="A38" s="1"/>
      <x:c r="B38" s="1"/>
      <x:c r="C38" s="1"/>
      <x:c r="D38" s="34"/>
      <x:c r="E38" s="34"/>
      <x:c r="F38" s="34"/>
      <x:c r="G38" s="34"/>
      <x:c r="H38" s="34"/>
      <x:c r="I38" s="34"/>
      <x:c r="J38" s="34"/>
      <x:c r="K38" s="34"/>
      <x:c r="L38" s="34"/>
      <x:c r="M38" s="34"/>
      <x:c r="N38" s="34"/>
      <x:c r="O38" s="34"/>
      <x:c r="P38" s="34"/>
      <x:c r="Q38" s="34"/>
      <x:c r="R38" s="34"/>
      <x:c r="S38" s="34"/>
      <x:c r="T38" s="34"/>
      <x:c r="U38" s="34"/>
      <x:c r="V38" s="34"/>
      <x:c r="W38" s="34"/>
    </x:row>
    <x:row r="39" ht="17" customHeight="1">
      <x:c r="A39" s="1"/>
      <x:c r="B39" s="1"/>
      <x:c r="C39" s="1"/>
      <x:c r="D39" s="10"/>
      <x:c r="E39" s="10"/>
      <x:c r="F39" s="10"/>
      <x:c r="G39" s="10"/>
      <x:c r="H39" s="10"/>
      <x:c r="I39" s="10"/>
      <x:c r="J39" s="10"/>
      <x:c r="K39" s="10"/>
      <x:c r="L39" s="10"/>
      <x:c r="M39" s="10"/>
      <x:c r="N39" s="10"/>
      <x:c r="O39" s="10"/>
      <x:c r="P39" s="10"/>
      <x:c r="Q39" s="10"/>
      <x:c r="R39" s="10"/>
      <x:c r="S39" s="10"/>
      <x:c r="T39" s="10"/>
      <x:c r="U39" s="10"/>
      <x:c r="V39" s="10"/>
      <x:c r="W39" s="10"/>
    </x:row>
    <x:row r="40" ht="17" customHeight="1">
      <x:c r="A40" s="1"/>
      <x:c r="B40" s="1"/>
      <x:c r="C40" s="1" t="str">
        <x:v>A signed cash diagnostic is not a negative cash asset. Any deficit remains outside recognized debt/equity.</x:v>
      </x:c>
      <x:c r="D40" s="10"/>
      <x:c r="E40" s="10"/>
      <x:c r="F40" s="10"/>
      <x:c r="G40" s="10"/>
      <x:c r="H40" s="10"/>
      <x:c r="I40" s="10"/>
      <x:c r="J40" s="10"/>
      <x:c r="K40" s="10"/>
      <x:c r="L40" s="10"/>
      <x:c r="M40" s="10"/>
      <x:c r="N40" s="10"/>
      <x:c r="O40" s="10"/>
      <x:c r="P40" s="10"/>
      <x:c r="Q40" s="10"/>
      <x:c r="R40" s="10"/>
      <x:c r="S40" s="10"/>
      <x:c r="T40" s="10"/>
      <x:c r="U40" s="10"/>
      <x:c r="V40" s="10"/>
      <x:c r="W40" s="10"/>
    </x:row>
    <x:row r="41" ht="17" customHeight="1">
      <x:c r="A41" s="1"/>
      <x:c r="B41" s="1"/>
      <x:c r="C41" s="1" t="str">
        <x:v>Immediate payments and year-end tax settlement preserve the original comparison. Actual payment terms are unknown.</x:v>
      </x:c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10"/>
      <x:c r="O41" s="10"/>
      <x:c r="P41" s="10"/>
      <x:c r="Q41" s="10"/>
      <x:c r="R41" s="10"/>
      <x:c r="S41" s="10"/>
      <x:c r="T41" s="10"/>
      <x:c r="U41" s="10"/>
      <x:c r="V41" s="10"/>
      <x:c r="W41" s="10"/>
    </x:row>
    <x:row r="42" ht="17" customHeight="1">
      <x:c r="A42" s="1"/>
      <x:c r="B42" s="1"/>
      <x:c r="C42" s="1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  <x:c r="O42" s="10"/>
      <x:c r="P42" s="10"/>
      <x:c r="Q42" s="10"/>
      <x:c r="R42" s="10"/>
      <x:c r="S42" s="10"/>
      <x:c r="T42" s="10"/>
      <x:c r="U42" s="10"/>
      <x:c r="V42" s="10"/>
      <x:c r="W42" s="10"/>
    </x:row>
    <x:row r="43" ht="17" customHeight="1">
      <x:c r="A43" s="1"/>
      <x:c r="B43" s="1"/>
      <x:c r="C43" s="1"/>
      <x:c r="D43" s="10"/>
      <x:c r="E43" s="10"/>
      <x:c r="F43" s="10"/>
      <x:c r="G43" s="10"/>
      <x:c r="H43" s="10"/>
      <x:c r="I43" s="10"/>
      <x:c r="J43" s="10"/>
      <x:c r="K43" s="10"/>
      <x:c r="L43" s="10"/>
      <x:c r="M43" s="10"/>
      <x:c r="N43" s="10"/>
      <x:c r="O43" s="10"/>
      <x:c r="P43" s="10"/>
      <x:c r="Q43" s="10"/>
      <x:c r="R43" s="10"/>
      <x:c r="S43" s="10"/>
      <x:c r="T43" s="10"/>
      <x:c r="U43" s="10"/>
      <x:c r="V43" s="10"/>
      <x:c r="W43" s="10"/>
    </x:row>
    <x:row r="44" ht="17" customHeight="1">
      <x:c r="A44" s="1"/>
      <x:c r="B44" s="1"/>
      <x:c r="C44" s="1"/>
      <x:c r="D44" s="10"/>
      <x:c r="E44" s="10"/>
      <x:c r="F44" s="10"/>
      <x:c r="G44" s="10"/>
      <x:c r="H44" s="10"/>
      <x:c r="I44" s="10"/>
      <x:c r="J44" s="10"/>
      <x:c r="K44" s="10"/>
      <x:c r="L44" s="10"/>
      <x:c r="M44" s="10"/>
      <x:c r="N44" s="10"/>
      <x:c r="O44" s="10"/>
      <x:c r="P44" s="10"/>
      <x:c r="Q44" s="10"/>
      <x:c r="R44" s="10"/>
      <x:c r="S44" s="10"/>
      <x:c r="T44" s="10"/>
      <x:c r="U44" s="10"/>
      <x:c r="V44" s="10"/>
      <x:c r="W44" s="10"/>
    </x:row>
    <x:row r="45" ht="17" customHeight="1">
      <x:c r="A45" s="1"/>
      <x:c r="B45" s="1"/>
      <x:c r="C45" s="1"/>
      <x:c r="D45" s="10"/>
      <x:c r="E45" s="10"/>
      <x:c r="F45" s="10"/>
      <x:c r="G45" s="10"/>
      <x:c r="H45" s="10"/>
      <x:c r="I45" s="10"/>
      <x:c r="J45" s="10"/>
      <x:c r="K45" s="10"/>
      <x:c r="L45" s="10"/>
      <x:c r="M45" s="10"/>
      <x:c r="N45" s="10"/>
      <x:c r="O45" s="10"/>
      <x:c r="P45" s="10"/>
      <x:c r="Q45" s="10"/>
      <x:c r="R45" s="10"/>
      <x:c r="S45" s="10"/>
      <x:c r="T45" s="10"/>
      <x:c r="U45" s="10"/>
      <x:c r="V45" s="10"/>
      <x:c r="W45" s="10"/>
    </x:row>
    <x:row r="46" ht="17" customHeight="1">
      <x:c r="A46" s="1"/>
      <x:c r="B46" s="1"/>
      <x:c r="C46" s="1"/>
      <x:c r="D46" s="10"/>
      <x:c r="E46" s="10"/>
      <x:c r="F46" s="10"/>
      <x:c r="G46" s="10"/>
      <x:c r="H46" s="10"/>
      <x:c r="I46" s="10"/>
      <x:c r="J46" s="10"/>
      <x:c r="K46" s="10"/>
      <x:c r="L46" s="10"/>
      <x:c r="M46" s="10"/>
      <x:c r="N46" s="10"/>
      <x:c r="O46" s="10"/>
      <x:c r="P46" s="10"/>
      <x:c r="Q46" s="10"/>
      <x:c r="R46" s="10"/>
      <x:c r="S46" s="10"/>
      <x:c r="T46" s="10"/>
      <x:c r="U46" s="10"/>
      <x:c r="V46" s="10"/>
      <x:c r="W46" s="10"/>
    </x:row>
    <x:row r="47" ht="17" customHeight="1">
      <x:c r="A47" s="1"/>
      <x:c r="B47" s="1"/>
      <x:c r="C47" s="1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  <x:c r="N47" s="10"/>
      <x:c r="O47" s="10"/>
      <x:c r="P47" s="10"/>
      <x:c r="Q47" s="10"/>
      <x:c r="R47" s="10"/>
      <x:c r="S47" s="10"/>
      <x:c r="T47" s="10"/>
      <x:c r="U47" s="10"/>
      <x:c r="V47" s="10"/>
      <x:c r="W47" s="10"/>
    </x:row>
    <x:row r="48" ht="17" customHeight="1">
      <x:c r="A48" s="1"/>
      <x:c r="B48" s="1"/>
      <x:c r="C48" s="1"/>
      <x:c r="D48" s="10"/>
      <x:c r="E48" s="10"/>
      <x:c r="F48" s="10"/>
      <x:c r="G48" s="10"/>
      <x:c r="H48" s="10"/>
      <x:c r="I48" s="10"/>
      <x:c r="J48" s="10"/>
      <x:c r="K48" s="10"/>
      <x:c r="L48" s="10"/>
      <x:c r="M48" s="10"/>
      <x:c r="N48" s="10"/>
      <x:c r="O48" s="10"/>
      <x:c r="P48" s="10"/>
      <x:c r="Q48" s="10"/>
      <x:c r="R48" s="10"/>
      <x:c r="S48" s="10"/>
      <x:c r="T48" s="10"/>
      <x:c r="U48" s="10"/>
      <x:c r="V48" s="10"/>
      <x:c r="W48" s="10"/>
    </x:row>
    <x:row r="49" ht="17" customHeight="1">
      <x:c r="A49" s="1"/>
      <x:c r="B49" s="1"/>
      <x:c r="C49" s="1"/>
      <x:c r="D49" s="10"/>
      <x:c r="E49" s="10"/>
      <x:c r="F49" s="10"/>
      <x:c r="G49" s="10"/>
      <x:c r="H49" s="10"/>
      <x:c r="I49" s="10"/>
      <x:c r="J49" s="10"/>
      <x:c r="K49" s="10"/>
      <x:c r="L49" s="10"/>
      <x:c r="M49" s="10"/>
      <x:c r="N49" s="10"/>
      <x:c r="O49" s="10"/>
      <x:c r="P49" s="10"/>
      <x:c r="Q49" s="10"/>
      <x:c r="R49" s="10"/>
      <x:c r="S49" s="10"/>
      <x:c r="T49" s="10"/>
      <x:c r="U49" s="10"/>
      <x:c r="V49" s="10"/>
      <x:c r="W49" s="10"/>
    </x:row>
    <x:row r="50" ht="17" customHeight="1">
      <x:c r="A50" s="1"/>
      <x:c r="B50" s="1"/>
      <x:c r="C50" s="1"/>
      <x:c r="D50" s="10"/>
      <x:c r="E50" s="10"/>
      <x:c r="F50" s="10"/>
      <x:c r="G50" s="10"/>
      <x:c r="H50" s="10"/>
      <x:c r="I50" s="10"/>
      <x:c r="J50" s="10"/>
      <x:c r="K50" s="10"/>
      <x:c r="L50" s="10"/>
      <x:c r="M50" s="10"/>
      <x:c r="N50" s="10"/>
      <x:c r="O50" s="10"/>
      <x:c r="P50" s="10"/>
      <x:c r="Q50" s="10"/>
      <x:c r="R50" s="10"/>
      <x:c r="S50" s="10"/>
      <x:c r="T50" s="10"/>
      <x:c r="U50" s="10"/>
      <x:c r="V50" s="10"/>
      <x:c r="W50" s="10"/>
    </x:row>
    <x:row r="51" ht="17" customHeight="1">
      <x:c r="A51" s="1"/>
      <x:c r="B51" s="1"/>
      <x:c r="C51" s="1"/>
      <x:c r="D51" s="10"/>
      <x:c r="E51" s="10"/>
      <x:c r="F51" s="10"/>
      <x:c r="G51" s="10"/>
      <x:c r="H51" s="10"/>
      <x:c r="I51" s="10"/>
      <x:c r="J51" s="10"/>
      <x:c r="K51" s="10"/>
      <x:c r="L51" s="10"/>
      <x:c r="M51" s="10"/>
      <x:c r="N51" s="10"/>
      <x:c r="O51" s="10"/>
      <x:c r="P51" s="10"/>
      <x:c r="Q51" s="10"/>
      <x:c r="R51" s="10"/>
      <x:c r="S51" s="10"/>
      <x:c r="T51" s="10"/>
      <x:c r="U51" s="10"/>
      <x:c r="V51" s="10"/>
      <x:c r="W51" s="10"/>
    </x:row>
    <x:row r="52" ht="17" customHeight="1">
      <x:c r="A52" s="1"/>
      <x:c r="B52" s="1"/>
      <x:c r="C52" s="1"/>
      <x:c r="D52" s="10"/>
      <x:c r="E52" s="10"/>
      <x:c r="F52" s="10"/>
      <x:c r="G52" s="10"/>
      <x:c r="H52" s="10"/>
      <x:c r="I52" s="10"/>
      <x:c r="J52" s="10"/>
      <x:c r="K52" s="10"/>
      <x:c r="L52" s="10"/>
      <x:c r="M52" s="10"/>
      <x:c r="N52" s="10"/>
      <x:c r="O52" s="10"/>
      <x:c r="P52" s="10"/>
      <x:c r="Q52" s="10"/>
      <x:c r="R52" s="10"/>
      <x:c r="S52" s="10"/>
      <x:c r="T52" s="10"/>
      <x:c r="U52" s="10"/>
      <x:c r="V52" s="10"/>
      <x:c r="W52" s="10"/>
    </x:row>
    <x:row r="53" ht="17" customHeight="1">
      <x:c r="A53" s="1"/>
      <x:c r="B53" s="1"/>
      <x:c r="C53" s="1"/>
      <x:c r="D53" s="10"/>
      <x:c r="E53" s="10"/>
      <x:c r="F53" s="10"/>
      <x:c r="G53" s="10"/>
      <x:c r="H53" s="10"/>
      <x:c r="I53" s="10"/>
      <x:c r="J53" s="10"/>
      <x:c r="K53" s="10"/>
      <x:c r="L53" s="10"/>
      <x:c r="M53" s="10"/>
      <x:c r="N53" s="10"/>
      <x:c r="O53" s="10"/>
      <x:c r="P53" s="10"/>
      <x:c r="Q53" s="10"/>
      <x:c r="R53" s="10"/>
      <x:c r="S53" s="10"/>
      <x:c r="T53" s="10"/>
      <x:c r="U53" s="10"/>
      <x:c r="V53" s="10"/>
      <x:c r="W53" s="10"/>
    </x:row>
    <x:row r="54" ht="17" customHeight="1">
      <x:c r="A54" s="1"/>
      <x:c r="B54" s="1"/>
      <x:c r="C54" s="1"/>
      <x:c r="D54" s="10"/>
      <x:c r="E54" s="10"/>
      <x:c r="F54" s="10"/>
      <x:c r="G54" s="10"/>
      <x:c r="H54" s="10"/>
      <x:c r="I54" s="10"/>
      <x:c r="J54" s="10"/>
      <x:c r="K54" s="10"/>
      <x:c r="L54" s="10"/>
      <x:c r="M54" s="10"/>
      <x:c r="N54" s="10"/>
      <x:c r="O54" s="10"/>
      <x:c r="P54" s="10"/>
      <x:c r="Q54" s="10"/>
      <x:c r="R54" s="10"/>
      <x:c r="S54" s="10"/>
      <x:c r="T54" s="10"/>
      <x:c r="U54" s="10"/>
      <x:c r="V54" s="10"/>
      <x:c r="W54" s="10"/>
    </x:row>
    <x:row r="55" ht="17" customHeight="1">
      <x:c r="A55" s="1"/>
      <x:c r="B55" s="1"/>
      <x:c r="C55" s="1"/>
      <x:c r="D55" s="10"/>
      <x:c r="E55" s="10"/>
      <x:c r="F55" s="10"/>
      <x:c r="G55" s="10"/>
      <x:c r="H55" s="10"/>
      <x:c r="I55" s="10"/>
      <x:c r="J55" s="10"/>
      <x:c r="K55" s="10"/>
      <x:c r="L55" s="10"/>
      <x:c r="M55" s="10"/>
      <x:c r="N55" s="10"/>
      <x:c r="O55" s="10"/>
      <x:c r="P55" s="10"/>
      <x:c r="Q55" s="10"/>
      <x:c r="R55" s="10"/>
      <x:c r="S55" s="10"/>
      <x:c r="T55" s="10"/>
      <x:c r="U55" s="10"/>
      <x:c r="V55" s="10"/>
      <x:c r="W55" s="10"/>
    </x:row>
    <x:row r="56" ht="17" customHeight="1">
      <x:c r="A56" s="1"/>
      <x:c r="B56" s="1"/>
      <x:c r="C56" s="1"/>
      <x:c r="D56" s="10"/>
      <x:c r="E56" s="10"/>
      <x:c r="F56" s="10"/>
      <x:c r="G56" s="10"/>
      <x:c r="H56" s="10"/>
      <x:c r="I56" s="10"/>
      <x:c r="J56" s="10"/>
      <x:c r="K56" s="10"/>
      <x:c r="L56" s="10"/>
      <x:c r="M56" s="10"/>
      <x:c r="N56" s="10"/>
      <x:c r="O56" s="10"/>
      <x:c r="P56" s="10"/>
      <x:c r="Q56" s="10"/>
      <x:c r="R56" s="10"/>
      <x:c r="S56" s="10"/>
      <x:c r="T56" s="10"/>
      <x:c r="U56" s="10"/>
      <x:c r="V56" s="10"/>
      <x:c r="W56" s="10"/>
    </x:row>
    <x:row r="57" ht="17" customHeight="1">
      <x:c r="A57" s="1"/>
      <x:c r="B57" s="1"/>
      <x:c r="C57" s="1"/>
      <x:c r="D57" s="10"/>
      <x:c r="E57" s="10"/>
      <x:c r="F57" s="10"/>
      <x:c r="G57" s="10"/>
      <x:c r="H57" s="10"/>
      <x:c r="I57" s="10"/>
      <x:c r="J57" s="10"/>
      <x:c r="K57" s="10"/>
      <x:c r="L57" s="10"/>
      <x:c r="M57" s="10"/>
      <x:c r="N57" s="10"/>
      <x:c r="O57" s="10"/>
      <x:c r="P57" s="10"/>
      <x:c r="Q57" s="10"/>
      <x:c r="R57" s="10"/>
      <x:c r="S57" s="10"/>
      <x:c r="T57" s="10"/>
      <x:c r="U57" s="10"/>
      <x:c r="V57" s="10"/>
      <x:c r="W57" s="10"/>
    </x:row>
    <x:row r="58" ht="17" customHeight="1">
      <x:c r="A58" s="1"/>
      <x:c r="B58" s="1"/>
      <x:c r="C58" s="1"/>
      <x:c r="D58" s="10"/>
      <x:c r="E58" s="10"/>
      <x:c r="F58" s="10"/>
      <x:c r="G58" s="10"/>
      <x:c r="H58" s="10"/>
      <x:c r="I58" s="10"/>
      <x:c r="J58" s="10"/>
      <x:c r="K58" s="10"/>
      <x:c r="L58" s="10"/>
      <x:c r="M58" s="10"/>
      <x:c r="N58" s="10"/>
      <x:c r="O58" s="10"/>
      <x:c r="P58" s="10"/>
      <x:c r="Q58" s="10"/>
      <x:c r="R58" s="10"/>
      <x:c r="S58" s="10"/>
      <x:c r="T58" s="10"/>
      <x:c r="U58" s="10"/>
      <x:c r="V58" s="10"/>
      <x:c r="W58" s="10"/>
    </x:row>
    <x:row r="59" ht="17" customHeight="1">
      <x:c r="A59" s="1"/>
      <x:c r="B59" s="1"/>
      <x:c r="C59" s="1"/>
      <x:c r="D59" s="10"/>
      <x:c r="E59" s="10"/>
      <x:c r="F59" s="10"/>
      <x:c r="G59" s="10"/>
      <x:c r="H59" s="10"/>
      <x:c r="I59" s="10"/>
      <x:c r="J59" s="10"/>
      <x:c r="K59" s="10"/>
      <x:c r="L59" s="10"/>
      <x:c r="M59" s="10"/>
      <x:c r="N59" s="10"/>
      <x:c r="O59" s="10"/>
      <x:c r="P59" s="10"/>
      <x:c r="Q59" s="10"/>
      <x:c r="R59" s="10"/>
      <x:c r="S59" s="10"/>
      <x:c r="T59" s="10"/>
      <x:c r="U59" s="10"/>
      <x:c r="V59" s="10"/>
      <x:c r="W59" s="10"/>
    </x:row>
    <x:row r="60" ht="17" customHeight="1">
      <x:c r="A60" s="1"/>
      <x:c r="B60" s="1"/>
      <x:c r="C60" s="1"/>
      <x:c r="D60" s="10"/>
      <x:c r="E60" s="10"/>
      <x:c r="F60" s="10"/>
      <x:c r="G60" s="10"/>
      <x:c r="H60" s="10"/>
      <x:c r="I60" s="10"/>
      <x:c r="J60" s="10"/>
      <x:c r="K60" s="10"/>
      <x:c r="L60" s="10"/>
      <x:c r="M60" s="10"/>
      <x:c r="N60" s="10"/>
      <x:c r="O60" s="10"/>
      <x:c r="P60" s="10"/>
      <x:c r="Q60" s="10"/>
      <x:c r="R60" s="10"/>
      <x:c r="S60" s="10"/>
      <x:c r="T60" s="10"/>
      <x:c r="U60" s="10"/>
      <x:c r="V60" s="10"/>
      <x:c r="W60" s="10"/>
    </x:row>
    <x:row r="61" ht="17" customHeight="1">
      <x:c r="A61" s="1"/>
      <x:c r="B61" s="1"/>
      <x:c r="C61" s="1"/>
      <x:c r="D61" s="10"/>
      <x:c r="E61" s="10"/>
      <x:c r="F61" s="10"/>
      <x:c r="G61" s="10"/>
      <x:c r="H61" s="10"/>
      <x:c r="I61" s="10"/>
      <x:c r="J61" s="10"/>
      <x:c r="K61" s="10"/>
      <x:c r="L61" s="10"/>
      <x:c r="M61" s="10"/>
      <x:c r="N61" s="10"/>
      <x:c r="O61" s="10"/>
      <x:c r="P61" s="10"/>
      <x:c r="Q61" s="10"/>
      <x:c r="R61" s="10"/>
      <x:c r="S61" s="10"/>
      <x:c r="T61" s="10"/>
      <x:c r="U61" s="10"/>
      <x:c r="V61" s="10"/>
      <x:c r="W61" s="10"/>
    </x:row>
    <x:row r="62" ht="17" customHeight="1">
      <x:c r="A62" s="1"/>
      <x:c r="B62" s="1"/>
      <x:c r="C62" s="1"/>
      <x:c r="D62" s="10"/>
      <x:c r="E62" s="10"/>
      <x:c r="F62" s="10"/>
      <x:c r="G62" s="10"/>
      <x:c r="H62" s="10"/>
      <x:c r="I62" s="10"/>
      <x:c r="J62" s="10"/>
      <x:c r="K62" s="10"/>
      <x:c r="L62" s="10"/>
      <x:c r="M62" s="10"/>
      <x:c r="N62" s="10"/>
      <x:c r="O62" s="10"/>
      <x:c r="P62" s="10"/>
      <x:c r="Q62" s="10"/>
      <x:c r="R62" s="10"/>
      <x:c r="S62" s="10"/>
      <x:c r="T62" s="10"/>
      <x:c r="U62" s="10"/>
      <x:c r="V62" s="10"/>
      <x:c r="W62" s="10"/>
    </x:row>
    <x:row r="63" ht="17" customHeight="1">
      <x:c r="A63" s="1"/>
      <x:c r="B63" s="1"/>
      <x:c r="C63" s="1"/>
      <x:c r="D63" s="10"/>
      <x:c r="E63" s="10"/>
      <x:c r="F63" s="10"/>
      <x:c r="G63" s="10"/>
      <x:c r="H63" s="10"/>
      <x:c r="I63" s="10"/>
      <x:c r="J63" s="10"/>
      <x:c r="K63" s="10"/>
      <x:c r="L63" s="10"/>
      <x:c r="M63" s="10"/>
      <x:c r="N63" s="10"/>
      <x:c r="O63" s="10"/>
      <x:c r="P63" s="10"/>
      <x:c r="Q63" s="10"/>
      <x:c r="R63" s="10"/>
      <x:c r="S63" s="10"/>
      <x:c r="T63" s="10"/>
      <x:c r="U63" s="10"/>
      <x:c r="V63" s="10"/>
      <x:c r="W63" s="10"/>
    </x:row>
    <x:row r="64" ht="17" customHeight="1">
      <x:c r="A64" s="1"/>
      <x:c r="B64" s="1"/>
      <x:c r="C64" s="1"/>
      <x:c r="D64" s="10"/>
      <x:c r="E64" s="10"/>
      <x:c r="F64" s="10"/>
      <x:c r="G64" s="10"/>
      <x:c r="H64" s="10"/>
      <x:c r="I64" s="10"/>
      <x:c r="J64" s="10"/>
      <x:c r="K64" s="10"/>
      <x:c r="L64" s="10"/>
      <x:c r="M64" s="10"/>
      <x:c r="N64" s="10"/>
      <x:c r="O64" s="10"/>
      <x:c r="P64" s="10"/>
      <x:c r="Q64" s="10"/>
      <x:c r="R64" s="10"/>
      <x:c r="S64" s="10"/>
      <x:c r="T64" s="10"/>
      <x:c r="U64" s="10"/>
      <x:c r="V64" s="10"/>
      <x:c r="W64" s="10"/>
    </x:row>
    <x:row r="65" ht="17" customHeight="1">
      <x:c r="A65" s="1"/>
      <x:c r="B65" s="1"/>
      <x:c r="C65" s="1"/>
      <x:c r="D65" s="10"/>
      <x:c r="E65" s="10"/>
      <x:c r="F65" s="10"/>
      <x:c r="G65" s="10"/>
      <x:c r="H65" s="10"/>
      <x:c r="I65" s="10"/>
      <x:c r="J65" s="10"/>
      <x:c r="K65" s="10"/>
      <x:c r="L65" s="10"/>
      <x:c r="M65" s="10"/>
      <x:c r="N65" s="10"/>
      <x:c r="O65" s="10"/>
      <x:c r="P65" s="10"/>
      <x:c r="Q65" s="10"/>
      <x:c r="R65" s="10"/>
      <x:c r="S65" s="10"/>
      <x:c r="T65" s="10"/>
      <x:c r="U65" s="10"/>
      <x:c r="V65" s="10"/>
      <x:c r="W65" s="10"/>
    </x:row>
    <x:row r="66" ht="17" customHeight="1">
      <x:c r="A66" s="1"/>
      <x:c r="B66" s="1"/>
      <x:c r="C66" s="1"/>
      <x:c r="D66" s="10"/>
      <x:c r="E66" s="10"/>
      <x:c r="F66" s="10"/>
      <x:c r="G66" s="10"/>
      <x:c r="H66" s="10"/>
      <x:c r="I66" s="10"/>
      <x:c r="J66" s="10"/>
      <x:c r="K66" s="10"/>
      <x:c r="L66" s="10"/>
      <x:c r="M66" s="10"/>
      <x:c r="N66" s="10"/>
      <x:c r="O66" s="10"/>
      <x:c r="P66" s="10"/>
      <x:c r="Q66" s="10"/>
      <x:c r="R66" s="10"/>
      <x:c r="S66" s="10"/>
      <x:c r="T66" s="10"/>
      <x:c r="U66" s="10"/>
      <x:c r="V66" s="10"/>
      <x:c r="W66" s="10"/>
    </x:row>
    <x:row r="67" ht="17" customHeight="1">
      <x:c r="A67" s="1"/>
      <x:c r="B67" s="1"/>
      <x:c r="C67" s="1"/>
      <x:c r="D67" s="10"/>
      <x:c r="E67" s="10"/>
      <x:c r="F67" s="10"/>
      <x:c r="G67" s="10"/>
      <x:c r="H67" s="10"/>
      <x:c r="I67" s="10"/>
      <x:c r="J67" s="10"/>
      <x:c r="K67" s="10"/>
      <x:c r="L67" s="10"/>
      <x:c r="M67" s="10"/>
      <x:c r="N67" s="10"/>
      <x:c r="O67" s="10"/>
      <x:c r="P67" s="10"/>
      <x:c r="Q67" s="10"/>
      <x:c r="R67" s="10"/>
      <x:c r="S67" s="10"/>
      <x:c r="T67" s="10"/>
      <x:c r="U67" s="10"/>
      <x:c r="V67" s="10"/>
      <x:c r="W67" s="10"/>
    </x:row>
    <x:row r="68" ht="17" customHeight="1">
      <x:c r="A68" s="1"/>
      <x:c r="B68" s="1"/>
      <x:c r="C68" s="1"/>
      <x:c r="D68" s="10"/>
      <x:c r="E68" s="10"/>
      <x:c r="F68" s="10"/>
      <x:c r="G68" s="10"/>
      <x:c r="H68" s="10"/>
      <x:c r="I68" s="10"/>
      <x:c r="J68" s="10"/>
      <x:c r="K68" s="10"/>
      <x:c r="L68" s="10"/>
      <x:c r="M68" s="10"/>
      <x:c r="N68" s="10"/>
      <x:c r="O68" s="10"/>
      <x:c r="P68" s="10"/>
      <x:c r="Q68" s="10"/>
      <x:c r="R68" s="10"/>
      <x:c r="S68" s="10"/>
      <x:c r="T68" s="10"/>
      <x:c r="U68" s="10"/>
      <x:c r="V68" s="10"/>
      <x:c r="W68" s="10"/>
    </x:row>
    <x:row r="69" ht="17" customHeight="1">
      <x:c r="A69" s="1"/>
      <x:c r="B69" s="1"/>
      <x:c r="C69" s="1"/>
      <x:c r="D69" s="10"/>
      <x:c r="E69" s="10"/>
      <x:c r="F69" s="10"/>
      <x:c r="G69" s="10"/>
      <x:c r="H69" s="10"/>
      <x:c r="I69" s="10"/>
      <x:c r="J69" s="10"/>
      <x:c r="K69" s="10"/>
      <x:c r="L69" s="10"/>
      <x:c r="M69" s="10"/>
      <x:c r="N69" s="10"/>
      <x:c r="O69" s="10"/>
      <x:c r="P69" s="10"/>
      <x:c r="Q69" s="10"/>
      <x:c r="R69" s="10"/>
      <x:c r="S69" s="10"/>
      <x:c r="T69" s="10"/>
      <x:c r="U69" s="10"/>
      <x:c r="V69" s="10"/>
      <x:c r="W69" s="10"/>
    </x:row>
    <x:row r="70" ht="17" customHeight="1">
      <x:c r="A70" s="1"/>
      <x:c r="B70" s="1"/>
      <x:c r="C70" s="1"/>
      <x:c r="D70" s="10"/>
      <x:c r="E70" s="10"/>
      <x:c r="F70" s="10"/>
      <x:c r="G70" s="10"/>
      <x:c r="H70" s="10"/>
      <x:c r="I70" s="10"/>
      <x:c r="J70" s="10"/>
      <x:c r="K70" s="10"/>
      <x:c r="L70" s="10"/>
      <x:c r="M70" s="10"/>
      <x:c r="N70" s="10"/>
      <x:c r="O70" s="10"/>
      <x:c r="P70" s="10"/>
      <x:c r="Q70" s="10"/>
      <x:c r="R70" s="10"/>
      <x:c r="S70" s="10"/>
      <x:c r="T70" s="10"/>
      <x:c r="U70" s="10"/>
      <x:c r="V70" s="10"/>
      <x:c r="W70" s="10"/>
    </x:row>
    <x:row r="71" ht="17" customHeight="1">
      <x:c r="A71" s="1"/>
      <x:c r="B71" s="1"/>
      <x:c r="C71" s="1"/>
      <x:c r="D71" s="10"/>
      <x:c r="E71" s="10"/>
      <x:c r="F71" s="10"/>
      <x:c r="G71" s="10"/>
      <x:c r="H71" s="10"/>
      <x:c r="I71" s="10"/>
      <x:c r="J71" s="10"/>
      <x:c r="K71" s="10"/>
      <x:c r="L71" s="10"/>
      <x:c r="M71" s="10"/>
      <x:c r="N71" s="10"/>
      <x:c r="O71" s="10"/>
      <x:c r="P71" s="10"/>
      <x:c r="Q71" s="10"/>
      <x:c r="R71" s="10"/>
      <x:c r="S71" s="10"/>
      <x:c r="T71" s="10"/>
      <x:c r="U71" s="10"/>
      <x:c r="V71" s="10"/>
      <x:c r="W71" s="10"/>
    </x:row>
    <x:row r="72" ht="17" customHeight="1">
      <x:c r="A72" s="1"/>
      <x:c r="B72" s="1"/>
      <x:c r="C72" s="1"/>
      <x:c r="D72" s="10"/>
      <x:c r="E72" s="10"/>
      <x:c r="F72" s="10"/>
      <x:c r="G72" s="10"/>
      <x:c r="H72" s="10"/>
      <x:c r="I72" s="10"/>
      <x:c r="J72" s="10"/>
      <x:c r="K72" s="10"/>
      <x:c r="L72" s="10"/>
      <x:c r="M72" s="10"/>
      <x:c r="N72" s="10"/>
      <x:c r="O72" s="10"/>
      <x:c r="P72" s="10"/>
      <x:c r="Q72" s="10"/>
      <x:c r="R72" s="10"/>
      <x:c r="S72" s="10"/>
      <x:c r="T72" s="10"/>
      <x:c r="U72" s="10"/>
      <x:c r="V72" s="10"/>
      <x:c r="W72" s="10"/>
    </x:row>
    <x:row r="73" ht="17" customHeight="1">
      <x:c r="A73" s="1"/>
      <x:c r="B73" s="1"/>
      <x:c r="C73" s="1"/>
      <x:c r="D73" s="10"/>
      <x:c r="E73" s="10"/>
      <x:c r="F73" s="10"/>
      <x:c r="G73" s="10"/>
      <x:c r="H73" s="10"/>
      <x:c r="I73" s="10"/>
      <x:c r="J73" s="10"/>
      <x:c r="K73" s="10"/>
      <x:c r="L73" s="10"/>
      <x:c r="M73" s="10"/>
      <x:c r="N73" s="10"/>
      <x:c r="O73" s="10"/>
      <x:c r="P73" s="10"/>
      <x:c r="Q73" s="10"/>
      <x:c r="R73" s="10"/>
      <x:c r="S73" s="10"/>
      <x:c r="T73" s="10"/>
      <x:c r="U73" s="10"/>
      <x:c r="V73" s="10"/>
      <x:c r="W73" s="10"/>
    </x:row>
    <x:row r="74" ht="17" customHeight="1">
      <x:c r="A74" s="1"/>
      <x:c r="B74" s="1"/>
      <x:c r="C74" s="1"/>
      <x:c r="D74" s="10"/>
      <x:c r="E74" s="10"/>
      <x:c r="F74" s="10"/>
      <x:c r="G74" s="10"/>
      <x:c r="H74" s="10"/>
      <x:c r="I74" s="10"/>
      <x:c r="J74" s="10"/>
      <x:c r="K74" s="10"/>
      <x:c r="L74" s="10"/>
      <x:c r="M74" s="10"/>
      <x:c r="N74" s="10"/>
      <x:c r="O74" s="10"/>
      <x:c r="P74" s="10"/>
      <x:c r="Q74" s="10"/>
      <x:c r="R74" s="10"/>
      <x:c r="S74" s="10"/>
      <x:c r="T74" s="10"/>
      <x:c r="U74" s="10"/>
      <x:c r="V74" s="10"/>
      <x:c r="W74" s="10"/>
    </x:row>
    <x:row r="75" ht="17" customHeight="1">
      <x:c r="A75" s="1"/>
      <x:c r="B75" s="1"/>
      <x:c r="C75" s="1"/>
      <x:c r="D75" s="10"/>
      <x:c r="E75" s="10"/>
      <x:c r="F75" s="10"/>
      <x:c r="G75" s="10"/>
      <x:c r="H75" s="10"/>
      <x:c r="I75" s="10"/>
      <x:c r="J75" s="10"/>
      <x:c r="K75" s="10"/>
      <x:c r="L75" s="10"/>
      <x:c r="M75" s="10"/>
      <x:c r="N75" s="10"/>
      <x:c r="O75" s="10"/>
      <x:c r="P75" s="10"/>
      <x:c r="Q75" s="10"/>
      <x:c r="R75" s="10"/>
      <x:c r="S75" s="10"/>
      <x:c r="T75" s="10"/>
      <x:c r="U75" s="10"/>
      <x:c r="V75" s="10"/>
      <x:c r="W75" s="10"/>
    </x:row>
    <x:row r="76" ht="17" customHeight="1">
      <x:c r="A76" s="1"/>
      <x:c r="B76" s="1"/>
      <x:c r="C76" s="1"/>
      <x:c r="D76" s="10"/>
      <x:c r="E76" s="10"/>
      <x:c r="F76" s="10"/>
      <x:c r="G76" s="10"/>
      <x:c r="H76" s="10"/>
      <x:c r="I76" s="10"/>
      <x:c r="J76" s="10"/>
      <x:c r="K76" s="10"/>
      <x:c r="L76" s="10"/>
      <x:c r="M76" s="10"/>
      <x:c r="N76" s="10"/>
      <x:c r="O76" s="10"/>
      <x:c r="P76" s="10"/>
      <x:c r="Q76" s="10"/>
      <x:c r="R76" s="10"/>
      <x:c r="S76" s="10"/>
      <x:c r="T76" s="10"/>
      <x:c r="U76" s="10"/>
      <x:c r="V76" s="10"/>
      <x:c r="W76" s="10"/>
    </x:row>
    <x:row r="77" ht="17" customHeight="1">
      <x:c r="A77" s="1"/>
      <x:c r="B77" s="1"/>
      <x:c r="C77" s="1"/>
      <x:c r="D77" s="10"/>
      <x:c r="E77" s="10"/>
      <x:c r="F77" s="10"/>
      <x:c r="G77" s="10"/>
      <x:c r="H77" s="10"/>
      <x:c r="I77" s="10"/>
      <x:c r="J77" s="10"/>
      <x:c r="K77" s="10"/>
      <x:c r="L77" s="10"/>
      <x:c r="M77" s="10"/>
      <x:c r="N77" s="10"/>
      <x:c r="O77" s="10"/>
      <x:c r="P77" s="10"/>
      <x:c r="Q77" s="10"/>
      <x:c r="R77" s="10"/>
      <x:c r="S77" s="10"/>
      <x:c r="T77" s="10"/>
      <x:c r="U77" s="10"/>
      <x:c r="V77" s="10"/>
      <x:c r="W77" s="10"/>
    </x:row>
    <x:row r="78" ht="17" customHeight="1">
      <x:c r="A78" s="1"/>
      <x:c r="B78" s="1"/>
      <x:c r="C78" s="1"/>
      <x:c r="D78" s="10"/>
      <x:c r="E78" s="10"/>
      <x:c r="F78" s="10"/>
      <x:c r="G78" s="10"/>
      <x:c r="H78" s="10"/>
      <x:c r="I78" s="10"/>
      <x:c r="J78" s="10"/>
      <x:c r="K78" s="10"/>
      <x:c r="L78" s="10"/>
      <x:c r="M78" s="10"/>
      <x:c r="N78" s="10"/>
      <x:c r="O78" s="10"/>
      <x:c r="P78" s="10"/>
      <x:c r="Q78" s="10"/>
      <x:c r="R78" s="10"/>
      <x:c r="S78" s="10"/>
      <x:c r="T78" s="10"/>
      <x:c r="U78" s="10"/>
      <x:c r="V78" s="10"/>
      <x:c r="W78" s="10"/>
    </x:row>
    <x:row r="79" ht="17" customHeight="1">
      <x:c r="A79" s="1"/>
      <x:c r="B79" s="1"/>
      <x:c r="C79" s="1"/>
      <x:c r="D79" s="10"/>
      <x:c r="E79" s="10"/>
      <x:c r="F79" s="10"/>
      <x:c r="G79" s="10"/>
      <x:c r="H79" s="10"/>
      <x:c r="I79" s="10"/>
      <x:c r="J79" s="10"/>
      <x:c r="K79" s="10"/>
      <x:c r="L79" s="10"/>
      <x:c r="M79" s="10"/>
      <x:c r="N79" s="10"/>
      <x:c r="O79" s="10"/>
      <x:c r="P79" s="10"/>
      <x:c r="Q79" s="10"/>
      <x:c r="R79" s="10"/>
      <x:c r="S79" s="10"/>
      <x:c r="T79" s="10"/>
      <x:c r="U79" s="10"/>
      <x:c r="V79" s="10"/>
      <x:c r="W79" s="10"/>
    </x:row>
    <x:row r="80" ht="17" customHeight="1">
      <x:c r="A80" s="1"/>
      <x:c r="B80" s="1"/>
      <x:c r="C80" s="1"/>
      <x:c r="D80" s="10"/>
      <x:c r="E80" s="10"/>
      <x:c r="F80" s="10"/>
      <x:c r="G80" s="10"/>
      <x:c r="H80" s="10"/>
      <x:c r="I80" s="10"/>
      <x:c r="J80" s="10"/>
      <x:c r="K80" s="10"/>
      <x:c r="L80" s="10"/>
      <x:c r="M80" s="10"/>
      <x:c r="N80" s="10"/>
      <x:c r="O80" s="10"/>
      <x:c r="P80" s="10"/>
      <x:c r="Q80" s="10"/>
      <x:c r="R80" s="10"/>
      <x:c r="S80" s="10"/>
      <x:c r="T80" s="10"/>
      <x:c r="U80" s="10"/>
      <x:c r="V80" s="10"/>
      <x:c r="W80" s="10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58" hidden="0" customWidth="1"/>
    <x:col min="4" max="4" width="30" hidden="0" customWidth="1"/>
    <x:col min="5" max="5" width="95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</x:cols>
  <x:sheetData>
    <x:row r="1" ht="17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17" customHeight="1">
      <x:c r="A2" s="1"/>
      <x:c r="B2" s="1"/>
      <x:c r="C2" s="2" t="str">
        <x:v>Funding gate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</x:row>
    <x:row r="3" ht="17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</x:row>
    <x:row r="4" ht="17" customHeight="1">
      <x:c r="A4" s="1"/>
      <x:c r="B4" s="1"/>
      <x:c r="C4" s="1" t="str">
        <x:v>Conditional Dot target. USD. Assumed opening balances, not an actual enterprise ledger.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17" customHeight="1">
      <x:c r="A5" s="1"/>
      <x:c r="B5" s="1"/>
      <x:c r="C5" s="29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17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28" customHeight="1">
      <x:c r="A7" s="1"/>
      <x:c r="B7" s="1"/>
      <x:c r="C7" s="13" t="str">
        <x:v>Gate</x:v>
      </x:c>
      <x:c r="D7" s="13" t="str">
        <x:v>Status / amount</x:v>
      </x:c>
      <x:c r="E7" s="13" t="str">
        <x:v>Required interpretation</x:v>
      </x:c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</x:row>
    <x:row r="8" ht="15" hidden="0" customHeight="1">
      <x:c r="A8" s="1"/>
      <x:c r="B8" s="1"/>
      <x:c r="C8" s="23" t="str">
        <x:v>Target opening cash assumption</x:v>
      </x:c>
      <x:c r="D8" s="24" t="n">
        <x:v>0</x:v>
      </x:c>
      <x:c r="E8" s="24" t="str">
        <x:v>Not verified actual cash.</x:v>
      </x:c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</x:row>
    <x:row r="9" ht="15" hidden="0" customHeight="1">
      <x:c r="A9" s="1"/>
      <x:c r="B9" s="1"/>
      <x:c r="C9" s="23" t="str">
        <x:v>Actual unrestricted opening cash</x:v>
      </x:c>
      <x:c r="D9" s="24" t="str">
        <x:v>Not supplied</x:v>
      </x:c>
      <x:c r="E9" s="24" t="str">
        <x:v>Requires an enterprise ledger and restrictions evidence.</x:v>
      </x:c>
      <x:c r="F9" s="10"/>
      <x:c r="G9" s="10"/>
      <x:c r="H9" s="10"/>
      <x:c r="I9" s="10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</x:row>
    <x:row r="10" ht="15" hidden="0" customHeight="1">
      <x:c r="A10" s="1"/>
      <x:c r="B10" s="1"/>
      <x:c r="C10" s="23" t="str">
        <x:v>New external funding permitted by instruction</x:v>
      </x:c>
      <x:c r="D10" s="24" t="n">
        <x:v>0</x:v>
      </x:c>
      <x:c r="E10" s="24" t="str">
        <x:v>No loan, investor contribution or funding plug.</x:v>
      </x:c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</x:row>
    <x:row r="11" ht="15" hidden="0" customHeight="1">
      <x:c r="A11" s="1"/>
      <x:c r="B11" s="1"/>
      <x:c r="C11" s="23" t="str">
        <x:v>Current funded spending authority</x:v>
      </x:c>
      <x:c r="D11" s="24" t="str">
        <x:v>Not established</x:v>
      </x:c>
      <x:c r="E11" s="24" t="str">
        <x:v>No hypothetical expense row grants spending authority.</x:v>
      </x:c>
      <x:c r="F11" s="10"/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</x:row>
    <x:row r="12" ht="15" hidden="0" customHeight="1">
      <x:c r="A12" s="1"/>
      <x:c r="B12" s="1"/>
      <x:c r="C12" s="23" t="str">
        <x:v>Accepted delivery / provider capacity</x:v>
      </x:c>
      <x:c r="D12" s="24" t="str">
        <x:v>Not supplied</x:v>
      </x:c>
      <x:c r="E12" s="24" t="str">
        <x:v>Required hours are not accepted staffing.</x:v>
      </x:c>
      <x:c r="F12" s="10"/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</x:row>
    <x:row r="13" ht="15" hidden="0" customHeight="1">
      <x:c r="A13" s="1"/>
      <x:c r="B13" s="1"/>
      <x:c r="C13" s="23" t="str">
        <x:v>Launch and legal approvals</x:v>
      </x:c>
      <x:c r="D13" s="24" t="str">
        <x:v>Not established</x:v>
      </x:c>
      <x:c r="E13" s="24" t="str">
        <x:v>Hypothetical in-year timing does not release a product.</x:v>
      </x:c>
      <x:c r="F13" s="10"/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0"/>
      <x:c r="T13" s="10"/>
      <x:c r="U13" s="10"/>
      <x:c r="V13" s="10"/>
      <x:c r="W13" s="10"/>
    </x:row>
    <x:row r="14" ht="15" hidden="0" customHeight="1">
      <x:c r="A14" s="1"/>
      <x:c r="B14" s="1"/>
      <x:c r="C14" s="23" t="str">
        <x:v>Cash-gated operating volume</x:v>
      </x:c>
      <x:c r="D14" s="24" t="str">
        <x:v>Not established</x:v>
      </x:c>
      <x:c r="E14" s="24" t="str">
        <x:v>Cannot infer executable sales from unverified receipts, capacity and approvals.</x:v>
      </x:c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</x:row>
    <x:row r="15" ht="15" hidden="0" customHeight="1">
      <x:c r="A15" s="1"/>
      <x:c r="B15" s="1"/>
      <x:c r="C15" s="23" t="str">
        <x:v>Conditional operating rule</x:v>
      </x:c>
      <x:c r="D15" s="24" t="str">
        <x:v>Receipts first</x:v>
      </x:c>
      <x:c r="E15" s="24" t="str">
        <x:v>Commit only within verified unrestricted earned receipts after refund, fulfillment and fee obligations.</x:v>
      </x:c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</x:row>
    <x:row r="16" ht="15" hidden="0" customHeight="1">
      <x:c r="A16" s="1"/>
      <x:c r="B16" s="1"/>
      <x:c r="C16" s="23" t="str">
        <x:v>Additional unfinished development</x:v>
      </x:c>
      <x:c r="D16" s="24" t="str">
        <x:v>Unquantified / excluded</x:v>
      </x:c>
      <x:c r="E16" s="24" t="str">
        <x:v>The numerical shortfalls are not complete launch quotes.</x:v>
      </x:c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</x:row>
    <x:row r="17" ht="17" customHeight="1">
      <x:c r="A17" s="1"/>
      <x:c r="B17" s="1"/>
      <x:c r="C17" s="1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</x:row>
    <x:row r="18" ht="17" customHeight="1">
      <x:c r="A18" s="1"/>
      <x:c r="B18" s="1"/>
      <x:c r="C18" s="1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0"/>
      <x:c r="T18" s="10"/>
      <x:c r="U18" s="10"/>
      <x:c r="V18" s="10"/>
      <x:c r="W18" s="10"/>
    </x:row>
    <x:row r="19" ht="17" customHeight="1">
      <x:c r="A19" s="1"/>
      <x:c r="B19" s="1"/>
      <x:c r="C19" s="1" t="str">
        <x:v>Pooled Year 1 target peak cash shortfall</x:v>
      </x:c>
      <x:c r="D19" s="10" t="n">
        <x:f>'Monthly cash'!K20</x:f>
        <x:v>25216.872599999995</x:v>
      </x:c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10"/>
      <x:c r="U19" s="10"/>
      <x:c r="V19" s="10"/>
      <x:c r="W19" s="10"/>
    </x:row>
    <x:row r="20" ht="17" customHeight="1">
      <x:c r="A20" s="1"/>
      <x:c r="B20" s="1"/>
      <x:c r="C20" s="1" t="str">
        <x:v>Sum of separate-family target peaks</x:v>
      </x:c>
      <x:c r="D20" s="10" t="n">
        <x:f>'Monthly cash'!Q68</x:f>
        <x:v>62049.54491510344</x:v>
      </x:c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0"/>
      <x:c r="T20" s="10"/>
      <x:c r="U20" s="10"/>
      <x:c r="V20" s="10"/>
      <x:c r="W20" s="10"/>
    </x:row>
    <x:row r="21" ht="17" customHeight="1">
      <x:c r="A21" s="1"/>
      <x:c r="B21" s="1"/>
      <x:c r="C21" s="1"/>
      <x:c r="D21" s="10"/>
      <x:c r="E21" s="10"/>
      <x:c r="F21" s="10"/>
      <x:c r="G21" s="10"/>
      <x:c r="H21" s="10"/>
      <x:c r="I21" s="10"/>
      <x:c r="J21" s="10"/>
      <x:c r="K21" s="10"/>
      <x:c r="L21" s="10"/>
      <x:c r="M21" s="10"/>
      <x:c r="N21" s="10"/>
      <x:c r="O21" s="10"/>
      <x:c r="P21" s="10"/>
      <x:c r="Q21" s="10"/>
      <x:c r="R21" s="10"/>
      <x:c r="S21" s="10"/>
      <x:c r="T21" s="10"/>
      <x:c r="U21" s="10"/>
      <x:c r="V21" s="10"/>
      <x:c r="W21" s="10"/>
    </x:row>
    <x:row r="22" ht="17" customHeight="1">
      <x:c r="A22" s="1"/>
      <x:c r="B22" s="1"/>
      <x:c r="C22" s="1" t="str">
        <x:v>Reporting families are not verified legal entities; intercompany funding transfers are not assumed authorized.</x:v>
      </x:c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  <x:c r="O22" s="10"/>
      <x:c r="P22" s="10"/>
      <x:c r="Q22" s="10"/>
      <x:c r="R22" s="10"/>
      <x:c r="S22" s="10"/>
      <x:c r="T22" s="10"/>
      <x:c r="U22" s="10"/>
      <x:c r="V22" s="10"/>
      <x:c r="W22" s="10"/>
    </x:row>
    <x:row r="23" ht="17" customHeight="1">
      <x:c r="A23" s="1"/>
      <x:c r="B23" s="1"/>
      <x:c r="C23" s="1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  <x:c r="O23" s="10"/>
      <x:c r="P23" s="10"/>
      <x:c r="Q23" s="10"/>
      <x:c r="R23" s="10"/>
      <x:c r="S23" s="10"/>
      <x:c r="T23" s="10"/>
      <x:c r="U23" s="10"/>
      <x:c r="V23" s="10"/>
      <x:c r="W23" s="10"/>
    </x:row>
    <x:row r="24" ht="17" customHeight="1">
      <x:c r="A24" s="1"/>
      <x:c r="B24" s="1"/>
      <x:c r="C24" s="1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0"/>
    </x:row>
    <x:row r="25" ht="17" customHeight="1">
      <x:c r="A25" s="1"/>
      <x:c r="B25" s="1"/>
      <x:c r="C25" s="1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  <x:c r="T25" s="10"/>
      <x:c r="U25" s="10"/>
      <x:c r="V25" s="10"/>
      <x:c r="W25" s="10"/>
    </x:row>
    <x:row r="26" ht="17" customHeight="1">
      <x:c r="A26" s="1"/>
      <x:c r="B26" s="1"/>
      <x:c r="C26" s="1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0"/>
      <x:c r="T26" s="10"/>
      <x:c r="U26" s="10"/>
      <x:c r="V26" s="10"/>
      <x:c r="W26" s="10"/>
    </x:row>
    <x:row r="27" ht="17" customHeight="1">
      <x:c r="A27" s="1"/>
      <x:c r="B27" s="1"/>
      <x:c r="C27" s="1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0"/>
      <x:c r="T27" s="10"/>
      <x:c r="U27" s="10"/>
      <x:c r="V27" s="10"/>
      <x:c r="W27" s="10"/>
    </x:row>
    <x:row r="28" ht="17" customHeight="1">
      <x:c r="A28" s="1"/>
      <x:c r="B28" s="1"/>
      <x:c r="C28" s="1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10"/>
      <x:c r="O28" s="10"/>
      <x:c r="P28" s="10"/>
      <x:c r="Q28" s="10"/>
      <x:c r="R28" s="10"/>
      <x:c r="S28" s="10"/>
      <x:c r="T28" s="10"/>
      <x:c r="U28" s="10"/>
      <x:c r="V28" s="10"/>
      <x:c r="W28" s="10"/>
    </x:row>
    <x:row r="29" ht="17" customHeight="1">
      <x:c r="A29" s="1"/>
      <x:c r="B29" s="1"/>
      <x:c r="C29" s="1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10"/>
      <x:c r="O29" s="10"/>
      <x:c r="P29" s="10"/>
      <x:c r="Q29" s="10"/>
      <x:c r="R29" s="10"/>
      <x:c r="S29" s="10"/>
      <x:c r="T29" s="10"/>
      <x:c r="U29" s="10"/>
      <x:c r="V29" s="10"/>
      <x:c r="W29" s="10"/>
    </x:row>
    <x:row r="30" ht="17" customHeight="1">
      <x:c r="A30" s="1"/>
      <x:c r="B30" s="1"/>
      <x:c r="C30" s="1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10"/>
      <x:c r="O30" s="10"/>
      <x:c r="P30" s="10"/>
      <x:c r="Q30" s="10"/>
      <x:c r="R30" s="10"/>
      <x:c r="S30" s="10"/>
      <x:c r="T30" s="10"/>
      <x:c r="U30" s="10"/>
      <x:c r="V30" s="10"/>
      <x:c r="W30" s="10"/>
    </x:row>
    <x:row r="31" ht="17" customHeight="1">
      <x:c r="A31" s="1"/>
      <x:c r="B31" s="1"/>
      <x:c r="C31" s="1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  <x:c r="O31" s="10"/>
      <x:c r="P31" s="10"/>
      <x:c r="Q31" s="10"/>
      <x:c r="R31" s="10"/>
      <x:c r="S31" s="10"/>
      <x:c r="T31" s="10"/>
      <x:c r="U31" s="10"/>
      <x:c r="V31" s="10"/>
      <x:c r="W31" s="10"/>
    </x:row>
    <x:row r="32" ht="17" customHeight="1">
      <x:c r="A32" s="1"/>
      <x:c r="B32" s="1"/>
      <x:c r="C32" s="1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10"/>
      <x:c r="O32" s="10"/>
      <x:c r="P32" s="10"/>
      <x:c r="Q32" s="10"/>
      <x:c r="R32" s="10"/>
      <x:c r="S32" s="10"/>
      <x:c r="T32" s="10"/>
      <x:c r="U32" s="10"/>
      <x:c r="V32" s="10"/>
      <x:c r="W32" s="10"/>
    </x:row>
    <x:row r="33" ht="17" customHeight="1">
      <x:c r="A33" s="1"/>
      <x:c r="B33" s="1"/>
      <x:c r="C33" s="1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10"/>
      <x:c r="O33" s="10"/>
      <x:c r="P33" s="10"/>
      <x:c r="Q33" s="10"/>
      <x:c r="R33" s="10"/>
      <x:c r="S33" s="10"/>
      <x:c r="T33" s="10"/>
      <x:c r="U33" s="10"/>
      <x:c r="V33" s="10"/>
      <x:c r="W33" s="10"/>
    </x:row>
    <x:row r="34" ht="17" customHeight="1">
      <x:c r="A34" s="1"/>
      <x:c r="B34" s="1"/>
      <x:c r="C34" s="1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10"/>
      <x:c r="O34" s="10"/>
      <x:c r="P34" s="10"/>
      <x:c r="Q34" s="10"/>
      <x:c r="R34" s="10"/>
      <x:c r="S34" s="10"/>
      <x:c r="T34" s="10"/>
      <x:c r="U34" s="10"/>
      <x:c r="V34" s="10"/>
      <x:c r="W34" s="10"/>
    </x:row>
    <x:row r="35" ht="17" customHeight="1">
      <x:c r="A35" s="1"/>
      <x:c r="B35" s="1"/>
      <x:c r="C35" s="1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10"/>
      <x:c r="O35" s="10"/>
      <x:c r="P35" s="10"/>
      <x:c r="Q35" s="10"/>
      <x:c r="R35" s="10"/>
      <x:c r="S35" s="10"/>
      <x:c r="T35" s="10"/>
      <x:c r="U35" s="10"/>
      <x:c r="V35" s="10"/>
      <x:c r="W35" s="10"/>
    </x:row>
    <x:row r="36" ht="17" customHeight="1">
      <x:c r="A36" s="1"/>
      <x:c r="B36" s="1"/>
      <x:c r="C36" s="1"/>
      <x:c r="D36" s="10"/>
      <x:c r="E36" s="10"/>
      <x:c r="F36" s="10"/>
      <x:c r="G36" s="10"/>
      <x:c r="H36" s="10"/>
      <x:c r="I36" s="10"/>
      <x:c r="J36" s="10"/>
      <x:c r="K36" s="10"/>
      <x:c r="L36" s="10"/>
      <x:c r="M36" s="10"/>
      <x:c r="N36" s="10"/>
      <x:c r="O36" s="10"/>
      <x:c r="P36" s="10"/>
      <x:c r="Q36" s="10"/>
      <x:c r="R36" s="10"/>
      <x:c r="S36" s="10"/>
      <x:c r="T36" s="10"/>
      <x:c r="U36" s="10"/>
      <x:c r="V36" s="10"/>
      <x:c r="W36" s="10"/>
    </x:row>
    <x:row r="37" ht="17" customHeight="1">
      <x:c r="A37" s="1"/>
      <x:c r="B37" s="1"/>
      <x:c r="C37" s="1"/>
      <x:c r="D37" s="10"/>
      <x:c r="E37" s="10"/>
      <x:c r="F37" s="10"/>
      <x:c r="G37" s="10"/>
      <x:c r="H37" s="10"/>
      <x:c r="I37" s="10"/>
      <x:c r="J37" s="10"/>
      <x:c r="K37" s="10"/>
      <x:c r="L37" s="10"/>
      <x:c r="M37" s="10"/>
      <x:c r="N37" s="10"/>
      <x:c r="O37" s="10"/>
      <x:c r="P37" s="10"/>
      <x:c r="Q37" s="10"/>
      <x:c r="R37" s="10"/>
      <x:c r="S37" s="10"/>
      <x:c r="T37" s="10"/>
      <x:c r="U37" s="10"/>
      <x:c r="V37" s="10"/>
      <x:c r="W37" s="10"/>
    </x:row>
    <x:row r="38" ht="17" customHeight="1">
      <x:c r="A38" s="1"/>
      <x:c r="B38" s="1"/>
      <x:c r="C38" s="1"/>
      <x:c r="D38" s="10"/>
      <x:c r="E38" s="10"/>
      <x:c r="F38" s="10"/>
      <x:c r="G38" s="10"/>
      <x:c r="H38" s="10"/>
      <x:c r="I38" s="10"/>
      <x:c r="J38" s="10"/>
      <x:c r="K38" s="10"/>
      <x:c r="L38" s="10"/>
      <x:c r="M38" s="10"/>
      <x:c r="N38" s="10"/>
      <x:c r="O38" s="10"/>
      <x:c r="P38" s="10"/>
      <x:c r="Q38" s="10"/>
      <x:c r="R38" s="10"/>
      <x:c r="S38" s="10"/>
      <x:c r="T38" s="10"/>
      <x:c r="U38" s="10"/>
      <x:c r="V38" s="10"/>
      <x:c r="W38" s="10"/>
    </x:row>
    <x:row r="39" ht="17" customHeight="1">
      <x:c r="A39" s="1"/>
      <x:c r="B39" s="1"/>
      <x:c r="C39" s="1"/>
      <x:c r="D39" s="10"/>
      <x:c r="E39" s="10"/>
      <x:c r="F39" s="10"/>
      <x:c r="G39" s="10"/>
      <x:c r="H39" s="10"/>
      <x:c r="I39" s="10"/>
      <x:c r="J39" s="10"/>
      <x:c r="K39" s="10"/>
      <x:c r="L39" s="10"/>
      <x:c r="M39" s="10"/>
      <x:c r="N39" s="10"/>
      <x:c r="O39" s="10"/>
      <x:c r="P39" s="10"/>
      <x:c r="Q39" s="10"/>
      <x:c r="R39" s="10"/>
      <x:c r="S39" s="10"/>
      <x:c r="T39" s="10"/>
      <x:c r="U39" s="10"/>
      <x:c r="V39" s="10"/>
      <x:c r="W39" s="10"/>
    </x:row>
    <x:row r="40" ht="17" customHeight="1">
      <x:c r="A40" s="1"/>
      <x:c r="B40" s="1"/>
      <x:c r="C40" s="1"/>
      <x:c r="D40" s="10"/>
      <x:c r="E40" s="10"/>
      <x:c r="F40" s="10"/>
      <x:c r="G40" s="10"/>
      <x:c r="H40" s="10"/>
      <x:c r="I40" s="10"/>
      <x:c r="J40" s="10"/>
      <x:c r="K40" s="10"/>
      <x:c r="L40" s="10"/>
      <x:c r="M40" s="10"/>
      <x:c r="N40" s="10"/>
      <x:c r="O40" s="10"/>
      <x:c r="P40" s="10"/>
      <x:c r="Q40" s="10"/>
      <x:c r="R40" s="10"/>
      <x:c r="S40" s="10"/>
      <x:c r="T40" s="10"/>
      <x:c r="U40" s="10"/>
      <x:c r="V40" s="10"/>
      <x:c r="W40" s="10"/>
    </x:row>
    <x:row r="41" ht="17" customHeight="1">
      <x:c r="A41" s="1"/>
      <x:c r="B41" s="1"/>
      <x:c r="C41" s="1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10"/>
      <x:c r="O41" s="10"/>
      <x:c r="P41" s="10"/>
      <x:c r="Q41" s="10"/>
      <x:c r="R41" s="10"/>
      <x:c r="S41" s="10"/>
      <x:c r="T41" s="10"/>
      <x:c r="U41" s="10"/>
      <x:c r="V41" s="10"/>
      <x:c r="W41" s="10"/>
    </x:row>
    <x:row r="42" ht="17" customHeight="1">
      <x:c r="A42" s="1"/>
      <x:c r="B42" s="1"/>
      <x:c r="C42" s="1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  <x:c r="O42" s="10"/>
      <x:c r="P42" s="10"/>
      <x:c r="Q42" s="10"/>
      <x:c r="R42" s="10"/>
      <x:c r="S42" s="10"/>
      <x:c r="T42" s="10"/>
      <x:c r="U42" s="10"/>
      <x:c r="V42" s="10"/>
      <x:c r="W42" s="10"/>
    </x:row>
    <x:row r="43" ht="17" customHeight="1">
      <x:c r="A43" s="1"/>
      <x:c r="B43" s="1"/>
      <x:c r="C43" s="1"/>
      <x:c r="D43" s="10"/>
      <x:c r="E43" s="10"/>
      <x:c r="F43" s="10"/>
      <x:c r="G43" s="10"/>
      <x:c r="H43" s="10"/>
      <x:c r="I43" s="10"/>
      <x:c r="J43" s="10"/>
      <x:c r="K43" s="10"/>
      <x:c r="L43" s="10"/>
      <x:c r="M43" s="10"/>
      <x:c r="N43" s="10"/>
      <x:c r="O43" s="10"/>
      <x:c r="P43" s="10"/>
      <x:c r="Q43" s="10"/>
      <x:c r="R43" s="10"/>
      <x:c r="S43" s="10"/>
      <x:c r="T43" s="10"/>
      <x:c r="U43" s="10"/>
      <x:c r="V43" s="10"/>
      <x:c r="W43" s="10"/>
    </x:row>
    <x:row r="44" ht="17" customHeight="1">
      <x:c r="A44" s="1"/>
      <x:c r="B44" s="1"/>
      <x:c r="C44" s="1"/>
      <x:c r="D44" s="10"/>
      <x:c r="E44" s="10"/>
      <x:c r="F44" s="10"/>
      <x:c r="G44" s="10"/>
      <x:c r="H44" s="10"/>
      <x:c r="I44" s="10"/>
      <x:c r="J44" s="10"/>
      <x:c r="K44" s="10"/>
      <x:c r="L44" s="10"/>
      <x:c r="M44" s="10"/>
      <x:c r="N44" s="10"/>
      <x:c r="O44" s="10"/>
      <x:c r="P44" s="10"/>
      <x:c r="Q44" s="10"/>
      <x:c r="R44" s="10"/>
      <x:c r="S44" s="10"/>
      <x:c r="T44" s="10"/>
      <x:c r="U44" s="10"/>
      <x:c r="V44" s="10"/>
      <x:c r="W44" s="10"/>
    </x:row>
    <x:row r="45" ht="17" customHeight="1">
      <x:c r="A45" s="1"/>
      <x:c r="B45" s="1"/>
      <x:c r="C45" s="1"/>
      <x:c r="D45" s="10"/>
      <x:c r="E45" s="10"/>
      <x:c r="F45" s="10"/>
      <x:c r="G45" s="10"/>
      <x:c r="H45" s="10"/>
      <x:c r="I45" s="10"/>
      <x:c r="J45" s="10"/>
      <x:c r="K45" s="10"/>
      <x:c r="L45" s="10"/>
      <x:c r="M45" s="10"/>
      <x:c r="N45" s="10"/>
      <x:c r="O45" s="10"/>
      <x:c r="P45" s="10"/>
      <x:c r="Q45" s="10"/>
      <x:c r="R45" s="10"/>
      <x:c r="S45" s="10"/>
      <x:c r="T45" s="10"/>
      <x:c r="U45" s="10"/>
      <x:c r="V45" s="10"/>
      <x:c r="W45" s="10"/>
    </x:row>
    <x:row r="46" ht="17" customHeight="1">
      <x:c r="A46" s="1"/>
      <x:c r="B46" s="1"/>
      <x:c r="C46" s="1"/>
      <x:c r="D46" s="10"/>
      <x:c r="E46" s="10"/>
      <x:c r="F46" s="10"/>
      <x:c r="G46" s="10"/>
      <x:c r="H46" s="10"/>
      <x:c r="I46" s="10"/>
      <x:c r="J46" s="10"/>
      <x:c r="K46" s="10"/>
      <x:c r="L46" s="10"/>
      <x:c r="M46" s="10"/>
      <x:c r="N46" s="10"/>
      <x:c r="O46" s="10"/>
      <x:c r="P46" s="10"/>
      <x:c r="Q46" s="10"/>
      <x:c r="R46" s="10"/>
      <x:c r="S46" s="10"/>
      <x:c r="T46" s="10"/>
      <x:c r="U46" s="10"/>
      <x:c r="V46" s="10"/>
      <x:c r="W46" s="10"/>
    </x:row>
    <x:row r="47" ht="17" customHeight="1">
      <x:c r="A47" s="1"/>
      <x:c r="B47" s="1"/>
      <x:c r="C47" s="1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  <x:c r="N47" s="10"/>
      <x:c r="O47" s="10"/>
      <x:c r="P47" s="10"/>
      <x:c r="Q47" s="10"/>
      <x:c r="R47" s="10"/>
      <x:c r="S47" s="10"/>
      <x:c r="T47" s="10"/>
      <x:c r="U47" s="10"/>
      <x:c r="V47" s="10"/>
      <x:c r="W47" s="10"/>
    </x:row>
    <x:row r="48" ht="17" customHeight="1">
      <x:c r="A48" s="1"/>
      <x:c r="B48" s="1"/>
      <x:c r="C48" s="1"/>
      <x:c r="D48" s="10"/>
      <x:c r="E48" s="10"/>
      <x:c r="F48" s="10"/>
      <x:c r="G48" s="10"/>
      <x:c r="H48" s="10"/>
      <x:c r="I48" s="10"/>
      <x:c r="J48" s="10"/>
      <x:c r="K48" s="10"/>
      <x:c r="L48" s="10"/>
      <x:c r="M48" s="10"/>
      <x:c r="N48" s="10"/>
      <x:c r="O48" s="10"/>
      <x:c r="P48" s="10"/>
      <x:c r="Q48" s="10"/>
      <x:c r="R48" s="10"/>
      <x:c r="S48" s="10"/>
      <x:c r="T48" s="10"/>
      <x:c r="U48" s="10"/>
      <x:c r="V48" s="10"/>
      <x:c r="W48" s="10"/>
    </x:row>
    <x:row r="49" ht="17" customHeight="1">
      <x:c r="A49" s="1"/>
      <x:c r="B49" s="1"/>
      <x:c r="C49" s="1"/>
      <x:c r="D49" s="10"/>
      <x:c r="E49" s="10"/>
      <x:c r="F49" s="10"/>
      <x:c r="G49" s="10"/>
      <x:c r="H49" s="10"/>
      <x:c r="I49" s="10"/>
      <x:c r="J49" s="10"/>
      <x:c r="K49" s="10"/>
      <x:c r="L49" s="10"/>
      <x:c r="M49" s="10"/>
      <x:c r="N49" s="10"/>
      <x:c r="O49" s="10"/>
      <x:c r="P49" s="10"/>
      <x:c r="Q49" s="10"/>
      <x:c r="R49" s="10"/>
      <x:c r="S49" s="10"/>
      <x:c r="T49" s="10"/>
      <x:c r="U49" s="10"/>
      <x:c r="V49" s="10"/>
      <x:c r="W49" s="10"/>
    </x:row>
    <x:row r="50" ht="17" customHeight="1">
      <x:c r="A50" s="1"/>
      <x:c r="B50" s="1"/>
      <x:c r="C50" s="1"/>
      <x:c r="D50" s="10"/>
      <x:c r="E50" s="10"/>
      <x:c r="F50" s="10"/>
      <x:c r="G50" s="10"/>
      <x:c r="H50" s="10"/>
      <x:c r="I50" s="10"/>
      <x:c r="J50" s="10"/>
      <x:c r="K50" s="10"/>
      <x:c r="L50" s="10"/>
      <x:c r="M50" s="10"/>
      <x:c r="N50" s="10"/>
      <x:c r="O50" s="10"/>
      <x:c r="P50" s="10"/>
      <x:c r="Q50" s="10"/>
      <x:c r="R50" s="10"/>
      <x:c r="S50" s="10"/>
      <x:c r="T50" s="10"/>
      <x:c r="U50" s="10"/>
      <x:c r="V50" s="10"/>
      <x:c r="W50" s="10"/>
    </x:row>
    <x:row r="51" ht="17" customHeight="1">
      <x:c r="A51" s="1"/>
      <x:c r="B51" s="1"/>
      <x:c r="C51" s="1"/>
      <x:c r="D51" s="10"/>
      <x:c r="E51" s="10"/>
      <x:c r="F51" s="10"/>
      <x:c r="G51" s="10"/>
      <x:c r="H51" s="10"/>
      <x:c r="I51" s="10"/>
      <x:c r="J51" s="10"/>
      <x:c r="K51" s="10"/>
      <x:c r="L51" s="10"/>
      <x:c r="M51" s="10"/>
      <x:c r="N51" s="10"/>
      <x:c r="O51" s="10"/>
      <x:c r="P51" s="10"/>
      <x:c r="Q51" s="10"/>
      <x:c r="R51" s="10"/>
      <x:c r="S51" s="10"/>
      <x:c r="T51" s="10"/>
      <x:c r="U51" s="10"/>
      <x:c r="V51" s="10"/>
      <x:c r="W51" s="10"/>
    </x:row>
    <x:row r="52" ht="17" customHeight="1">
      <x:c r="A52" s="1"/>
      <x:c r="B52" s="1"/>
      <x:c r="C52" s="1"/>
      <x:c r="D52" s="10"/>
      <x:c r="E52" s="10"/>
      <x:c r="F52" s="10"/>
      <x:c r="G52" s="10"/>
      <x:c r="H52" s="10"/>
      <x:c r="I52" s="10"/>
      <x:c r="J52" s="10"/>
      <x:c r="K52" s="10"/>
      <x:c r="L52" s="10"/>
      <x:c r="M52" s="10"/>
      <x:c r="N52" s="10"/>
      <x:c r="O52" s="10"/>
      <x:c r="P52" s="10"/>
      <x:c r="Q52" s="10"/>
      <x:c r="R52" s="10"/>
      <x:c r="S52" s="10"/>
      <x:c r="T52" s="10"/>
      <x:c r="U52" s="10"/>
      <x:c r="V52" s="10"/>
      <x:c r="W52" s="10"/>
    </x:row>
    <x:row r="53" ht="17" customHeight="1">
      <x:c r="A53" s="1"/>
      <x:c r="B53" s="1"/>
      <x:c r="C53" s="1"/>
      <x:c r="D53" s="10"/>
      <x:c r="E53" s="10"/>
      <x:c r="F53" s="10"/>
      <x:c r="G53" s="10"/>
      <x:c r="H53" s="10"/>
      <x:c r="I53" s="10"/>
      <x:c r="J53" s="10"/>
      <x:c r="K53" s="10"/>
      <x:c r="L53" s="10"/>
      <x:c r="M53" s="10"/>
      <x:c r="N53" s="10"/>
      <x:c r="O53" s="10"/>
      <x:c r="P53" s="10"/>
      <x:c r="Q53" s="10"/>
      <x:c r="R53" s="10"/>
      <x:c r="S53" s="10"/>
      <x:c r="T53" s="10"/>
      <x:c r="U53" s="10"/>
      <x:c r="V53" s="10"/>
      <x:c r="W53" s="10"/>
    </x:row>
    <x:row r="54" ht="17" customHeight="1">
      <x:c r="A54" s="1"/>
      <x:c r="B54" s="1"/>
      <x:c r="C54" s="1"/>
      <x:c r="D54" s="10"/>
      <x:c r="E54" s="10"/>
      <x:c r="F54" s="10"/>
      <x:c r="G54" s="10"/>
      <x:c r="H54" s="10"/>
      <x:c r="I54" s="10"/>
      <x:c r="J54" s="10"/>
      <x:c r="K54" s="10"/>
      <x:c r="L54" s="10"/>
      <x:c r="M54" s="10"/>
      <x:c r="N54" s="10"/>
      <x:c r="O54" s="10"/>
      <x:c r="P54" s="10"/>
      <x:c r="Q54" s="10"/>
      <x:c r="R54" s="10"/>
      <x:c r="S54" s="10"/>
      <x:c r="T54" s="10"/>
      <x:c r="U54" s="10"/>
      <x:c r="V54" s="10"/>
      <x:c r="W54" s="10"/>
    </x:row>
    <x:row r="55" ht="17" customHeight="1">
      <x:c r="A55" s="1"/>
      <x:c r="B55" s="1"/>
      <x:c r="C55" s="1"/>
      <x:c r="D55" s="10"/>
      <x:c r="E55" s="10"/>
      <x:c r="F55" s="10"/>
      <x:c r="G55" s="10"/>
      <x:c r="H55" s="10"/>
      <x:c r="I55" s="10"/>
      <x:c r="J55" s="10"/>
      <x:c r="K55" s="10"/>
      <x:c r="L55" s="10"/>
      <x:c r="M55" s="10"/>
      <x:c r="N55" s="10"/>
      <x:c r="O55" s="10"/>
      <x:c r="P55" s="10"/>
      <x:c r="Q55" s="10"/>
      <x:c r="R55" s="10"/>
      <x:c r="S55" s="10"/>
      <x:c r="T55" s="10"/>
      <x:c r="U55" s="10"/>
      <x:c r="V55" s="10"/>
      <x:c r="W55" s="10"/>
    </x:row>
    <x:row r="56" ht="17" customHeight="1">
      <x:c r="A56" s="1"/>
      <x:c r="B56" s="1"/>
      <x:c r="C56" s="1"/>
      <x:c r="D56" s="10"/>
      <x:c r="E56" s="10"/>
      <x:c r="F56" s="10"/>
      <x:c r="G56" s="10"/>
      <x:c r="H56" s="10"/>
      <x:c r="I56" s="10"/>
      <x:c r="J56" s="10"/>
      <x:c r="K56" s="10"/>
      <x:c r="L56" s="10"/>
      <x:c r="M56" s="10"/>
      <x:c r="N56" s="10"/>
      <x:c r="O56" s="10"/>
      <x:c r="P56" s="10"/>
      <x:c r="Q56" s="10"/>
      <x:c r="R56" s="10"/>
      <x:c r="S56" s="10"/>
      <x:c r="T56" s="10"/>
      <x:c r="U56" s="10"/>
      <x:c r="V56" s="10"/>
      <x:c r="W56" s="10"/>
    </x:row>
    <x:row r="57" ht="17" customHeight="1">
      <x:c r="A57" s="1"/>
      <x:c r="B57" s="1"/>
      <x:c r="C57" s="1"/>
      <x:c r="D57" s="10"/>
      <x:c r="E57" s="10"/>
      <x:c r="F57" s="10"/>
      <x:c r="G57" s="10"/>
      <x:c r="H57" s="10"/>
      <x:c r="I57" s="10"/>
      <x:c r="J57" s="10"/>
      <x:c r="K57" s="10"/>
      <x:c r="L57" s="10"/>
      <x:c r="M57" s="10"/>
      <x:c r="N57" s="10"/>
      <x:c r="O57" s="10"/>
      <x:c r="P57" s="10"/>
      <x:c r="Q57" s="10"/>
      <x:c r="R57" s="10"/>
      <x:c r="S57" s="10"/>
      <x:c r="T57" s="10"/>
      <x:c r="U57" s="10"/>
      <x:c r="V57" s="10"/>
      <x:c r="W57" s="10"/>
    </x:row>
    <x:row r="58" ht="17" customHeight="1">
      <x:c r="A58" s="1"/>
      <x:c r="B58" s="1"/>
      <x:c r="C58" s="1"/>
      <x:c r="D58" s="10"/>
      <x:c r="E58" s="10"/>
      <x:c r="F58" s="10"/>
      <x:c r="G58" s="10"/>
      <x:c r="H58" s="10"/>
      <x:c r="I58" s="10"/>
      <x:c r="J58" s="10"/>
      <x:c r="K58" s="10"/>
      <x:c r="L58" s="10"/>
      <x:c r="M58" s="10"/>
      <x:c r="N58" s="10"/>
      <x:c r="O58" s="10"/>
      <x:c r="P58" s="10"/>
      <x:c r="Q58" s="10"/>
      <x:c r="R58" s="10"/>
      <x:c r="S58" s="10"/>
      <x:c r="T58" s="10"/>
      <x:c r="U58" s="10"/>
      <x:c r="V58" s="10"/>
      <x:c r="W58" s="10"/>
    </x:row>
    <x:row r="59" ht="17" customHeight="1">
      <x:c r="A59" s="1"/>
      <x:c r="B59" s="1"/>
      <x:c r="C59" s="1"/>
      <x:c r="D59" s="10"/>
      <x:c r="E59" s="10"/>
      <x:c r="F59" s="10"/>
      <x:c r="G59" s="10"/>
      <x:c r="H59" s="10"/>
      <x:c r="I59" s="10"/>
      <x:c r="J59" s="10"/>
      <x:c r="K59" s="10"/>
      <x:c r="L59" s="10"/>
      <x:c r="M59" s="10"/>
      <x:c r="N59" s="10"/>
      <x:c r="O59" s="10"/>
      <x:c r="P59" s="10"/>
      <x:c r="Q59" s="10"/>
      <x:c r="R59" s="10"/>
      <x:c r="S59" s="10"/>
      <x:c r="T59" s="10"/>
      <x:c r="U59" s="10"/>
      <x:c r="V59" s="10"/>
      <x:c r="W59" s="10"/>
    </x:row>
    <x:row r="60" ht="17" customHeight="1">
      <x:c r="A60" s="1"/>
      <x:c r="B60" s="1"/>
      <x:c r="C60" s="1"/>
      <x:c r="D60" s="10"/>
      <x:c r="E60" s="10"/>
      <x:c r="F60" s="10"/>
      <x:c r="G60" s="10"/>
      <x:c r="H60" s="10"/>
      <x:c r="I60" s="10"/>
      <x:c r="J60" s="10"/>
      <x:c r="K60" s="10"/>
      <x:c r="L60" s="10"/>
      <x:c r="M60" s="10"/>
      <x:c r="N60" s="10"/>
      <x:c r="O60" s="10"/>
      <x:c r="P60" s="10"/>
      <x:c r="Q60" s="10"/>
      <x:c r="R60" s="10"/>
      <x:c r="S60" s="10"/>
      <x:c r="T60" s="10"/>
      <x:c r="U60" s="10"/>
      <x:c r="V60" s="10"/>
      <x:c r="W60" s="10"/>
    </x:row>
    <x:row r="61" ht="17" customHeight="1">
      <x:c r="A61" s="1"/>
      <x:c r="B61" s="1"/>
      <x:c r="C61" s="1"/>
      <x:c r="D61" s="10"/>
      <x:c r="E61" s="10"/>
      <x:c r="F61" s="10"/>
      <x:c r="G61" s="10"/>
      <x:c r="H61" s="10"/>
      <x:c r="I61" s="10"/>
      <x:c r="J61" s="10"/>
      <x:c r="K61" s="10"/>
      <x:c r="L61" s="10"/>
      <x:c r="M61" s="10"/>
      <x:c r="N61" s="10"/>
      <x:c r="O61" s="10"/>
      <x:c r="P61" s="10"/>
      <x:c r="Q61" s="10"/>
      <x:c r="R61" s="10"/>
      <x:c r="S61" s="10"/>
      <x:c r="T61" s="10"/>
      <x:c r="U61" s="10"/>
      <x:c r="V61" s="10"/>
      <x:c r="W61" s="10"/>
    </x:row>
    <x:row r="62" ht="17" customHeight="1">
      <x:c r="A62" s="1"/>
      <x:c r="B62" s="1"/>
      <x:c r="C62" s="1"/>
      <x:c r="D62" s="10"/>
      <x:c r="E62" s="10"/>
      <x:c r="F62" s="10"/>
      <x:c r="G62" s="10"/>
      <x:c r="H62" s="10"/>
      <x:c r="I62" s="10"/>
      <x:c r="J62" s="10"/>
      <x:c r="K62" s="10"/>
      <x:c r="L62" s="10"/>
      <x:c r="M62" s="10"/>
      <x:c r="N62" s="10"/>
      <x:c r="O62" s="10"/>
      <x:c r="P62" s="10"/>
      <x:c r="Q62" s="10"/>
      <x:c r="R62" s="10"/>
      <x:c r="S62" s="10"/>
      <x:c r="T62" s="10"/>
      <x:c r="U62" s="10"/>
      <x:c r="V62" s="10"/>
      <x:c r="W62" s="10"/>
    </x:row>
    <x:row r="63" ht="17" customHeight="1">
      <x:c r="A63" s="1"/>
      <x:c r="B63" s="1"/>
      <x:c r="C63" s="1"/>
      <x:c r="D63" s="10"/>
      <x:c r="E63" s="10"/>
      <x:c r="F63" s="10"/>
      <x:c r="G63" s="10"/>
      <x:c r="H63" s="10"/>
      <x:c r="I63" s="10"/>
      <x:c r="J63" s="10"/>
      <x:c r="K63" s="10"/>
      <x:c r="L63" s="10"/>
      <x:c r="M63" s="10"/>
      <x:c r="N63" s="10"/>
      <x:c r="O63" s="10"/>
      <x:c r="P63" s="10"/>
      <x:c r="Q63" s="10"/>
      <x:c r="R63" s="10"/>
      <x:c r="S63" s="10"/>
      <x:c r="T63" s="10"/>
      <x:c r="U63" s="10"/>
      <x:c r="V63" s="10"/>
      <x:c r="W63" s="10"/>
    </x:row>
    <x:row r="64" ht="17" customHeight="1">
      <x:c r="A64" s="1"/>
      <x:c r="B64" s="1"/>
      <x:c r="C64" s="1"/>
      <x:c r="D64" s="10"/>
      <x:c r="E64" s="10"/>
      <x:c r="F64" s="10"/>
      <x:c r="G64" s="10"/>
      <x:c r="H64" s="10"/>
      <x:c r="I64" s="10"/>
      <x:c r="J64" s="10"/>
      <x:c r="K64" s="10"/>
      <x:c r="L64" s="10"/>
      <x:c r="M64" s="10"/>
      <x:c r="N64" s="10"/>
      <x:c r="O64" s="10"/>
      <x:c r="P64" s="10"/>
      <x:c r="Q64" s="10"/>
      <x:c r="R64" s="10"/>
      <x:c r="S64" s="10"/>
      <x:c r="T64" s="10"/>
      <x:c r="U64" s="10"/>
      <x:c r="V64" s="10"/>
      <x:c r="W64" s="10"/>
    </x:row>
    <x:row r="65" ht="17" customHeight="1">
      <x:c r="A65" s="1"/>
      <x:c r="B65" s="1"/>
      <x:c r="C65" s="1"/>
      <x:c r="D65" s="10"/>
      <x:c r="E65" s="10"/>
      <x:c r="F65" s="10"/>
      <x:c r="G65" s="10"/>
      <x:c r="H65" s="10"/>
      <x:c r="I65" s="10"/>
      <x:c r="J65" s="10"/>
      <x:c r="K65" s="10"/>
      <x:c r="L65" s="10"/>
      <x:c r="M65" s="10"/>
      <x:c r="N65" s="10"/>
      <x:c r="O65" s="10"/>
      <x:c r="P65" s="10"/>
      <x:c r="Q65" s="10"/>
      <x:c r="R65" s="10"/>
      <x:c r="S65" s="10"/>
      <x:c r="T65" s="10"/>
      <x:c r="U65" s="10"/>
      <x:c r="V65" s="10"/>
      <x:c r="W65" s="10"/>
    </x:row>
    <x:row r="66" ht="17" customHeight="1">
      <x:c r="A66" s="1"/>
      <x:c r="B66" s="1"/>
      <x:c r="C66" s="1"/>
      <x:c r="D66" s="10"/>
      <x:c r="E66" s="10"/>
      <x:c r="F66" s="10"/>
      <x:c r="G66" s="10"/>
      <x:c r="H66" s="10"/>
      <x:c r="I66" s="10"/>
      <x:c r="J66" s="10"/>
      <x:c r="K66" s="10"/>
      <x:c r="L66" s="10"/>
      <x:c r="M66" s="10"/>
      <x:c r="N66" s="10"/>
      <x:c r="O66" s="10"/>
      <x:c r="P66" s="10"/>
      <x:c r="Q66" s="10"/>
      <x:c r="R66" s="10"/>
      <x:c r="S66" s="10"/>
      <x:c r="T66" s="10"/>
      <x:c r="U66" s="10"/>
      <x:c r="V66" s="10"/>
      <x:c r="W66" s="10"/>
    </x:row>
    <x:row r="67" ht="17" customHeight="1">
      <x:c r="A67" s="1"/>
      <x:c r="B67" s="1"/>
      <x:c r="C67" s="1"/>
      <x:c r="D67" s="10"/>
      <x:c r="E67" s="10"/>
      <x:c r="F67" s="10"/>
      <x:c r="G67" s="10"/>
      <x:c r="H67" s="10"/>
      <x:c r="I67" s="10"/>
      <x:c r="J67" s="10"/>
      <x:c r="K67" s="10"/>
      <x:c r="L67" s="10"/>
      <x:c r="M67" s="10"/>
      <x:c r="N67" s="10"/>
      <x:c r="O67" s="10"/>
      <x:c r="P67" s="10"/>
      <x:c r="Q67" s="10"/>
      <x:c r="R67" s="10"/>
      <x:c r="S67" s="10"/>
      <x:c r="T67" s="10"/>
      <x:c r="U67" s="10"/>
      <x:c r="V67" s="10"/>
      <x:c r="W67" s="10"/>
    </x:row>
    <x:row r="68" ht="17" customHeight="1">
      <x:c r="A68" s="1"/>
      <x:c r="B68" s="1"/>
      <x:c r="C68" s="1"/>
      <x:c r="D68" s="10"/>
      <x:c r="E68" s="10"/>
      <x:c r="F68" s="10"/>
      <x:c r="G68" s="10"/>
      <x:c r="H68" s="10"/>
      <x:c r="I68" s="10"/>
      <x:c r="J68" s="10"/>
      <x:c r="K68" s="10"/>
      <x:c r="L68" s="10"/>
      <x:c r="M68" s="10"/>
      <x:c r="N68" s="10"/>
      <x:c r="O68" s="10"/>
      <x:c r="P68" s="10"/>
      <x:c r="Q68" s="10"/>
      <x:c r="R68" s="10"/>
      <x:c r="S68" s="10"/>
      <x:c r="T68" s="10"/>
      <x:c r="U68" s="10"/>
      <x:c r="V68" s="10"/>
      <x:c r="W68" s="10"/>
    </x:row>
    <x:row r="69" ht="17" customHeight="1">
      <x:c r="A69" s="1"/>
      <x:c r="B69" s="1"/>
      <x:c r="C69" s="1"/>
      <x:c r="D69" s="10"/>
      <x:c r="E69" s="10"/>
      <x:c r="F69" s="10"/>
      <x:c r="G69" s="10"/>
      <x:c r="H69" s="10"/>
      <x:c r="I69" s="10"/>
      <x:c r="J69" s="10"/>
      <x:c r="K69" s="10"/>
      <x:c r="L69" s="10"/>
      <x:c r="M69" s="10"/>
      <x:c r="N69" s="10"/>
      <x:c r="O69" s="10"/>
      <x:c r="P69" s="10"/>
      <x:c r="Q69" s="10"/>
      <x:c r="R69" s="10"/>
      <x:c r="S69" s="10"/>
      <x:c r="T69" s="10"/>
      <x:c r="U69" s="10"/>
      <x:c r="V69" s="10"/>
      <x:c r="W69" s="10"/>
    </x:row>
    <x:row r="70" ht="17" customHeight="1">
      <x:c r="A70" s="1"/>
      <x:c r="B70" s="1"/>
      <x:c r="C70" s="1"/>
      <x:c r="D70" s="10"/>
      <x:c r="E70" s="10"/>
      <x:c r="F70" s="10"/>
      <x:c r="G70" s="10"/>
      <x:c r="H70" s="10"/>
      <x:c r="I70" s="10"/>
      <x:c r="J70" s="10"/>
      <x:c r="K70" s="10"/>
      <x:c r="L70" s="10"/>
      <x:c r="M70" s="10"/>
      <x:c r="N70" s="10"/>
      <x:c r="O70" s="10"/>
      <x:c r="P70" s="10"/>
      <x:c r="Q70" s="10"/>
      <x:c r="R70" s="10"/>
      <x:c r="S70" s="10"/>
      <x:c r="T70" s="10"/>
      <x:c r="U70" s="10"/>
      <x:c r="V70" s="10"/>
      <x:c r="W70" s="10"/>
    </x:row>
    <x:row r="71" ht="17" customHeight="1">
      <x:c r="A71" s="1"/>
      <x:c r="B71" s="1"/>
      <x:c r="C71" s="1"/>
      <x:c r="D71" s="10"/>
      <x:c r="E71" s="10"/>
      <x:c r="F71" s="10"/>
      <x:c r="G71" s="10"/>
      <x:c r="H71" s="10"/>
      <x:c r="I71" s="10"/>
      <x:c r="J71" s="10"/>
      <x:c r="K71" s="10"/>
      <x:c r="L71" s="10"/>
      <x:c r="M71" s="10"/>
      <x:c r="N71" s="10"/>
      <x:c r="O71" s="10"/>
      <x:c r="P71" s="10"/>
      <x:c r="Q71" s="10"/>
      <x:c r="R71" s="10"/>
      <x:c r="S71" s="10"/>
      <x:c r="T71" s="10"/>
      <x:c r="U71" s="10"/>
      <x:c r="V71" s="10"/>
      <x:c r="W71" s="10"/>
    </x:row>
    <x:row r="72" ht="17" customHeight="1">
      <x:c r="A72" s="1"/>
      <x:c r="B72" s="1"/>
      <x:c r="C72" s="1"/>
      <x:c r="D72" s="10"/>
      <x:c r="E72" s="10"/>
      <x:c r="F72" s="10"/>
      <x:c r="G72" s="10"/>
      <x:c r="H72" s="10"/>
      <x:c r="I72" s="10"/>
      <x:c r="J72" s="10"/>
      <x:c r="K72" s="10"/>
      <x:c r="L72" s="10"/>
      <x:c r="M72" s="10"/>
      <x:c r="N72" s="10"/>
      <x:c r="O72" s="10"/>
      <x:c r="P72" s="10"/>
      <x:c r="Q72" s="10"/>
      <x:c r="R72" s="10"/>
      <x:c r="S72" s="10"/>
      <x:c r="T72" s="10"/>
      <x:c r="U72" s="10"/>
      <x:c r="V72" s="10"/>
      <x:c r="W72" s="10"/>
    </x:row>
    <x:row r="73" ht="17" customHeight="1">
      <x:c r="A73" s="1"/>
      <x:c r="B73" s="1"/>
      <x:c r="C73" s="1"/>
      <x:c r="D73" s="10"/>
      <x:c r="E73" s="10"/>
      <x:c r="F73" s="10"/>
      <x:c r="G73" s="10"/>
      <x:c r="H73" s="10"/>
      <x:c r="I73" s="10"/>
      <x:c r="J73" s="10"/>
      <x:c r="K73" s="10"/>
      <x:c r="L73" s="10"/>
      <x:c r="M73" s="10"/>
      <x:c r="N73" s="10"/>
      <x:c r="O73" s="10"/>
      <x:c r="P73" s="10"/>
      <x:c r="Q73" s="10"/>
      <x:c r="R73" s="10"/>
      <x:c r="S73" s="10"/>
      <x:c r="T73" s="10"/>
      <x:c r="U73" s="10"/>
      <x:c r="V73" s="10"/>
      <x:c r="W73" s="10"/>
    </x:row>
    <x:row r="74" ht="17" customHeight="1">
      <x:c r="A74" s="1"/>
      <x:c r="B74" s="1"/>
      <x:c r="C74" s="1"/>
      <x:c r="D74" s="10"/>
      <x:c r="E74" s="10"/>
      <x:c r="F74" s="10"/>
      <x:c r="G74" s="10"/>
      <x:c r="H74" s="10"/>
      <x:c r="I74" s="10"/>
      <x:c r="J74" s="10"/>
      <x:c r="K74" s="10"/>
      <x:c r="L74" s="10"/>
      <x:c r="M74" s="10"/>
      <x:c r="N74" s="10"/>
      <x:c r="O74" s="10"/>
      <x:c r="P74" s="10"/>
      <x:c r="Q74" s="10"/>
      <x:c r="R74" s="10"/>
      <x:c r="S74" s="10"/>
      <x:c r="T74" s="10"/>
      <x:c r="U74" s="10"/>
      <x:c r="V74" s="10"/>
      <x:c r="W74" s="10"/>
    </x:row>
    <x:row r="75" ht="17" customHeight="1">
      <x:c r="A75" s="1"/>
      <x:c r="B75" s="1"/>
      <x:c r="C75" s="1"/>
      <x:c r="D75" s="10"/>
      <x:c r="E75" s="10"/>
      <x:c r="F75" s="10"/>
      <x:c r="G75" s="10"/>
      <x:c r="H75" s="10"/>
      <x:c r="I75" s="10"/>
      <x:c r="J75" s="10"/>
      <x:c r="K75" s="10"/>
      <x:c r="L75" s="10"/>
      <x:c r="M75" s="10"/>
      <x:c r="N75" s="10"/>
      <x:c r="O75" s="10"/>
      <x:c r="P75" s="10"/>
      <x:c r="Q75" s="10"/>
      <x:c r="R75" s="10"/>
      <x:c r="S75" s="10"/>
      <x:c r="T75" s="10"/>
      <x:c r="U75" s="10"/>
      <x:c r="V75" s="10"/>
      <x:c r="W75" s="10"/>
    </x:row>
    <x:row r="76" ht="17" customHeight="1">
      <x:c r="A76" s="1"/>
      <x:c r="B76" s="1"/>
      <x:c r="C76" s="1"/>
      <x:c r="D76" s="10"/>
      <x:c r="E76" s="10"/>
      <x:c r="F76" s="10"/>
      <x:c r="G76" s="10"/>
      <x:c r="H76" s="10"/>
      <x:c r="I76" s="10"/>
      <x:c r="J76" s="10"/>
      <x:c r="K76" s="10"/>
      <x:c r="L76" s="10"/>
      <x:c r="M76" s="10"/>
      <x:c r="N76" s="10"/>
      <x:c r="O76" s="10"/>
      <x:c r="P76" s="10"/>
      <x:c r="Q76" s="10"/>
      <x:c r="R76" s="10"/>
      <x:c r="S76" s="10"/>
      <x:c r="T76" s="10"/>
      <x:c r="U76" s="10"/>
      <x:c r="V76" s="10"/>
      <x:c r="W76" s="10"/>
    </x:row>
    <x:row r="77" ht="17" customHeight="1">
      <x:c r="A77" s="1"/>
      <x:c r="B77" s="1"/>
      <x:c r="C77" s="1"/>
      <x:c r="D77" s="10"/>
      <x:c r="E77" s="10"/>
      <x:c r="F77" s="10"/>
      <x:c r="G77" s="10"/>
      <x:c r="H77" s="10"/>
      <x:c r="I77" s="10"/>
      <x:c r="J77" s="10"/>
      <x:c r="K77" s="10"/>
      <x:c r="L77" s="10"/>
      <x:c r="M77" s="10"/>
      <x:c r="N77" s="10"/>
      <x:c r="O77" s="10"/>
      <x:c r="P77" s="10"/>
      <x:c r="Q77" s="10"/>
      <x:c r="R77" s="10"/>
      <x:c r="S77" s="10"/>
      <x:c r="T77" s="10"/>
      <x:c r="U77" s="10"/>
      <x:c r="V77" s="10"/>
      <x:c r="W77" s="10"/>
    </x:row>
    <x:row r="78" ht="17" customHeight="1">
      <x:c r="A78" s="1"/>
      <x:c r="B78" s="1"/>
      <x:c r="C78" s="1"/>
      <x:c r="D78" s="10"/>
      <x:c r="E78" s="10"/>
      <x:c r="F78" s="10"/>
      <x:c r="G78" s="10"/>
      <x:c r="H78" s="10"/>
      <x:c r="I78" s="10"/>
      <x:c r="J78" s="10"/>
      <x:c r="K78" s="10"/>
      <x:c r="L78" s="10"/>
      <x:c r="M78" s="10"/>
      <x:c r="N78" s="10"/>
      <x:c r="O78" s="10"/>
      <x:c r="P78" s="10"/>
      <x:c r="Q78" s="10"/>
      <x:c r="R78" s="10"/>
      <x:c r="S78" s="10"/>
      <x:c r="T78" s="10"/>
      <x:c r="U78" s="10"/>
      <x:c r="V78" s="10"/>
      <x:c r="W78" s="10"/>
    </x:row>
    <x:row r="79" ht="17" customHeight="1">
      <x:c r="A79" s="1"/>
      <x:c r="B79" s="1"/>
      <x:c r="C79" s="1"/>
      <x:c r="D79" s="10"/>
      <x:c r="E79" s="10"/>
      <x:c r="F79" s="10"/>
      <x:c r="G79" s="10"/>
      <x:c r="H79" s="10"/>
      <x:c r="I79" s="10"/>
      <x:c r="J79" s="10"/>
      <x:c r="K79" s="10"/>
      <x:c r="L79" s="10"/>
      <x:c r="M79" s="10"/>
      <x:c r="N79" s="10"/>
      <x:c r="O79" s="10"/>
      <x:c r="P79" s="10"/>
      <x:c r="Q79" s="10"/>
      <x:c r="R79" s="10"/>
      <x:c r="S79" s="10"/>
      <x:c r="T79" s="10"/>
      <x:c r="U79" s="10"/>
      <x:c r="V79" s="10"/>
      <x:c r="W79" s="10"/>
    </x:row>
    <x:row r="80" ht="17" customHeight="1">
      <x:c r="A80" s="1"/>
      <x:c r="B80" s="1"/>
      <x:c r="C80" s="1"/>
      <x:c r="D80" s="10"/>
      <x:c r="E80" s="10"/>
      <x:c r="F80" s="10"/>
      <x:c r="G80" s="10"/>
      <x:c r="H80" s="10"/>
      <x:c r="I80" s="10"/>
      <x:c r="J80" s="10"/>
      <x:c r="K80" s="10"/>
      <x:c r="L80" s="10"/>
      <x:c r="M80" s="10"/>
      <x:c r="N80" s="10"/>
      <x:c r="O80" s="10"/>
      <x:c r="P80" s="10"/>
      <x:c r="Q80" s="10"/>
      <x:c r="R80" s="10"/>
      <x:c r="S80" s="10"/>
      <x:c r="T80" s="10"/>
      <x:c r="U80" s="10"/>
      <x:c r="V80" s="10"/>
      <x:c r="W80" s="10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10" hidden="0" customWidth="1"/>
    <x:col min="4" max="4" width="48" hidden="0" customWidth="1"/>
    <x:col min="5" max="5" width="34" hidden="0" customWidth="1"/>
    <x:col min="6" max="6" width="95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</x:cols>
  <x:sheetData>
    <x:row r="1" ht="17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17" customHeight="1">
      <x:c r="A2" s="1"/>
      <x:c r="B2" s="1"/>
      <x:c r="C2" s="2" t="str">
        <x:v>Accounting assumptions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</x:row>
    <x:row r="3" ht="17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</x:row>
    <x:row r="4" ht="17" customHeight="1">
      <x:c r="A4" s="1"/>
      <x:c r="B4" s="1"/>
      <x:c r="C4" s="1" t="str">
        <x:v>Conditional Dot target. USD. Assumed opening balances, not an actual enterprise ledger.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17" customHeight="1">
      <x:c r="A5" s="1"/>
      <x:c r="B5" s="1"/>
      <x:c r="C5" s="29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17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28" customHeight="1">
      <x:c r="A7" s="1"/>
      <x:c r="B7" s="1"/>
      <x:c r="C7" s="13" t="str">
        <x:v>ID</x:v>
      </x:c>
      <x:c r="D7" s="13" t="str">
        <x:v>Assumption</x:v>
      </x:c>
      <x:c r="E7" s="13" t="str">
        <x:v>Scenario value</x:v>
      </x:c>
      <x:c r="F7" s="13" t="str">
        <x:v>Meaning / evidence limit</x:v>
      </x:c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</x:row>
    <x:row r="8" ht="15" hidden="0" customHeight="1">
      <x:c r="A8" s="1"/>
      <x:c r="B8" s="1"/>
      <x:c r="C8" s="23" t="str">
        <x:v>A01</x:v>
      </x:c>
      <x:c r="D8" s="24" t="str">
        <x:v>Opening cash</x:v>
      </x:c>
      <x:c r="E8" s="24" t="n">
        <x:v>0</x:v>
      </x:c>
      <x:c r="F8" s="24" t="str">
        <x:v>Scenario boundary only; actual ledger unknown. Preserves frozen target.</x:v>
      </x:c>
      <x:c r="G8" s="10"/>
      <x:c r="H8" s="10"/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</x:row>
    <x:row r="9" ht="15" hidden="0" customHeight="1">
      <x:c r="A9" s="1"/>
      <x:c r="B9" s="1"/>
      <x:c r="C9" s="23" t="str">
        <x:v>A02</x:v>
      </x:c>
      <x:c r="D9" s="24" t="str">
        <x:v>Opening receivables</x:v>
      </x:c>
      <x:c r="E9" s="24" t="n">
        <x:v>0</x:v>
      </x:c>
      <x:c r="F9" s="24" t="str">
        <x:v>No actual aging supplied; incremental target starts at zero.</x:v>
      </x:c>
      <x:c r="G9" s="10"/>
      <x:c r="H9" s="10"/>
      <x:c r="I9" s="10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</x:row>
    <x:row r="10" ht="15" hidden="0" customHeight="1">
      <x:c r="A10" s="1"/>
      <x:c r="B10" s="1"/>
      <x:c r="C10" s="23" t="str">
        <x:v>A03</x:v>
      </x:c>
      <x:c r="D10" s="24" t="str">
        <x:v>Opening inventory and prepaid materials</x:v>
      </x:c>
      <x:c r="E10" s="24" t="n">
        <x:v>0</x:v>
      </x:c>
      <x:c r="F10" s="24" t="str">
        <x:v>No verified stock ledger supplied.</x:v>
      </x:c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</x:row>
    <x:row r="11" ht="15" hidden="0" customHeight="1">
      <x:c r="A11" s="1"/>
      <x:c r="B11" s="1"/>
      <x:c r="C11" s="23" t="str">
        <x:v>A04</x:v>
      </x:c>
      <x:c r="D11" s="24" t="str">
        <x:v>Opening gross PP&amp;E</x:v>
      </x:c>
      <x:c r="E11" s="24" t="n">
        <x:v>0</x:v>
      </x:c>
      <x:c r="F11" s="24" t="str">
        <x:v>No actual asset register supplied.</x:v>
      </x:c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</x:row>
    <x:row r="12" ht="15" hidden="0" customHeight="1">
      <x:c r="A12" s="1"/>
      <x:c r="B12" s="1"/>
      <x:c r="C12" s="23" t="str">
        <x:v>A05</x:v>
      </x:c>
      <x:c r="D12" s="24" t="str">
        <x:v>Opening accumulated depreciation</x:v>
      </x:c>
      <x:c r="E12" s="24" t="n">
        <x:v>0</x:v>
      </x:c>
      <x:c r="F12" s="24" t="str">
        <x:v>No actual depreciation ledger supplied.</x:v>
      </x:c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</x:row>
    <x:row r="13" ht="15" hidden="0" customHeight="1">
      <x:c r="A13" s="1"/>
      <x:c r="B13" s="1"/>
      <x:c r="C13" s="23" t="str">
        <x:v>A06</x:v>
      </x:c>
      <x:c r="D13" s="24" t="str">
        <x:v>Opening accounts payable</x:v>
      </x:c>
      <x:c r="E13" s="24" t="n">
        <x:v>0</x:v>
      </x:c>
      <x:c r="F13" s="24" t="str">
        <x:v>No actual liability ledger supplied.</x:v>
      </x:c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0"/>
      <x:c r="T13" s="10"/>
      <x:c r="U13" s="10"/>
      <x:c r="V13" s="10"/>
      <x:c r="W13" s="10"/>
    </x:row>
    <x:row r="14" ht="15" hidden="0" customHeight="1">
      <x:c r="A14" s="1"/>
      <x:c r="B14" s="1"/>
      <x:c r="C14" s="23" t="str">
        <x:v>A07</x:v>
      </x:c>
      <x:c r="D14" s="24" t="str">
        <x:v>Opening deferred revenue</x:v>
      </x:c>
      <x:c r="E14" s="24" t="n">
        <x:v>0</x:v>
      </x:c>
      <x:c r="F14" s="24" t="str">
        <x:v>No actual customer-prepayment ledger supplied.</x:v>
      </x:c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</x:row>
    <x:row r="15" ht="15" hidden="0" customHeight="1">
      <x:c r="A15" s="1"/>
      <x:c r="B15" s="1"/>
      <x:c r="C15" s="23" t="str">
        <x:v>A08</x:v>
      </x:c>
      <x:c r="D15" s="24" t="str">
        <x:v>Opening income tax payable</x:v>
      </x:c>
      <x:c r="E15" s="24" t="n">
        <x:v>0</x:v>
      </x:c>
      <x:c r="F15" s="24" t="str">
        <x:v>No actual tax liability ledger supplied.</x:v>
      </x:c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</x:row>
    <x:row r="16" ht="15" hidden="0" customHeight="1">
      <x:c r="A16" s="1"/>
      <x:c r="B16" s="1"/>
      <x:c r="C16" s="23" t="str">
        <x:v>A09</x:v>
      </x:c>
      <x:c r="D16" s="24" t="str">
        <x:v>Opening debt</x:v>
      </x:c>
      <x:c r="E16" s="24" t="n">
        <x:v>0</x:v>
      </x:c>
      <x:c r="F16" s="24" t="str">
        <x:v>Zero incremental financing, not a statement that enterprise debt does not exist.</x:v>
      </x:c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</x:row>
    <x:row r="17" ht="15" hidden="0" customHeight="1">
      <x:c r="A17" s="1"/>
      <x:c r="B17" s="1"/>
      <x:c r="C17" s="23" t="str">
        <x:v>A10</x:v>
      </x:c>
      <x:c r="D17" s="24" t="str">
        <x:v>Opening paid-in capital</x:v>
      </x:c>
      <x:c r="E17" s="24" t="n">
        <x:v>0</x:v>
      </x:c>
      <x:c r="F17" s="24" t="str">
        <x:v>No new equity assumed or authorized.</x:v>
      </x:c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</x:row>
    <x:row r="18" ht="15" hidden="0" customHeight="1">
      <x:c r="A18" s="1"/>
      <x:c r="B18" s="1"/>
      <x:c r="C18" s="23" t="str">
        <x:v>A11</x:v>
      </x:c>
      <x:c r="D18" s="24" t="str">
        <x:v>Opening retained earnings</x:v>
      </x:c>
      <x:c r="E18" s="24" t="n">
        <x:v>0</x:v>
      </x:c>
      <x:c r="F18" s="24" t="str">
        <x:v>Scenario opening, not historical enterprise equity.</x:v>
      </x:c>
      <x:c r="G18" s="10"/>
      <x:c r="H18" s="10"/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0"/>
      <x:c r="T18" s="10"/>
      <x:c r="U18" s="10"/>
      <x:c r="V18" s="10"/>
      <x:c r="W18" s="10"/>
    </x:row>
    <x:row r="19" ht="15" hidden="0" customHeight="1">
      <x:c r="A19" s="1"/>
      <x:c r="B19" s="1"/>
      <x:c r="C19" s="23" t="str">
        <x:v>A12</x:v>
      </x:c>
      <x:c r="D19" s="24" t="str">
        <x:v>Closing AP / deferred revenue / tax payable</x:v>
      </x:c>
      <x:c r="E19" s="24" t="n">
        <x:v>0</x:v>
      </x:c>
      <x:c r="F19" s="24" t="str">
        <x:v>Assume vendor costs paid as incurred, no advance billing, tax provision settled at year end.</x:v>
      </x:c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10"/>
      <x:c r="U19" s="10"/>
      <x:c r="V19" s="10"/>
      <x:c r="W19" s="10"/>
    </x:row>
    <x:row r="20" ht="15" hidden="0" customHeight="1">
      <x:c r="A20" s="1"/>
      <x:c r="B20" s="1"/>
      <x:c r="C20" s="23" t="str">
        <x:v>A13</x:v>
      </x:c>
      <x:c r="D20" s="24" t="str">
        <x:v>New debt / new equity / dividends</x:v>
      </x:c>
      <x:c r="E20" s="24" t="n">
        <x:v>0</x:v>
      </x:c>
      <x:c r="F20" s="24" t="str">
        <x:v>No financing or distributions inserted to balance the statements.</x:v>
      </x:c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0"/>
      <x:c r="T20" s="10"/>
      <x:c r="U20" s="10"/>
      <x:c r="V20" s="10"/>
      <x:c r="W20" s="10"/>
    </x:row>
    <x:row r="21" ht="24" hidden="0" customHeight="1">
      <x:c r="A21" s="1"/>
      <x:c r="B21" s="1"/>
      <x:c r="C21" s="23" t="str">
        <x:v>A14</x:v>
      </x:c>
      <x:c r="D21" s="24" t="str">
        <x:v>Materials asset classification</x:v>
      </x:c>
      <x:c r="E21" s="24" t="str">
        <x:v>Inventory / prepaid materials proxy</x:v>
      </x:c>
      <x:c r="F21" s="24" t="str">
        <x:v>One-month baseline materials amount is treated as paid inventory/prepayments, not merely earmarked cash. New explicit classification; dollar amounts unchanged.</x:v>
      </x:c>
      <x:c r="G21" s="10"/>
      <x:c r="H21" s="10"/>
      <x:c r="I21" s="10"/>
      <x:c r="J21" s="10"/>
      <x:c r="K21" s="10"/>
      <x:c r="L21" s="10"/>
      <x:c r="M21" s="10"/>
      <x:c r="N21" s="10"/>
      <x:c r="O21" s="10"/>
      <x:c r="P21" s="10"/>
      <x:c r="Q21" s="10"/>
      <x:c r="R21" s="10"/>
      <x:c r="S21" s="10"/>
      <x:c r="T21" s="10"/>
      <x:c r="U21" s="10"/>
      <x:c r="V21" s="10"/>
      <x:c r="W21" s="10"/>
    </x:row>
    <x:row r="22" ht="15" hidden="0" customHeight="1">
      <x:c r="A22" s="1"/>
      <x:c r="B22" s="1"/>
      <x:c r="C22" s="23" t="str">
        <x:v>A15</x:v>
      </x:c>
      <x:c r="D22" s="24" t="str">
        <x:v>PP&amp;E classification</x:v>
      </x:c>
      <x:c r="E22" s="24" t="str">
        <x:v>Modeled capital asset allowance</x:v>
      </x:c>
      <x:c r="F22" s="24" t="str">
        <x:v>Preserve $1,500 initial capex and three-year straight-line life; asset class and real in-service evidence unverified. No development capitalization inferred.</x:v>
      </x:c>
      <x:c r="G22" s="10"/>
      <x:c r="H22" s="10"/>
      <x:c r="I22" s="10"/>
      <x:c r="J22" s="10"/>
      <x:c r="K22" s="10"/>
      <x:c r="L22" s="10"/>
      <x:c r="M22" s="10"/>
      <x:c r="N22" s="10"/>
      <x:c r="O22" s="10"/>
      <x:c r="P22" s="10"/>
      <x:c r="Q22" s="10"/>
      <x:c r="R22" s="10"/>
      <x:c r="S22" s="10"/>
      <x:c r="T22" s="10"/>
      <x:c r="U22" s="10"/>
      <x:c r="V22" s="10"/>
      <x:c r="W22" s="10"/>
    </x:row>
    <x:row r="23" ht="15" hidden="0" customHeight="1">
      <x:c r="A23" s="1"/>
      <x:c r="B23" s="1"/>
      <x:c r="C23" s="23" t="str">
        <x:v>A16</x:v>
      </x:c>
      <x:c r="D23" s="24" t="str">
        <x:v>Actual opening ledger</x:v>
      </x:c>
      <x:c r="E23" s="24" t="str">
        <x:v>Not supplied</x:v>
      </x:c>
      <x:c r="F23" s="24" t="str">
        <x:v>Scenario zero balances must not be reported as verified enterprise balances.</x:v>
      </x:c>
      <x:c r="G23" s="10"/>
      <x:c r="H23" s="10"/>
      <x:c r="I23" s="10"/>
      <x:c r="J23" s="10"/>
      <x:c r="K23" s="10"/>
      <x:c r="L23" s="10"/>
      <x:c r="M23" s="10"/>
      <x:c r="N23" s="10"/>
      <x:c r="O23" s="10"/>
      <x:c r="P23" s="10"/>
      <x:c r="Q23" s="10"/>
      <x:c r="R23" s="10"/>
      <x:c r="S23" s="10"/>
      <x:c r="T23" s="10"/>
      <x:c r="U23" s="10"/>
      <x:c r="V23" s="10"/>
      <x:c r="W23" s="10"/>
    </x:row>
    <x:row r="24" ht="15" hidden="0" customHeight="1">
      <x:c r="A24" s="1"/>
      <x:c r="B24" s="1"/>
      <x:c r="C24" s="23" t="str">
        <x:v>A17</x:v>
      </x:c>
      <x:c r="D24" s="24" t="str">
        <x:v>Unquantified additional development</x:v>
      </x:c>
      <x:c r="E24" s="24" t="str">
        <x:v>Excluded, not zero</x:v>
      </x:c>
      <x:c r="F24" s="24" t="str">
        <x:v>Additional unfinished apps/courses and any build scope beyond stated preparation allowances have not been priced.</x:v>
      </x:c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0"/>
    </x:row>
    <x:row r="25" ht="15" hidden="0" customHeight="1">
      <x:c r="A25" s="1"/>
      <x:c r="B25" s="1"/>
      <x:c r="C25" s="23" t="str">
        <x:v>A18</x:v>
      </x:c>
      <x:c r="D25" s="24" t="str">
        <x:v>Other unresolved incremental costs</x:v>
      </x:c>
      <x:c r="E25" s="24" t="str">
        <x:v>Excluded where unquantified</x:v>
      </x:c>
      <x:c r="F25" s="24" t="str">
        <x:v>Supplier, provider, specialist, insurance and platform quotes can exceed the existing comparison allowances.</x:v>
      </x:c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  <x:c r="T25" s="10"/>
      <x:c r="U25" s="10"/>
      <x:c r="V25" s="10"/>
      <x:c r="W25" s="10"/>
    </x:row>
    <x:row r="26" ht="15" hidden="0" customHeight="1">
      <x:c r="A26" s="1"/>
      <x:c r="B26" s="1"/>
      <x:c r="C26" s="23" t="str">
        <x:v>A19</x:v>
      </x:c>
      <x:c r="D26" s="24" t="str">
        <x:v>Reporting scope</x:v>
      </x:c>
      <x:c r="E26" s="24" t="str">
        <x:v>Management reporting families</x:v>
      </x:c>
      <x:c r="F26" s="24" t="str">
        <x:v>Not a verified legal-entity consolidation, tax filing, audited forecast or approved owner budget.</x:v>
      </x:c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0"/>
      <x:c r="T26" s="10"/>
      <x:c r="U26" s="10"/>
      <x:c r="V26" s="10"/>
      <x:c r="W26" s="10"/>
    </x:row>
    <x:row r="27" ht="15" hidden="0" customHeight="1">
      <x:c r="A27" s="1"/>
      <x:c r="B27" s="1"/>
      <x:c r="C27" s="23" t="str">
        <x:v>A20</x:v>
      </x:c>
      <x:c r="D27" s="24" t="str">
        <x:v>Period convention</x:v>
      </x:c>
      <x:c r="E27" s="24" t="str">
        <x:v>20 total indexed years</x:v>
      </x:c>
      <x:c r="F27" s="24" t="str">
        <x:v>Years 1–10 detailed; Years 11–20 long-range pro forma. No calendar launch date assigned.</x:v>
      </x:c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0"/>
      <x:c r="T27" s="10"/>
      <x:c r="U27" s="10"/>
      <x:c r="V27" s="10"/>
      <x:c r="W27" s="10"/>
    </x:row>
    <x:row r="28" ht="17" customHeight="1">
      <x:c r="A28" s="1"/>
      <x:c r="B28" s="1"/>
      <x:c r="C28" s="1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10"/>
      <x:c r="O28" s="10"/>
      <x:c r="P28" s="10"/>
      <x:c r="Q28" s="10"/>
      <x:c r="R28" s="10"/>
      <x:c r="S28" s="10"/>
      <x:c r="T28" s="10"/>
      <x:c r="U28" s="10"/>
      <x:c r="V28" s="10"/>
      <x:c r="W28" s="10"/>
    </x:row>
    <x:row r="29" ht="17" customHeight="1">
      <x:c r="A29" s="1"/>
      <x:c r="B29" s="1"/>
      <x:c r="C29" s="1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10"/>
      <x:c r="O29" s="10"/>
      <x:c r="P29" s="10"/>
      <x:c r="Q29" s="10"/>
      <x:c r="R29" s="10"/>
      <x:c r="S29" s="10"/>
      <x:c r="T29" s="10"/>
      <x:c r="U29" s="10"/>
      <x:c r="V29" s="10"/>
      <x:c r="W29" s="10"/>
    </x:row>
    <x:row r="30" ht="17" customHeight="1">
      <x:c r="A30" s="1"/>
      <x:c r="B30" s="1"/>
      <x:c r="C30" s="1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10"/>
      <x:c r="O30" s="10"/>
      <x:c r="P30" s="10"/>
      <x:c r="Q30" s="10"/>
      <x:c r="R30" s="10"/>
      <x:c r="S30" s="10"/>
      <x:c r="T30" s="10"/>
      <x:c r="U30" s="10"/>
      <x:c r="V30" s="10"/>
      <x:c r="W30" s="10"/>
    </x:row>
    <x:row r="31" ht="17" customHeight="1">
      <x:c r="A31" s="1"/>
      <x:c r="B31" s="1"/>
      <x:c r="C31" s="1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  <x:c r="O31" s="10"/>
      <x:c r="P31" s="10"/>
      <x:c r="Q31" s="10"/>
      <x:c r="R31" s="10"/>
      <x:c r="S31" s="10"/>
      <x:c r="T31" s="10"/>
      <x:c r="U31" s="10"/>
      <x:c r="V31" s="10"/>
      <x:c r="W31" s="10"/>
    </x:row>
    <x:row r="32" ht="17" customHeight="1">
      <x:c r="A32" s="1"/>
      <x:c r="B32" s="1"/>
      <x:c r="C32" s="1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10"/>
      <x:c r="O32" s="10"/>
      <x:c r="P32" s="10"/>
      <x:c r="Q32" s="10"/>
      <x:c r="R32" s="10"/>
      <x:c r="S32" s="10"/>
      <x:c r="T32" s="10"/>
      <x:c r="U32" s="10"/>
      <x:c r="V32" s="10"/>
      <x:c r="W32" s="10"/>
    </x:row>
    <x:row r="33" ht="17" customHeight="1">
      <x:c r="A33" s="1"/>
      <x:c r="B33" s="1"/>
      <x:c r="C33" s="1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10"/>
      <x:c r="O33" s="10"/>
      <x:c r="P33" s="10"/>
      <x:c r="Q33" s="10"/>
      <x:c r="R33" s="10"/>
      <x:c r="S33" s="10"/>
      <x:c r="T33" s="10"/>
      <x:c r="U33" s="10"/>
      <x:c r="V33" s="10"/>
      <x:c r="W33" s="10"/>
    </x:row>
    <x:row r="34" ht="17" customHeight="1">
      <x:c r="A34" s="1"/>
      <x:c r="B34" s="1"/>
      <x:c r="C34" s="1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10"/>
      <x:c r="O34" s="10"/>
      <x:c r="P34" s="10"/>
      <x:c r="Q34" s="10"/>
      <x:c r="R34" s="10"/>
      <x:c r="S34" s="10"/>
      <x:c r="T34" s="10"/>
      <x:c r="U34" s="10"/>
      <x:c r="V34" s="10"/>
      <x:c r="W34" s="10"/>
    </x:row>
    <x:row r="35" ht="17" customHeight="1">
      <x:c r="A35" s="1"/>
      <x:c r="B35" s="1"/>
      <x:c r="C35" s="1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10"/>
      <x:c r="O35" s="10"/>
      <x:c r="P35" s="10"/>
      <x:c r="Q35" s="10"/>
      <x:c r="R35" s="10"/>
      <x:c r="S35" s="10"/>
      <x:c r="T35" s="10"/>
      <x:c r="U35" s="10"/>
      <x:c r="V35" s="10"/>
      <x:c r="W35" s="10"/>
    </x:row>
    <x:row r="36" ht="17" customHeight="1">
      <x:c r="A36" s="1"/>
      <x:c r="B36" s="1"/>
      <x:c r="C36" s="1"/>
      <x:c r="D36" s="10"/>
      <x:c r="E36" s="10"/>
      <x:c r="F36" s="10"/>
      <x:c r="G36" s="10"/>
      <x:c r="H36" s="10"/>
      <x:c r="I36" s="10"/>
      <x:c r="J36" s="10"/>
      <x:c r="K36" s="10"/>
      <x:c r="L36" s="10"/>
      <x:c r="M36" s="10"/>
      <x:c r="N36" s="10"/>
      <x:c r="O36" s="10"/>
      <x:c r="P36" s="10"/>
      <x:c r="Q36" s="10"/>
      <x:c r="R36" s="10"/>
      <x:c r="S36" s="10"/>
      <x:c r="T36" s="10"/>
      <x:c r="U36" s="10"/>
      <x:c r="V36" s="10"/>
      <x:c r="W36" s="10"/>
    </x:row>
    <x:row r="37" ht="17" customHeight="1">
      <x:c r="A37" s="1"/>
      <x:c r="B37" s="1"/>
      <x:c r="C37" s="1"/>
      <x:c r="D37" s="10"/>
      <x:c r="E37" s="10"/>
      <x:c r="F37" s="10"/>
      <x:c r="G37" s="10"/>
      <x:c r="H37" s="10"/>
      <x:c r="I37" s="10"/>
      <x:c r="J37" s="10"/>
      <x:c r="K37" s="10"/>
      <x:c r="L37" s="10"/>
      <x:c r="M37" s="10"/>
      <x:c r="N37" s="10"/>
      <x:c r="O37" s="10"/>
      <x:c r="P37" s="10"/>
      <x:c r="Q37" s="10"/>
      <x:c r="R37" s="10"/>
      <x:c r="S37" s="10"/>
      <x:c r="T37" s="10"/>
      <x:c r="U37" s="10"/>
      <x:c r="V37" s="10"/>
      <x:c r="W37" s="10"/>
    </x:row>
    <x:row r="38" ht="17" customHeight="1">
      <x:c r="A38" s="1"/>
      <x:c r="B38" s="1"/>
      <x:c r="C38" s="1"/>
      <x:c r="D38" s="10"/>
      <x:c r="E38" s="10"/>
      <x:c r="F38" s="10"/>
      <x:c r="G38" s="10"/>
      <x:c r="H38" s="10"/>
      <x:c r="I38" s="10"/>
      <x:c r="J38" s="10"/>
      <x:c r="K38" s="10"/>
      <x:c r="L38" s="10"/>
      <x:c r="M38" s="10"/>
      <x:c r="N38" s="10"/>
      <x:c r="O38" s="10"/>
      <x:c r="P38" s="10"/>
      <x:c r="Q38" s="10"/>
      <x:c r="R38" s="10"/>
      <x:c r="S38" s="10"/>
      <x:c r="T38" s="10"/>
      <x:c r="U38" s="10"/>
      <x:c r="V38" s="10"/>
      <x:c r="W38" s="10"/>
    </x:row>
    <x:row r="39" ht="17" customHeight="1">
      <x:c r="A39" s="1"/>
      <x:c r="B39" s="1"/>
      <x:c r="C39" s="1"/>
      <x:c r="D39" s="10"/>
      <x:c r="E39" s="10"/>
      <x:c r="F39" s="10"/>
      <x:c r="G39" s="10"/>
      <x:c r="H39" s="10"/>
      <x:c r="I39" s="10"/>
      <x:c r="J39" s="10"/>
      <x:c r="K39" s="10"/>
      <x:c r="L39" s="10"/>
      <x:c r="M39" s="10"/>
      <x:c r="N39" s="10"/>
      <x:c r="O39" s="10"/>
      <x:c r="P39" s="10"/>
      <x:c r="Q39" s="10"/>
      <x:c r="R39" s="10"/>
      <x:c r="S39" s="10"/>
      <x:c r="T39" s="10"/>
      <x:c r="U39" s="10"/>
      <x:c r="V39" s="10"/>
      <x:c r="W39" s="10"/>
    </x:row>
    <x:row r="40" ht="17" customHeight="1">
      <x:c r="A40" s="1"/>
      <x:c r="B40" s="1"/>
      <x:c r="C40" s="1"/>
      <x:c r="D40" s="10"/>
      <x:c r="E40" s="10"/>
      <x:c r="F40" s="10"/>
      <x:c r="G40" s="10"/>
      <x:c r="H40" s="10"/>
      <x:c r="I40" s="10"/>
      <x:c r="J40" s="10"/>
      <x:c r="K40" s="10"/>
      <x:c r="L40" s="10"/>
      <x:c r="M40" s="10"/>
      <x:c r="N40" s="10"/>
      <x:c r="O40" s="10"/>
      <x:c r="P40" s="10"/>
      <x:c r="Q40" s="10"/>
      <x:c r="R40" s="10"/>
      <x:c r="S40" s="10"/>
      <x:c r="T40" s="10"/>
      <x:c r="U40" s="10"/>
      <x:c r="V40" s="10"/>
      <x:c r="W40" s="10"/>
    </x:row>
    <x:row r="41" ht="17" customHeight="1">
      <x:c r="A41" s="1"/>
      <x:c r="B41" s="1"/>
      <x:c r="C41" s="1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10"/>
      <x:c r="O41" s="10"/>
      <x:c r="P41" s="10"/>
      <x:c r="Q41" s="10"/>
      <x:c r="R41" s="10"/>
      <x:c r="S41" s="10"/>
      <x:c r="T41" s="10"/>
      <x:c r="U41" s="10"/>
      <x:c r="V41" s="10"/>
      <x:c r="W41" s="10"/>
    </x:row>
    <x:row r="42" ht="17" customHeight="1">
      <x:c r="A42" s="1"/>
      <x:c r="B42" s="1"/>
      <x:c r="C42" s="1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  <x:c r="O42" s="10"/>
      <x:c r="P42" s="10"/>
      <x:c r="Q42" s="10"/>
      <x:c r="R42" s="10"/>
      <x:c r="S42" s="10"/>
      <x:c r="T42" s="10"/>
      <x:c r="U42" s="10"/>
      <x:c r="V42" s="10"/>
      <x:c r="W42" s="10"/>
    </x:row>
    <x:row r="43" ht="17" customHeight="1">
      <x:c r="A43" s="1"/>
      <x:c r="B43" s="1"/>
      <x:c r="C43" s="1"/>
      <x:c r="D43" s="10"/>
      <x:c r="E43" s="10"/>
      <x:c r="F43" s="10"/>
      <x:c r="G43" s="10"/>
      <x:c r="H43" s="10"/>
      <x:c r="I43" s="10"/>
      <x:c r="J43" s="10"/>
      <x:c r="K43" s="10"/>
      <x:c r="L43" s="10"/>
      <x:c r="M43" s="10"/>
      <x:c r="N43" s="10"/>
      <x:c r="O43" s="10"/>
      <x:c r="P43" s="10"/>
      <x:c r="Q43" s="10"/>
      <x:c r="R43" s="10"/>
      <x:c r="S43" s="10"/>
      <x:c r="T43" s="10"/>
      <x:c r="U43" s="10"/>
      <x:c r="V43" s="10"/>
      <x:c r="W43" s="10"/>
    </x:row>
    <x:row r="44" ht="17" customHeight="1">
      <x:c r="A44" s="1"/>
      <x:c r="B44" s="1"/>
      <x:c r="C44" s="1"/>
      <x:c r="D44" s="10"/>
      <x:c r="E44" s="10"/>
      <x:c r="F44" s="10"/>
      <x:c r="G44" s="10"/>
      <x:c r="H44" s="10"/>
      <x:c r="I44" s="10"/>
      <x:c r="J44" s="10"/>
      <x:c r="K44" s="10"/>
      <x:c r="L44" s="10"/>
      <x:c r="M44" s="10"/>
      <x:c r="N44" s="10"/>
      <x:c r="O44" s="10"/>
      <x:c r="P44" s="10"/>
      <x:c r="Q44" s="10"/>
      <x:c r="R44" s="10"/>
      <x:c r="S44" s="10"/>
      <x:c r="T44" s="10"/>
      <x:c r="U44" s="10"/>
      <x:c r="V44" s="10"/>
      <x:c r="W44" s="10"/>
    </x:row>
    <x:row r="45" ht="17" customHeight="1">
      <x:c r="A45" s="1"/>
      <x:c r="B45" s="1"/>
      <x:c r="C45" s="1"/>
      <x:c r="D45" s="10"/>
      <x:c r="E45" s="10"/>
      <x:c r="F45" s="10"/>
      <x:c r="G45" s="10"/>
      <x:c r="H45" s="10"/>
      <x:c r="I45" s="10"/>
      <x:c r="J45" s="10"/>
      <x:c r="K45" s="10"/>
      <x:c r="L45" s="10"/>
      <x:c r="M45" s="10"/>
      <x:c r="N45" s="10"/>
      <x:c r="O45" s="10"/>
      <x:c r="P45" s="10"/>
      <x:c r="Q45" s="10"/>
      <x:c r="R45" s="10"/>
      <x:c r="S45" s="10"/>
      <x:c r="T45" s="10"/>
      <x:c r="U45" s="10"/>
      <x:c r="V45" s="10"/>
      <x:c r="W45" s="10"/>
    </x:row>
    <x:row r="46" ht="17" customHeight="1">
      <x:c r="A46" s="1"/>
      <x:c r="B46" s="1"/>
      <x:c r="C46" s="1"/>
      <x:c r="D46" s="10"/>
      <x:c r="E46" s="10"/>
      <x:c r="F46" s="10"/>
      <x:c r="G46" s="10"/>
      <x:c r="H46" s="10"/>
      <x:c r="I46" s="10"/>
      <x:c r="J46" s="10"/>
      <x:c r="K46" s="10"/>
      <x:c r="L46" s="10"/>
      <x:c r="M46" s="10"/>
      <x:c r="N46" s="10"/>
      <x:c r="O46" s="10"/>
      <x:c r="P46" s="10"/>
      <x:c r="Q46" s="10"/>
      <x:c r="R46" s="10"/>
      <x:c r="S46" s="10"/>
      <x:c r="T46" s="10"/>
      <x:c r="U46" s="10"/>
      <x:c r="V46" s="10"/>
      <x:c r="W46" s="10"/>
    </x:row>
    <x:row r="47" ht="17" customHeight="1">
      <x:c r="A47" s="1"/>
      <x:c r="B47" s="1"/>
      <x:c r="C47" s="1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  <x:c r="N47" s="10"/>
      <x:c r="O47" s="10"/>
      <x:c r="P47" s="10"/>
      <x:c r="Q47" s="10"/>
      <x:c r="R47" s="10"/>
      <x:c r="S47" s="10"/>
      <x:c r="T47" s="10"/>
      <x:c r="U47" s="10"/>
      <x:c r="V47" s="10"/>
      <x:c r="W47" s="10"/>
    </x:row>
    <x:row r="48" ht="17" customHeight="1">
      <x:c r="A48" s="1"/>
      <x:c r="B48" s="1"/>
      <x:c r="C48" s="1"/>
      <x:c r="D48" s="10"/>
      <x:c r="E48" s="10"/>
      <x:c r="F48" s="10"/>
      <x:c r="G48" s="10"/>
      <x:c r="H48" s="10"/>
      <x:c r="I48" s="10"/>
      <x:c r="J48" s="10"/>
      <x:c r="K48" s="10"/>
      <x:c r="L48" s="10"/>
      <x:c r="M48" s="10"/>
      <x:c r="N48" s="10"/>
      <x:c r="O48" s="10"/>
      <x:c r="P48" s="10"/>
      <x:c r="Q48" s="10"/>
      <x:c r="R48" s="10"/>
      <x:c r="S48" s="10"/>
      <x:c r="T48" s="10"/>
      <x:c r="U48" s="10"/>
      <x:c r="V48" s="10"/>
      <x:c r="W48" s="10"/>
    </x:row>
    <x:row r="49" ht="17" customHeight="1">
      <x:c r="A49" s="1"/>
      <x:c r="B49" s="1"/>
      <x:c r="C49" s="1"/>
      <x:c r="D49" s="10"/>
      <x:c r="E49" s="10"/>
      <x:c r="F49" s="10"/>
      <x:c r="G49" s="10"/>
      <x:c r="H49" s="10"/>
      <x:c r="I49" s="10"/>
      <x:c r="J49" s="10"/>
      <x:c r="K49" s="10"/>
      <x:c r="L49" s="10"/>
      <x:c r="M49" s="10"/>
      <x:c r="N49" s="10"/>
      <x:c r="O49" s="10"/>
      <x:c r="P49" s="10"/>
      <x:c r="Q49" s="10"/>
      <x:c r="R49" s="10"/>
      <x:c r="S49" s="10"/>
      <x:c r="T49" s="10"/>
      <x:c r="U49" s="10"/>
      <x:c r="V49" s="10"/>
      <x:c r="W49" s="10"/>
    </x:row>
    <x:row r="50" ht="17" customHeight="1">
      <x:c r="A50" s="1"/>
      <x:c r="B50" s="1"/>
      <x:c r="C50" s="1"/>
      <x:c r="D50" s="10"/>
      <x:c r="E50" s="10"/>
      <x:c r="F50" s="10"/>
      <x:c r="G50" s="10"/>
      <x:c r="H50" s="10"/>
      <x:c r="I50" s="10"/>
      <x:c r="J50" s="10"/>
      <x:c r="K50" s="10"/>
      <x:c r="L50" s="10"/>
      <x:c r="M50" s="10"/>
      <x:c r="N50" s="10"/>
      <x:c r="O50" s="10"/>
      <x:c r="P50" s="10"/>
      <x:c r="Q50" s="10"/>
      <x:c r="R50" s="10"/>
      <x:c r="S50" s="10"/>
      <x:c r="T50" s="10"/>
      <x:c r="U50" s="10"/>
      <x:c r="V50" s="10"/>
      <x:c r="W50" s="10"/>
    </x:row>
    <x:row r="51" ht="17" customHeight="1">
      <x:c r="A51" s="1"/>
      <x:c r="B51" s="1"/>
      <x:c r="C51" s="1"/>
      <x:c r="D51" s="10"/>
      <x:c r="E51" s="10"/>
      <x:c r="F51" s="10"/>
      <x:c r="G51" s="10"/>
      <x:c r="H51" s="10"/>
      <x:c r="I51" s="10"/>
      <x:c r="J51" s="10"/>
      <x:c r="K51" s="10"/>
      <x:c r="L51" s="10"/>
      <x:c r="M51" s="10"/>
      <x:c r="N51" s="10"/>
      <x:c r="O51" s="10"/>
      <x:c r="P51" s="10"/>
      <x:c r="Q51" s="10"/>
      <x:c r="R51" s="10"/>
      <x:c r="S51" s="10"/>
      <x:c r="T51" s="10"/>
      <x:c r="U51" s="10"/>
      <x:c r="V51" s="10"/>
      <x:c r="W51" s="10"/>
    </x:row>
    <x:row r="52" ht="17" customHeight="1">
      <x:c r="A52" s="1"/>
      <x:c r="B52" s="1"/>
      <x:c r="C52" s="1"/>
      <x:c r="D52" s="10"/>
      <x:c r="E52" s="10"/>
      <x:c r="F52" s="10"/>
      <x:c r="G52" s="10"/>
      <x:c r="H52" s="10"/>
      <x:c r="I52" s="10"/>
      <x:c r="J52" s="10"/>
      <x:c r="K52" s="10"/>
      <x:c r="L52" s="10"/>
      <x:c r="M52" s="10"/>
      <x:c r="N52" s="10"/>
      <x:c r="O52" s="10"/>
      <x:c r="P52" s="10"/>
      <x:c r="Q52" s="10"/>
      <x:c r="R52" s="10"/>
      <x:c r="S52" s="10"/>
      <x:c r="T52" s="10"/>
      <x:c r="U52" s="10"/>
      <x:c r="V52" s="10"/>
      <x:c r="W52" s="10"/>
    </x:row>
    <x:row r="53" ht="17" customHeight="1">
      <x:c r="A53" s="1"/>
      <x:c r="B53" s="1"/>
      <x:c r="C53" s="1"/>
      <x:c r="D53" s="10"/>
      <x:c r="E53" s="10"/>
      <x:c r="F53" s="10"/>
      <x:c r="G53" s="10"/>
      <x:c r="H53" s="10"/>
      <x:c r="I53" s="10"/>
      <x:c r="J53" s="10"/>
      <x:c r="K53" s="10"/>
      <x:c r="L53" s="10"/>
      <x:c r="M53" s="10"/>
      <x:c r="N53" s="10"/>
      <x:c r="O53" s="10"/>
      <x:c r="P53" s="10"/>
      <x:c r="Q53" s="10"/>
      <x:c r="R53" s="10"/>
      <x:c r="S53" s="10"/>
      <x:c r="T53" s="10"/>
      <x:c r="U53" s="10"/>
      <x:c r="V53" s="10"/>
      <x:c r="W53" s="10"/>
    </x:row>
    <x:row r="54" ht="17" customHeight="1">
      <x:c r="A54" s="1"/>
      <x:c r="B54" s="1"/>
      <x:c r="C54" s="1"/>
      <x:c r="D54" s="10"/>
      <x:c r="E54" s="10"/>
      <x:c r="F54" s="10"/>
      <x:c r="G54" s="10"/>
      <x:c r="H54" s="10"/>
      <x:c r="I54" s="10"/>
      <x:c r="J54" s="10"/>
      <x:c r="K54" s="10"/>
      <x:c r="L54" s="10"/>
      <x:c r="M54" s="10"/>
      <x:c r="N54" s="10"/>
      <x:c r="O54" s="10"/>
      <x:c r="P54" s="10"/>
      <x:c r="Q54" s="10"/>
      <x:c r="R54" s="10"/>
      <x:c r="S54" s="10"/>
      <x:c r="T54" s="10"/>
      <x:c r="U54" s="10"/>
      <x:c r="V54" s="10"/>
      <x:c r="W54" s="10"/>
    </x:row>
    <x:row r="55" ht="17" customHeight="1">
      <x:c r="A55" s="1"/>
      <x:c r="B55" s="1"/>
      <x:c r="C55" s="1"/>
      <x:c r="D55" s="10"/>
      <x:c r="E55" s="10"/>
      <x:c r="F55" s="10"/>
      <x:c r="G55" s="10"/>
      <x:c r="H55" s="10"/>
      <x:c r="I55" s="10"/>
      <x:c r="J55" s="10"/>
      <x:c r="K55" s="10"/>
      <x:c r="L55" s="10"/>
      <x:c r="M55" s="10"/>
      <x:c r="N55" s="10"/>
      <x:c r="O55" s="10"/>
      <x:c r="P55" s="10"/>
      <x:c r="Q55" s="10"/>
      <x:c r="R55" s="10"/>
      <x:c r="S55" s="10"/>
      <x:c r="T55" s="10"/>
      <x:c r="U55" s="10"/>
      <x:c r="V55" s="10"/>
      <x:c r="W55" s="10"/>
    </x:row>
    <x:row r="56" ht="17" customHeight="1">
      <x:c r="A56" s="1"/>
      <x:c r="B56" s="1"/>
      <x:c r="C56" s="1"/>
      <x:c r="D56" s="10"/>
      <x:c r="E56" s="10"/>
      <x:c r="F56" s="10"/>
      <x:c r="G56" s="10"/>
      <x:c r="H56" s="10"/>
      <x:c r="I56" s="10"/>
      <x:c r="J56" s="10"/>
      <x:c r="K56" s="10"/>
      <x:c r="L56" s="10"/>
      <x:c r="M56" s="10"/>
      <x:c r="N56" s="10"/>
      <x:c r="O56" s="10"/>
      <x:c r="P56" s="10"/>
      <x:c r="Q56" s="10"/>
      <x:c r="R56" s="10"/>
      <x:c r="S56" s="10"/>
      <x:c r="T56" s="10"/>
      <x:c r="U56" s="10"/>
      <x:c r="V56" s="10"/>
      <x:c r="W56" s="10"/>
    </x:row>
    <x:row r="57" ht="17" customHeight="1">
      <x:c r="A57" s="1"/>
      <x:c r="B57" s="1"/>
      <x:c r="C57" s="1"/>
      <x:c r="D57" s="10"/>
      <x:c r="E57" s="10"/>
      <x:c r="F57" s="10"/>
      <x:c r="G57" s="10"/>
      <x:c r="H57" s="10"/>
      <x:c r="I57" s="10"/>
      <x:c r="J57" s="10"/>
      <x:c r="K57" s="10"/>
      <x:c r="L57" s="10"/>
      <x:c r="M57" s="10"/>
      <x:c r="N57" s="10"/>
      <x:c r="O57" s="10"/>
      <x:c r="P57" s="10"/>
      <x:c r="Q57" s="10"/>
      <x:c r="R57" s="10"/>
      <x:c r="S57" s="10"/>
      <x:c r="T57" s="10"/>
      <x:c r="U57" s="10"/>
      <x:c r="V57" s="10"/>
      <x:c r="W57" s="10"/>
    </x:row>
    <x:row r="58" ht="17" customHeight="1">
      <x:c r="A58" s="1"/>
      <x:c r="B58" s="1"/>
      <x:c r="C58" s="1"/>
      <x:c r="D58" s="10"/>
      <x:c r="E58" s="10"/>
      <x:c r="F58" s="10"/>
      <x:c r="G58" s="10"/>
      <x:c r="H58" s="10"/>
      <x:c r="I58" s="10"/>
      <x:c r="J58" s="10"/>
      <x:c r="K58" s="10"/>
      <x:c r="L58" s="10"/>
      <x:c r="M58" s="10"/>
      <x:c r="N58" s="10"/>
      <x:c r="O58" s="10"/>
      <x:c r="P58" s="10"/>
      <x:c r="Q58" s="10"/>
      <x:c r="R58" s="10"/>
      <x:c r="S58" s="10"/>
      <x:c r="T58" s="10"/>
      <x:c r="U58" s="10"/>
      <x:c r="V58" s="10"/>
      <x:c r="W58" s="10"/>
    </x:row>
    <x:row r="59" ht="17" customHeight="1">
      <x:c r="A59" s="1"/>
      <x:c r="B59" s="1"/>
      <x:c r="C59" s="1"/>
      <x:c r="D59" s="10"/>
      <x:c r="E59" s="10"/>
      <x:c r="F59" s="10"/>
      <x:c r="G59" s="10"/>
      <x:c r="H59" s="10"/>
      <x:c r="I59" s="10"/>
      <x:c r="J59" s="10"/>
      <x:c r="K59" s="10"/>
      <x:c r="L59" s="10"/>
      <x:c r="M59" s="10"/>
      <x:c r="N59" s="10"/>
      <x:c r="O59" s="10"/>
      <x:c r="P59" s="10"/>
      <x:c r="Q59" s="10"/>
      <x:c r="R59" s="10"/>
      <x:c r="S59" s="10"/>
      <x:c r="T59" s="10"/>
      <x:c r="U59" s="10"/>
      <x:c r="V59" s="10"/>
      <x:c r="W59" s="10"/>
    </x:row>
    <x:row r="60" ht="17" customHeight="1">
      <x:c r="A60" s="1"/>
      <x:c r="B60" s="1"/>
      <x:c r="C60" s="1"/>
      <x:c r="D60" s="10"/>
      <x:c r="E60" s="10"/>
      <x:c r="F60" s="10"/>
      <x:c r="G60" s="10"/>
      <x:c r="H60" s="10"/>
      <x:c r="I60" s="10"/>
      <x:c r="J60" s="10"/>
      <x:c r="K60" s="10"/>
      <x:c r="L60" s="10"/>
      <x:c r="M60" s="10"/>
      <x:c r="N60" s="10"/>
      <x:c r="O60" s="10"/>
      <x:c r="P60" s="10"/>
      <x:c r="Q60" s="10"/>
      <x:c r="R60" s="10"/>
      <x:c r="S60" s="10"/>
      <x:c r="T60" s="10"/>
      <x:c r="U60" s="10"/>
      <x:c r="V60" s="10"/>
      <x:c r="W60" s="10"/>
    </x:row>
    <x:row r="61" ht="17" customHeight="1">
      <x:c r="A61" s="1"/>
      <x:c r="B61" s="1"/>
      <x:c r="C61" s="1"/>
      <x:c r="D61" s="10"/>
      <x:c r="E61" s="10"/>
      <x:c r="F61" s="10"/>
      <x:c r="G61" s="10"/>
      <x:c r="H61" s="10"/>
      <x:c r="I61" s="10"/>
      <x:c r="J61" s="10"/>
      <x:c r="K61" s="10"/>
      <x:c r="L61" s="10"/>
      <x:c r="M61" s="10"/>
      <x:c r="N61" s="10"/>
      <x:c r="O61" s="10"/>
      <x:c r="P61" s="10"/>
      <x:c r="Q61" s="10"/>
      <x:c r="R61" s="10"/>
      <x:c r="S61" s="10"/>
      <x:c r="T61" s="10"/>
      <x:c r="U61" s="10"/>
      <x:c r="V61" s="10"/>
      <x:c r="W61" s="10"/>
    </x:row>
    <x:row r="62" ht="17" customHeight="1">
      <x:c r="A62" s="1"/>
      <x:c r="B62" s="1"/>
      <x:c r="C62" s="1"/>
      <x:c r="D62" s="10"/>
      <x:c r="E62" s="10"/>
      <x:c r="F62" s="10"/>
      <x:c r="G62" s="10"/>
      <x:c r="H62" s="10"/>
      <x:c r="I62" s="10"/>
      <x:c r="J62" s="10"/>
      <x:c r="K62" s="10"/>
      <x:c r="L62" s="10"/>
      <x:c r="M62" s="10"/>
      <x:c r="N62" s="10"/>
      <x:c r="O62" s="10"/>
      <x:c r="P62" s="10"/>
      <x:c r="Q62" s="10"/>
      <x:c r="R62" s="10"/>
      <x:c r="S62" s="10"/>
      <x:c r="T62" s="10"/>
      <x:c r="U62" s="10"/>
      <x:c r="V62" s="10"/>
      <x:c r="W62" s="10"/>
    </x:row>
    <x:row r="63" ht="17" customHeight="1">
      <x:c r="A63" s="1"/>
      <x:c r="B63" s="1"/>
      <x:c r="C63" s="1"/>
      <x:c r="D63" s="10"/>
      <x:c r="E63" s="10"/>
      <x:c r="F63" s="10"/>
      <x:c r="G63" s="10"/>
      <x:c r="H63" s="10"/>
      <x:c r="I63" s="10"/>
      <x:c r="J63" s="10"/>
      <x:c r="K63" s="10"/>
      <x:c r="L63" s="10"/>
      <x:c r="M63" s="10"/>
      <x:c r="N63" s="10"/>
      <x:c r="O63" s="10"/>
      <x:c r="P63" s="10"/>
      <x:c r="Q63" s="10"/>
      <x:c r="R63" s="10"/>
      <x:c r="S63" s="10"/>
      <x:c r="T63" s="10"/>
      <x:c r="U63" s="10"/>
      <x:c r="V63" s="10"/>
      <x:c r="W63" s="10"/>
    </x:row>
    <x:row r="64" ht="17" customHeight="1">
      <x:c r="A64" s="1"/>
      <x:c r="B64" s="1"/>
      <x:c r="C64" s="1"/>
      <x:c r="D64" s="10"/>
      <x:c r="E64" s="10"/>
      <x:c r="F64" s="10"/>
      <x:c r="G64" s="10"/>
      <x:c r="H64" s="10"/>
      <x:c r="I64" s="10"/>
      <x:c r="J64" s="10"/>
      <x:c r="K64" s="10"/>
      <x:c r="L64" s="10"/>
      <x:c r="M64" s="10"/>
      <x:c r="N64" s="10"/>
      <x:c r="O64" s="10"/>
      <x:c r="P64" s="10"/>
      <x:c r="Q64" s="10"/>
      <x:c r="R64" s="10"/>
      <x:c r="S64" s="10"/>
      <x:c r="T64" s="10"/>
      <x:c r="U64" s="10"/>
      <x:c r="V64" s="10"/>
      <x:c r="W64" s="10"/>
    </x:row>
    <x:row r="65" ht="17" customHeight="1">
      <x:c r="A65" s="1"/>
      <x:c r="B65" s="1"/>
      <x:c r="C65" s="1"/>
      <x:c r="D65" s="10"/>
      <x:c r="E65" s="10"/>
      <x:c r="F65" s="10"/>
      <x:c r="G65" s="10"/>
      <x:c r="H65" s="10"/>
      <x:c r="I65" s="10"/>
      <x:c r="J65" s="10"/>
      <x:c r="K65" s="10"/>
      <x:c r="L65" s="10"/>
      <x:c r="M65" s="10"/>
      <x:c r="N65" s="10"/>
      <x:c r="O65" s="10"/>
      <x:c r="P65" s="10"/>
      <x:c r="Q65" s="10"/>
      <x:c r="R65" s="10"/>
      <x:c r="S65" s="10"/>
      <x:c r="T65" s="10"/>
      <x:c r="U65" s="10"/>
      <x:c r="V65" s="10"/>
      <x:c r="W65" s="10"/>
    </x:row>
    <x:row r="66" ht="17" customHeight="1">
      <x:c r="A66" s="1"/>
      <x:c r="B66" s="1"/>
      <x:c r="C66" s="1"/>
      <x:c r="D66" s="10"/>
      <x:c r="E66" s="10"/>
      <x:c r="F66" s="10"/>
      <x:c r="G66" s="10"/>
      <x:c r="H66" s="10"/>
      <x:c r="I66" s="10"/>
      <x:c r="J66" s="10"/>
      <x:c r="K66" s="10"/>
      <x:c r="L66" s="10"/>
      <x:c r="M66" s="10"/>
      <x:c r="N66" s="10"/>
      <x:c r="O66" s="10"/>
      <x:c r="P66" s="10"/>
      <x:c r="Q66" s="10"/>
      <x:c r="R66" s="10"/>
      <x:c r="S66" s="10"/>
      <x:c r="T66" s="10"/>
      <x:c r="U66" s="10"/>
      <x:c r="V66" s="10"/>
      <x:c r="W66" s="10"/>
    </x:row>
    <x:row r="67" ht="17" customHeight="1">
      <x:c r="A67" s="1"/>
      <x:c r="B67" s="1"/>
      <x:c r="C67" s="1"/>
      <x:c r="D67" s="10"/>
      <x:c r="E67" s="10"/>
      <x:c r="F67" s="10"/>
      <x:c r="G67" s="10"/>
      <x:c r="H67" s="10"/>
      <x:c r="I67" s="10"/>
      <x:c r="J67" s="10"/>
      <x:c r="K67" s="10"/>
      <x:c r="L67" s="10"/>
      <x:c r="M67" s="10"/>
      <x:c r="N67" s="10"/>
      <x:c r="O67" s="10"/>
      <x:c r="P67" s="10"/>
      <x:c r="Q67" s="10"/>
      <x:c r="R67" s="10"/>
      <x:c r="S67" s="10"/>
      <x:c r="T67" s="10"/>
      <x:c r="U67" s="10"/>
      <x:c r="V67" s="10"/>
      <x:c r="W67" s="10"/>
    </x:row>
    <x:row r="68" ht="17" customHeight="1">
      <x:c r="A68" s="1"/>
      <x:c r="B68" s="1"/>
      <x:c r="C68" s="1"/>
      <x:c r="D68" s="10"/>
      <x:c r="E68" s="10"/>
      <x:c r="F68" s="10"/>
      <x:c r="G68" s="10"/>
      <x:c r="H68" s="10"/>
      <x:c r="I68" s="10"/>
      <x:c r="J68" s="10"/>
      <x:c r="K68" s="10"/>
      <x:c r="L68" s="10"/>
      <x:c r="M68" s="10"/>
      <x:c r="N68" s="10"/>
      <x:c r="O68" s="10"/>
      <x:c r="P68" s="10"/>
      <x:c r="Q68" s="10"/>
      <x:c r="R68" s="10"/>
      <x:c r="S68" s="10"/>
      <x:c r="T68" s="10"/>
      <x:c r="U68" s="10"/>
      <x:c r="V68" s="10"/>
      <x:c r="W68" s="10"/>
    </x:row>
    <x:row r="69" ht="17" customHeight="1">
      <x:c r="A69" s="1"/>
      <x:c r="B69" s="1"/>
      <x:c r="C69" s="1"/>
      <x:c r="D69" s="10"/>
      <x:c r="E69" s="10"/>
      <x:c r="F69" s="10"/>
      <x:c r="G69" s="10"/>
      <x:c r="H69" s="10"/>
      <x:c r="I69" s="10"/>
      <x:c r="J69" s="10"/>
      <x:c r="K69" s="10"/>
      <x:c r="L69" s="10"/>
      <x:c r="M69" s="10"/>
      <x:c r="N69" s="10"/>
      <x:c r="O69" s="10"/>
      <x:c r="P69" s="10"/>
      <x:c r="Q69" s="10"/>
      <x:c r="R69" s="10"/>
      <x:c r="S69" s="10"/>
      <x:c r="T69" s="10"/>
      <x:c r="U69" s="10"/>
      <x:c r="V69" s="10"/>
      <x:c r="W69" s="10"/>
    </x:row>
    <x:row r="70" ht="17" customHeight="1">
      <x:c r="A70" s="1"/>
      <x:c r="B70" s="1"/>
      <x:c r="C70" s="1"/>
      <x:c r="D70" s="10"/>
      <x:c r="E70" s="10"/>
      <x:c r="F70" s="10"/>
      <x:c r="G70" s="10"/>
      <x:c r="H70" s="10"/>
      <x:c r="I70" s="10"/>
      <x:c r="J70" s="10"/>
      <x:c r="K70" s="10"/>
      <x:c r="L70" s="10"/>
      <x:c r="M70" s="10"/>
      <x:c r="N70" s="10"/>
      <x:c r="O70" s="10"/>
      <x:c r="P70" s="10"/>
      <x:c r="Q70" s="10"/>
      <x:c r="R70" s="10"/>
      <x:c r="S70" s="10"/>
      <x:c r="T70" s="10"/>
      <x:c r="U70" s="10"/>
      <x:c r="V70" s="10"/>
      <x:c r="W70" s="10"/>
    </x:row>
    <x:row r="71" ht="17" customHeight="1">
      <x:c r="A71" s="1"/>
      <x:c r="B71" s="1"/>
      <x:c r="C71" s="1"/>
      <x:c r="D71" s="10"/>
      <x:c r="E71" s="10"/>
      <x:c r="F71" s="10"/>
      <x:c r="G71" s="10"/>
      <x:c r="H71" s="10"/>
      <x:c r="I71" s="10"/>
      <x:c r="J71" s="10"/>
      <x:c r="K71" s="10"/>
      <x:c r="L71" s="10"/>
      <x:c r="M71" s="10"/>
      <x:c r="N71" s="10"/>
      <x:c r="O71" s="10"/>
      <x:c r="P71" s="10"/>
      <x:c r="Q71" s="10"/>
      <x:c r="R71" s="10"/>
      <x:c r="S71" s="10"/>
      <x:c r="T71" s="10"/>
      <x:c r="U71" s="10"/>
      <x:c r="V71" s="10"/>
      <x:c r="W71" s="10"/>
    </x:row>
    <x:row r="72" ht="17" customHeight="1">
      <x:c r="A72" s="1"/>
      <x:c r="B72" s="1"/>
      <x:c r="C72" s="1"/>
      <x:c r="D72" s="10"/>
      <x:c r="E72" s="10"/>
      <x:c r="F72" s="10"/>
      <x:c r="G72" s="10"/>
      <x:c r="H72" s="10"/>
      <x:c r="I72" s="10"/>
      <x:c r="J72" s="10"/>
      <x:c r="K72" s="10"/>
      <x:c r="L72" s="10"/>
      <x:c r="M72" s="10"/>
      <x:c r="N72" s="10"/>
      <x:c r="O72" s="10"/>
      <x:c r="P72" s="10"/>
      <x:c r="Q72" s="10"/>
      <x:c r="R72" s="10"/>
      <x:c r="S72" s="10"/>
      <x:c r="T72" s="10"/>
      <x:c r="U72" s="10"/>
      <x:c r="V72" s="10"/>
      <x:c r="W72" s="10"/>
    </x:row>
    <x:row r="73" ht="17" customHeight="1">
      <x:c r="A73" s="1"/>
      <x:c r="B73" s="1"/>
      <x:c r="C73" s="1"/>
      <x:c r="D73" s="10"/>
      <x:c r="E73" s="10"/>
      <x:c r="F73" s="10"/>
      <x:c r="G73" s="10"/>
      <x:c r="H73" s="10"/>
      <x:c r="I73" s="10"/>
      <x:c r="J73" s="10"/>
      <x:c r="K73" s="10"/>
      <x:c r="L73" s="10"/>
      <x:c r="M73" s="10"/>
      <x:c r="N73" s="10"/>
      <x:c r="O73" s="10"/>
      <x:c r="P73" s="10"/>
      <x:c r="Q73" s="10"/>
      <x:c r="R73" s="10"/>
      <x:c r="S73" s="10"/>
      <x:c r="T73" s="10"/>
      <x:c r="U73" s="10"/>
      <x:c r="V73" s="10"/>
      <x:c r="W73" s="10"/>
    </x:row>
    <x:row r="74" ht="17" customHeight="1">
      <x:c r="A74" s="1"/>
      <x:c r="B74" s="1"/>
      <x:c r="C74" s="1"/>
      <x:c r="D74" s="10"/>
      <x:c r="E74" s="10"/>
      <x:c r="F74" s="10"/>
      <x:c r="G74" s="10"/>
      <x:c r="H74" s="10"/>
      <x:c r="I74" s="10"/>
      <x:c r="J74" s="10"/>
      <x:c r="K74" s="10"/>
      <x:c r="L74" s="10"/>
      <x:c r="M74" s="10"/>
      <x:c r="N74" s="10"/>
      <x:c r="O74" s="10"/>
      <x:c r="P74" s="10"/>
      <x:c r="Q74" s="10"/>
      <x:c r="R74" s="10"/>
      <x:c r="S74" s="10"/>
      <x:c r="T74" s="10"/>
      <x:c r="U74" s="10"/>
      <x:c r="V74" s="10"/>
      <x:c r="W74" s="10"/>
    </x:row>
    <x:row r="75" ht="17" customHeight="1">
      <x:c r="A75" s="1"/>
      <x:c r="B75" s="1"/>
      <x:c r="C75" s="1"/>
      <x:c r="D75" s="10"/>
      <x:c r="E75" s="10"/>
      <x:c r="F75" s="10"/>
      <x:c r="G75" s="10"/>
      <x:c r="H75" s="10"/>
      <x:c r="I75" s="10"/>
      <x:c r="J75" s="10"/>
      <x:c r="K75" s="10"/>
      <x:c r="L75" s="10"/>
      <x:c r="M75" s="10"/>
      <x:c r="N75" s="10"/>
      <x:c r="O75" s="10"/>
      <x:c r="P75" s="10"/>
      <x:c r="Q75" s="10"/>
      <x:c r="R75" s="10"/>
      <x:c r="S75" s="10"/>
      <x:c r="T75" s="10"/>
      <x:c r="U75" s="10"/>
      <x:c r="V75" s="10"/>
      <x:c r="W75" s="10"/>
    </x:row>
    <x:row r="76" ht="17" customHeight="1">
      <x:c r="A76" s="1"/>
      <x:c r="B76" s="1"/>
      <x:c r="C76" s="1"/>
      <x:c r="D76" s="10"/>
      <x:c r="E76" s="10"/>
      <x:c r="F76" s="10"/>
      <x:c r="G76" s="10"/>
      <x:c r="H76" s="10"/>
      <x:c r="I76" s="10"/>
      <x:c r="J76" s="10"/>
      <x:c r="K76" s="10"/>
      <x:c r="L76" s="10"/>
      <x:c r="M76" s="10"/>
      <x:c r="N76" s="10"/>
      <x:c r="O76" s="10"/>
      <x:c r="P76" s="10"/>
      <x:c r="Q76" s="10"/>
      <x:c r="R76" s="10"/>
      <x:c r="S76" s="10"/>
      <x:c r="T76" s="10"/>
      <x:c r="U76" s="10"/>
      <x:c r="V76" s="10"/>
      <x:c r="W76" s="10"/>
    </x:row>
    <x:row r="77" ht="17" customHeight="1">
      <x:c r="A77" s="1"/>
      <x:c r="B77" s="1"/>
      <x:c r="C77" s="1"/>
      <x:c r="D77" s="10"/>
      <x:c r="E77" s="10"/>
      <x:c r="F77" s="10"/>
      <x:c r="G77" s="10"/>
      <x:c r="H77" s="10"/>
      <x:c r="I77" s="10"/>
      <x:c r="J77" s="10"/>
      <x:c r="K77" s="10"/>
      <x:c r="L77" s="10"/>
      <x:c r="M77" s="10"/>
      <x:c r="N77" s="10"/>
      <x:c r="O77" s="10"/>
      <x:c r="P77" s="10"/>
      <x:c r="Q77" s="10"/>
      <x:c r="R77" s="10"/>
      <x:c r="S77" s="10"/>
      <x:c r="T77" s="10"/>
      <x:c r="U77" s="10"/>
      <x:c r="V77" s="10"/>
      <x:c r="W77" s="10"/>
    </x:row>
    <x:row r="78" ht="17" customHeight="1">
      <x:c r="A78" s="1"/>
      <x:c r="B78" s="1"/>
      <x:c r="C78" s="1"/>
      <x:c r="D78" s="10"/>
      <x:c r="E78" s="10"/>
      <x:c r="F78" s="10"/>
      <x:c r="G78" s="10"/>
      <x:c r="H78" s="10"/>
      <x:c r="I78" s="10"/>
      <x:c r="J78" s="10"/>
      <x:c r="K78" s="10"/>
      <x:c r="L78" s="10"/>
      <x:c r="M78" s="10"/>
      <x:c r="N78" s="10"/>
      <x:c r="O78" s="10"/>
      <x:c r="P78" s="10"/>
      <x:c r="Q78" s="10"/>
      <x:c r="R78" s="10"/>
      <x:c r="S78" s="10"/>
      <x:c r="T78" s="10"/>
      <x:c r="U78" s="10"/>
      <x:c r="V78" s="10"/>
      <x:c r="W78" s="10"/>
    </x:row>
    <x:row r="79" ht="17" customHeight="1">
      <x:c r="A79" s="1"/>
      <x:c r="B79" s="1"/>
      <x:c r="C79" s="1"/>
      <x:c r="D79" s="10"/>
      <x:c r="E79" s="10"/>
      <x:c r="F79" s="10"/>
      <x:c r="G79" s="10"/>
      <x:c r="H79" s="10"/>
      <x:c r="I79" s="10"/>
      <x:c r="J79" s="10"/>
      <x:c r="K79" s="10"/>
      <x:c r="L79" s="10"/>
      <x:c r="M79" s="10"/>
      <x:c r="N79" s="10"/>
      <x:c r="O79" s="10"/>
      <x:c r="P79" s="10"/>
      <x:c r="Q79" s="10"/>
      <x:c r="R79" s="10"/>
      <x:c r="S79" s="10"/>
      <x:c r="T79" s="10"/>
      <x:c r="U79" s="10"/>
      <x:c r="V79" s="10"/>
      <x:c r="W79" s="10"/>
    </x:row>
    <x:row r="80" ht="17" customHeight="1">
      <x:c r="A80" s="1"/>
      <x:c r="B80" s="1"/>
      <x:c r="C80" s="1"/>
      <x:c r="D80" s="10"/>
      <x:c r="E80" s="10"/>
      <x:c r="F80" s="10"/>
      <x:c r="G80" s="10"/>
      <x:c r="H80" s="10"/>
      <x:c r="I80" s="10"/>
      <x:c r="J80" s="10"/>
      <x:c r="K80" s="10"/>
      <x:c r="L80" s="10"/>
      <x:c r="M80" s="10"/>
      <x:c r="N80" s="10"/>
      <x:c r="O80" s="10"/>
      <x:c r="P80" s="10"/>
      <x:c r="Q80" s="10"/>
      <x:c r="R80" s="10"/>
      <x:c r="S80" s="10"/>
      <x:c r="T80" s="10"/>
      <x:c r="U80" s="10"/>
      <x:c r="V80" s="10"/>
      <x:c r="W80" s="10"/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18" hidden="0" customWidth="1"/>
    <x:col min="4" max="4" width="30" hidden="0" customWidth="1"/>
    <x:col min="5" max="5" width="110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</x:cols>
  <x:sheetData>
    <x:row r="1" ht="17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17" customHeight="1">
      <x:c r="A2" s="1"/>
      <x:c r="B2" s="1"/>
      <x:c r="C2" s="2" t="str">
        <x:v>Version log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</x:row>
    <x:row r="3" ht="17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</x:row>
    <x:row r="4" ht="17" customHeight="1">
      <x:c r="A4" s="1"/>
      <x:c r="B4" s="1"/>
      <x:c r="C4" s="1" t="str">
        <x:v>Conditional Dot target. USD. Assumed opening balances, not an actual enterprise ledger.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17" customHeight="1">
      <x:c r="A5" s="1"/>
      <x:c r="B5" s="1"/>
      <x:c r="C5" s="29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17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28" customHeight="1">
      <x:c r="A7" s="1"/>
      <x:c r="B7" s="1"/>
      <x:c r="C7" s="13" t="str">
        <x:v>Change ID</x:v>
      </x:c>
      <x:c r="D7" s="13" t="str">
        <x:v>Treatment</x:v>
      </x:c>
      <x:c r="E7" s="13" t="str">
        <x:v>Explanation</x:v>
      </x:c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</x:row>
    <x:row r="8" ht="15" hidden="0" customHeight="1">
      <x:c r="A8" s="1"/>
      <x:c r="B8" s="1"/>
      <x:c r="C8" s="23" t="str">
        <x:v>V1-01</x:v>
      </x:c>
      <x:c r="D8" s="24" t="str">
        <x:v>Preserved</x:v>
      </x:c>
      <x:c r="E8" s="24" t="str">
        <x:v>Income, prices, units, growth, refund, cost, tax and founder-pay drivers unchanged from frozen baseline.</x:v>
      </x:c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</x:row>
    <x:row r="9" ht="15" hidden="0" customHeight="1">
      <x:c r="A9" s="1"/>
      <x:c r="B9" s="1"/>
      <x:c r="C9" s="23" t="str">
        <x:v>V1-02</x:v>
      </x:c>
      <x:c r="D9" s="24" t="str">
        <x:v>Added presentation</x:v>
      </x:c>
      <x:c r="E9" s="24" t="str">
        <x:v>Dedicated 20-year cash-flow and balance-sheet schedules; Years 1–5 primary.</x:v>
      </x:c>
      <x:c r="F9" s="10"/>
      <x:c r="G9" s="10"/>
      <x:c r="H9" s="10"/>
      <x:c r="I9" s="10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</x:row>
    <x:row r="10" ht="15" hidden="0" customHeight="1">
      <x:c r="A10" s="1"/>
      <x:c r="B10" s="1"/>
      <x:c r="C10" s="23" t="str">
        <x:v>V1-03</x:v>
      </x:c>
      <x:c r="D10" s="24" t="str">
        <x:v>Clarified accounting</x:v>
      </x:c>
      <x:c r="E10" s="24" t="str">
        <x:v>Materials reserve classified as inventory/prepaid-materials proxy. Dollar amounts and original cash flows unchanged.</x:v>
      </x:c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</x:row>
    <x:row r="11" ht="15" hidden="0" customHeight="1">
      <x:c r="A11" s="1"/>
      <x:c r="B11" s="1"/>
      <x:c r="C11" s="23" t="str">
        <x:v>V1-04</x:v>
      </x:c>
      <x:c r="D11" s="24" t="str">
        <x:v>Explicit zero policies</x:v>
      </x:c>
      <x:c r="E11" s="24" t="str">
        <x:v>AP, deferred revenue, tax payable and new debt/equity remain zero under immediate-payment/no-advance/year-end-tax assumptions. Not actual balances.</x:v>
      </x:c>
      <x:c r="F11" s="10"/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</x:row>
    <x:row r="12" ht="15" hidden="0" customHeight="1">
      <x:c r="A12" s="1"/>
      <x:c r="B12" s="1"/>
      <x:c r="C12" s="23" t="str">
        <x:v>V1-05</x:v>
      </x:c>
      <x:c r="D12" s="24" t="str">
        <x:v>Corrected diagnostic presentation</x:v>
      </x:c>
      <x:c r="E12" s="24" t="str">
        <x:v>Unfunded financing residual is not a recognized debt/equity plug and no negative cash asset is presented.</x:v>
      </x:c>
      <x:c r="F12" s="10"/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</x:row>
    <x:row r="13" ht="15" hidden="0" customHeight="1">
      <x:c r="A13" s="1"/>
      <x:c r="B13" s="1"/>
      <x:c r="C13" s="23" t="str">
        <x:v>V1-06</x:v>
      </x:c>
      <x:c r="D13" s="24" t="str">
        <x:v>Unquantified exclusions</x:v>
      </x:c>
      <x:c r="E13" s="24" t="str">
        <x:v>Additional unfinished development and incremental costs beyond unverified allowances remain unquantified, not zero.</x:v>
      </x:c>
      <x:c r="F13" s="10"/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0"/>
      <x:c r="T13" s="10"/>
      <x:c r="U13" s="10"/>
      <x:c r="V13" s="10"/>
      <x:c r="W13" s="10"/>
    </x:row>
    <x:row r="14" ht="15" hidden="0" customHeight="1">
      <x:c r="A14" s="1"/>
      <x:c r="B14" s="1"/>
      <x:c r="C14" s="23" t="str">
        <x:v>V1-07</x:v>
      </x:c>
      <x:c r="D14" s="24" t="str">
        <x:v>Coverage boundary</x:v>
      </x:c>
      <x:c r="E14" s="24" t="str">
        <x:v>No new Red Alert, Functional Analysis or game sales inserted. Their original financial treatment remains frozen pending the separate coverage audit.</x:v>
      </x:c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</x:row>
    <x:row r="15" ht="15" hidden="0" customHeight="1">
      <x:c r="A15" s="1"/>
      <x:c r="B15" s="1"/>
      <x:c r="C15" s="23" t="str">
        <x:v>V1-08</x:v>
      </x:c>
      <x:c r="D15" s="24" t="str">
        <x:v>Not approved</x:v>
      </x:c>
      <x:c r="E15" s="24" t="str">
        <x:v>This companion is a Dot conditional financial scenario, not an owner plan, statutory consolidation or approved launch budget.</x:v>
      </x:c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</x:row>
    <x:row r="16" ht="17" customHeight="1">
      <x:c r="A16" s="1"/>
      <x:c r="B16" s="1"/>
      <x:c r="C16" s="1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</x:row>
    <x:row r="17" ht="15" hidden="0" customHeight="1">
      <x:c r="A17" s="1"/>
      <x:c r="B17" s="1"/>
      <x:c r="C17" s="23" t="str">
        <x:v>V1-09</x:v>
      </x:c>
      <x:c r="D17" s="24" t="str">
        <x:v>Coverage disclosure</x:v>
      </x:c>
      <x:c r="E17" s="24" t="str">
        <x:v>Named Red Alert templates and some Kids allocations are unresolved. FA and independent candy-game hypotheses are explicit. No new revenue or quantities added.</x:v>
      </x:c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</x:row>
    <x:row r="18" ht="17" customHeight="1">
      <x:c r="A18" s="1"/>
      <x:c r="B18" s="1"/>
      <x:c r="C18" s="1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0"/>
      <x:c r="T18" s="10"/>
      <x:c r="U18" s="10"/>
      <x:c r="V18" s="10"/>
      <x:c r="W18" s="10"/>
    </x:row>
    <x:row r="19" ht="17" customHeight="1">
      <x:c r="A19" s="1"/>
      <x:c r="B19" s="1"/>
      <x:c r="C19" s="1" t="str">
        <x:v>Frozen source SHA256</x:v>
      </x:c>
      <x:c r="D19" s="10" t="str">
        <x:v>6b6e6d40dae74fa36ef69ea7e9bbd389d8c3d1a43e88eaf97a4e9c5743bfd462</x:v>
      </x:c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10"/>
      <x:c r="U19" s="10"/>
      <x:c r="V19" s="10"/>
      <x:c r="W19" s="10"/>
    </x:row>
    <x:row r="20" ht="17" customHeight="1">
      <x:c r="A20" s="1"/>
      <x:c r="B20" s="1"/>
      <x:c r="C20" s="1" t="str">
        <x:v>Frozen Library file</x:v>
      </x:c>
      <x:c r="D20" s="10" t="str">
        <x:v>libfile_2ef0ad43aa2c8191948a0ac612b2115e (version 0)</x:v>
      </x:c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0"/>
      <x:c r="T20" s="10"/>
      <x:c r="U20" s="10"/>
      <x:c r="V20" s="10"/>
      <x:c r="W20" s="10"/>
    </x:row>
    <x:row r="21" ht="17" customHeight="1">
      <x:c r="A21" s="1"/>
      <x:c r="B21" s="1"/>
      <x:c r="C21" s="1"/>
      <x:c r="D21" s="10"/>
      <x:c r="E21" s="10"/>
      <x:c r="F21" s="10"/>
      <x:c r="G21" s="10"/>
      <x:c r="H21" s="10"/>
      <x:c r="I21" s="10"/>
      <x:c r="J21" s="10"/>
      <x:c r="K21" s="10"/>
      <x:c r="L21" s="10"/>
      <x:c r="M21" s="10"/>
      <x:c r="N21" s="10"/>
      <x:c r="O21" s="10"/>
      <x:c r="P21" s="10"/>
      <x:c r="Q21" s="10"/>
      <x:c r="R21" s="10"/>
      <x:c r="S21" s="10"/>
      <x:c r="T21" s="10"/>
      <x:c r="U21" s="10"/>
      <x:c r="V21" s="10"/>
      <x:c r="W21" s="10"/>
    </x:row>
    <x:row r="22" ht="17" customHeight="1">
      <x:c r="A22" s="1"/>
      <x:c r="B22" s="1"/>
      <x:c r="C22" s="1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  <x:c r="O22" s="10"/>
      <x:c r="P22" s="10"/>
      <x:c r="Q22" s="10"/>
      <x:c r="R22" s="10"/>
      <x:c r="S22" s="10"/>
      <x:c r="T22" s="10"/>
      <x:c r="U22" s="10"/>
      <x:c r="V22" s="10"/>
      <x:c r="W22" s="10"/>
    </x:row>
    <x:row r="23" ht="17" customHeight="1">
      <x:c r="A23" s="1"/>
      <x:c r="B23" s="1"/>
      <x:c r="C23" s="1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  <x:c r="O23" s="10"/>
      <x:c r="P23" s="10"/>
      <x:c r="Q23" s="10"/>
      <x:c r="R23" s="10"/>
      <x:c r="S23" s="10"/>
      <x:c r="T23" s="10"/>
      <x:c r="U23" s="10"/>
      <x:c r="V23" s="10"/>
      <x:c r="W23" s="10"/>
    </x:row>
    <x:row r="24" ht="17" customHeight="1">
      <x:c r="A24" s="1"/>
      <x:c r="B24" s="1"/>
      <x:c r="C24" s="1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0"/>
    </x:row>
    <x:row r="25" ht="17" customHeight="1">
      <x:c r="A25" s="1"/>
      <x:c r="B25" s="1"/>
      <x:c r="C25" s="1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  <x:c r="T25" s="10"/>
      <x:c r="U25" s="10"/>
      <x:c r="V25" s="10"/>
      <x:c r="W25" s="10"/>
    </x:row>
    <x:row r="26" ht="17" customHeight="1">
      <x:c r="A26" s="1"/>
      <x:c r="B26" s="1"/>
      <x:c r="C26" s="1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0"/>
      <x:c r="T26" s="10"/>
      <x:c r="U26" s="10"/>
      <x:c r="V26" s="10"/>
      <x:c r="W26" s="10"/>
    </x:row>
    <x:row r="27" ht="17" customHeight="1">
      <x:c r="A27" s="1"/>
      <x:c r="B27" s="1"/>
      <x:c r="C27" s="1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0"/>
      <x:c r="T27" s="10"/>
      <x:c r="U27" s="10"/>
      <x:c r="V27" s="10"/>
      <x:c r="W27" s="10"/>
    </x:row>
    <x:row r="28" ht="17" customHeight="1">
      <x:c r="A28" s="1"/>
      <x:c r="B28" s="1"/>
      <x:c r="C28" s="1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10"/>
      <x:c r="O28" s="10"/>
      <x:c r="P28" s="10"/>
      <x:c r="Q28" s="10"/>
      <x:c r="R28" s="10"/>
      <x:c r="S28" s="10"/>
      <x:c r="T28" s="10"/>
      <x:c r="U28" s="10"/>
      <x:c r="V28" s="10"/>
      <x:c r="W28" s="10"/>
    </x:row>
    <x:row r="29" ht="17" customHeight="1">
      <x:c r="A29" s="1"/>
      <x:c r="B29" s="1"/>
      <x:c r="C29" s="1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10"/>
      <x:c r="O29" s="10"/>
      <x:c r="P29" s="10"/>
      <x:c r="Q29" s="10"/>
      <x:c r="R29" s="10"/>
      <x:c r="S29" s="10"/>
      <x:c r="T29" s="10"/>
      <x:c r="U29" s="10"/>
      <x:c r="V29" s="10"/>
      <x:c r="W29" s="10"/>
    </x:row>
    <x:row r="30" ht="17" customHeight="1">
      <x:c r="A30" s="1"/>
      <x:c r="B30" s="1"/>
      <x:c r="C30" s="1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10"/>
      <x:c r="O30" s="10"/>
      <x:c r="P30" s="10"/>
      <x:c r="Q30" s="10"/>
      <x:c r="R30" s="10"/>
      <x:c r="S30" s="10"/>
      <x:c r="T30" s="10"/>
      <x:c r="U30" s="10"/>
      <x:c r="V30" s="10"/>
      <x:c r="W30" s="10"/>
    </x:row>
    <x:row r="31" ht="17" customHeight="1">
      <x:c r="A31" s="1"/>
      <x:c r="B31" s="1"/>
      <x:c r="C31" s="1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  <x:c r="O31" s="10"/>
      <x:c r="P31" s="10"/>
      <x:c r="Q31" s="10"/>
      <x:c r="R31" s="10"/>
      <x:c r="S31" s="10"/>
      <x:c r="T31" s="10"/>
      <x:c r="U31" s="10"/>
      <x:c r="V31" s="10"/>
      <x:c r="W31" s="10"/>
    </x:row>
    <x:row r="32" ht="17" customHeight="1">
      <x:c r="A32" s="1"/>
      <x:c r="B32" s="1"/>
      <x:c r="C32" s="1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10"/>
      <x:c r="O32" s="10"/>
      <x:c r="P32" s="10"/>
      <x:c r="Q32" s="10"/>
      <x:c r="R32" s="10"/>
      <x:c r="S32" s="10"/>
      <x:c r="T32" s="10"/>
      <x:c r="U32" s="10"/>
      <x:c r="V32" s="10"/>
      <x:c r="W32" s="10"/>
    </x:row>
    <x:row r="33" ht="17" customHeight="1">
      <x:c r="A33" s="1"/>
      <x:c r="B33" s="1"/>
      <x:c r="C33" s="1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10"/>
      <x:c r="O33" s="10"/>
      <x:c r="P33" s="10"/>
      <x:c r="Q33" s="10"/>
      <x:c r="R33" s="10"/>
      <x:c r="S33" s="10"/>
      <x:c r="T33" s="10"/>
      <x:c r="U33" s="10"/>
      <x:c r="V33" s="10"/>
      <x:c r="W33" s="10"/>
    </x:row>
    <x:row r="34" ht="17" customHeight="1">
      <x:c r="A34" s="1"/>
      <x:c r="B34" s="1"/>
      <x:c r="C34" s="1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10"/>
      <x:c r="O34" s="10"/>
      <x:c r="P34" s="10"/>
      <x:c r="Q34" s="10"/>
      <x:c r="R34" s="10"/>
      <x:c r="S34" s="10"/>
      <x:c r="T34" s="10"/>
      <x:c r="U34" s="10"/>
      <x:c r="V34" s="10"/>
      <x:c r="W34" s="10"/>
    </x:row>
    <x:row r="35" ht="17" customHeight="1">
      <x:c r="A35" s="1"/>
      <x:c r="B35" s="1"/>
      <x:c r="C35" s="1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10"/>
      <x:c r="O35" s="10"/>
      <x:c r="P35" s="10"/>
      <x:c r="Q35" s="10"/>
      <x:c r="R35" s="10"/>
      <x:c r="S35" s="10"/>
      <x:c r="T35" s="10"/>
      <x:c r="U35" s="10"/>
      <x:c r="V35" s="10"/>
      <x:c r="W35" s="10"/>
    </x:row>
    <x:row r="36" ht="17" customHeight="1">
      <x:c r="A36" s="1"/>
      <x:c r="B36" s="1"/>
      <x:c r="C36" s="1"/>
      <x:c r="D36" s="10"/>
      <x:c r="E36" s="10"/>
      <x:c r="F36" s="10"/>
      <x:c r="G36" s="10"/>
      <x:c r="H36" s="10"/>
      <x:c r="I36" s="10"/>
      <x:c r="J36" s="10"/>
      <x:c r="K36" s="10"/>
      <x:c r="L36" s="10"/>
      <x:c r="M36" s="10"/>
      <x:c r="N36" s="10"/>
      <x:c r="O36" s="10"/>
      <x:c r="P36" s="10"/>
      <x:c r="Q36" s="10"/>
      <x:c r="R36" s="10"/>
      <x:c r="S36" s="10"/>
      <x:c r="T36" s="10"/>
      <x:c r="U36" s="10"/>
      <x:c r="V36" s="10"/>
      <x:c r="W36" s="10"/>
    </x:row>
    <x:row r="37" ht="17" customHeight="1">
      <x:c r="A37" s="1"/>
      <x:c r="B37" s="1"/>
      <x:c r="C37" s="1"/>
      <x:c r="D37" s="10"/>
      <x:c r="E37" s="10"/>
      <x:c r="F37" s="10"/>
      <x:c r="G37" s="10"/>
      <x:c r="H37" s="10"/>
      <x:c r="I37" s="10"/>
      <x:c r="J37" s="10"/>
      <x:c r="K37" s="10"/>
      <x:c r="L37" s="10"/>
      <x:c r="M37" s="10"/>
      <x:c r="N37" s="10"/>
      <x:c r="O37" s="10"/>
      <x:c r="P37" s="10"/>
      <x:c r="Q37" s="10"/>
      <x:c r="R37" s="10"/>
      <x:c r="S37" s="10"/>
      <x:c r="T37" s="10"/>
      <x:c r="U37" s="10"/>
      <x:c r="V37" s="10"/>
      <x:c r="W37" s="10"/>
    </x:row>
    <x:row r="38" ht="17" customHeight="1">
      <x:c r="A38" s="1"/>
      <x:c r="B38" s="1"/>
      <x:c r="C38" s="1"/>
      <x:c r="D38" s="10"/>
      <x:c r="E38" s="10"/>
      <x:c r="F38" s="10"/>
      <x:c r="G38" s="10"/>
      <x:c r="H38" s="10"/>
      <x:c r="I38" s="10"/>
      <x:c r="J38" s="10"/>
      <x:c r="K38" s="10"/>
      <x:c r="L38" s="10"/>
      <x:c r="M38" s="10"/>
      <x:c r="N38" s="10"/>
      <x:c r="O38" s="10"/>
      <x:c r="P38" s="10"/>
      <x:c r="Q38" s="10"/>
      <x:c r="R38" s="10"/>
      <x:c r="S38" s="10"/>
      <x:c r="T38" s="10"/>
      <x:c r="U38" s="10"/>
      <x:c r="V38" s="10"/>
      <x:c r="W38" s="10"/>
    </x:row>
    <x:row r="39" ht="17" customHeight="1">
      <x:c r="A39" s="1"/>
      <x:c r="B39" s="1"/>
      <x:c r="C39" s="1"/>
      <x:c r="D39" s="10"/>
      <x:c r="E39" s="10"/>
      <x:c r="F39" s="10"/>
      <x:c r="G39" s="10"/>
      <x:c r="H39" s="10"/>
      <x:c r="I39" s="10"/>
      <x:c r="J39" s="10"/>
      <x:c r="K39" s="10"/>
      <x:c r="L39" s="10"/>
      <x:c r="M39" s="10"/>
      <x:c r="N39" s="10"/>
      <x:c r="O39" s="10"/>
      <x:c r="P39" s="10"/>
      <x:c r="Q39" s="10"/>
      <x:c r="R39" s="10"/>
      <x:c r="S39" s="10"/>
      <x:c r="T39" s="10"/>
      <x:c r="U39" s="10"/>
      <x:c r="V39" s="10"/>
      <x:c r="W39" s="10"/>
    </x:row>
    <x:row r="40" ht="17" customHeight="1">
      <x:c r="A40" s="1"/>
      <x:c r="B40" s="1"/>
      <x:c r="C40" s="1"/>
      <x:c r="D40" s="10"/>
      <x:c r="E40" s="10"/>
      <x:c r="F40" s="10"/>
      <x:c r="G40" s="10"/>
      <x:c r="H40" s="10"/>
      <x:c r="I40" s="10"/>
      <x:c r="J40" s="10"/>
      <x:c r="K40" s="10"/>
      <x:c r="L40" s="10"/>
      <x:c r="M40" s="10"/>
      <x:c r="N40" s="10"/>
      <x:c r="O40" s="10"/>
      <x:c r="P40" s="10"/>
      <x:c r="Q40" s="10"/>
      <x:c r="R40" s="10"/>
      <x:c r="S40" s="10"/>
      <x:c r="T40" s="10"/>
      <x:c r="U40" s="10"/>
      <x:c r="V40" s="10"/>
      <x:c r="W40" s="10"/>
    </x:row>
    <x:row r="41" ht="17" customHeight="1">
      <x:c r="A41" s="1"/>
      <x:c r="B41" s="1"/>
      <x:c r="C41" s="1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10"/>
      <x:c r="O41" s="10"/>
      <x:c r="P41" s="10"/>
      <x:c r="Q41" s="10"/>
      <x:c r="R41" s="10"/>
      <x:c r="S41" s="10"/>
      <x:c r="T41" s="10"/>
      <x:c r="U41" s="10"/>
      <x:c r="V41" s="10"/>
      <x:c r="W41" s="10"/>
    </x:row>
    <x:row r="42" ht="17" customHeight="1">
      <x:c r="A42" s="1"/>
      <x:c r="B42" s="1"/>
      <x:c r="C42" s="1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  <x:c r="O42" s="10"/>
      <x:c r="P42" s="10"/>
      <x:c r="Q42" s="10"/>
      <x:c r="R42" s="10"/>
      <x:c r="S42" s="10"/>
      <x:c r="T42" s="10"/>
      <x:c r="U42" s="10"/>
      <x:c r="V42" s="10"/>
      <x:c r="W42" s="10"/>
    </x:row>
    <x:row r="43" ht="17" customHeight="1">
      <x:c r="A43" s="1"/>
      <x:c r="B43" s="1"/>
      <x:c r="C43" s="1"/>
      <x:c r="D43" s="10"/>
      <x:c r="E43" s="10"/>
      <x:c r="F43" s="10"/>
      <x:c r="G43" s="10"/>
      <x:c r="H43" s="10"/>
      <x:c r="I43" s="10"/>
      <x:c r="J43" s="10"/>
      <x:c r="K43" s="10"/>
      <x:c r="L43" s="10"/>
      <x:c r="M43" s="10"/>
      <x:c r="N43" s="10"/>
      <x:c r="O43" s="10"/>
      <x:c r="P43" s="10"/>
      <x:c r="Q43" s="10"/>
      <x:c r="R43" s="10"/>
      <x:c r="S43" s="10"/>
      <x:c r="T43" s="10"/>
      <x:c r="U43" s="10"/>
      <x:c r="V43" s="10"/>
      <x:c r="W43" s="10"/>
    </x:row>
    <x:row r="44" ht="17" customHeight="1">
      <x:c r="A44" s="1"/>
      <x:c r="B44" s="1"/>
      <x:c r="C44" s="1"/>
      <x:c r="D44" s="10"/>
      <x:c r="E44" s="10"/>
      <x:c r="F44" s="10"/>
      <x:c r="G44" s="10"/>
      <x:c r="H44" s="10"/>
      <x:c r="I44" s="10"/>
      <x:c r="J44" s="10"/>
      <x:c r="K44" s="10"/>
      <x:c r="L44" s="10"/>
      <x:c r="M44" s="10"/>
      <x:c r="N44" s="10"/>
      <x:c r="O44" s="10"/>
      <x:c r="P44" s="10"/>
      <x:c r="Q44" s="10"/>
      <x:c r="R44" s="10"/>
      <x:c r="S44" s="10"/>
      <x:c r="T44" s="10"/>
      <x:c r="U44" s="10"/>
      <x:c r="V44" s="10"/>
      <x:c r="W44" s="10"/>
    </x:row>
    <x:row r="45" ht="17" customHeight="1">
      <x:c r="A45" s="1"/>
      <x:c r="B45" s="1"/>
      <x:c r="C45" s="1"/>
      <x:c r="D45" s="10"/>
      <x:c r="E45" s="10"/>
      <x:c r="F45" s="10"/>
      <x:c r="G45" s="10"/>
      <x:c r="H45" s="10"/>
      <x:c r="I45" s="10"/>
      <x:c r="J45" s="10"/>
      <x:c r="K45" s="10"/>
      <x:c r="L45" s="10"/>
      <x:c r="M45" s="10"/>
      <x:c r="N45" s="10"/>
      <x:c r="O45" s="10"/>
      <x:c r="P45" s="10"/>
      <x:c r="Q45" s="10"/>
      <x:c r="R45" s="10"/>
      <x:c r="S45" s="10"/>
      <x:c r="T45" s="10"/>
      <x:c r="U45" s="10"/>
      <x:c r="V45" s="10"/>
      <x:c r="W45" s="10"/>
    </x:row>
    <x:row r="46" ht="17" customHeight="1">
      <x:c r="A46" s="1"/>
      <x:c r="B46" s="1"/>
      <x:c r="C46" s="1"/>
      <x:c r="D46" s="10"/>
      <x:c r="E46" s="10"/>
      <x:c r="F46" s="10"/>
      <x:c r="G46" s="10"/>
      <x:c r="H46" s="10"/>
      <x:c r="I46" s="10"/>
      <x:c r="J46" s="10"/>
      <x:c r="K46" s="10"/>
      <x:c r="L46" s="10"/>
      <x:c r="M46" s="10"/>
      <x:c r="N46" s="10"/>
      <x:c r="O46" s="10"/>
      <x:c r="P46" s="10"/>
      <x:c r="Q46" s="10"/>
      <x:c r="R46" s="10"/>
      <x:c r="S46" s="10"/>
      <x:c r="T46" s="10"/>
      <x:c r="U46" s="10"/>
      <x:c r="V46" s="10"/>
      <x:c r="W46" s="10"/>
    </x:row>
    <x:row r="47" ht="17" customHeight="1">
      <x:c r="A47" s="1"/>
      <x:c r="B47" s="1"/>
      <x:c r="C47" s="1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  <x:c r="N47" s="10"/>
      <x:c r="O47" s="10"/>
      <x:c r="P47" s="10"/>
      <x:c r="Q47" s="10"/>
      <x:c r="R47" s="10"/>
      <x:c r="S47" s="10"/>
      <x:c r="T47" s="10"/>
      <x:c r="U47" s="10"/>
      <x:c r="V47" s="10"/>
      <x:c r="W47" s="10"/>
    </x:row>
    <x:row r="48" ht="17" customHeight="1">
      <x:c r="A48" s="1"/>
      <x:c r="B48" s="1"/>
      <x:c r="C48" s="1"/>
      <x:c r="D48" s="10"/>
      <x:c r="E48" s="10"/>
      <x:c r="F48" s="10"/>
      <x:c r="G48" s="10"/>
      <x:c r="H48" s="10"/>
      <x:c r="I48" s="10"/>
      <x:c r="J48" s="10"/>
      <x:c r="K48" s="10"/>
      <x:c r="L48" s="10"/>
      <x:c r="M48" s="10"/>
      <x:c r="N48" s="10"/>
      <x:c r="O48" s="10"/>
      <x:c r="P48" s="10"/>
      <x:c r="Q48" s="10"/>
      <x:c r="R48" s="10"/>
      <x:c r="S48" s="10"/>
      <x:c r="T48" s="10"/>
      <x:c r="U48" s="10"/>
      <x:c r="V48" s="10"/>
      <x:c r="W48" s="10"/>
    </x:row>
    <x:row r="49" ht="17" customHeight="1">
      <x:c r="A49" s="1"/>
      <x:c r="B49" s="1"/>
      <x:c r="C49" s="1"/>
      <x:c r="D49" s="10"/>
      <x:c r="E49" s="10"/>
      <x:c r="F49" s="10"/>
      <x:c r="G49" s="10"/>
      <x:c r="H49" s="10"/>
      <x:c r="I49" s="10"/>
      <x:c r="J49" s="10"/>
      <x:c r="K49" s="10"/>
      <x:c r="L49" s="10"/>
      <x:c r="M49" s="10"/>
      <x:c r="N49" s="10"/>
      <x:c r="O49" s="10"/>
      <x:c r="P49" s="10"/>
      <x:c r="Q49" s="10"/>
      <x:c r="R49" s="10"/>
      <x:c r="S49" s="10"/>
      <x:c r="T49" s="10"/>
      <x:c r="U49" s="10"/>
      <x:c r="V49" s="10"/>
      <x:c r="W49" s="10"/>
    </x:row>
    <x:row r="50" ht="17" customHeight="1">
      <x:c r="A50" s="1"/>
      <x:c r="B50" s="1"/>
      <x:c r="C50" s="1"/>
      <x:c r="D50" s="10"/>
      <x:c r="E50" s="10"/>
      <x:c r="F50" s="10"/>
      <x:c r="G50" s="10"/>
      <x:c r="H50" s="10"/>
      <x:c r="I50" s="10"/>
      <x:c r="J50" s="10"/>
      <x:c r="K50" s="10"/>
      <x:c r="L50" s="10"/>
      <x:c r="M50" s="10"/>
      <x:c r="N50" s="10"/>
      <x:c r="O50" s="10"/>
      <x:c r="P50" s="10"/>
      <x:c r="Q50" s="10"/>
      <x:c r="R50" s="10"/>
      <x:c r="S50" s="10"/>
      <x:c r="T50" s="10"/>
      <x:c r="U50" s="10"/>
      <x:c r="V50" s="10"/>
      <x:c r="W50" s="10"/>
    </x:row>
    <x:row r="51" ht="17" customHeight="1">
      <x:c r="A51" s="1"/>
      <x:c r="B51" s="1"/>
      <x:c r="C51" s="1"/>
      <x:c r="D51" s="10"/>
      <x:c r="E51" s="10"/>
      <x:c r="F51" s="10"/>
      <x:c r="G51" s="10"/>
      <x:c r="H51" s="10"/>
      <x:c r="I51" s="10"/>
      <x:c r="J51" s="10"/>
      <x:c r="K51" s="10"/>
      <x:c r="L51" s="10"/>
      <x:c r="M51" s="10"/>
      <x:c r="N51" s="10"/>
      <x:c r="O51" s="10"/>
      <x:c r="P51" s="10"/>
      <x:c r="Q51" s="10"/>
      <x:c r="R51" s="10"/>
      <x:c r="S51" s="10"/>
      <x:c r="T51" s="10"/>
      <x:c r="U51" s="10"/>
      <x:c r="V51" s="10"/>
      <x:c r="W51" s="10"/>
    </x:row>
    <x:row r="52" ht="17" customHeight="1">
      <x:c r="A52" s="1"/>
      <x:c r="B52" s="1"/>
      <x:c r="C52" s="1"/>
      <x:c r="D52" s="10"/>
      <x:c r="E52" s="10"/>
      <x:c r="F52" s="10"/>
      <x:c r="G52" s="10"/>
      <x:c r="H52" s="10"/>
      <x:c r="I52" s="10"/>
      <x:c r="J52" s="10"/>
      <x:c r="K52" s="10"/>
      <x:c r="L52" s="10"/>
      <x:c r="M52" s="10"/>
      <x:c r="N52" s="10"/>
      <x:c r="O52" s="10"/>
      <x:c r="P52" s="10"/>
      <x:c r="Q52" s="10"/>
      <x:c r="R52" s="10"/>
      <x:c r="S52" s="10"/>
      <x:c r="T52" s="10"/>
      <x:c r="U52" s="10"/>
      <x:c r="V52" s="10"/>
      <x:c r="W52" s="10"/>
    </x:row>
    <x:row r="53" ht="17" customHeight="1">
      <x:c r="A53" s="1"/>
      <x:c r="B53" s="1"/>
      <x:c r="C53" s="1"/>
      <x:c r="D53" s="10"/>
      <x:c r="E53" s="10"/>
      <x:c r="F53" s="10"/>
      <x:c r="G53" s="10"/>
      <x:c r="H53" s="10"/>
      <x:c r="I53" s="10"/>
      <x:c r="J53" s="10"/>
      <x:c r="K53" s="10"/>
      <x:c r="L53" s="10"/>
      <x:c r="M53" s="10"/>
      <x:c r="N53" s="10"/>
      <x:c r="O53" s="10"/>
      <x:c r="P53" s="10"/>
      <x:c r="Q53" s="10"/>
      <x:c r="R53" s="10"/>
      <x:c r="S53" s="10"/>
      <x:c r="T53" s="10"/>
      <x:c r="U53" s="10"/>
      <x:c r="V53" s="10"/>
      <x:c r="W53" s="10"/>
    </x:row>
    <x:row r="54" ht="17" customHeight="1">
      <x:c r="A54" s="1"/>
      <x:c r="B54" s="1"/>
      <x:c r="C54" s="1"/>
      <x:c r="D54" s="10"/>
      <x:c r="E54" s="10"/>
      <x:c r="F54" s="10"/>
      <x:c r="G54" s="10"/>
      <x:c r="H54" s="10"/>
      <x:c r="I54" s="10"/>
      <x:c r="J54" s="10"/>
      <x:c r="K54" s="10"/>
      <x:c r="L54" s="10"/>
      <x:c r="M54" s="10"/>
      <x:c r="N54" s="10"/>
      <x:c r="O54" s="10"/>
      <x:c r="P54" s="10"/>
      <x:c r="Q54" s="10"/>
      <x:c r="R54" s="10"/>
      <x:c r="S54" s="10"/>
      <x:c r="T54" s="10"/>
      <x:c r="U54" s="10"/>
      <x:c r="V54" s="10"/>
      <x:c r="W54" s="10"/>
    </x:row>
    <x:row r="55" ht="17" customHeight="1">
      <x:c r="A55" s="1"/>
      <x:c r="B55" s="1"/>
      <x:c r="C55" s="1"/>
      <x:c r="D55" s="10"/>
      <x:c r="E55" s="10"/>
      <x:c r="F55" s="10"/>
      <x:c r="G55" s="10"/>
      <x:c r="H55" s="10"/>
      <x:c r="I55" s="10"/>
      <x:c r="J55" s="10"/>
      <x:c r="K55" s="10"/>
      <x:c r="L55" s="10"/>
      <x:c r="M55" s="10"/>
      <x:c r="N55" s="10"/>
      <x:c r="O55" s="10"/>
      <x:c r="P55" s="10"/>
      <x:c r="Q55" s="10"/>
      <x:c r="R55" s="10"/>
      <x:c r="S55" s="10"/>
      <x:c r="T55" s="10"/>
      <x:c r="U55" s="10"/>
      <x:c r="V55" s="10"/>
      <x:c r="W55" s="10"/>
    </x:row>
    <x:row r="56" ht="17" customHeight="1">
      <x:c r="A56" s="1"/>
      <x:c r="B56" s="1"/>
      <x:c r="C56" s="1"/>
      <x:c r="D56" s="10"/>
      <x:c r="E56" s="10"/>
      <x:c r="F56" s="10"/>
      <x:c r="G56" s="10"/>
      <x:c r="H56" s="10"/>
      <x:c r="I56" s="10"/>
      <x:c r="J56" s="10"/>
      <x:c r="K56" s="10"/>
      <x:c r="L56" s="10"/>
      <x:c r="M56" s="10"/>
      <x:c r="N56" s="10"/>
      <x:c r="O56" s="10"/>
      <x:c r="P56" s="10"/>
      <x:c r="Q56" s="10"/>
      <x:c r="R56" s="10"/>
      <x:c r="S56" s="10"/>
      <x:c r="T56" s="10"/>
      <x:c r="U56" s="10"/>
      <x:c r="V56" s="10"/>
      <x:c r="W56" s="10"/>
    </x:row>
    <x:row r="57" ht="17" customHeight="1">
      <x:c r="A57" s="1"/>
      <x:c r="B57" s="1"/>
      <x:c r="C57" s="1"/>
      <x:c r="D57" s="10"/>
      <x:c r="E57" s="10"/>
      <x:c r="F57" s="10"/>
      <x:c r="G57" s="10"/>
      <x:c r="H57" s="10"/>
      <x:c r="I57" s="10"/>
      <x:c r="J57" s="10"/>
      <x:c r="K57" s="10"/>
      <x:c r="L57" s="10"/>
      <x:c r="M57" s="10"/>
      <x:c r="N57" s="10"/>
      <x:c r="O57" s="10"/>
      <x:c r="P57" s="10"/>
      <x:c r="Q57" s="10"/>
      <x:c r="R57" s="10"/>
      <x:c r="S57" s="10"/>
      <x:c r="T57" s="10"/>
      <x:c r="U57" s="10"/>
      <x:c r="V57" s="10"/>
      <x:c r="W57" s="10"/>
    </x:row>
    <x:row r="58" ht="17" customHeight="1">
      <x:c r="A58" s="1"/>
      <x:c r="B58" s="1"/>
      <x:c r="C58" s="1"/>
      <x:c r="D58" s="10"/>
      <x:c r="E58" s="10"/>
      <x:c r="F58" s="10"/>
      <x:c r="G58" s="10"/>
      <x:c r="H58" s="10"/>
      <x:c r="I58" s="10"/>
      <x:c r="J58" s="10"/>
      <x:c r="K58" s="10"/>
      <x:c r="L58" s="10"/>
      <x:c r="M58" s="10"/>
      <x:c r="N58" s="10"/>
      <x:c r="O58" s="10"/>
      <x:c r="P58" s="10"/>
      <x:c r="Q58" s="10"/>
      <x:c r="R58" s="10"/>
      <x:c r="S58" s="10"/>
      <x:c r="T58" s="10"/>
      <x:c r="U58" s="10"/>
      <x:c r="V58" s="10"/>
      <x:c r="W58" s="10"/>
    </x:row>
    <x:row r="59" ht="17" customHeight="1">
      <x:c r="A59" s="1"/>
      <x:c r="B59" s="1"/>
      <x:c r="C59" s="1"/>
      <x:c r="D59" s="10"/>
      <x:c r="E59" s="10"/>
      <x:c r="F59" s="10"/>
      <x:c r="G59" s="10"/>
      <x:c r="H59" s="10"/>
      <x:c r="I59" s="10"/>
      <x:c r="J59" s="10"/>
      <x:c r="K59" s="10"/>
      <x:c r="L59" s="10"/>
      <x:c r="M59" s="10"/>
      <x:c r="N59" s="10"/>
      <x:c r="O59" s="10"/>
      <x:c r="P59" s="10"/>
      <x:c r="Q59" s="10"/>
      <x:c r="R59" s="10"/>
      <x:c r="S59" s="10"/>
      <x:c r="T59" s="10"/>
      <x:c r="U59" s="10"/>
      <x:c r="V59" s="10"/>
      <x:c r="W59" s="10"/>
    </x:row>
    <x:row r="60" ht="17" customHeight="1">
      <x:c r="A60" s="1"/>
      <x:c r="B60" s="1"/>
      <x:c r="C60" s="1"/>
      <x:c r="D60" s="10"/>
      <x:c r="E60" s="10"/>
      <x:c r="F60" s="10"/>
      <x:c r="G60" s="10"/>
      <x:c r="H60" s="10"/>
      <x:c r="I60" s="10"/>
      <x:c r="J60" s="10"/>
      <x:c r="K60" s="10"/>
      <x:c r="L60" s="10"/>
      <x:c r="M60" s="10"/>
      <x:c r="N60" s="10"/>
      <x:c r="O60" s="10"/>
      <x:c r="P60" s="10"/>
      <x:c r="Q60" s="10"/>
      <x:c r="R60" s="10"/>
      <x:c r="S60" s="10"/>
      <x:c r="T60" s="10"/>
      <x:c r="U60" s="10"/>
      <x:c r="V60" s="10"/>
      <x:c r="W60" s="10"/>
    </x:row>
    <x:row r="61" ht="17" customHeight="1">
      <x:c r="A61" s="1"/>
      <x:c r="B61" s="1"/>
      <x:c r="C61" s="1"/>
      <x:c r="D61" s="10"/>
      <x:c r="E61" s="10"/>
      <x:c r="F61" s="10"/>
      <x:c r="G61" s="10"/>
      <x:c r="H61" s="10"/>
      <x:c r="I61" s="10"/>
      <x:c r="J61" s="10"/>
      <x:c r="K61" s="10"/>
      <x:c r="L61" s="10"/>
      <x:c r="M61" s="10"/>
      <x:c r="N61" s="10"/>
      <x:c r="O61" s="10"/>
      <x:c r="P61" s="10"/>
      <x:c r="Q61" s="10"/>
      <x:c r="R61" s="10"/>
      <x:c r="S61" s="10"/>
      <x:c r="T61" s="10"/>
      <x:c r="U61" s="10"/>
      <x:c r="V61" s="10"/>
      <x:c r="W61" s="10"/>
    </x:row>
    <x:row r="62" ht="17" customHeight="1">
      <x:c r="A62" s="1"/>
      <x:c r="B62" s="1"/>
      <x:c r="C62" s="1"/>
      <x:c r="D62" s="10"/>
      <x:c r="E62" s="10"/>
      <x:c r="F62" s="10"/>
      <x:c r="G62" s="10"/>
      <x:c r="H62" s="10"/>
      <x:c r="I62" s="10"/>
      <x:c r="J62" s="10"/>
      <x:c r="K62" s="10"/>
      <x:c r="L62" s="10"/>
      <x:c r="M62" s="10"/>
      <x:c r="N62" s="10"/>
      <x:c r="O62" s="10"/>
      <x:c r="P62" s="10"/>
      <x:c r="Q62" s="10"/>
      <x:c r="R62" s="10"/>
      <x:c r="S62" s="10"/>
      <x:c r="T62" s="10"/>
      <x:c r="U62" s="10"/>
      <x:c r="V62" s="10"/>
      <x:c r="W62" s="10"/>
    </x:row>
    <x:row r="63" ht="17" customHeight="1">
      <x:c r="A63" s="1"/>
      <x:c r="B63" s="1"/>
      <x:c r="C63" s="1"/>
      <x:c r="D63" s="10"/>
      <x:c r="E63" s="10"/>
      <x:c r="F63" s="10"/>
      <x:c r="G63" s="10"/>
      <x:c r="H63" s="10"/>
      <x:c r="I63" s="10"/>
      <x:c r="J63" s="10"/>
      <x:c r="K63" s="10"/>
      <x:c r="L63" s="10"/>
      <x:c r="M63" s="10"/>
      <x:c r="N63" s="10"/>
      <x:c r="O63" s="10"/>
      <x:c r="P63" s="10"/>
      <x:c r="Q63" s="10"/>
      <x:c r="R63" s="10"/>
      <x:c r="S63" s="10"/>
      <x:c r="T63" s="10"/>
      <x:c r="U63" s="10"/>
      <x:c r="V63" s="10"/>
      <x:c r="W63" s="10"/>
    </x:row>
    <x:row r="64" ht="17" customHeight="1">
      <x:c r="A64" s="1"/>
      <x:c r="B64" s="1"/>
      <x:c r="C64" s="1"/>
      <x:c r="D64" s="10"/>
      <x:c r="E64" s="10"/>
      <x:c r="F64" s="10"/>
      <x:c r="G64" s="10"/>
      <x:c r="H64" s="10"/>
      <x:c r="I64" s="10"/>
      <x:c r="J64" s="10"/>
      <x:c r="K64" s="10"/>
      <x:c r="L64" s="10"/>
      <x:c r="M64" s="10"/>
      <x:c r="N64" s="10"/>
      <x:c r="O64" s="10"/>
      <x:c r="P64" s="10"/>
      <x:c r="Q64" s="10"/>
      <x:c r="R64" s="10"/>
      <x:c r="S64" s="10"/>
      <x:c r="T64" s="10"/>
      <x:c r="U64" s="10"/>
      <x:c r="V64" s="10"/>
      <x:c r="W64" s="10"/>
    </x:row>
    <x:row r="65" ht="17" customHeight="1">
      <x:c r="A65" s="1"/>
      <x:c r="B65" s="1"/>
      <x:c r="C65" s="1"/>
      <x:c r="D65" s="10"/>
      <x:c r="E65" s="10"/>
      <x:c r="F65" s="10"/>
      <x:c r="G65" s="10"/>
      <x:c r="H65" s="10"/>
      <x:c r="I65" s="10"/>
      <x:c r="J65" s="10"/>
      <x:c r="K65" s="10"/>
      <x:c r="L65" s="10"/>
      <x:c r="M65" s="10"/>
      <x:c r="N65" s="10"/>
      <x:c r="O65" s="10"/>
      <x:c r="P65" s="10"/>
      <x:c r="Q65" s="10"/>
      <x:c r="R65" s="10"/>
      <x:c r="S65" s="10"/>
      <x:c r="T65" s="10"/>
      <x:c r="U65" s="10"/>
      <x:c r="V65" s="10"/>
      <x:c r="W65" s="10"/>
    </x:row>
    <x:row r="66" ht="17" customHeight="1">
      <x:c r="A66" s="1"/>
      <x:c r="B66" s="1"/>
      <x:c r="C66" s="1"/>
      <x:c r="D66" s="10"/>
      <x:c r="E66" s="10"/>
      <x:c r="F66" s="10"/>
      <x:c r="G66" s="10"/>
      <x:c r="H66" s="10"/>
      <x:c r="I66" s="10"/>
      <x:c r="J66" s="10"/>
      <x:c r="K66" s="10"/>
      <x:c r="L66" s="10"/>
      <x:c r="M66" s="10"/>
      <x:c r="N66" s="10"/>
      <x:c r="O66" s="10"/>
      <x:c r="P66" s="10"/>
      <x:c r="Q66" s="10"/>
      <x:c r="R66" s="10"/>
      <x:c r="S66" s="10"/>
      <x:c r="T66" s="10"/>
      <x:c r="U66" s="10"/>
      <x:c r="V66" s="10"/>
      <x:c r="W66" s="10"/>
    </x:row>
    <x:row r="67" ht="17" customHeight="1">
      <x:c r="A67" s="1"/>
      <x:c r="B67" s="1"/>
      <x:c r="C67" s="1"/>
      <x:c r="D67" s="10"/>
      <x:c r="E67" s="10"/>
      <x:c r="F67" s="10"/>
      <x:c r="G67" s="10"/>
      <x:c r="H67" s="10"/>
      <x:c r="I67" s="10"/>
      <x:c r="J67" s="10"/>
      <x:c r="K67" s="10"/>
      <x:c r="L67" s="10"/>
      <x:c r="M67" s="10"/>
      <x:c r="N67" s="10"/>
      <x:c r="O67" s="10"/>
      <x:c r="P67" s="10"/>
      <x:c r="Q67" s="10"/>
      <x:c r="R67" s="10"/>
      <x:c r="S67" s="10"/>
      <x:c r="T67" s="10"/>
      <x:c r="U67" s="10"/>
      <x:c r="V67" s="10"/>
      <x:c r="W67" s="10"/>
    </x:row>
    <x:row r="68" ht="17" customHeight="1">
      <x:c r="A68" s="1"/>
      <x:c r="B68" s="1"/>
      <x:c r="C68" s="1"/>
      <x:c r="D68" s="10"/>
      <x:c r="E68" s="10"/>
      <x:c r="F68" s="10"/>
      <x:c r="G68" s="10"/>
      <x:c r="H68" s="10"/>
      <x:c r="I68" s="10"/>
      <x:c r="J68" s="10"/>
      <x:c r="K68" s="10"/>
      <x:c r="L68" s="10"/>
      <x:c r="M68" s="10"/>
      <x:c r="N68" s="10"/>
      <x:c r="O68" s="10"/>
      <x:c r="P68" s="10"/>
      <x:c r="Q68" s="10"/>
      <x:c r="R68" s="10"/>
      <x:c r="S68" s="10"/>
      <x:c r="T68" s="10"/>
      <x:c r="U68" s="10"/>
      <x:c r="V68" s="10"/>
      <x:c r="W68" s="10"/>
    </x:row>
    <x:row r="69" ht="17" customHeight="1">
      <x:c r="A69" s="1"/>
      <x:c r="B69" s="1"/>
      <x:c r="C69" s="1"/>
      <x:c r="D69" s="10"/>
      <x:c r="E69" s="10"/>
      <x:c r="F69" s="10"/>
      <x:c r="G69" s="10"/>
      <x:c r="H69" s="10"/>
      <x:c r="I69" s="10"/>
      <x:c r="J69" s="10"/>
      <x:c r="K69" s="10"/>
      <x:c r="L69" s="10"/>
      <x:c r="M69" s="10"/>
      <x:c r="N69" s="10"/>
      <x:c r="O69" s="10"/>
      <x:c r="P69" s="10"/>
      <x:c r="Q69" s="10"/>
      <x:c r="R69" s="10"/>
      <x:c r="S69" s="10"/>
      <x:c r="T69" s="10"/>
      <x:c r="U69" s="10"/>
      <x:c r="V69" s="10"/>
      <x:c r="W69" s="10"/>
    </x:row>
    <x:row r="70" ht="17" customHeight="1">
      <x:c r="A70" s="1"/>
      <x:c r="B70" s="1"/>
      <x:c r="C70" s="1"/>
      <x:c r="D70" s="10"/>
      <x:c r="E70" s="10"/>
      <x:c r="F70" s="10"/>
      <x:c r="G70" s="10"/>
      <x:c r="H70" s="10"/>
      <x:c r="I70" s="10"/>
      <x:c r="J70" s="10"/>
      <x:c r="K70" s="10"/>
      <x:c r="L70" s="10"/>
      <x:c r="M70" s="10"/>
      <x:c r="N70" s="10"/>
      <x:c r="O70" s="10"/>
      <x:c r="P70" s="10"/>
      <x:c r="Q70" s="10"/>
      <x:c r="R70" s="10"/>
      <x:c r="S70" s="10"/>
      <x:c r="T70" s="10"/>
      <x:c r="U70" s="10"/>
      <x:c r="V70" s="10"/>
      <x:c r="W70" s="10"/>
    </x:row>
    <x:row r="71" ht="17" customHeight="1">
      <x:c r="A71" s="1"/>
      <x:c r="B71" s="1"/>
      <x:c r="C71" s="1"/>
      <x:c r="D71" s="10"/>
      <x:c r="E71" s="10"/>
      <x:c r="F71" s="10"/>
      <x:c r="G71" s="10"/>
      <x:c r="H71" s="10"/>
      <x:c r="I71" s="10"/>
      <x:c r="J71" s="10"/>
      <x:c r="K71" s="10"/>
      <x:c r="L71" s="10"/>
      <x:c r="M71" s="10"/>
      <x:c r="N71" s="10"/>
      <x:c r="O71" s="10"/>
      <x:c r="P71" s="10"/>
      <x:c r="Q71" s="10"/>
      <x:c r="R71" s="10"/>
      <x:c r="S71" s="10"/>
      <x:c r="T71" s="10"/>
      <x:c r="U71" s="10"/>
      <x:c r="V71" s="10"/>
      <x:c r="W71" s="10"/>
    </x:row>
    <x:row r="72" ht="17" customHeight="1">
      <x:c r="A72" s="1"/>
      <x:c r="B72" s="1"/>
      <x:c r="C72" s="1"/>
      <x:c r="D72" s="10"/>
      <x:c r="E72" s="10"/>
      <x:c r="F72" s="10"/>
      <x:c r="G72" s="10"/>
      <x:c r="H72" s="10"/>
      <x:c r="I72" s="10"/>
      <x:c r="J72" s="10"/>
      <x:c r="K72" s="10"/>
      <x:c r="L72" s="10"/>
      <x:c r="M72" s="10"/>
      <x:c r="N72" s="10"/>
      <x:c r="O72" s="10"/>
      <x:c r="P72" s="10"/>
      <x:c r="Q72" s="10"/>
      <x:c r="R72" s="10"/>
      <x:c r="S72" s="10"/>
      <x:c r="T72" s="10"/>
      <x:c r="U72" s="10"/>
      <x:c r="V72" s="10"/>
      <x:c r="W72" s="10"/>
    </x:row>
    <x:row r="73" ht="17" customHeight="1">
      <x:c r="A73" s="1"/>
      <x:c r="B73" s="1"/>
      <x:c r="C73" s="1"/>
      <x:c r="D73" s="10"/>
      <x:c r="E73" s="10"/>
      <x:c r="F73" s="10"/>
      <x:c r="G73" s="10"/>
      <x:c r="H73" s="10"/>
      <x:c r="I73" s="10"/>
      <x:c r="J73" s="10"/>
      <x:c r="K73" s="10"/>
      <x:c r="L73" s="10"/>
      <x:c r="M73" s="10"/>
      <x:c r="N73" s="10"/>
      <x:c r="O73" s="10"/>
      <x:c r="P73" s="10"/>
      <x:c r="Q73" s="10"/>
      <x:c r="R73" s="10"/>
      <x:c r="S73" s="10"/>
      <x:c r="T73" s="10"/>
      <x:c r="U73" s="10"/>
      <x:c r="V73" s="10"/>
      <x:c r="W73" s="10"/>
    </x:row>
    <x:row r="74" ht="17" customHeight="1">
      <x:c r="A74" s="1"/>
      <x:c r="B74" s="1"/>
      <x:c r="C74" s="1"/>
      <x:c r="D74" s="10"/>
      <x:c r="E74" s="10"/>
      <x:c r="F74" s="10"/>
      <x:c r="G74" s="10"/>
      <x:c r="H74" s="10"/>
      <x:c r="I74" s="10"/>
      <x:c r="J74" s="10"/>
      <x:c r="K74" s="10"/>
      <x:c r="L74" s="10"/>
      <x:c r="M74" s="10"/>
      <x:c r="N74" s="10"/>
      <x:c r="O74" s="10"/>
      <x:c r="P74" s="10"/>
      <x:c r="Q74" s="10"/>
      <x:c r="R74" s="10"/>
      <x:c r="S74" s="10"/>
      <x:c r="T74" s="10"/>
      <x:c r="U74" s="10"/>
      <x:c r="V74" s="10"/>
      <x:c r="W74" s="10"/>
    </x:row>
    <x:row r="75" ht="17" customHeight="1">
      <x:c r="A75" s="1"/>
      <x:c r="B75" s="1"/>
      <x:c r="C75" s="1"/>
      <x:c r="D75" s="10"/>
      <x:c r="E75" s="10"/>
      <x:c r="F75" s="10"/>
      <x:c r="G75" s="10"/>
      <x:c r="H75" s="10"/>
      <x:c r="I75" s="10"/>
      <x:c r="J75" s="10"/>
      <x:c r="K75" s="10"/>
      <x:c r="L75" s="10"/>
      <x:c r="M75" s="10"/>
      <x:c r="N75" s="10"/>
      <x:c r="O75" s="10"/>
      <x:c r="P75" s="10"/>
      <x:c r="Q75" s="10"/>
      <x:c r="R75" s="10"/>
      <x:c r="S75" s="10"/>
      <x:c r="T75" s="10"/>
      <x:c r="U75" s="10"/>
      <x:c r="V75" s="10"/>
      <x:c r="W75" s="10"/>
    </x:row>
    <x:row r="76" ht="17" customHeight="1">
      <x:c r="A76" s="1"/>
      <x:c r="B76" s="1"/>
      <x:c r="C76" s="1"/>
      <x:c r="D76" s="10"/>
      <x:c r="E76" s="10"/>
      <x:c r="F76" s="10"/>
      <x:c r="G76" s="10"/>
      <x:c r="H76" s="10"/>
      <x:c r="I76" s="10"/>
      <x:c r="J76" s="10"/>
      <x:c r="K76" s="10"/>
      <x:c r="L76" s="10"/>
      <x:c r="M76" s="10"/>
      <x:c r="N76" s="10"/>
      <x:c r="O76" s="10"/>
      <x:c r="P76" s="10"/>
      <x:c r="Q76" s="10"/>
      <x:c r="R76" s="10"/>
      <x:c r="S76" s="10"/>
      <x:c r="T76" s="10"/>
      <x:c r="U76" s="10"/>
      <x:c r="V76" s="10"/>
      <x:c r="W76" s="10"/>
    </x:row>
    <x:row r="77" ht="17" customHeight="1">
      <x:c r="A77" s="1"/>
      <x:c r="B77" s="1"/>
      <x:c r="C77" s="1"/>
      <x:c r="D77" s="10"/>
      <x:c r="E77" s="10"/>
      <x:c r="F77" s="10"/>
      <x:c r="G77" s="10"/>
      <x:c r="H77" s="10"/>
      <x:c r="I77" s="10"/>
      <x:c r="J77" s="10"/>
      <x:c r="K77" s="10"/>
      <x:c r="L77" s="10"/>
      <x:c r="M77" s="10"/>
      <x:c r="N77" s="10"/>
      <x:c r="O77" s="10"/>
      <x:c r="P77" s="10"/>
      <x:c r="Q77" s="10"/>
      <x:c r="R77" s="10"/>
      <x:c r="S77" s="10"/>
      <x:c r="T77" s="10"/>
      <x:c r="U77" s="10"/>
      <x:c r="V77" s="10"/>
      <x:c r="W77" s="10"/>
    </x:row>
    <x:row r="78" ht="17" customHeight="1">
      <x:c r="A78" s="1"/>
      <x:c r="B78" s="1"/>
      <x:c r="C78" s="1"/>
      <x:c r="D78" s="10"/>
      <x:c r="E78" s="10"/>
      <x:c r="F78" s="10"/>
      <x:c r="G78" s="10"/>
      <x:c r="H78" s="10"/>
      <x:c r="I78" s="10"/>
      <x:c r="J78" s="10"/>
      <x:c r="K78" s="10"/>
      <x:c r="L78" s="10"/>
      <x:c r="M78" s="10"/>
      <x:c r="N78" s="10"/>
      <x:c r="O78" s="10"/>
      <x:c r="P78" s="10"/>
      <x:c r="Q78" s="10"/>
      <x:c r="R78" s="10"/>
      <x:c r="S78" s="10"/>
      <x:c r="T78" s="10"/>
      <x:c r="U78" s="10"/>
      <x:c r="V78" s="10"/>
      <x:c r="W78" s="10"/>
    </x:row>
    <x:row r="79" ht="17" customHeight="1">
      <x:c r="A79" s="1"/>
      <x:c r="B79" s="1"/>
      <x:c r="C79" s="1"/>
      <x:c r="D79" s="10"/>
      <x:c r="E79" s="10"/>
      <x:c r="F79" s="10"/>
      <x:c r="G79" s="10"/>
      <x:c r="H79" s="10"/>
      <x:c r="I79" s="10"/>
      <x:c r="J79" s="10"/>
      <x:c r="K79" s="10"/>
      <x:c r="L79" s="10"/>
      <x:c r="M79" s="10"/>
      <x:c r="N79" s="10"/>
      <x:c r="O79" s="10"/>
      <x:c r="P79" s="10"/>
      <x:c r="Q79" s="10"/>
      <x:c r="R79" s="10"/>
      <x:c r="S79" s="10"/>
      <x:c r="T79" s="10"/>
      <x:c r="U79" s="10"/>
      <x:c r="V79" s="10"/>
      <x:c r="W79" s="10"/>
    </x:row>
    <x:row r="80" ht="17" customHeight="1">
      <x:c r="A80" s="1"/>
      <x:c r="B80" s="1"/>
      <x:c r="C80" s="1"/>
      <x:c r="D80" s="10"/>
      <x:c r="E80" s="10"/>
      <x:c r="F80" s="10"/>
      <x:c r="G80" s="10"/>
      <x:c r="H80" s="10"/>
      <x:c r="I80" s="10"/>
      <x:c r="J80" s="10"/>
      <x:c r="K80" s="10"/>
      <x:c r="L80" s="10"/>
      <x:c r="M80" s="10"/>
      <x:c r="N80" s="10"/>
      <x:c r="O80" s="10"/>
      <x:c r="P80" s="10"/>
      <x:c r="Q80" s="10"/>
      <x:c r="R80" s="10"/>
      <x:c r="S80" s="10"/>
      <x:c r="T80" s="10"/>
      <x:c r="U80" s="10"/>
      <x:c r="V80" s="10"/>
      <x:c r="W80" s="10"/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2" hidden="0" customWidth="1"/>
    <x:col min="4" max="4" width="42" hidden="0" customWidth="1"/>
    <x:col min="5" max="5" width="42" hidden="0" customWidth="1"/>
    <x:col min="6" max="6" width="42" hidden="0" customWidth="1"/>
    <x:col min="7" max="7" width="85" hidden="0" customWidth="1"/>
    <x:col min="8" max="8" width="85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</x:cols>
  <x:sheetData>
    <x:row r="1" ht="17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17" customHeight="1">
      <x:c r="A2" s="1"/>
      <x:c r="B2" s="1"/>
      <x:c r="C2" s="2" t="str">
        <x:v>Coverage exceptions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</x:row>
    <x:row r="3" ht="17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</x:row>
    <x:row r="4" ht="17" customHeight="1">
      <x:c r="A4" s="1"/>
      <x:c r="B4" s="1"/>
      <x:c r="C4" s="1" t="str">
        <x:v>Partial explicit Red Alert coverage; no blanket all-covered or incremental-revenue claim.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17" customHeight="1">
      <x:c r="A5" s="1"/>
      <x:c r="B5" s="1"/>
      <x:c r="C5" s="29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17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15" hidden="0" customHeight="1">
      <x:c r="A7" s="1"/>
      <x:c r="B7" s="1"/>
      <x:c r="C7" s="20" t="str">
        <x:v>Product / program</x:v>
      </x:c>
      <x:c r="D7" s="20" t="str">
        <x:v>Coverage status</x:v>
      </x:c>
      <x:c r="E7" s="20" t="str">
        <x:v>Frozen model mapping</x:v>
      </x:c>
      <x:c r="F7" s="20" t="str">
        <x:v>Evidence status</x:v>
      </x:c>
      <x:c r="G7" s="20" t="str">
        <x:v>Financial interpretation</x:v>
      </x:c>
      <x:c r="H7" s="20" t="str">
        <x:v>Source</x:v>
      </x:c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</x:row>
    <x:row r="8" ht="24" hidden="0" customHeight="1">
      <x:c r="A8" s="1"/>
      <x:c r="B8" s="1"/>
      <x:c r="C8" s="23" t="str">
        <x:v>Functional Analysis</x:v>
      </x:c>
      <x:c r="D8" s="24" t="str">
        <x:v>explicit modeled hypothesis</x:v>
      </x:c>
      <x:c r="E8" s="24" t="str">
        <x:v>DOT-124, DOT-125</x:v>
      </x:c>
      <x:c r="F8" s="24" t="str">
        <x:v>Unvalidated reflection/entertainment; not scientific, medical or hiring assessment</x:v>
      </x:c>
      <x:c r="G8" s="24" t="str">
        <x:v>Personal license $19; facilitated reflection/export $99 are Dot assumptions, not approved prices or launch evidence.</x:v>
      </x:c>
      <x:c r="H8" s="24" t="str">
        <x:v>https://chatgpt.com/c/6ab8c3f7-d7d4-83ea-a177-731a3320268e?messageId=be92bab1-182a-4a49-ae42-01c459cf1f89</x:v>
      </x:c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</x:row>
    <x:row r="9" ht="24" hidden="0" customHeight="1">
      <x:c r="A9" s="1"/>
      <x:c r="B9" s="1"/>
      <x:c r="C9" s="23" t="str">
        <x:v>Independent candy game — HueHunch / ColorCircle provisional naming</x:v>
      </x:c>
      <x:c r="D9" s="24" t="str">
        <x:v>explicit modeled hypothesis</x:v>
      </x:c>
      <x:c r="E9" s="24" t="str">
        <x:v>DOT-126</x:v>
      </x:c>
      <x:c r="F9" s="24" t="str">
        <x:v>Private independent edition; name unresolved</x:v>
      </x:c>
      <x:c r="G9" s="24" t="str">
        <x:v>Primary chat says HueHunch; catalog says ColorCircle. Reconcile as one independent edition, not two incremental games. Skittles compatibility is a color profile, not a license. $4.99 is Dot assumption.</x:v>
      </x:c>
      <x:c r="H9" s="24" t="str">
        <x:v>https://chatgpt.com/c/6ab8c3f7-d7d4-83ea-a177-731a3320268e?messageId=707fc2bb-8e68-5269-b2ae-dc8bebf2c60d</x:v>
      </x:c>
      <x:c r="I9" s="10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</x:row>
    <x:row r="10" ht="24" hidden="0" customHeight="1">
      <x:c r="A10" s="1"/>
      <x:c r="B10" s="1"/>
      <x:c r="C10" s="23" t="str">
        <x:v>M&amp;M manufacturer-branded game/pitch</x:v>
      </x:c>
      <x:c r="D10" s="24" t="str">
        <x:v>explicit nonrevenue</x:v>
      </x:c>
      <x:c r="E10" s="24" t="str">
        <x:v>nonrevenue[9]</x:v>
      </x:c>
      <x:c r="F10" s="24" t="str">
        <x:v>Separate private manufacturer edition; no manufacturer agreement</x:v>
      </x:c>
      <x:c r="G10" s="24" t="str">
        <x:v>Manufacturer sale/lease/rent/license and ad/media-space routes are user-requested opportunities but not quantified or approved in frozen model. Remote play, community, bag tracking and ad serving were not delivered in reviewed chat.</x:v>
      </x:c>
      <x:c r="H10" s="24" t="str">
        <x:v>https://chatgpt.com/c/6ab8c3f7-d7d4-83ea-a177-731a3320268e?messageId=35805a4a-01b1-41c5-bf80-d64b362ed5f3</x:v>
      </x:c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</x:row>
    <x:row r="11" ht="15" hidden="0" customHeight="1">
      <x:c r="A11" s="1"/>
      <x:c r="B11" s="1"/>
      <x:c r="C11" s="23" t="str">
        <x:v>VraiSkill Red Alert production program</x:v>
      </x:c>
      <x:c r="D11" s="24" t="str">
        <x:v>explicit nonrevenue</x:v>
      </x:c>
      <x:c r="E11" s="24" t="str">
        <x:v>FIN-12, nonrevenue[3]</x:v>
      </x:c>
      <x:c r="F11" s="24" t="str">
        <x:v>Production/support lane only</x:v>
      </x:c>
      <x:c r="G11" s="24" t="str">
        <x:v>No incremental sale. Generic adult/teen sales pools DOT-054–056 do not establish title-level Red Alert economics.</x:v>
      </x:c>
      <x:c r="H11" s="24" t="str">
        <x:v>https://chatgpt.com/c/6ab4244d-1adc-83ea-a540-8e832bce784b?messageId=af89b43c-9ce2-4991-aefc-ca1c4c5242c4</x:v>
      </x:c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</x:row>
    <x:row r="12" ht="24" hidden="0" customHeight="1">
      <x:c r="A12" s="1"/>
      <x:c r="B12" s="1"/>
      <x:c r="C12" s="23" t="str">
        <x:v>VraiSkill teen Red Alert: Evidence Lab</x:v>
      </x:c>
      <x:c r="D12" s="24" t="str">
        <x:v>named template missing explicit catalog row</x:v>
      </x:c>
      <x:c r="E12" s="24" t="str">
        <x:v>FIN-12 program only; no title-specific driver</x:v>
      </x:c>
      <x:c r="F12" s="24" t="str">
        <x:v>Reusable sample format; distinct from regular T07/T09</x:v>
      </x:c>
      <x:c r="G12" s="24" t="str">
        <x:v>Do not call approved/released based on template preparation. Proposed future economics may fit DOT-056 but current map does not prove allocation.</x:v>
      </x:c>
      <x:c r="H12" s="24" t="str">
        <x:v>https://chatgpt.com/c/6ab4244d-1adc-83ea-a540-8e832bce784b?messageId=128ff581-5cd9-5f62-99b7-b974f314dda7</x:v>
      </x:c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</x:row>
    <x:row r="13" ht="24" hidden="0" customHeight="1">
      <x:c r="A13" s="1"/>
      <x:c r="B13" s="1"/>
      <x:c r="C13" s="23" t="str">
        <x:v>VraiSkill teen Red Alert: Language Studio</x:v>
      </x:c>
      <x:c r="D13" s="24" t="str">
        <x:v>named template missing explicit catalog row</x:v>
      </x:c>
      <x:c r="E13" s="24" t="str">
        <x:v>FIN-12 program only; no title-specific driver</x:v>
      </x:c>
      <x:c r="F13" s="24" t="str">
        <x:v>Reusable sample format; distinct from regular T07/T09</x:v>
      </x:c>
      <x:c r="G13" s="24" t="str">
        <x:v>Do not call approved/released based on template preparation. Proposed future economics may fit DOT-056 but current map does not prove allocation.</x:v>
      </x:c>
      <x:c r="H13" s="24" t="str">
        <x:v>https://chatgpt.com/c/6ab4244d-1adc-83ea-a540-8e832bce784b?messageId=128ff581-5cd9-5f62-99b7-b974f314dda7</x:v>
      </x:c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0"/>
      <x:c r="T13" s="10"/>
      <x:c r="U13" s="10"/>
      <x:c r="V13" s="10"/>
      <x:c r="W13" s="10"/>
    </x:row>
    <x:row r="14" ht="24" hidden="0" customHeight="1">
      <x:c r="A14" s="1"/>
      <x:c r="B14" s="1"/>
      <x:c r="C14" s="23" t="str">
        <x:v>ETV RED ALERT! — When the answer must stop</x:v>
      </x:c>
      <x:c r="D14" s="24" t="str">
        <x:v>named template missing explicit catalog row</x:v>
      </x:c>
      <x:c r="E14" s="24" t="str"/>
      <x:c r="F14" s="24" t="str">
        <x:v>Working interactive lesson in Sept29 record</x:v>
      </x:c>
      <x:c r="G14" s="24" t="str">
        <x:v>ETV ordinary20-course inventory is DOT-001/002; no evidence these3 templates are separate paid offers or included in those20. Historical readiness does not reverse later ETV public release.</x:v>
      </x:c>
      <x:c r="H14" s="24" t="str">
        <x:v>https://chatgpt.com/c/6ab524cd-2884-83e9-847f-8b44ab1a1a02?messageId=4a9740de-959e-5c78-ab3b-22fe90b97db7</x:v>
      </x:c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</x:row>
    <x:row r="15" ht="24" hidden="0" customHeight="1">
      <x:c r="A15" s="1"/>
      <x:c r="B15" s="1"/>
      <x:c r="C15" s="23" t="str">
        <x:v>ETV Signal-to-skill brief</x:v>
      </x:c>
      <x:c r="D15" s="24" t="str">
        <x:v>named template missing explicit catalog row</x:v>
      </x:c>
      <x:c r="E15" s="24" t="str"/>
      <x:c r="F15" s="24" t="str">
        <x:v>Template concept, not built in Sept29 record</x:v>
      </x:c>
      <x:c r="G15" s="24" t="str">
        <x:v>ETV ordinary20-course inventory is DOT-001/002; no evidence these3 templates are separate paid offers or included in those20. Historical readiness does not reverse later ETV public release.</x:v>
      </x:c>
      <x:c r="H15" s="24" t="str">
        <x:v>https://chatgpt.com/c/6ab524cd-2884-83e9-847f-8b44ab1a1a02?messageId=4a9740de-959e-5c78-ab3b-22fe90b97db7</x:v>
      </x:c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</x:row>
    <x:row r="16" ht="24" hidden="0" customHeight="1">
      <x:c r="A16" s="1"/>
      <x:c r="B16" s="1"/>
      <x:c r="C16" s="23" t="str">
        <x:v>ETV Intake decision lab</x:v>
      </x:c>
      <x:c r="D16" s="24" t="str">
        <x:v>named template missing explicit catalog row</x:v>
      </x:c>
      <x:c r="E16" s="24" t="str"/>
      <x:c r="F16" s="24" t="str">
        <x:v>Template concept, not built in Sept29 record</x:v>
      </x:c>
      <x:c r="G16" s="24" t="str">
        <x:v>ETV ordinary20-course inventory is DOT-001/002; no evidence these3 templates are separate paid offers or included in those20. Historical readiness does not reverse later ETV public release.</x:v>
      </x:c>
      <x:c r="H16" s="24" t="str">
        <x:v>https://chatgpt.com/c/6ab524cd-2884-83e9-847f-8b44ab1a1a02?messageId=4a9740de-959e-5c78-ab3b-22fe90b97db7</x:v>
      </x:c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</x:row>
    <x:row r="17" ht="24" hidden="0" customHeight="1">
      <x:c r="A17" s="1"/>
      <x:c r="B17" s="1"/>
      <x:c r="C17" s="23" t="str">
        <x:v>LavaLearning adult Red Alert rapid-demand program</x:v>
      </x:c>
      <x:c r="D17" s="24" t="str">
        <x:v>program not separately quantified</x:v>
      </x:c>
      <x:c r="E17" s="24" t="str">
        <x:v>DOT-046–051 related ordinary offers only</x:v>
      </x:c>
      <x:c r="F17" s="24" t="str">
        <x:v>Standing120-topic charter distinct from rapid-demand lane</x:v>
      </x:c>
      <x:c r="G17" s="24" t="str">
        <x:v>60 named TTME/LavaLearning mini-courses are mapped, but mini-course does not mean qualified Red Alert. No extra revenue justified from the label.</x:v>
      </x:c>
      <x:c r="H17" s="24" t="str">
        <x:v>https://chatgpt.com/c/6ab2c328-9204-83ea-969c-31c5395b21fd?messageId=7520d7fb-666a-55eb-aae9-f762946bd840</x:v>
      </x:c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</x:row>
    <x:row r="18" ht="24" hidden="0" customHeight="1">
      <x:c r="A18" s="1"/>
      <x:c r="B18" s="1"/>
      <x:c r="C18" s="23" t="str">
        <x:v>Turbo Tax–Made Easy! Red Alert screen: year-and-record readiness before2027filing</x:v>
      </x:c>
      <x:c r="D18" s="24" t="str">
        <x:v>screened opportunity; not qualified</x:v>
      </x:c>
      <x:c r="E18" s="24" t="str"/>
      <x:c r="F18" s="24" t="str">
        <x:v>Oct21 bounded screen32/100; no qualification</x:v>
      </x:c>
      <x:c r="G18" s="24" t="str">
        <x:v>Ordinary T01–T03 accepted-slate lessons are not RedAlerts. Threshold75 plus3 independent signals.</x:v>
      </x:c>
      <x:c r="H18" s="24" t="str">
        <x:v>ttme-readiness/release/TTME_Red_Alert_Screen_2026-10-21.md</x:v>
      </x:c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0"/>
      <x:c r="T18" s="10"/>
      <x:c r="U18" s="10"/>
      <x:c r="V18" s="10"/>
      <x:c r="W18" s="10"/>
    </x:row>
    <x:row r="19" ht="24" hidden="0" customHeight="1">
      <x:c r="A19" s="1"/>
      <x:c r="B19" s="1"/>
      <x:c r="C19" s="23" t="str">
        <x:v>Turbo Tax–Made Easy! Red Alert screen: verify unexpected tax-refund or debt messages</x:v>
      </x:c>
      <x:c r="D19" s="24" t="str">
        <x:v>screened opportunity; not qualified</x:v>
      </x:c>
      <x:c r="E19" s="24" t="str"/>
      <x:c r="F19" s="24" t="str">
        <x:v>Oct21 bounded screen29/100; no qualification</x:v>
      </x:c>
      <x:c r="G19" s="24" t="str">
        <x:v>Bounded screen only, not exhaustive search or proof no market demand.</x:v>
      </x:c>
      <x:c r="H19" s="24" t="str">
        <x:v>ttme-readiness/release/TTME_Red_Alert_Screen_2026-10-21.md</x:v>
      </x:c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10"/>
      <x:c r="U19" s="10"/>
      <x:c r="V19" s="10"/>
      <x:c r="W19" s="10"/>
    </x:row>
    <x:row r="20" ht="24" hidden="0" customHeight="1">
      <x:c r="A20" s="1"/>
      <x:c r="B20" s="1"/>
      <x:c r="C20" s="23" t="str">
        <x:v>LavaLearning Kids Red Alert program / four reported candidates</x:v>
      </x:c>
      <x:c r="D20" s="24" t="str">
        <x:v>coverage unresolved; no title-level mapping</x:v>
      </x:c>
      <x:c r="E20" s="24" t="str">
        <x:v>DOT-053 ordinary20-course pool only</x:v>
      </x:c>
      <x:c r="F20" s="24" t="str">
        <x:v>Four candidates reported in Design; names not recovered</x:v>
      </x:c>
      <x:c r="G20" s="24" t="str">
        <x:v>Cannot assert four candidates are included in20 catalog courses. Kids trigger80–100 and90% sourceconfidence is separate from adult threshold75. Private production does not establish clearance.</x:v>
      </x:c>
      <x:c r="H20" s="24" t="str">
        <x:v>https://chatgpt.com/c/6ab63f7c-6508-83ea-82af-2c5bd8e12369?messageId=cbbe896b-ab6a-5807-9bfa-8deb7faf287f</x:v>
      </x:c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0"/>
      <x:c r="T20" s="10"/>
      <x:c r="U20" s="10"/>
      <x:c r="V20" s="10"/>
      <x:c r="W20" s="10"/>
    </x:row>
    <x:row r="21" ht="24" hidden="0" customHeight="1">
      <x:c r="A21" s="1"/>
      <x:c r="B21" s="1"/>
      <x:c r="C21" s="23" t="str">
        <x:v>Embedded learning games: LavaLearning/VraiSkill</x:v>
      </x:c>
      <x:c r="D21" s="24" t="str">
        <x:v>bundled feature opportunities</x:v>
      </x:c>
      <x:c r="E21" s="24" t="str">
        <x:v>DOT-053–056 related host pools</x:v>
      </x:c>
      <x:c r="F21" s="24" t="str">
        <x:v>User-authorized exploration subject to process-owner approval</x:v>
      </x:c>
      <x:c r="G21" s="24" t="str">
        <x:v>No individually named standalone game beyond candy editions verified. Do not invent separate customers/revenue for course game mechanics.</x:v>
      </x:c>
      <x:c r="H21" s="24" t="str">
        <x:v>https://chatgpt.com/c/6ab8c3f7-d7d4-83ea-a177-731a3320268e?messageId=db6465e8-0784-4066-92b3-bd13593bb4b9</x:v>
      </x:c>
      <x:c r="I21" s="10"/>
      <x:c r="J21" s="10"/>
      <x:c r="K21" s="10"/>
      <x:c r="L21" s="10"/>
      <x:c r="M21" s="10"/>
      <x:c r="N21" s="10"/>
      <x:c r="O21" s="10"/>
      <x:c r="P21" s="10"/>
      <x:c r="Q21" s="10"/>
      <x:c r="R21" s="10"/>
      <x:c r="S21" s="10"/>
      <x:c r="T21" s="10"/>
      <x:c r="U21" s="10"/>
      <x:c r="V21" s="10"/>
      <x:c r="W21" s="10"/>
    </x:row>
    <x:row r="22" ht="24" hidden="0" customHeight="1">
      <x:c r="A22" s="1"/>
      <x:c r="B22" s="1"/>
      <x:c r="C22" s="23" t="str">
        <x:v>Model Life travel games / editorial-versus-commercial photo curation challenge</x:v>
      </x:c>
      <x:c r="D22" s="24" t="str">
        <x:v>feature opportunity; not standalone quantified</x:v>
      </x:c>
      <x:c r="E22" s="24" t="str">
        <x:v>DOT-058–062 host subscriptions; no game-specific driver</x:v>
      </x:c>
      <x:c r="F22" s="24" t="str">
        <x:v>Proposed embedded experience; process-owner approval required</x:v>
      </x:c>
      <x:c r="G22" s="24" t="str">
        <x:v>Existing15 authoring-only course modules and subscription features are not additive game revenue.</x:v>
      </x:c>
      <x:c r="H22" s="24" t="str">
        <x:v>https://chatgpt.com/c/6ab89a0b-6d7c-83ea-bb4f-d483ea284f2a?messageId=08b0c782-e086-5fda-b1b9-d47c3cfba731</x:v>
      </x:c>
      <x:c r="I22" s="10"/>
      <x:c r="J22" s="10"/>
      <x:c r="K22" s="10"/>
      <x:c r="L22" s="10"/>
      <x:c r="M22" s="10"/>
      <x:c r="N22" s="10"/>
      <x:c r="O22" s="10"/>
      <x:c r="P22" s="10"/>
      <x:c r="Q22" s="10"/>
      <x:c r="R22" s="10"/>
      <x:c r="S22" s="10"/>
      <x:c r="T22" s="10"/>
      <x:c r="U22" s="10"/>
      <x:c r="V22" s="10"/>
      <x:c r="W22" s="10"/>
    </x:row>
    <x:row r="23" ht="24" hidden="0" customHeight="1">
      <x:c r="A23" s="1"/>
      <x:c r="B23" s="1"/>
      <x:c r="C23" s="23" t="str">
        <x:v>Learn_Anglais embedded games</x:v>
      </x:c>
      <x:c r="D23" s="24" t="str">
        <x:v>feature opportunity; not standalone quantified</x:v>
      </x:c>
      <x:c r="E23" s="24" t="str"/>
      <x:c r="F23" s="24" t="str">
        <x:v>Exploration authorized, subject to host owner; no named standalone game verified</x:v>
      </x:c>
      <x:c r="G23" s="24" t="str">
        <x:v>Host conversation-session revenue exists in model; no evidenced incremental game entitlement or price.</x:v>
      </x:c>
      <x:c r="H23" s="24" t="str">
        <x:v>https://chatgpt.com/c/6ab8c3f7-d7d4-83ea-a177-731a3320268e?messageId=db6465e8-0784-4066-92b3-bd13593bb4b9</x:v>
      </x:c>
      <x:c r="I23" s="10"/>
      <x:c r="J23" s="10"/>
      <x:c r="K23" s="10"/>
      <x:c r="L23" s="10"/>
      <x:c r="M23" s="10"/>
      <x:c r="N23" s="10"/>
      <x:c r="O23" s="10"/>
      <x:c r="P23" s="10"/>
      <x:c r="Q23" s="10"/>
      <x:c r="R23" s="10"/>
      <x:c r="S23" s="10"/>
      <x:c r="T23" s="10"/>
      <x:c r="U23" s="10"/>
      <x:c r="V23" s="10"/>
      <x:c r="W23" s="10"/>
    </x:row>
    <x:row r="24" ht="17" customHeight="1">
      <x:c r="A24" s="1"/>
      <x:c r="B24" s="1"/>
      <x:c r="C24" s="1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0"/>
    </x:row>
    <x:row r="25" ht="17" customHeight="1">
      <x:c r="A25" s="1"/>
      <x:c r="B25" s="1"/>
      <x:c r="C25" s="1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  <x:c r="T25" s="10"/>
      <x:c r="U25" s="10"/>
      <x:c r="V25" s="10"/>
      <x:c r="W25" s="10"/>
    </x:row>
    <x:row r="26" ht="17" customHeight="1">
      <x:c r="A26" s="1"/>
      <x:c r="B26" s="1"/>
      <x:c r="C26" s="1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0"/>
      <x:c r="T26" s="10"/>
      <x:c r="U26" s="10"/>
      <x:c r="V26" s="10"/>
      <x:c r="W26" s="10"/>
    </x:row>
    <x:row r="27" ht="17" customHeight="1">
      <x:c r="A27" s="1"/>
      <x:c r="B27" s="1"/>
      <x:c r="C27" s="1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0"/>
      <x:c r="T27" s="10"/>
      <x:c r="U27" s="10"/>
      <x:c r="V27" s="10"/>
      <x:c r="W27" s="10"/>
    </x:row>
    <x:row r="28" ht="17" customHeight="1">
      <x:c r="A28" s="1"/>
      <x:c r="B28" s="1"/>
      <x:c r="C28" s="1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10"/>
      <x:c r="O28" s="10"/>
      <x:c r="P28" s="10"/>
      <x:c r="Q28" s="10"/>
      <x:c r="R28" s="10"/>
      <x:c r="S28" s="10"/>
      <x:c r="T28" s="10"/>
      <x:c r="U28" s="10"/>
      <x:c r="V28" s="10"/>
      <x:c r="W28" s="10"/>
    </x:row>
    <x:row r="29" ht="17" customHeight="1">
      <x:c r="A29" s="1"/>
      <x:c r="B29" s="1"/>
      <x:c r="C29" s="1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10"/>
      <x:c r="O29" s="10"/>
      <x:c r="P29" s="10"/>
      <x:c r="Q29" s="10"/>
      <x:c r="R29" s="10"/>
      <x:c r="S29" s="10"/>
      <x:c r="T29" s="10"/>
      <x:c r="U29" s="10"/>
      <x:c r="V29" s="10"/>
      <x:c r="W29" s="10"/>
    </x:row>
    <x:row r="30" ht="17" customHeight="1">
      <x:c r="A30" s="1"/>
      <x:c r="B30" s="1"/>
      <x:c r="C30" s="1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10"/>
      <x:c r="O30" s="10"/>
      <x:c r="P30" s="10"/>
      <x:c r="Q30" s="10"/>
      <x:c r="R30" s="10"/>
      <x:c r="S30" s="10"/>
      <x:c r="T30" s="10"/>
      <x:c r="U30" s="10"/>
      <x:c r="V30" s="10"/>
      <x:c r="W30" s="10"/>
    </x:row>
    <x:row r="31" ht="17" customHeight="1">
      <x:c r="A31" s="1"/>
      <x:c r="B31" s="1"/>
      <x:c r="C31" s="1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  <x:c r="O31" s="10"/>
      <x:c r="P31" s="10"/>
      <x:c r="Q31" s="10"/>
      <x:c r="R31" s="10"/>
      <x:c r="S31" s="10"/>
      <x:c r="T31" s="10"/>
      <x:c r="U31" s="10"/>
      <x:c r="V31" s="10"/>
      <x:c r="W31" s="10"/>
    </x:row>
    <x:row r="32" ht="17" customHeight="1">
      <x:c r="A32" s="1"/>
      <x:c r="B32" s="1"/>
      <x:c r="C32" s="1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10"/>
      <x:c r="O32" s="10"/>
      <x:c r="P32" s="10"/>
      <x:c r="Q32" s="10"/>
      <x:c r="R32" s="10"/>
      <x:c r="S32" s="10"/>
      <x:c r="T32" s="10"/>
      <x:c r="U32" s="10"/>
      <x:c r="V32" s="10"/>
      <x:c r="W32" s="10"/>
    </x:row>
    <x:row r="33" ht="17" customHeight="1">
      <x:c r="A33" s="1"/>
      <x:c r="B33" s="1"/>
      <x:c r="C33" s="1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10"/>
      <x:c r="O33" s="10"/>
      <x:c r="P33" s="10"/>
      <x:c r="Q33" s="10"/>
      <x:c r="R33" s="10"/>
      <x:c r="S33" s="10"/>
      <x:c r="T33" s="10"/>
      <x:c r="U33" s="10"/>
      <x:c r="V33" s="10"/>
      <x:c r="W33" s="10"/>
    </x:row>
    <x:row r="34" ht="17" customHeight="1">
      <x:c r="A34" s="1"/>
      <x:c r="B34" s="1"/>
      <x:c r="C34" s="1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10"/>
      <x:c r="O34" s="10"/>
      <x:c r="P34" s="10"/>
      <x:c r="Q34" s="10"/>
      <x:c r="R34" s="10"/>
      <x:c r="S34" s="10"/>
      <x:c r="T34" s="10"/>
      <x:c r="U34" s="10"/>
      <x:c r="V34" s="10"/>
      <x:c r="W34" s="10"/>
    </x:row>
    <x:row r="35" ht="17" customHeight="1">
      <x:c r="A35" s="1"/>
      <x:c r="B35" s="1"/>
      <x:c r="C35" s="1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10"/>
      <x:c r="O35" s="10"/>
      <x:c r="P35" s="10"/>
      <x:c r="Q35" s="10"/>
      <x:c r="R35" s="10"/>
      <x:c r="S35" s="10"/>
      <x:c r="T35" s="10"/>
      <x:c r="U35" s="10"/>
      <x:c r="V35" s="10"/>
      <x:c r="W35" s="10"/>
    </x:row>
    <x:row r="36" ht="17" customHeight="1">
      <x:c r="A36" s="1"/>
      <x:c r="B36" s="1"/>
      <x:c r="C36" s="1"/>
      <x:c r="D36" s="10"/>
      <x:c r="E36" s="10"/>
      <x:c r="F36" s="10"/>
      <x:c r="G36" s="10"/>
      <x:c r="H36" s="10"/>
      <x:c r="I36" s="10"/>
      <x:c r="J36" s="10"/>
      <x:c r="K36" s="10"/>
      <x:c r="L36" s="10"/>
      <x:c r="M36" s="10"/>
      <x:c r="N36" s="10"/>
      <x:c r="O36" s="10"/>
      <x:c r="P36" s="10"/>
      <x:c r="Q36" s="10"/>
      <x:c r="R36" s="10"/>
      <x:c r="S36" s="10"/>
      <x:c r="T36" s="10"/>
      <x:c r="U36" s="10"/>
      <x:c r="V36" s="10"/>
      <x:c r="W36" s="10"/>
    </x:row>
    <x:row r="37" ht="17" customHeight="1">
      <x:c r="A37" s="1"/>
      <x:c r="B37" s="1"/>
      <x:c r="C37" s="1"/>
      <x:c r="D37" s="10"/>
      <x:c r="E37" s="10"/>
      <x:c r="F37" s="10"/>
      <x:c r="G37" s="10"/>
      <x:c r="H37" s="10"/>
      <x:c r="I37" s="10"/>
      <x:c r="J37" s="10"/>
      <x:c r="K37" s="10"/>
      <x:c r="L37" s="10"/>
      <x:c r="M37" s="10"/>
      <x:c r="N37" s="10"/>
      <x:c r="O37" s="10"/>
      <x:c r="P37" s="10"/>
      <x:c r="Q37" s="10"/>
      <x:c r="R37" s="10"/>
      <x:c r="S37" s="10"/>
      <x:c r="T37" s="10"/>
      <x:c r="U37" s="10"/>
      <x:c r="V37" s="10"/>
      <x:c r="W37" s="10"/>
    </x:row>
    <x:row r="38" ht="17" customHeight="1">
      <x:c r="A38" s="1"/>
      <x:c r="B38" s="1"/>
      <x:c r="C38" s="1"/>
      <x:c r="D38" s="10"/>
      <x:c r="E38" s="10"/>
      <x:c r="F38" s="10"/>
      <x:c r="G38" s="10"/>
      <x:c r="H38" s="10"/>
      <x:c r="I38" s="10"/>
      <x:c r="J38" s="10"/>
      <x:c r="K38" s="10"/>
      <x:c r="L38" s="10"/>
      <x:c r="M38" s="10"/>
      <x:c r="N38" s="10"/>
      <x:c r="O38" s="10"/>
      <x:c r="P38" s="10"/>
      <x:c r="Q38" s="10"/>
      <x:c r="R38" s="10"/>
      <x:c r="S38" s="10"/>
      <x:c r="T38" s="10"/>
      <x:c r="U38" s="10"/>
      <x:c r="V38" s="10"/>
      <x:c r="W38" s="10"/>
    </x:row>
    <x:row r="39" ht="17" customHeight="1">
      <x:c r="A39" s="1"/>
      <x:c r="B39" s="1"/>
      <x:c r="C39" s="1"/>
      <x:c r="D39" s="10"/>
      <x:c r="E39" s="10"/>
      <x:c r="F39" s="10"/>
      <x:c r="G39" s="10"/>
      <x:c r="H39" s="10"/>
      <x:c r="I39" s="10"/>
      <x:c r="J39" s="10"/>
      <x:c r="K39" s="10"/>
      <x:c r="L39" s="10"/>
      <x:c r="M39" s="10"/>
      <x:c r="N39" s="10"/>
      <x:c r="O39" s="10"/>
      <x:c r="P39" s="10"/>
      <x:c r="Q39" s="10"/>
      <x:c r="R39" s="10"/>
      <x:c r="S39" s="10"/>
      <x:c r="T39" s="10"/>
      <x:c r="U39" s="10"/>
      <x:c r="V39" s="10"/>
      <x:c r="W39" s="10"/>
    </x:row>
    <x:row r="40" ht="17" customHeight="1">
      <x:c r="A40" s="1"/>
      <x:c r="B40" s="1"/>
      <x:c r="C40" s="1"/>
      <x:c r="D40" s="10"/>
      <x:c r="E40" s="10"/>
      <x:c r="F40" s="10"/>
      <x:c r="G40" s="10"/>
      <x:c r="H40" s="10"/>
      <x:c r="I40" s="10"/>
      <x:c r="J40" s="10"/>
      <x:c r="K40" s="10"/>
      <x:c r="L40" s="10"/>
      <x:c r="M40" s="10"/>
      <x:c r="N40" s="10"/>
      <x:c r="O40" s="10"/>
      <x:c r="P40" s="10"/>
      <x:c r="Q40" s="10"/>
      <x:c r="R40" s="10"/>
      <x:c r="S40" s="10"/>
      <x:c r="T40" s="10"/>
      <x:c r="U40" s="10"/>
      <x:c r="V40" s="10"/>
      <x:c r="W40" s="10"/>
    </x:row>
    <x:row r="41" ht="17" customHeight="1">
      <x:c r="A41" s="1"/>
      <x:c r="B41" s="1"/>
      <x:c r="C41" s="1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10"/>
      <x:c r="O41" s="10"/>
      <x:c r="P41" s="10"/>
      <x:c r="Q41" s="10"/>
      <x:c r="R41" s="10"/>
      <x:c r="S41" s="10"/>
      <x:c r="T41" s="10"/>
      <x:c r="U41" s="10"/>
      <x:c r="V41" s="10"/>
      <x:c r="W41" s="10"/>
    </x:row>
    <x:row r="42" ht="17" customHeight="1">
      <x:c r="A42" s="1"/>
      <x:c r="B42" s="1"/>
      <x:c r="C42" s="1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  <x:c r="O42" s="10"/>
      <x:c r="P42" s="10"/>
      <x:c r="Q42" s="10"/>
      <x:c r="R42" s="10"/>
      <x:c r="S42" s="10"/>
      <x:c r="T42" s="10"/>
      <x:c r="U42" s="10"/>
      <x:c r="V42" s="10"/>
      <x:c r="W42" s="10"/>
    </x:row>
    <x:row r="43" ht="17" customHeight="1">
      <x:c r="A43" s="1"/>
      <x:c r="B43" s="1"/>
      <x:c r="C43" s="1"/>
      <x:c r="D43" s="10"/>
      <x:c r="E43" s="10"/>
      <x:c r="F43" s="10"/>
      <x:c r="G43" s="10"/>
      <x:c r="H43" s="10"/>
      <x:c r="I43" s="10"/>
      <x:c r="J43" s="10"/>
      <x:c r="K43" s="10"/>
      <x:c r="L43" s="10"/>
      <x:c r="M43" s="10"/>
      <x:c r="N43" s="10"/>
      <x:c r="O43" s="10"/>
      <x:c r="P43" s="10"/>
      <x:c r="Q43" s="10"/>
      <x:c r="R43" s="10"/>
      <x:c r="S43" s="10"/>
      <x:c r="T43" s="10"/>
      <x:c r="U43" s="10"/>
      <x:c r="V43" s="10"/>
      <x:c r="W43" s="10"/>
    </x:row>
    <x:row r="44" ht="17" customHeight="1">
      <x:c r="A44" s="1"/>
      <x:c r="B44" s="1"/>
      <x:c r="C44" s="1"/>
      <x:c r="D44" s="10"/>
      <x:c r="E44" s="10"/>
      <x:c r="F44" s="10"/>
      <x:c r="G44" s="10"/>
      <x:c r="H44" s="10"/>
      <x:c r="I44" s="10"/>
      <x:c r="J44" s="10"/>
      <x:c r="K44" s="10"/>
      <x:c r="L44" s="10"/>
      <x:c r="M44" s="10"/>
      <x:c r="N44" s="10"/>
      <x:c r="O44" s="10"/>
      <x:c r="P44" s="10"/>
      <x:c r="Q44" s="10"/>
      <x:c r="R44" s="10"/>
      <x:c r="S44" s="10"/>
      <x:c r="T44" s="10"/>
      <x:c r="U44" s="10"/>
      <x:c r="V44" s="10"/>
      <x:c r="W44" s="10"/>
    </x:row>
    <x:row r="45" ht="17" customHeight="1">
      <x:c r="A45" s="1"/>
      <x:c r="B45" s="1"/>
      <x:c r="C45" s="1"/>
      <x:c r="D45" s="10"/>
      <x:c r="E45" s="10"/>
      <x:c r="F45" s="10"/>
      <x:c r="G45" s="10"/>
      <x:c r="H45" s="10"/>
      <x:c r="I45" s="10"/>
      <x:c r="J45" s="10"/>
      <x:c r="K45" s="10"/>
      <x:c r="L45" s="10"/>
      <x:c r="M45" s="10"/>
      <x:c r="N45" s="10"/>
      <x:c r="O45" s="10"/>
      <x:c r="P45" s="10"/>
      <x:c r="Q45" s="10"/>
      <x:c r="R45" s="10"/>
      <x:c r="S45" s="10"/>
      <x:c r="T45" s="10"/>
      <x:c r="U45" s="10"/>
      <x:c r="V45" s="10"/>
      <x:c r="W45" s="10"/>
    </x:row>
    <x:row r="46" ht="17" customHeight="1">
      <x:c r="A46" s="1"/>
      <x:c r="B46" s="1"/>
      <x:c r="C46" s="1"/>
      <x:c r="D46" s="10"/>
      <x:c r="E46" s="10"/>
      <x:c r="F46" s="10"/>
      <x:c r="G46" s="10"/>
      <x:c r="H46" s="10"/>
      <x:c r="I46" s="10"/>
      <x:c r="J46" s="10"/>
      <x:c r="K46" s="10"/>
      <x:c r="L46" s="10"/>
      <x:c r="M46" s="10"/>
      <x:c r="N46" s="10"/>
      <x:c r="O46" s="10"/>
      <x:c r="P46" s="10"/>
      <x:c r="Q46" s="10"/>
      <x:c r="R46" s="10"/>
      <x:c r="S46" s="10"/>
      <x:c r="T46" s="10"/>
      <x:c r="U46" s="10"/>
      <x:c r="V46" s="10"/>
      <x:c r="W46" s="10"/>
    </x:row>
    <x:row r="47" ht="17" customHeight="1">
      <x:c r="A47" s="1"/>
      <x:c r="B47" s="1"/>
      <x:c r="C47" s="1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  <x:c r="N47" s="10"/>
      <x:c r="O47" s="10"/>
      <x:c r="P47" s="10"/>
      <x:c r="Q47" s="10"/>
      <x:c r="R47" s="10"/>
      <x:c r="S47" s="10"/>
      <x:c r="T47" s="10"/>
      <x:c r="U47" s="10"/>
      <x:c r="V47" s="10"/>
      <x:c r="W47" s="10"/>
    </x:row>
    <x:row r="48" ht="17" customHeight="1">
      <x:c r="A48" s="1"/>
      <x:c r="B48" s="1"/>
      <x:c r="C48" s="1"/>
      <x:c r="D48" s="10"/>
      <x:c r="E48" s="10"/>
      <x:c r="F48" s="10"/>
      <x:c r="G48" s="10"/>
      <x:c r="H48" s="10"/>
      <x:c r="I48" s="10"/>
      <x:c r="J48" s="10"/>
      <x:c r="K48" s="10"/>
      <x:c r="L48" s="10"/>
      <x:c r="M48" s="10"/>
      <x:c r="N48" s="10"/>
      <x:c r="O48" s="10"/>
      <x:c r="P48" s="10"/>
      <x:c r="Q48" s="10"/>
      <x:c r="R48" s="10"/>
      <x:c r="S48" s="10"/>
      <x:c r="T48" s="10"/>
      <x:c r="U48" s="10"/>
      <x:c r="V48" s="10"/>
      <x:c r="W48" s="10"/>
    </x:row>
    <x:row r="49" ht="17" customHeight="1">
      <x:c r="A49" s="1"/>
      <x:c r="B49" s="1"/>
      <x:c r="C49" s="1"/>
      <x:c r="D49" s="10"/>
      <x:c r="E49" s="10"/>
      <x:c r="F49" s="10"/>
      <x:c r="G49" s="10"/>
      <x:c r="H49" s="10"/>
      <x:c r="I49" s="10"/>
      <x:c r="J49" s="10"/>
      <x:c r="K49" s="10"/>
      <x:c r="L49" s="10"/>
      <x:c r="M49" s="10"/>
      <x:c r="N49" s="10"/>
      <x:c r="O49" s="10"/>
      <x:c r="P49" s="10"/>
      <x:c r="Q49" s="10"/>
      <x:c r="R49" s="10"/>
      <x:c r="S49" s="10"/>
      <x:c r="T49" s="10"/>
      <x:c r="U49" s="10"/>
      <x:c r="V49" s="10"/>
      <x:c r="W49" s="10"/>
    </x:row>
    <x:row r="50" ht="17" customHeight="1">
      <x:c r="A50" s="1"/>
      <x:c r="B50" s="1"/>
      <x:c r="C50" s="1"/>
      <x:c r="D50" s="10"/>
      <x:c r="E50" s="10"/>
      <x:c r="F50" s="10"/>
      <x:c r="G50" s="10"/>
      <x:c r="H50" s="10"/>
      <x:c r="I50" s="10"/>
      <x:c r="J50" s="10"/>
      <x:c r="K50" s="10"/>
      <x:c r="L50" s="10"/>
      <x:c r="M50" s="10"/>
      <x:c r="N50" s="10"/>
      <x:c r="O50" s="10"/>
      <x:c r="P50" s="10"/>
      <x:c r="Q50" s="10"/>
      <x:c r="R50" s="10"/>
      <x:c r="S50" s="10"/>
      <x:c r="T50" s="10"/>
      <x:c r="U50" s="10"/>
      <x:c r="V50" s="10"/>
      <x:c r="W50" s="10"/>
    </x:row>
    <x:row r="51" ht="17" customHeight="1">
      <x:c r="A51" s="1"/>
      <x:c r="B51" s="1"/>
      <x:c r="C51" s="1"/>
      <x:c r="D51" s="10"/>
      <x:c r="E51" s="10"/>
      <x:c r="F51" s="10"/>
      <x:c r="G51" s="10"/>
      <x:c r="H51" s="10"/>
      <x:c r="I51" s="10"/>
      <x:c r="J51" s="10"/>
      <x:c r="K51" s="10"/>
      <x:c r="L51" s="10"/>
      <x:c r="M51" s="10"/>
      <x:c r="N51" s="10"/>
      <x:c r="O51" s="10"/>
      <x:c r="P51" s="10"/>
      <x:c r="Q51" s="10"/>
      <x:c r="R51" s="10"/>
      <x:c r="S51" s="10"/>
      <x:c r="T51" s="10"/>
      <x:c r="U51" s="10"/>
      <x:c r="V51" s="10"/>
      <x:c r="W51" s="10"/>
    </x:row>
    <x:row r="52" ht="17" customHeight="1">
      <x:c r="A52" s="1"/>
      <x:c r="B52" s="1"/>
      <x:c r="C52" s="1"/>
      <x:c r="D52" s="10"/>
      <x:c r="E52" s="10"/>
      <x:c r="F52" s="10"/>
      <x:c r="G52" s="10"/>
      <x:c r="H52" s="10"/>
      <x:c r="I52" s="10"/>
      <x:c r="J52" s="10"/>
      <x:c r="K52" s="10"/>
      <x:c r="L52" s="10"/>
      <x:c r="M52" s="10"/>
      <x:c r="N52" s="10"/>
      <x:c r="O52" s="10"/>
      <x:c r="P52" s="10"/>
      <x:c r="Q52" s="10"/>
      <x:c r="R52" s="10"/>
      <x:c r="S52" s="10"/>
      <x:c r="T52" s="10"/>
      <x:c r="U52" s="10"/>
      <x:c r="V52" s="10"/>
      <x:c r="W52" s="10"/>
    </x:row>
    <x:row r="53" ht="17" customHeight="1">
      <x:c r="A53" s="1"/>
      <x:c r="B53" s="1"/>
      <x:c r="C53" s="1"/>
      <x:c r="D53" s="10"/>
      <x:c r="E53" s="10"/>
      <x:c r="F53" s="10"/>
      <x:c r="G53" s="10"/>
      <x:c r="H53" s="10"/>
      <x:c r="I53" s="10"/>
      <x:c r="J53" s="10"/>
      <x:c r="K53" s="10"/>
      <x:c r="L53" s="10"/>
      <x:c r="M53" s="10"/>
      <x:c r="N53" s="10"/>
      <x:c r="O53" s="10"/>
      <x:c r="P53" s="10"/>
      <x:c r="Q53" s="10"/>
      <x:c r="R53" s="10"/>
      <x:c r="S53" s="10"/>
      <x:c r="T53" s="10"/>
      <x:c r="U53" s="10"/>
      <x:c r="V53" s="10"/>
      <x:c r="W53" s="10"/>
    </x:row>
    <x:row r="54" ht="17" customHeight="1">
      <x:c r="A54" s="1"/>
      <x:c r="B54" s="1"/>
      <x:c r="C54" s="1"/>
      <x:c r="D54" s="10"/>
      <x:c r="E54" s="10"/>
      <x:c r="F54" s="10"/>
      <x:c r="G54" s="10"/>
      <x:c r="H54" s="10"/>
      <x:c r="I54" s="10"/>
      <x:c r="J54" s="10"/>
      <x:c r="K54" s="10"/>
      <x:c r="L54" s="10"/>
      <x:c r="M54" s="10"/>
      <x:c r="N54" s="10"/>
      <x:c r="O54" s="10"/>
      <x:c r="P54" s="10"/>
      <x:c r="Q54" s="10"/>
      <x:c r="R54" s="10"/>
      <x:c r="S54" s="10"/>
      <x:c r="T54" s="10"/>
      <x:c r="U54" s="10"/>
      <x:c r="V54" s="10"/>
      <x:c r="W54" s="10"/>
    </x:row>
    <x:row r="55" ht="17" customHeight="1">
      <x:c r="A55" s="1"/>
      <x:c r="B55" s="1"/>
      <x:c r="C55" s="1"/>
      <x:c r="D55" s="10"/>
      <x:c r="E55" s="10"/>
      <x:c r="F55" s="10"/>
      <x:c r="G55" s="10"/>
      <x:c r="H55" s="10"/>
      <x:c r="I55" s="10"/>
      <x:c r="J55" s="10"/>
      <x:c r="K55" s="10"/>
      <x:c r="L55" s="10"/>
      <x:c r="M55" s="10"/>
      <x:c r="N55" s="10"/>
      <x:c r="O55" s="10"/>
      <x:c r="P55" s="10"/>
      <x:c r="Q55" s="10"/>
      <x:c r="R55" s="10"/>
      <x:c r="S55" s="10"/>
      <x:c r="T55" s="10"/>
      <x:c r="U55" s="10"/>
      <x:c r="V55" s="10"/>
      <x:c r="W55" s="10"/>
    </x:row>
    <x:row r="56" ht="17" customHeight="1">
      <x:c r="A56" s="1"/>
      <x:c r="B56" s="1"/>
      <x:c r="C56" s="1"/>
      <x:c r="D56" s="10"/>
      <x:c r="E56" s="10"/>
      <x:c r="F56" s="10"/>
      <x:c r="G56" s="10"/>
      <x:c r="H56" s="10"/>
      <x:c r="I56" s="10"/>
      <x:c r="J56" s="10"/>
      <x:c r="K56" s="10"/>
      <x:c r="L56" s="10"/>
      <x:c r="M56" s="10"/>
      <x:c r="N56" s="10"/>
      <x:c r="O56" s="10"/>
      <x:c r="P56" s="10"/>
      <x:c r="Q56" s="10"/>
      <x:c r="R56" s="10"/>
      <x:c r="S56" s="10"/>
      <x:c r="T56" s="10"/>
      <x:c r="U56" s="10"/>
      <x:c r="V56" s="10"/>
      <x:c r="W56" s="10"/>
    </x:row>
    <x:row r="57" ht="17" customHeight="1">
      <x:c r="A57" s="1"/>
      <x:c r="B57" s="1"/>
      <x:c r="C57" s="1"/>
      <x:c r="D57" s="10"/>
      <x:c r="E57" s="10"/>
      <x:c r="F57" s="10"/>
      <x:c r="G57" s="10"/>
      <x:c r="H57" s="10"/>
      <x:c r="I57" s="10"/>
      <x:c r="J57" s="10"/>
      <x:c r="K57" s="10"/>
      <x:c r="L57" s="10"/>
      <x:c r="M57" s="10"/>
      <x:c r="N57" s="10"/>
      <x:c r="O57" s="10"/>
      <x:c r="P57" s="10"/>
      <x:c r="Q57" s="10"/>
      <x:c r="R57" s="10"/>
      <x:c r="S57" s="10"/>
      <x:c r="T57" s="10"/>
      <x:c r="U57" s="10"/>
      <x:c r="V57" s="10"/>
      <x:c r="W57" s="10"/>
    </x:row>
    <x:row r="58" ht="17" customHeight="1">
      <x:c r="A58" s="1"/>
      <x:c r="B58" s="1"/>
      <x:c r="C58" s="1"/>
      <x:c r="D58" s="10"/>
      <x:c r="E58" s="10"/>
      <x:c r="F58" s="10"/>
      <x:c r="G58" s="10"/>
      <x:c r="H58" s="10"/>
      <x:c r="I58" s="10"/>
      <x:c r="J58" s="10"/>
      <x:c r="K58" s="10"/>
      <x:c r="L58" s="10"/>
      <x:c r="M58" s="10"/>
      <x:c r="N58" s="10"/>
      <x:c r="O58" s="10"/>
      <x:c r="P58" s="10"/>
      <x:c r="Q58" s="10"/>
      <x:c r="R58" s="10"/>
      <x:c r="S58" s="10"/>
      <x:c r="T58" s="10"/>
      <x:c r="U58" s="10"/>
      <x:c r="V58" s="10"/>
      <x:c r="W58" s="10"/>
    </x:row>
    <x:row r="59" ht="17" customHeight="1">
      <x:c r="A59" s="1"/>
      <x:c r="B59" s="1"/>
      <x:c r="C59" s="1"/>
      <x:c r="D59" s="10"/>
      <x:c r="E59" s="10"/>
      <x:c r="F59" s="10"/>
      <x:c r="G59" s="10"/>
      <x:c r="H59" s="10"/>
      <x:c r="I59" s="10"/>
      <x:c r="J59" s="10"/>
      <x:c r="K59" s="10"/>
      <x:c r="L59" s="10"/>
      <x:c r="M59" s="10"/>
      <x:c r="N59" s="10"/>
      <x:c r="O59" s="10"/>
      <x:c r="P59" s="10"/>
      <x:c r="Q59" s="10"/>
      <x:c r="R59" s="10"/>
      <x:c r="S59" s="10"/>
      <x:c r="T59" s="10"/>
      <x:c r="U59" s="10"/>
      <x:c r="V59" s="10"/>
      <x:c r="W59" s="10"/>
    </x:row>
    <x:row r="60" ht="17" customHeight="1">
      <x:c r="A60" s="1"/>
      <x:c r="B60" s="1"/>
      <x:c r="C60" s="1"/>
      <x:c r="D60" s="10"/>
      <x:c r="E60" s="10"/>
      <x:c r="F60" s="10"/>
      <x:c r="G60" s="10"/>
      <x:c r="H60" s="10"/>
      <x:c r="I60" s="10"/>
      <x:c r="J60" s="10"/>
      <x:c r="K60" s="10"/>
      <x:c r="L60" s="10"/>
      <x:c r="M60" s="10"/>
      <x:c r="N60" s="10"/>
      <x:c r="O60" s="10"/>
      <x:c r="P60" s="10"/>
      <x:c r="Q60" s="10"/>
      <x:c r="R60" s="10"/>
      <x:c r="S60" s="10"/>
      <x:c r="T60" s="10"/>
      <x:c r="U60" s="10"/>
      <x:c r="V60" s="10"/>
      <x:c r="W60" s="10"/>
    </x:row>
    <x:row r="61" ht="17" customHeight="1">
      <x:c r="A61" s="1"/>
      <x:c r="B61" s="1"/>
      <x:c r="C61" s="1"/>
      <x:c r="D61" s="10"/>
      <x:c r="E61" s="10"/>
      <x:c r="F61" s="10"/>
      <x:c r="G61" s="10"/>
      <x:c r="H61" s="10"/>
      <x:c r="I61" s="10"/>
      <x:c r="J61" s="10"/>
      <x:c r="K61" s="10"/>
      <x:c r="L61" s="10"/>
      <x:c r="M61" s="10"/>
      <x:c r="N61" s="10"/>
      <x:c r="O61" s="10"/>
      <x:c r="P61" s="10"/>
      <x:c r="Q61" s="10"/>
      <x:c r="R61" s="10"/>
      <x:c r="S61" s="10"/>
      <x:c r="T61" s="10"/>
      <x:c r="U61" s="10"/>
      <x:c r="V61" s="10"/>
      <x:c r="W61" s="10"/>
    </x:row>
    <x:row r="62" ht="17" customHeight="1">
      <x:c r="A62" s="1"/>
      <x:c r="B62" s="1"/>
      <x:c r="C62" s="1"/>
      <x:c r="D62" s="10"/>
      <x:c r="E62" s="10"/>
      <x:c r="F62" s="10"/>
      <x:c r="G62" s="10"/>
      <x:c r="H62" s="10"/>
      <x:c r="I62" s="10"/>
      <x:c r="J62" s="10"/>
      <x:c r="K62" s="10"/>
      <x:c r="L62" s="10"/>
      <x:c r="M62" s="10"/>
      <x:c r="N62" s="10"/>
      <x:c r="O62" s="10"/>
      <x:c r="P62" s="10"/>
      <x:c r="Q62" s="10"/>
      <x:c r="R62" s="10"/>
      <x:c r="S62" s="10"/>
      <x:c r="T62" s="10"/>
      <x:c r="U62" s="10"/>
      <x:c r="V62" s="10"/>
      <x:c r="W62" s="10"/>
    </x:row>
    <x:row r="63" ht="17" customHeight="1">
      <x:c r="A63" s="1"/>
      <x:c r="B63" s="1"/>
      <x:c r="C63" s="1"/>
      <x:c r="D63" s="10"/>
      <x:c r="E63" s="10"/>
      <x:c r="F63" s="10"/>
      <x:c r="G63" s="10"/>
      <x:c r="H63" s="10"/>
      <x:c r="I63" s="10"/>
      <x:c r="J63" s="10"/>
      <x:c r="K63" s="10"/>
      <x:c r="L63" s="10"/>
      <x:c r="M63" s="10"/>
      <x:c r="N63" s="10"/>
      <x:c r="O63" s="10"/>
      <x:c r="P63" s="10"/>
      <x:c r="Q63" s="10"/>
      <x:c r="R63" s="10"/>
      <x:c r="S63" s="10"/>
      <x:c r="T63" s="10"/>
      <x:c r="U63" s="10"/>
      <x:c r="V63" s="10"/>
      <x:c r="W63" s="10"/>
    </x:row>
    <x:row r="64" ht="17" customHeight="1">
      <x:c r="A64" s="1"/>
      <x:c r="B64" s="1"/>
      <x:c r="C64" s="1"/>
      <x:c r="D64" s="10"/>
      <x:c r="E64" s="10"/>
      <x:c r="F64" s="10"/>
      <x:c r="G64" s="10"/>
      <x:c r="H64" s="10"/>
      <x:c r="I64" s="10"/>
      <x:c r="J64" s="10"/>
      <x:c r="K64" s="10"/>
      <x:c r="L64" s="10"/>
      <x:c r="M64" s="10"/>
      <x:c r="N64" s="10"/>
      <x:c r="O64" s="10"/>
      <x:c r="P64" s="10"/>
      <x:c r="Q64" s="10"/>
      <x:c r="R64" s="10"/>
      <x:c r="S64" s="10"/>
      <x:c r="T64" s="10"/>
      <x:c r="U64" s="10"/>
      <x:c r="V64" s="10"/>
      <x:c r="W64" s="10"/>
    </x:row>
    <x:row r="65" ht="17" customHeight="1">
      <x:c r="A65" s="1"/>
      <x:c r="B65" s="1"/>
      <x:c r="C65" s="1"/>
      <x:c r="D65" s="10"/>
      <x:c r="E65" s="10"/>
      <x:c r="F65" s="10"/>
      <x:c r="G65" s="10"/>
      <x:c r="H65" s="10"/>
      <x:c r="I65" s="10"/>
      <x:c r="J65" s="10"/>
      <x:c r="K65" s="10"/>
      <x:c r="L65" s="10"/>
      <x:c r="M65" s="10"/>
      <x:c r="N65" s="10"/>
      <x:c r="O65" s="10"/>
      <x:c r="P65" s="10"/>
      <x:c r="Q65" s="10"/>
      <x:c r="R65" s="10"/>
      <x:c r="S65" s="10"/>
      <x:c r="T65" s="10"/>
      <x:c r="U65" s="10"/>
      <x:c r="V65" s="10"/>
      <x:c r="W65" s="10"/>
    </x:row>
    <x:row r="66" ht="17" customHeight="1">
      <x:c r="A66" s="1"/>
      <x:c r="B66" s="1"/>
      <x:c r="C66" s="1"/>
      <x:c r="D66" s="10"/>
      <x:c r="E66" s="10"/>
      <x:c r="F66" s="10"/>
      <x:c r="G66" s="10"/>
      <x:c r="H66" s="10"/>
      <x:c r="I66" s="10"/>
      <x:c r="J66" s="10"/>
      <x:c r="K66" s="10"/>
      <x:c r="L66" s="10"/>
      <x:c r="M66" s="10"/>
      <x:c r="N66" s="10"/>
      <x:c r="O66" s="10"/>
      <x:c r="P66" s="10"/>
      <x:c r="Q66" s="10"/>
      <x:c r="R66" s="10"/>
      <x:c r="S66" s="10"/>
      <x:c r="T66" s="10"/>
      <x:c r="U66" s="10"/>
      <x:c r="V66" s="10"/>
      <x:c r="W66" s="10"/>
    </x:row>
    <x:row r="67" ht="17" customHeight="1">
      <x:c r="A67" s="1"/>
      <x:c r="B67" s="1"/>
      <x:c r="C67" s="1"/>
      <x:c r="D67" s="10"/>
      <x:c r="E67" s="10"/>
      <x:c r="F67" s="10"/>
      <x:c r="G67" s="10"/>
      <x:c r="H67" s="10"/>
      <x:c r="I67" s="10"/>
      <x:c r="J67" s="10"/>
      <x:c r="K67" s="10"/>
      <x:c r="L67" s="10"/>
      <x:c r="M67" s="10"/>
      <x:c r="N67" s="10"/>
      <x:c r="O67" s="10"/>
      <x:c r="P67" s="10"/>
      <x:c r="Q67" s="10"/>
      <x:c r="R67" s="10"/>
      <x:c r="S67" s="10"/>
      <x:c r="T67" s="10"/>
      <x:c r="U67" s="10"/>
      <x:c r="V67" s="10"/>
      <x:c r="W67" s="10"/>
    </x:row>
    <x:row r="68" ht="17" customHeight="1">
      <x:c r="A68" s="1"/>
      <x:c r="B68" s="1"/>
      <x:c r="C68" s="1"/>
      <x:c r="D68" s="10"/>
      <x:c r="E68" s="10"/>
      <x:c r="F68" s="10"/>
      <x:c r="G68" s="10"/>
      <x:c r="H68" s="10"/>
      <x:c r="I68" s="10"/>
      <x:c r="J68" s="10"/>
      <x:c r="K68" s="10"/>
      <x:c r="L68" s="10"/>
      <x:c r="M68" s="10"/>
      <x:c r="N68" s="10"/>
      <x:c r="O68" s="10"/>
      <x:c r="P68" s="10"/>
      <x:c r="Q68" s="10"/>
      <x:c r="R68" s="10"/>
      <x:c r="S68" s="10"/>
      <x:c r="T68" s="10"/>
      <x:c r="U68" s="10"/>
      <x:c r="V68" s="10"/>
      <x:c r="W68" s="10"/>
    </x:row>
    <x:row r="69" ht="17" customHeight="1">
      <x:c r="A69" s="1"/>
      <x:c r="B69" s="1"/>
      <x:c r="C69" s="1"/>
      <x:c r="D69" s="10"/>
      <x:c r="E69" s="10"/>
      <x:c r="F69" s="10"/>
      <x:c r="G69" s="10"/>
      <x:c r="H69" s="10"/>
      <x:c r="I69" s="10"/>
      <x:c r="J69" s="10"/>
      <x:c r="K69" s="10"/>
      <x:c r="L69" s="10"/>
      <x:c r="M69" s="10"/>
      <x:c r="N69" s="10"/>
      <x:c r="O69" s="10"/>
      <x:c r="P69" s="10"/>
      <x:c r="Q69" s="10"/>
      <x:c r="R69" s="10"/>
      <x:c r="S69" s="10"/>
      <x:c r="T69" s="10"/>
      <x:c r="U69" s="10"/>
      <x:c r="V69" s="10"/>
      <x:c r="W69" s="10"/>
    </x:row>
    <x:row r="70" ht="17" customHeight="1">
      <x:c r="A70" s="1"/>
      <x:c r="B70" s="1"/>
      <x:c r="C70" s="1"/>
      <x:c r="D70" s="10"/>
      <x:c r="E70" s="10"/>
      <x:c r="F70" s="10"/>
      <x:c r="G70" s="10"/>
      <x:c r="H70" s="10"/>
      <x:c r="I70" s="10"/>
      <x:c r="J70" s="10"/>
      <x:c r="K70" s="10"/>
      <x:c r="L70" s="10"/>
      <x:c r="M70" s="10"/>
      <x:c r="N70" s="10"/>
      <x:c r="O70" s="10"/>
      <x:c r="P70" s="10"/>
      <x:c r="Q70" s="10"/>
      <x:c r="R70" s="10"/>
      <x:c r="S70" s="10"/>
      <x:c r="T70" s="10"/>
      <x:c r="U70" s="10"/>
      <x:c r="V70" s="10"/>
      <x:c r="W70" s="10"/>
    </x:row>
    <x:row r="71" ht="17" customHeight="1">
      <x:c r="A71" s="1"/>
      <x:c r="B71" s="1"/>
      <x:c r="C71" s="1"/>
      <x:c r="D71" s="10"/>
      <x:c r="E71" s="10"/>
      <x:c r="F71" s="10"/>
      <x:c r="G71" s="10"/>
      <x:c r="H71" s="10"/>
      <x:c r="I71" s="10"/>
      <x:c r="J71" s="10"/>
      <x:c r="K71" s="10"/>
      <x:c r="L71" s="10"/>
      <x:c r="M71" s="10"/>
      <x:c r="N71" s="10"/>
      <x:c r="O71" s="10"/>
      <x:c r="P71" s="10"/>
      <x:c r="Q71" s="10"/>
      <x:c r="R71" s="10"/>
      <x:c r="S71" s="10"/>
      <x:c r="T71" s="10"/>
      <x:c r="U71" s="10"/>
      <x:c r="V71" s="10"/>
      <x:c r="W71" s="10"/>
    </x:row>
    <x:row r="72" ht="17" customHeight="1">
      <x:c r="A72" s="1"/>
      <x:c r="B72" s="1"/>
      <x:c r="C72" s="1"/>
      <x:c r="D72" s="10"/>
      <x:c r="E72" s="10"/>
      <x:c r="F72" s="10"/>
      <x:c r="G72" s="10"/>
      <x:c r="H72" s="10"/>
      <x:c r="I72" s="10"/>
      <x:c r="J72" s="10"/>
      <x:c r="K72" s="10"/>
      <x:c r="L72" s="10"/>
      <x:c r="M72" s="10"/>
      <x:c r="N72" s="10"/>
      <x:c r="O72" s="10"/>
      <x:c r="P72" s="10"/>
      <x:c r="Q72" s="10"/>
      <x:c r="R72" s="10"/>
      <x:c r="S72" s="10"/>
      <x:c r="T72" s="10"/>
      <x:c r="U72" s="10"/>
      <x:c r="V72" s="10"/>
      <x:c r="W72" s="10"/>
    </x:row>
    <x:row r="73" ht="17" customHeight="1">
      <x:c r="A73" s="1"/>
      <x:c r="B73" s="1"/>
      <x:c r="C73" s="1"/>
      <x:c r="D73" s="10"/>
      <x:c r="E73" s="10"/>
      <x:c r="F73" s="10"/>
      <x:c r="G73" s="10"/>
      <x:c r="H73" s="10"/>
      <x:c r="I73" s="10"/>
      <x:c r="J73" s="10"/>
      <x:c r="K73" s="10"/>
      <x:c r="L73" s="10"/>
      <x:c r="M73" s="10"/>
      <x:c r="N73" s="10"/>
      <x:c r="O73" s="10"/>
      <x:c r="P73" s="10"/>
      <x:c r="Q73" s="10"/>
      <x:c r="R73" s="10"/>
      <x:c r="S73" s="10"/>
      <x:c r="T73" s="10"/>
      <x:c r="U73" s="10"/>
      <x:c r="V73" s="10"/>
      <x:c r="W73" s="10"/>
    </x:row>
    <x:row r="74" ht="17" customHeight="1">
      <x:c r="A74" s="1"/>
      <x:c r="B74" s="1"/>
      <x:c r="C74" s="1"/>
      <x:c r="D74" s="10"/>
      <x:c r="E74" s="10"/>
      <x:c r="F74" s="10"/>
      <x:c r="G74" s="10"/>
      <x:c r="H74" s="10"/>
      <x:c r="I74" s="10"/>
      <x:c r="J74" s="10"/>
      <x:c r="K74" s="10"/>
      <x:c r="L74" s="10"/>
      <x:c r="M74" s="10"/>
      <x:c r="N74" s="10"/>
      <x:c r="O74" s="10"/>
      <x:c r="P74" s="10"/>
      <x:c r="Q74" s="10"/>
      <x:c r="R74" s="10"/>
      <x:c r="S74" s="10"/>
      <x:c r="T74" s="10"/>
      <x:c r="U74" s="10"/>
      <x:c r="V74" s="10"/>
      <x:c r="W74" s="10"/>
    </x:row>
    <x:row r="75" ht="17" customHeight="1">
      <x:c r="A75" s="1"/>
      <x:c r="B75" s="1"/>
      <x:c r="C75" s="1"/>
      <x:c r="D75" s="10"/>
      <x:c r="E75" s="10"/>
      <x:c r="F75" s="10"/>
      <x:c r="G75" s="10"/>
      <x:c r="H75" s="10"/>
      <x:c r="I75" s="10"/>
      <x:c r="J75" s="10"/>
      <x:c r="K75" s="10"/>
      <x:c r="L75" s="10"/>
      <x:c r="M75" s="10"/>
      <x:c r="N75" s="10"/>
      <x:c r="O75" s="10"/>
      <x:c r="P75" s="10"/>
      <x:c r="Q75" s="10"/>
      <x:c r="R75" s="10"/>
      <x:c r="S75" s="10"/>
      <x:c r="T75" s="10"/>
      <x:c r="U75" s="10"/>
      <x:c r="V75" s="10"/>
      <x:c r="W75" s="10"/>
    </x:row>
    <x:row r="76" ht="17" customHeight="1">
      <x:c r="A76" s="1"/>
      <x:c r="B76" s="1"/>
      <x:c r="C76" s="1"/>
      <x:c r="D76" s="10"/>
      <x:c r="E76" s="10"/>
      <x:c r="F76" s="10"/>
      <x:c r="G76" s="10"/>
      <x:c r="H76" s="10"/>
      <x:c r="I76" s="10"/>
      <x:c r="J76" s="10"/>
      <x:c r="K76" s="10"/>
      <x:c r="L76" s="10"/>
      <x:c r="M76" s="10"/>
      <x:c r="N76" s="10"/>
      <x:c r="O76" s="10"/>
      <x:c r="P76" s="10"/>
      <x:c r="Q76" s="10"/>
      <x:c r="R76" s="10"/>
      <x:c r="S76" s="10"/>
      <x:c r="T76" s="10"/>
      <x:c r="U76" s="10"/>
      <x:c r="V76" s="10"/>
      <x:c r="W76" s="10"/>
    </x:row>
    <x:row r="77" ht="17" customHeight="1">
      <x:c r="A77" s="1"/>
      <x:c r="B77" s="1"/>
      <x:c r="C77" s="1"/>
      <x:c r="D77" s="10"/>
      <x:c r="E77" s="10"/>
      <x:c r="F77" s="10"/>
      <x:c r="G77" s="10"/>
      <x:c r="H77" s="10"/>
      <x:c r="I77" s="10"/>
      <x:c r="J77" s="10"/>
      <x:c r="K77" s="10"/>
      <x:c r="L77" s="10"/>
      <x:c r="M77" s="10"/>
      <x:c r="N77" s="10"/>
      <x:c r="O77" s="10"/>
      <x:c r="P77" s="10"/>
      <x:c r="Q77" s="10"/>
      <x:c r="R77" s="10"/>
      <x:c r="S77" s="10"/>
      <x:c r="T77" s="10"/>
      <x:c r="U77" s="10"/>
      <x:c r="V77" s="10"/>
      <x:c r="W77" s="10"/>
    </x:row>
    <x:row r="78" ht="17" customHeight="1">
      <x:c r="A78" s="1"/>
      <x:c r="B78" s="1"/>
      <x:c r="C78" s="1"/>
      <x:c r="D78" s="10"/>
      <x:c r="E78" s="10"/>
      <x:c r="F78" s="10"/>
      <x:c r="G78" s="10"/>
      <x:c r="H78" s="10"/>
      <x:c r="I78" s="10"/>
      <x:c r="J78" s="10"/>
      <x:c r="K78" s="10"/>
      <x:c r="L78" s="10"/>
      <x:c r="M78" s="10"/>
      <x:c r="N78" s="10"/>
      <x:c r="O78" s="10"/>
      <x:c r="P78" s="10"/>
      <x:c r="Q78" s="10"/>
      <x:c r="R78" s="10"/>
      <x:c r="S78" s="10"/>
      <x:c r="T78" s="10"/>
      <x:c r="U78" s="10"/>
      <x:c r="V78" s="10"/>
      <x:c r="W78" s="10"/>
    </x:row>
    <x:row r="79" ht="17" customHeight="1">
      <x:c r="A79" s="1"/>
      <x:c r="B79" s="1"/>
      <x:c r="C79" s="1"/>
      <x:c r="D79" s="10"/>
      <x:c r="E79" s="10"/>
      <x:c r="F79" s="10"/>
      <x:c r="G79" s="10"/>
      <x:c r="H79" s="10"/>
      <x:c r="I79" s="10"/>
      <x:c r="J79" s="10"/>
      <x:c r="K79" s="10"/>
      <x:c r="L79" s="10"/>
      <x:c r="M79" s="10"/>
      <x:c r="N79" s="10"/>
      <x:c r="O79" s="10"/>
      <x:c r="P79" s="10"/>
      <x:c r="Q79" s="10"/>
      <x:c r="R79" s="10"/>
      <x:c r="S79" s="10"/>
      <x:c r="T79" s="10"/>
      <x:c r="U79" s="10"/>
      <x:c r="V79" s="10"/>
      <x:c r="W79" s="10"/>
    </x:row>
    <x:row r="80" ht="17" customHeight="1">
      <x:c r="A80" s="1"/>
      <x:c r="B80" s="1"/>
      <x:c r="C80" s="1"/>
      <x:c r="D80" s="10"/>
      <x:c r="E80" s="10"/>
      <x:c r="F80" s="10"/>
      <x:c r="G80" s="10"/>
      <x:c r="H80" s="10"/>
      <x:c r="I80" s="10"/>
      <x:c r="J80" s="10"/>
      <x:c r="K80" s="10"/>
      <x:c r="L80" s="10"/>
      <x:c r="M80" s="10"/>
      <x:c r="N80" s="10"/>
      <x:c r="O80" s="10"/>
      <x:c r="P80" s="10"/>
      <x:c r="Q80" s="10"/>
      <x:c r="R80" s="10"/>
      <x:c r="S80" s="10"/>
      <x:c r="T80" s="10"/>
      <x:c r="U80" s="10"/>
      <x:c r="V80" s="10"/>
      <x:c r="W80" s="10"/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58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</x:cols>
  <x:sheetData>
    <x:row r="1" ht="17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17" customHeight="1">
      <x:c r="A2" s="1"/>
      <x:c r="B2" s="1"/>
      <x:c r="C2" s="2" t="str">
        <x:v>Integrated review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</x:row>
    <x:row r="3" ht="17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</x:row>
    <x:row r="4" ht="17" customHeight="1">
      <x:c r="A4" s="1"/>
      <x:c r="B4" s="1"/>
      <x:c r="C4" s="1" t="str">
        <x:v>Conditional Dot target. USD. Assumed opening balances, not an actual enterprise ledger.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17" customHeight="1">
      <x:c r="A5" s="1"/>
      <x:c r="B5" s="1"/>
      <x:c r="C5" s="29" t="str">
        <x:f>"Scenario: "&amp;'Assumptions'!$D$7&amp;". Volume multiplier: "&amp;'Assumptions'!$D$8&amp;". Founder allowance: "&amp;IF('Assumptions'!$D$21=1,"paid","unpaid")</x:f>
        <x:v>Scenario: Base. Volume multiplier: 1. Founder allowance: unpaid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17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28" customHeight="1">
      <x:c r="A7" s="1"/>
      <x:c r="B7" s="1"/>
      <x:c r="C7" s="13"/>
      <x:c r="D7" s="13" t="str">
        <x:v>Year 1</x:v>
      </x:c>
      <x:c r="E7" s="13" t="str">
        <x:v>Year 2</x:v>
      </x:c>
      <x:c r="F7" s="13" t="str">
        <x:v>Year 3</x:v>
      </x:c>
      <x:c r="G7" s="13" t="str">
        <x:v>Year 4</x:v>
      </x:c>
      <x:c r="H7" s="13" t="str">
        <x:v>Year 5</x:v>
      </x:c>
      <x:c r="I7" s="13" t="str">
        <x:v>Year 6</x:v>
      </x:c>
      <x:c r="J7" s="13" t="str">
        <x:v>Year 7</x:v>
      </x:c>
      <x:c r="K7" s="13" t="str">
        <x:v>Year 8</x:v>
      </x:c>
      <x:c r="L7" s="13" t="str">
        <x:v>Year 9</x:v>
      </x:c>
      <x:c r="M7" s="13" t="str">
        <x:v>Year 10</x:v>
      </x:c>
      <x:c r="N7" s="13" t="str">
        <x:v>Year 11</x:v>
      </x:c>
      <x:c r="O7" s="13" t="str">
        <x:v>Year 12</x:v>
      </x:c>
      <x:c r="P7" s="13" t="str">
        <x:v>Year 13</x:v>
      </x:c>
      <x:c r="Q7" s="13" t="str">
        <x:v>Year 14</x:v>
      </x:c>
      <x:c r="R7" s="13" t="str">
        <x:v>Year 15</x:v>
      </x:c>
      <x:c r="S7" s="13" t="str">
        <x:v>Year 16</x:v>
      </x:c>
      <x:c r="T7" s="13" t="str">
        <x:v>Year 17</x:v>
      </x:c>
      <x:c r="U7" s="13" t="str">
        <x:v>Year 18</x:v>
      </x:c>
      <x:c r="V7" s="13" t="str">
        <x:v>Year 19</x:v>
      </x:c>
      <x:c r="W7" s="13" t="str">
        <x:v>Year 20</x:v>
      </x:c>
    </x:row>
    <x:row r="8" ht="17" customHeight="1">
      <x:c r="A8" s="1"/>
      <x:c r="B8" s="1"/>
      <x:c r="C8" s="1" t="str">
        <x:v>Cash flow equals original free cash flow</x:v>
      </x:c>
      <x:c r="D8" s="22" t="n">
        <x:f>IF(ABS('Cash flow'!D26-'Cash and capital'!D14)&lt;0.005,0,'Cash flow'!D26-'Cash and capital'!D14)</x:f>
        <x:v>0</x:v>
      </x:c>
      <x:c r="E8" s="22" t="n">
        <x:f>IF(ABS('Cash flow'!E26-'Cash and capital'!E14)&lt;0.005,0,'Cash flow'!E26-'Cash and capital'!E14)</x:f>
        <x:v>0</x:v>
      </x:c>
      <x:c r="F8" s="22" t="n">
        <x:f>IF(ABS('Cash flow'!F26-'Cash and capital'!F14)&lt;0.005,0,'Cash flow'!F26-'Cash and capital'!F14)</x:f>
        <x:v>0</x:v>
      </x:c>
      <x:c r="G8" s="22" t="n">
        <x:f>IF(ABS('Cash flow'!G26-'Cash and capital'!G14)&lt;0.005,0,'Cash flow'!G26-'Cash and capital'!G14)</x:f>
        <x:v>0</x:v>
      </x:c>
      <x:c r="H8" s="22" t="n">
        <x:f>IF(ABS('Cash flow'!H26-'Cash and capital'!H14)&lt;0.005,0,'Cash flow'!H26-'Cash and capital'!H14)</x:f>
        <x:v>0</x:v>
      </x:c>
      <x:c r="I8" s="22" t="n">
        <x:f>IF(ABS('Cash flow'!I26-'Cash and capital'!I14)&lt;0.005,0,'Cash flow'!I26-'Cash and capital'!I14)</x:f>
        <x:v>0</x:v>
      </x:c>
      <x:c r="J8" s="22" t="n">
        <x:f>IF(ABS('Cash flow'!J26-'Cash and capital'!J14)&lt;0.005,0,'Cash flow'!J26-'Cash and capital'!J14)</x:f>
        <x:v>0</x:v>
      </x:c>
      <x:c r="K8" s="22" t="n">
        <x:f>IF(ABS('Cash flow'!K26-'Cash and capital'!K14)&lt;0.005,0,'Cash flow'!K26-'Cash and capital'!K14)</x:f>
        <x:v>0</x:v>
      </x:c>
      <x:c r="L8" s="22" t="n">
        <x:f>IF(ABS('Cash flow'!L26-'Cash and capital'!L14)&lt;0.005,0,'Cash flow'!L26-'Cash and capital'!L14)</x:f>
        <x:v>0</x:v>
      </x:c>
      <x:c r="M8" s="22" t="n">
        <x:f>IF(ABS('Cash flow'!M26-'Cash and capital'!M14)&lt;0.005,0,'Cash flow'!M26-'Cash and capital'!M14)</x:f>
        <x:v>0</x:v>
      </x:c>
      <x:c r="N8" s="22" t="n">
        <x:f>IF(ABS('Cash flow'!N26-'Cash and capital'!N14)&lt;0.005,0,'Cash flow'!N26-'Cash and capital'!N14)</x:f>
        <x:v>0</x:v>
      </x:c>
      <x:c r="O8" s="22" t="n">
        <x:f>IF(ABS('Cash flow'!O26-'Cash and capital'!O14)&lt;0.005,0,'Cash flow'!O26-'Cash and capital'!O14)</x:f>
        <x:v>0</x:v>
      </x:c>
      <x:c r="P8" s="22" t="n">
        <x:f>IF(ABS('Cash flow'!P26-'Cash and capital'!P14)&lt;0.005,0,'Cash flow'!P26-'Cash and capital'!P14)</x:f>
        <x:v>0</x:v>
      </x:c>
      <x:c r="Q8" s="22" t="n">
        <x:f>IF(ABS('Cash flow'!Q26-'Cash and capital'!Q14)&lt;0.005,0,'Cash flow'!Q26-'Cash and capital'!Q14)</x:f>
        <x:v>0</x:v>
      </x:c>
      <x:c r="R8" s="22" t="n">
        <x:f>IF(ABS('Cash flow'!R26-'Cash and capital'!R14)&lt;0.005,0,'Cash flow'!R26-'Cash and capital'!R14)</x:f>
        <x:v>0</x:v>
      </x:c>
      <x:c r="S8" s="22" t="n">
        <x:f>IF(ABS('Cash flow'!S26-'Cash and capital'!S14)&lt;0.005,0,'Cash flow'!S26-'Cash and capital'!S14)</x:f>
        <x:v>0</x:v>
      </x:c>
      <x:c r="T8" s="22" t="n">
        <x:f>IF(ABS('Cash flow'!T26-'Cash and capital'!T14)&lt;0.005,0,'Cash flow'!T26-'Cash and capital'!T14)</x:f>
        <x:v>0</x:v>
      </x:c>
      <x:c r="U8" s="22" t="n">
        <x:f>IF(ABS('Cash flow'!U26-'Cash and capital'!U14)&lt;0.005,0,'Cash flow'!U26-'Cash and capital'!U14)</x:f>
        <x:v>0</x:v>
      </x:c>
      <x:c r="V8" s="22" t="n">
        <x:f>IF(ABS('Cash flow'!V26-'Cash and capital'!V14)&lt;0.005,0,'Cash flow'!V26-'Cash and capital'!V14)</x:f>
        <x:v>0</x:v>
      </x:c>
      <x:c r="W8" s="22" t="n">
        <x:f>IF(ABS('Cash flow'!W26-'Cash and capital'!W14)&lt;0.005,0,'Cash flow'!W26-'Cash and capital'!W14)</x:f>
        <x:v>0</x:v>
      </x:c>
    </x:row>
    <x:row r="9" ht="17" customHeight="1">
      <x:c r="A9" s="1"/>
      <x:c r="B9" s="1"/>
      <x:c r="C9" s="1" t="str">
        <x:v>PP&amp;E equals original capital schedule</x:v>
      </x:c>
      <x:c r="D9" s="22" t="n">
        <x:f>IF(ABS('Balance sheet'!D16-'Cash and capital'!D19)&lt;0.005,0,'Balance sheet'!D16-'Cash and capital'!D19)</x:f>
        <x:v>0</x:v>
      </x:c>
      <x:c r="E9" s="22" t="n">
        <x:f>IF(ABS('Balance sheet'!E16-'Cash and capital'!E19)&lt;0.005,0,'Balance sheet'!E16-'Cash and capital'!E19)</x:f>
        <x:v>0</x:v>
      </x:c>
      <x:c r="F9" s="22" t="n">
        <x:f>IF(ABS('Balance sheet'!F16-'Cash and capital'!F19)&lt;0.005,0,'Balance sheet'!F16-'Cash and capital'!F19)</x:f>
        <x:v>0</x:v>
      </x:c>
      <x:c r="G9" s="22" t="n">
        <x:f>IF(ABS('Balance sheet'!G16-'Cash and capital'!G19)&lt;0.005,0,'Balance sheet'!G16-'Cash and capital'!G19)</x:f>
        <x:v>0</x:v>
      </x:c>
      <x:c r="H9" s="22" t="n">
        <x:f>IF(ABS('Balance sheet'!H16-'Cash and capital'!H19)&lt;0.005,0,'Balance sheet'!H16-'Cash and capital'!H19)</x:f>
        <x:v>0</x:v>
      </x:c>
      <x:c r="I9" s="22" t="n">
        <x:f>IF(ABS('Balance sheet'!I16-'Cash and capital'!I19)&lt;0.005,0,'Balance sheet'!I16-'Cash and capital'!I19)</x:f>
        <x:v>0</x:v>
      </x:c>
      <x:c r="J9" s="22" t="n">
        <x:f>IF(ABS('Balance sheet'!J16-'Cash and capital'!J19)&lt;0.005,0,'Balance sheet'!J16-'Cash and capital'!J19)</x:f>
        <x:v>0</x:v>
      </x:c>
      <x:c r="K9" s="22" t="n">
        <x:f>IF(ABS('Balance sheet'!K16-'Cash and capital'!K19)&lt;0.005,0,'Balance sheet'!K16-'Cash and capital'!K19)</x:f>
        <x:v>0</x:v>
      </x:c>
      <x:c r="L9" s="22" t="n">
        <x:f>IF(ABS('Balance sheet'!L16-'Cash and capital'!L19)&lt;0.005,0,'Balance sheet'!L16-'Cash and capital'!L19)</x:f>
        <x:v>0</x:v>
      </x:c>
      <x:c r="M9" s="22" t="n">
        <x:f>IF(ABS('Balance sheet'!M16-'Cash and capital'!M19)&lt;0.005,0,'Balance sheet'!M16-'Cash and capital'!M19)</x:f>
        <x:v>0</x:v>
      </x:c>
      <x:c r="N9" s="22" t="n">
        <x:f>IF(ABS('Balance sheet'!N16-'Cash and capital'!N19)&lt;0.005,0,'Balance sheet'!N16-'Cash and capital'!N19)</x:f>
        <x:v>0</x:v>
      </x:c>
      <x:c r="O9" s="22" t="n">
        <x:f>IF(ABS('Balance sheet'!O16-'Cash and capital'!O19)&lt;0.005,0,'Balance sheet'!O16-'Cash and capital'!O19)</x:f>
        <x:v>0</x:v>
      </x:c>
      <x:c r="P9" s="22" t="n">
        <x:f>IF(ABS('Balance sheet'!P16-'Cash and capital'!P19)&lt;0.005,0,'Balance sheet'!P16-'Cash and capital'!P19)</x:f>
        <x:v>0</x:v>
      </x:c>
      <x:c r="Q9" s="22" t="n">
        <x:f>IF(ABS('Balance sheet'!Q16-'Cash and capital'!Q19)&lt;0.005,0,'Balance sheet'!Q16-'Cash and capital'!Q19)</x:f>
        <x:v>0</x:v>
      </x:c>
      <x:c r="R9" s="22" t="n">
        <x:f>IF(ABS('Balance sheet'!R16-'Cash and capital'!R19)&lt;0.005,0,'Balance sheet'!R16-'Cash and capital'!R19)</x:f>
        <x:v>0</x:v>
      </x:c>
      <x:c r="S9" s="22" t="n">
        <x:f>IF(ABS('Balance sheet'!S16-'Cash and capital'!S19)&lt;0.005,0,'Balance sheet'!S16-'Cash and capital'!S19)</x:f>
        <x:v>0</x:v>
      </x:c>
      <x:c r="T9" s="22" t="n">
        <x:f>IF(ABS('Balance sheet'!T16-'Cash and capital'!T19)&lt;0.005,0,'Balance sheet'!T16-'Cash and capital'!T19)</x:f>
        <x:v>0</x:v>
      </x:c>
      <x:c r="U9" s="22" t="n">
        <x:f>IF(ABS('Balance sheet'!U16-'Cash and capital'!U19)&lt;0.005,0,'Balance sheet'!U16-'Cash and capital'!U19)</x:f>
        <x:v>0</x:v>
      </x:c>
      <x:c r="V9" s="22" t="n">
        <x:f>IF(ABS('Balance sheet'!V16-'Cash and capital'!V19)&lt;0.005,0,'Balance sheet'!V16-'Cash and capital'!V19)</x:f>
        <x:v>0</x:v>
      </x:c>
      <x:c r="W9" s="22" t="n">
        <x:f>IF(ABS('Balance sheet'!W16-'Cash and capital'!W19)&lt;0.005,0,'Balance sheet'!W16-'Cash and capital'!W19)</x:f>
        <x:v>0</x:v>
      </x:c>
    </x:row>
    <x:row r="10" ht="17" customHeight="1">
      <x:c r="A10" s="1"/>
      <x:c r="B10" s="1"/>
      <x:c r="C10" s="1" t="str">
        <x:v>Cash flow equals original cumulative cash</x:v>
      </x:c>
      <x:c r="D10" s="22" t="n">
        <x:f>IF(ABS('Cash flow'!D28-'Cash and capital'!D15)&lt;0.005,0,'Cash flow'!D28-'Cash and capital'!D15)</x:f>
        <x:v>0</x:v>
      </x:c>
      <x:c r="E10" s="22" t="n">
        <x:f>IF(ABS('Cash flow'!E28-'Cash and capital'!E15)&lt;0.005,0,'Cash flow'!E28-'Cash and capital'!E15)</x:f>
        <x:v>0</x:v>
      </x:c>
      <x:c r="F10" s="22" t="n">
        <x:f>IF(ABS('Cash flow'!F28-'Cash and capital'!F15)&lt;0.005,0,'Cash flow'!F28-'Cash and capital'!F15)</x:f>
        <x:v>0</x:v>
      </x:c>
      <x:c r="G10" s="22" t="n">
        <x:f>IF(ABS('Cash flow'!G28-'Cash and capital'!G15)&lt;0.005,0,'Cash flow'!G28-'Cash and capital'!G15)</x:f>
        <x:v>0</x:v>
      </x:c>
      <x:c r="H10" s="22" t="n">
        <x:f>IF(ABS('Cash flow'!H28-'Cash and capital'!H15)&lt;0.005,0,'Cash flow'!H28-'Cash and capital'!H15)</x:f>
        <x:v>0</x:v>
      </x:c>
      <x:c r="I10" s="22" t="n">
        <x:f>IF(ABS('Cash flow'!I28-'Cash and capital'!I15)&lt;0.005,0,'Cash flow'!I28-'Cash and capital'!I15)</x:f>
        <x:v>0</x:v>
      </x:c>
      <x:c r="J10" s="22" t="n">
        <x:f>IF(ABS('Cash flow'!J28-'Cash and capital'!J15)&lt;0.005,0,'Cash flow'!J28-'Cash and capital'!J15)</x:f>
        <x:v>0</x:v>
      </x:c>
      <x:c r="K10" s="22" t="n">
        <x:f>IF(ABS('Cash flow'!K28-'Cash and capital'!K15)&lt;0.005,0,'Cash flow'!K28-'Cash and capital'!K15)</x:f>
        <x:v>0</x:v>
      </x:c>
      <x:c r="L10" s="22" t="n">
        <x:f>IF(ABS('Cash flow'!L28-'Cash and capital'!L15)&lt;0.005,0,'Cash flow'!L28-'Cash and capital'!L15)</x:f>
        <x:v>0</x:v>
      </x:c>
      <x:c r="M10" s="22" t="n">
        <x:f>IF(ABS('Cash flow'!M28-'Cash and capital'!M15)&lt;0.005,0,'Cash flow'!M28-'Cash and capital'!M15)</x:f>
        <x:v>0</x:v>
      </x:c>
      <x:c r="N10" s="22" t="n">
        <x:f>IF(ABS('Cash flow'!N28-'Cash and capital'!N15)&lt;0.005,0,'Cash flow'!N28-'Cash and capital'!N15)</x:f>
        <x:v>0</x:v>
      </x:c>
      <x:c r="O10" s="22" t="n">
        <x:f>IF(ABS('Cash flow'!O28-'Cash and capital'!O15)&lt;0.005,0,'Cash flow'!O28-'Cash and capital'!O15)</x:f>
        <x:v>0</x:v>
      </x:c>
      <x:c r="P10" s="22" t="n">
        <x:f>IF(ABS('Cash flow'!P28-'Cash and capital'!P15)&lt;0.005,0,'Cash flow'!P28-'Cash and capital'!P15)</x:f>
        <x:v>0</x:v>
      </x:c>
      <x:c r="Q10" s="22" t="n">
        <x:f>IF(ABS('Cash flow'!Q28-'Cash and capital'!Q15)&lt;0.005,0,'Cash flow'!Q28-'Cash and capital'!Q15)</x:f>
        <x:v>0</x:v>
      </x:c>
      <x:c r="R10" s="22" t="n">
        <x:f>IF(ABS('Cash flow'!R28-'Cash and capital'!R15)&lt;0.005,0,'Cash flow'!R28-'Cash and capital'!R15)</x:f>
        <x:v>0</x:v>
      </x:c>
      <x:c r="S10" s="22" t="n">
        <x:f>IF(ABS('Cash flow'!S28-'Cash and capital'!S15)&lt;0.005,0,'Cash flow'!S28-'Cash and capital'!S15)</x:f>
        <x:v>0</x:v>
      </x:c>
      <x:c r="T10" s="22" t="n">
        <x:f>IF(ABS('Cash flow'!T28-'Cash and capital'!T15)&lt;0.005,0,'Cash flow'!T28-'Cash and capital'!T15)</x:f>
        <x:v>0</x:v>
      </x:c>
      <x:c r="U10" s="22" t="n">
        <x:f>IF(ABS('Cash flow'!U28-'Cash and capital'!U15)&lt;0.005,0,'Cash flow'!U28-'Cash and capital'!U15)</x:f>
        <x:v>0</x:v>
      </x:c>
      <x:c r="V10" s="22" t="n">
        <x:f>IF(ABS('Cash flow'!V28-'Cash and capital'!V15)&lt;0.005,0,'Cash flow'!V28-'Cash and capital'!V15)</x:f>
        <x:v>0</x:v>
      </x:c>
      <x:c r="W10" s="22" t="n">
        <x:f>IF(ABS('Cash flow'!W28-'Cash and capital'!W15)&lt;0.005,0,'Cash flow'!W28-'Cash and capital'!W15)</x:f>
        <x:v>0</x:v>
      </x:c>
    </x:row>
    <x:row r="11" ht="17" customHeight="1">
      <x:c r="A11" s="1"/>
      <x:c r="B11" s="1"/>
      <x:c r="C11" s="1" t="str">
        <x:v>Balance-sheet residual equals unfunded gap</x:v>
      </x:c>
      <x:c r="D11" s="22" t="n">
        <x:f>IF(ABS('Balance sheet'!D36)&lt;0.005,0,'Balance sheet'!D36)</x:f>
        <x:v>0</x:v>
      </x:c>
      <x:c r="E11" s="22" t="n">
        <x:f>IF(ABS('Balance sheet'!E36)&lt;0.005,0,'Balance sheet'!E36)</x:f>
        <x:v>0</x:v>
      </x:c>
      <x:c r="F11" s="22" t="n">
        <x:f>IF(ABS('Balance sheet'!F36)&lt;0.005,0,'Balance sheet'!F36)</x:f>
        <x:v>0</x:v>
      </x:c>
      <x:c r="G11" s="22" t="n">
        <x:f>IF(ABS('Balance sheet'!G36)&lt;0.005,0,'Balance sheet'!G36)</x:f>
        <x:v>0</x:v>
      </x:c>
      <x:c r="H11" s="22" t="n">
        <x:f>IF(ABS('Balance sheet'!H36)&lt;0.005,0,'Balance sheet'!H36)</x:f>
        <x:v>0</x:v>
      </x:c>
      <x:c r="I11" s="22" t="n">
        <x:f>IF(ABS('Balance sheet'!I36)&lt;0.005,0,'Balance sheet'!I36)</x:f>
        <x:v>0</x:v>
      </x:c>
      <x:c r="J11" s="22" t="n">
        <x:f>IF(ABS('Balance sheet'!J36)&lt;0.005,0,'Balance sheet'!J36)</x:f>
        <x:v>0</x:v>
      </x:c>
      <x:c r="K11" s="22" t="n">
        <x:f>IF(ABS('Balance sheet'!K36)&lt;0.005,0,'Balance sheet'!K36)</x:f>
        <x:v>0</x:v>
      </x:c>
      <x:c r="L11" s="22" t="n">
        <x:f>IF(ABS('Balance sheet'!L36)&lt;0.005,0,'Balance sheet'!L36)</x:f>
        <x:v>0</x:v>
      </x:c>
      <x:c r="M11" s="22" t="n">
        <x:f>IF(ABS('Balance sheet'!M36)&lt;0.005,0,'Balance sheet'!M36)</x:f>
        <x:v>0</x:v>
      </x:c>
      <x:c r="N11" s="22" t="n">
        <x:f>IF(ABS('Balance sheet'!N36)&lt;0.005,0,'Balance sheet'!N36)</x:f>
        <x:v>0</x:v>
      </x:c>
      <x:c r="O11" s="22" t="n">
        <x:f>IF(ABS('Balance sheet'!O36)&lt;0.005,0,'Balance sheet'!O36)</x:f>
        <x:v>0</x:v>
      </x:c>
      <x:c r="P11" s="22" t="n">
        <x:f>IF(ABS('Balance sheet'!P36)&lt;0.005,0,'Balance sheet'!P36)</x:f>
        <x:v>0</x:v>
      </x:c>
      <x:c r="Q11" s="22" t="n">
        <x:f>IF(ABS('Balance sheet'!Q36)&lt;0.005,0,'Balance sheet'!Q36)</x:f>
        <x:v>0</x:v>
      </x:c>
      <x:c r="R11" s="22" t="n">
        <x:f>IF(ABS('Balance sheet'!R36)&lt;0.005,0,'Balance sheet'!R36)</x:f>
        <x:v>0</x:v>
      </x:c>
      <x:c r="S11" s="22" t="n">
        <x:f>IF(ABS('Balance sheet'!S36)&lt;0.005,0,'Balance sheet'!S36)</x:f>
        <x:v>0</x:v>
      </x:c>
      <x:c r="T11" s="22" t="n">
        <x:f>IF(ABS('Balance sheet'!T36)&lt;0.005,0,'Balance sheet'!T36)</x:f>
        <x:v>0</x:v>
      </x:c>
      <x:c r="U11" s="22" t="n">
        <x:f>IF(ABS('Balance sheet'!U36)&lt;0.005,0,'Balance sheet'!U36)</x:f>
        <x:v>0</x:v>
      </x:c>
      <x:c r="V11" s="22" t="n">
        <x:f>IF(ABS('Balance sheet'!V36)&lt;0.005,0,'Balance sheet'!V36)</x:f>
        <x:v>0</x:v>
      </x:c>
      <x:c r="W11" s="22" t="n">
        <x:f>IF(ABS('Balance sheet'!W36)&lt;0.005,0,'Balance sheet'!W36)</x:f>
        <x:v>0</x:v>
      </x:c>
    </x:row>
    <x:row r="12" ht="17" customHeight="1">
      <x:c r="A12" s="1"/>
      <x:c r="B12" s="1"/>
      <x:c r="C12" s="1" t="str">
        <x:v>Retained earnings equal cumulative net income</x:v>
      </x:c>
      <x:c r="D12" s="22" t="n">
        <x:f>IF(ABS('Balance sheet'!D29-SUM('Income statement'!$D86:D86))&lt;0.005,0,'Balance sheet'!D29-SUM('Income statement'!$D86:D86))</x:f>
        <x:v>0</x:v>
      </x:c>
      <x:c r="E12" s="22" t="n">
        <x:f>IF(ABS('Balance sheet'!E29-SUM('Income statement'!$D86:E86))&lt;0.005,0,'Balance sheet'!E29-SUM('Income statement'!$D86:E86))</x:f>
        <x:v>0</x:v>
      </x:c>
      <x:c r="F12" s="22" t="n">
        <x:f>IF(ABS('Balance sheet'!F29-SUM('Income statement'!$D86:F86))&lt;0.005,0,'Balance sheet'!F29-SUM('Income statement'!$D86:F86))</x:f>
        <x:v>0</x:v>
      </x:c>
      <x:c r="G12" s="22" t="n">
        <x:f>IF(ABS('Balance sheet'!G29-SUM('Income statement'!$D86:G86))&lt;0.005,0,'Balance sheet'!G29-SUM('Income statement'!$D86:G86))</x:f>
        <x:v>0</x:v>
      </x:c>
      <x:c r="H12" s="22" t="n">
        <x:f>IF(ABS('Balance sheet'!H29-SUM('Income statement'!$D86:H86))&lt;0.005,0,'Balance sheet'!H29-SUM('Income statement'!$D86:H86))</x:f>
        <x:v>0</x:v>
      </x:c>
      <x:c r="I12" s="22" t="n">
        <x:f>IF(ABS('Balance sheet'!I29-SUM('Income statement'!$D86:I86))&lt;0.005,0,'Balance sheet'!I29-SUM('Income statement'!$D86:I86))</x:f>
        <x:v>0</x:v>
      </x:c>
      <x:c r="J12" s="22" t="n">
        <x:f>IF(ABS('Balance sheet'!J29-SUM('Income statement'!$D86:J86))&lt;0.005,0,'Balance sheet'!J29-SUM('Income statement'!$D86:J86))</x:f>
        <x:v>0</x:v>
      </x:c>
      <x:c r="K12" s="22" t="n">
        <x:f>IF(ABS('Balance sheet'!K29-SUM('Income statement'!$D86:K86))&lt;0.005,0,'Balance sheet'!K29-SUM('Income statement'!$D86:K86))</x:f>
        <x:v>0</x:v>
      </x:c>
      <x:c r="L12" s="22" t="n">
        <x:f>IF(ABS('Balance sheet'!L29-SUM('Income statement'!$D86:L86))&lt;0.005,0,'Balance sheet'!L29-SUM('Income statement'!$D86:L86))</x:f>
        <x:v>0</x:v>
      </x:c>
      <x:c r="M12" s="22" t="n">
        <x:f>IF(ABS('Balance sheet'!M29-SUM('Income statement'!$D86:M86))&lt;0.005,0,'Balance sheet'!M29-SUM('Income statement'!$D86:M86))</x:f>
        <x:v>0</x:v>
      </x:c>
      <x:c r="N12" s="22" t="n">
        <x:f>IF(ABS('Balance sheet'!N29-SUM('Income statement'!$D86:N86))&lt;0.005,0,'Balance sheet'!N29-SUM('Income statement'!$D86:N86))</x:f>
        <x:v>0</x:v>
      </x:c>
      <x:c r="O12" s="22" t="n">
        <x:f>IF(ABS('Balance sheet'!O29-SUM('Income statement'!$D86:O86))&lt;0.005,0,'Balance sheet'!O29-SUM('Income statement'!$D86:O86))</x:f>
        <x:v>0</x:v>
      </x:c>
      <x:c r="P12" s="22" t="n">
        <x:f>IF(ABS('Balance sheet'!P29-SUM('Income statement'!$D86:P86))&lt;0.005,0,'Balance sheet'!P29-SUM('Income statement'!$D86:P86))</x:f>
        <x:v>0</x:v>
      </x:c>
      <x:c r="Q12" s="22" t="n">
        <x:f>IF(ABS('Balance sheet'!Q29-SUM('Income statement'!$D86:Q86))&lt;0.005,0,'Balance sheet'!Q29-SUM('Income statement'!$D86:Q86))</x:f>
        <x:v>0</x:v>
      </x:c>
      <x:c r="R12" s="22" t="n">
        <x:f>IF(ABS('Balance sheet'!R29-SUM('Income statement'!$D86:R86))&lt;0.005,0,'Balance sheet'!R29-SUM('Income statement'!$D86:R86))</x:f>
        <x:v>0</x:v>
      </x:c>
      <x:c r="S12" s="22" t="n">
        <x:f>IF(ABS('Balance sheet'!S29-SUM('Income statement'!$D86:S86))&lt;0.005,0,'Balance sheet'!S29-SUM('Income statement'!$D86:S86))</x:f>
        <x:v>0</x:v>
      </x:c>
      <x:c r="T12" s="22" t="n">
        <x:f>IF(ABS('Balance sheet'!T29-SUM('Income statement'!$D86:T86))&lt;0.005,0,'Balance sheet'!T29-SUM('Income statement'!$D86:T86))</x:f>
        <x:v>0</x:v>
      </x:c>
      <x:c r="U12" s="22" t="n">
        <x:f>IF(ABS('Balance sheet'!U29-SUM('Income statement'!$D86:U86))&lt;0.005,0,'Balance sheet'!U29-SUM('Income statement'!$D86:U86))</x:f>
        <x:v>0</x:v>
      </x:c>
      <x:c r="V12" s="22" t="n">
        <x:f>IF(ABS('Balance sheet'!V29-SUM('Income statement'!$D86:V86))&lt;0.005,0,'Balance sheet'!V29-SUM('Income statement'!$D86:V86))</x:f>
        <x:v>0</x:v>
      </x:c>
      <x:c r="W12" s="22" t="n">
        <x:f>IF(ABS('Balance sheet'!W29-SUM('Income statement'!$D86:W86))&lt;0.005,0,'Balance sheet'!W29-SUM('Income statement'!$D86:W86))</x:f>
        <x:v>0</x:v>
      </x:c>
    </x:row>
    <x:row r="13" ht="17" customHeight="1">
      <x:c r="A13" s="1"/>
      <x:c r="B13" s="1"/>
      <x:c r="C13" s="1" t="str">
        <x:v>Cash flow cash equals balance-sheet cash</x:v>
      </x:c>
      <x:c r="D13" s="22" t="n">
        <x:f>IF(ABS('Cash flow'!D36)&lt;0.005,0,'Cash flow'!D36)</x:f>
        <x:v>0</x:v>
      </x:c>
      <x:c r="E13" s="22" t="n">
        <x:f>IF(ABS('Cash flow'!E36)&lt;0.005,0,'Cash flow'!E36)</x:f>
        <x:v>0</x:v>
      </x:c>
      <x:c r="F13" s="22" t="n">
        <x:f>IF(ABS('Cash flow'!F36)&lt;0.005,0,'Cash flow'!F36)</x:f>
        <x:v>0</x:v>
      </x:c>
      <x:c r="G13" s="22" t="n">
        <x:f>IF(ABS('Cash flow'!G36)&lt;0.005,0,'Cash flow'!G36)</x:f>
        <x:v>0</x:v>
      </x:c>
      <x:c r="H13" s="22" t="n">
        <x:f>IF(ABS('Cash flow'!H36)&lt;0.005,0,'Cash flow'!H36)</x:f>
        <x:v>0</x:v>
      </x:c>
      <x:c r="I13" s="22" t="n">
        <x:f>IF(ABS('Cash flow'!I36)&lt;0.005,0,'Cash flow'!I36)</x:f>
        <x:v>0</x:v>
      </x:c>
      <x:c r="J13" s="22" t="n">
        <x:f>IF(ABS('Cash flow'!J36)&lt;0.005,0,'Cash flow'!J36)</x:f>
        <x:v>0</x:v>
      </x:c>
      <x:c r="K13" s="22" t="n">
        <x:f>IF(ABS('Cash flow'!K36)&lt;0.005,0,'Cash flow'!K36)</x:f>
        <x:v>0</x:v>
      </x:c>
      <x:c r="L13" s="22" t="n">
        <x:f>IF(ABS('Cash flow'!L36)&lt;0.005,0,'Cash flow'!L36)</x:f>
        <x:v>0</x:v>
      </x:c>
      <x:c r="M13" s="22" t="n">
        <x:f>IF(ABS('Cash flow'!M36)&lt;0.005,0,'Cash flow'!M36)</x:f>
        <x:v>0</x:v>
      </x:c>
      <x:c r="N13" s="22" t="n">
        <x:f>IF(ABS('Cash flow'!N36)&lt;0.005,0,'Cash flow'!N36)</x:f>
        <x:v>0</x:v>
      </x:c>
      <x:c r="O13" s="22" t="n">
        <x:f>IF(ABS('Cash flow'!O36)&lt;0.005,0,'Cash flow'!O36)</x:f>
        <x:v>0</x:v>
      </x:c>
      <x:c r="P13" s="22" t="n">
        <x:f>IF(ABS('Cash flow'!P36)&lt;0.005,0,'Cash flow'!P36)</x:f>
        <x:v>0</x:v>
      </x:c>
      <x:c r="Q13" s="22" t="n">
        <x:f>IF(ABS('Cash flow'!Q36)&lt;0.005,0,'Cash flow'!Q36)</x:f>
        <x:v>0</x:v>
      </x:c>
      <x:c r="R13" s="22" t="n">
        <x:f>IF(ABS('Cash flow'!R36)&lt;0.005,0,'Cash flow'!R36)</x:f>
        <x:v>0</x:v>
      </x:c>
      <x:c r="S13" s="22" t="n">
        <x:f>IF(ABS('Cash flow'!S36)&lt;0.005,0,'Cash flow'!S36)</x:f>
        <x:v>0</x:v>
      </x:c>
      <x:c r="T13" s="22" t="n">
        <x:f>IF(ABS('Cash flow'!T36)&lt;0.005,0,'Cash flow'!T36)</x:f>
        <x:v>0</x:v>
      </x:c>
      <x:c r="U13" s="22" t="n">
        <x:f>IF(ABS('Cash flow'!U36)&lt;0.005,0,'Cash flow'!U36)</x:f>
        <x:v>0</x:v>
      </x:c>
      <x:c r="V13" s="22" t="n">
        <x:f>IF(ABS('Cash flow'!V36)&lt;0.005,0,'Cash flow'!V36)</x:f>
        <x:v>0</x:v>
      </x:c>
      <x:c r="W13" s="22" t="n">
        <x:f>IF(ABS('Cash flow'!W36)&lt;0.005,0,'Cash flow'!W36)</x:f>
        <x:v>0</x:v>
      </x:c>
    </x:row>
    <x:row r="14" ht="17" customHeight="1">
      <x:c r="A14" s="1"/>
      <x:c r="B14" s="1"/>
      <x:c r="C14" s="1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</x:row>
    <x:row r="15" ht="17" customHeight="1">
      <x:c r="A15" s="1"/>
      <x:c r="B15" s="1"/>
      <x:c r="C15" s="1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</x:row>
    <x:row r="16" ht="17" customHeight="1">
      <x:c r="A16" s="1"/>
      <x:c r="B16" s="1"/>
      <x:c r="C16" s="1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</x:row>
    <x:row r="17" ht="17" customHeight="1">
      <x:c r="A17" s="1"/>
      <x:c r="B17" s="1"/>
      <x:c r="C17" s="1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</x:row>
    <x:row r="18" ht="17" customHeight="1">
      <x:c r="A18" s="1"/>
      <x:c r="B18" s="1"/>
      <x:c r="C18" s="1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0"/>
      <x:c r="T18" s="10"/>
      <x:c r="U18" s="10"/>
      <x:c r="V18" s="10"/>
      <x:c r="W18" s="10"/>
    </x:row>
    <x:row r="19" ht="17" customHeight="1">
      <x:c r="A19" s="1"/>
      <x:c r="B19" s="1"/>
      <x:c r="C19" s="1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10"/>
      <x:c r="U19" s="10"/>
      <x:c r="V19" s="10"/>
      <x:c r="W19" s="10"/>
    </x:row>
    <x:row r="20" ht="17" customHeight="1">
      <x:c r="A20" s="1"/>
      <x:c r="B20" s="1"/>
      <x:c r="C20" s="1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0"/>
      <x:c r="T20" s="10"/>
      <x:c r="U20" s="10"/>
      <x:c r="V20" s="10"/>
      <x:c r="W20" s="10"/>
    </x:row>
    <x:row r="21" ht="17" customHeight="1">
      <x:c r="A21" s="1"/>
      <x:c r="B21" s="1"/>
      <x:c r="C21" s="1"/>
      <x:c r="D21" s="10"/>
      <x:c r="E21" s="10"/>
      <x:c r="F21" s="10"/>
      <x:c r="G21" s="10"/>
      <x:c r="H21" s="10"/>
      <x:c r="I21" s="10"/>
      <x:c r="J21" s="10"/>
      <x:c r="K21" s="10"/>
      <x:c r="L21" s="10"/>
      <x:c r="M21" s="10"/>
      <x:c r="N21" s="10"/>
      <x:c r="O21" s="10"/>
      <x:c r="P21" s="10"/>
      <x:c r="Q21" s="10"/>
      <x:c r="R21" s="10"/>
      <x:c r="S21" s="10"/>
      <x:c r="T21" s="10"/>
      <x:c r="U21" s="10"/>
      <x:c r="V21" s="10"/>
      <x:c r="W21" s="10"/>
    </x:row>
    <x:row r="22" ht="17" customHeight="1">
      <x:c r="A22" s="1"/>
      <x:c r="B22" s="1"/>
      <x:c r="C22" s="1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  <x:c r="O22" s="10"/>
      <x:c r="P22" s="10"/>
      <x:c r="Q22" s="10"/>
      <x:c r="R22" s="10"/>
      <x:c r="S22" s="10"/>
      <x:c r="T22" s="10"/>
      <x:c r="U22" s="10"/>
      <x:c r="V22" s="10"/>
      <x:c r="W22" s="10"/>
    </x:row>
    <x:row r="23" ht="17" customHeight="1">
      <x:c r="A23" s="1"/>
      <x:c r="B23" s="1"/>
      <x:c r="C23" s="1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  <x:c r="O23" s="10"/>
      <x:c r="P23" s="10"/>
      <x:c r="Q23" s="10"/>
      <x:c r="R23" s="10"/>
      <x:c r="S23" s="10"/>
      <x:c r="T23" s="10"/>
      <x:c r="U23" s="10"/>
      <x:c r="V23" s="10"/>
      <x:c r="W23" s="10"/>
    </x:row>
    <x:row r="24" ht="17" customHeight="1">
      <x:c r="A24" s="1"/>
      <x:c r="B24" s="1"/>
      <x:c r="C24" s="1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0"/>
    </x:row>
    <x:row r="25" ht="17" customHeight="1">
      <x:c r="A25" s="1"/>
      <x:c r="B25" s="1"/>
      <x:c r="C25" s="1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  <x:c r="T25" s="10"/>
      <x:c r="U25" s="10"/>
      <x:c r="V25" s="10"/>
      <x:c r="W25" s="10"/>
    </x:row>
    <x:row r="26" ht="17" customHeight="1">
      <x:c r="A26" s="1"/>
      <x:c r="B26" s="1"/>
      <x:c r="C26" s="1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0"/>
      <x:c r="T26" s="10"/>
      <x:c r="U26" s="10"/>
      <x:c r="V26" s="10"/>
      <x:c r="W26" s="10"/>
    </x:row>
    <x:row r="27" ht="17" customHeight="1">
      <x:c r="A27" s="1"/>
      <x:c r="B27" s="1"/>
      <x:c r="C27" s="1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0"/>
      <x:c r="T27" s="10"/>
      <x:c r="U27" s="10"/>
      <x:c r="V27" s="10"/>
      <x:c r="W27" s="10"/>
    </x:row>
    <x:row r="28" ht="17" customHeight="1">
      <x:c r="A28" s="1"/>
      <x:c r="B28" s="1"/>
      <x:c r="C28" s="1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10"/>
      <x:c r="O28" s="10"/>
      <x:c r="P28" s="10"/>
      <x:c r="Q28" s="10"/>
      <x:c r="R28" s="10"/>
      <x:c r="S28" s="10"/>
      <x:c r="T28" s="10"/>
      <x:c r="U28" s="10"/>
      <x:c r="V28" s="10"/>
      <x:c r="W28" s="10"/>
    </x:row>
    <x:row r="29" ht="17" customHeight="1">
      <x:c r="A29" s="1"/>
      <x:c r="B29" s="1"/>
      <x:c r="C29" s="1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10"/>
      <x:c r="O29" s="10"/>
      <x:c r="P29" s="10"/>
      <x:c r="Q29" s="10"/>
      <x:c r="R29" s="10"/>
      <x:c r="S29" s="10"/>
      <x:c r="T29" s="10"/>
      <x:c r="U29" s="10"/>
      <x:c r="V29" s="10"/>
      <x:c r="W29" s="10"/>
    </x:row>
    <x:row r="30" ht="17" customHeight="1">
      <x:c r="A30" s="1"/>
      <x:c r="B30" s="1"/>
      <x:c r="C30" s="1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10"/>
      <x:c r="O30" s="10"/>
      <x:c r="P30" s="10"/>
      <x:c r="Q30" s="10"/>
      <x:c r="R30" s="10"/>
      <x:c r="S30" s="10"/>
      <x:c r="T30" s="10"/>
      <x:c r="U30" s="10"/>
      <x:c r="V30" s="10"/>
      <x:c r="W30" s="10"/>
    </x:row>
    <x:row r="31" ht="17" customHeight="1">
      <x:c r="A31" s="1"/>
      <x:c r="B31" s="1"/>
      <x:c r="C31" s="1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  <x:c r="O31" s="10"/>
      <x:c r="P31" s="10"/>
      <x:c r="Q31" s="10"/>
      <x:c r="R31" s="10"/>
      <x:c r="S31" s="10"/>
      <x:c r="T31" s="10"/>
      <x:c r="U31" s="10"/>
      <x:c r="V31" s="10"/>
      <x:c r="W31" s="10"/>
    </x:row>
    <x:row r="32" ht="17" customHeight="1">
      <x:c r="A32" s="1"/>
      <x:c r="B32" s="1"/>
      <x:c r="C32" s="1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10"/>
      <x:c r="O32" s="10"/>
      <x:c r="P32" s="10"/>
      <x:c r="Q32" s="10"/>
      <x:c r="R32" s="10"/>
      <x:c r="S32" s="10"/>
      <x:c r="T32" s="10"/>
      <x:c r="U32" s="10"/>
      <x:c r="V32" s="10"/>
      <x:c r="W32" s="10"/>
    </x:row>
    <x:row r="33" ht="17" customHeight="1">
      <x:c r="A33" s="1"/>
      <x:c r="B33" s="1"/>
      <x:c r="C33" s="1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10"/>
      <x:c r="O33" s="10"/>
      <x:c r="P33" s="10"/>
      <x:c r="Q33" s="10"/>
      <x:c r="R33" s="10"/>
      <x:c r="S33" s="10"/>
      <x:c r="T33" s="10"/>
      <x:c r="U33" s="10"/>
      <x:c r="V33" s="10"/>
      <x:c r="W33" s="10"/>
    </x:row>
    <x:row r="34" ht="17" customHeight="1">
      <x:c r="A34" s="1"/>
      <x:c r="B34" s="1"/>
      <x:c r="C34" s="1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10"/>
      <x:c r="O34" s="10"/>
      <x:c r="P34" s="10"/>
      <x:c r="Q34" s="10"/>
      <x:c r="R34" s="10"/>
      <x:c r="S34" s="10"/>
      <x:c r="T34" s="10"/>
      <x:c r="U34" s="10"/>
      <x:c r="V34" s="10"/>
      <x:c r="W34" s="10"/>
    </x:row>
    <x:row r="35" ht="17" customHeight="1">
      <x:c r="A35" s="1"/>
      <x:c r="B35" s="1"/>
      <x:c r="C35" s="1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10"/>
      <x:c r="O35" s="10"/>
      <x:c r="P35" s="10"/>
      <x:c r="Q35" s="10"/>
      <x:c r="R35" s="10"/>
      <x:c r="S35" s="10"/>
      <x:c r="T35" s="10"/>
      <x:c r="U35" s="10"/>
      <x:c r="V35" s="10"/>
      <x:c r="W35" s="10"/>
    </x:row>
    <x:row r="36" ht="17" customHeight="1">
      <x:c r="A36" s="1"/>
      <x:c r="B36" s="1"/>
      <x:c r="C36" s="1"/>
      <x:c r="D36" s="10"/>
      <x:c r="E36" s="10"/>
      <x:c r="F36" s="10"/>
      <x:c r="G36" s="10"/>
      <x:c r="H36" s="10"/>
      <x:c r="I36" s="10"/>
      <x:c r="J36" s="10"/>
      <x:c r="K36" s="10"/>
      <x:c r="L36" s="10"/>
      <x:c r="M36" s="10"/>
      <x:c r="N36" s="10"/>
      <x:c r="O36" s="10"/>
      <x:c r="P36" s="10"/>
      <x:c r="Q36" s="10"/>
      <x:c r="R36" s="10"/>
      <x:c r="S36" s="10"/>
      <x:c r="T36" s="10"/>
      <x:c r="U36" s="10"/>
      <x:c r="V36" s="10"/>
      <x:c r="W36" s="10"/>
    </x:row>
    <x:row r="37" ht="17" customHeight="1">
      <x:c r="A37" s="1"/>
      <x:c r="B37" s="1"/>
      <x:c r="C37" s="1"/>
      <x:c r="D37" s="10"/>
      <x:c r="E37" s="10"/>
      <x:c r="F37" s="10"/>
      <x:c r="G37" s="10"/>
      <x:c r="H37" s="10"/>
      <x:c r="I37" s="10"/>
      <x:c r="J37" s="10"/>
      <x:c r="K37" s="10"/>
      <x:c r="L37" s="10"/>
      <x:c r="M37" s="10"/>
      <x:c r="N37" s="10"/>
      <x:c r="O37" s="10"/>
      <x:c r="P37" s="10"/>
      <x:c r="Q37" s="10"/>
      <x:c r="R37" s="10"/>
      <x:c r="S37" s="10"/>
      <x:c r="T37" s="10"/>
      <x:c r="U37" s="10"/>
      <x:c r="V37" s="10"/>
      <x:c r="W37" s="10"/>
    </x:row>
    <x:row r="38" ht="17" customHeight="1">
      <x:c r="A38" s="1"/>
      <x:c r="B38" s="1"/>
      <x:c r="C38" s="1"/>
      <x:c r="D38" s="10"/>
      <x:c r="E38" s="10"/>
      <x:c r="F38" s="10"/>
      <x:c r="G38" s="10"/>
      <x:c r="H38" s="10"/>
      <x:c r="I38" s="10"/>
      <x:c r="J38" s="10"/>
      <x:c r="K38" s="10"/>
      <x:c r="L38" s="10"/>
      <x:c r="M38" s="10"/>
      <x:c r="N38" s="10"/>
      <x:c r="O38" s="10"/>
      <x:c r="P38" s="10"/>
      <x:c r="Q38" s="10"/>
      <x:c r="R38" s="10"/>
      <x:c r="S38" s="10"/>
      <x:c r="T38" s="10"/>
      <x:c r="U38" s="10"/>
      <x:c r="V38" s="10"/>
      <x:c r="W38" s="10"/>
    </x:row>
    <x:row r="39" ht="17" customHeight="1">
      <x:c r="A39" s="1"/>
      <x:c r="B39" s="1"/>
      <x:c r="C39" s="1"/>
      <x:c r="D39" s="10"/>
      <x:c r="E39" s="10"/>
      <x:c r="F39" s="10"/>
      <x:c r="G39" s="10"/>
      <x:c r="H39" s="10"/>
      <x:c r="I39" s="10"/>
      <x:c r="J39" s="10"/>
      <x:c r="K39" s="10"/>
      <x:c r="L39" s="10"/>
      <x:c r="M39" s="10"/>
      <x:c r="N39" s="10"/>
      <x:c r="O39" s="10"/>
      <x:c r="P39" s="10"/>
      <x:c r="Q39" s="10"/>
      <x:c r="R39" s="10"/>
      <x:c r="S39" s="10"/>
      <x:c r="T39" s="10"/>
      <x:c r="U39" s="10"/>
      <x:c r="V39" s="10"/>
      <x:c r="W39" s="10"/>
    </x:row>
    <x:row r="40" ht="17" customHeight="1">
      <x:c r="A40" s="1"/>
      <x:c r="B40" s="1"/>
      <x:c r="C40" s="1"/>
      <x:c r="D40" s="10"/>
      <x:c r="E40" s="10"/>
      <x:c r="F40" s="10"/>
      <x:c r="G40" s="10"/>
      <x:c r="H40" s="10"/>
      <x:c r="I40" s="10"/>
      <x:c r="J40" s="10"/>
      <x:c r="K40" s="10"/>
      <x:c r="L40" s="10"/>
      <x:c r="M40" s="10"/>
      <x:c r="N40" s="10"/>
      <x:c r="O40" s="10"/>
      <x:c r="P40" s="10"/>
      <x:c r="Q40" s="10"/>
      <x:c r="R40" s="10"/>
      <x:c r="S40" s="10"/>
      <x:c r="T40" s="10"/>
      <x:c r="U40" s="10"/>
      <x:c r="V40" s="10"/>
      <x:c r="W40" s="10"/>
    </x:row>
    <x:row r="41" ht="17" customHeight="1">
      <x:c r="A41" s="1"/>
      <x:c r="B41" s="1"/>
      <x:c r="C41" s="1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10"/>
      <x:c r="O41" s="10"/>
      <x:c r="P41" s="10"/>
      <x:c r="Q41" s="10"/>
      <x:c r="R41" s="10"/>
      <x:c r="S41" s="10"/>
      <x:c r="T41" s="10"/>
      <x:c r="U41" s="10"/>
      <x:c r="V41" s="10"/>
      <x:c r="W41" s="10"/>
    </x:row>
    <x:row r="42" ht="17" customHeight="1">
      <x:c r="A42" s="1"/>
      <x:c r="B42" s="1"/>
      <x:c r="C42" s="1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  <x:c r="O42" s="10"/>
      <x:c r="P42" s="10"/>
      <x:c r="Q42" s="10"/>
      <x:c r="R42" s="10"/>
      <x:c r="S42" s="10"/>
      <x:c r="T42" s="10"/>
      <x:c r="U42" s="10"/>
      <x:c r="V42" s="10"/>
      <x:c r="W42" s="10"/>
    </x:row>
    <x:row r="43" ht="17" customHeight="1">
      <x:c r="A43" s="1"/>
      <x:c r="B43" s="1"/>
      <x:c r="C43" s="1"/>
      <x:c r="D43" s="10"/>
      <x:c r="E43" s="10"/>
      <x:c r="F43" s="10"/>
      <x:c r="G43" s="10"/>
      <x:c r="H43" s="10"/>
      <x:c r="I43" s="10"/>
      <x:c r="J43" s="10"/>
      <x:c r="K43" s="10"/>
      <x:c r="L43" s="10"/>
      <x:c r="M43" s="10"/>
      <x:c r="N43" s="10"/>
      <x:c r="O43" s="10"/>
      <x:c r="P43" s="10"/>
      <x:c r="Q43" s="10"/>
      <x:c r="R43" s="10"/>
      <x:c r="S43" s="10"/>
      <x:c r="T43" s="10"/>
      <x:c r="U43" s="10"/>
      <x:c r="V43" s="10"/>
      <x:c r="W43" s="10"/>
    </x:row>
    <x:row r="44" ht="17" customHeight="1">
      <x:c r="A44" s="1"/>
      <x:c r="B44" s="1"/>
      <x:c r="C44" s="1"/>
      <x:c r="D44" s="10"/>
      <x:c r="E44" s="10"/>
      <x:c r="F44" s="10"/>
      <x:c r="G44" s="10"/>
      <x:c r="H44" s="10"/>
      <x:c r="I44" s="10"/>
      <x:c r="J44" s="10"/>
      <x:c r="K44" s="10"/>
      <x:c r="L44" s="10"/>
      <x:c r="M44" s="10"/>
      <x:c r="N44" s="10"/>
      <x:c r="O44" s="10"/>
      <x:c r="P44" s="10"/>
      <x:c r="Q44" s="10"/>
      <x:c r="R44" s="10"/>
      <x:c r="S44" s="10"/>
      <x:c r="T44" s="10"/>
      <x:c r="U44" s="10"/>
      <x:c r="V44" s="10"/>
      <x:c r="W44" s="10"/>
    </x:row>
    <x:row r="45" ht="17" customHeight="1">
      <x:c r="A45" s="1"/>
      <x:c r="B45" s="1"/>
      <x:c r="C45" s="1"/>
      <x:c r="D45" s="10"/>
      <x:c r="E45" s="10"/>
      <x:c r="F45" s="10"/>
      <x:c r="G45" s="10"/>
      <x:c r="H45" s="10"/>
      <x:c r="I45" s="10"/>
      <x:c r="J45" s="10"/>
      <x:c r="K45" s="10"/>
      <x:c r="L45" s="10"/>
      <x:c r="M45" s="10"/>
      <x:c r="N45" s="10"/>
      <x:c r="O45" s="10"/>
      <x:c r="P45" s="10"/>
      <x:c r="Q45" s="10"/>
      <x:c r="R45" s="10"/>
      <x:c r="S45" s="10"/>
      <x:c r="T45" s="10"/>
      <x:c r="U45" s="10"/>
      <x:c r="V45" s="10"/>
      <x:c r="W45" s="10"/>
    </x:row>
    <x:row r="46" ht="17" customHeight="1">
      <x:c r="A46" s="1"/>
      <x:c r="B46" s="1"/>
      <x:c r="C46" s="1"/>
      <x:c r="D46" s="10"/>
      <x:c r="E46" s="10"/>
      <x:c r="F46" s="10"/>
      <x:c r="G46" s="10"/>
      <x:c r="H46" s="10"/>
      <x:c r="I46" s="10"/>
      <x:c r="J46" s="10"/>
      <x:c r="K46" s="10"/>
      <x:c r="L46" s="10"/>
      <x:c r="M46" s="10"/>
      <x:c r="N46" s="10"/>
      <x:c r="O46" s="10"/>
      <x:c r="P46" s="10"/>
      <x:c r="Q46" s="10"/>
      <x:c r="R46" s="10"/>
      <x:c r="S46" s="10"/>
      <x:c r="T46" s="10"/>
      <x:c r="U46" s="10"/>
      <x:c r="V46" s="10"/>
      <x:c r="W46" s="10"/>
    </x:row>
    <x:row r="47" ht="17" customHeight="1">
      <x:c r="A47" s="1"/>
      <x:c r="B47" s="1"/>
      <x:c r="C47" s="1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  <x:c r="N47" s="10"/>
      <x:c r="O47" s="10"/>
      <x:c r="P47" s="10"/>
      <x:c r="Q47" s="10"/>
      <x:c r="R47" s="10"/>
      <x:c r="S47" s="10"/>
      <x:c r="T47" s="10"/>
      <x:c r="U47" s="10"/>
      <x:c r="V47" s="10"/>
      <x:c r="W47" s="10"/>
    </x:row>
    <x:row r="48" ht="17" customHeight="1">
      <x:c r="A48" s="1"/>
      <x:c r="B48" s="1"/>
      <x:c r="C48" s="1"/>
      <x:c r="D48" s="10"/>
      <x:c r="E48" s="10"/>
      <x:c r="F48" s="10"/>
      <x:c r="G48" s="10"/>
      <x:c r="H48" s="10"/>
      <x:c r="I48" s="10"/>
      <x:c r="J48" s="10"/>
      <x:c r="K48" s="10"/>
      <x:c r="L48" s="10"/>
      <x:c r="M48" s="10"/>
      <x:c r="N48" s="10"/>
      <x:c r="O48" s="10"/>
      <x:c r="P48" s="10"/>
      <x:c r="Q48" s="10"/>
      <x:c r="R48" s="10"/>
      <x:c r="S48" s="10"/>
      <x:c r="T48" s="10"/>
      <x:c r="U48" s="10"/>
      <x:c r="V48" s="10"/>
      <x:c r="W48" s="10"/>
    </x:row>
    <x:row r="49" ht="17" customHeight="1">
      <x:c r="A49" s="1"/>
      <x:c r="B49" s="1"/>
      <x:c r="C49" s="1"/>
      <x:c r="D49" s="10"/>
      <x:c r="E49" s="10"/>
      <x:c r="F49" s="10"/>
      <x:c r="G49" s="10"/>
      <x:c r="H49" s="10"/>
      <x:c r="I49" s="10"/>
      <x:c r="J49" s="10"/>
      <x:c r="K49" s="10"/>
      <x:c r="L49" s="10"/>
      <x:c r="M49" s="10"/>
      <x:c r="N49" s="10"/>
      <x:c r="O49" s="10"/>
      <x:c r="P49" s="10"/>
      <x:c r="Q49" s="10"/>
      <x:c r="R49" s="10"/>
      <x:c r="S49" s="10"/>
      <x:c r="T49" s="10"/>
      <x:c r="U49" s="10"/>
      <x:c r="V49" s="10"/>
      <x:c r="W49" s="10"/>
    </x:row>
    <x:row r="50" ht="17" customHeight="1">
      <x:c r="A50" s="1"/>
      <x:c r="B50" s="1"/>
      <x:c r="C50" s="1"/>
      <x:c r="D50" s="10"/>
      <x:c r="E50" s="10"/>
      <x:c r="F50" s="10"/>
      <x:c r="G50" s="10"/>
      <x:c r="H50" s="10"/>
      <x:c r="I50" s="10"/>
      <x:c r="J50" s="10"/>
      <x:c r="K50" s="10"/>
      <x:c r="L50" s="10"/>
      <x:c r="M50" s="10"/>
      <x:c r="N50" s="10"/>
      <x:c r="O50" s="10"/>
      <x:c r="P50" s="10"/>
      <x:c r="Q50" s="10"/>
      <x:c r="R50" s="10"/>
      <x:c r="S50" s="10"/>
      <x:c r="T50" s="10"/>
      <x:c r="U50" s="10"/>
      <x:c r="V50" s="10"/>
      <x:c r="W50" s="10"/>
    </x:row>
    <x:row r="51" ht="17" customHeight="1">
      <x:c r="A51" s="1"/>
      <x:c r="B51" s="1"/>
      <x:c r="C51" s="1"/>
      <x:c r="D51" s="10"/>
      <x:c r="E51" s="10"/>
      <x:c r="F51" s="10"/>
      <x:c r="G51" s="10"/>
      <x:c r="H51" s="10"/>
      <x:c r="I51" s="10"/>
      <x:c r="J51" s="10"/>
      <x:c r="K51" s="10"/>
      <x:c r="L51" s="10"/>
      <x:c r="M51" s="10"/>
      <x:c r="N51" s="10"/>
      <x:c r="O51" s="10"/>
      <x:c r="P51" s="10"/>
      <x:c r="Q51" s="10"/>
      <x:c r="R51" s="10"/>
      <x:c r="S51" s="10"/>
      <x:c r="T51" s="10"/>
      <x:c r="U51" s="10"/>
      <x:c r="V51" s="10"/>
      <x:c r="W51" s="10"/>
    </x:row>
    <x:row r="52" ht="17" customHeight="1">
      <x:c r="A52" s="1"/>
      <x:c r="B52" s="1"/>
      <x:c r="C52" s="1"/>
      <x:c r="D52" s="10"/>
      <x:c r="E52" s="10"/>
      <x:c r="F52" s="10"/>
      <x:c r="G52" s="10"/>
      <x:c r="H52" s="10"/>
      <x:c r="I52" s="10"/>
      <x:c r="J52" s="10"/>
      <x:c r="K52" s="10"/>
      <x:c r="L52" s="10"/>
      <x:c r="M52" s="10"/>
      <x:c r="N52" s="10"/>
      <x:c r="O52" s="10"/>
      <x:c r="P52" s="10"/>
      <x:c r="Q52" s="10"/>
      <x:c r="R52" s="10"/>
      <x:c r="S52" s="10"/>
      <x:c r="T52" s="10"/>
      <x:c r="U52" s="10"/>
      <x:c r="V52" s="10"/>
      <x:c r="W52" s="10"/>
    </x:row>
    <x:row r="53" ht="17" customHeight="1">
      <x:c r="A53" s="1"/>
      <x:c r="B53" s="1"/>
      <x:c r="C53" s="1"/>
      <x:c r="D53" s="10"/>
      <x:c r="E53" s="10"/>
      <x:c r="F53" s="10"/>
      <x:c r="G53" s="10"/>
      <x:c r="H53" s="10"/>
      <x:c r="I53" s="10"/>
      <x:c r="J53" s="10"/>
      <x:c r="K53" s="10"/>
      <x:c r="L53" s="10"/>
      <x:c r="M53" s="10"/>
      <x:c r="N53" s="10"/>
      <x:c r="O53" s="10"/>
      <x:c r="P53" s="10"/>
      <x:c r="Q53" s="10"/>
      <x:c r="R53" s="10"/>
      <x:c r="S53" s="10"/>
      <x:c r="T53" s="10"/>
      <x:c r="U53" s="10"/>
      <x:c r="V53" s="10"/>
      <x:c r="W53" s="10"/>
    </x:row>
    <x:row r="54" ht="17" customHeight="1">
      <x:c r="A54" s="1"/>
      <x:c r="B54" s="1"/>
      <x:c r="C54" s="1"/>
      <x:c r="D54" s="10"/>
      <x:c r="E54" s="10"/>
      <x:c r="F54" s="10"/>
      <x:c r="G54" s="10"/>
      <x:c r="H54" s="10"/>
      <x:c r="I54" s="10"/>
      <x:c r="J54" s="10"/>
      <x:c r="K54" s="10"/>
      <x:c r="L54" s="10"/>
      <x:c r="M54" s="10"/>
      <x:c r="N54" s="10"/>
      <x:c r="O54" s="10"/>
      <x:c r="P54" s="10"/>
      <x:c r="Q54" s="10"/>
      <x:c r="R54" s="10"/>
      <x:c r="S54" s="10"/>
      <x:c r="T54" s="10"/>
      <x:c r="U54" s="10"/>
      <x:c r="V54" s="10"/>
      <x:c r="W54" s="10"/>
    </x:row>
    <x:row r="55" ht="17" customHeight="1">
      <x:c r="A55" s="1"/>
      <x:c r="B55" s="1"/>
      <x:c r="C55" s="1"/>
      <x:c r="D55" s="10"/>
      <x:c r="E55" s="10"/>
      <x:c r="F55" s="10"/>
      <x:c r="G55" s="10"/>
      <x:c r="H55" s="10"/>
      <x:c r="I55" s="10"/>
      <x:c r="J55" s="10"/>
      <x:c r="K55" s="10"/>
      <x:c r="L55" s="10"/>
      <x:c r="M55" s="10"/>
      <x:c r="N55" s="10"/>
      <x:c r="O55" s="10"/>
      <x:c r="P55" s="10"/>
      <x:c r="Q55" s="10"/>
      <x:c r="R55" s="10"/>
      <x:c r="S55" s="10"/>
      <x:c r="T55" s="10"/>
      <x:c r="U55" s="10"/>
      <x:c r="V55" s="10"/>
      <x:c r="W55" s="10"/>
    </x:row>
    <x:row r="56" ht="17" customHeight="1">
      <x:c r="A56" s="1"/>
      <x:c r="B56" s="1"/>
      <x:c r="C56" s="1"/>
      <x:c r="D56" s="10"/>
      <x:c r="E56" s="10"/>
      <x:c r="F56" s="10"/>
      <x:c r="G56" s="10"/>
      <x:c r="H56" s="10"/>
      <x:c r="I56" s="10"/>
      <x:c r="J56" s="10"/>
      <x:c r="K56" s="10"/>
      <x:c r="L56" s="10"/>
      <x:c r="M56" s="10"/>
      <x:c r="N56" s="10"/>
      <x:c r="O56" s="10"/>
      <x:c r="P56" s="10"/>
      <x:c r="Q56" s="10"/>
      <x:c r="R56" s="10"/>
      <x:c r="S56" s="10"/>
      <x:c r="T56" s="10"/>
      <x:c r="U56" s="10"/>
      <x:c r="V56" s="10"/>
      <x:c r="W56" s="10"/>
    </x:row>
    <x:row r="57" ht="17" customHeight="1">
      <x:c r="A57" s="1"/>
      <x:c r="B57" s="1"/>
      <x:c r="C57" s="1"/>
      <x:c r="D57" s="10"/>
      <x:c r="E57" s="10"/>
      <x:c r="F57" s="10"/>
      <x:c r="G57" s="10"/>
      <x:c r="H57" s="10"/>
      <x:c r="I57" s="10"/>
      <x:c r="J57" s="10"/>
      <x:c r="K57" s="10"/>
      <x:c r="L57" s="10"/>
      <x:c r="M57" s="10"/>
      <x:c r="N57" s="10"/>
      <x:c r="O57" s="10"/>
      <x:c r="P57" s="10"/>
      <x:c r="Q57" s="10"/>
      <x:c r="R57" s="10"/>
      <x:c r="S57" s="10"/>
      <x:c r="T57" s="10"/>
      <x:c r="U57" s="10"/>
      <x:c r="V57" s="10"/>
      <x:c r="W57" s="10"/>
    </x:row>
    <x:row r="58" ht="17" customHeight="1">
      <x:c r="A58" s="1"/>
      <x:c r="B58" s="1"/>
      <x:c r="C58" s="1"/>
      <x:c r="D58" s="10"/>
      <x:c r="E58" s="10"/>
      <x:c r="F58" s="10"/>
      <x:c r="G58" s="10"/>
      <x:c r="H58" s="10"/>
      <x:c r="I58" s="10"/>
      <x:c r="J58" s="10"/>
      <x:c r="K58" s="10"/>
      <x:c r="L58" s="10"/>
      <x:c r="M58" s="10"/>
      <x:c r="N58" s="10"/>
      <x:c r="O58" s="10"/>
      <x:c r="P58" s="10"/>
      <x:c r="Q58" s="10"/>
      <x:c r="R58" s="10"/>
      <x:c r="S58" s="10"/>
      <x:c r="T58" s="10"/>
      <x:c r="U58" s="10"/>
      <x:c r="V58" s="10"/>
      <x:c r="W58" s="10"/>
    </x:row>
    <x:row r="59" ht="17" customHeight="1">
      <x:c r="A59" s="1"/>
      <x:c r="B59" s="1"/>
      <x:c r="C59" s="1"/>
      <x:c r="D59" s="10"/>
      <x:c r="E59" s="10"/>
      <x:c r="F59" s="10"/>
      <x:c r="G59" s="10"/>
      <x:c r="H59" s="10"/>
      <x:c r="I59" s="10"/>
      <x:c r="J59" s="10"/>
      <x:c r="K59" s="10"/>
      <x:c r="L59" s="10"/>
      <x:c r="M59" s="10"/>
      <x:c r="N59" s="10"/>
      <x:c r="O59" s="10"/>
      <x:c r="P59" s="10"/>
      <x:c r="Q59" s="10"/>
      <x:c r="R59" s="10"/>
      <x:c r="S59" s="10"/>
      <x:c r="T59" s="10"/>
      <x:c r="U59" s="10"/>
      <x:c r="V59" s="10"/>
      <x:c r="W59" s="10"/>
    </x:row>
    <x:row r="60" ht="17" customHeight="1">
      <x:c r="A60" s="1"/>
      <x:c r="B60" s="1"/>
      <x:c r="C60" s="1"/>
      <x:c r="D60" s="10"/>
      <x:c r="E60" s="10"/>
      <x:c r="F60" s="10"/>
      <x:c r="G60" s="10"/>
      <x:c r="H60" s="10"/>
      <x:c r="I60" s="10"/>
      <x:c r="J60" s="10"/>
      <x:c r="K60" s="10"/>
      <x:c r="L60" s="10"/>
      <x:c r="M60" s="10"/>
      <x:c r="N60" s="10"/>
      <x:c r="O60" s="10"/>
      <x:c r="P60" s="10"/>
      <x:c r="Q60" s="10"/>
      <x:c r="R60" s="10"/>
      <x:c r="S60" s="10"/>
      <x:c r="T60" s="10"/>
      <x:c r="U60" s="10"/>
      <x:c r="V60" s="10"/>
      <x:c r="W60" s="10"/>
    </x:row>
    <x:row r="61" ht="17" customHeight="1">
      <x:c r="A61" s="1"/>
      <x:c r="B61" s="1"/>
      <x:c r="C61" s="1"/>
      <x:c r="D61" s="10"/>
      <x:c r="E61" s="10"/>
      <x:c r="F61" s="10"/>
      <x:c r="G61" s="10"/>
      <x:c r="H61" s="10"/>
      <x:c r="I61" s="10"/>
      <x:c r="J61" s="10"/>
      <x:c r="K61" s="10"/>
      <x:c r="L61" s="10"/>
      <x:c r="M61" s="10"/>
      <x:c r="N61" s="10"/>
      <x:c r="O61" s="10"/>
      <x:c r="P61" s="10"/>
      <x:c r="Q61" s="10"/>
      <x:c r="R61" s="10"/>
      <x:c r="S61" s="10"/>
      <x:c r="T61" s="10"/>
      <x:c r="U61" s="10"/>
      <x:c r="V61" s="10"/>
      <x:c r="W61" s="10"/>
    </x:row>
    <x:row r="62" ht="17" customHeight="1">
      <x:c r="A62" s="1"/>
      <x:c r="B62" s="1"/>
      <x:c r="C62" s="1"/>
      <x:c r="D62" s="10"/>
      <x:c r="E62" s="10"/>
      <x:c r="F62" s="10"/>
      <x:c r="G62" s="10"/>
      <x:c r="H62" s="10"/>
      <x:c r="I62" s="10"/>
      <x:c r="J62" s="10"/>
      <x:c r="K62" s="10"/>
      <x:c r="L62" s="10"/>
      <x:c r="M62" s="10"/>
      <x:c r="N62" s="10"/>
      <x:c r="O62" s="10"/>
      <x:c r="P62" s="10"/>
      <x:c r="Q62" s="10"/>
      <x:c r="R62" s="10"/>
      <x:c r="S62" s="10"/>
      <x:c r="T62" s="10"/>
      <x:c r="U62" s="10"/>
      <x:c r="V62" s="10"/>
      <x:c r="W62" s="10"/>
    </x:row>
    <x:row r="63" ht="17" customHeight="1">
      <x:c r="A63" s="1"/>
      <x:c r="B63" s="1"/>
      <x:c r="C63" s="1"/>
      <x:c r="D63" s="10"/>
      <x:c r="E63" s="10"/>
      <x:c r="F63" s="10"/>
      <x:c r="G63" s="10"/>
      <x:c r="H63" s="10"/>
      <x:c r="I63" s="10"/>
      <x:c r="J63" s="10"/>
      <x:c r="K63" s="10"/>
      <x:c r="L63" s="10"/>
      <x:c r="M63" s="10"/>
      <x:c r="N63" s="10"/>
      <x:c r="O63" s="10"/>
      <x:c r="P63" s="10"/>
      <x:c r="Q63" s="10"/>
      <x:c r="R63" s="10"/>
      <x:c r="S63" s="10"/>
      <x:c r="T63" s="10"/>
      <x:c r="U63" s="10"/>
      <x:c r="V63" s="10"/>
      <x:c r="W63" s="10"/>
    </x:row>
    <x:row r="64" ht="17" customHeight="1">
      <x:c r="A64" s="1"/>
      <x:c r="B64" s="1"/>
      <x:c r="C64" s="1"/>
      <x:c r="D64" s="10"/>
      <x:c r="E64" s="10"/>
      <x:c r="F64" s="10"/>
      <x:c r="G64" s="10"/>
      <x:c r="H64" s="10"/>
      <x:c r="I64" s="10"/>
      <x:c r="J64" s="10"/>
      <x:c r="K64" s="10"/>
      <x:c r="L64" s="10"/>
      <x:c r="M64" s="10"/>
      <x:c r="N64" s="10"/>
      <x:c r="O64" s="10"/>
      <x:c r="P64" s="10"/>
      <x:c r="Q64" s="10"/>
      <x:c r="R64" s="10"/>
      <x:c r="S64" s="10"/>
      <x:c r="T64" s="10"/>
      <x:c r="U64" s="10"/>
      <x:c r="V64" s="10"/>
      <x:c r="W64" s="10"/>
    </x:row>
    <x:row r="65" ht="17" customHeight="1">
      <x:c r="A65" s="1"/>
      <x:c r="B65" s="1"/>
      <x:c r="C65" s="1"/>
      <x:c r="D65" s="10"/>
      <x:c r="E65" s="10"/>
      <x:c r="F65" s="10"/>
      <x:c r="G65" s="10"/>
      <x:c r="H65" s="10"/>
      <x:c r="I65" s="10"/>
      <x:c r="J65" s="10"/>
      <x:c r="K65" s="10"/>
      <x:c r="L65" s="10"/>
      <x:c r="M65" s="10"/>
      <x:c r="N65" s="10"/>
      <x:c r="O65" s="10"/>
      <x:c r="P65" s="10"/>
      <x:c r="Q65" s="10"/>
      <x:c r="R65" s="10"/>
      <x:c r="S65" s="10"/>
      <x:c r="T65" s="10"/>
      <x:c r="U65" s="10"/>
      <x:c r="V65" s="10"/>
      <x:c r="W65" s="10"/>
    </x:row>
    <x:row r="66" ht="17" customHeight="1">
      <x:c r="A66" s="1"/>
      <x:c r="B66" s="1"/>
      <x:c r="C66" s="1"/>
      <x:c r="D66" s="10"/>
      <x:c r="E66" s="10"/>
      <x:c r="F66" s="10"/>
      <x:c r="G66" s="10"/>
      <x:c r="H66" s="10"/>
      <x:c r="I66" s="10"/>
      <x:c r="J66" s="10"/>
      <x:c r="K66" s="10"/>
      <x:c r="L66" s="10"/>
      <x:c r="M66" s="10"/>
      <x:c r="N66" s="10"/>
      <x:c r="O66" s="10"/>
      <x:c r="P66" s="10"/>
      <x:c r="Q66" s="10"/>
      <x:c r="R66" s="10"/>
      <x:c r="S66" s="10"/>
      <x:c r="T66" s="10"/>
      <x:c r="U66" s="10"/>
      <x:c r="V66" s="10"/>
      <x:c r="W66" s="10"/>
    </x:row>
    <x:row r="67" ht="17" customHeight="1">
      <x:c r="A67" s="1"/>
      <x:c r="B67" s="1"/>
      <x:c r="C67" s="1"/>
      <x:c r="D67" s="10"/>
      <x:c r="E67" s="10"/>
      <x:c r="F67" s="10"/>
      <x:c r="G67" s="10"/>
      <x:c r="H67" s="10"/>
      <x:c r="I67" s="10"/>
      <x:c r="J67" s="10"/>
      <x:c r="K67" s="10"/>
      <x:c r="L67" s="10"/>
      <x:c r="M67" s="10"/>
      <x:c r="N67" s="10"/>
      <x:c r="O67" s="10"/>
      <x:c r="P67" s="10"/>
      <x:c r="Q67" s="10"/>
      <x:c r="R67" s="10"/>
      <x:c r="S67" s="10"/>
      <x:c r="T67" s="10"/>
      <x:c r="U67" s="10"/>
      <x:c r="V67" s="10"/>
      <x:c r="W67" s="10"/>
    </x:row>
    <x:row r="68" ht="17" customHeight="1">
      <x:c r="A68" s="1"/>
      <x:c r="B68" s="1"/>
      <x:c r="C68" s="1"/>
      <x:c r="D68" s="10"/>
      <x:c r="E68" s="10"/>
      <x:c r="F68" s="10"/>
      <x:c r="G68" s="10"/>
      <x:c r="H68" s="10"/>
      <x:c r="I68" s="10"/>
      <x:c r="J68" s="10"/>
      <x:c r="K68" s="10"/>
      <x:c r="L68" s="10"/>
      <x:c r="M68" s="10"/>
      <x:c r="N68" s="10"/>
      <x:c r="O68" s="10"/>
      <x:c r="P68" s="10"/>
      <x:c r="Q68" s="10"/>
      <x:c r="R68" s="10"/>
      <x:c r="S68" s="10"/>
      <x:c r="T68" s="10"/>
      <x:c r="U68" s="10"/>
      <x:c r="V68" s="10"/>
      <x:c r="W68" s="10"/>
    </x:row>
    <x:row r="69" ht="17" customHeight="1">
      <x:c r="A69" s="1"/>
      <x:c r="B69" s="1"/>
      <x:c r="C69" s="1"/>
      <x:c r="D69" s="10"/>
      <x:c r="E69" s="10"/>
      <x:c r="F69" s="10"/>
      <x:c r="G69" s="10"/>
      <x:c r="H69" s="10"/>
      <x:c r="I69" s="10"/>
      <x:c r="J69" s="10"/>
      <x:c r="K69" s="10"/>
      <x:c r="L69" s="10"/>
      <x:c r="M69" s="10"/>
      <x:c r="N69" s="10"/>
      <x:c r="O69" s="10"/>
      <x:c r="P69" s="10"/>
      <x:c r="Q69" s="10"/>
      <x:c r="R69" s="10"/>
      <x:c r="S69" s="10"/>
      <x:c r="T69" s="10"/>
      <x:c r="U69" s="10"/>
      <x:c r="V69" s="10"/>
      <x:c r="W69" s="10"/>
    </x:row>
    <x:row r="70" ht="17" customHeight="1">
      <x:c r="A70" s="1"/>
      <x:c r="B70" s="1"/>
      <x:c r="C70" s="1"/>
      <x:c r="D70" s="10"/>
      <x:c r="E70" s="10"/>
      <x:c r="F70" s="10"/>
      <x:c r="G70" s="10"/>
      <x:c r="H70" s="10"/>
      <x:c r="I70" s="10"/>
      <x:c r="J70" s="10"/>
      <x:c r="K70" s="10"/>
      <x:c r="L70" s="10"/>
      <x:c r="M70" s="10"/>
      <x:c r="N70" s="10"/>
      <x:c r="O70" s="10"/>
      <x:c r="P70" s="10"/>
      <x:c r="Q70" s="10"/>
      <x:c r="R70" s="10"/>
      <x:c r="S70" s="10"/>
      <x:c r="T70" s="10"/>
      <x:c r="U70" s="10"/>
      <x:c r="V70" s="10"/>
      <x:c r="W70" s="10"/>
    </x:row>
    <x:row r="71" ht="17" customHeight="1">
      <x:c r="A71" s="1"/>
      <x:c r="B71" s="1"/>
      <x:c r="C71" s="1"/>
      <x:c r="D71" s="10"/>
      <x:c r="E71" s="10"/>
      <x:c r="F71" s="10"/>
      <x:c r="G71" s="10"/>
      <x:c r="H71" s="10"/>
      <x:c r="I71" s="10"/>
      <x:c r="J71" s="10"/>
      <x:c r="K71" s="10"/>
      <x:c r="L71" s="10"/>
      <x:c r="M71" s="10"/>
      <x:c r="N71" s="10"/>
      <x:c r="O71" s="10"/>
      <x:c r="P71" s="10"/>
      <x:c r="Q71" s="10"/>
      <x:c r="R71" s="10"/>
      <x:c r="S71" s="10"/>
      <x:c r="T71" s="10"/>
      <x:c r="U71" s="10"/>
      <x:c r="V71" s="10"/>
      <x:c r="W71" s="10"/>
    </x:row>
    <x:row r="72" ht="17" customHeight="1">
      <x:c r="A72" s="1"/>
      <x:c r="B72" s="1"/>
      <x:c r="C72" s="1"/>
      <x:c r="D72" s="10"/>
      <x:c r="E72" s="10"/>
      <x:c r="F72" s="10"/>
      <x:c r="G72" s="10"/>
      <x:c r="H72" s="10"/>
      <x:c r="I72" s="10"/>
      <x:c r="J72" s="10"/>
      <x:c r="K72" s="10"/>
      <x:c r="L72" s="10"/>
      <x:c r="M72" s="10"/>
      <x:c r="N72" s="10"/>
      <x:c r="O72" s="10"/>
      <x:c r="P72" s="10"/>
      <x:c r="Q72" s="10"/>
      <x:c r="R72" s="10"/>
      <x:c r="S72" s="10"/>
      <x:c r="T72" s="10"/>
      <x:c r="U72" s="10"/>
      <x:c r="V72" s="10"/>
      <x:c r="W72" s="10"/>
    </x:row>
    <x:row r="73" ht="17" customHeight="1">
      <x:c r="A73" s="1"/>
      <x:c r="B73" s="1"/>
      <x:c r="C73" s="1"/>
      <x:c r="D73" s="10"/>
      <x:c r="E73" s="10"/>
      <x:c r="F73" s="10"/>
      <x:c r="G73" s="10"/>
      <x:c r="H73" s="10"/>
      <x:c r="I73" s="10"/>
      <x:c r="J73" s="10"/>
      <x:c r="K73" s="10"/>
      <x:c r="L73" s="10"/>
      <x:c r="M73" s="10"/>
      <x:c r="N73" s="10"/>
      <x:c r="O73" s="10"/>
      <x:c r="P73" s="10"/>
      <x:c r="Q73" s="10"/>
      <x:c r="R73" s="10"/>
      <x:c r="S73" s="10"/>
      <x:c r="T73" s="10"/>
      <x:c r="U73" s="10"/>
      <x:c r="V73" s="10"/>
      <x:c r="W73" s="10"/>
    </x:row>
    <x:row r="74" ht="17" customHeight="1">
      <x:c r="A74" s="1"/>
      <x:c r="B74" s="1"/>
      <x:c r="C74" s="1"/>
      <x:c r="D74" s="10"/>
      <x:c r="E74" s="10"/>
      <x:c r="F74" s="10"/>
      <x:c r="G74" s="10"/>
      <x:c r="H74" s="10"/>
      <x:c r="I74" s="10"/>
      <x:c r="J74" s="10"/>
      <x:c r="K74" s="10"/>
      <x:c r="L74" s="10"/>
      <x:c r="M74" s="10"/>
      <x:c r="N74" s="10"/>
      <x:c r="O74" s="10"/>
      <x:c r="P74" s="10"/>
      <x:c r="Q74" s="10"/>
      <x:c r="R74" s="10"/>
      <x:c r="S74" s="10"/>
      <x:c r="T74" s="10"/>
      <x:c r="U74" s="10"/>
      <x:c r="V74" s="10"/>
      <x:c r="W74" s="10"/>
    </x:row>
    <x:row r="75" ht="17" customHeight="1">
      <x:c r="A75" s="1"/>
      <x:c r="B75" s="1"/>
      <x:c r="C75" s="1"/>
      <x:c r="D75" s="10"/>
      <x:c r="E75" s="10"/>
      <x:c r="F75" s="10"/>
      <x:c r="G75" s="10"/>
      <x:c r="H75" s="10"/>
      <x:c r="I75" s="10"/>
      <x:c r="J75" s="10"/>
      <x:c r="K75" s="10"/>
      <x:c r="L75" s="10"/>
      <x:c r="M75" s="10"/>
      <x:c r="N75" s="10"/>
      <x:c r="O75" s="10"/>
      <x:c r="P75" s="10"/>
      <x:c r="Q75" s="10"/>
      <x:c r="R75" s="10"/>
      <x:c r="S75" s="10"/>
      <x:c r="T75" s="10"/>
      <x:c r="U75" s="10"/>
      <x:c r="V75" s="10"/>
      <x:c r="W75" s="10"/>
    </x:row>
    <x:row r="76" ht="17" customHeight="1">
      <x:c r="A76" s="1"/>
      <x:c r="B76" s="1"/>
      <x:c r="C76" s="1"/>
      <x:c r="D76" s="10"/>
      <x:c r="E76" s="10"/>
      <x:c r="F76" s="10"/>
      <x:c r="G76" s="10"/>
      <x:c r="H76" s="10"/>
      <x:c r="I76" s="10"/>
      <x:c r="J76" s="10"/>
      <x:c r="K76" s="10"/>
      <x:c r="L76" s="10"/>
      <x:c r="M76" s="10"/>
      <x:c r="N76" s="10"/>
      <x:c r="O76" s="10"/>
      <x:c r="P76" s="10"/>
      <x:c r="Q76" s="10"/>
      <x:c r="R76" s="10"/>
      <x:c r="S76" s="10"/>
      <x:c r="T76" s="10"/>
      <x:c r="U76" s="10"/>
      <x:c r="V76" s="10"/>
      <x:c r="W76" s="10"/>
    </x:row>
    <x:row r="77" ht="17" customHeight="1">
      <x:c r="A77" s="1"/>
      <x:c r="B77" s="1"/>
      <x:c r="C77" s="1"/>
      <x:c r="D77" s="10"/>
      <x:c r="E77" s="10"/>
      <x:c r="F77" s="10"/>
      <x:c r="G77" s="10"/>
      <x:c r="H77" s="10"/>
      <x:c r="I77" s="10"/>
      <x:c r="J77" s="10"/>
      <x:c r="K77" s="10"/>
      <x:c r="L77" s="10"/>
      <x:c r="M77" s="10"/>
      <x:c r="N77" s="10"/>
      <x:c r="O77" s="10"/>
      <x:c r="P77" s="10"/>
      <x:c r="Q77" s="10"/>
      <x:c r="R77" s="10"/>
      <x:c r="S77" s="10"/>
      <x:c r="T77" s="10"/>
      <x:c r="U77" s="10"/>
      <x:c r="V77" s="10"/>
      <x:c r="W77" s="10"/>
    </x:row>
    <x:row r="78" ht="17" customHeight="1">
      <x:c r="A78" s="1"/>
      <x:c r="B78" s="1"/>
      <x:c r="C78" s="1"/>
      <x:c r="D78" s="10"/>
      <x:c r="E78" s="10"/>
      <x:c r="F78" s="10"/>
      <x:c r="G78" s="10"/>
      <x:c r="H78" s="10"/>
      <x:c r="I78" s="10"/>
      <x:c r="J78" s="10"/>
      <x:c r="K78" s="10"/>
      <x:c r="L78" s="10"/>
      <x:c r="M78" s="10"/>
      <x:c r="N78" s="10"/>
      <x:c r="O78" s="10"/>
      <x:c r="P78" s="10"/>
      <x:c r="Q78" s="10"/>
      <x:c r="R78" s="10"/>
      <x:c r="S78" s="10"/>
      <x:c r="T78" s="10"/>
      <x:c r="U78" s="10"/>
      <x:c r="V78" s="10"/>
      <x:c r="W78" s="10"/>
    </x:row>
    <x:row r="79" ht="17" customHeight="1">
      <x:c r="A79" s="1"/>
      <x:c r="B79" s="1"/>
      <x:c r="C79" s="1"/>
      <x:c r="D79" s="10"/>
      <x:c r="E79" s="10"/>
      <x:c r="F79" s="10"/>
      <x:c r="G79" s="10"/>
      <x:c r="H79" s="10"/>
      <x:c r="I79" s="10"/>
      <x:c r="J79" s="10"/>
      <x:c r="K79" s="10"/>
      <x:c r="L79" s="10"/>
      <x:c r="M79" s="10"/>
      <x:c r="N79" s="10"/>
      <x:c r="O79" s="10"/>
      <x:c r="P79" s="10"/>
      <x:c r="Q79" s="10"/>
      <x:c r="R79" s="10"/>
      <x:c r="S79" s="10"/>
      <x:c r="T79" s="10"/>
      <x:c r="U79" s="10"/>
      <x:c r="V79" s="10"/>
      <x:c r="W79" s="10"/>
    </x:row>
    <x:row r="80" ht="17" customHeight="1">
      <x:c r="A80" s="1"/>
      <x:c r="B80" s="1"/>
      <x:c r="C80" s="1"/>
      <x:c r="D80" s="10"/>
      <x:c r="E80" s="10"/>
      <x:c r="F80" s="10"/>
      <x:c r="G80" s="10"/>
      <x:c r="H80" s="10"/>
      <x:c r="I80" s="10"/>
      <x:c r="J80" s="10"/>
      <x:c r="K80" s="10"/>
      <x:c r="L80" s="10"/>
      <x:c r="M80" s="10"/>
      <x:c r="N80" s="10"/>
      <x:c r="O80" s="10"/>
      <x:c r="P80" s="10"/>
      <x:c r="Q80" s="10"/>
      <x:c r="R80" s="10"/>
      <x:c r="S80" s="10"/>
      <x:c r="T80" s="10"/>
      <x:c r="U80" s="10"/>
      <x:c r="V80" s="10"/>
      <x:c r="W80" s="10"/>
    </x:row>
  </x:sheetData>
  <x:pageMargins left="0.7" right="0.7" top="0.75" bottom="0.75" header="0.3" footer="0.3"/>
</x:worksheet>
</file>